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25516" codeName="{7A2D7E96-6E34-419A-AE5F-296B3A7E7977}"/>
  <workbookPr showInkAnnotation="0" updateLinks="never" codeName="ThisWorkbook" autoCompressPictures="0"/>
  <bookViews>
    <workbookView xWindow="10120" yWindow="2540" windowWidth="15300" windowHeight="7680" tabRatio="996" firstSheet="7" activeTab="11"/>
  </bookViews>
  <sheets>
    <sheet name="General &amp; Sec. G Trans" sheetId="1" r:id="rId1"/>
    <sheet name="Sector A-Asphalt" sheetId="13" r:id="rId2"/>
    <sheet name="Sec B-Mines&amp;Quar" sheetId="12" r:id="rId3"/>
    <sheet name="Sector C-Refuse" sheetId="14" r:id="rId4"/>
    <sheet name="Sector D-Auto Sal" sheetId="15" r:id="rId5"/>
    <sheet name="Sector E-Scrap Recyc" sheetId="16" r:id="rId6"/>
    <sheet name="Sector F-Steam Gen" sheetId="17" r:id="rId7"/>
    <sheet name="Sector G-Small Air" sheetId="19" r:id="rId8"/>
    <sheet name="Sec G-Muni&amp;Fed" sheetId="20" r:id="rId9"/>
    <sheet name="Sector G-DOT" sheetId="21" r:id="rId10"/>
    <sheet name="Sec H-Mari&amp;Boat Deal" sheetId="22" r:id="rId11"/>
    <sheet name="Sector I-Ship Bldg&amp;Repair" sheetId="23" r:id="rId12"/>
  </sheets>
  <definedNames>
    <definedName name="_xlnm._FilterDatabase" localSheetId="0" hidden="1">'General &amp; Sec. G Trans'!$A$1:$CA$4700</definedName>
    <definedName name="_xlnm._FilterDatabase" localSheetId="2" hidden="1">'Sec B-Mines&amp;Quar'!$A$1:$AI$171</definedName>
    <definedName name="_xlnm._FilterDatabase" localSheetId="8" hidden="1">'Sec G-Muni&amp;Fed'!$A$1:$AT$724</definedName>
    <definedName name="_xlnm._FilterDatabase" localSheetId="10" hidden="1">'Sec H-Mari&amp;Boat Deal'!$A$1:$AI$366</definedName>
    <definedName name="_xlnm._FilterDatabase" localSheetId="1" hidden="1">'Sector A-Asphalt'!$A$1:$AM$157</definedName>
    <definedName name="_xlnm._FilterDatabase" localSheetId="3" hidden="1">'Sector C-Refuse'!$A$1:$AY$824</definedName>
    <definedName name="_xlnm._FilterDatabase" localSheetId="4" hidden="1">'Sector D-Auto Sal'!$A$1:$AI$267</definedName>
    <definedName name="_xlnm._FilterDatabase" localSheetId="5" hidden="1">'Sector E-Scrap Recyc'!$A$1:$AJ$213</definedName>
    <definedName name="_xlnm._FilterDatabase" localSheetId="6" hidden="1">'Sector F-Steam Gen'!$A$1:$AM$327</definedName>
    <definedName name="_xlnm._FilterDatabase" localSheetId="9" hidden="1">'Sector G-DOT'!$A$1:$AO$15</definedName>
    <definedName name="_xlnm._FilterDatabase" localSheetId="7" hidden="1">'Sector G-Small Air'!$A$1:$AJ$34</definedName>
    <definedName name="_xlnm._FilterDatabase" localSheetId="11" hidden="1">'Sector I-Ship Bldg&amp;Repair'!$A$1:$AI$116</definedName>
    <definedName name="_Order1" hidden="1">255</definedName>
    <definedName name="_Order2" hidden="1">255</definedName>
    <definedName name="_xlnm.Criteria">#REF!</definedName>
    <definedName name="_xlnm.Extract">#REF!</definedName>
    <definedName name="SUMMARY" localSheetId="2">#REF!</definedName>
    <definedName name="SUMMARY" localSheetId="8">#REF!</definedName>
    <definedName name="SUMMARY" localSheetId="10">#REF!</definedName>
    <definedName name="SUMMARY" localSheetId="1">#REF!</definedName>
    <definedName name="SUMMARY" localSheetId="3">#REF!</definedName>
    <definedName name="SUMMARY" localSheetId="4">#REF!</definedName>
    <definedName name="SUMMARY" localSheetId="5">#REF!</definedName>
    <definedName name="SUMMARY" localSheetId="6">#REF!</definedName>
    <definedName name="SUMMARY" localSheetId="9">#REF!</definedName>
    <definedName name="SUMMARY" localSheetId="7">#REF!</definedName>
    <definedName name="SUMMARY" localSheetId="11">#REF!</definedName>
    <definedName name="SUMMARY">#REF!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M359" i="22" l="1"/>
  <c r="M358" i="22"/>
  <c r="M357" i="22"/>
  <c r="M356" i="22"/>
  <c r="M355" i="22"/>
  <c r="M341" i="22"/>
  <c r="M340" i="22"/>
  <c r="M339" i="22"/>
  <c r="M338" i="22"/>
  <c r="M337" i="22"/>
  <c r="M336" i="22"/>
  <c r="M335" i="22"/>
  <c r="M334" i="22"/>
  <c r="M333" i="22"/>
  <c r="M258" i="22"/>
  <c r="M257" i="22"/>
  <c r="M256" i="22"/>
  <c r="M254" i="22"/>
  <c r="M253" i="22"/>
  <c r="M251" i="22"/>
  <c r="M250" i="22"/>
  <c r="M226" i="22"/>
  <c r="M225" i="22"/>
  <c r="M224" i="22"/>
  <c r="M223" i="22"/>
  <c r="M222" i="22"/>
  <c r="M220" i="22"/>
  <c r="M219" i="22"/>
  <c r="M218" i="22"/>
  <c r="M216" i="22"/>
  <c r="M215" i="22"/>
  <c r="M214" i="22"/>
  <c r="M213" i="22"/>
  <c r="M212" i="22"/>
  <c r="M211" i="22"/>
  <c r="M210" i="22"/>
  <c r="M209" i="22"/>
  <c r="M208" i="22"/>
  <c r="M207" i="22"/>
  <c r="M206" i="22"/>
  <c r="M205" i="22"/>
  <c r="M204" i="22"/>
  <c r="M201" i="22"/>
  <c r="M200" i="22"/>
  <c r="M199" i="22"/>
  <c r="M198" i="22"/>
  <c r="M197" i="22"/>
  <c r="M195" i="22"/>
  <c r="M194" i="22"/>
  <c r="M193" i="22"/>
  <c r="M190" i="22"/>
  <c r="M189" i="22"/>
  <c r="M188" i="22"/>
  <c r="M186" i="22"/>
  <c r="M181" i="22"/>
  <c r="M180" i="22"/>
  <c r="M179" i="22"/>
  <c r="M178" i="22"/>
  <c r="M177" i="22"/>
  <c r="M176" i="22"/>
  <c r="M175" i="22"/>
  <c r="M167" i="22"/>
  <c r="M166" i="22"/>
  <c r="M164" i="22"/>
  <c r="M163" i="22"/>
  <c r="M162" i="22"/>
  <c r="M161" i="22"/>
  <c r="M158" i="22"/>
  <c r="M157" i="22"/>
  <c r="M153" i="22"/>
  <c r="M152" i="22"/>
  <c r="M151" i="22"/>
  <c r="M150" i="22"/>
  <c r="M149" i="22"/>
  <c r="M148" i="22"/>
  <c r="M145" i="22"/>
  <c r="M144" i="22"/>
  <c r="M143" i="22"/>
  <c r="M141" i="22"/>
  <c r="M140" i="22"/>
  <c r="M139" i="22"/>
  <c r="M138" i="22"/>
  <c r="M137" i="22"/>
  <c r="M135" i="22"/>
  <c r="M17" i="22"/>
  <c r="M16" i="22"/>
  <c r="M19" i="21"/>
  <c r="M18" i="21"/>
  <c r="M17" i="21"/>
  <c r="M16" i="21"/>
  <c r="M15" i="21"/>
  <c r="M14" i="21"/>
  <c r="M13" i="21"/>
  <c r="M12" i="21"/>
  <c r="M11" i="21"/>
  <c r="M10" i="21"/>
  <c r="M9" i="21"/>
  <c r="M8" i="21"/>
  <c r="M7" i="21"/>
  <c r="M6" i="21"/>
  <c r="M16" i="16"/>
  <c r="M18" i="16"/>
  <c r="M19" i="16"/>
  <c r="M20" i="16"/>
  <c r="M21" i="16"/>
  <c r="M22" i="16"/>
  <c r="M23" i="16"/>
  <c r="M24" i="16"/>
  <c r="M194" i="16"/>
  <c r="M195" i="16"/>
  <c r="M196" i="16"/>
  <c r="M197" i="16"/>
  <c r="M198" i="16"/>
  <c r="M201" i="16"/>
  <c r="M202" i="16"/>
  <c r="M203" i="16"/>
  <c r="M204" i="16"/>
  <c r="M205" i="16"/>
  <c r="M206" i="16"/>
  <c r="M207" i="16"/>
  <c r="M208" i="16"/>
  <c r="M209" i="16"/>
  <c r="M210" i="16"/>
  <c r="M4700" i="1"/>
  <c r="O4700" i="1"/>
  <c r="Y4700" i="1"/>
  <c r="M824" i="14"/>
  <c r="M823" i="14"/>
  <c r="M822" i="14"/>
  <c r="M821" i="14"/>
  <c r="M820" i="14"/>
  <c r="O724" i="20"/>
  <c r="O719" i="20"/>
  <c r="M719" i="20"/>
  <c r="M2207" i="1"/>
  <c r="M2189" i="1"/>
  <c r="M2078" i="1"/>
  <c r="M2398" i="1"/>
  <c r="M2397" i="1"/>
  <c r="V4699" i="1"/>
  <c r="Y4698" i="1"/>
  <c r="R1373" i="1"/>
  <c r="Y1374" i="1"/>
  <c r="W1374" i="1"/>
  <c r="O1374" i="1"/>
  <c r="M1374" i="1"/>
  <c r="Y1373" i="1"/>
  <c r="O1373" i="1"/>
  <c r="M1373" i="1"/>
  <c r="M363" i="22"/>
  <c r="M362" i="22"/>
  <c r="Y3604" i="1"/>
  <c r="S3603" i="1"/>
  <c r="Y3603" i="1"/>
  <c r="O3590" i="1"/>
  <c r="M3590" i="1"/>
  <c r="O3588" i="1"/>
  <c r="Y3588" i="1"/>
  <c r="M3588" i="1"/>
  <c r="Y3585" i="1"/>
  <c r="M3585" i="1"/>
  <c r="M3580" i="1"/>
  <c r="O3579" i="1"/>
  <c r="S3579" i="1"/>
  <c r="W3579" i="1"/>
  <c r="Y3579" i="1"/>
  <c r="O3578" i="1"/>
  <c r="R3578" i="1"/>
  <c r="W3578" i="1"/>
  <c r="X3578" i="1"/>
  <c r="Y3573" i="1"/>
  <c r="M3573" i="1"/>
  <c r="AG3572" i="1"/>
  <c r="O3572" i="1"/>
  <c r="U3572" i="1"/>
  <c r="W3572" i="1"/>
  <c r="M3572" i="1"/>
  <c r="V3571" i="1"/>
  <c r="M3571" i="1"/>
  <c r="O3570" i="1"/>
  <c r="R3570" i="1"/>
  <c r="T3570" i="1"/>
  <c r="W3570" i="1"/>
  <c r="X3570" i="1"/>
  <c r="Y3570" i="1"/>
  <c r="M3570" i="1"/>
  <c r="O3569" i="1"/>
  <c r="T3569" i="1"/>
  <c r="W3569" i="1"/>
  <c r="X3569" i="1"/>
  <c r="Y3569" i="1"/>
  <c r="M3569" i="1"/>
  <c r="O3568" i="1"/>
  <c r="M3568" i="1"/>
  <c r="O3567" i="1"/>
  <c r="R3567" i="1"/>
  <c r="S3567" i="1"/>
  <c r="W3567" i="1"/>
  <c r="Y3567" i="1"/>
  <c r="M3567" i="1"/>
  <c r="M3557" i="1"/>
  <c r="O3553" i="1"/>
  <c r="Y3553" i="1"/>
  <c r="M3553" i="1"/>
  <c r="O3552" i="1"/>
  <c r="Y3552" i="1"/>
  <c r="O3551" i="1"/>
  <c r="Y3551" i="1"/>
  <c r="O3497" i="1"/>
  <c r="O3496" i="1"/>
  <c r="M3496" i="1"/>
  <c r="O3495" i="1"/>
  <c r="M3495" i="1"/>
  <c r="Y3494" i="1"/>
  <c r="M3494" i="1"/>
  <c r="O3493" i="1"/>
  <c r="T3493" i="1"/>
  <c r="X3493" i="1"/>
  <c r="M3493" i="1"/>
  <c r="O3492" i="1"/>
  <c r="S3492" i="1"/>
  <c r="W3492" i="1"/>
  <c r="Y3492" i="1"/>
  <c r="M3492" i="1"/>
  <c r="O3491" i="1"/>
  <c r="R3491" i="1"/>
  <c r="W3491" i="1"/>
  <c r="M3491" i="1"/>
  <c r="O3490" i="1"/>
  <c r="M3490" i="1"/>
  <c r="O3489" i="1"/>
  <c r="M3489" i="1"/>
  <c r="O3488" i="1"/>
  <c r="Y3488" i="1"/>
  <c r="M3488" i="1"/>
  <c r="O3487" i="1"/>
  <c r="M3487" i="1"/>
  <c r="O3486" i="1"/>
  <c r="M3486" i="1"/>
  <c r="O3485" i="1"/>
  <c r="M3485" i="1"/>
  <c r="O3484" i="1"/>
  <c r="V3484" i="1"/>
  <c r="M3484" i="1"/>
  <c r="O3483" i="1"/>
  <c r="M3483" i="1"/>
  <c r="O3482" i="1"/>
  <c r="Y3482" i="1"/>
  <c r="M3482" i="1"/>
  <c r="O3481" i="1"/>
  <c r="M3481" i="1"/>
  <c r="O3480" i="1"/>
  <c r="V3480" i="1"/>
  <c r="M3480" i="1"/>
  <c r="O3479" i="1"/>
  <c r="Y3479" i="1"/>
  <c r="M3479" i="1"/>
  <c r="Y3478" i="1"/>
  <c r="M3478" i="1"/>
  <c r="Y3477" i="1"/>
  <c r="M3477" i="1"/>
  <c r="O3476" i="1"/>
  <c r="W3476" i="1"/>
  <c r="Y3476" i="1"/>
  <c r="M3476" i="1"/>
  <c r="O3475" i="1"/>
  <c r="T3475" i="1"/>
  <c r="W3475" i="1"/>
  <c r="Y3475" i="1"/>
  <c r="M3475" i="1"/>
  <c r="AT3471" i="1"/>
  <c r="AB3471" i="1"/>
  <c r="O3471" i="1"/>
  <c r="W3471" i="1"/>
  <c r="Y3471" i="1"/>
  <c r="M3471" i="1"/>
  <c r="O3470" i="1"/>
  <c r="S3470" i="1"/>
  <c r="U3470" i="1"/>
  <c r="Y3470" i="1"/>
  <c r="M3470" i="1"/>
  <c r="O3469" i="1"/>
  <c r="S3469" i="1"/>
  <c r="U3469" i="1"/>
  <c r="M3469" i="1"/>
  <c r="O3468" i="1"/>
  <c r="Y3468" i="1"/>
  <c r="M3468" i="1"/>
  <c r="O3465" i="1"/>
  <c r="M3465" i="1"/>
  <c r="O3464" i="1"/>
  <c r="M3464" i="1"/>
  <c r="O3463" i="1"/>
  <c r="M3463" i="1"/>
  <c r="O3462" i="1"/>
  <c r="M3462" i="1"/>
  <c r="O3460" i="1"/>
  <c r="V3460" i="1"/>
  <c r="M3460" i="1"/>
  <c r="O3459" i="1"/>
  <c r="M3459" i="1"/>
  <c r="O3458" i="1"/>
  <c r="M3458" i="1"/>
  <c r="O1802" i="1"/>
  <c r="S1802" i="1"/>
  <c r="T1802" i="1"/>
  <c r="W1802" i="1"/>
  <c r="M1802" i="1"/>
  <c r="AB1801" i="1"/>
  <c r="O1801" i="1"/>
  <c r="R1801" i="1"/>
  <c r="S1801" i="1"/>
  <c r="T1801" i="1"/>
  <c r="W1801" i="1"/>
  <c r="M1801" i="1"/>
  <c r="O1571" i="1"/>
  <c r="Y1571" i="1"/>
  <c r="M1571" i="1"/>
  <c r="AT115" i="14"/>
  <c r="AR115" i="14"/>
  <c r="Y486" i="1"/>
  <c r="W486" i="1"/>
  <c r="S486" i="1"/>
  <c r="R486" i="1"/>
  <c r="O486" i="1"/>
  <c r="AH104" i="15"/>
  <c r="Y4697" i="1"/>
  <c r="O4697" i="1"/>
  <c r="O4696" i="1"/>
  <c r="M4696" i="1"/>
  <c r="M4695" i="1"/>
  <c r="M479" i="14"/>
  <c r="M4694" i="1"/>
  <c r="O1504" i="1"/>
  <c r="T1504" i="1"/>
  <c r="Y1504" i="1"/>
  <c r="M1504" i="1"/>
  <c r="O4051" i="1"/>
  <c r="R4051" i="1"/>
  <c r="T4051" i="1"/>
  <c r="W4051" i="1"/>
  <c r="Y4051" i="1"/>
  <c r="M4051" i="1"/>
  <c r="O3900" i="1"/>
  <c r="W3900" i="1"/>
  <c r="M3900" i="1"/>
  <c r="O3899" i="1"/>
  <c r="M3899" i="1"/>
  <c r="O3898" i="1"/>
  <c r="R3898" i="1"/>
  <c r="W3898" i="1"/>
  <c r="M3898" i="1"/>
  <c r="O3807" i="1"/>
  <c r="R3807" i="1"/>
  <c r="T3807" i="1"/>
  <c r="X3807" i="1"/>
  <c r="Y3807" i="1"/>
  <c r="M3807" i="1"/>
  <c r="M3778" i="1"/>
  <c r="O3777" i="1"/>
  <c r="S3777" i="1"/>
  <c r="Y3777" i="1"/>
  <c r="M3777" i="1"/>
  <c r="O3776" i="1"/>
  <c r="M3776" i="1"/>
  <c r="O3628" i="1"/>
  <c r="R3628" i="1"/>
  <c r="W3628" i="1"/>
  <c r="Y3628" i="1"/>
  <c r="M3628" i="1"/>
  <c r="O3606" i="1"/>
  <c r="Y3606" i="1"/>
  <c r="M3606" i="1"/>
  <c r="O3605" i="1"/>
  <c r="Y3605" i="1"/>
  <c r="M3605" i="1"/>
  <c r="AB3602" i="1"/>
  <c r="O3602" i="1"/>
  <c r="T3602" i="1"/>
  <c r="V3602" i="1"/>
  <c r="W3602" i="1"/>
  <c r="Y3602" i="1"/>
  <c r="V3601" i="1"/>
  <c r="Y3600" i="1"/>
  <c r="Y3599" i="1"/>
  <c r="R3598" i="1"/>
  <c r="M3598" i="1"/>
  <c r="O3587" i="1"/>
  <c r="M3587" i="1"/>
  <c r="AQ3577" i="1"/>
  <c r="AG3577" i="1"/>
  <c r="R3577" i="1"/>
  <c r="Y3577" i="1"/>
  <c r="O3576" i="1"/>
  <c r="M3576" i="1"/>
  <c r="O3575" i="1"/>
  <c r="V3575" i="1"/>
  <c r="X3575" i="1"/>
  <c r="Y3575" i="1"/>
  <c r="M3575" i="1"/>
  <c r="O3574" i="1"/>
  <c r="R3574" i="1"/>
  <c r="U3574" i="1"/>
  <c r="Y3574" i="1"/>
  <c r="M3574" i="1"/>
  <c r="O3566" i="1"/>
  <c r="Y3566" i="1"/>
  <c r="M3566" i="1"/>
  <c r="O3565" i="1"/>
  <c r="Y3565" i="1"/>
  <c r="M3565" i="1"/>
  <c r="O3564" i="1"/>
  <c r="T3564" i="1"/>
  <c r="M3564" i="1"/>
  <c r="O3563" i="1"/>
  <c r="M3563" i="1"/>
  <c r="O3562" i="1"/>
  <c r="M3562" i="1"/>
  <c r="Y3561" i="1"/>
  <c r="M3561" i="1"/>
  <c r="W3560" i="1"/>
  <c r="Y3560" i="1"/>
  <c r="M3560" i="1"/>
  <c r="O3559" i="1"/>
  <c r="R3559" i="1"/>
  <c r="Y3559" i="1"/>
  <c r="M3559" i="1"/>
  <c r="O3558" i="1"/>
  <c r="R3558" i="1"/>
  <c r="W3558" i="1"/>
  <c r="Y3558" i="1"/>
  <c r="M3558" i="1"/>
  <c r="O3555" i="1"/>
  <c r="M3555" i="1"/>
  <c r="O3554" i="1"/>
  <c r="M3554" i="1"/>
  <c r="AT3550" i="1"/>
  <c r="O3550" i="1"/>
  <c r="Y3550" i="1"/>
  <c r="M3550" i="1"/>
  <c r="O3549" i="1"/>
  <c r="M3549" i="1"/>
  <c r="S3548" i="1"/>
  <c r="U3548" i="1"/>
  <c r="W3548" i="1"/>
  <c r="X3548" i="1"/>
  <c r="S3547" i="1"/>
  <c r="T3547" i="1"/>
  <c r="U3547" i="1"/>
  <c r="W3547" i="1"/>
  <c r="X3547" i="1"/>
  <c r="M3547" i="1"/>
  <c r="O3546" i="1"/>
  <c r="M3546" i="1"/>
  <c r="O3498" i="1"/>
  <c r="W3498" i="1"/>
  <c r="Y3498" i="1"/>
  <c r="M3498" i="1"/>
  <c r="O3474" i="1"/>
  <c r="V3474" i="1"/>
  <c r="Y3456" i="1"/>
  <c r="M3456" i="1"/>
  <c r="T3455" i="1"/>
  <c r="Y3455" i="1"/>
  <c r="M3455" i="1"/>
  <c r="O3450" i="1"/>
  <c r="R3450" i="1"/>
  <c r="S3450" i="1"/>
  <c r="W3450" i="1"/>
  <c r="Y3450" i="1"/>
  <c r="M3450" i="1"/>
  <c r="M3449" i="1"/>
  <c r="M3448" i="1"/>
  <c r="O3447" i="1"/>
  <c r="Y3447" i="1"/>
  <c r="M3447" i="1"/>
  <c r="O3446" i="1"/>
  <c r="R3446" i="1"/>
  <c r="S3446" i="1"/>
  <c r="V3446" i="1"/>
  <c r="W3446" i="1"/>
  <c r="Y3446" i="1"/>
  <c r="M3446" i="1"/>
  <c r="O3441" i="1"/>
  <c r="R3441" i="1"/>
  <c r="S3441" i="1"/>
  <c r="Y3441" i="1"/>
  <c r="M3441" i="1"/>
  <c r="R3440" i="1"/>
  <c r="V3440" i="1"/>
  <c r="Y3440" i="1"/>
  <c r="M3440" i="1"/>
  <c r="O3439" i="1"/>
  <c r="M3439" i="1"/>
  <c r="O3438" i="1"/>
  <c r="W3438" i="1"/>
  <c r="Y3438" i="1"/>
  <c r="M3438" i="1"/>
  <c r="M3437" i="1"/>
  <c r="AB3436" i="1"/>
  <c r="O3436" i="1"/>
  <c r="R3436" i="1"/>
  <c r="T3436" i="1"/>
  <c r="Y3436" i="1"/>
  <c r="O3435" i="1"/>
  <c r="R3435" i="1"/>
  <c r="T3435" i="1"/>
  <c r="W3435" i="1"/>
  <c r="X3435" i="1"/>
  <c r="Y3435" i="1"/>
  <c r="M3435" i="1"/>
  <c r="O3434" i="1"/>
  <c r="M3434" i="1"/>
  <c r="O3433" i="1"/>
  <c r="M3433" i="1"/>
  <c r="M3432" i="1"/>
  <c r="M3431" i="1"/>
  <c r="M3430" i="1"/>
  <c r="O3429" i="1"/>
  <c r="M3429" i="1"/>
  <c r="O3428" i="1"/>
  <c r="M3428" i="1"/>
  <c r="O3427" i="1"/>
  <c r="M3427" i="1"/>
  <c r="O3426" i="1"/>
  <c r="M3426" i="1"/>
  <c r="O3425" i="1"/>
  <c r="M3425" i="1"/>
  <c r="O3424" i="1"/>
  <c r="Y3424" i="1"/>
  <c r="M3424" i="1"/>
  <c r="O3422" i="1"/>
  <c r="S3422" i="1"/>
  <c r="M3422" i="1"/>
  <c r="M3421" i="1"/>
  <c r="O3420" i="1"/>
  <c r="S3420" i="1"/>
  <c r="M3420" i="1"/>
  <c r="O3405" i="1"/>
  <c r="R3405" i="1"/>
  <c r="U3405" i="1"/>
  <c r="W3405" i="1"/>
  <c r="Y3405" i="1"/>
  <c r="M3405" i="1"/>
  <c r="O3404" i="1"/>
  <c r="Y3404" i="1"/>
  <c r="M3404" i="1"/>
  <c r="M3403" i="1"/>
  <c r="M3402" i="1"/>
  <c r="V3400" i="1"/>
  <c r="M3400" i="1"/>
  <c r="O3399" i="1"/>
  <c r="U3399" i="1"/>
  <c r="V3399" i="1"/>
  <c r="M3399" i="1"/>
  <c r="T3398" i="1"/>
  <c r="M3398" i="1"/>
  <c r="O3397" i="1"/>
  <c r="R3397" i="1"/>
  <c r="T3397" i="1"/>
  <c r="Y3397" i="1"/>
  <c r="M3397" i="1"/>
  <c r="O3365" i="1"/>
  <c r="M3365" i="1"/>
  <c r="O3364" i="1"/>
  <c r="M3364" i="1"/>
  <c r="O3358" i="1"/>
  <c r="M3358" i="1"/>
  <c r="M3357" i="1"/>
  <c r="M3356" i="1"/>
  <c r="O3355" i="1"/>
  <c r="W3355" i="1"/>
  <c r="Y3355" i="1"/>
  <c r="M3355" i="1"/>
  <c r="O3354" i="1"/>
  <c r="M3354" i="1"/>
  <c r="O3353" i="1"/>
  <c r="T3353" i="1"/>
  <c r="W3353" i="1"/>
  <c r="Y3353" i="1"/>
  <c r="M3353" i="1"/>
  <c r="O3352" i="1"/>
  <c r="T3352" i="1"/>
  <c r="U3352" i="1"/>
  <c r="W3352" i="1"/>
  <c r="Y3352" i="1"/>
  <c r="M3352" i="1"/>
  <c r="O3351" i="1"/>
  <c r="R3351" i="1"/>
  <c r="S3351" i="1"/>
  <c r="T3351" i="1"/>
  <c r="W3351" i="1"/>
  <c r="Y3351" i="1"/>
  <c r="M3351" i="1"/>
  <c r="O3350" i="1"/>
  <c r="M3350" i="1"/>
  <c r="O3349" i="1"/>
  <c r="S3349" i="1"/>
  <c r="M3349" i="1"/>
  <c r="O3348" i="1"/>
  <c r="S3348" i="1"/>
  <c r="M3348" i="1"/>
  <c r="O3347" i="1"/>
  <c r="R3347" i="1"/>
  <c r="S3347" i="1"/>
  <c r="W3347" i="1"/>
  <c r="Y3347" i="1"/>
  <c r="M3347" i="1"/>
  <c r="O3346" i="1"/>
  <c r="M3346" i="1"/>
  <c r="M3340" i="1"/>
  <c r="M3339" i="1"/>
  <c r="O3336" i="1"/>
  <c r="R3336" i="1"/>
  <c r="V3336" i="1"/>
  <c r="W3336" i="1"/>
  <c r="M3336" i="1"/>
  <c r="O3334" i="1"/>
  <c r="U3334" i="1"/>
  <c r="V3334" i="1"/>
  <c r="W3334" i="1"/>
  <c r="M3334" i="1"/>
  <c r="O3333" i="1"/>
  <c r="M3333" i="1"/>
  <c r="O3332" i="1"/>
  <c r="M3332" i="1"/>
  <c r="M3331" i="1"/>
  <c r="M3330" i="1"/>
  <c r="O3329" i="1"/>
  <c r="M3329" i="1"/>
  <c r="O3328" i="1"/>
  <c r="W3328" i="1"/>
  <c r="Y3328" i="1"/>
  <c r="O3327" i="1"/>
  <c r="W3327" i="1"/>
  <c r="Y3327" i="1"/>
  <c r="M3326" i="1"/>
  <c r="O3294" i="1"/>
  <c r="R3294" i="1"/>
  <c r="S3294" i="1"/>
  <c r="T3294" i="1"/>
  <c r="U3294" i="1"/>
  <c r="M3294" i="1"/>
  <c r="O3249" i="1"/>
  <c r="S3249" i="1"/>
  <c r="Y3249" i="1"/>
  <c r="M3249" i="1"/>
  <c r="AQ3186" i="1"/>
  <c r="O3186" i="1"/>
  <c r="U3186" i="1"/>
  <c r="W3186" i="1"/>
  <c r="Y3186" i="1"/>
  <c r="M3186" i="1"/>
  <c r="AT3116" i="1"/>
  <c r="O3116" i="1"/>
  <c r="Y3116" i="1"/>
  <c r="M3116" i="1"/>
  <c r="AT3115" i="1"/>
  <c r="Y3115" i="1"/>
  <c r="M3115" i="1"/>
  <c r="O2918" i="1"/>
  <c r="S2918" i="1"/>
  <c r="V2918" i="1"/>
  <c r="M2918" i="1"/>
  <c r="O2086" i="1"/>
  <c r="W2086" i="1"/>
  <c r="O1600" i="1"/>
  <c r="M1600" i="1"/>
  <c r="AI308" i="17"/>
  <c r="M313" i="17"/>
  <c r="M312" i="17"/>
  <c r="M311" i="17"/>
  <c r="M310" i="17"/>
  <c r="M309" i="17"/>
  <c r="M308" i="17"/>
  <c r="Y1370" i="1"/>
  <c r="W1370" i="1"/>
  <c r="O1370" i="1"/>
  <c r="Y1369" i="1"/>
  <c r="W1369" i="1"/>
  <c r="O1369" i="1"/>
  <c r="M1370" i="1"/>
  <c r="M1369" i="1"/>
  <c r="M4603" i="1"/>
  <c r="O4566" i="1"/>
  <c r="S4566" i="1"/>
  <c r="W4566" i="1"/>
  <c r="M4566" i="1"/>
  <c r="T4565" i="1"/>
  <c r="W4565" i="1"/>
  <c r="X4565" i="1"/>
  <c r="M4565" i="1"/>
  <c r="M3401" i="1"/>
  <c r="O3396" i="1"/>
  <c r="M3396" i="1"/>
  <c r="O3395" i="1"/>
  <c r="Y3395" i="1"/>
  <c r="O3394" i="1"/>
  <c r="Y3394" i="1"/>
  <c r="V3393" i="1"/>
  <c r="Y3393" i="1"/>
  <c r="O3392" i="1"/>
  <c r="R3392" i="1"/>
  <c r="T3392" i="1"/>
  <c r="W3392" i="1"/>
  <c r="Y3392" i="1"/>
  <c r="M3392" i="1"/>
  <c r="O3391" i="1"/>
  <c r="R3391" i="1"/>
  <c r="W3391" i="1"/>
  <c r="Y3391" i="1"/>
  <c r="M3391" i="1"/>
  <c r="O3390" i="1"/>
  <c r="W3390" i="1"/>
  <c r="Y3390" i="1"/>
  <c r="M3390" i="1"/>
  <c r="O3389" i="1"/>
  <c r="T3389" i="1"/>
  <c r="U3389" i="1"/>
  <c r="W3389" i="1"/>
  <c r="Y3389" i="1"/>
  <c r="M3389" i="1"/>
  <c r="O3388" i="1"/>
  <c r="U3388" i="1"/>
  <c r="W3388" i="1"/>
  <c r="Y3388" i="1"/>
  <c r="M3388" i="1"/>
  <c r="O3387" i="1"/>
  <c r="M3387" i="1"/>
  <c r="M3386" i="1"/>
  <c r="M3385" i="1"/>
  <c r="O3384" i="1"/>
  <c r="Y3384" i="1"/>
  <c r="M3384" i="1"/>
  <c r="O3383" i="1"/>
  <c r="T3383" i="1"/>
  <c r="Y3383" i="1"/>
  <c r="M3383" i="1"/>
  <c r="O3382" i="1"/>
  <c r="Y3382" i="1"/>
  <c r="M3382" i="1"/>
  <c r="O3381" i="1"/>
  <c r="V3381" i="1"/>
  <c r="Y3381" i="1"/>
  <c r="M3381" i="1"/>
  <c r="M3380" i="1"/>
  <c r="W3379" i="1"/>
  <c r="Y3379" i="1"/>
  <c r="M3379" i="1"/>
  <c r="Y3378" i="1"/>
  <c r="M3378" i="1"/>
  <c r="M3377" i="1"/>
  <c r="M3376" i="1"/>
  <c r="M3375" i="1"/>
  <c r="O3374" i="1"/>
  <c r="M3374" i="1"/>
  <c r="M3373" i="1"/>
  <c r="O3372" i="1"/>
  <c r="M3372" i="1"/>
  <c r="O3371" i="1"/>
  <c r="Y3371" i="1"/>
  <c r="M3371" i="1"/>
  <c r="O3370" i="1"/>
  <c r="Y3370" i="1"/>
  <c r="M3370" i="1"/>
  <c r="O3369" i="1"/>
  <c r="M3369" i="1"/>
  <c r="O3368" i="1"/>
  <c r="Y3368" i="1"/>
  <c r="M3368" i="1"/>
  <c r="O3367" i="1"/>
  <c r="M3367" i="1"/>
  <c r="O3363" i="1"/>
  <c r="M3363" i="1"/>
  <c r="R3362" i="1"/>
  <c r="M3362" i="1"/>
  <c r="O3361" i="1"/>
  <c r="R3361" i="1"/>
  <c r="O3360" i="1"/>
  <c r="R3360" i="1"/>
  <c r="Y3360" i="1"/>
  <c r="M3359" i="1"/>
  <c r="O3345" i="1"/>
  <c r="S3345" i="1"/>
  <c r="M3345" i="1"/>
  <c r="M3344" i="1"/>
  <c r="O3343" i="1"/>
  <c r="M3343" i="1"/>
  <c r="O3342" i="1"/>
  <c r="S3342" i="1"/>
  <c r="X3342" i="1"/>
  <c r="Y3342" i="1"/>
  <c r="M3342" i="1"/>
  <c r="O3341" i="1"/>
  <c r="M3341" i="1"/>
  <c r="O3335" i="1"/>
  <c r="S3335" i="1"/>
  <c r="Y3335" i="1"/>
  <c r="M3335" i="1"/>
  <c r="O3325" i="1"/>
  <c r="R3325" i="1"/>
  <c r="S3325" i="1"/>
  <c r="T3325" i="1"/>
  <c r="U3325" i="1"/>
  <c r="W3325" i="1"/>
  <c r="M3325" i="1"/>
  <c r="O3324" i="1"/>
  <c r="R3324" i="1"/>
  <c r="S3324" i="1"/>
  <c r="M3324" i="1"/>
  <c r="O3323" i="1"/>
  <c r="R3323" i="1"/>
  <c r="S3323" i="1"/>
  <c r="T3323" i="1"/>
  <c r="U3323" i="1"/>
  <c r="M3323" i="1"/>
  <c r="AI3322" i="1"/>
  <c r="O3322" i="1"/>
  <c r="T3322" i="1"/>
  <c r="U3322" i="1"/>
  <c r="M3322" i="1"/>
  <c r="O3321" i="1"/>
  <c r="M3321" i="1"/>
  <c r="M3320" i="1"/>
  <c r="O3319" i="1"/>
  <c r="U3319" i="1"/>
  <c r="W3319" i="1"/>
  <c r="M3319" i="1"/>
  <c r="AB3318" i="1"/>
  <c r="O3318" i="1"/>
  <c r="Y3318" i="1"/>
  <c r="M3318" i="1"/>
  <c r="O3315" i="1"/>
  <c r="Y3315" i="1"/>
  <c r="M3315" i="1"/>
  <c r="O3314" i="1"/>
  <c r="V3314" i="1"/>
  <c r="O3313" i="1"/>
  <c r="R3313" i="1"/>
  <c r="W3313" i="1"/>
  <c r="Y3313" i="1"/>
  <c r="M3313" i="1"/>
  <c r="O3312" i="1"/>
  <c r="M3312" i="1"/>
  <c r="O3311" i="1"/>
  <c r="R3311" i="1"/>
  <c r="S3311" i="1"/>
  <c r="W3311" i="1"/>
  <c r="Y3311" i="1"/>
  <c r="M3311" i="1"/>
  <c r="O3310" i="1"/>
  <c r="M3310" i="1"/>
  <c r="O3309" i="1"/>
  <c r="Y3309" i="1"/>
  <c r="M3309" i="1"/>
  <c r="O3308" i="1"/>
  <c r="M3308" i="1"/>
  <c r="O3307" i="1"/>
  <c r="R3307" i="1"/>
  <c r="V3307" i="1"/>
  <c r="Y3307" i="1"/>
  <c r="M3307" i="1"/>
  <c r="O3306" i="1"/>
  <c r="R3306" i="1"/>
  <c r="S3306" i="1"/>
  <c r="W3306" i="1"/>
  <c r="Y3306" i="1"/>
  <c r="M3306" i="1"/>
  <c r="O3305" i="1"/>
  <c r="S3305" i="1"/>
  <c r="M3305" i="1"/>
  <c r="O3304" i="1"/>
  <c r="V3304" i="1"/>
  <c r="W3304" i="1"/>
  <c r="Y3304" i="1"/>
  <c r="M3304" i="1"/>
  <c r="AE3303" i="1"/>
  <c r="O3303" i="1"/>
  <c r="T3303" i="1"/>
  <c r="U3303" i="1"/>
  <c r="M3303" i="1"/>
  <c r="AE3302" i="1"/>
  <c r="O3302" i="1"/>
  <c r="U3302" i="1"/>
  <c r="Y3302" i="1"/>
  <c r="M3302" i="1"/>
  <c r="AE3301" i="1"/>
  <c r="O3301" i="1"/>
  <c r="T3301" i="1"/>
  <c r="U3301" i="1"/>
  <c r="W3301" i="1"/>
  <c r="X3301" i="1"/>
  <c r="Y3301" i="1"/>
  <c r="M3301" i="1"/>
  <c r="AE3300" i="1"/>
  <c r="O3300" i="1"/>
  <c r="T3300" i="1"/>
  <c r="U3300" i="1"/>
  <c r="W3300" i="1"/>
  <c r="Y3300" i="1"/>
  <c r="M3300" i="1"/>
  <c r="V3299" i="1"/>
  <c r="M3299" i="1"/>
  <c r="O3293" i="1"/>
  <c r="T3293" i="1"/>
  <c r="U3293" i="1"/>
  <c r="V3293" i="1"/>
  <c r="W3293" i="1"/>
  <c r="Y3293" i="1"/>
  <c r="O3292" i="1"/>
  <c r="R3292" i="1"/>
  <c r="S3292" i="1"/>
  <c r="Y3292" i="1"/>
  <c r="M3292" i="1"/>
  <c r="O3291" i="1"/>
  <c r="W3291" i="1"/>
  <c r="Y3291" i="1"/>
  <c r="M3291" i="1"/>
  <c r="O3290" i="1"/>
  <c r="T3290" i="1"/>
  <c r="U3290" i="1"/>
  <c r="Y3290" i="1"/>
  <c r="M3290" i="1"/>
  <c r="O3289" i="1"/>
  <c r="T3289" i="1"/>
  <c r="U3289" i="1"/>
  <c r="Y3289" i="1"/>
  <c r="M3289" i="1"/>
  <c r="O3288" i="1"/>
  <c r="T3288" i="1"/>
  <c r="U3288" i="1"/>
  <c r="V3288" i="1"/>
  <c r="W3288" i="1"/>
  <c r="Y3288" i="1"/>
  <c r="M3288" i="1"/>
  <c r="O3287" i="1"/>
  <c r="T3287" i="1"/>
  <c r="U3287" i="1"/>
  <c r="M3287" i="1"/>
  <c r="O3286" i="1"/>
  <c r="S3286" i="1"/>
  <c r="U3286" i="1"/>
  <c r="Y3286" i="1"/>
  <c r="M3286" i="1"/>
  <c r="O3285" i="1"/>
  <c r="V3285" i="1"/>
  <c r="W3285" i="1"/>
  <c r="Y3285" i="1"/>
  <c r="M3285" i="1"/>
  <c r="W3282" i="1"/>
  <c r="M3282" i="1"/>
  <c r="O3281" i="1"/>
  <c r="T3281" i="1"/>
  <c r="M3281" i="1"/>
  <c r="O3280" i="1"/>
  <c r="M3280" i="1"/>
  <c r="O3279" i="1"/>
  <c r="R3279" i="1"/>
  <c r="W3279" i="1"/>
  <c r="Y3279" i="1"/>
  <c r="M3278" i="1"/>
  <c r="O3277" i="1"/>
  <c r="R3277" i="1"/>
  <c r="T3277" i="1"/>
  <c r="Y3277" i="1"/>
  <c r="O3276" i="1"/>
  <c r="R3276" i="1"/>
  <c r="S3276" i="1"/>
  <c r="T3276" i="1"/>
  <c r="W3276" i="1"/>
  <c r="X3276" i="1"/>
  <c r="Y3276" i="1"/>
  <c r="R3275" i="1"/>
  <c r="Y3275" i="1"/>
  <c r="M3275" i="1"/>
  <c r="O3274" i="1"/>
  <c r="W3274" i="1"/>
  <c r="M3274" i="1"/>
  <c r="T3273" i="1"/>
  <c r="Y3273" i="1"/>
  <c r="M3273" i="1"/>
  <c r="M3272" i="1"/>
  <c r="Y3271" i="1"/>
  <c r="M3271" i="1"/>
  <c r="O3270" i="1"/>
  <c r="Y3270" i="1"/>
  <c r="M3270" i="1"/>
  <c r="O3269" i="1"/>
  <c r="Y3269" i="1"/>
  <c r="M3269" i="1"/>
  <c r="O3268" i="1"/>
  <c r="Y3268" i="1"/>
  <c r="M3268" i="1"/>
  <c r="O3267" i="1"/>
  <c r="Y3267" i="1"/>
  <c r="M3267" i="1"/>
  <c r="O3266" i="1"/>
  <c r="Y3266" i="1"/>
  <c r="M3266" i="1"/>
  <c r="O3265" i="1"/>
  <c r="R3265" i="1"/>
  <c r="Y3265" i="1"/>
  <c r="M3265" i="1"/>
  <c r="O3264" i="1"/>
  <c r="T3264" i="1"/>
  <c r="W3264" i="1"/>
  <c r="Y3264" i="1"/>
  <c r="O3263" i="1"/>
  <c r="T3263" i="1"/>
  <c r="U3263" i="1"/>
  <c r="W3263" i="1"/>
  <c r="X3263" i="1"/>
  <c r="Y3263" i="1"/>
  <c r="O3262" i="1"/>
  <c r="Y3262" i="1"/>
  <c r="M3262" i="1"/>
  <c r="M3259" i="1"/>
  <c r="O3258" i="1"/>
  <c r="M3258" i="1"/>
  <c r="O3257" i="1"/>
  <c r="M3257" i="1"/>
  <c r="O3256" i="1"/>
  <c r="R3256" i="1"/>
  <c r="S3256" i="1"/>
  <c r="W3256" i="1"/>
  <c r="Y3256" i="1"/>
  <c r="M3256" i="1"/>
  <c r="O3255" i="1"/>
  <c r="R3255" i="1"/>
  <c r="W3255" i="1"/>
  <c r="Y3255" i="1"/>
  <c r="M3255" i="1"/>
  <c r="O3254" i="1"/>
  <c r="R3254" i="1"/>
  <c r="W3254" i="1"/>
  <c r="Y3254" i="1"/>
  <c r="M3254" i="1"/>
  <c r="AJ3253" i="1"/>
  <c r="O3253" i="1"/>
  <c r="R3253" i="1"/>
  <c r="M3253" i="1"/>
  <c r="AJ3252" i="1"/>
  <c r="M3252" i="1"/>
  <c r="AJ3251" i="1"/>
  <c r="O3251" i="1"/>
  <c r="M3251" i="1"/>
  <c r="O3250" i="1"/>
  <c r="T3250" i="1"/>
  <c r="V3250" i="1"/>
  <c r="W3250" i="1"/>
  <c r="X3250" i="1"/>
  <c r="Y3250" i="1"/>
  <c r="M3250" i="1"/>
  <c r="Y3248" i="1"/>
  <c r="M3248" i="1"/>
  <c r="O3247" i="1"/>
  <c r="T3247" i="1"/>
  <c r="W3247" i="1"/>
  <c r="M3247" i="1"/>
  <c r="O3246" i="1"/>
  <c r="Y3246" i="1"/>
  <c r="M3246" i="1"/>
  <c r="O3244" i="1"/>
  <c r="S3244" i="1"/>
  <c r="T3244" i="1"/>
  <c r="U3244" i="1"/>
  <c r="W3244" i="1"/>
  <c r="Y3244" i="1"/>
  <c r="M3244" i="1"/>
  <c r="O3243" i="1"/>
  <c r="M3243" i="1"/>
  <c r="O3242" i="1"/>
  <c r="R3242" i="1"/>
  <c r="S3242" i="1"/>
  <c r="T3242" i="1"/>
  <c r="V3242" i="1"/>
  <c r="W3242" i="1"/>
  <c r="Y3242" i="1"/>
  <c r="M3242" i="1"/>
  <c r="O3241" i="1"/>
  <c r="R3241" i="1"/>
  <c r="S3241" i="1"/>
  <c r="T3241" i="1"/>
  <c r="V3241" i="1"/>
  <c r="W3241" i="1"/>
  <c r="M3241" i="1"/>
  <c r="O3240" i="1"/>
  <c r="R3240" i="1"/>
  <c r="V3240" i="1"/>
  <c r="M3240" i="1"/>
  <c r="Y3239" i="1"/>
  <c r="M3239" i="1"/>
  <c r="M3238" i="1"/>
  <c r="M3237" i="1"/>
  <c r="O3236" i="1"/>
  <c r="Y3236" i="1"/>
  <c r="M3236" i="1"/>
  <c r="M3235" i="1"/>
  <c r="T3234" i="1"/>
  <c r="M3234" i="1"/>
  <c r="U3225" i="1"/>
  <c r="Y3225" i="1"/>
  <c r="M3225" i="1"/>
  <c r="AG3224" i="1"/>
  <c r="O3224" i="1"/>
  <c r="R3224" i="1"/>
  <c r="M3224" i="1"/>
  <c r="AI3223" i="1"/>
  <c r="O3223" i="1"/>
  <c r="R3223" i="1"/>
  <c r="M3223" i="1"/>
  <c r="O3222" i="1"/>
  <c r="W3222" i="1"/>
  <c r="Y3222" i="1"/>
  <c r="M3222" i="1"/>
  <c r="M4693" i="1"/>
  <c r="M4692" i="1"/>
  <c r="O4691" i="1"/>
  <c r="V4691" i="1"/>
  <c r="Y4691" i="1"/>
  <c r="O4690" i="1"/>
  <c r="R4690" i="1"/>
  <c r="W4690" i="1"/>
  <c r="Y4690" i="1"/>
  <c r="M4690" i="1"/>
  <c r="AB4689" i="1"/>
  <c r="O4689" i="1"/>
  <c r="R4689" i="1"/>
  <c r="S4689" i="1"/>
  <c r="W4689" i="1"/>
  <c r="Y4689" i="1"/>
  <c r="O4688" i="1"/>
  <c r="R4688" i="1"/>
  <c r="V4688" i="1"/>
  <c r="M4687" i="1"/>
  <c r="M4686" i="1"/>
  <c r="M4685" i="1"/>
  <c r="M4684" i="1"/>
  <c r="O4683" i="1"/>
  <c r="W4683" i="1"/>
  <c r="Y4683" i="1"/>
  <c r="M4683" i="1"/>
  <c r="W4682" i="1"/>
  <c r="M4682" i="1"/>
  <c r="M4681" i="1"/>
  <c r="M4680" i="1"/>
  <c r="O4679" i="1"/>
  <c r="W4679" i="1"/>
  <c r="O4677" i="1"/>
  <c r="V4677" i="1"/>
  <c r="Y4677" i="1"/>
  <c r="M4677" i="1"/>
  <c r="M4676" i="1"/>
  <c r="M4675" i="1"/>
  <c r="M4674" i="1"/>
  <c r="O4673" i="1"/>
  <c r="R4673" i="1"/>
  <c r="Y4673" i="1"/>
  <c r="M4673" i="1"/>
  <c r="O4672" i="1"/>
  <c r="R4672" i="1"/>
  <c r="X4672" i="1"/>
  <c r="Y4672" i="1"/>
  <c r="M4672" i="1"/>
  <c r="M4671" i="1"/>
  <c r="Y4670" i="1"/>
  <c r="M4670" i="1"/>
  <c r="M4668" i="1"/>
  <c r="O4667" i="1"/>
  <c r="R4667" i="1"/>
  <c r="S4667" i="1"/>
  <c r="Y4667" i="1"/>
  <c r="M4667" i="1"/>
  <c r="O4666" i="1"/>
  <c r="S4666" i="1"/>
  <c r="V4666" i="1"/>
  <c r="W4666" i="1"/>
  <c r="Y4666" i="1"/>
  <c r="M4666" i="1"/>
  <c r="O4665" i="1"/>
  <c r="Y4665" i="1"/>
  <c r="M4665" i="1"/>
  <c r="M4664" i="1"/>
  <c r="M4663" i="1"/>
  <c r="M4662" i="1"/>
  <c r="M4661" i="1"/>
  <c r="M4660" i="1"/>
  <c r="M4659" i="1"/>
  <c r="M4658" i="1"/>
  <c r="O4657" i="1"/>
  <c r="T4657" i="1"/>
  <c r="U4657" i="1"/>
  <c r="W4657" i="1"/>
  <c r="Y4657" i="1"/>
  <c r="M4657" i="1"/>
  <c r="O4656" i="1"/>
  <c r="S4656" i="1"/>
  <c r="M4656" i="1"/>
  <c r="O4655" i="1"/>
  <c r="M4655" i="1"/>
  <c r="O4654" i="1"/>
  <c r="R4654" i="1"/>
  <c r="W4654" i="1"/>
  <c r="Y4654" i="1"/>
  <c r="M4654" i="1"/>
  <c r="O4653" i="1"/>
  <c r="Y4653" i="1"/>
  <c r="M4653" i="1"/>
  <c r="O4648" i="1"/>
  <c r="R4648" i="1"/>
  <c r="V4648" i="1"/>
  <c r="Y4648" i="1"/>
  <c r="M4648" i="1"/>
  <c r="M4647" i="1"/>
  <c r="M4646" i="1"/>
  <c r="O4645" i="1"/>
  <c r="M4645" i="1"/>
  <c r="M4644" i="1"/>
  <c r="M4643" i="1"/>
  <c r="Y4642" i="1"/>
  <c r="M4642" i="1"/>
  <c r="M4641" i="1"/>
  <c r="M4640" i="1"/>
  <c r="V4639" i="1"/>
  <c r="M4639" i="1"/>
  <c r="M4638" i="1"/>
  <c r="O4637" i="1"/>
  <c r="M4637" i="1"/>
  <c r="O4636" i="1"/>
  <c r="X4636" i="1"/>
  <c r="M4636" i="1"/>
  <c r="M4635" i="1"/>
  <c r="O4634" i="1"/>
  <c r="X4634" i="1"/>
  <c r="M4634" i="1"/>
  <c r="O4633" i="1"/>
  <c r="U4633" i="1"/>
  <c r="V4633" i="1"/>
  <c r="W4633" i="1"/>
  <c r="X4633" i="1"/>
  <c r="Y4633" i="1"/>
  <c r="M4633" i="1"/>
  <c r="O4632" i="1"/>
  <c r="Y4632" i="1"/>
  <c r="M4632" i="1"/>
  <c r="M4631" i="1"/>
  <c r="M4630" i="1"/>
  <c r="Y4629" i="1"/>
  <c r="M4629" i="1"/>
  <c r="M4628" i="1"/>
  <c r="M4627" i="1"/>
  <c r="O4626" i="1"/>
  <c r="T4626" i="1"/>
  <c r="U4626" i="1"/>
  <c r="W4626" i="1"/>
  <c r="Y4626" i="1"/>
  <c r="M4626" i="1"/>
  <c r="O4625" i="1"/>
  <c r="W4625" i="1"/>
  <c r="Y4625" i="1"/>
  <c r="M4625" i="1"/>
  <c r="AE4624" i="1"/>
  <c r="O4624" i="1"/>
  <c r="W4624" i="1"/>
  <c r="Y4624" i="1"/>
  <c r="M4624" i="1"/>
  <c r="V4623" i="1"/>
  <c r="Y4623" i="1"/>
  <c r="M4623" i="1"/>
  <c r="W4619" i="1"/>
  <c r="O4618" i="1"/>
  <c r="M4618" i="1"/>
  <c r="AB4617" i="1"/>
  <c r="O4617" i="1"/>
  <c r="M4617" i="1"/>
  <c r="AB4616" i="1"/>
  <c r="O4616" i="1"/>
  <c r="Y4616" i="1"/>
  <c r="M4616" i="1"/>
  <c r="O4615" i="1"/>
  <c r="U4615" i="1"/>
  <c r="W4615" i="1"/>
  <c r="Y4615" i="1"/>
  <c r="O4614" i="1"/>
  <c r="U4614" i="1"/>
  <c r="W4614" i="1"/>
  <c r="Y4614" i="1"/>
  <c r="M4613" i="1"/>
  <c r="V4612" i="1"/>
  <c r="M4612" i="1"/>
  <c r="W4611" i="1"/>
  <c r="Y4611" i="1"/>
  <c r="M4611" i="1"/>
  <c r="BO4610" i="1"/>
  <c r="BN4610" i="1"/>
  <c r="BM4610" i="1"/>
  <c r="BL4610" i="1"/>
  <c r="BK4610" i="1"/>
  <c r="BJ4610" i="1"/>
  <c r="BI4610" i="1"/>
  <c r="BH4610" i="1"/>
  <c r="BG4610" i="1"/>
  <c r="BF4610" i="1"/>
  <c r="BE4610" i="1"/>
  <c r="BD4610" i="1"/>
  <c r="BC4610" i="1"/>
  <c r="BB4610" i="1"/>
  <c r="BA4610" i="1"/>
  <c r="AZ4610" i="1"/>
  <c r="AY4610" i="1"/>
  <c r="AJ4610" i="1"/>
  <c r="M4610" i="1"/>
  <c r="BO4609" i="1"/>
  <c r="BN4609" i="1"/>
  <c r="BM4609" i="1"/>
  <c r="BL4609" i="1"/>
  <c r="BK4609" i="1"/>
  <c r="BJ4609" i="1"/>
  <c r="BI4609" i="1"/>
  <c r="BH4609" i="1"/>
  <c r="BG4609" i="1"/>
  <c r="BF4609" i="1"/>
  <c r="BE4609" i="1"/>
  <c r="BD4609" i="1"/>
  <c r="BC4609" i="1"/>
  <c r="BB4609" i="1"/>
  <c r="BA4609" i="1"/>
  <c r="AZ4609" i="1"/>
  <c r="AY4609" i="1"/>
  <c r="M4609" i="1"/>
  <c r="BE4608" i="1"/>
  <c r="BC4608" i="1"/>
  <c r="BB4608" i="1"/>
  <c r="BA4608" i="1"/>
  <c r="AZ4608" i="1"/>
  <c r="AY4608" i="1"/>
  <c r="M4608" i="1"/>
  <c r="M4607" i="1"/>
  <c r="O4606" i="1"/>
  <c r="V4606" i="1"/>
  <c r="M4606" i="1"/>
  <c r="O4605" i="1"/>
  <c r="W4605" i="1"/>
  <c r="Y4605" i="1"/>
  <c r="M4605" i="1"/>
  <c r="Y4604" i="1"/>
  <c r="M4604" i="1"/>
  <c r="M4602" i="1"/>
  <c r="M4601" i="1"/>
  <c r="O4600" i="1"/>
  <c r="T4600" i="1"/>
  <c r="Y4600" i="1"/>
  <c r="M4600" i="1"/>
  <c r="O4599" i="1"/>
  <c r="U4599" i="1"/>
  <c r="Y4599" i="1"/>
  <c r="M4599" i="1"/>
  <c r="O4598" i="1"/>
  <c r="M4598" i="1"/>
  <c r="M4597" i="1"/>
  <c r="O4596" i="1"/>
  <c r="S4596" i="1"/>
  <c r="M4596" i="1"/>
  <c r="O4595" i="1"/>
  <c r="S4595" i="1"/>
  <c r="M4595" i="1"/>
  <c r="O4594" i="1"/>
  <c r="M4594" i="1"/>
  <c r="O4593" i="1"/>
  <c r="W4593" i="1"/>
  <c r="Y4593" i="1"/>
  <c r="M4593" i="1"/>
  <c r="S4592" i="1"/>
  <c r="Y4592" i="1"/>
  <c r="M4592" i="1"/>
  <c r="O4590" i="1"/>
  <c r="Y4590" i="1"/>
  <c r="M4590" i="1"/>
  <c r="M4589" i="1"/>
  <c r="AJ4588" i="1"/>
  <c r="AI4588" i="1"/>
  <c r="AB4587" i="1"/>
  <c r="O4587" i="1"/>
  <c r="Y4587" i="1"/>
  <c r="M4587" i="1"/>
  <c r="T4586" i="1"/>
  <c r="X4586" i="1"/>
  <c r="Y4586" i="1"/>
  <c r="M4586" i="1"/>
  <c r="M4585" i="1"/>
  <c r="R4584" i="1"/>
  <c r="M4584" i="1"/>
  <c r="O4583" i="1"/>
  <c r="M4583" i="1"/>
  <c r="AE4582" i="1"/>
  <c r="O4582" i="1"/>
  <c r="M4582" i="1"/>
  <c r="O4581" i="1"/>
  <c r="S4581" i="1"/>
  <c r="T4581" i="1"/>
  <c r="U4581" i="1"/>
  <c r="Y4581" i="1"/>
  <c r="M4581" i="1"/>
  <c r="O4580" i="1"/>
  <c r="M4580" i="1"/>
  <c r="M4579" i="1"/>
  <c r="M4578" i="1"/>
  <c r="O4577" i="1"/>
  <c r="M4577" i="1"/>
  <c r="O4576" i="1"/>
  <c r="T4576" i="1"/>
  <c r="M4576" i="1"/>
  <c r="M4575" i="1"/>
  <c r="O4574" i="1"/>
  <c r="R4574" i="1"/>
  <c r="U4574" i="1"/>
  <c r="M4574" i="1"/>
  <c r="W4573" i="1"/>
  <c r="M4573" i="1"/>
  <c r="M4572" i="1"/>
  <c r="M4571" i="1"/>
  <c r="O4570" i="1"/>
  <c r="U4570" i="1"/>
  <c r="M4569" i="1"/>
  <c r="M4568" i="1"/>
  <c r="W4567" i="1"/>
  <c r="M4567" i="1"/>
  <c r="AF267" i="15"/>
  <c r="Y4564" i="1"/>
  <c r="W4564" i="1"/>
  <c r="V4564" i="1"/>
  <c r="T4564" i="1"/>
  <c r="S4564" i="1"/>
  <c r="R4564" i="1"/>
  <c r="O4564" i="1"/>
  <c r="Y4563" i="1"/>
  <c r="O4563" i="1"/>
  <c r="S4562" i="1"/>
  <c r="O4562" i="1"/>
  <c r="O4561" i="1"/>
  <c r="O353" i="22"/>
  <c r="Y353" i="22"/>
  <c r="O352" i="22"/>
  <c r="Y351" i="22"/>
  <c r="O350" i="22"/>
  <c r="Y350" i="22"/>
  <c r="O349" i="22"/>
  <c r="Y349" i="22"/>
  <c r="AF348" i="22"/>
  <c r="T348" i="22"/>
  <c r="M348" i="22"/>
  <c r="O347" i="22"/>
  <c r="M347" i="22"/>
  <c r="M346" i="22"/>
  <c r="O345" i="22"/>
  <c r="T345" i="22"/>
  <c r="Y345" i="22"/>
  <c r="AF697" i="20"/>
  <c r="M697" i="20"/>
  <c r="AF696" i="20"/>
  <c r="M696" i="20"/>
  <c r="O695" i="20"/>
  <c r="M695" i="20"/>
  <c r="M694" i="20"/>
  <c r="V210" i="16"/>
  <c r="AH209" i="16"/>
  <c r="AF209" i="16"/>
  <c r="AI208" i="16"/>
  <c r="AH208" i="16"/>
  <c r="AF208" i="16"/>
  <c r="AI207" i="16"/>
  <c r="AF207" i="16"/>
  <c r="AI206" i="16"/>
  <c r="AI205" i="16"/>
  <c r="AH205" i="16"/>
  <c r="AF205" i="16"/>
  <c r="AI200" i="16"/>
  <c r="AH200" i="16"/>
  <c r="AF200" i="16"/>
  <c r="AI199" i="16"/>
  <c r="AH199" i="16"/>
  <c r="AF198" i="16"/>
  <c r="AF197" i="16"/>
  <c r="AF196" i="16"/>
  <c r="AI195" i="16"/>
  <c r="AH195" i="16"/>
  <c r="AF195" i="16"/>
  <c r="O195" i="16"/>
  <c r="R195" i="16"/>
  <c r="Y195" i="16"/>
  <c r="AI194" i="16"/>
  <c r="AH194" i="16"/>
  <c r="AF194" i="16"/>
  <c r="O194" i="16"/>
  <c r="T194" i="16"/>
  <c r="Y194" i="16"/>
  <c r="Y812" i="14"/>
  <c r="W812" i="14"/>
  <c r="V812" i="14"/>
  <c r="U812" i="14"/>
  <c r="T812" i="14"/>
  <c r="O812" i="14"/>
  <c r="Y810" i="14"/>
  <c r="X810" i="14"/>
  <c r="V810" i="14"/>
  <c r="O810" i="14"/>
  <c r="Y809" i="14"/>
  <c r="O809" i="14"/>
  <c r="Y808" i="14"/>
  <c r="O808" i="14"/>
  <c r="Y807" i="14"/>
  <c r="S807" i="14"/>
  <c r="O807" i="14"/>
  <c r="Y806" i="14"/>
  <c r="V806" i="14"/>
  <c r="R806" i="14"/>
  <c r="O806" i="14"/>
  <c r="Y805" i="14"/>
  <c r="O128" i="12"/>
  <c r="T128" i="12"/>
  <c r="W128" i="12"/>
  <c r="Y128" i="12"/>
  <c r="M128" i="12"/>
  <c r="M4284" i="1"/>
  <c r="M4283" i="1"/>
  <c r="M4282" i="1"/>
  <c r="O4281" i="1"/>
  <c r="M4281" i="1"/>
  <c r="O4280" i="1"/>
  <c r="Y4280" i="1"/>
  <c r="O4279" i="1"/>
  <c r="Y4279" i="1"/>
  <c r="O4278" i="1"/>
  <c r="W4278" i="1"/>
  <c r="Y4278" i="1"/>
  <c r="O4277" i="1"/>
  <c r="Y4277" i="1"/>
  <c r="M4277" i="1"/>
  <c r="O4276" i="1"/>
  <c r="V4276" i="1"/>
  <c r="W4276" i="1"/>
  <c r="Y4276" i="1"/>
  <c r="M4276" i="1"/>
  <c r="M4275" i="1"/>
  <c r="S4274" i="1"/>
  <c r="T4274" i="1"/>
  <c r="U4274" i="1"/>
  <c r="W4274" i="1"/>
  <c r="Y4274" i="1"/>
  <c r="M4274" i="1"/>
  <c r="O4273" i="1"/>
  <c r="V4273" i="1"/>
  <c r="M4273" i="1"/>
  <c r="X4272" i="1"/>
  <c r="Y4272" i="1"/>
  <c r="M4272" i="1"/>
  <c r="O4271" i="1"/>
  <c r="U4271" i="1"/>
  <c r="W4271" i="1"/>
  <c r="Y4271" i="1"/>
  <c r="M4271" i="1"/>
  <c r="O4270" i="1"/>
  <c r="T4270" i="1"/>
  <c r="M4270" i="1"/>
  <c r="O4269" i="1"/>
  <c r="M4269" i="1"/>
  <c r="M4268" i="1"/>
  <c r="R4267" i="1"/>
  <c r="M4267" i="1"/>
  <c r="M4266" i="1"/>
  <c r="R4265" i="1"/>
  <c r="S4265" i="1"/>
  <c r="T4265" i="1"/>
  <c r="W4265" i="1"/>
  <c r="X4265" i="1"/>
  <c r="Y4265" i="1"/>
  <c r="M4265" i="1"/>
  <c r="R4264" i="1"/>
  <c r="S4264" i="1"/>
  <c r="T4264" i="1"/>
  <c r="W4264" i="1"/>
  <c r="X4264" i="1"/>
  <c r="M4264" i="1"/>
  <c r="O4261" i="1"/>
  <c r="W4261" i="1"/>
  <c r="Y4261" i="1"/>
  <c r="U4260" i="1"/>
  <c r="Y4260" i="1"/>
  <c r="O4259" i="1"/>
  <c r="S4259" i="1"/>
  <c r="U4259" i="1"/>
  <c r="Y4259" i="1"/>
  <c r="Y4258" i="1"/>
  <c r="M4258" i="1"/>
  <c r="O4257" i="1"/>
  <c r="Y4257" i="1"/>
  <c r="M4257" i="1"/>
  <c r="M4242" i="1"/>
  <c r="O4241" i="1"/>
  <c r="V4241" i="1"/>
  <c r="Y4241" i="1"/>
  <c r="M4241" i="1"/>
  <c r="M4240" i="1"/>
  <c r="M4069" i="1"/>
  <c r="M4070" i="1"/>
  <c r="M4062" i="1"/>
  <c r="O4061" i="1"/>
  <c r="T4061" i="1"/>
  <c r="U4061" i="1"/>
  <c r="W4061" i="1"/>
  <c r="Y4061" i="1"/>
  <c r="M4061" i="1"/>
  <c r="O4029" i="1"/>
  <c r="T4029" i="1"/>
  <c r="Y4029" i="1"/>
  <c r="M4029" i="1"/>
  <c r="M3220" i="1"/>
  <c r="R3219" i="1"/>
  <c r="M3219" i="1"/>
  <c r="Y3218" i="1"/>
  <c r="M3218" i="1"/>
  <c r="O3217" i="1"/>
  <c r="T3217" i="1"/>
  <c r="Y3217" i="1"/>
  <c r="M3217" i="1"/>
  <c r="O3216" i="1"/>
  <c r="S3216" i="1"/>
  <c r="T3216" i="1"/>
  <c r="V3216" i="1"/>
  <c r="W3216" i="1"/>
  <c r="Y3216" i="1"/>
  <c r="M3216" i="1"/>
  <c r="O3215" i="1"/>
  <c r="Y3215" i="1"/>
  <c r="M3215" i="1"/>
  <c r="O3214" i="1"/>
  <c r="M3214" i="1"/>
  <c r="O3213" i="1"/>
  <c r="Y3213" i="1"/>
  <c r="M3213" i="1"/>
  <c r="Y3212" i="1"/>
  <c r="M3212" i="1"/>
  <c r="O3211" i="1"/>
  <c r="W3211" i="1"/>
  <c r="X3211" i="1"/>
  <c r="Y3211" i="1"/>
  <c r="M3211" i="1"/>
  <c r="O3210" i="1"/>
  <c r="S3210" i="1"/>
  <c r="T3210" i="1"/>
  <c r="W3210" i="1"/>
  <c r="Y3210" i="1"/>
  <c r="M3210" i="1"/>
  <c r="O3204" i="1"/>
  <c r="W3204" i="1"/>
  <c r="M3204" i="1"/>
  <c r="O3203" i="1"/>
  <c r="V3203" i="1"/>
  <c r="M3203" i="1"/>
  <c r="O3202" i="1"/>
  <c r="M3202" i="1"/>
  <c r="O3201" i="1"/>
  <c r="R3201" i="1"/>
  <c r="S3201" i="1"/>
  <c r="M3201" i="1"/>
  <c r="M3200" i="1"/>
  <c r="O3199" i="1"/>
  <c r="W3199" i="1"/>
  <c r="O3198" i="1"/>
  <c r="R3198" i="1"/>
  <c r="M3198" i="1"/>
  <c r="O3197" i="1"/>
  <c r="R3197" i="1"/>
  <c r="M3197" i="1"/>
  <c r="O3196" i="1"/>
  <c r="V3196" i="1"/>
  <c r="W3196" i="1"/>
  <c r="Y3196" i="1"/>
  <c r="M3196" i="1"/>
  <c r="O3195" i="1"/>
  <c r="R3195" i="1"/>
  <c r="U3195" i="1"/>
  <c r="W3195" i="1"/>
  <c r="Y3195" i="1"/>
  <c r="M3195" i="1"/>
  <c r="O3189" i="1"/>
  <c r="Y3189" i="1"/>
  <c r="M3189" i="1"/>
  <c r="O3188" i="1"/>
  <c r="Y3188" i="1"/>
  <c r="M3188" i="1"/>
  <c r="O3187" i="1"/>
  <c r="W3187" i="1"/>
  <c r="X3187" i="1"/>
  <c r="Y3187" i="1"/>
  <c r="M3185" i="1"/>
  <c r="M3184" i="1"/>
  <c r="O3183" i="1"/>
  <c r="R3183" i="1"/>
  <c r="U3183" i="1"/>
  <c r="Y3183" i="1"/>
  <c r="M3183" i="1"/>
  <c r="O3182" i="1"/>
  <c r="S3182" i="1"/>
  <c r="W3182" i="1"/>
  <c r="Y3182" i="1"/>
  <c r="M3182" i="1"/>
  <c r="O3181" i="1"/>
  <c r="W3181" i="1"/>
  <c r="Y3181" i="1"/>
  <c r="M3181" i="1"/>
  <c r="O3180" i="1"/>
  <c r="W3180" i="1"/>
  <c r="Y3180" i="1"/>
  <c r="M3180" i="1"/>
  <c r="O3179" i="1"/>
  <c r="R3179" i="1"/>
  <c r="W3179" i="1"/>
  <c r="Y3179" i="1"/>
  <c r="M3179" i="1"/>
  <c r="O3178" i="1"/>
  <c r="R3178" i="1"/>
  <c r="T3178" i="1"/>
  <c r="W3178" i="1"/>
  <c r="Y3178" i="1"/>
  <c r="M3178" i="1"/>
  <c r="O3177" i="1"/>
  <c r="R3177" i="1"/>
  <c r="T3177" i="1"/>
  <c r="W3177" i="1"/>
  <c r="X3177" i="1"/>
  <c r="Y3177" i="1"/>
  <c r="M3177" i="1"/>
  <c r="AB3176" i="1"/>
  <c r="O3176" i="1"/>
  <c r="W3176" i="1"/>
  <c r="Y3176" i="1"/>
  <c r="M3176" i="1"/>
  <c r="W3175" i="1"/>
  <c r="M3175" i="1"/>
  <c r="R3172" i="1"/>
  <c r="Y3172" i="1"/>
  <c r="M3172" i="1"/>
  <c r="O3171" i="1"/>
  <c r="Y3171" i="1"/>
  <c r="S3170" i="1"/>
  <c r="T3170" i="1"/>
  <c r="W3170" i="1"/>
  <c r="M3170" i="1"/>
  <c r="V3169" i="1"/>
  <c r="X3169" i="1"/>
  <c r="Y3169" i="1"/>
  <c r="M3169" i="1"/>
  <c r="O3160" i="1"/>
  <c r="T3160" i="1"/>
  <c r="O3159" i="1"/>
  <c r="W3159" i="1"/>
  <c r="Y3159" i="1"/>
  <c r="M3159" i="1"/>
  <c r="T3158" i="1"/>
  <c r="M3158" i="1"/>
  <c r="O3157" i="1"/>
  <c r="R3157" i="1"/>
  <c r="S3157" i="1"/>
  <c r="U3157" i="1"/>
  <c r="W3157" i="1"/>
  <c r="X3157" i="1"/>
  <c r="Y3157" i="1"/>
  <c r="M3157" i="1"/>
  <c r="Y3154" i="1"/>
  <c r="M3154" i="1"/>
  <c r="O3153" i="1"/>
  <c r="V3153" i="1"/>
  <c r="M3153" i="1"/>
  <c r="O3152" i="1"/>
  <c r="V3152" i="1"/>
  <c r="M3152" i="1"/>
  <c r="O3151" i="1"/>
  <c r="S3151" i="1"/>
  <c r="T3151" i="1"/>
  <c r="Y3151" i="1"/>
  <c r="O3150" i="1"/>
  <c r="T3150" i="1"/>
  <c r="U3150" i="1"/>
  <c r="W3150" i="1"/>
  <c r="Y3150" i="1"/>
  <c r="M3150" i="1"/>
  <c r="O3132" i="1"/>
  <c r="S3132" i="1"/>
  <c r="M3132" i="1"/>
  <c r="O3131" i="1"/>
  <c r="T3131" i="1"/>
  <c r="U3131" i="1"/>
  <c r="V3131" i="1"/>
  <c r="Y3131" i="1"/>
  <c r="V3130" i="1"/>
  <c r="M3130" i="1"/>
  <c r="O3129" i="1"/>
  <c r="Y3129" i="1"/>
  <c r="M3129" i="1"/>
  <c r="M3128" i="1"/>
  <c r="M3127" i="1"/>
  <c r="AB3125" i="1"/>
  <c r="O3125" i="1"/>
  <c r="V3125" i="1"/>
  <c r="W3125" i="1"/>
  <c r="AE3124" i="1"/>
  <c r="O3124" i="1"/>
  <c r="W3124" i="1"/>
  <c r="Y3124" i="1"/>
  <c r="M3124" i="1"/>
  <c r="AE3123" i="1"/>
  <c r="O3123" i="1"/>
  <c r="R3123" i="1"/>
  <c r="M3123" i="1"/>
  <c r="O3122" i="1"/>
  <c r="U3122" i="1"/>
  <c r="W3122" i="1"/>
  <c r="O3120" i="1"/>
  <c r="T3120" i="1"/>
  <c r="U3120" i="1"/>
  <c r="V3120" i="1"/>
  <c r="W3120" i="1"/>
  <c r="X3120" i="1"/>
  <c r="Y3120" i="1"/>
  <c r="O3119" i="1"/>
  <c r="V3119" i="1"/>
  <c r="O2954" i="1"/>
  <c r="R2954" i="1"/>
  <c r="U2954" i="1"/>
  <c r="W2954" i="1"/>
  <c r="X2954" i="1"/>
  <c r="Y2954" i="1"/>
  <c r="M2954" i="1"/>
  <c r="Y2408" i="1"/>
  <c r="O1100" i="1"/>
  <c r="R1100" i="1"/>
  <c r="Y1100" i="1"/>
  <c r="O1099" i="1"/>
  <c r="Y1099" i="1"/>
  <c r="O1098" i="1"/>
  <c r="T1098" i="1"/>
  <c r="V1098" i="1"/>
  <c r="Y4560" i="1"/>
  <c r="S4560" i="1"/>
  <c r="O4560" i="1"/>
  <c r="AQ4559" i="1"/>
  <c r="AJ4559" i="1"/>
  <c r="AI4559" i="1"/>
  <c r="AI4558" i="1"/>
  <c r="AQ4558" i="1"/>
  <c r="AE153" i="13"/>
  <c r="AL153" i="13"/>
  <c r="AE150" i="13"/>
  <c r="AE2" i="13"/>
  <c r="AE149" i="13"/>
  <c r="T157" i="13"/>
  <c r="O4028" i="1"/>
  <c r="S4028" i="1"/>
  <c r="Y4028" i="1"/>
  <c r="M4028" i="1"/>
  <c r="O4027" i="1"/>
  <c r="Y4027" i="1"/>
  <c r="M4027" i="1"/>
  <c r="AJ3209" i="1"/>
  <c r="AI3209" i="1"/>
  <c r="AG3209" i="1"/>
  <c r="O3209" i="1"/>
  <c r="R3209" i="1"/>
  <c r="M3209" i="1"/>
  <c r="M3208" i="1"/>
  <c r="AJ3207" i="1"/>
  <c r="AI3207" i="1"/>
  <c r="O3207" i="1"/>
  <c r="R3207" i="1"/>
  <c r="M3207" i="1"/>
  <c r="O3206" i="1"/>
  <c r="R3206" i="1"/>
  <c r="S3206" i="1"/>
  <c r="M3206" i="1"/>
  <c r="AI3205" i="1"/>
  <c r="R3205" i="1"/>
  <c r="M3205" i="1"/>
  <c r="M3194" i="1"/>
  <c r="O3193" i="1"/>
  <c r="M3193" i="1"/>
  <c r="O3192" i="1"/>
  <c r="R3192" i="1"/>
  <c r="V3192" i="1"/>
  <c r="Y3192" i="1"/>
  <c r="M3192" i="1"/>
  <c r="O3191" i="1"/>
  <c r="T3191" i="1"/>
  <c r="W3191" i="1"/>
  <c r="Y3191" i="1"/>
  <c r="M3191" i="1"/>
  <c r="O3190" i="1"/>
  <c r="T3190" i="1"/>
  <c r="U3190" i="1"/>
  <c r="W3190" i="1"/>
  <c r="Y3190" i="1"/>
  <c r="M3190" i="1"/>
  <c r="O3174" i="1"/>
  <c r="S3174" i="1"/>
  <c r="Y3174" i="1"/>
  <c r="M3174" i="1"/>
  <c r="U3173" i="1"/>
  <c r="W3173" i="1"/>
  <c r="Y3173" i="1"/>
  <c r="M3173" i="1"/>
  <c r="O3167" i="1"/>
  <c r="R3167" i="1"/>
  <c r="S3167" i="1"/>
  <c r="W3167" i="1"/>
  <c r="Y3167" i="1"/>
  <c r="M3167" i="1"/>
  <c r="O3166" i="1"/>
  <c r="W3166" i="1"/>
  <c r="Y3166" i="1"/>
  <c r="M3166" i="1"/>
  <c r="U3165" i="1"/>
  <c r="W3165" i="1"/>
  <c r="X3165" i="1"/>
  <c r="M3165" i="1"/>
  <c r="Y3164" i="1"/>
  <c r="M3164" i="1"/>
  <c r="O3163" i="1"/>
  <c r="V3163" i="1"/>
  <c r="Y3163" i="1"/>
  <c r="M3163" i="1"/>
  <c r="O3162" i="1"/>
  <c r="T3162" i="1"/>
  <c r="Y3162" i="1"/>
  <c r="M3162" i="1"/>
  <c r="T3161" i="1"/>
  <c r="W3161" i="1"/>
  <c r="X3161" i="1"/>
  <c r="Y3161" i="1"/>
  <c r="M3161" i="1"/>
  <c r="O3156" i="1"/>
  <c r="M3156" i="1"/>
  <c r="O3155" i="1"/>
  <c r="M3155" i="1"/>
  <c r="O3149" i="1"/>
  <c r="R3149" i="1"/>
  <c r="U3149" i="1"/>
  <c r="W3149" i="1"/>
  <c r="Y3149" i="1"/>
  <c r="M3149" i="1"/>
  <c r="O3148" i="1"/>
  <c r="R3148" i="1"/>
  <c r="U3148" i="1"/>
  <c r="M3148" i="1"/>
  <c r="AE3147" i="1"/>
  <c r="O3147" i="1"/>
  <c r="R3147" i="1"/>
  <c r="U3147" i="1"/>
  <c r="V3147" i="1"/>
  <c r="W3147" i="1"/>
  <c r="Y3147" i="1"/>
  <c r="O3146" i="1"/>
  <c r="R3146" i="1"/>
  <c r="S3146" i="1"/>
  <c r="U3146" i="1"/>
  <c r="V3146" i="1"/>
  <c r="O3145" i="1"/>
  <c r="S3145" i="1"/>
  <c r="M3145" i="1"/>
  <c r="O3143" i="1"/>
  <c r="T3143" i="1"/>
  <c r="W3143" i="1"/>
  <c r="Y3143" i="1"/>
  <c r="M3143" i="1"/>
  <c r="S3140" i="1"/>
  <c r="T3140" i="1"/>
  <c r="Y3140" i="1"/>
  <c r="M3140" i="1"/>
  <c r="S3139" i="1"/>
  <c r="T3139" i="1"/>
  <c r="V3139" i="1"/>
  <c r="Y3139" i="1"/>
  <c r="M3139" i="1"/>
  <c r="O3138" i="1"/>
  <c r="M3138" i="1"/>
  <c r="O3136" i="1"/>
  <c r="R3136" i="1"/>
  <c r="W3136" i="1"/>
  <c r="X3136" i="1"/>
  <c r="Y3136" i="1"/>
  <c r="M3136" i="1"/>
  <c r="O3135" i="1"/>
  <c r="W3135" i="1"/>
  <c r="X3135" i="1"/>
  <c r="Y3135" i="1"/>
  <c r="M3135" i="1"/>
  <c r="O3134" i="1"/>
  <c r="M3134" i="1"/>
  <c r="O3133" i="1"/>
  <c r="M3133" i="1"/>
  <c r="BZ3046" i="1"/>
  <c r="O3046" i="1"/>
  <c r="S3046" i="1"/>
  <c r="T3046" i="1"/>
  <c r="W3046" i="1"/>
  <c r="Y3046" i="1"/>
  <c r="M3046" i="1"/>
  <c r="O3045" i="1"/>
  <c r="S3045" i="1"/>
  <c r="T3045" i="1"/>
  <c r="U3045" i="1"/>
  <c r="W3045" i="1"/>
  <c r="Y3045" i="1"/>
  <c r="M3045" i="1"/>
  <c r="O3044" i="1"/>
  <c r="U3044" i="1"/>
  <c r="M3044" i="1"/>
  <c r="S3043" i="1"/>
  <c r="T3043" i="1"/>
  <c r="W3043" i="1"/>
  <c r="Y3043" i="1"/>
  <c r="M3043" i="1"/>
  <c r="W3042" i="1"/>
  <c r="Y3042" i="1"/>
  <c r="M3042" i="1"/>
  <c r="M3041" i="1"/>
  <c r="U3040" i="1"/>
  <c r="V3040" i="1"/>
  <c r="X3040" i="1"/>
  <c r="Y3040" i="1"/>
  <c r="M3040" i="1"/>
  <c r="U3039" i="1"/>
  <c r="Y3039" i="1"/>
  <c r="M3039" i="1"/>
  <c r="O3038" i="1"/>
  <c r="T3038" i="1"/>
  <c r="Y3038" i="1"/>
  <c r="T3037" i="1"/>
  <c r="U3037" i="1"/>
  <c r="Y3037" i="1"/>
  <c r="M3037" i="1"/>
  <c r="U3036" i="1"/>
  <c r="M3036" i="1"/>
  <c r="T3035" i="1"/>
  <c r="M3035" i="1"/>
  <c r="O3033" i="1"/>
  <c r="M3033" i="1"/>
  <c r="AB3032" i="1"/>
  <c r="O3032" i="1"/>
  <c r="U3032" i="1"/>
  <c r="W3032" i="1"/>
  <c r="M3032" i="1"/>
  <c r="T3031" i="1"/>
  <c r="Y3031" i="1"/>
  <c r="M3031" i="1"/>
  <c r="T3029" i="1"/>
  <c r="M3029" i="1"/>
  <c r="T3028" i="1"/>
  <c r="M3028" i="1"/>
  <c r="T3027" i="1"/>
  <c r="M3027" i="1"/>
  <c r="O3026" i="1"/>
  <c r="T3026" i="1"/>
  <c r="U3026" i="1"/>
  <c r="W3026" i="1"/>
  <c r="Y3026" i="1"/>
  <c r="M3026" i="1"/>
  <c r="O3025" i="1"/>
  <c r="T3025" i="1"/>
  <c r="U3025" i="1"/>
  <c r="W3025" i="1"/>
  <c r="X3025" i="1"/>
  <c r="Y3025" i="1"/>
  <c r="M3025" i="1"/>
  <c r="O3024" i="1"/>
  <c r="T3024" i="1"/>
  <c r="U3024" i="1"/>
  <c r="W3024" i="1"/>
  <c r="X3024" i="1"/>
  <c r="Y3024" i="1"/>
  <c r="M3024" i="1"/>
  <c r="O3023" i="1"/>
  <c r="R3023" i="1"/>
  <c r="U3023" i="1"/>
  <c r="W3023" i="1"/>
  <c r="Y3023" i="1"/>
  <c r="M3023" i="1"/>
  <c r="O3022" i="1"/>
  <c r="R3022" i="1"/>
  <c r="U3022" i="1"/>
  <c r="W3022" i="1"/>
  <c r="M3022" i="1"/>
  <c r="O3021" i="1"/>
  <c r="R3021" i="1"/>
  <c r="S3021" i="1"/>
  <c r="T3021" i="1"/>
  <c r="U3021" i="1"/>
  <c r="W3021" i="1"/>
  <c r="Y3021" i="1"/>
  <c r="M3021" i="1"/>
  <c r="O3020" i="1"/>
  <c r="R3020" i="1"/>
  <c r="S3020" i="1"/>
  <c r="T3020" i="1"/>
  <c r="U3020" i="1"/>
  <c r="W3020" i="1"/>
  <c r="Y3020" i="1"/>
  <c r="M3020" i="1"/>
  <c r="Y3019" i="1"/>
  <c r="M3019" i="1"/>
  <c r="O3018" i="1"/>
  <c r="M3018" i="1"/>
  <c r="O3017" i="1"/>
  <c r="M3017" i="1"/>
  <c r="AB3015" i="1"/>
  <c r="O3015" i="1"/>
  <c r="Y3015" i="1"/>
  <c r="M3015" i="1"/>
  <c r="O3014" i="1"/>
  <c r="Y3014" i="1"/>
  <c r="M3014" i="1"/>
  <c r="O3013" i="1"/>
  <c r="T3013" i="1"/>
  <c r="W3013" i="1"/>
  <c r="Y3013" i="1"/>
  <c r="M3013" i="1"/>
  <c r="W3012" i="1"/>
  <c r="M3012" i="1"/>
  <c r="O3011" i="1"/>
  <c r="M3011" i="1"/>
  <c r="R3005" i="1"/>
  <c r="M3005" i="1"/>
  <c r="O3004" i="1"/>
  <c r="S3004" i="1"/>
  <c r="V3004" i="1"/>
  <c r="Y3004" i="1"/>
  <c r="M3004" i="1"/>
  <c r="M3003" i="1"/>
  <c r="O3002" i="1"/>
  <c r="R3002" i="1"/>
  <c r="T3002" i="1"/>
  <c r="Y3002" i="1"/>
  <c r="M3002" i="1"/>
  <c r="O3001" i="1"/>
  <c r="R3001" i="1"/>
  <c r="T3001" i="1"/>
  <c r="U3001" i="1"/>
  <c r="V3001" i="1"/>
  <c r="W3001" i="1"/>
  <c r="Y3001" i="1"/>
  <c r="M3001" i="1"/>
  <c r="O3000" i="1"/>
  <c r="R3000" i="1"/>
  <c r="T3000" i="1"/>
  <c r="U3000" i="1"/>
  <c r="W3000" i="1"/>
  <c r="Y3000" i="1"/>
  <c r="M3000" i="1"/>
  <c r="O2999" i="1"/>
  <c r="Y2999" i="1"/>
  <c r="M2999" i="1"/>
  <c r="O2998" i="1"/>
  <c r="V2998" i="1"/>
  <c r="Y2998" i="1"/>
  <c r="M2998" i="1"/>
  <c r="O2997" i="1"/>
  <c r="V2997" i="1"/>
  <c r="Y2997" i="1"/>
  <c r="M2997" i="1"/>
  <c r="O2996" i="1"/>
  <c r="V2996" i="1"/>
  <c r="Y2996" i="1"/>
  <c r="M2996" i="1"/>
  <c r="AP2995" i="1"/>
  <c r="AO2995" i="1"/>
  <c r="AM2995" i="1"/>
  <c r="Y2995" i="1"/>
  <c r="AP2994" i="1"/>
  <c r="AO2994" i="1"/>
  <c r="AM2994" i="1"/>
  <c r="O2994" i="1"/>
  <c r="R2994" i="1"/>
  <c r="S2994" i="1"/>
  <c r="T2994" i="1"/>
  <c r="Y2994" i="1"/>
  <c r="AT2993" i="1"/>
  <c r="M2993" i="1"/>
  <c r="AB2992" i="1"/>
  <c r="O2992" i="1"/>
  <c r="W2992" i="1"/>
  <c r="Y2992" i="1"/>
  <c r="O2991" i="1"/>
  <c r="W2991" i="1"/>
  <c r="Y2991" i="1"/>
  <c r="O2990" i="1"/>
  <c r="Y2990" i="1"/>
  <c r="O2989" i="1"/>
  <c r="S2989" i="1"/>
  <c r="T2989" i="1"/>
  <c r="U2989" i="1"/>
  <c r="V2989" i="1"/>
  <c r="W2989" i="1"/>
  <c r="Y2989" i="1"/>
  <c r="M2989" i="1"/>
  <c r="O2988" i="1"/>
  <c r="T2988" i="1"/>
  <c r="U2988" i="1"/>
  <c r="V2988" i="1"/>
  <c r="W2988" i="1"/>
  <c r="Y2988" i="1"/>
  <c r="M2988" i="1"/>
  <c r="O2987" i="1"/>
  <c r="T2987" i="1"/>
  <c r="O2986" i="1"/>
  <c r="T2986" i="1"/>
  <c r="W2986" i="1"/>
  <c r="Y2986" i="1"/>
  <c r="M2986" i="1"/>
  <c r="O2985" i="1"/>
  <c r="W2985" i="1"/>
  <c r="Y2985" i="1"/>
  <c r="M2985" i="1"/>
  <c r="Y2984" i="1"/>
  <c r="M2984" i="1"/>
  <c r="O2983" i="1"/>
  <c r="R2983" i="1"/>
  <c r="T2983" i="1"/>
  <c r="W2983" i="1"/>
  <c r="Y2983" i="1"/>
  <c r="M2983" i="1"/>
  <c r="O2982" i="1"/>
  <c r="R2982" i="1"/>
  <c r="T2982" i="1"/>
  <c r="Y2982" i="1"/>
  <c r="M2982" i="1"/>
  <c r="O2981" i="1"/>
  <c r="T2981" i="1"/>
  <c r="Y2981" i="1"/>
  <c r="M2981" i="1"/>
  <c r="O2980" i="1"/>
  <c r="W2980" i="1"/>
  <c r="Y2980" i="1"/>
  <c r="M2980" i="1"/>
  <c r="O2979" i="1"/>
  <c r="M2979" i="1"/>
  <c r="O2978" i="1"/>
  <c r="R2978" i="1"/>
  <c r="T2978" i="1"/>
  <c r="W2978" i="1"/>
  <c r="Y2978" i="1"/>
  <c r="M2978" i="1"/>
  <c r="O2977" i="1"/>
  <c r="S2977" i="1"/>
  <c r="Y2977" i="1"/>
  <c r="O2976" i="1"/>
  <c r="S2976" i="1"/>
  <c r="Y2976" i="1"/>
  <c r="O2975" i="1"/>
  <c r="R2975" i="1"/>
  <c r="S2975" i="1"/>
  <c r="Y2975" i="1"/>
  <c r="V2974" i="1"/>
  <c r="M2974" i="1"/>
  <c r="O2973" i="1"/>
  <c r="W2973" i="1"/>
  <c r="M2973" i="1"/>
  <c r="O2972" i="1"/>
  <c r="R2972" i="1"/>
  <c r="V2972" i="1"/>
  <c r="W2972" i="1"/>
  <c r="Y2972" i="1"/>
  <c r="M2972" i="1"/>
  <c r="S2971" i="1"/>
  <c r="T2971" i="1"/>
  <c r="V2971" i="1"/>
  <c r="Y2971" i="1"/>
  <c r="M2971" i="1"/>
  <c r="O2970" i="1"/>
  <c r="M2970" i="1"/>
  <c r="Y2969" i="1"/>
  <c r="M2969" i="1"/>
  <c r="O2968" i="1"/>
  <c r="R2968" i="1"/>
  <c r="T2968" i="1"/>
  <c r="U2968" i="1"/>
  <c r="Y2968" i="1"/>
  <c r="M2968" i="1"/>
  <c r="M2967" i="1"/>
  <c r="M2966" i="1"/>
  <c r="O2965" i="1"/>
  <c r="W2965" i="1"/>
  <c r="X2965" i="1"/>
  <c r="O2964" i="1"/>
  <c r="S2964" i="1"/>
  <c r="W2964" i="1"/>
  <c r="Y2964" i="1"/>
  <c r="O2963" i="1"/>
  <c r="W2963" i="1"/>
  <c r="X2963" i="1"/>
  <c r="Y2963" i="1"/>
  <c r="O2962" i="1"/>
  <c r="S2962" i="1"/>
  <c r="W2962" i="1"/>
  <c r="X2962" i="1"/>
  <c r="Y2962" i="1"/>
  <c r="O2961" i="1"/>
  <c r="M2961" i="1"/>
  <c r="O2960" i="1"/>
  <c r="M2960" i="1"/>
  <c r="O2959" i="1"/>
  <c r="S2959" i="1"/>
  <c r="U2959" i="1"/>
  <c r="Y2959" i="1"/>
  <c r="M2959" i="1"/>
  <c r="O2958" i="1"/>
  <c r="M2958" i="1"/>
  <c r="O2957" i="1"/>
  <c r="T2957" i="1"/>
  <c r="W2957" i="1"/>
  <c r="Y2957" i="1"/>
  <c r="M2957" i="1"/>
  <c r="O2956" i="1"/>
  <c r="M2956" i="1"/>
  <c r="O2955" i="1"/>
  <c r="V2955" i="1"/>
  <c r="W2955" i="1"/>
  <c r="Y2955" i="1"/>
  <c r="M2955" i="1"/>
  <c r="O2952" i="1"/>
  <c r="M2952" i="1"/>
  <c r="O2951" i="1"/>
  <c r="M2951" i="1"/>
  <c r="O2950" i="1"/>
  <c r="U2950" i="1"/>
  <c r="M2950" i="1"/>
  <c r="AE2946" i="1"/>
  <c r="O2946" i="1"/>
  <c r="R2946" i="1"/>
  <c r="U2946" i="1"/>
  <c r="V2946" i="1"/>
  <c r="M2946" i="1"/>
  <c r="AE2945" i="1"/>
  <c r="O2945" i="1"/>
  <c r="R2945" i="1"/>
  <c r="U2945" i="1"/>
  <c r="V2945" i="1"/>
  <c r="Y2945" i="1"/>
  <c r="M2945" i="1"/>
  <c r="O2944" i="1"/>
  <c r="R2944" i="1"/>
  <c r="Y2944" i="1"/>
  <c r="M2944" i="1"/>
  <c r="AE2943" i="1"/>
  <c r="O2943" i="1"/>
  <c r="R2943" i="1"/>
  <c r="S2943" i="1"/>
  <c r="W2943" i="1"/>
  <c r="Y2943" i="1"/>
  <c r="M2943" i="1"/>
  <c r="O2942" i="1"/>
  <c r="W2942" i="1"/>
  <c r="Y2942" i="1"/>
  <c r="M2942" i="1"/>
  <c r="M2947" i="1"/>
  <c r="O2947" i="1"/>
  <c r="R2947" i="1"/>
  <c r="AF2947" i="1"/>
  <c r="M2948" i="1"/>
  <c r="O2948" i="1"/>
  <c r="AF2948" i="1"/>
  <c r="M2949" i="1"/>
  <c r="AF2949" i="1"/>
  <c r="M2953" i="1"/>
  <c r="O2953" i="1"/>
  <c r="W2953" i="1"/>
  <c r="X2953" i="1"/>
  <c r="Y2953" i="1"/>
  <c r="Y2939" i="1"/>
  <c r="M2939" i="1"/>
  <c r="V2938" i="1"/>
  <c r="Y2938" i="1"/>
  <c r="M2938" i="1"/>
  <c r="O2937" i="1"/>
  <c r="M2937" i="1"/>
  <c r="O2936" i="1"/>
  <c r="S2936" i="1"/>
  <c r="W2936" i="1"/>
  <c r="Y2936" i="1"/>
  <c r="M2936" i="1"/>
  <c r="AB2935" i="1"/>
  <c r="O2935" i="1"/>
  <c r="R2935" i="1"/>
  <c r="T2935" i="1"/>
  <c r="V2935" i="1"/>
  <c r="W2935" i="1"/>
  <c r="Y2935" i="1"/>
  <c r="O2934" i="1"/>
  <c r="R2934" i="1"/>
  <c r="T2934" i="1"/>
  <c r="U2934" i="1"/>
  <c r="W2934" i="1"/>
  <c r="Y2934" i="1"/>
  <c r="M2934" i="1"/>
  <c r="W2933" i="1"/>
  <c r="Y2933" i="1"/>
  <c r="M2933" i="1"/>
  <c r="W2932" i="1"/>
  <c r="Y2932" i="1"/>
  <c r="M2932" i="1"/>
  <c r="M2931" i="1"/>
  <c r="M2930" i="1"/>
  <c r="M2929" i="1"/>
  <c r="S2928" i="1"/>
  <c r="M2928" i="1"/>
  <c r="V2927" i="1"/>
  <c r="M2927" i="1"/>
  <c r="M2926" i="1"/>
  <c r="Y2925" i="1"/>
  <c r="M2925" i="1"/>
  <c r="M2924" i="1"/>
  <c r="Y2923" i="1"/>
  <c r="M2923" i="1"/>
  <c r="M2922" i="1"/>
  <c r="M2921" i="1"/>
  <c r="O2920" i="1"/>
  <c r="R2920" i="1"/>
  <c r="M2920" i="1"/>
  <c r="O2919" i="1"/>
  <c r="T2919" i="1"/>
  <c r="M2919" i="1"/>
  <c r="O2917" i="1"/>
  <c r="T2917" i="1"/>
  <c r="U2917" i="1"/>
  <c r="W2917" i="1"/>
  <c r="Y2917" i="1"/>
  <c r="M2917" i="1"/>
  <c r="M2916" i="1"/>
  <c r="O2915" i="1"/>
  <c r="V2915" i="1"/>
  <c r="M2915" i="1"/>
  <c r="O2914" i="1"/>
  <c r="M2914" i="1"/>
  <c r="T2913" i="1"/>
  <c r="V2913" i="1"/>
  <c r="W2913" i="1"/>
  <c r="M2913" i="1"/>
  <c r="O2911" i="1"/>
  <c r="R2911" i="1"/>
  <c r="T2911" i="1"/>
  <c r="Y2911" i="1"/>
  <c r="O2910" i="1"/>
  <c r="Y2910" i="1"/>
  <c r="M2910" i="1"/>
  <c r="AE151" i="13"/>
  <c r="O361" i="22"/>
  <c r="U361" i="22"/>
  <c r="M361" i="22"/>
  <c r="O360" i="22"/>
  <c r="U360" i="22"/>
  <c r="M360" i="22"/>
  <c r="AF716" i="20"/>
  <c r="O716" i="20"/>
  <c r="V716" i="20"/>
  <c r="W716" i="20"/>
  <c r="AF715" i="20"/>
  <c r="O715" i="20"/>
  <c r="V817" i="14"/>
  <c r="M817" i="14"/>
  <c r="O816" i="14"/>
  <c r="U816" i="14"/>
  <c r="V816" i="14"/>
  <c r="W816" i="14"/>
  <c r="Y816" i="14"/>
  <c r="O815" i="14"/>
  <c r="U815" i="14"/>
  <c r="W815" i="14"/>
  <c r="Y815" i="14"/>
  <c r="O814" i="14"/>
  <c r="R814" i="14"/>
  <c r="U814" i="14"/>
  <c r="W814" i="14"/>
  <c r="X814" i="14"/>
  <c r="Y814" i="14"/>
  <c r="AE157" i="13"/>
  <c r="AE156" i="13"/>
  <c r="M4557" i="1"/>
  <c r="M4556" i="1"/>
  <c r="O4555" i="1"/>
  <c r="Y4555" i="1"/>
  <c r="M4555" i="1"/>
  <c r="AE4554" i="1"/>
  <c r="M4554" i="1"/>
  <c r="AB4553" i="1"/>
  <c r="O4553" i="1"/>
  <c r="S4553" i="1"/>
  <c r="V4553" i="1"/>
  <c r="W4553" i="1"/>
  <c r="Y4553" i="1"/>
  <c r="M4553" i="1"/>
  <c r="Y4552" i="1"/>
  <c r="M4552" i="1"/>
  <c r="M4551" i="1"/>
  <c r="Y4550" i="1"/>
  <c r="M4550" i="1"/>
  <c r="CA4549" i="1"/>
  <c r="CA4548" i="1"/>
  <c r="AJ4548" i="1"/>
  <c r="CA4547" i="1"/>
  <c r="V4546" i="1"/>
  <c r="M4546" i="1"/>
  <c r="M4545" i="1"/>
  <c r="Y4544" i="1"/>
  <c r="M4544" i="1"/>
  <c r="O4543" i="1"/>
  <c r="W4543" i="1"/>
  <c r="Y4543" i="1"/>
  <c r="M4543" i="1"/>
  <c r="M4542" i="1"/>
  <c r="M4541" i="1"/>
  <c r="R4540" i="1"/>
  <c r="Y4540" i="1"/>
  <c r="M4540" i="1"/>
  <c r="M4539" i="1"/>
  <c r="M4538" i="1"/>
  <c r="M4537" i="1"/>
  <c r="V4536" i="1"/>
  <c r="Y4536" i="1"/>
  <c r="M4536" i="1"/>
  <c r="M4535" i="1"/>
  <c r="M4534" i="1"/>
  <c r="V4533" i="1"/>
  <c r="M4533" i="1"/>
  <c r="O4532" i="1"/>
  <c r="W4532" i="1"/>
  <c r="Y4532" i="1"/>
  <c r="M4532" i="1"/>
  <c r="M4531" i="1"/>
  <c r="M4530" i="1"/>
  <c r="M4529" i="1"/>
  <c r="U4528" i="1"/>
  <c r="M4528" i="1"/>
  <c r="M4526" i="1"/>
  <c r="O4525" i="1"/>
  <c r="R4525" i="1"/>
  <c r="U4525" i="1"/>
  <c r="W4525" i="1"/>
  <c r="Y4525" i="1"/>
  <c r="M4525" i="1"/>
  <c r="AF4524" i="1"/>
  <c r="AE4524" i="1"/>
  <c r="AB4524" i="1"/>
  <c r="O4524" i="1"/>
  <c r="R4524" i="1"/>
  <c r="U4524" i="1"/>
  <c r="V4524" i="1"/>
  <c r="W4524" i="1"/>
  <c r="Y4524" i="1"/>
  <c r="M4524" i="1"/>
  <c r="M4523" i="1"/>
  <c r="AE4522" i="1"/>
  <c r="S4522" i="1"/>
  <c r="U4522" i="1"/>
  <c r="W4522" i="1"/>
  <c r="Y4522" i="1"/>
  <c r="M4522" i="1"/>
  <c r="O4521" i="1"/>
  <c r="Y4521" i="1"/>
  <c r="M4521" i="1"/>
  <c r="O4520" i="1"/>
  <c r="T4520" i="1"/>
  <c r="W4520" i="1"/>
  <c r="Y4520" i="1"/>
  <c r="M4520" i="1"/>
  <c r="O4519" i="1"/>
  <c r="W4519" i="1"/>
  <c r="Y4519" i="1"/>
  <c r="M4519" i="1"/>
  <c r="M4518" i="1"/>
  <c r="O4517" i="1"/>
  <c r="T4517" i="1"/>
  <c r="W4517" i="1"/>
  <c r="Y4517" i="1"/>
  <c r="O4516" i="1"/>
  <c r="R4516" i="1"/>
  <c r="T4516" i="1"/>
  <c r="W4516" i="1"/>
  <c r="Y4516" i="1"/>
  <c r="O4515" i="1"/>
  <c r="R4515" i="1"/>
  <c r="W4515" i="1"/>
  <c r="Y4515" i="1"/>
  <c r="M4514" i="1"/>
  <c r="O4513" i="1"/>
  <c r="S4513" i="1"/>
  <c r="O4512" i="1"/>
  <c r="S4512" i="1"/>
  <c r="Y4512" i="1"/>
  <c r="M4512" i="1"/>
  <c r="O4511" i="1"/>
  <c r="Y4511" i="1"/>
  <c r="M4511" i="1"/>
  <c r="M4509" i="1"/>
  <c r="M4508" i="1"/>
  <c r="M4507" i="1"/>
  <c r="Y4506" i="1"/>
  <c r="M4506" i="1"/>
  <c r="M4505" i="1"/>
  <c r="M4504" i="1"/>
  <c r="M4503" i="1"/>
  <c r="X4502" i="1"/>
  <c r="Y4502" i="1"/>
  <c r="M4502" i="1"/>
  <c r="O4501" i="1"/>
  <c r="Y4501" i="1"/>
  <c r="M4501" i="1"/>
  <c r="O4500" i="1"/>
  <c r="V4500" i="1"/>
  <c r="W4500" i="1"/>
  <c r="M4500" i="1"/>
  <c r="O4499" i="1"/>
  <c r="W4499" i="1"/>
  <c r="Y4499" i="1"/>
  <c r="M4499" i="1"/>
  <c r="M4498" i="1"/>
  <c r="O4497" i="1"/>
  <c r="M4497" i="1"/>
  <c r="M4496" i="1"/>
  <c r="M4495" i="1"/>
  <c r="M4494" i="1"/>
  <c r="O4493" i="1"/>
  <c r="Y4493" i="1"/>
  <c r="M4493" i="1"/>
  <c r="O4492" i="1"/>
  <c r="Y4492" i="1"/>
  <c r="M4492" i="1"/>
  <c r="M4491" i="1"/>
  <c r="O4490" i="1"/>
  <c r="S4490" i="1"/>
  <c r="W4490" i="1"/>
  <c r="Y4490" i="1"/>
  <c r="M4490" i="1"/>
  <c r="O4489" i="1"/>
  <c r="R4489" i="1"/>
  <c r="T4489" i="1"/>
  <c r="U4489" i="1"/>
  <c r="W4489" i="1"/>
  <c r="Y4489" i="1"/>
  <c r="M4489" i="1"/>
  <c r="O4488" i="1"/>
  <c r="U4488" i="1"/>
  <c r="W4488" i="1"/>
  <c r="Y4488" i="1"/>
  <c r="M4488" i="1"/>
  <c r="O4487" i="1"/>
  <c r="T4487" i="1"/>
  <c r="U4487" i="1"/>
  <c r="W4487" i="1"/>
  <c r="Y4487" i="1"/>
  <c r="M4487" i="1"/>
  <c r="M4486" i="1"/>
  <c r="M4485" i="1"/>
  <c r="M4484" i="1"/>
  <c r="O4483" i="1"/>
  <c r="R4483" i="1"/>
  <c r="T4483" i="1"/>
  <c r="W4483" i="1"/>
  <c r="Y4483" i="1"/>
  <c r="M4483" i="1"/>
  <c r="Y4482" i="1"/>
  <c r="M4482" i="1"/>
  <c r="O4481" i="1"/>
  <c r="T4481" i="1"/>
  <c r="U4481" i="1"/>
  <c r="W4481" i="1"/>
  <c r="Y4481" i="1"/>
  <c r="M4481" i="1"/>
  <c r="O4480" i="1"/>
  <c r="R4480" i="1"/>
  <c r="Y4480" i="1"/>
  <c r="M4480" i="1"/>
  <c r="M4479" i="1"/>
  <c r="O4478" i="1"/>
  <c r="S4478" i="1"/>
  <c r="T4478" i="1"/>
  <c r="Y4478" i="1"/>
  <c r="O4477" i="1"/>
  <c r="U4476" i="1"/>
  <c r="M4476" i="1"/>
  <c r="X4475" i="1"/>
  <c r="M4475" i="1"/>
  <c r="M4474" i="1"/>
  <c r="M4473" i="1"/>
  <c r="AB4472" i="1"/>
  <c r="O4472" i="1"/>
  <c r="R4472" i="1"/>
  <c r="W4472" i="1"/>
  <c r="Y4472" i="1"/>
  <c r="M4472" i="1"/>
  <c r="O4471" i="1"/>
  <c r="V4471" i="1"/>
  <c r="W4471" i="1"/>
  <c r="Y4471" i="1"/>
  <c r="M4471" i="1"/>
  <c r="M4470" i="1"/>
  <c r="M4469" i="1"/>
  <c r="M4468" i="1"/>
  <c r="AG4467" i="1"/>
  <c r="O4467" i="1"/>
  <c r="U4467" i="1"/>
  <c r="W4467" i="1"/>
  <c r="Y4467" i="1"/>
  <c r="M4467" i="1"/>
  <c r="Y4466" i="1"/>
  <c r="M4466" i="1"/>
  <c r="R4465" i="1"/>
  <c r="M4465" i="1"/>
  <c r="O4464" i="1"/>
  <c r="R4464" i="1"/>
  <c r="T4464" i="1"/>
  <c r="W4464" i="1"/>
  <c r="Y4464" i="1"/>
  <c r="M4463" i="1"/>
  <c r="M4462" i="1"/>
  <c r="O4461" i="1"/>
  <c r="M4461" i="1"/>
  <c r="M4460" i="1"/>
  <c r="M4459" i="1"/>
  <c r="M4458" i="1"/>
  <c r="M4457" i="1"/>
  <c r="M4456" i="1"/>
  <c r="M4455" i="1"/>
  <c r="M4454" i="1"/>
  <c r="M4453" i="1"/>
  <c r="O4452" i="1"/>
  <c r="T4452" i="1"/>
  <c r="U4452" i="1"/>
  <c r="V4452" i="1"/>
  <c r="W4452" i="1"/>
  <c r="Y4452" i="1"/>
  <c r="O4451" i="1"/>
  <c r="T4451" i="1"/>
  <c r="U4451" i="1"/>
  <c r="W4451" i="1"/>
  <c r="Y4451" i="1"/>
  <c r="V4450" i="1"/>
  <c r="W4450" i="1"/>
  <c r="Y4450" i="1"/>
  <c r="M4450" i="1"/>
  <c r="M4449" i="1"/>
  <c r="M4448" i="1"/>
  <c r="O4447" i="1"/>
  <c r="M4447" i="1"/>
  <c r="O4446" i="1"/>
  <c r="Y4446" i="1"/>
  <c r="M4446" i="1"/>
  <c r="AI4445" i="1"/>
  <c r="Y4445" i="1"/>
  <c r="M4445" i="1"/>
  <c r="O4444" i="1"/>
  <c r="Y4444" i="1"/>
  <c r="M4444" i="1"/>
  <c r="V4443" i="1"/>
  <c r="M4443" i="1"/>
  <c r="AI4442" i="1"/>
  <c r="O4442" i="1"/>
  <c r="T4442" i="1"/>
  <c r="U4442" i="1"/>
  <c r="W4442" i="1"/>
  <c r="Y4442" i="1"/>
  <c r="M4442" i="1"/>
  <c r="AI4441" i="1"/>
  <c r="O4441" i="1"/>
  <c r="S4441" i="1"/>
  <c r="T4441" i="1"/>
  <c r="W4441" i="1"/>
  <c r="M4441" i="1"/>
  <c r="AJ4440" i="1"/>
  <c r="O4440" i="1"/>
  <c r="M4440" i="1"/>
  <c r="AJ4439" i="1"/>
  <c r="AI4439" i="1"/>
  <c r="O4439" i="1"/>
  <c r="T4439" i="1"/>
  <c r="M4439" i="1"/>
  <c r="W4438" i="1"/>
  <c r="M4438" i="1"/>
  <c r="T4437" i="1"/>
  <c r="W4437" i="1"/>
  <c r="M4437" i="1"/>
  <c r="AB4436" i="1"/>
  <c r="S4436" i="1"/>
  <c r="T4436" i="1"/>
  <c r="X4436" i="1"/>
  <c r="Y4436" i="1"/>
  <c r="M4436" i="1"/>
  <c r="S4435" i="1"/>
  <c r="W4435" i="1"/>
  <c r="X4435" i="1"/>
  <c r="M4435" i="1"/>
  <c r="T4434" i="1"/>
  <c r="W4434" i="1"/>
  <c r="M4434" i="1"/>
  <c r="M4433" i="1"/>
  <c r="M4432" i="1"/>
  <c r="M4431" i="1"/>
  <c r="M4430" i="1"/>
  <c r="M4429" i="1"/>
  <c r="M4428" i="1"/>
  <c r="R4427" i="1"/>
  <c r="U4427" i="1"/>
  <c r="W4427" i="1"/>
  <c r="Y4427" i="1"/>
  <c r="M4427" i="1"/>
  <c r="M4426" i="1"/>
  <c r="M4425" i="1"/>
  <c r="M4424" i="1"/>
  <c r="M4423" i="1"/>
  <c r="M4422" i="1"/>
  <c r="O4421" i="1"/>
  <c r="O4420" i="1"/>
  <c r="M4419" i="1"/>
  <c r="Y4418" i="1"/>
  <c r="O4417" i="1"/>
  <c r="Y4417" i="1"/>
  <c r="M4417" i="1"/>
  <c r="AB4416" i="1"/>
  <c r="O4416" i="1"/>
  <c r="S4416" i="1"/>
  <c r="W4416" i="1"/>
  <c r="Y4416" i="1"/>
  <c r="M4416" i="1"/>
  <c r="O4415" i="1"/>
  <c r="T4415" i="1"/>
  <c r="W4415" i="1"/>
  <c r="Y4415" i="1"/>
  <c r="M4415" i="1"/>
  <c r="M4414" i="1"/>
  <c r="O4413" i="1"/>
  <c r="W4413" i="1"/>
  <c r="M4413" i="1"/>
  <c r="M4412" i="1"/>
  <c r="M4411" i="1"/>
  <c r="O4410" i="1"/>
  <c r="S4410" i="1"/>
  <c r="Y4410" i="1"/>
  <c r="M4410" i="1"/>
  <c r="AB4409" i="1"/>
  <c r="O4409" i="1"/>
  <c r="W4409" i="1"/>
  <c r="Y4409" i="1"/>
  <c r="M4409" i="1"/>
  <c r="O4408" i="1"/>
  <c r="Y4408" i="1"/>
  <c r="M4408" i="1"/>
  <c r="M4407" i="1"/>
  <c r="O4406" i="1"/>
  <c r="M4406" i="1"/>
  <c r="O4405" i="1"/>
  <c r="M4405" i="1"/>
  <c r="M4404" i="1"/>
  <c r="M4403" i="1"/>
  <c r="M4402" i="1"/>
  <c r="M4401" i="1"/>
  <c r="M4400" i="1"/>
  <c r="M4399" i="1"/>
  <c r="M4398" i="1"/>
  <c r="O4397" i="1"/>
  <c r="X4397" i="1"/>
  <c r="Y4397" i="1"/>
  <c r="M4397" i="1"/>
  <c r="M4396" i="1"/>
  <c r="O4395" i="1"/>
  <c r="M4395" i="1"/>
  <c r="AE4393" i="1"/>
  <c r="AE4392" i="1"/>
  <c r="W4390" i="1"/>
  <c r="M4390" i="1"/>
  <c r="O4389" i="1"/>
  <c r="T4389" i="1"/>
  <c r="Y4389" i="1"/>
  <c r="M4389" i="1"/>
  <c r="M4388" i="1"/>
  <c r="O4387" i="1"/>
  <c r="U4387" i="1"/>
  <c r="M4387" i="1"/>
  <c r="O4386" i="1"/>
  <c r="U4386" i="1"/>
  <c r="W4386" i="1"/>
  <c r="Y4386" i="1"/>
  <c r="M4386" i="1"/>
  <c r="O4385" i="1"/>
  <c r="R4385" i="1"/>
  <c r="S4385" i="1"/>
  <c r="W4385" i="1"/>
  <c r="Y4385" i="1"/>
  <c r="M4385" i="1"/>
  <c r="AB4384" i="1"/>
  <c r="O4384" i="1"/>
  <c r="R4384" i="1"/>
  <c r="W4384" i="1"/>
  <c r="Y4384" i="1"/>
  <c r="M4384" i="1"/>
  <c r="Y4383" i="1"/>
  <c r="M4383" i="1"/>
  <c r="O4382" i="1"/>
  <c r="Y4382" i="1"/>
  <c r="M4382" i="1"/>
  <c r="O4381" i="1"/>
  <c r="Y4381" i="1"/>
  <c r="M4381" i="1"/>
  <c r="M4380" i="1"/>
  <c r="M4379" i="1"/>
  <c r="M4378" i="1"/>
  <c r="O4377" i="1"/>
  <c r="M4377" i="1"/>
  <c r="V4376" i="1"/>
  <c r="M4376" i="1"/>
  <c r="M4375" i="1"/>
  <c r="V4374" i="1"/>
  <c r="W4374" i="1"/>
  <c r="X4374" i="1"/>
  <c r="Y4374" i="1"/>
  <c r="M4374" i="1"/>
  <c r="T4373" i="1"/>
  <c r="V4373" i="1"/>
  <c r="W4373" i="1"/>
  <c r="Y4373" i="1"/>
  <c r="M4373" i="1"/>
  <c r="AB4372" i="1"/>
  <c r="O4372" i="1"/>
  <c r="R4372" i="1"/>
  <c r="S4372" i="1"/>
  <c r="T4372" i="1"/>
  <c r="V4372" i="1"/>
  <c r="W4372" i="1"/>
  <c r="Y4372" i="1"/>
  <c r="M4372" i="1"/>
  <c r="R4371" i="1"/>
  <c r="Y4371" i="1"/>
  <c r="M4371" i="1"/>
  <c r="W4370" i="1"/>
  <c r="Y4370" i="1"/>
  <c r="M4370" i="1"/>
  <c r="O4369" i="1"/>
  <c r="M4369" i="1"/>
  <c r="O4368" i="1"/>
  <c r="W4368" i="1"/>
  <c r="X4368" i="1"/>
  <c r="Y4368" i="1"/>
  <c r="O4367" i="1"/>
  <c r="W4367" i="1"/>
  <c r="X4367" i="1"/>
  <c r="Y4367" i="1"/>
  <c r="O4366" i="1"/>
  <c r="M4366" i="1"/>
  <c r="AB4365" i="1"/>
  <c r="O4365" i="1"/>
  <c r="V4365" i="1"/>
  <c r="W4365" i="1"/>
  <c r="X4365" i="1"/>
  <c r="Y4365" i="1"/>
  <c r="M4365" i="1"/>
  <c r="M4364" i="1"/>
  <c r="V4363" i="1"/>
  <c r="M4363" i="1"/>
  <c r="M4362" i="1"/>
  <c r="M4361" i="1"/>
  <c r="U4360" i="1"/>
  <c r="M4360" i="1"/>
  <c r="M273" i="17"/>
  <c r="O1156" i="1"/>
  <c r="O4239" i="1"/>
  <c r="U4239" i="1"/>
  <c r="W4239" i="1"/>
  <c r="Y4239" i="1"/>
  <c r="M4239" i="1"/>
  <c r="M4238" i="1"/>
  <c r="M4237" i="1"/>
  <c r="M4236" i="1"/>
  <c r="Y4235" i="1"/>
  <c r="M4235" i="1"/>
  <c r="Y4234" i="1"/>
  <c r="M4234" i="1"/>
  <c r="M4233" i="1"/>
  <c r="M4232" i="1"/>
  <c r="M4231" i="1"/>
  <c r="M4230" i="1"/>
  <c r="O4227" i="1"/>
  <c r="U4227" i="1"/>
  <c r="M4227" i="1"/>
  <c r="O4226" i="1"/>
  <c r="R4226" i="1"/>
  <c r="U4226" i="1"/>
  <c r="W4226" i="1"/>
  <c r="X4226" i="1"/>
  <c r="Y4226" i="1"/>
  <c r="M4226" i="1"/>
  <c r="U4225" i="1"/>
  <c r="V4225" i="1"/>
  <c r="W4225" i="1"/>
  <c r="X4225" i="1"/>
  <c r="Y4225" i="1"/>
  <c r="M4225" i="1"/>
  <c r="U4224" i="1"/>
  <c r="V4224" i="1"/>
  <c r="W4224" i="1"/>
  <c r="X4224" i="1"/>
  <c r="Y4224" i="1"/>
  <c r="M4224" i="1"/>
  <c r="O4221" i="1"/>
  <c r="T4221" i="1"/>
  <c r="U4221" i="1"/>
  <c r="W4221" i="1"/>
  <c r="Y4221" i="1"/>
  <c r="M4221" i="1"/>
  <c r="O4218" i="1"/>
  <c r="U4218" i="1"/>
  <c r="Y4218" i="1"/>
  <c r="M4218" i="1"/>
  <c r="S4217" i="1"/>
  <c r="T4217" i="1"/>
  <c r="M4217" i="1"/>
  <c r="V4216" i="1"/>
  <c r="W4216" i="1"/>
  <c r="Y4216" i="1"/>
  <c r="M4216" i="1"/>
  <c r="O4215" i="1"/>
  <c r="Y4215" i="1"/>
  <c r="M4215" i="1"/>
  <c r="Y4214" i="1"/>
  <c r="M4214" i="1"/>
  <c r="O4208" i="1"/>
  <c r="R4205" i="1"/>
  <c r="M4205" i="1"/>
  <c r="R4204" i="1"/>
  <c r="M4204" i="1"/>
  <c r="V4203" i="1"/>
  <c r="M4203" i="1"/>
  <c r="U4202" i="1"/>
  <c r="M4202" i="1"/>
  <c r="M4198" i="1"/>
  <c r="M4197" i="1"/>
  <c r="M4196" i="1"/>
  <c r="M4195" i="1"/>
  <c r="M4194" i="1"/>
  <c r="M4193" i="1"/>
  <c r="M4192" i="1"/>
  <c r="M4191" i="1"/>
  <c r="M4190" i="1"/>
  <c r="M4189" i="1"/>
  <c r="M4185" i="1"/>
  <c r="R4184" i="1"/>
  <c r="M4184" i="1"/>
  <c r="M4176" i="1"/>
  <c r="U4173" i="1"/>
  <c r="M4173" i="1"/>
  <c r="M4170" i="1"/>
  <c r="M4166" i="1"/>
  <c r="M4165" i="1"/>
  <c r="W4164" i="1"/>
  <c r="M4164" i="1"/>
  <c r="M4159" i="1"/>
  <c r="M4158" i="1"/>
  <c r="M4155" i="1"/>
  <c r="M4154" i="1"/>
  <c r="R4119" i="1"/>
  <c r="M4119" i="1"/>
  <c r="M4118" i="1"/>
  <c r="M4117" i="1"/>
  <c r="U4116" i="1"/>
  <c r="M4116" i="1"/>
  <c r="V3419" i="1"/>
  <c r="W3419" i="1"/>
  <c r="X3419" i="1"/>
  <c r="Y3419" i="1"/>
  <c r="O3418" i="1"/>
  <c r="T3418" i="1"/>
  <c r="U3418" i="1"/>
  <c r="W3418" i="1"/>
  <c r="X3418" i="1"/>
  <c r="Y3418" i="1"/>
  <c r="M3418" i="1"/>
  <c r="M3417" i="1"/>
  <c r="O3416" i="1"/>
  <c r="S3416" i="1"/>
  <c r="M3416" i="1"/>
  <c r="O3415" i="1"/>
  <c r="R3415" i="1"/>
  <c r="Y3415" i="1"/>
  <c r="M3415" i="1"/>
  <c r="O3414" i="1"/>
  <c r="R3414" i="1"/>
  <c r="M3414" i="1"/>
  <c r="O3413" i="1"/>
  <c r="R3413" i="1"/>
  <c r="Y3413" i="1"/>
  <c r="M3413" i="1"/>
  <c r="O3412" i="1"/>
  <c r="Y3412" i="1"/>
  <c r="M3412" i="1"/>
  <c r="O3411" i="1"/>
  <c r="Y3411" i="1"/>
  <c r="M3411" i="1"/>
  <c r="X3410" i="1"/>
  <c r="Y3410" i="1"/>
  <c r="M3410" i="1"/>
  <c r="O3409" i="1"/>
  <c r="M3409" i="1"/>
  <c r="O3408" i="1"/>
  <c r="Y3408" i="1"/>
  <c r="O3407" i="1"/>
  <c r="R3407" i="1"/>
  <c r="M3407" i="1"/>
  <c r="O3406" i="1"/>
  <c r="R3406" i="1"/>
  <c r="W3406" i="1"/>
  <c r="Y3406" i="1"/>
  <c r="M3406" i="1"/>
  <c r="S3118" i="1"/>
  <c r="T3118" i="1"/>
  <c r="Y3118" i="1"/>
  <c r="M3118" i="1"/>
  <c r="O3117" i="1"/>
  <c r="T3117" i="1"/>
  <c r="Y3117" i="1"/>
  <c r="M3117" i="1"/>
  <c r="O3114" i="1"/>
  <c r="W3114" i="1"/>
  <c r="M3114" i="1"/>
  <c r="O3113" i="1"/>
  <c r="T3113" i="1"/>
  <c r="W3113" i="1"/>
  <c r="Y3113" i="1"/>
  <c r="M3113" i="1"/>
  <c r="O3112" i="1"/>
  <c r="V3112" i="1"/>
  <c r="M3112" i="1"/>
  <c r="O3111" i="1"/>
  <c r="V3111" i="1"/>
  <c r="M3111" i="1"/>
  <c r="O3110" i="1"/>
  <c r="T3110" i="1"/>
  <c r="U3110" i="1"/>
  <c r="W3110" i="1"/>
  <c r="M3110" i="1"/>
  <c r="O3109" i="1"/>
  <c r="U3109" i="1"/>
  <c r="M3109" i="1"/>
  <c r="O3108" i="1"/>
  <c r="Y3108" i="1"/>
  <c r="M3108" i="1"/>
  <c r="O3107" i="1"/>
  <c r="Y3107" i="1"/>
  <c r="M3107" i="1"/>
  <c r="AT3106" i="1"/>
  <c r="O3106" i="1"/>
  <c r="M3106" i="1"/>
  <c r="AT3105" i="1"/>
  <c r="O3105" i="1"/>
  <c r="M3105" i="1"/>
  <c r="O3104" i="1"/>
  <c r="S3104" i="1"/>
  <c r="T3104" i="1"/>
  <c r="W3104" i="1"/>
  <c r="Y3104" i="1"/>
  <c r="O3103" i="1"/>
  <c r="S3103" i="1"/>
  <c r="T3103" i="1"/>
  <c r="W3103" i="1"/>
  <c r="Y3103" i="1"/>
  <c r="O3102" i="1"/>
  <c r="T3102" i="1"/>
  <c r="W3102" i="1"/>
  <c r="Y3102" i="1"/>
  <c r="T3101" i="1"/>
  <c r="T3100" i="1"/>
  <c r="V3100" i="1"/>
  <c r="W3100" i="1"/>
  <c r="V3098" i="1"/>
  <c r="M3098" i="1"/>
  <c r="O3097" i="1"/>
  <c r="S3097" i="1"/>
  <c r="T3097" i="1"/>
  <c r="U3097" i="1"/>
  <c r="W3097" i="1"/>
  <c r="Y3097" i="1"/>
  <c r="O3096" i="1"/>
  <c r="S3096" i="1"/>
  <c r="T3096" i="1"/>
  <c r="U3096" i="1"/>
  <c r="W3096" i="1"/>
  <c r="Y3096" i="1"/>
  <c r="O3095" i="1"/>
  <c r="S3095" i="1"/>
  <c r="U3095" i="1"/>
  <c r="W3095" i="1"/>
  <c r="Y3095" i="1"/>
  <c r="O3094" i="1"/>
  <c r="M3094" i="1"/>
  <c r="O3093" i="1"/>
  <c r="M3093" i="1"/>
  <c r="O3092" i="1"/>
  <c r="T3092" i="1"/>
  <c r="U3092" i="1"/>
  <c r="W3092" i="1"/>
  <c r="Y3092" i="1"/>
  <c r="M3092" i="1"/>
  <c r="AE3091" i="1"/>
  <c r="O3091" i="1"/>
  <c r="M3091" i="1"/>
  <c r="O3090" i="1"/>
  <c r="T3090" i="1"/>
  <c r="U3090" i="1"/>
  <c r="W3090" i="1"/>
  <c r="X3090" i="1"/>
  <c r="Y3090" i="1"/>
  <c r="M3090" i="1"/>
  <c r="O3089" i="1"/>
  <c r="T3089" i="1"/>
  <c r="W3089" i="1"/>
  <c r="Y3089" i="1"/>
  <c r="M3089" i="1"/>
  <c r="O3088" i="1"/>
  <c r="W3088" i="1"/>
  <c r="M3088" i="1"/>
  <c r="O3087" i="1"/>
  <c r="T3087" i="1"/>
  <c r="U3087" i="1"/>
  <c r="W3087" i="1"/>
  <c r="M3087" i="1"/>
  <c r="O3086" i="1"/>
  <c r="T3086" i="1"/>
  <c r="U3086" i="1"/>
  <c r="V3086" i="1"/>
  <c r="W3086" i="1"/>
  <c r="X3086" i="1"/>
  <c r="M3086" i="1"/>
  <c r="O3085" i="1"/>
  <c r="W3085" i="1"/>
  <c r="Y3085" i="1"/>
  <c r="M3085" i="1"/>
  <c r="O3084" i="1"/>
  <c r="M3084" i="1"/>
  <c r="O3083" i="1"/>
  <c r="U3083" i="1"/>
  <c r="Y3083" i="1"/>
  <c r="M3083" i="1"/>
  <c r="O3082" i="1"/>
  <c r="Y3082" i="1"/>
  <c r="M3082" i="1"/>
  <c r="O3081" i="1"/>
  <c r="Y3081" i="1"/>
  <c r="M3081" i="1"/>
  <c r="O3080" i="1"/>
  <c r="Y3080" i="1"/>
  <c r="M3080" i="1"/>
  <c r="S3079" i="1"/>
  <c r="V3079" i="1"/>
  <c r="W3079" i="1"/>
  <c r="M3079" i="1"/>
  <c r="BZ3078" i="1"/>
  <c r="O3078" i="1"/>
  <c r="S3078" i="1"/>
  <c r="T3078" i="1"/>
  <c r="W3078" i="1"/>
  <c r="Y3078" i="1"/>
  <c r="M3078" i="1"/>
  <c r="O3077" i="1"/>
  <c r="T3077" i="1"/>
  <c r="U3077" i="1"/>
  <c r="Y3077" i="1"/>
  <c r="M3077" i="1"/>
  <c r="O3076" i="1"/>
  <c r="T3076" i="1"/>
  <c r="U3076" i="1"/>
  <c r="W3076" i="1"/>
  <c r="X3076" i="1"/>
  <c r="Y3076" i="1"/>
  <c r="M3076" i="1"/>
  <c r="T3075" i="1"/>
  <c r="O3074" i="1"/>
  <c r="T3074" i="1"/>
  <c r="T3073" i="1"/>
  <c r="Y3073" i="1"/>
  <c r="AB3072" i="1"/>
  <c r="O3072" i="1"/>
  <c r="R3072" i="1"/>
  <c r="S3072" i="1"/>
  <c r="U3072" i="1"/>
  <c r="V3072" i="1"/>
  <c r="M3072" i="1"/>
  <c r="O3071" i="1"/>
  <c r="T3071" i="1"/>
  <c r="U3071" i="1"/>
  <c r="W3071" i="1"/>
  <c r="X3071" i="1"/>
  <c r="Y3071" i="1"/>
  <c r="M3071" i="1"/>
  <c r="O3070" i="1"/>
  <c r="T3070" i="1"/>
  <c r="W3070" i="1"/>
  <c r="Y3070" i="1"/>
  <c r="M3070" i="1"/>
  <c r="O3069" i="1"/>
  <c r="M3069" i="1"/>
  <c r="O3068" i="1"/>
  <c r="V3068" i="1"/>
  <c r="M3068" i="1"/>
  <c r="O3067" i="1"/>
  <c r="M3067" i="1"/>
  <c r="M3066" i="1"/>
  <c r="O3065" i="1"/>
  <c r="V3065" i="1"/>
  <c r="M3065" i="1"/>
  <c r="O3064" i="1"/>
  <c r="V3064" i="1"/>
  <c r="M3064" i="1"/>
  <c r="O3063" i="1"/>
  <c r="M3063" i="1"/>
  <c r="O3062" i="1"/>
  <c r="T3062" i="1"/>
  <c r="U3062" i="1"/>
  <c r="V3062" i="1"/>
  <c r="W3062" i="1"/>
  <c r="O3061" i="1"/>
  <c r="R3061" i="1"/>
  <c r="T3061" i="1"/>
  <c r="U3061" i="1"/>
  <c r="V3061" i="1"/>
  <c r="W3061" i="1"/>
  <c r="Y3061" i="1"/>
  <c r="O3060" i="1"/>
  <c r="R3060" i="1"/>
  <c r="T3060" i="1"/>
  <c r="U3060" i="1"/>
  <c r="W3060" i="1"/>
  <c r="Y3060" i="1"/>
  <c r="O3059" i="1"/>
  <c r="R3059" i="1"/>
  <c r="T3059" i="1"/>
  <c r="U3059" i="1"/>
  <c r="W3059" i="1"/>
  <c r="X3059" i="1"/>
  <c r="Y3059" i="1"/>
  <c r="M3059" i="1"/>
  <c r="O3058" i="1"/>
  <c r="R3058" i="1"/>
  <c r="T3058" i="1"/>
  <c r="U3058" i="1"/>
  <c r="W3058" i="1"/>
  <c r="Y3058" i="1"/>
  <c r="M3058" i="1"/>
  <c r="O3057" i="1"/>
  <c r="R3057" i="1"/>
  <c r="W3057" i="1"/>
  <c r="Y3057" i="1"/>
  <c r="O3055" i="1"/>
  <c r="Y3055" i="1"/>
  <c r="O3054" i="1"/>
  <c r="Y3054" i="1"/>
  <c r="M3054" i="1"/>
  <c r="Y3053" i="1"/>
  <c r="M3053" i="1"/>
  <c r="O3052" i="1"/>
  <c r="Y3052" i="1"/>
  <c r="M3052" i="1"/>
  <c r="O3051" i="1"/>
  <c r="W3051" i="1"/>
  <c r="Y3051" i="1"/>
  <c r="M3051" i="1"/>
  <c r="O3050" i="1"/>
  <c r="R3050" i="1"/>
  <c r="S3050" i="1"/>
  <c r="T3050" i="1"/>
  <c r="U3050" i="1"/>
  <c r="W3050" i="1"/>
  <c r="Y3050" i="1"/>
  <c r="M3050" i="1"/>
  <c r="O3049" i="1"/>
  <c r="R3049" i="1"/>
  <c r="M3049" i="1"/>
  <c r="O3048" i="1"/>
  <c r="T3048" i="1"/>
  <c r="U3048" i="1"/>
  <c r="W3048" i="1"/>
  <c r="Y3048" i="1"/>
  <c r="M3048" i="1"/>
  <c r="O3047" i="1"/>
  <c r="S3047" i="1"/>
  <c r="T3047" i="1"/>
  <c r="W3047" i="1"/>
  <c r="Y3047" i="1"/>
  <c r="M3047" i="1"/>
  <c r="O2908" i="1"/>
  <c r="W2908" i="1"/>
  <c r="Y2908" i="1"/>
  <c r="M2908" i="1"/>
  <c r="O2907" i="1"/>
  <c r="Y2907" i="1"/>
  <c r="M2907" i="1"/>
  <c r="O2906" i="1"/>
  <c r="M2906" i="1"/>
  <c r="O2905" i="1"/>
  <c r="O2904" i="1"/>
  <c r="Y2904" i="1"/>
  <c r="O2903" i="1"/>
  <c r="T2903" i="1"/>
  <c r="U2903" i="1"/>
  <c r="Y2903" i="1"/>
  <c r="M2903" i="1"/>
  <c r="X2902" i="1"/>
  <c r="Y2902" i="1"/>
  <c r="M2902" i="1"/>
  <c r="O2901" i="1"/>
  <c r="Y2901" i="1"/>
  <c r="M2901" i="1"/>
  <c r="AB2900" i="1"/>
  <c r="V2900" i="1"/>
  <c r="W2900" i="1"/>
  <c r="Y2900" i="1"/>
  <c r="M2900" i="1"/>
  <c r="T2899" i="1"/>
  <c r="W2899" i="1"/>
  <c r="Y2899" i="1"/>
  <c r="M2899" i="1"/>
  <c r="O2898" i="1"/>
  <c r="V2898" i="1"/>
  <c r="Y2898" i="1"/>
  <c r="M2898" i="1"/>
  <c r="M4149" i="1"/>
  <c r="M4148" i="1"/>
  <c r="M4147" i="1"/>
  <c r="M4138" i="1"/>
  <c r="M4137" i="1"/>
  <c r="M4136" i="1"/>
  <c r="M4135" i="1"/>
  <c r="M4133" i="1"/>
  <c r="M4123" i="1"/>
  <c r="M4114" i="1"/>
  <c r="M4113" i="1"/>
  <c r="M4111" i="1"/>
  <c r="X442" i="20"/>
  <c r="O442" i="20"/>
  <c r="O111" i="23"/>
  <c r="O110" i="23"/>
  <c r="W108" i="23"/>
  <c r="AE107" i="23"/>
  <c r="AE106" i="23"/>
  <c r="AE105" i="23"/>
  <c r="AE103" i="23"/>
  <c r="AE100" i="23"/>
  <c r="AE99" i="23"/>
  <c r="AE98" i="23"/>
  <c r="T98" i="23"/>
  <c r="AE97" i="23"/>
  <c r="AE96" i="23"/>
  <c r="W94" i="23"/>
  <c r="O93" i="23"/>
  <c r="Y93" i="23"/>
  <c r="O92" i="23"/>
  <c r="T92" i="23"/>
  <c r="Y92" i="23"/>
  <c r="O91" i="23"/>
  <c r="Y91" i="23"/>
  <c r="O90" i="23"/>
  <c r="Y90" i="23"/>
  <c r="O89" i="23"/>
  <c r="Y89" i="23"/>
  <c r="O88" i="23"/>
  <c r="Y88" i="23"/>
  <c r="O87" i="23"/>
  <c r="Y87" i="23"/>
  <c r="Y86" i="23"/>
  <c r="O85" i="23"/>
  <c r="Y85" i="23"/>
  <c r="O84" i="23"/>
  <c r="V84" i="23"/>
  <c r="Y84" i="23"/>
  <c r="O83" i="23"/>
  <c r="Y83" i="23"/>
  <c r="O82" i="23"/>
  <c r="AJ81" i="23"/>
  <c r="O81" i="23"/>
  <c r="S81" i="23"/>
  <c r="U81" i="23"/>
  <c r="O80" i="23"/>
  <c r="R79" i="23"/>
  <c r="O79" i="23"/>
  <c r="O78" i="23"/>
  <c r="R78" i="23"/>
  <c r="S78" i="23"/>
  <c r="Y78" i="23"/>
  <c r="O77" i="23"/>
  <c r="R77" i="23"/>
  <c r="S77" i="23"/>
  <c r="U75" i="23"/>
  <c r="O74" i="23"/>
  <c r="T72" i="23"/>
  <c r="O70" i="23"/>
  <c r="U70" i="23"/>
  <c r="Y70" i="23"/>
  <c r="O69" i="23"/>
  <c r="O68" i="23"/>
  <c r="T68" i="23"/>
  <c r="Y68" i="23"/>
  <c r="O67" i="23"/>
  <c r="U67" i="23"/>
  <c r="O66" i="23"/>
  <c r="T66" i="23"/>
  <c r="U66" i="23"/>
  <c r="Y66" i="23"/>
  <c r="AD64" i="23"/>
  <c r="O64" i="23"/>
  <c r="AD63" i="23"/>
  <c r="O63" i="23"/>
  <c r="AD62" i="23"/>
  <c r="O62" i="23"/>
  <c r="AD61" i="23"/>
  <c r="O61" i="23"/>
  <c r="AD60" i="23"/>
  <c r="O60" i="23"/>
  <c r="AD59" i="23"/>
  <c r="O59" i="23"/>
  <c r="V59" i="23"/>
  <c r="Y59" i="23"/>
  <c r="W59" i="23"/>
  <c r="AD58" i="23"/>
  <c r="O58" i="23"/>
  <c r="U58" i="23"/>
  <c r="Y58" i="23"/>
  <c r="W58" i="23"/>
  <c r="O57" i="23"/>
  <c r="R57" i="23"/>
  <c r="S57" i="23"/>
  <c r="Y57" i="23"/>
  <c r="O56" i="23"/>
  <c r="R56" i="23"/>
  <c r="Y56" i="23"/>
  <c r="Y55" i="23"/>
  <c r="S54" i="23"/>
  <c r="S53" i="23"/>
  <c r="O52" i="23"/>
  <c r="S52" i="23"/>
  <c r="U52" i="23"/>
  <c r="Y52" i="23"/>
  <c r="O51" i="23"/>
  <c r="S51" i="23"/>
  <c r="U51" i="23"/>
  <c r="O50" i="23"/>
  <c r="S50" i="23"/>
  <c r="U50" i="23"/>
  <c r="Y50" i="23"/>
  <c r="W50" i="23"/>
  <c r="O49" i="23"/>
  <c r="S49" i="23"/>
  <c r="O48" i="23"/>
  <c r="U48" i="23"/>
  <c r="M47" i="23"/>
  <c r="M46" i="23"/>
  <c r="M45" i="23"/>
  <c r="M44" i="23"/>
  <c r="M43" i="23"/>
  <c r="M42" i="23"/>
  <c r="M41" i="23"/>
  <c r="M40" i="23"/>
  <c r="R39" i="23"/>
  <c r="M39" i="23"/>
  <c r="M38" i="23"/>
  <c r="Y37" i="23"/>
  <c r="M37" i="23"/>
  <c r="M36" i="23"/>
  <c r="O35" i="23"/>
  <c r="M35" i="23"/>
  <c r="O34" i="23"/>
  <c r="M34" i="23"/>
  <c r="O33" i="23"/>
  <c r="U33" i="23"/>
  <c r="M33" i="23"/>
  <c r="O32" i="23"/>
  <c r="U32" i="23"/>
  <c r="M32" i="23"/>
  <c r="O31" i="23"/>
  <c r="R31" i="23"/>
  <c r="M31" i="23"/>
  <c r="O30" i="23"/>
  <c r="Y30" i="23"/>
  <c r="M30" i="23"/>
  <c r="O29" i="23"/>
  <c r="M29" i="23"/>
  <c r="O28" i="23"/>
  <c r="M28" i="23"/>
  <c r="O27" i="23"/>
  <c r="M27" i="23"/>
  <c r="O26" i="23"/>
  <c r="M26" i="23"/>
  <c r="R25" i="23"/>
  <c r="M25" i="23"/>
  <c r="O24" i="23"/>
  <c r="R24" i="23"/>
  <c r="M24" i="23"/>
  <c r="R23" i="23"/>
  <c r="R22" i="23"/>
  <c r="S22" i="23"/>
  <c r="O21" i="23"/>
  <c r="T21" i="23"/>
  <c r="O20" i="23"/>
  <c r="O19" i="23"/>
  <c r="O18" i="23"/>
  <c r="O16" i="23"/>
  <c r="T16" i="23"/>
  <c r="O15" i="23"/>
  <c r="Y14" i="23"/>
  <c r="T13" i="23"/>
  <c r="Y13" i="23"/>
  <c r="O12" i="23"/>
  <c r="Y12" i="23"/>
  <c r="O11" i="23"/>
  <c r="Y11" i="23"/>
  <c r="Y10" i="23"/>
  <c r="O9" i="23"/>
  <c r="Y9" i="23"/>
  <c r="O7" i="23"/>
  <c r="O6" i="23"/>
  <c r="Y6" i="23"/>
  <c r="T5" i="23"/>
  <c r="Y4" i="23"/>
  <c r="O2" i="23"/>
  <c r="T2" i="23"/>
  <c r="AF343" i="22"/>
  <c r="AE343" i="22"/>
  <c r="O343" i="22"/>
  <c r="S343" i="22"/>
  <c r="T343" i="22"/>
  <c r="U343" i="22"/>
  <c r="V343" i="22"/>
  <c r="Y343" i="22"/>
  <c r="AF342" i="22"/>
  <c r="O342" i="22"/>
  <c r="T342" i="22"/>
  <c r="U342" i="22"/>
  <c r="Y342" i="22"/>
  <c r="O341" i="22"/>
  <c r="Y341" i="22"/>
  <c r="O340" i="22"/>
  <c r="Y340" i="22"/>
  <c r="O339" i="22"/>
  <c r="R339" i="22"/>
  <c r="Y339" i="22"/>
  <c r="O338" i="22"/>
  <c r="Y338" i="22"/>
  <c r="O337" i="22"/>
  <c r="V337" i="22"/>
  <c r="Y337" i="22"/>
  <c r="O336" i="22"/>
  <c r="O335" i="22"/>
  <c r="O334" i="22"/>
  <c r="Y334" i="22"/>
  <c r="O333" i="22"/>
  <c r="Y333" i="22"/>
  <c r="O331" i="22"/>
  <c r="O330" i="22"/>
  <c r="M329" i="22"/>
  <c r="M328" i="22"/>
  <c r="M327" i="22"/>
  <c r="M326" i="22"/>
  <c r="M325" i="22"/>
  <c r="M324" i="22"/>
  <c r="M323" i="22"/>
  <c r="M322" i="22"/>
  <c r="O321" i="22"/>
  <c r="M321" i="22"/>
  <c r="O320" i="22"/>
  <c r="M320" i="22"/>
  <c r="AA319" i="22"/>
  <c r="Z319" i="22"/>
  <c r="O319" i="22"/>
  <c r="M319" i="22"/>
  <c r="O318" i="22"/>
  <c r="M318" i="22"/>
  <c r="O317" i="22"/>
  <c r="M317" i="22"/>
  <c r="O316" i="22"/>
  <c r="M316" i="22"/>
  <c r="M315" i="22"/>
  <c r="O314" i="22"/>
  <c r="Y314" i="22"/>
  <c r="M314" i="22"/>
  <c r="O313" i="22"/>
  <c r="Y313" i="22"/>
  <c r="M313" i="22"/>
  <c r="Y312" i="22"/>
  <c r="M312" i="22"/>
  <c r="O311" i="22"/>
  <c r="Y311" i="22"/>
  <c r="W311" i="22"/>
  <c r="M311" i="22"/>
  <c r="O310" i="22"/>
  <c r="M310" i="22"/>
  <c r="Y309" i="22"/>
  <c r="M309" i="22"/>
  <c r="AA308" i="22"/>
  <c r="M308" i="22"/>
  <c r="O306" i="22"/>
  <c r="S306" i="22"/>
  <c r="U306" i="22"/>
  <c r="X306" i="22"/>
  <c r="Y306" i="22"/>
  <c r="M306" i="22"/>
  <c r="M305" i="22"/>
  <c r="M304" i="22"/>
  <c r="O303" i="22"/>
  <c r="V303" i="22"/>
  <c r="Y303" i="22"/>
  <c r="M303" i="22"/>
  <c r="O302" i="22"/>
  <c r="R302" i="22"/>
  <c r="Y302" i="22"/>
  <c r="O301" i="22"/>
  <c r="Y301" i="22"/>
  <c r="M301" i="22"/>
  <c r="O300" i="22"/>
  <c r="R300" i="22"/>
  <c r="M300" i="22"/>
  <c r="O299" i="22"/>
  <c r="M299" i="22"/>
  <c r="O298" i="22"/>
  <c r="T298" i="22"/>
  <c r="U298" i="22"/>
  <c r="Y298" i="22"/>
  <c r="M298" i="22"/>
  <c r="O297" i="22"/>
  <c r="M297" i="22"/>
  <c r="O296" i="22"/>
  <c r="Y296" i="22"/>
  <c r="M296" i="22"/>
  <c r="O295" i="22"/>
  <c r="AF294" i="22"/>
  <c r="AE294" i="22"/>
  <c r="AB294" i="22"/>
  <c r="O294" i="22"/>
  <c r="T294" i="22"/>
  <c r="Y294" i="22"/>
  <c r="M294" i="22"/>
  <c r="O293" i="22"/>
  <c r="M293" i="22"/>
  <c r="M292" i="22"/>
  <c r="M291" i="22"/>
  <c r="O290" i="22"/>
  <c r="O289" i="22"/>
  <c r="O288" i="22"/>
  <c r="O287" i="22"/>
  <c r="M287" i="22"/>
  <c r="O286" i="22"/>
  <c r="M286" i="22"/>
  <c r="O285" i="22"/>
  <c r="M285" i="22"/>
  <c r="O284" i="22"/>
  <c r="M284" i="22"/>
  <c r="O283" i="22"/>
  <c r="R283" i="22"/>
  <c r="S283" i="22"/>
  <c r="M283" i="22"/>
  <c r="M282" i="22"/>
  <c r="O281" i="22"/>
  <c r="X281" i="22"/>
  <c r="Y281" i="22"/>
  <c r="M281" i="22"/>
  <c r="O280" i="22"/>
  <c r="Y280" i="22"/>
  <c r="W280" i="22"/>
  <c r="O279" i="22"/>
  <c r="M279" i="22"/>
  <c r="O278" i="22"/>
  <c r="M278" i="22"/>
  <c r="O277" i="22"/>
  <c r="M277" i="22"/>
  <c r="O276" i="22"/>
  <c r="M276" i="22"/>
  <c r="O275" i="22"/>
  <c r="M275" i="22"/>
  <c r="M274" i="22"/>
  <c r="AG273" i="22"/>
  <c r="M273" i="22"/>
  <c r="O272" i="22"/>
  <c r="M272" i="22"/>
  <c r="Y271" i="22"/>
  <c r="M271" i="22"/>
  <c r="M270" i="22"/>
  <c r="O269" i="22"/>
  <c r="M269" i="22"/>
  <c r="T268" i="22"/>
  <c r="M268" i="22"/>
  <c r="O267" i="22"/>
  <c r="M267" i="22"/>
  <c r="O266" i="22"/>
  <c r="M265" i="22"/>
  <c r="AF264" i="22"/>
  <c r="O264" i="22"/>
  <c r="O263" i="22"/>
  <c r="V262" i="22"/>
  <c r="Y262" i="22"/>
  <c r="M261" i="22"/>
  <c r="M260" i="22"/>
  <c r="O259" i="22"/>
  <c r="M259" i="22"/>
  <c r="O256" i="22"/>
  <c r="AF255" i="22"/>
  <c r="O255" i="22"/>
  <c r="U255" i="22"/>
  <c r="Y255" i="22"/>
  <c r="O254" i="22"/>
  <c r="O253" i="22"/>
  <c r="O252" i="22"/>
  <c r="U252" i="22"/>
  <c r="T251" i="22"/>
  <c r="Y251" i="22"/>
  <c r="T250" i="22"/>
  <c r="O249" i="22"/>
  <c r="O248" i="22"/>
  <c r="U248" i="22"/>
  <c r="Y248" i="22"/>
  <c r="O247" i="22"/>
  <c r="O246" i="22"/>
  <c r="Y244" i="22"/>
  <c r="AF243" i="22"/>
  <c r="O243" i="22"/>
  <c r="X243" i="22"/>
  <c r="Y243" i="22"/>
  <c r="W243" i="22"/>
  <c r="O242" i="22"/>
  <c r="W242" i="22"/>
  <c r="O241" i="22"/>
  <c r="T241" i="22"/>
  <c r="U241" i="22"/>
  <c r="X241" i="22"/>
  <c r="Y241" i="22"/>
  <c r="W241" i="22"/>
  <c r="O240" i="22"/>
  <c r="Y240" i="22"/>
  <c r="W240" i="22"/>
  <c r="O239" i="22"/>
  <c r="W239" i="22"/>
  <c r="O238" i="22"/>
  <c r="T238" i="22"/>
  <c r="Y238" i="22"/>
  <c r="W238" i="22"/>
  <c r="O236" i="22"/>
  <c r="T236" i="22"/>
  <c r="U236" i="22"/>
  <c r="X236" i="22"/>
  <c r="Y236" i="22"/>
  <c r="W236" i="22"/>
  <c r="O235" i="22"/>
  <c r="T235" i="22"/>
  <c r="U235" i="22"/>
  <c r="X235" i="22"/>
  <c r="Y235" i="22"/>
  <c r="W235" i="22"/>
  <c r="W234" i="22"/>
  <c r="X234" i="22"/>
  <c r="Y234" i="22"/>
  <c r="AG231" i="22"/>
  <c r="O230" i="22"/>
  <c r="T230" i="22"/>
  <c r="U230" i="22"/>
  <c r="X230" i="22"/>
  <c r="Y230" i="22"/>
  <c r="W230" i="22"/>
  <c r="O229" i="22"/>
  <c r="T229" i="22"/>
  <c r="U229" i="22"/>
  <c r="X229" i="22"/>
  <c r="Y229" i="22"/>
  <c r="W229" i="22"/>
  <c r="W228" i="22"/>
  <c r="X228" i="22"/>
  <c r="Y228" i="22"/>
  <c r="O226" i="22"/>
  <c r="O225" i="22"/>
  <c r="O224" i="22"/>
  <c r="O222" i="22"/>
  <c r="U222" i="22"/>
  <c r="O221" i="22"/>
  <c r="T221" i="22"/>
  <c r="U221" i="22"/>
  <c r="Y221" i="22"/>
  <c r="AG220" i="22"/>
  <c r="O219" i="22"/>
  <c r="R219" i="22"/>
  <c r="S219" i="22"/>
  <c r="Y219" i="22"/>
  <c r="O218" i="22"/>
  <c r="Y218" i="22"/>
  <c r="O217" i="22"/>
  <c r="S217" i="22"/>
  <c r="Y217" i="22"/>
  <c r="O215" i="22"/>
  <c r="Y215" i="22"/>
  <c r="AF214" i="22"/>
  <c r="S214" i="22"/>
  <c r="O213" i="22"/>
  <c r="AF212" i="22"/>
  <c r="O212" i="22"/>
  <c r="X212" i="22"/>
  <c r="Y212" i="22"/>
  <c r="O211" i="22"/>
  <c r="O210" i="22"/>
  <c r="Y210" i="22"/>
  <c r="AG209" i="22"/>
  <c r="O208" i="22"/>
  <c r="AF207" i="22"/>
  <c r="O207" i="22"/>
  <c r="T207" i="22"/>
  <c r="AF206" i="22"/>
  <c r="O206" i="22"/>
  <c r="T206" i="22"/>
  <c r="O202" i="22"/>
  <c r="U202" i="22"/>
  <c r="Y202" i="22"/>
  <c r="AD181" i="22"/>
  <c r="O181" i="22"/>
  <c r="T181" i="22"/>
  <c r="AD180" i="22"/>
  <c r="AF179" i="22"/>
  <c r="AE179" i="22"/>
  <c r="AD179" i="22"/>
  <c r="O179" i="22"/>
  <c r="R179" i="22"/>
  <c r="S179" i="22"/>
  <c r="T179" i="22"/>
  <c r="U179" i="22"/>
  <c r="X179" i="22"/>
  <c r="Y179" i="22"/>
  <c r="W179" i="22"/>
  <c r="O178" i="22"/>
  <c r="S178" i="22"/>
  <c r="AD177" i="22"/>
  <c r="Y177" i="22"/>
  <c r="AD176" i="22"/>
  <c r="AD175" i="22"/>
  <c r="AD174" i="22"/>
  <c r="Y174" i="22"/>
  <c r="V174" i="22"/>
  <c r="U174" i="22"/>
  <c r="T174" i="22"/>
  <c r="S174" i="22"/>
  <c r="R174" i="22"/>
  <c r="O174" i="22"/>
  <c r="AD173" i="22"/>
  <c r="Y173" i="22"/>
  <c r="AD172" i="22"/>
  <c r="O172" i="22"/>
  <c r="Y172" i="22"/>
  <c r="AD171" i="22"/>
  <c r="Y171" i="22"/>
  <c r="AD170" i="22"/>
  <c r="Y170" i="22"/>
  <c r="AD169" i="22"/>
  <c r="O169" i="22"/>
  <c r="Y169" i="22"/>
  <c r="AD168" i="22"/>
  <c r="Y168" i="22"/>
  <c r="AD167" i="22"/>
  <c r="Y167" i="22"/>
  <c r="AI166" i="22"/>
  <c r="AD166" i="22"/>
  <c r="AD165" i="22"/>
  <c r="M165" i="22"/>
  <c r="AD164" i="22"/>
  <c r="O164" i="22"/>
  <c r="Y164" i="22"/>
  <c r="AD163" i="22"/>
  <c r="O163" i="22"/>
  <c r="AD161" i="22"/>
  <c r="O161" i="22"/>
  <c r="T161" i="22"/>
  <c r="Y161" i="22"/>
  <c r="AD160" i="22"/>
  <c r="O160" i="22"/>
  <c r="AD159" i="22"/>
  <c r="O159" i="22"/>
  <c r="Y159" i="22"/>
  <c r="AD158" i="22"/>
  <c r="AD157" i="22"/>
  <c r="AD156" i="22"/>
  <c r="U156" i="22"/>
  <c r="V156" i="22"/>
  <c r="Y155" i="22"/>
  <c r="Y154" i="22"/>
  <c r="AD153" i="22"/>
  <c r="AD152" i="22"/>
  <c r="AD151" i="22"/>
  <c r="AD150" i="22"/>
  <c r="O150" i="22"/>
  <c r="O148" i="22"/>
  <c r="U148" i="22"/>
  <c r="O147" i="22"/>
  <c r="Y147" i="22"/>
  <c r="O146" i="22"/>
  <c r="T146" i="22"/>
  <c r="Y146" i="22"/>
  <c r="O145" i="22"/>
  <c r="AG143" i="22"/>
  <c r="O143" i="22"/>
  <c r="O142" i="22"/>
  <c r="O141" i="22"/>
  <c r="V141" i="22"/>
  <c r="Y141" i="22"/>
  <c r="U140" i="22"/>
  <c r="V140" i="22"/>
  <c r="V139" i="22"/>
  <c r="O138" i="22"/>
  <c r="V138" i="22"/>
  <c r="Y138" i="22"/>
  <c r="O136" i="22"/>
  <c r="AG135" i="22"/>
  <c r="AG134" i="22"/>
  <c r="O134" i="22"/>
  <c r="R134" i="22"/>
  <c r="V134" i="22"/>
  <c r="Y134" i="22"/>
  <c r="M133" i="22"/>
  <c r="O132" i="22"/>
  <c r="M132" i="22"/>
  <c r="O131" i="22"/>
  <c r="U131" i="22"/>
  <c r="X131" i="22"/>
  <c r="M131" i="22"/>
  <c r="O130" i="22"/>
  <c r="M130" i="22"/>
  <c r="O129" i="22"/>
  <c r="M129" i="22"/>
  <c r="AF128" i="22"/>
  <c r="AE128" i="22"/>
  <c r="O128" i="22"/>
  <c r="U128" i="22"/>
  <c r="X128" i="22"/>
  <c r="Y128" i="22"/>
  <c r="O127" i="22"/>
  <c r="Y127" i="22"/>
  <c r="W127" i="22"/>
  <c r="O125" i="22"/>
  <c r="T125" i="22"/>
  <c r="AF124" i="22"/>
  <c r="O124" i="22"/>
  <c r="S124" i="22"/>
  <c r="U124" i="22"/>
  <c r="Y124" i="22"/>
  <c r="M124" i="22"/>
  <c r="AF123" i="22"/>
  <c r="O123" i="22"/>
  <c r="S123" i="22"/>
  <c r="U123" i="22"/>
  <c r="Y123" i="22"/>
  <c r="M123" i="22"/>
  <c r="AF122" i="22"/>
  <c r="O122" i="22"/>
  <c r="R122" i="22"/>
  <c r="S122" i="22"/>
  <c r="U122" i="22"/>
  <c r="Y122" i="22"/>
  <c r="M122" i="22"/>
  <c r="O121" i="22"/>
  <c r="M121" i="22"/>
  <c r="O120" i="22"/>
  <c r="AF119" i="22"/>
  <c r="AE119" i="22"/>
  <c r="O119" i="22"/>
  <c r="Y119" i="22"/>
  <c r="M119" i="22"/>
  <c r="O118" i="22"/>
  <c r="U118" i="22"/>
  <c r="M118" i="22"/>
  <c r="O117" i="22"/>
  <c r="Y117" i="22"/>
  <c r="M117" i="22"/>
  <c r="O116" i="22"/>
  <c r="U116" i="22"/>
  <c r="M116" i="22"/>
  <c r="AF115" i="22"/>
  <c r="O115" i="22"/>
  <c r="M115" i="22"/>
  <c r="O114" i="22"/>
  <c r="M114" i="22"/>
  <c r="O113" i="22"/>
  <c r="M113" i="22"/>
  <c r="O112" i="22"/>
  <c r="M112" i="22"/>
  <c r="O111" i="22"/>
  <c r="M111" i="22"/>
  <c r="O110" i="22"/>
  <c r="M110" i="22"/>
  <c r="O109" i="22"/>
  <c r="U109" i="22"/>
  <c r="O108" i="22"/>
  <c r="Y108" i="22"/>
  <c r="W108" i="22"/>
  <c r="O107" i="22"/>
  <c r="T107" i="22"/>
  <c r="Y107" i="22"/>
  <c r="O106" i="22"/>
  <c r="T106" i="22"/>
  <c r="W106" i="22"/>
  <c r="O105" i="22"/>
  <c r="T105" i="22"/>
  <c r="Y105" i="22"/>
  <c r="W105" i="22"/>
  <c r="O104" i="22"/>
  <c r="T104" i="22"/>
  <c r="X104" i="22"/>
  <c r="Y104" i="22"/>
  <c r="W104" i="22"/>
  <c r="O103" i="22"/>
  <c r="T103" i="22"/>
  <c r="O102" i="22"/>
  <c r="T102" i="22"/>
  <c r="Y102" i="22"/>
  <c r="W102" i="22"/>
  <c r="O101" i="22"/>
  <c r="Y101" i="22"/>
  <c r="AE100" i="22"/>
  <c r="O100" i="22"/>
  <c r="Y100" i="22"/>
  <c r="O99" i="22"/>
  <c r="M99" i="22"/>
  <c r="O98" i="22"/>
  <c r="M98" i="22"/>
  <c r="O97" i="22"/>
  <c r="T97" i="22"/>
  <c r="U97" i="22"/>
  <c r="M97" i="22"/>
  <c r="Y96" i="22"/>
  <c r="AF95" i="22"/>
  <c r="O95" i="22"/>
  <c r="R95" i="22"/>
  <c r="S95" i="22"/>
  <c r="T95" i="22"/>
  <c r="X95" i="22"/>
  <c r="Y95" i="22"/>
  <c r="W95" i="22"/>
  <c r="O94" i="22"/>
  <c r="M94" i="22"/>
  <c r="O93" i="22"/>
  <c r="M93" i="22"/>
  <c r="O92" i="22"/>
  <c r="M92" i="22"/>
  <c r="O91" i="22"/>
  <c r="Y91" i="22"/>
  <c r="W91" i="22"/>
  <c r="O90" i="22"/>
  <c r="O89" i="22"/>
  <c r="M89" i="22"/>
  <c r="O88" i="22"/>
  <c r="M88" i="22"/>
  <c r="O87" i="22"/>
  <c r="M87" i="22"/>
  <c r="M86" i="22"/>
  <c r="O85" i="22"/>
  <c r="M85" i="22"/>
  <c r="M84" i="22"/>
  <c r="M83" i="22"/>
  <c r="O82" i="22"/>
  <c r="T82" i="22"/>
  <c r="U82" i="22"/>
  <c r="Y82" i="22"/>
  <c r="M82" i="22"/>
  <c r="O81" i="22"/>
  <c r="O80" i="22"/>
  <c r="Y80" i="22"/>
  <c r="O79" i="22"/>
  <c r="Y79" i="22"/>
  <c r="O77" i="22"/>
  <c r="O76" i="22"/>
  <c r="O75" i="22"/>
  <c r="AF74" i="22"/>
  <c r="R74" i="22"/>
  <c r="T74" i="22"/>
  <c r="X74" i="22"/>
  <c r="Y74" i="22"/>
  <c r="W74" i="22"/>
  <c r="AF73" i="22"/>
  <c r="R73" i="22"/>
  <c r="T73" i="22"/>
  <c r="X73" i="22"/>
  <c r="Y73" i="22"/>
  <c r="O72" i="22"/>
  <c r="Y72" i="22"/>
  <c r="W72" i="22"/>
  <c r="O71" i="22"/>
  <c r="T71" i="22"/>
  <c r="U71" i="22"/>
  <c r="V71" i="22"/>
  <c r="Y71" i="22"/>
  <c r="AF70" i="22"/>
  <c r="AE70" i="22"/>
  <c r="O70" i="22"/>
  <c r="S70" i="22"/>
  <c r="T70" i="22"/>
  <c r="U70" i="22"/>
  <c r="V70" i="22"/>
  <c r="Y70" i="22"/>
  <c r="O69" i="22"/>
  <c r="U69" i="22"/>
  <c r="V69" i="22"/>
  <c r="O68" i="22"/>
  <c r="T68" i="22"/>
  <c r="U68" i="22"/>
  <c r="V68" i="22"/>
  <c r="AF67" i="22"/>
  <c r="O67" i="22"/>
  <c r="T67" i="22"/>
  <c r="U67" i="22"/>
  <c r="V67" i="22"/>
  <c r="X67" i="22"/>
  <c r="Y67" i="22"/>
  <c r="W67" i="22"/>
  <c r="O66" i="22"/>
  <c r="T66" i="22"/>
  <c r="U66" i="22"/>
  <c r="V66" i="22"/>
  <c r="X66" i="22"/>
  <c r="Y66" i="22"/>
  <c r="W66" i="22"/>
  <c r="O65" i="22"/>
  <c r="T65" i="22"/>
  <c r="U65" i="22"/>
  <c r="V65" i="22"/>
  <c r="X65" i="22"/>
  <c r="Y65" i="22"/>
  <c r="W65" i="22"/>
  <c r="U64" i="22"/>
  <c r="O63" i="22"/>
  <c r="O62" i="22"/>
  <c r="O61" i="22"/>
  <c r="O60" i="22"/>
  <c r="R60" i="22"/>
  <c r="T60" i="22"/>
  <c r="O59" i="22"/>
  <c r="O58" i="22"/>
  <c r="Y58" i="22"/>
  <c r="W58" i="22"/>
  <c r="O57" i="22"/>
  <c r="Y57" i="22"/>
  <c r="U56" i="22"/>
  <c r="O56" i="22"/>
  <c r="AF55" i="22"/>
  <c r="AE55" i="22"/>
  <c r="O55" i="22"/>
  <c r="AF54" i="22"/>
  <c r="O54" i="22"/>
  <c r="AF53" i="22"/>
  <c r="AE53" i="22"/>
  <c r="U53" i="22"/>
  <c r="O53" i="22"/>
  <c r="U52" i="22"/>
  <c r="O52" i="22"/>
  <c r="R49" i="22"/>
  <c r="Y48" i="22"/>
  <c r="O48" i="22"/>
  <c r="O47" i="22"/>
  <c r="O46" i="22"/>
  <c r="AF45" i="22"/>
  <c r="AE45" i="22"/>
  <c r="Y45" i="22"/>
  <c r="W45" i="22"/>
  <c r="T45" i="22"/>
  <c r="R45" i="22"/>
  <c r="O45" i="22"/>
  <c r="AF44" i="22"/>
  <c r="AE44" i="22"/>
  <c r="O44" i="22"/>
  <c r="Y42" i="22"/>
  <c r="U42" i="22"/>
  <c r="O42" i="22"/>
  <c r="Y41" i="22"/>
  <c r="O41" i="22"/>
  <c r="U40" i="22"/>
  <c r="O40" i="22"/>
  <c r="U39" i="22"/>
  <c r="O39" i="22"/>
  <c r="T38" i="22"/>
  <c r="O38" i="22"/>
  <c r="Y37" i="22"/>
  <c r="T37" i="22"/>
  <c r="O37" i="22"/>
  <c r="T36" i="22"/>
  <c r="O36" i="22"/>
  <c r="AF35" i="22"/>
  <c r="AE35" i="22"/>
  <c r="Y35" i="22"/>
  <c r="V35" i="22"/>
  <c r="U35" i="22"/>
  <c r="T35" i="22"/>
  <c r="S35" i="22"/>
  <c r="O35" i="22"/>
  <c r="V34" i="22"/>
  <c r="O32" i="22"/>
  <c r="S32" i="22"/>
  <c r="O29" i="22"/>
  <c r="O28" i="22"/>
  <c r="AF27" i="22"/>
  <c r="U27" i="22"/>
  <c r="Y27" i="22"/>
  <c r="AF24" i="22"/>
  <c r="AE24" i="22"/>
  <c r="O24" i="22"/>
  <c r="Y24" i="22"/>
  <c r="O23" i="22"/>
  <c r="T23" i="22"/>
  <c r="Y20" i="22"/>
  <c r="AH18" i="22"/>
  <c r="O18" i="22"/>
  <c r="O17" i="22"/>
  <c r="U17" i="22"/>
  <c r="O16" i="22"/>
  <c r="U16" i="22"/>
  <c r="Y16" i="22"/>
  <c r="AF15" i="22"/>
  <c r="AC15" i="22"/>
  <c r="O15" i="22"/>
  <c r="T15" i="22"/>
  <c r="U15" i="22"/>
  <c r="X15" i="22"/>
  <c r="Y15" i="22"/>
  <c r="AF14" i="22"/>
  <c r="AE14" i="22"/>
  <c r="AB14" i="22"/>
  <c r="O14" i="22"/>
  <c r="R14" i="22"/>
  <c r="T14" i="22"/>
  <c r="X14" i="22"/>
  <c r="Y14" i="22"/>
  <c r="O13" i="22"/>
  <c r="T13" i="22"/>
  <c r="U13" i="22"/>
  <c r="Y13" i="22"/>
  <c r="O12" i="22"/>
  <c r="T12" i="22"/>
  <c r="U12" i="22"/>
  <c r="Y12" i="22"/>
  <c r="O11" i="22"/>
  <c r="U11" i="22"/>
  <c r="O10" i="22"/>
  <c r="Y10" i="22"/>
  <c r="W10" i="22"/>
  <c r="O9" i="22"/>
  <c r="Y9" i="22"/>
  <c r="W9" i="22"/>
  <c r="Y8" i="22"/>
  <c r="O7" i="22"/>
  <c r="Y7" i="22"/>
  <c r="W7" i="22"/>
  <c r="O6" i="22"/>
  <c r="Y6" i="22"/>
  <c r="Y5" i="22"/>
  <c r="O4" i="22"/>
  <c r="U4" i="22"/>
  <c r="AF3" i="22"/>
  <c r="O3" i="22"/>
  <c r="O2" i="22"/>
  <c r="T2" i="22"/>
  <c r="V2" i="22"/>
  <c r="X2" i="22"/>
  <c r="Y2" i="22"/>
  <c r="AF19" i="21"/>
  <c r="O19" i="21"/>
  <c r="O18" i="21"/>
  <c r="AF17" i="21"/>
  <c r="O17" i="21"/>
  <c r="W17" i="21"/>
  <c r="Y17" i="21"/>
  <c r="W16" i="21"/>
  <c r="O16" i="21"/>
  <c r="AF11" i="21"/>
  <c r="AE11" i="21"/>
  <c r="AB11" i="21"/>
  <c r="O11" i="21"/>
  <c r="AF10" i="21"/>
  <c r="AF8" i="21"/>
  <c r="O8" i="21"/>
  <c r="O7" i="21"/>
  <c r="AF6" i="21"/>
  <c r="O6" i="21"/>
  <c r="AF5" i="21"/>
  <c r="O5" i="21"/>
  <c r="O4" i="21"/>
  <c r="Y4" i="21"/>
  <c r="O3" i="21"/>
  <c r="R3" i="21"/>
  <c r="Y3" i="21"/>
  <c r="Y2" i="21"/>
  <c r="W714" i="20"/>
  <c r="X714" i="20"/>
  <c r="M714" i="20"/>
  <c r="W713" i="20"/>
  <c r="X713" i="20"/>
  <c r="M713" i="20"/>
  <c r="W712" i="20"/>
  <c r="X712" i="20"/>
  <c r="M712" i="20"/>
  <c r="AB708" i="20"/>
  <c r="U708" i="20"/>
  <c r="W708" i="20"/>
  <c r="Y708" i="20"/>
  <c r="O707" i="20"/>
  <c r="AB706" i="20"/>
  <c r="O706" i="20"/>
  <c r="S706" i="20"/>
  <c r="T706" i="20"/>
  <c r="U706" i="20"/>
  <c r="V706" i="20"/>
  <c r="W706" i="20"/>
  <c r="Y706" i="20"/>
  <c r="O705" i="20"/>
  <c r="R704" i="20"/>
  <c r="T704" i="20"/>
  <c r="M704" i="20"/>
  <c r="O703" i="20"/>
  <c r="R703" i="20"/>
  <c r="T703" i="20"/>
  <c r="M703" i="20"/>
  <c r="U702" i="20"/>
  <c r="W702" i="20"/>
  <c r="Y702" i="20"/>
  <c r="M702" i="20"/>
  <c r="M701" i="20"/>
  <c r="AF700" i="20"/>
  <c r="V700" i="20"/>
  <c r="Y700" i="20"/>
  <c r="M700" i="20"/>
  <c r="M699" i="20"/>
  <c r="Y698" i="20"/>
  <c r="O698" i="20"/>
  <c r="M698" i="20"/>
  <c r="Y693" i="20"/>
  <c r="O693" i="20"/>
  <c r="M693" i="20"/>
  <c r="Y692" i="20"/>
  <c r="M692" i="20"/>
  <c r="AF691" i="20"/>
  <c r="O691" i="20"/>
  <c r="U691" i="20"/>
  <c r="W691" i="20"/>
  <c r="M691" i="20"/>
  <c r="W690" i="20"/>
  <c r="Y690" i="20"/>
  <c r="M690" i="20"/>
  <c r="Y689" i="20"/>
  <c r="M689" i="20"/>
  <c r="O688" i="20"/>
  <c r="M688" i="20"/>
  <c r="M687" i="20"/>
  <c r="M686" i="20"/>
  <c r="M685" i="20"/>
  <c r="M684" i="20"/>
  <c r="O683" i="20"/>
  <c r="M683" i="20"/>
  <c r="AF682" i="20"/>
  <c r="O682" i="20"/>
  <c r="M682" i="20"/>
  <c r="R681" i="20"/>
  <c r="Y681" i="20"/>
  <c r="M681" i="20"/>
  <c r="O680" i="20"/>
  <c r="M680" i="20"/>
  <c r="O679" i="20"/>
  <c r="M679" i="20"/>
  <c r="O678" i="20"/>
  <c r="M678" i="20"/>
  <c r="O677" i="20"/>
  <c r="M677" i="20"/>
  <c r="AF676" i="20"/>
  <c r="O676" i="20"/>
  <c r="U676" i="20"/>
  <c r="M676" i="20"/>
  <c r="M675" i="20"/>
  <c r="O674" i="20"/>
  <c r="M674" i="20"/>
  <c r="O673" i="20"/>
  <c r="Y673" i="20"/>
  <c r="M673" i="20"/>
  <c r="AF672" i="20"/>
  <c r="O672" i="20"/>
  <c r="U672" i="20"/>
  <c r="Y672" i="20"/>
  <c r="M672" i="20"/>
  <c r="O671" i="20"/>
  <c r="Y671" i="20"/>
  <c r="M671" i="20"/>
  <c r="AF670" i="20"/>
  <c r="M670" i="20"/>
  <c r="O668" i="20"/>
  <c r="V668" i="20"/>
  <c r="M668" i="20"/>
  <c r="Y667" i="20"/>
  <c r="M667" i="20"/>
  <c r="Y666" i="20"/>
  <c r="Y665" i="20"/>
  <c r="O664" i="20"/>
  <c r="Y664" i="20"/>
  <c r="O663" i="20"/>
  <c r="Y663" i="20"/>
  <c r="M662" i="20"/>
  <c r="O661" i="20"/>
  <c r="T661" i="20"/>
  <c r="U661" i="20"/>
  <c r="W661" i="20"/>
  <c r="Y661" i="20"/>
  <c r="M661" i="20"/>
  <c r="M660" i="20"/>
  <c r="AF659" i="20"/>
  <c r="V659" i="20"/>
  <c r="Y659" i="20"/>
  <c r="M659" i="20"/>
  <c r="AF658" i="20"/>
  <c r="S658" i="20"/>
  <c r="W658" i="20"/>
  <c r="Y658" i="20"/>
  <c r="M658" i="20"/>
  <c r="O657" i="20"/>
  <c r="M657" i="20"/>
  <c r="AF656" i="20"/>
  <c r="S656" i="20"/>
  <c r="Y656" i="20"/>
  <c r="M656" i="20"/>
  <c r="AF655" i="20"/>
  <c r="S655" i="20"/>
  <c r="M655" i="20"/>
  <c r="AF654" i="20"/>
  <c r="O654" i="20"/>
  <c r="M654" i="20"/>
  <c r="O653" i="20"/>
  <c r="Y653" i="20"/>
  <c r="M653" i="20"/>
  <c r="M652" i="20"/>
  <c r="O651" i="20"/>
  <c r="W651" i="20"/>
  <c r="Y651" i="20"/>
  <c r="M651" i="20"/>
  <c r="M650" i="20"/>
  <c r="AF649" i="20"/>
  <c r="O649" i="20"/>
  <c r="W649" i="20"/>
  <c r="M649" i="20"/>
  <c r="AF648" i="20"/>
  <c r="M648" i="20"/>
  <c r="AF647" i="20"/>
  <c r="O647" i="20"/>
  <c r="W647" i="20"/>
  <c r="Y647" i="20"/>
  <c r="M647" i="20"/>
  <c r="AF646" i="20"/>
  <c r="O646" i="20"/>
  <c r="Y646" i="20"/>
  <c r="M646" i="20"/>
  <c r="AF645" i="20"/>
  <c r="O645" i="20"/>
  <c r="S645" i="20"/>
  <c r="M645" i="20"/>
  <c r="O644" i="20"/>
  <c r="M644" i="20"/>
  <c r="M643" i="20"/>
  <c r="M642" i="20"/>
  <c r="O641" i="20"/>
  <c r="M641" i="20"/>
  <c r="M640" i="20"/>
  <c r="Y637" i="20"/>
  <c r="O636" i="20"/>
  <c r="V636" i="20"/>
  <c r="X636" i="20"/>
  <c r="M636" i="20"/>
  <c r="AF635" i="20"/>
  <c r="M635" i="20"/>
  <c r="AF634" i="20"/>
  <c r="O634" i="20"/>
  <c r="X634" i="20"/>
  <c r="M634" i="20"/>
  <c r="O633" i="20"/>
  <c r="V633" i="20"/>
  <c r="M633" i="20"/>
  <c r="M632" i="20"/>
  <c r="O631" i="20"/>
  <c r="W631" i="20"/>
  <c r="Y631" i="20"/>
  <c r="M631" i="20"/>
  <c r="Y629" i="20"/>
  <c r="O628" i="20"/>
  <c r="M628" i="20"/>
  <c r="M627" i="20"/>
  <c r="AF626" i="20"/>
  <c r="O626" i="20"/>
  <c r="M626" i="20"/>
  <c r="O625" i="20"/>
  <c r="Y625" i="20"/>
  <c r="M625" i="20"/>
  <c r="AF624" i="20"/>
  <c r="Y624" i="20"/>
  <c r="AF623" i="20"/>
  <c r="Y623" i="20"/>
  <c r="M623" i="20"/>
  <c r="O622" i="20"/>
  <c r="T622" i="20"/>
  <c r="V622" i="20"/>
  <c r="T621" i="20"/>
  <c r="U621" i="20"/>
  <c r="V621" i="20"/>
  <c r="M621" i="20"/>
  <c r="O620" i="20"/>
  <c r="S620" i="20"/>
  <c r="Y620" i="20"/>
  <c r="M620" i="20"/>
  <c r="M618" i="20"/>
  <c r="M617" i="20"/>
  <c r="O616" i="20"/>
  <c r="U616" i="20"/>
  <c r="Y616" i="20"/>
  <c r="M616" i="20"/>
  <c r="O615" i="20"/>
  <c r="V615" i="20"/>
  <c r="Y615" i="20"/>
  <c r="O614" i="20"/>
  <c r="V614" i="20"/>
  <c r="O613" i="20"/>
  <c r="V613" i="20"/>
  <c r="S612" i="20"/>
  <c r="U612" i="20"/>
  <c r="W612" i="20"/>
  <c r="Y612" i="20"/>
  <c r="M612" i="20"/>
  <c r="AF611" i="20"/>
  <c r="O611" i="20"/>
  <c r="Y611" i="20"/>
  <c r="M611" i="20"/>
  <c r="R610" i="20"/>
  <c r="S610" i="20"/>
  <c r="X610" i="20"/>
  <c r="Y610" i="20"/>
  <c r="M610" i="20"/>
  <c r="AF609" i="20"/>
  <c r="T609" i="20"/>
  <c r="Y609" i="20"/>
  <c r="O608" i="20"/>
  <c r="M608" i="20"/>
  <c r="M607" i="20"/>
  <c r="M606" i="20"/>
  <c r="T605" i="20"/>
  <c r="W605" i="20"/>
  <c r="X605" i="20"/>
  <c r="M605" i="20"/>
  <c r="T604" i="20"/>
  <c r="V604" i="20"/>
  <c r="W604" i="20"/>
  <c r="X604" i="20"/>
  <c r="M604" i="20"/>
  <c r="T603" i="20"/>
  <c r="W603" i="20"/>
  <c r="O602" i="20"/>
  <c r="M602" i="20"/>
  <c r="AF601" i="20"/>
  <c r="M601" i="20"/>
  <c r="AF599" i="20"/>
  <c r="AE599" i="20"/>
  <c r="O599" i="20"/>
  <c r="T599" i="20"/>
  <c r="U599" i="20"/>
  <c r="W599" i="20"/>
  <c r="X599" i="20"/>
  <c r="Y599" i="20"/>
  <c r="M599" i="20"/>
  <c r="O598" i="20"/>
  <c r="M598" i="20"/>
  <c r="O597" i="20"/>
  <c r="AF596" i="20"/>
  <c r="M596" i="20"/>
  <c r="AF595" i="20"/>
  <c r="V595" i="20"/>
  <c r="Y595" i="20"/>
  <c r="M595" i="20"/>
  <c r="AF594" i="20"/>
  <c r="O594" i="20"/>
  <c r="M594" i="20"/>
  <c r="AF593" i="20"/>
  <c r="M593" i="20"/>
  <c r="O592" i="20"/>
  <c r="T592" i="20"/>
  <c r="Y592" i="20"/>
  <c r="M592" i="20"/>
  <c r="O591" i="20"/>
  <c r="O590" i="20"/>
  <c r="O589" i="20"/>
  <c r="M589" i="20"/>
  <c r="O588" i="20"/>
  <c r="R588" i="20"/>
  <c r="S588" i="20"/>
  <c r="M588" i="20"/>
  <c r="M587" i="20"/>
  <c r="M586" i="20"/>
  <c r="M585" i="20"/>
  <c r="M584" i="20"/>
  <c r="M583" i="20"/>
  <c r="M582" i="20"/>
  <c r="M581" i="20"/>
  <c r="M580" i="20"/>
  <c r="M579" i="20"/>
  <c r="AF578" i="20"/>
  <c r="O578" i="20"/>
  <c r="Y578" i="20"/>
  <c r="M578" i="20"/>
  <c r="O577" i="20"/>
  <c r="M577" i="20"/>
  <c r="AB576" i="20"/>
  <c r="W576" i="20"/>
  <c r="Y576" i="20"/>
  <c r="M576" i="20"/>
  <c r="O574" i="20"/>
  <c r="Y574" i="20"/>
  <c r="M574" i="20"/>
  <c r="O573" i="20"/>
  <c r="M573" i="20"/>
  <c r="O572" i="20"/>
  <c r="S572" i="20"/>
  <c r="W572" i="20"/>
  <c r="Y572" i="20"/>
  <c r="M572" i="20"/>
  <c r="O571" i="20"/>
  <c r="Y571" i="20"/>
  <c r="M569" i="20"/>
  <c r="AF568" i="20"/>
  <c r="O568" i="20"/>
  <c r="T568" i="20"/>
  <c r="M568" i="20"/>
  <c r="O567" i="20"/>
  <c r="W567" i="20"/>
  <c r="Y567" i="20"/>
  <c r="M567" i="20"/>
  <c r="O566" i="20"/>
  <c r="W566" i="20"/>
  <c r="Y566" i="20"/>
  <c r="M566" i="20"/>
  <c r="M565" i="20"/>
  <c r="M564" i="20"/>
  <c r="AF563" i="20"/>
  <c r="Y563" i="20"/>
  <c r="M563" i="20"/>
  <c r="S562" i="20"/>
  <c r="X562" i="20"/>
  <c r="Y562" i="20"/>
  <c r="M562" i="20"/>
  <c r="AF561" i="20"/>
  <c r="O561" i="20"/>
  <c r="M561" i="20"/>
  <c r="AF560" i="20"/>
  <c r="M560" i="20"/>
  <c r="M559" i="20"/>
  <c r="AF558" i="20"/>
  <c r="O558" i="20"/>
  <c r="R558" i="20"/>
  <c r="W558" i="20"/>
  <c r="Y558" i="20"/>
  <c r="M558" i="20"/>
  <c r="O557" i="20"/>
  <c r="V557" i="20"/>
  <c r="W557" i="20"/>
  <c r="Y557" i="20"/>
  <c r="M557" i="20"/>
  <c r="AF556" i="20"/>
  <c r="O556" i="20"/>
  <c r="T556" i="20"/>
  <c r="W556" i="20"/>
  <c r="M556" i="20"/>
  <c r="AF555" i="20"/>
  <c r="O555" i="20"/>
  <c r="T555" i="20"/>
  <c r="W555" i="20"/>
  <c r="Y555" i="20"/>
  <c r="M555" i="20"/>
  <c r="O554" i="20"/>
  <c r="M554" i="20"/>
  <c r="AF553" i="20"/>
  <c r="O553" i="20"/>
  <c r="W553" i="20"/>
  <c r="M553" i="20"/>
  <c r="AF552" i="20"/>
  <c r="M552" i="20"/>
  <c r="M551" i="20"/>
  <c r="M550" i="20"/>
  <c r="M549" i="20"/>
  <c r="O548" i="20"/>
  <c r="M548" i="20"/>
  <c r="O547" i="20"/>
  <c r="T547" i="20"/>
  <c r="Y547" i="20"/>
  <c r="M547" i="20"/>
  <c r="O546" i="20"/>
  <c r="R546" i="20"/>
  <c r="U546" i="20"/>
  <c r="V546" i="20"/>
  <c r="W546" i="20"/>
  <c r="Y546" i="20"/>
  <c r="M546" i="20"/>
  <c r="AF545" i="20"/>
  <c r="O545" i="20"/>
  <c r="M545" i="20"/>
  <c r="O544" i="20"/>
  <c r="Y544" i="20"/>
  <c r="M544" i="20"/>
  <c r="O543" i="20"/>
  <c r="S543" i="20"/>
  <c r="V543" i="20"/>
  <c r="W543" i="20"/>
  <c r="Y543" i="20"/>
  <c r="M543" i="20"/>
  <c r="AF542" i="20"/>
  <c r="O542" i="20"/>
  <c r="R542" i="20"/>
  <c r="W542" i="20"/>
  <c r="Y542" i="20"/>
  <c r="M542" i="20"/>
  <c r="O541" i="20"/>
  <c r="M541" i="20"/>
  <c r="M540" i="20"/>
  <c r="O539" i="20"/>
  <c r="M539" i="20"/>
  <c r="O538" i="20"/>
  <c r="M538" i="20"/>
  <c r="O537" i="20"/>
  <c r="S537" i="20"/>
  <c r="Y537" i="20"/>
  <c r="M537" i="20"/>
  <c r="AF536" i="20"/>
  <c r="M536" i="20"/>
  <c r="AF535" i="20"/>
  <c r="O535" i="20"/>
  <c r="M534" i="20"/>
  <c r="O533" i="20"/>
  <c r="Y533" i="20"/>
  <c r="M533" i="20"/>
  <c r="O532" i="20"/>
  <c r="W532" i="20"/>
  <c r="X532" i="20"/>
  <c r="Y532" i="20"/>
  <c r="M532" i="20"/>
  <c r="AF531" i="20"/>
  <c r="M531" i="20"/>
  <c r="M530" i="20"/>
  <c r="O529" i="20"/>
  <c r="W529" i="20"/>
  <c r="Y529" i="20"/>
  <c r="M529" i="20"/>
  <c r="O528" i="20"/>
  <c r="W528" i="20"/>
  <c r="Y528" i="20"/>
  <c r="M528" i="20"/>
  <c r="Y527" i="20"/>
  <c r="W526" i="20"/>
  <c r="M526" i="20"/>
  <c r="W525" i="20"/>
  <c r="M525" i="20"/>
  <c r="W524" i="20"/>
  <c r="M524" i="20"/>
  <c r="Y523" i="20"/>
  <c r="M523" i="20"/>
  <c r="AF522" i="20"/>
  <c r="O522" i="20"/>
  <c r="R522" i="20"/>
  <c r="Y522" i="20"/>
  <c r="AF521" i="20"/>
  <c r="O521" i="20"/>
  <c r="R521" i="20"/>
  <c r="X521" i="20"/>
  <c r="Y521" i="20"/>
  <c r="M521" i="20"/>
  <c r="O520" i="20"/>
  <c r="W520" i="20"/>
  <c r="X520" i="20"/>
  <c r="Y520" i="20"/>
  <c r="M520" i="20"/>
  <c r="AF519" i="20"/>
  <c r="O519" i="20"/>
  <c r="Y519" i="20"/>
  <c r="M519" i="20"/>
  <c r="O518" i="20"/>
  <c r="W518" i="20"/>
  <c r="Y518" i="20"/>
  <c r="M518" i="20"/>
  <c r="U517" i="20"/>
  <c r="Y517" i="20"/>
  <c r="M517" i="20"/>
  <c r="O516" i="20"/>
  <c r="W516" i="20"/>
  <c r="M516" i="20"/>
  <c r="AF515" i="20"/>
  <c r="O515" i="20"/>
  <c r="M515" i="20"/>
  <c r="O514" i="20"/>
  <c r="M514" i="20"/>
  <c r="O513" i="20"/>
  <c r="R513" i="20"/>
  <c r="S513" i="20"/>
  <c r="W513" i="20"/>
  <c r="Y513" i="20"/>
  <c r="M513" i="20"/>
  <c r="AF512" i="20"/>
  <c r="Y512" i="20"/>
  <c r="M512" i="20"/>
  <c r="AF511" i="20"/>
  <c r="V511" i="20"/>
  <c r="Y511" i="20"/>
  <c r="M511" i="20"/>
  <c r="M510" i="20"/>
  <c r="AF509" i="20"/>
  <c r="M509" i="20"/>
  <c r="AF508" i="20"/>
  <c r="Y508" i="20"/>
  <c r="M508" i="20"/>
  <c r="M507" i="20"/>
  <c r="O506" i="20"/>
  <c r="W506" i="20"/>
  <c r="Y506" i="20"/>
  <c r="M506" i="20"/>
  <c r="M505" i="20"/>
  <c r="AF504" i="20"/>
  <c r="O504" i="20"/>
  <c r="V504" i="20"/>
  <c r="Y504" i="20"/>
  <c r="M504" i="20"/>
  <c r="M503" i="20"/>
  <c r="M502" i="20"/>
  <c r="M501" i="20"/>
  <c r="U500" i="20"/>
  <c r="W500" i="20"/>
  <c r="Y500" i="20"/>
  <c r="M500" i="20"/>
  <c r="M499" i="20"/>
  <c r="M498" i="20"/>
  <c r="M497" i="20"/>
  <c r="O496" i="20"/>
  <c r="R496" i="20"/>
  <c r="M496" i="20"/>
  <c r="O495" i="20"/>
  <c r="M495" i="20"/>
  <c r="M494" i="20"/>
  <c r="O493" i="20"/>
  <c r="Y493" i="20"/>
  <c r="M493" i="20"/>
  <c r="AF492" i="20"/>
  <c r="O492" i="20"/>
  <c r="Y492" i="20"/>
  <c r="M492" i="20"/>
  <c r="O491" i="20"/>
  <c r="O490" i="20"/>
  <c r="W490" i="20"/>
  <c r="O487" i="20"/>
  <c r="S487" i="20"/>
  <c r="Y487" i="20"/>
  <c r="O486" i="20"/>
  <c r="R486" i="20"/>
  <c r="S486" i="20"/>
  <c r="O485" i="20"/>
  <c r="R485" i="20"/>
  <c r="W485" i="20"/>
  <c r="Y485" i="20"/>
  <c r="O484" i="20"/>
  <c r="S484" i="20"/>
  <c r="Y484" i="20"/>
  <c r="O483" i="20"/>
  <c r="S483" i="20"/>
  <c r="Y483" i="20"/>
  <c r="O482" i="20"/>
  <c r="R482" i="20"/>
  <c r="S482" i="20"/>
  <c r="O481" i="20"/>
  <c r="S481" i="20"/>
  <c r="O480" i="20"/>
  <c r="R480" i="20"/>
  <c r="W480" i="20"/>
  <c r="Y480" i="20"/>
  <c r="O479" i="20"/>
  <c r="X479" i="20"/>
  <c r="Y479" i="20"/>
  <c r="O478" i="20"/>
  <c r="R477" i="20"/>
  <c r="M476" i="20"/>
  <c r="AF475" i="20"/>
  <c r="O475" i="20"/>
  <c r="W475" i="20"/>
  <c r="X475" i="20"/>
  <c r="Y475" i="20"/>
  <c r="M475" i="20"/>
  <c r="AF474" i="20"/>
  <c r="O474" i="20"/>
  <c r="Y474" i="20"/>
  <c r="M474" i="20"/>
  <c r="R473" i="20"/>
  <c r="V473" i="20"/>
  <c r="W473" i="20"/>
  <c r="X473" i="20"/>
  <c r="Y473" i="20"/>
  <c r="M473" i="20"/>
  <c r="AF472" i="20"/>
  <c r="O472" i="20"/>
  <c r="Y472" i="20"/>
  <c r="M472" i="20"/>
  <c r="AF471" i="20"/>
  <c r="O471" i="20"/>
  <c r="S471" i="20"/>
  <c r="W471" i="20"/>
  <c r="X471" i="20"/>
  <c r="M471" i="20"/>
  <c r="O470" i="20"/>
  <c r="U470" i="20"/>
  <c r="M470" i="20"/>
  <c r="M469" i="20"/>
  <c r="O468" i="20"/>
  <c r="M468" i="20"/>
  <c r="AF467" i="20"/>
  <c r="M467" i="20"/>
  <c r="Y466" i="20"/>
  <c r="O466" i="20"/>
  <c r="M466" i="20"/>
  <c r="M465" i="20"/>
  <c r="O464" i="20"/>
  <c r="R464" i="20"/>
  <c r="M463" i="20"/>
  <c r="M460" i="20"/>
  <c r="AF459" i="20"/>
  <c r="O459" i="20"/>
  <c r="Y459" i="20"/>
  <c r="M459" i="20"/>
  <c r="U458" i="20"/>
  <c r="M458" i="20"/>
  <c r="AF457" i="20"/>
  <c r="Y457" i="20"/>
  <c r="M457" i="20"/>
  <c r="M456" i="20"/>
  <c r="M455" i="20"/>
  <c r="AF454" i="20"/>
  <c r="O454" i="20"/>
  <c r="W454" i="20"/>
  <c r="M454" i="20"/>
  <c r="M453" i="20"/>
  <c r="M452" i="20"/>
  <c r="O451" i="20"/>
  <c r="R451" i="20"/>
  <c r="T451" i="20"/>
  <c r="W451" i="20"/>
  <c r="Y451" i="20"/>
  <c r="M451" i="20"/>
  <c r="AF450" i="20"/>
  <c r="O450" i="20"/>
  <c r="R450" i="20"/>
  <c r="T450" i="20"/>
  <c r="W450" i="20"/>
  <c r="X450" i="20"/>
  <c r="Y450" i="20"/>
  <c r="M450" i="20"/>
  <c r="Y449" i="20"/>
  <c r="M449" i="20"/>
  <c r="Y448" i="20"/>
  <c r="M448" i="20"/>
  <c r="AF447" i="20"/>
  <c r="S447" i="20"/>
  <c r="M447" i="20"/>
  <c r="O446" i="20"/>
  <c r="Y446" i="20"/>
  <c r="M446" i="20"/>
  <c r="O445" i="20"/>
  <c r="M445" i="20"/>
  <c r="O444" i="20"/>
  <c r="Y444" i="20"/>
  <c r="M444" i="20"/>
  <c r="Y443" i="20"/>
  <c r="M443" i="20"/>
  <c r="M442" i="20"/>
  <c r="M441" i="20"/>
  <c r="M440" i="20"/>
  <c r="M439" i="20"/>
  <c r="M438" i="20"/>
  <c r="M437" i="20"/>
  <c r="M436" i="20"/>
  <c r="M435" i="20"/>
  <c r="O426" i="20"/>
  <c r="M426" i="20"/>
  <c r="M425" i="20"/>
  <c r="O424" i="20"/>
  <c r="R424" i="20"/>
  <c r="T424" i="20"/>
  <c r="Y424" i="20"/>
  <c r="M424" i="20"/>
  <c r="R423" i="20"/>
  <c r="T423" i="20"/>
  <c r="W423" i="20"/>
  <c r="Y423" i="20"/>
  <c r="M423" i="20"/>
  <c r="O422" i="20"/>
  <c r="M422" i="20"/>
  <c r="AF421" i="20"/>
  <c r="O421" i="20"/>
  <c r="M421" i="20"/>
  <c r="AF420" i="20"/>
  <c r="T420" i="20"/>
  <c r="U420" i="20"/>
  <c r="W420" i="20"/>
  <c r="X420" i="20"/>
  <c r="Y420" i="20"/>
  <c r="M420" i="20"/>
  <c r="AF419" i="20"/>
  <c r="T419" i="20"/>
  <c r="V419" i="20"/>
  <c r="W419" i="20"/>
  <c r="X419" i="20"/>
  <c r="M419" i="20"/>
  <c r="AF418" i="20"/>
  <c r="Y418" i="20"/>
  <c r="M418" i="20"/>
  <c r="AF417" i="20"/>
  <c r="O417" i="20"/>
  <c r="T417" i="20"/>
  <c r="V417" i="20"/>
  <c r="Y417" i="20"/>
  <c r="M417" i="20"/>
  <c r="AF416" i="20"/>
  <c r="T416" i="20"/>
  <c r="U416" i="20"/>
  <c r="W416" i="20"/>
  <c r="X416" i="20"/>
  <c r="Y416" i="20"/>
  <c r="M416" i="20"/>
  <c r="AF410" i="20"/>
  <c r="M410" i="20"/>
  <c r="AF409" i="20"/>
  <c r="O409" i="20"/>
  <c r="X409" i="20"/>
  <c r="M409" i="20"/>
  <c r="M408" i="20"/>
  <c r="M405" i="20"/>
  <c r="M404" i="20"/>
  <c r="O403" i="20"/>
  <c r="W403" i="20"/>
  <c r="X403" i="20"/>
  <c r="Y403" i="20"/>
  <c r="M403" i="20"/>
  <c r="O402" i="20"/>
  <c r="M402" i="20"/>
  <c r="O401" i="20"/>
  <c r="V401" i="20"/>
  <c r="O400" i="20"/>
  <c r="W400" i="20"/>
  <c r="Y400" i="20"/>
  <c r="M400" i="20"/>
  <c r="AF399" i="20"/>
  <c r="Y399" i="20"/>
  <c r="M399" i="20"/>
  <c r="O398" i="20"/>
  <c r="Y398" i="20"/>
  <c r="M398" i="20"/>
  <c r="O397" i="20"/>
  <c r="X397" i="20"/>
  <c r="Y397" i="20"/>
  <c r="M397" i="20"/>
  <c r="O396" i="20"/>
  <c r="R396" i="20"/>
  <c r="X396" i="20"/>
  <c r="Y396" i="20"/>
  <c r="M396" i="20"/>
  <c r="X395" i="20"/>
  <c r="Y395" i="20"/>
  <c r="M395" i="20"/>
  <c r="O394" i="20"/>
  <c r="AF393" i="20"/>
  <c r="O393" i="20"/>
  <c r="T393" i="20"/>
  <c r="U393" i="20"/>
  <c r="W393" i="20"/>
  <c r="Y393" i="20"/>
  <c r="AF392" i="20"/>
  <c r="O392" i="20"/>
  <c r="T392" i="20"/>
  <c r="U392" i="20"/>
  <c r="W392" i="20"/>
  <c r="Y392" i="20"/>
  <c r="AF391" i="20"/>
  <c r="W391" i="20"/>
  <c r="X391" i="20"/>
  <c r="Y391" i="20"/>
  <c r="AF390" i="20"/>
  <c r="W390" i="20"/>
  <c r="Y390" i="20"/>
  <c r="AF389" i="20"/>
  <c r="O389" i="20"/>
  <c r="O388" i="20"/>
  <c r="V388" i="20"/>
  <c r="Y388" i="20"/>
  <c r="M388" i="20"/>
  <c r="O387" i="20"/>
  <c r="Y387" i="20"/>
  <c r="M387" i="20"/>
  <c r="Y386" i="20"/>
  <c r="M386" i="20"/>
  <c r="M385" i="20"/>
  <c r="O384" i="20"/>
  <c r="X384" i="20"/>
  <c r="Y384" i="20"/>
  <c r="M384" i="20"/>
  <c r="Y383" i="20"/>
  <c r="M383" i="20"/>
  <c r="O382" i="20"/>
  <c r="V382" i="20"/>
  <c r="Y382" i="20"/>
  <c r="M382" i="20"/>
  <c r="AF381" i="20"/>
  <c r="O381" i="20"/>
  <c r="V381" i="20"/>
  <c r="W381" i="20"/>
  <c r="M381" i="20"/>
  <c r="O380" i="20"/>
  <c r="U380" i="20"/>
  <c r="M380" i="20"/>
  <c r="U379" i="20"/>
  <c r="M379" i="20"/>
  <c r="AF378" i="20"/>
  <c r="O378" i="20"/>
  <c r="T378" i="20"/>
  <c r="W378" i="20"/>
  <c r="Y378" i="20"/>
  <c r="AF377" i="20"/>
  <c r="O377" i="20"/>
  <c r="T377" i="20"/>
  <c r="W377" i="20"/>
  <c r="Y377" i="20"/>
  <c r="AF376" i="20"/>
  <c r="O376" i="20"/>
  <c r="W376" i="20"/>
  <c r="Y376" i="20"/>
  <c r="M376" i="20"/>
  <c r="O375" i="20"/>
  <c r="M375" i="20"/>
  <c r="O374" i="20"/>
  <c r="M374" i="20"/>
  <c r="O373" i="20"/>
  <c r="M373" i="20"/>
  <c r="O372" i="20"/>
  <c r="M372" i="20"/>
  <c r="M371" i="20"/>
  <c r="M370" i="20"/>
  <c r="W369" i="20"/>
  <c r="Y369" i="20"/>
  <c r="M369" i="20"/>
  <c r="M368" i="20"/>
  <c r="O367" i="20"/>
  <c r="Y367" i="20"/>
  <c r="O366" i="20"/>
  <c r="U366" i="20"/>
  <c r="Y366" i="20"/>
  <c r="M366" i="20"/>
  <c r="AF365" i="20"/>
  <c r="O365" i="20"/>
  <c r="V365" i="20"/>
  <c r="W365" i="20"/>
  <c r="X365" i="20"/>
  <c r="Y365" i="20"/>
  <c r="M365" i="20"/>
  <c r="AF364" i="20"/>
  <c r="O364" i="20"/>
  <c r="W364" i="20"/>
  <c r="Y364" i="20"/>
  <c r="M364" i="20"/>
  <c r="Y363" i="20"/>
  <c r="M363" i="20"/>
  <c r="O362" i="20"/>
  <c r="Y362" i="20"/>
  <c r="M362" i="20"/>
  <c r="AF361" i="20"/>
  <c r="O361" i="20"/>
  <c r="T361" i="20"/>
  <c r="W361" i="20"/>
  <c r="X361" i="20"/>
  <c r="Y361" i="20"/>
  <c r="M361" i="20"/>
  <c r="O360" i="20"/>
  <c r="W360" i="20"/>
  <c r="Y360" i="20"/>
  <c r="M360" i="20"/>
  <c r="O359" i="20"/>
  <c r="R359" i="20"/>
  <c r="Y359" i="20"/>
  <c r="M359" i="20"/>
  <c r="O358" i="20"/>
  <c r="Y358" i="20"/>
  <c r="M358" i="20"/>
  <c r="O357" i="20"/>
  <c r="Y357" i="20"/>
  <c r="M357" i="20"/>
  <c r="Y356" i="20"/>
  <c r="M356" i="20"/>
  <c r="AF355" i="20"/>
  <c r="O355" i="20"/>
  <c r="Y355" i="20"/>
  <c r="M355" i="20"/>
  <c r="AF354" i="20"/>
  <c r="O354" i="20"/>
  <c r="S354" i="20"/>
  <c r="Y354" i="20"/>
  <c r="M354" i="20"/>
  <c r="O353" i="20"/>
  <c r="Y353" i="20"/>
  <c r="M353" i="20"/>
  <c r="AF352" i="20"/>
  <c r="O352" i="20"/>
  <c r="Y352" i="20"/>
  <c r="M352" i="20"/>
  <c r="AF351" i="20"/>
  <c r="O351" i="20"/>
  <c r="M351" i="20"/>
  <c r="AF350" i="20"/>
  <c r="O350" i="20"/>
  <c r="T350" i="20"/>
  <c r="Y350" i="20"/>
  <c r="M350" i="20"/>
  <c r="AF349" i="20"/>
  <c r="T349" i="20"/>
  <c r="Y349" i="20"/>
  <c r="M349" i="20"/>
  <c r="U348" i="20"/>
  <c r="Y348" i="20"/>
  <c r="M348" i="20"/>
  <c r="AF347" i="20"/>
  <c r="O347" i="20"/>
  <c r="Y347" i="20"/>
  <c r="M347" i="20"/>
  <c r="AC346" i="20"/>
  <c r="M346" i="20"/>
  <c r="AF345" i="20"/>
  <c r="O345" i="20"/>
  <c r="R345" i="20"/>
  <c r="S345" i="20"/>
  <c r="W345" i="20"/>
  <c r="X345" i="20"/>
  <c r="M345" i="20"/>
  <c r="M344" i="20"/>
  <c r="AF343" i="20"/>
  <c r="M343" i="20"/>
  <c r="O342" i="20"/>
  <c r="W342" i="20"/>
  <c r="O341" i="20"/>
  <c r="O340" i="20"/>
  <c r="W340" i="20"/>
  <c r="Y340" i="20"/>
  <c r="M340" i="20"/>
  <c r="AF339" i="20"/>
  <c r="M339" i="20"/>
  <c r="AF338" i="20"/>
  <c r="O338" i="20"/>
  <c r="W338" i="20"/>
  <c r="Y338" i="20"/>
  <c r="M338" i="20"/>
  <c r="AF337" i="20"/>
  <c r="O337" i="20"/>
  <c r="T337" i="20"/>
  <c r="W337" i="20"/>
  <c r="X337" i="20"/>
  <c r="Y337" i="20"/>
  <c r="M337" i="20"/>
  <c r="M336" i="20"/>
  <c r="AF335" i="20"/>
  <c r="M335" i="20"/>
  <c r="AF334" i="20"/>
  <c r="O334" i="20"/>
  <c r="S334" i="20"/>
  <c r="M334" i="20"/>
  <c r="AF333" i="20"/>
  <c r="O333" i="20"/>
  <c r="M333" i="20"/>
  <c r="AF332" i="20"/>
  <c r="O332" i="20"/>
  <c r="W332" i="20"/>
  <c r="M332" i="20"/>
  <c r="AF331" i="20"/>
  <c r="AE331" i="20"/>
  <c r="O331" i="20"/>
  <c r="M331" i="20"/>
  <c r="M330" i="20"/>
  <c r="O329" i="20"/>
  <c r="M329" i="20"/>
  <c r="M328" i="20"/>
  <c r="AF327" i="20"/>
  <c r="M327" i="20"/>
  <c r="AF326" i="20"/>
  <c r="O326" i="20"/>
  <c r="W326" i="20"/>
  <c r="Y326" i="20"/>
  <c r="M326" i="20"/>
  <c r="O325" i="20"/>
  <c r="S325" i="20"/>
  <c r="W325" i="20"/>
  <c r="Y325" i="20"/>
  <c r="O324" i="20"/>
  <c r="V324" i="20"/>
  <c r="O323" i="20"/>
  <c r="M323" i="20"/>
  <c r="O322" i="20"/>
  <c r="M322" i="20"/>
  <c r="M321" i="20"/>
  <c r="AF319" i="20"/>
  <c r="O319" i="20"/>
  <c r="M319" i="20"/>
  <c r="M318" i="20"/>
  <c r="M317" i="20"/>
  <c r="M315" i="20"/>
  <c r="M314" i="20"/>
  <c r="M313" i="20"/>
  <c r="M312" i="20"/>
  <c r="M311" i="20"/>
  <c r="M310" i="20"/>
  <c r="M309" i="20"/>
  <c r="M308" i="20"/>
  <c r="M307" i="20"/>
  <c r="M306" i="20"/>
  <c r="M305" i="20"/>
  <c r="M304" i="20"/>
  <c r="M303" i="20"/>
  <c r="M302" i="20"/>
  <c r="M301" i="20"/>
  <c r="M300" i="20"/>
  <c r="M299" i="20"/>
  <c r="M298" i="20"/>
  <c r="M297" i="20"/>
  <c r="M296" i="20"/>
  <c r="M295" i="20"/>
  <c r="M290" i="20"/>
  <c r="M289" i="20"/>
  <c r="M288" i="20"/>
  <c r="M287" i="20"/>
  <c r="M285" i="20"/>
  <c r="M284" i="20"/>
  <c r="M283" i="20"/>
  <c r="M282" i="20"/>
  <c r="M281" i="20"/>
  <c r="AG280" i="20"/>
  <c r="M280" i="20"/>
  <c r="AG279" i="20"/>
  <c r="M279" i="20"/>
  <c r="M278" i="20"/>
  <c r="M277" i="20"/>
  <c r="M276" i="20"/>
  <c r="M275" i="20"/>
  <c r="M274" i="20"/>
  <c r="M273" i="20"/>
  <c r="M272" i="20"/>
  <c r="M271" i="20"/>
  <c r="M270" i="20"/>
  <c r="M269" i="20"/>
  <c r="M268" i="20"/>
  <c r="M267" i="20"/>
  <c r="M265" i="20"/>
  <c r="M264" i="20"/>
  <c r="M263" i="20"/>
  <c r="M262" i="20"/>
  <c r="M261" i="20"/>
  <c r="M260" i="20"/>
  <c r="M259" i="20"/>
  <c r="O258" i="20"/>
  <c r="O257" i="20"/>
  <c r="M256" i="20"/>
  <c r="M255" i="20"/>
  <c r="M254" i="20"/>
  <c r="M253" i="20"/>
  <c r="M252" i="20"/>
  <c r="M251" i="20"/>
  <c r="M250" i="20"/>
  <c r="M249" i="20"/>
  <c r="M248" i="20"/>
  <c r="O247" i="20"/>
  <c r="O244" i="20"/>
  <c r="W244" i="20"/>
  <c r="Y244" i="20"/>
  <c r="M244" i="20"/>
  <c r="O243" i="20"/>
  <c r="W243" i="20"/>
  <c r="Y243" i="20"/>
  <c r="M243" i="20"/>
  <c r="O242" i="20"/>
  <c r="W242" i="20"/>
  <c r="Y242" i="20"/>
  <c r="M242" i="20"/>
  <c r="Y241" i="20"/>
  <c r="M241" i="20"/>
  <c r="W240" i="20"/>
  <c r="Y240" i="20"/>
  <c r="M240" i="20"/>
  <c r="AF239" i="20"/>
  <c r="W239" i="20"/>
  <c r="Y239" i="20"/>
  <c r="M239" i="20"/>
  <c r="W238" i="20"/>
  <c r="Y238" i="20"/>
  <c r="M238" i="20"/>
  <c r="M237" i="20"/>
  <c r="AD236" i="20"/>
  <c r="Y236" i="20"/>
  <c r="M236" i="20"/>
  <c r="M235" i="20"/>
  <c r="M234" i="20"/>
  <c r="AF233" i="20"/>
  <c r="M233" i="20"/>
  <c r="M232" i="20"/>
  <c r="M231" i="20"/>
  <c r="AF230" i="20"/>
  <c r="O230" i="20"/>
  <c r="R230" i="20"/>
  <c r="Y230" i="20"/>
  <c r="M230" i="20"/>
  <c r="O229" i="20"/>
  <c r="V229" i="20"/>
  <c r="W229" i="20"/>
  <c r="Y229" i="20"/>
  <c r="M229" i="20"/>
  <c r="AF228" i="20"/>
  <c r="T228" i="20"/>
  <c r="Y228" i="20"/>
  <c r="M227" i="20"/>
  <c r="M226" i="20"/>
  <c r="AF225" i="20"/>
  <c r="O225" i="20"/>
  <c r="Y225" i="20"/>
  <c r="M225" i="20"/>
  <c r="AF224" i="20"/>
  <c r="O224" i="20"/>
  <c r="Y224" i="20"/>
  <c r="M224" i="20"/>
  <c r="AF223" i="20"/>
  <c r="O223" i="20"/>
  <c r="T223" i="20"/>
  <c r="U223" i="20"/>
  <c r="V223" i="20"/>
  <c r="W223" i="20"/>
  <c r="X223" i="20"/>
  <c r="Y223" i="20"/>
  <c r="M223" i="20"/>
  <c r="AF222" i="20"/>
  <c r="O222" i="20"/>
  <c r="T222" i="20"/>
  <c r="U222" i="20"/>
  <c r="V222" i="20"/>
  <c r="W222" i="20"/>
  <c r="X222" i="20"/>
  <c r="Y222" i="20"/>
  <c r="M222" i="20"/>
  <c r="AF221" i="20"/>
  <c r="AE221" i="20"/>
  <c r="V221" i="20"/>
  <c r="Y221" i="20"/>
  <c r="M221" i="20"/>
  <c r="AF220" i="20"/>
  <c r="Y220" i="20"/>
  <c r="M220" i="20"/>
  <c r="AF219" i="20"/>
  <c r="AB219" i="20"/>
  <c r="O219" i="20"/>
  <c r="R219" i="20"/>
  <c r="T219" i="20"/>
  <c r="V219" i="20"/>
  <c r="W219" i="20"/>
  <c r="X219" i="20"/>
  <c r="Y219" i="20"/>
  <c r="AF218" i="20"/>
  <c r="AB218" i="20"/>
  <c r="O218" i="20"/>
  <c r="R218" i="20"/>
  <c r="T218" i="20"/>
  <c r="V218" i="20"/>
  <c r="W218" i="20"/>
  <c r="X218" i="20"/>
  <c r="Y218" i="20"/>
  <c r="AF217" i="20"/>
  <c r="M217" i="20"/>
  <c r="AF216" i="20"/>
  <c r="O216" i="20"/>
  <c r="M216" i="20"/>
  <c r="AF215" i="20"/>
  <c r="O215" i="20"/>
  <c r="S215" i="20"/>
  <c r="T215" i="20"/>
  <c r="U215" i="20"/>
  <c r="W215" i="20"/>
  <c r="Y215" i="20"/>
  <c r="M215" i="20"/>
  <c r="O214" i="20"/>
  <c r="M214" i="20"/>
  <c r="AF213" i="20"/>
  <c r="M213" i="20"/>
  <c r="AF212" i="20"/>
  <c r="V212" i="20"/>
  <c r="Y212" i="20"/>
  <c r="M212" i="20"/>
  <c r="AF211" i="20"/>
  <c r="O211" i="20"/>
  <c r="S211" i="20"/>
  <c r="T211" i="20"/>
  <c r="U211" i="20"/>
  <c r="V211" i="20"/>
  <c r="W211" i="20"/>
  <c r="X211" i="20"/>
  <c r="Y211" i="20"/>
  <c r="M211" i="20"/>
  <c r="AF210" i="20"/>
  <c r="O210" i="20"/>
  <c r="T210" i="20"/>
  <c r="U210" i="20"/>
  <c r="V210" i="20"/>
  <c r="W210" i="20"/>
  <c r="X210" i="20"/>
  <c r="Y210" i="20"/>
  <c r="M210" i="20"/>
  <c r="AF209" i="20"/>
  <c r="O209" i="20"/>
  <c r="S209" i="20"/>
  <c r="W209" i="20"/>
  <c r="Y209" i="20"/>
  <c r="M209" i="20"/>
  <c r="AF208" i="20"/>
  <c r="Y208" i="20"/>
  <c r="M208" i="20"/>
  <c r="AF207" i="20"/>
  <c r="O207" i="20"/>
  <c r="Y207" i="20"/>
  <c r="M207" i="20"/>
  <c r="AF206" i="20"/>
  <c r="Y206" i="20"/>
  <c r="M206" i="20"/>
  <c r="AF205" i="20"/>
  <c r="M205" i="20"/>
  <c r="AF204" i="20"/>
  <c r="O204" i="20"/>
  <c r="Y204" i="20"/>
  <c r="M204" i="20"/>
  <c r="AF203" i="20"/>
  <c r="R203" i="20"/>
  <c r="V203" i="20"/>
  <c r="Y203" i="20"/>
  <c r="AF202" i="20"/>
  <c r="R202" i="20"/>
  <c r="AF201" i="20"/>
  <c r="T201" i="20"/>
  <c r="U201" i="20"/>
  <c r="Y201" i="20"/>
  <c r="M201" i="20"/>
  <c r="AF200" i="20"/>
  <c r="AE200" i="20"/>
  <c r="T200" i="20"/>
  <c r="Y200" i="20"/>
  <c r="M200" i="20"/>
  <c r="AF199" i="20"/>
  <c r="O199" i="20"/>
  <c r="V199" i="20"/>
  <c r="M199" i="20"/>
  <c r="M198" i="20"/>
  <c r="M197" i="20"/>
  <c r="AF196" i="20"/>
  <c r="T196" i="20"/>
  <c r="U196" i="20"/>
  <c r="V196" i="20"/>
  <c r="M196" i="20"/>
  <c r="O195" i="20"/>
  <c r="V195" i="20"/>
  <c r="M195" i="20"/>
  <c r="O194" i="20"/>
  <c r="M194" i="20"/>
  <c r="AF193" i="20"/>
  <c r="Y193" i="20"/>
  <c r="M193" i="20"/>
  <c r="AF192" i="20"/>
  <c r="V192" i="20"/>
  <c r="Y192" i="20"/>
  <c r="M192" i="20"/>
  <c r="AF191" i="20"/>
  <c r="O191" i="20"/>
  <c r="W191" i="20"/>
  <c r="AF190" i="20"/>
  <c r="O190" i="20"/>
  <c r="T190" i="20"/>
  <c r="W190" i="20"/>
  <c r="Y190" i="20"/>
  <c r="M190" i="20"/>
  <c r="AF189" i="20"/>
  <c r="O189" i="20"/>
  <c r="M189" i="20"/>
  <c r="AF188" i="20"/>
  <c r="M188" i="20"/>
  <c r="AF187" i="20"/>
  <c r="O187" i="20"/>
  <c r="T187" i="20"/>
  <c r="U187" i="20"/>
  <c r="W187" i="20"/>
  <c r="Y187" i="20"/>
  <c r="M187" i="20"/>
  <c r="AF186" i="20"/>
  <c r="O186" i="20"/>
  <c r="W186" i="20"/>
  <c r="M186" i="20"/>
  <c r="AF185" i="20"/>
  <c r="O185" i="20"/>
  <c r="M185" i="20"/>
  <c r="AF184" i="20"/>
  <c r="O184" i="20"/>
  <c r="M184" i="20"/>
  <c r="O183" i="20"/>
  <c r="M183" i="20"/>
  <c r="O182" i="20"/>
  <c r="Y182" i="20"/>
  <c r="M182" i="20"/>
  <c r="AF181" i="20"/>
  <c r="M181" i="20"/>
  <c r="AF180" i="20"/>
  <c r="Y180" i="20"/>
  <c r="M180" i="20"/>
  <c r="AF179" i="20"/>
  <c r="O179" i="20"/>
  <c r="M179" i="20"/>
  <c r="O178" i="20"/>
  <c r="T178" i="20"/>
  <c r="V178" i="20"/>
  <c r="M178" i="20"/>
  <c r="O177" i="20"/>
  <c r="T177" i="20"/>
  <c r="Y177" i="20"/>
  <c r="M177" i="20"/>
  <c r="O176" i="20"/>
  <c r="T176" i="20"/>
  <c r="W176" i="20"/>
  <c r="M176" i="20"/>
  <c r="O175" i="20"/>
  <c r="M175" i="20"/>
  <c r="O174" i="20"/>
  <c r="M174" i="20"/>
  <c r="O173" i="20"/>
  <c r="M173" i="20"/>
  <c r="M172" i="20"/>
  <c r="AF171" i="20"/>
  <c r="M171" i="20"/>
  <c r="AF170" i="20"/>
  <c r="Y170" i="20"/>
  <c r="M170" i="20"/>
  <c r="R169" i="20"/>
  <c r="Y169" i="20"/>
  <c r="M169" i="20"/>
  <c r="Y168" i="20"/>
  <c r="M168" i="20"/>
  <c r="M167" i="20"/>
  <c r="O166" i="20"/>
  <c r="M166" i="20"/>
  <c r="AF165" i="20"/>
  <c r="Y165" i="20"/>
  <c r="W165" i="20"/>
  <c r="O165" i="20"/>
  <c r="M165" i="20"/>
  <c r="AF164" i="20"/>
  <c r="O164" i="20"/>
  <c r="T164" i="20"/>
  <c r="U164" i="20"/>
  <c r="W164" i="20"/>
  <c r="Y164" i="20"/>
  <c r="M164" i="20"/>
  <c r="O163" i="20"/>
  <c r="U163" i="20"/>
  <c r="V163" i="20"/>
  <c r="W163" i="20"/>
  <c r="Y163" i="20"/>
  <c r="M163" i="20"/>
  <c r="O162" i="20"/>
  <c r="Y162" i="20"/>
  <c r="M162" i="20"/>
  <c r="O161" i="20"/>
  <c r="M161" i="20"/>
  <c r="AF160" i="20"/>
  <c r="O160" i="20"/>
  <c r="M160" i="20"/>
  <c r="AF159" i="20"/>
  <c r="O159" i="20"/>
  <c r="V159" i="20"/>
  <c r="M159" i="20"/>
  <c r="AF158" i="20"/>
  <c r="T158" i="20"/>
  <c r="W158" i="20"/>
  <c r="Y158" i="20"/>
  <c r="M158" i="20"/>
  <c r="AF157" i="20"/>
  <c r="T157" i="20"/>
  <c r="W157" i="20"/>
  <c r="Y157" i="20"/>
  <c r="M157" i="20"/>
  <c r="O156" i="20"/>
  <c r="Y156" i="20"/>
  <c r="AF155" i="20"/>
  <c r="M155" i="20"/>
  <c r="AF154" i="20"/>
  <c r="O154" i="20"/>
  <c r="Y154" i="20"/>
  <c r="M154" i="20"/>
  <c r="AF153" i="20"/>
  <c r="M153" i="20"/>
  <c r="AF152" i="20"/>
  <c r="O152" i="20"/>
  <c r="W152" i="20"/>
  <c r="M152" i="20"/>
  <c r="AF151" i="20"/>
  <c r="O151" i="20"/>
  <c r="Y151" i="20"/>
  <c r="M151" i="20"/>
  <c r="O150" i="20"/>
  <c r="Y150" i="20"/>
  <c r="M150" i="20"/>
  <c r="O149" i="20"/>
  <c r="W149" i="20"/>
  <c r="Y149" i="20"/>
  <c r="M149" i="20"/>
  <c r="AF148" i="20"/>
  <c r="AB148" i="20"/>
  <c r="O148" i="20"/>
  <c r="R148" i="20"/>
  <c r="T148" i="20"/>
  <c r="V148" i="20"/>
  <c r="W148" i="20"/>
  <c r="X148" i="20"/>
  <c r="Y148" i="20"/>
  <c r="AF147" i="20"/>
  <c r="AB147" i="20"/>
  <c r="O147" i="20"/>
  <c r="R147" i="20"/>
  <c r="T147" i="20"/>
  <c r="V147" i="20"/>
  <c r="W147" i="20"/>
  <c r="X147" i="20"/>
  <c r="Y147" i="20"/>
  <c r="AH146" i="20"/>
  <c r="O146" i="20"/>
  <c r="M146" i="20"/>
  <c r="O145" i="20"/>
  <c r="R145" i="20"/>
  <c r="T145" i="20"/>
  <c r="W145" i="20"/>
  <c r="M145" i="20"/>
  <c r="O144" i="20"/>
  <c r="W144" i="20"/>
  <c r="Y144" i="20"/>
  <c r="M144" i="20"/>
  <c r="O143" i="20"/>
  <c r="M143" i="20"/>
  <c r="O142" i="20"/>
  <c r="U142" i="20"/>
  <c r="Y142" i="20"/>
  <c r="M142" i="20"/>
  <c r="M141" i="20"/>
  <c r="M140" i="20"/>
  <c r="M139" i="20"/>
  <c r="O138" i="20"/>
  <c r="M138" i="20"/>
  <c r="M137" i="20"/>
  <c r="AF136" i="20"/>
  <c r="M136" i="20"/>
  <c r="AF135" i="20"/>
  <c r="O135" i="20"/>
  <c r="Y135" i="20"/>
  <c r="M135" i="20"/>
  <c r="AF134" i="20"/>
  <c r="Y134" i="20"/>
  <c r="M134" i="20"/>
  <c r="AF133" i="20"/>
  <c r="Y133" i="20"/>
  <c r="M133" i="20"/>
  <c r="AF132" i="20"/>
  <c r="M132" i="20"/>
  <c r="AF131" i="20"/>
  <c r="O131" i="20"/>
  <c r="T131" i="20"/>
  <c r="Y131" i="20"/>
  <c r="M131" i="20"/>
  <c r="O130" i="20"/>
  <c r="Y130" i="20"/>
  <c r="M130" i="20"/>
  <c r="Y129" i="20"/>
  <c r="M129" i="20"/>
  <c r="Y128" i="20"/>
  <c r="M128" i="20"/>
  <c r="O127" i="20"/>
  <c r="W127" i="20"/>
  <c r="Y127" i="20"/>
  <c r="M127" i="20"/>
  <c r="AF126" i="20"/>
  <c r="O126" i="20"/>
  <c r="Y126" i="20"/>
  <c r="M126" i="20"/>
  <c r="AF125" i="20"/>
  <c r="O125" i="20"/>
  <c r="T125" i="20"/>
  <c r="U125" i="20"/>
  <c r="W125" i="20"/>
  <c r="X125" i="20"/>
  <c r="Y125" i="20"/>
  <c r="M125" i="20"/>
  <c r="AF124" i="20"/>
  <c r="O124" i="20"/>
  <c r="T124" i="20"/>
  <c r="U124" i="20"/>
  <c r="W124" i="20"/>
  <c r="Y124" i="20"/>
  <c r="M124" i="20"/>
  <c r="AF123" i="20"/>
  <c r="O123" i="20"/>
  <c r="M123" i="20"/>
  <c r="AF122" i="20"/>
  <c r="Y122" i="20"/>
  <c r="M122" i="20"/>
  <c r="Y121" i="20"/>
  <c r="M121" i="20"/>
  <c r="Y120" i="20"/>
  <c r="M120" i="20"/>
  <c r="Y119" i="20"/>
  <c r="M119" i="20"/>
  <c r="AF118" i="20"/>
  <c r="Y118" i="20"/>
  <c r="M118" i="20"/>
  <c r="AF117" i="20"/>
  <c r="M117" i="20"/>
  <c r="AF116" i="20"/>
  <c r="O116" i="20"/>
  <c r="V116" i="20"/>
  <c r="W116" i="20"/>
  <c r="X116" i="20"/>
  <c r="Y116" i="20"/>
  <c r="M116" i="20"/>
  <c r="AF115" i="20"/>
  <c r="AB115" i="20"/>
  <c r="O115" i="20"/>
  <c r="V115" i="20"/>
  <c r="X115" i="20"/>
  <c r="Y115" i="20"/>
  <c r="M115" i="20"/>
  <c r="AF114" i="20"/>
  <c r="M114" i="20"/>
  <c r="O113" i="20"/>
  <c r="R113" i="20"/>
  <c r="Y113" i="20"/>
  <c r="M113" i="20"/>
  <c r="O112" i="20"/>
  <c r="Y112" i="20"/>
  <c r="M112" i="20"/>
  <c r="AF111" i="20"/>
  <c r="Y111" i="20"/>
  <c r="M111" i="20"/>
  <c r="AF110" i="20"/>
  <c r="Y110" i="20"/>
  <c r="M110" i="20"/>
  <c r="AB109" i="20"/>
  <c r="O109" i="20"/>
  <c r="Y109" i="20"/>
  <c r="O108" i="20"/>
  <c r="Y108" i="20"/>
  <c r="M107" i="20"/>
  <c r="M106" i="20"/>
  <c r="AF105" i="20"/>
  <c r="O105" i="20"/>
  <c r="V105" i="20"/>
  <c r="W105" i="20"/>
  <c r="Y105" i="20"/>
  <c r="M105" i="20"/>
  <c r="O104" i="20"/>
  <c r="R104" i="20"/>
  <c r="V104" i="20"/>
  <c r="W104" i="20"/>
  <c r="X104" i="20"/>
  <c r="Y104" i="20"/>
  <c r="M104" i="20"/>
  <c r="M103" i="20"/>
  <c r="O102" i="20"/>
  <c r="S102" i="20"/>
  <c r="W102" i="20"/>
  <c r="M102" i="20"/>
  <c r="AF101" i="20"/>
  <c r="O101" i="20"/>
  <c r="S101" i="20"/>
  <c r="W101" i="20"/>
  <c r="Y101" i="20"/>
  <c r="M101" i="20"/>
  <c r="AF100" i="20"/>
  <c r="O100" i="20"/>
  <c r="Y100" i="20"/>
  <c r="M100" i="20"/>
  <c r="AF99" i="20"/>
  <c r="M99" i="20"/>
  <c r="O98" i="20"/>
  <c r="M98" i="20"/>
  <c r="AF97" i="20"/>
  <c r="O97" i="20"/>
  <c r="M97" i="20"/>
  <c r="O96" i="20"/>
  <c r="M96" i="20"/>
  <c r="AF95" i="20"/>
  <c r="O95" i="20"/>
  <c r="V95" i="20"/>
  <c r="W95" i="20"/>
  <c r="Y95" i="20"/>
  <c r="M95" i="20"/>
  <c r="O94" i="20"/>
  <c r="O93" i="20"/>
  <c r="O88" i="20"/>
  <c r="Y88" i="20"/>
  <c r="M88" i="20"/>
  <c r="AF87" i="20"/>
  <c r="O87" i="20"/>
  <c r="V87" i="20"/>
  <c r="Y87" i="20"/>
  <c r="M87" i="20"/>
  <c r="AF86" i="20"/>
  <c r="M86" i="20"/>
  <c r="AF85" i="20"/>
  <c r="O85" i="20"/>
  <c r="M85" i="20"/>
  <c r="AF84" i="20"/>
  <c r="V84" i="20"/>
  <c r="M84" i="20"/>
  <c r="X83" i="20"/>
  <c r="Y83" i="20"/>
  <c r="M83" i="20"/>
  <c r="T82" i="20"/>
  <c r="X82" i="20"/>
  <c r="Y82" i="20"/>
  <c r="M82" i="20"/>
  <c r="M81" i="20"/>
  <c r="W80" i="20"/>
  <c r="Y80" i="20"/>
  <c r="M80" i="20"/>
  <c r="AF79" i="20"/>
  <c r="M79" i="20"/>
  <c r="AF78" i="20"/>
  <c r="O78" i="20"/>
  <c r="W78" i="20"/>
  <c r="X78" i="20"/>
  <c r="Y78" i="20"/>
  <c r="M78" i="20"/>
  <c r="AF77" i="20"/>
  <c r="R77" i="20"/>
  <c r="M77" i="20"/>
  <c r="AF76" i="20"/>
  <c r="AB75" i="20"/>
  <c r="O75" i="20"/>
  <c r="W75" i="20"/>
  <c r="Y75" i="20"/>
  <c r="M75" i="20"/>
  <c r="O74" i="20"/>
  <c r="R74" i="20"/>
  <c r="T74" i="20"/>
  <c r="V74" i="20"/>
  <c r="W74" i="20"/>
  <c r="X74" i="20"/>
  <c r="Y74" i="20"/>
  <c r="M74" i="20"/>
  <c r="AF73" i="20"/>
  <c r="O73" i="20"/>
  <c r="T73" i="20"/>
  <c r="W73" i="20"/>
  <c r="X73" i="20"/>
  <c r="Y73" i="20"/>
  <c r="M73" i="20"/>
  <c r="AF72" i="20"/>
  <c r="M72" i="20"/>
  <c r="AF71" i="20"/>
  <c r="O71" i="20"/>
  <c r="AF70" i="20"/>
  <c r="O70" i="20"/>
  <c r="AF69" i="20"/>
  <c r="O69" i="20"/>
  <c r="O68" i="20"/>
  <c r="M68" i="20"/>
  <c r="AF67" i="20"/>
  <c r="O67" i="20"/>
  <c r="T67" i="20"/>
  <c r="Y67" i="20"/>
  <c r="M67" i="20"/>
  <c r="AF66" i="20"/>
  <c r="O66" i="20"/>
  <c r="Y66" i="20"/>
  <c r="M66" i="20"/>
  <c r="M65" i="20"/>
  <c r="M64" i="20"/>
  <c r="AF63" i="20"/>
  <c r="O63" i="20"/>
  <c r="M63" i="20"/>
  <c r="AF62" i="20"/>
  <c r="M62" i="20"/>
  <c r="O61" i="20"/>
  <c r="T61" i="20"/>
  <c r="Y61" i="20"/>
  <c r="M61" i="20"/>
  <c r="AF60" i="20"/>
  <c r="O60" i="20"/>
  <c r="Y60" i="20"/>
  <c r="M60" i="20"/>
  <c r="O59" i="20"/>
  <c r="M59" i="20"/>
  <c r="O58" i="20"/>
  <c r="W58" i="20"/>
  <c r="Y58" i="20"/>
  <c r="M58" i="20"/>
  <c r="AF57" i="20"/>
  <c r="O57" i="20"/>
  <c r="M57" i="20"/>
  <c r="O56" i="20"/>
  <c r="W56" i="20"/>
  <c r="M56" i="20"/>
  <c r="AF55" i="20"/>
  <c r="M55" i="20"/>
  <c r="AF54" i="20"/>
  <c r="O54" i="20"/>
  <c r="R54" i="20"/>
  <c r="S54" i="20"/>
  <c r="W54" i="20"/>
  <c r="X54" i="20"/>
  <c r="Y54" i="20"/>
  <c r="M54" i="20"/>
  <c r="AF53" i="20"/>
  <c r="O53" i="20"/>
  <c r="W53" i="20"/>
  <c r="Y53" i="20"/>
  <c r="M53" i="20"/>
  <c r="AF52" i="20"/>
  <c r="O52" i="20"/>
  <c r="Y52" i="20"/>
  <c r="M52" i="20"/>
  <c r="O51" i="20"/>
  <c r="Y51" i="20"/>
  <c r="M51" i="20"/>
  <c r="O50" i="20"/>
  <c r="M50" i="20"/>
  <c r="AF49" i="20"/>
  <c r="O49" i="20"/>
  <c r="M49" i="20"/>
  <c r="M48" i="20"/>
  <c r="AF47" i="20"/>
  <c r="M47" i="20"/>
  <c r="O46" i="20"/>
  <c r="M46" i="20"/>
  <c r="M45" i="20"/>
  <c r="M44" i="20"/>
  <c r="Y43" i="20"/>
  <c r="M43" i="20"/>
  <c r="Y42" i="20"/>
  <c r="M42" i="20"/>
  <c r="M41" i="20"/>
  <c r="Y40" i="20"/>
  <c r="M40" i="20"/>
  <c r="Y39" i="20"/>
  <c r="M39" i="20"/>
  <c r="AF38" i="20"/>
  <c r="V38" i="20"/>
  <c r="Y38" i="20"/>
  <c r="M38" i="20"/>
  <c r="AF37" i="20"/>
  <c r="O37" i="20"/>
  <c r="Y37" i="20"/>
  <c r="O36" i="20"/>
  <c r="S36" i="20"/>
  <c r="W36" i="20"/>
  <c r="Y36" i="20"/>
  <c r="M36" i="20"/>
  <c r="O35" i="20"/>
  <c r="M35" i="20"/>
  <c r="O34" i="20"/>
  <c r="R34" i="20"/>
  <c r="S34" i="20"/>
  <c r="W34" i="20"/>
  <c r="Y34" i="20"/>
  <c r="M34" i="20"/>
  <c r="AF33" i="20"/>
  <c r="O33" i="20"/>
  <c r="S33" i="20"/>
  <c r="M33" i="20"/>
  <c r="O32" i="20"/>
  <c r="M32" i="20"/>
  <c r="AF31" i="20"/>
  <c r="M31" i="20"/>
  <c r="AF30" i="20"/>
  <c r="AE30" i="20"/>
  <c r="O30" i="20"/>
  <c r="S30" i="20"/>
  <c r="W30" i="20"/>
  <c r="Y30" i="20"/>
  <c r="M30" i="20"/>
  <c r="AF29" i="20"/>
  <c r="O29" i="20"/>
  <c r="W29" i="20"/>
  <c r="Y29" i="20"/>
  <c r="M29" i="20"/>
  <c r="O28" i="20"/>
  <c r="O27" i="20"/>
  <c r="Y27" i="20"/>
  <c r="O26" i="20"/>
  <c r="Y26" i="20"/>
  <c r="AF25" i="20"/>
  <c r="AF24" i="20"/>
  <c r="O24" i="20"/>
  <c r="AF23" i="20"/>
  <c r="R23" i="20"/>
  <c r="V23" i="20"/>
  <c r="W23" i="20"/>
  <c r="X23" i="20"/>
  <c r="Y23" i="20"/>
  <c r="O22" i="20"/>
  <c r="O21" i="20"/>
  <c r="O20" i="20"/>
  <c r="AF19" i="20"/>
  <c r="M19" i="20"/>
  <c r="AF18" i="20"/>
  <c r="Y18" i="20"/>
  <c r="M18" i="20"/>
  <c r="AF17" i="20"/>
  <c r="O17" i="20"/>
  <c r="W17" i="20"/>
  <c r="Y17" i="20"/>
  <c r="Y16" i="20"/>
  <c r="V16" i="20"/>
  <c r="V15" i="20"/>
  <c r="AF14" i="20"/>
  <c r="V14" i="20"/>
  <c r="R13" i="20"/>
  <c r="W13" i="20"/>
  <c r="Y13" i="20"/>
  <c r="O12" i="20"/>
  <c r="R12" i="20"/>
  <c r="X12" i="20"/>
  <c r="Y12" i="20"/>
  <c r="O11" i="20"/>
  <c r="R11" i="20"/>
  <c r="V11" i="20"/>
  <c r="W11" i="20"/>
  <c r="X11" i="20"/>
  <c r="Y11" i="20"/>
  <c r="AF10" i="20"/>
  <c r="R10" i="20"/>
  <c r="V10" i="20"/>
  <c r="W10" i="20"/>
  <c r="X10" i="20"/>
  <c r="Y10" i="20"/>
  <c r="O9" i="20"/>
  <c r="AF7" i="20"/>
  <c r="AF6" i="20"/>
  <c r="R6" i="20"/>
  <c r="W6" i="20"/>
  <c r="X6" i="20"/>
  <c r="Y6" i="20"/>
  <c r="AF5" i="20"/>
  <c r="Y5" i="20"/>
  <c r="AF4" i="20"/>
  <c r="AG3" i="20"/>
  <c r="AG2" i="20"/>
  <c r="AF2" i="20"/>
  <c r="O34" i="19"/>
  <c r="R34" i="19"/>
  <c r="S34" i="19"/>
  <c r="W34" i="19"/>
  <c r="Y34" i="19"/>
  <c r="O33" i="19"/>
  <c r="R33" i="19"/>
  <c r="S33" i="19"/>
  <c r="W33" i="19"/>
  <c r="Y33" i="19"/>
  <c r="O32" i="19"/>
  <c r="R32" i="19"/>
  <c r="W32" i="19"/>
  <c r="O31" i="19"/>
  <c r="R31" i="19"/>
  <c r="W31" i="19"/>
  <c r="O30" i="19"/>
  <c r="S30" i="19"/>
  <c r="Y30" i="19"/>
  <c r="O29" i="19"/>
  <c r="S29" i="19"/>
  <c r="Y29" i="19"/>
  <c r="AD27" i="19"/>
  <c r="O25" i="19"/>
  <c r="W25" i="19"/>
  <c r="X25" i="19"/>
  <c r="Y25" i="19"/>
  <c r="O24" i="19"/>
  <c r="R24" i="19"/>
  <c r="T24" i="19"/>
  <c r="U24" i="19"/>
  <c r="V24" i="19"/>
  <c r="W24" i="19"/>
  <c r="Y24" i="19"/>
  <c r="AB22" i="19"/>
  <c r="AB21" i="19"/>
  <c r="AI20" i="19"/>
  <c r="AH20" i="19"/>
  <c r="R19" i="19"/>
  <c r="S18" i="19"/>
  <c r="AH16" i="19"/>
  <c r="AG16" i="19"/>
  <c r="AE16" i="19"/>
  <c r="O16" i="19"/>
  <c r="T16" i="19"/>
  <c r="X16" i="19"/>
  <c r="Y16" i="19"/>
  <c r="AH15" i="19"/>
  <c r="AG15" i="19"/>
  <c r="AF15" i="19"/>
  <c r="O15" i="19"/>
  <c r="T15" i="19"/>
  <c r="X15" i="19"/>
  <c r="Y15" i="19"/>
  <c r="AJ14" i="19"/>
  <c r="AJ13" i="19"/>
  <c r="O12" i="19"/>
  <c r="R12" i="19"/>
  <c r="S12" i="19"/>
  <c r="W12" i="19"/>
  <c r="O11" i="19"/>
  <c r="O10" i="19"/>
  <c r="W10" i="19"/>
  <c r="O9" i="19"/>
  <c r="O8" i="19"/>
  <c r="Y8" i="19"/>
  <c r="AI7" i="19"/>
  <c r="O7" i="19"/>
  <c r="O6" i="19"/>
  <c r="O4" i="19"/>
  <c r="W4" i="19"/>
  <c r="Y4" i="19"/>
  <c r="O3" i="19"/>
  <c r="W3" i="19"/>
  <c r="Y3" i="19"/>
  <c r="O2" i="19"/>
  <c r="T2" i="19"/>
  <c r="W2" i="19"/>
  <c r="Y2" i="19"/>
  <c r="M307" i="17"/>
  <c r="O306" i="17"/>
  <c r="M306" i="17"/>
  <c r="O305" i="17"/>
  <c r="M305" i="17"/>
  <c r="O304" i="17"/>
  <c r="M304" i="17"/>
  <c r="AI303" i="17"/>
  <c r="O303" i="17"/>
  <c r="M303" i="17"/>
  <c r="O302" i="17"/>
  <c r="R302" i="17"/>
  <c r="T302" i="17"/>
  <c r="W302" i="17"/>
  <c r="X302" i="17"/>
  <c r="Y302" i="17"/>
  <c r="AJ301" i="17"/>
  <c r="O301" i="17"/>
  <c r="R301" i="17"/>
  <c r="T301" i="17"/>
  <c r="W301" i="17"/>
  <c r="X301" i="17"/>
  <c r="Y301" i="17"/>
  <c r="O300" i="17"/>
  <c r="R300" i="17"/>
  <c r="T300" i="17"/>
  <c r="W300" i="17"/>
  <c r="X300" i="17"/>
  <c r="Y300" i="17"/>
  <c r="O299" i="17"/>
  <c r="R299" i="17"/>
  <c r="T299" i="17"/>
  <c r="W299" i="17"/>
  <c r="X299" i="17"/>
  <c r="Y299" i="17"/>
  <c r="O298" i="17"/>
  <c r="R298" i="17"/>
  <c r="T298" i="17"/>
  <c r="V298" i="17"/>
  <c r="W298" i="17"/>
  <c r="X298" i="17"/>
  <c r="Y298" i="17"/>
  <c r="M283" i="17"/>
  <c r="O282" i="17"/>
  <c r="R282" i="17"/>
  <c r="T282" i="17"/>
  <c r="Y282" i="17"/>
  <c r="O281" i="17"/>
  <c r="R281" i="17"/>
  <c r="T281" i="17"/>
  <c r="W281" i="17"/>
  <c r="X281" i="17"/>
  <c r="Y281" i="17"/>
  <c r="O280" i="17"/>
  <c r="T280" i="17"/>
  <c r="W280" i="17"/>
  <c r="X280" i="17"/>
  <c r="Y280" i="17"/>
  <c r="O279" i="17"/>
  <c r="T279" i="17"/>
  <c r="W279" i="17"/>
  <c r="Y279" i="17"/>
  <c r="M274" i="17"/>
  <c r="M250" i="17"/>
  <c r="O249" i="17"/>
  <c r="AL248" i="17"/>
  <c r="AH248" i="17"/>
  <c r="O248" i="17"/>
  <c r="Y248" i="17"/>
  <c r="AL247" i="17"/>
  <c r="AH247" i="17"/>
  <c r="O247" i="17"/>
  <c r="AK246" i="17"/>
  <c r="AI246" i="17"/>
  <c r="O246" i="17"/>
  <c r="R246" i="17"/>
  <c r="S246" i="17"/>
  <c r="W246" i="17"/>
  <c r="Y246" i="17"/>
  <c r="O245" i="17"/>
  <c r="R245" i="17"/>
  <c r="V245" i="17"/>
  <c r="AK244" i="17"/>
  <c r="O244" i="17"/>
  <c r="R244" i="17"/>
  <c r="M244" i="17"/>
  <c r="AK243" i="17"/>
  <c r="AI243" i="17"/>
  <c r="O243" i="17"/>
  <c r="S243" i="17"/>
  <c r="AM239" i="17"/>
  <c r="AM238" i="17"/>
  <c r="AE227" i="17"/>
  <c r="O223" i="17"/>
  <c r="V223" i="17"/>
  <c r="X223" i="17"/>
  <c r="Y223" i="17"/>
  <c r="O222" i="17"/>
  <c r="S222" i="17"/>
  <c r="T222" i="17"/>
  <c r="V222" i="17"/>
  <c r="Y222" i="17"/>
  <c r="AL221" i="17"/>
  <c r="AH221" i="17"/>
  <c r="O221" i="17"/>
  <c r="W221" i="17"/>
  <c r="X221" i="17"/>
  <c r="Y221" i="17"/>
  <c r="AL220" i="17"/>
  <c r="AH220" i="17"/>
  <c r="AI214" i="17"/>
  <c r="AI212" i="17"/>
  <c r="AI211" i="17"/>
  <c r="M205" i="17"/>
  <c r="Y203" i="17"/>
  <c r="AD195" i="17"/>
  <c r="O195" i="17"/>
  <c r="AD194" i="17"/>
  <c r="O194" i="17"/>
  <c r="AD193" i="17"/>
  <c r="O193" i="17"/>
  <c r="AJ192" i="17"/>
  <c r="O192" i="17"/>
  <c r="R192" i="17"/>
  <c r="T192" i="17"/>
  <c r="Y192" i="17"/>
  <c r="AD191" i="17"/>
  <c r="O191" i="17"/>
  <c r="R191" i="17"/>
  <c r="T191" i="17"/>
  <c r="U191" i="17"/>
  <c r="X191" i="17"/>
  <c r="Y191" i="17"/>
  <c r="AJ190" i="17"/>
  <c r="AD190" i="17"/>
  <c r="O190" i="17"/>
  <c r="T190" i="17"/>
  <c r="W190" i="17"/>
  <c r="X190" i="17"/>
  <c r="Y190" i="17"/>
  <c r="AJ189" i="17"/>
  <c r="AD189" i="17"/>
  <c r="O189" i="17"/>
  <c r="R189" i="17"/>
  <c r="T189" i="17"/>
  <c r="X189" i="17"/>
  <c r="Y189" i="17"/>
  <c r="AJ188" i="17"/>
  <c r="AD188" i="17"/>
  <c r="O188" i="17"/>
  <c r="R188" i="17"/>
  <c r="T188" i="17"/>
  <c r="V188" i="17"/>
  <c r="X188" i="17"/>
  <c r="Y188" i="17"/>
  <c r="AD187" i="17"/>
  <c r="O187" i="17"/>
  <c r="T187" i="17"/>
  <c r="V187" i="17"/>
  <c r="Y187" i="17"/>
  <c r="AD186" i="17"/>
  <c r="O186" i="17"/>
  <c r="T186" i="17"/>
  <c r="Y186" i="17"/>
  <c r="AD185" i="17"/>
  <c r="Y185" i="17"/>
  <c r="AD184" i="17"/>
  <c r="O184" i="17"/>
  <c r="R184" i="17"/>
  <c r="T184" i="17"/>
  <c r="Y184" i="17"/>
  <c r="AD183" i="17"/>
  <c r="O183" i="17"/>
  <c r="R183" i="17"/>
  <c r="S183" i="17"/>
  <c r="T183" i="17"/>
  <c r="V183" i="17"/>
  <c r="W183" i="17"/>
  <c r="X183" i="17"/>
  <c r="Y183" i="17"/>
  <c r="AD182" i="17"/>
  <c r="O182" i="17"/>
  <c r="T182" i="17"/>
  <c r="W182" i="17"/>
  <c r="Y182" i="17"/>
  <c r="AD181" i="17"/>
  <c r="O181" i="17"/>
  <c r="T181" i="17"/>
  <c r="W181" i="17"/>
  <c r="X181" i="17"/>
  <c r="Y181" i="17"/>
  <c r="AD180" i="17"/>
  <c r="O180" i="17"/>
  <c r="R180" i="17"/>
  <c r="T180" i="17"/>
  <c r="W180" i="17"/>
  <c r="AD178" i="17"/>
  <c r="O178" i="17"/>
  <c r="AM176" i="17"/>
  <c r="AD176" i="17"/>
  <c r="AM175" i="17"/>
  <c r="AD175" i="17"/>
  <c r="AM174" i="17"/>
  <c r="O174" i="17"/>
  <c r="AM173" i="17"/>
  <c r="AD173" i="17"/>
  <c r="AM172" i="17"/>
  <c r="O172" i="17"/>
  <c r="AD170" i="17"/>
  <c r="O170" i="17"/>
  <c r="O169" i="17"/>
  <c r="AD168" i="17"/>
  <c r="O168" i="17"/>
  <c r="V168" i="17"/>
  <c r="Y168" i="17"/>
  <c r="O167" i="17"/>
  <c r="AD166" i="17"/>
  <c r="O166" i="17"/>
  <c r="S166" i="17"/>
  <c r="V166" i="17"/>
  <c r="AD165" i="17"/>
  <c r="O165" i="17"/>
  <c r="V165" i="17"/>
  <c r="AD164" i="17"/>
  <c r="O164" i="17"/>
  <c r="S164" i="17"/>
  <c r="AD163" i="17"/>
  <c r="O163" i="17"/>
  <c r="W163" i="17"/>
  <c r="Y163" i="17"/>
  <c r="Y162" i="17"/>
  <c r="AD161" i="17"/>
  <c r="O161" i="17"/>
  <c r="W161" i="17"/>
  <c r="Y161" i="17"/>
  <c r="Y160" i="17"/>
  <c r="AD159" i="17"/>
  <c r="Y159" i="17"/>
  <c r="O158" i="17"/>
  <c r="Y158" i="17"/>
  <c r="AD156" i="17"/>
  <c r="Y156" i="17"/>
  <c r="Y155" i="17"/>
  <c r="AD154" i="17"/>
  <c r="O154" i="17"/>
  <c r="W154" i="17"/>
  <c r="Y154" i="17"/>
  <c r="Y153" i="17"/>
  <c r="AD152" i="17"/>
  <c r="O152" i="17"/>
  <c r="R152" i="17"/>
  <c r="S152" i="17"/>
  <c r="X152" i="17"/>
  <c r="Y152" i="17"/>
  <c r="O151" i="17"/>
  <c r="R151" i="17"/>
  <c r="S151" i="17"/>
  <c r="X151" i="17"/>
  <c r="Y151" i="17"/>
  <c r="AD150" i="17"/>
  <c r="Y150" i="17"/>
  <c r="AD147" i="17"/>
  <c r="Y147" i="17"/>
  <c r="AD145" i="17"/>
  <c r="O145" i="17"/>
  <c r="S145" i="17"/>
  <c r="W145" i="17"/>
  <c r="Y145" i="17"/>
  <c r="O144" i="17"/>
  <c r="AD142" i="17"/>
  <c r="Y142" i="17"/>
  <c r="Y141" i="17"/>
  <c r="AD140" i="17"/>
  <c r="O140" i="17"/>
  <c r="W140" i="17"/>
  <c r="Y140" i="17"/>
  <c r="O139" i="17"/>
  <c r="W139" i="17"/>
  <c r="AD137" i="17"/>
  <c r="O136" i="17"/>
  <c r="S136" i="17"/>
  <c r="Y136" i="17"/>
  <c r="AD135" i="17"/>
  <c r="O135" i="17"/>
  <c r="W135" i="17"/>
  <c r="Y135" i="17"/>
  <c r="V133" i="17"/>
  <c r="Y133" i="17"/>
  <c r="AD132" i="17"/>
  <c r="O132" i="17"/>
  <c r="Y132" i="17"/>
  <c r="O130" i="17"/>
  <c r="R130" i="17"/>
  <c r="S130" i="17"/>
  <c r="Y130" i="17"/>
  <c r="O128" i="17"/>
  <c r="S128" i="17"/>
  <c r="AH127" i="17"/>
  <c r="O127" i="17"/>
  <c r="R127" i="17"/>
  <c r="S127" i="17"/>
  <c r="W127" i="17"/>
  <c r="Y127" i="17"/>
  <c r="AH126" i="17"/>
  <c r="AH125" i="17"/>
  <c r="O125" i="17"/>
  <c r="O124" i="17"/>
  <c r="S124" i="17"/>
  <c r="Y124" i="17"/>
  <c r="AH122" i="17"/>
  <c r="O122" i="17"/>
  <c r="AD121" i="17"/>
  <c r="O121" i="17"/>
  <c r="R121" i="17"/>
  <c r="S121" i="17"/>
  <c r="W121" i="17"/>
  <c r="Y121" i="17"/>
  <c r="O120" i="17"/>
  <c r="R120" i="17"/>
  <c r="S120" i="17"/>
  <c r="W120" i="17"/>
  <c r="X120" i="17"/>
  <c r="Y120" i="17"/>
  <c r="AI119" i="17"/>
  <c r="AH119" i="17"/>
  <c r="AD119" i="17"/>
  <c r="O119" i="17"/>
  <c r="Y119" i="17"/>
  <c r="AM118" i="17"/>
  <c r="AI118" i="17"/>
  <c r="AH118" i="17"/>
  <c r="O118" i="17"/>
  <c r="T118" i="17"/>
  <c r="Y118" i="17"/>
  <c r="AM117" i="17"/>
  <c r="AH117" i="17"/>
  <c r="AD117" i="17"/>
  <c r="O117" i="17"/>
  <c r="AD116" i="17"/>
  <c r="O116" i="17"/>
  <c r="Y116" i="17"/>
  <c r="AD115" i="17"/>
  <c r="Y115" i="17"/>
  <c r="AD114" i="17"/>
  <c r="Y114" i="17"/>
  <c r="AD113" i="17"/>
  <c r="O113" i="17"/>
  <c r="Y113" i="17"/>
  <c r="S112" i="17"/>
  <c r="T112" i="17"/>
  <c r="Y112" i="17"/>
  <c r="AM110" i="17"/>
  <c r="AH110" i="17"/>
  <c r="O110" i="17"/>
  <c r="Y110" i="17"/>
  <c r="AM109" i="17"/>
  <c r="AH109" i="17"/>
  <c r="O109" i="17"/>
  <c r="Y109" i="17"/>
  <c r="M108" i="17"/>
  <c r="M107" i="17"/>
  <c r="M106" i="17"/>
  <c r="M105" i="17"/>
  <c r="O104" i="17"/>
  <c r="M104" i="17"/>
  <c r="O103" i="17"/>
  <c r="S103" i="17"/>
  <c r="M103" i="17"/>
  <c r="M102" i="17"/>
  <c r="O101" i="17"/>
  <c r="S101" i="17"/>
  <c r="T101" i="17"/>
  <c r="M101" i="17"/>
  <c r="O100" i="17"/>
  <c r="M100" i="17"/>
  <c r="O99" i="17"/>
  <c r="M99" i="17"/>
  <c r="M98" i="17"/>
  <c r="O97" i="17"/>
  <c r="M97" i="17"/>
  <c r="M96" i="17"/>
  <c r="M95" i="17"/>
  <c r="M94" i="17"/>
  <c r="M93" i="17"/>
  <c r="M92" i="17"/>
  <c r="M91" i="17"/>
  <c r="M90" i="17"/>
  <c r="M89" i="17"/>
  <c r="M88" i="17"/>
  <c r="M87" i="17"/>
  <c r="M86" i="17"/>
  <c r="M85" i="17"/>
  <c r="M84" i="17"/>
  <c r="M83" i="17"/>
  <c r="M82" i="17"/>
  <c r="M81" i="17"/>
  <c r="AM80" i="17"/>
  <c r="AH80" i="17"/>
  <c r="O80" i="17"/>
  <c r="R80" i="17"/>
  <c r="Y80" i="17"/>
  <c r="M80" i="17"/>
  <c r="AM79" i="17"/>
  <c r="AH79" i="17"/>
  <c r="O79" i="17"/>
  <c r="R79" i="17"/>
  <c r="T79" i="17"/>
  <c r="V79" i="17"/>
  <c r="X79" i="17"/>
  <c r="Y79" i="17"/>
  <c r="M79" i="17"/>
  <c r="AE78" i="17"/>
  <c r="O78" i="17"/>
  <c r="R78" i="17"/>
  <c r="T78" i="17"/>
  <c r="V78" i="17"/>
  <c r="W78" i="17"/>
  <c r="Y78" i="17"/>
  <c r="M78" i="17"/>
  <c r="V77" i="17"/>
  <c r="W77" i="17"/>
  <c r="Y77" i="17"/>
  <c r="M77" i="17"/>
  <c r="O76" i="17"/>
  <c r="R76" i="17"/>
  <c r="Y76" i="17"/>
  <c r="M76" i="17"/>
  <c r="M75" i="17"/>
  <c r="M74" i="17"/>
  <c r="M73" i="17"/>
  <c r="M72" i="17"/>
  <c r="M71" i="17"/>
  <c r="M70" i="17"/>
  <c r="AJ69" i="17"/>
  <c r="O69" i="17"/>
  <c r="R69" i="17"/>
  <c r="T69" i="17"/>
  <c r="Y69" i="17"/>
  <c r="M69" i="17"/>
  <c r="AJ68" i="17"/>
  <c r="O68" i="17"/>
  <c r="R68" i="17"/>
  <c r="T68" i="17"/>
  <c r="Y68" i="17"/>
  <c r="M68" i="17"/>
  <c r="AJ67" i="17"/>
  <c r="O67" i="17"/>
  <c r="R67" i="17"/>
  <c r="T67" i="17"/>
  <c r="W67" i="17"/>
  <c r="Y67" i="17"/>
  <c r="M67" i="17"/>
  <c r="AJ66" i="17"/>
  <c r="T66" i="17"/>
  <c r="Y66" i="17"/>
  <c r="M66" i="17"/>
  <c r="AJ65" i="17"/>
  <c r="O65" i="17"/>
  <c r="R65" i="17"/>
  <c r="T65" i="17"/>
  <c r="W65" i="17"/>
  <c r="X65" i="17"/>
  <c r="Y65" i="17"/>
  <c r="M65" i="17"/>
  <c r="O61" i="17"/>
  <c r="O60" i="17"/>
  <c r="R60" i="17"/>
  <c r="S60" i="17"/>
  <c r="W60" i="17"/>
  <c r="Y60" i="17"/>
  <c r="O59" i="17"/>
  <c r="R59" i="17"/>
  <c r="S59" i="17"/>
  <c r="W59" i="17"/>
  <c r="Y59" i="17"/>
  <c r="O58" i="17"/>
  <c r="S58" i="17"/>
  <c r="O36" i="17"/>
  <c r="S36" i="17"/>
  <c r="M36" i="17"/>
  <c r="O35" i="17"/>
  <c r="S35" i="17"/>
  <c r="M35" i="17"/>
  <c r="O34" i="17"/>
  <c r="S34" i="17"/>
  <c r="Y34" i="17"/>
  <c r="M34" i="17"/>
  <c r="O33" i="17"/>
  <c r="S33" i="17"/>
  <c r="Y33" i="17"/>
  <c r="M33" i="17"/>
  <c r="M32" i="17"/>
  <c r="M31" i="17"/>
  <c r="M30" i="17"/>
  <c r="M29" i="17"/>
  <c r="O28" i="17"/>
  <c r="O27" i="17"/>
  <c r="O26" i="17"/>
  <c r="O25" i="17"/>
  <c r="S25" i="17"/>
  <c r="Y25" i="17"/>
  <c r="O24" i="17"/>
  <c r="S24" i="17"/>
  <c r="O23" i="17"/>
  <c r="S23" i="17"/>
  <c r="Y23" i="17"/>
  <c r="O22" i="17"/>
  <c r="R22" i="17"/>
  <c r="S22" i="17"/>
  <c r="V22" i="17"/>
  <c r="Y22" i="17"/>
  <c r="T21" i="17"/>
  <c r="V21" i="17"/>
  <c r="Y21" i="17"/>
  <c r="S20" i="17"/>
  <c r="W20" i="17"/>
  <c r="Y20" i="17"/>
  <c r="T19" i="17"/>
  <c r="Y19" i="17"/>
  <c r="W18" i="17"/>
  <c r="Y18" i="17"/>
  <c r="O17" i="17"/>
  <c r="U17" i="17"/>
  <c r="O16" i="17"/>
  <c r="Y16" i="17"/>
  <c r="O15" i="17"/>
  <c r="W15" i="17"/>
  <c r="Y15" i="17"/>
  <c r="O14" i="17"/>
  <c r="Y13" i="17"/>
  <c r="O12" i="17"/>
  <c r="Y12" i="17"/>
  <c r="O11" i="17"/>
  <c r="U11" i="17"/>
  <c r="X11" i="17"/>
  <c r="Y11" i="17"/>
  <c r="O10" i="17"/>
  <c r="R10" i="17"/>
  <c r="Y9" i="17"/>
  <c r="Y8" i="17"/>
  <c r="O6" i="17"/>
  <c r="Y6" i="17"/>
  <c r="O5" i="17"/>
  <c r="Y5" i="17"/>
  <c r="Y4" i="17"/>
  <c r="Y3" i="17"/>
  <c r="O2" i="17"/>
  <c r="Y2" i="17"/>
  <c r="AI193" i="16"/>
  <c r="AH193" i="16"/>
  <c r="V187" i="16"/>
  <c r="AH186" i="16"/>
  <c r="O185" i="16"/>
  <c r="AI184" i="16"/>
  <c r="AH184" i="16"/>
  <c r="AF184" i="16"/>
  <c r="O184" i="16"/>
  <c r="T184" i="16"/>
  <c r="X184" i="16"/>
  <c r="Y184" i="16"/>
  <c r="AI183" i="16"/>
  <c r="AH183" i="16"/>
  <c r="AF183" i="16"/>
  <c r="O183" i="16"/>
  <c r="R183" i="16"/>
  <c r="W183" i="16"/>
  <c r="Y183" i="16"/>
  <c r="AI182" i="16"/>
  <c r="AH182" i="16"/>
  <c r="AF182" i="16"/>
  <c r="O182" i="16"/>
  <c r="AF181" i="16"/>
  <c r="AI178" i="16"/>
  <c r="AH178" i="16"/>
  <c r="AF178" i="16"/>
  <c r="AI177" i="16"/>
  <c r="O177" i="16"/>
  <c r="R177" i="16"/>
  <c r="S177" i="16"/>
  <c r="V177" i="16"/>
  <c r="W177" i="16"/>
  <c r="Y177" i="16"/>
  <c r="AI176" i="16"/>
  <c r="AG176" i="16"/>
  <c r="AE176" i="16"/>
  <c r="O176" i="16"/>
  <c r="R176" i="16"/>
  <c r="V176" i="16"/>
  <c r="W176" i="16"/>
  <c r="Y176" i="16"/>
  <c r="AI173" i="16"/>
  <c r="O173" i="16"/>
  <c r="Y173" i="16"/>
  <c r="AI172" i="16"/>
  <c r="O172" i="16"/>
  <c r="Y172" i="16"/>
  <c r="AI171" i="16"/>
  <c r="O171" i="16"/>
  <c r="Y171" i="16"/>
  <c r="AI170" i="16"/>
  <c r="O170" i="16"/>
  <c r="Y170" i="16"/>
  <c r="AG169" i="16"/>
  <c r="AF169" i="16"/>
  <c r="AI167" i="16"/>
  <c r="AI166" i="16"/>
  <c r="AI162" i="16"/>
  <c r="AH162" i="16"/>
  <c r="AF162" i="16"/>
  <c r="O162" i="16"/>
  <c r="S162" i="16"/>
  <c r="V161" i="16"/>
  <c r="AI160" i="16"/>
  <c r="AH160" i="16"/>
  <c r="AI159" i="16"/>
  <c r="AH159" i="16"/>
  <c r="AF159" i="16"/>
  <c r="V159" i="16"/>
  <c r="AF157" i="16"/>
  <c r="O157" i="16"/>
  <c r="AI156" i="16"/>
  <c r="AH156" i="16"/>
  <c r="AF155" i="16"/>
  <c r="AF154" i="16"/>
  <c r="AF153" i="16"/>
  <c r="AI149" i="16"/>
  <c r="AH149" i="16"/>
  <c r="AI148" i="16"/>
  <c r="AH148" i="16"/>
  <c r="Y148" i="16"/>
  <c r="O148" i="16"/>
  <c r="AF147" i="16"/>
  <c r="O147" i="16"/>
  <c r="S147" i="16"/>
  <c r="Y147" i="16"/>
  <c r="AI146" i="16"/>
  <c r="AF146" i="16"/>
  <c r="O146" i="16"/>
  <c r="Y146" i="16"/>
  <c r="AI145" i="16"/>
  <c r="AF145" i="16"/>
  <c r="AB145" i="16"/>
  <c r="O145" i="16"/>
  <c r="R145" i="16"/>
  <c r="S145" i="16"/>
  <c r="W145" i="16"/>
  <c r="Y145" i="16"/>
  <c r="AI144" i="16"/>
  <c r="AF144" i="16"/>
  <c r="O144" i="16"/>
  <c r="AI143" i="16"/>
  <c r="AF143" i="16"/>
  <c r="O143" i="16"/>
  <c r="S143" i="16"/>
  <c r="W143" i="16"/>
  <c r="Y143" i="16"/>
  <c r="AF142" i="16"/>
  <c r="O142" i="16"/>
  <c r="AF141" i="16"/>
  <c r="AF140" i="16"/>
  <c r="AI139" i="16"/>
  <c r="AH139" i="16"/>
  <c r="AF139" i="16"/>
  <c r="AI138" i="16"/>
  <c r="AH138" i="16"/>
  <c r="AF138" i="16"/>
  <c r="AI137" i="16"/>
  <c r="AB135" i="16"/>
  <c r="O135" i="16"/>
  <c r="R135" i="16"/>
  <c r="V135" i="16"/>
  <c r="Y135" i="16"/>
  <c r="O134" i="16"/>
  <c r="AI133" i="16"/>
  <c r="O133" i="16"/>
  <c r="S133" i="16"/>
  <c r="W133" i="16"/>
  <c r="AF132" i="16"/>
  <c r="Y132" i="16"/>
  <c r="AI131" i="16"/>
  <c r="AH131" i="16"/>
  <c r="AF131" i="16"/>
  <c r="O131" i="16"/>
  <c r="AI130" i="16"/>
  <c r="AH130" i="16"/>
  <c r="AF130" i="16"/>
  <c r="V130" i="16"/>
  <c r="AI129" i="16"/>
  <c r="AH129" i="16"/>
  <c r="Y129" i="16"/>
  <c r="AI127" i="16"/>
  <c r="AI126" i="16"/>
  <c r="AH126" i="16"/>
  <c r="AI125" i="16"/>
  <c r="AH125" i="16"/>
  <c r="AF125" i="16"/>
  <c r="O125" i="16"/>
  <c r="U125" i="16"/>
  <c r="AI124" i="16"/>
  <c r="AH124" i="16"/>
  <c r="O124" i="16"/>
  <c r="AI123" i="16"/>
  <c r="AI121" i="16"/>
  <c r="AI120" i="16"/>
  <c r="AH120" i="16"/>
  <c r="AI119" i="16"/>
  <c r="AH119" i="16"/>
  <c r="AI107" i="16"/>
  <c r="AH107" i="16"/>
  <c r="AH106" i="16"/>
  <c r="AH101" i="16"/>
  <c r="AI99" i="16"/>
  <c r="AH99" i="16"/>
  <c r="AI82" i="16"/>
  <c r="AH82" i="16"/>
  <c r="AI79" i="16"/>
  <c r="AH79" i="16"/>
  <c r="AH76" i="16"/>
  <c r="AI70" i="16"/>
  <c r="AH70" i="16"/>
  <c r="AF52" i="16"/>
  <c r="AF51" i="16"/>
  <c r="V51" i="16"/>
  <c r="AF50" i="16"/>
  <c r="AI49" i="16"/>
  <c r="AH49" i="16"/>
  <c r="AF49" i="16"/>
  <c r="Y49" i="16"/>
  <c r="AI48" i="16"/>
  <c r="AH48" i="16"/>
  <c r="AF48" i="16"/>
  <c r="Y48" i="16"/>
  <c r="AI47" i="16"/>
  <c r="AH47" i="16"/>
  <c r="AF47" i="16"/>
  <c r="AB47" i="16"/>
  <c r="O47" i="16"/>
  <c r="R47" i="16"/>
  <c r="T47" i="16"/>
  <c r="V47" i="16"/>
  <c r="W47" i="16"/>
  <c r="X47" i="16"/>
  <c r="Y47" i="16"/>
  <c r="AI46" i="16"/>
  <c r="AH46" i="16"/>
  <c r="AF46" i="16"/>
  <c r="AB46" i="16"/>
  <c r="O46" i="16"/>
  <c r="R46" i="16"/>
  <c r="T46" i="16"/>
  <c r="V46" i="16"/>
  <c r="W46" i="16"/>
  <c r="X46" i="16"/>
  <c r="Y46" i="16"/>
  <c r="AF44" i="16"/>
  <c r="AI42" i="16"/>
  <c r="T42" i="16"/>
  <c r="AI41" i="16"/>
  <c r="AI40" i="16"/>
  <c r="AH40" i="16"/>
  <c r="AF40" i="16"/>
  <c r="O40" i="16"/>
  <c r="S40" i="16"/>
  <c r="T40" i="16"/>
  <c r="AI39" i="16"/>
  <c r="AH39" i="16"/>
  <c r="AF39" i="16"/>
  <c r="AI38" i="16"/>
  <c r="AH38" i="16"/>
  <c r="AF38" i="16"/>
  <c r="AI37" i="16"/>
  <c r="AF37" i="16"/>
  <c r="O37" i="16"/>
  <c r="R37" i="16"/>
  <c r="W37" i="16"/>
  <c r="Y37" i="16"/>
  <c r="AI36" i="16"/>
  <c r="O36" i="16"/>
  <c r="AI35" i="16"/>
  <c r="AH35" i="16"/>
  <c r="Y35" i="16"/>
  <c r="AI34" i="16"/>
  <c r="AH34" i="16"/>
  <c r="O34" i="16"/>
  <c r="X34" i="16"/>
  <c r="Y34" i="16"/>
  <c r="AI33" i="16"/>
  <c r="AH33" i="16"/>
  <c r="AF33" i="16"/>
  <c r="U33" i="16"/>
  <c r="V33" i="16"/>
  <c r="AI32" i="16"/>
  <c r="R32" i="16"/>
  <c r="AI31" i="16"/>
  <c r="AH31" i="16"/>
  <c r="AI30" i="16"/>
  <c r="AH30" i="16"/>
  <c r="O30" i="16"/>
  <c r="Y30" i="16"/>
  <c r="AI29" i="16"/>
  <c r="AH29" i="16"/>
  <c r="O29" i="16"/>
  <c r="T29" i="16"/>
  <c r="W29" i="16"/>
  <c r="Y29" i="16"/>
  <c r="AI28" i="16"/>
  <c r="AH28" i="16"/>
  <c r="AF28" i="16"/>
  <c r="W28" i="16"/>
  <c r="AF27" i="16"/>
  <c r="AF26" i="16"/>
  <c r="AF25" i="16"/>
  <c r="AI24" i="16"/>
  <c r="O24" i="16"/>
  <c r="V24" i="16"/>
  <c r="AG22" i="16"/>
  <c r="AG20" i="16"/>
  <c r="AG18" i="16"/>
  <c r="AG17" i="16"/>
  <c r="AF17" i="16"/>
  <c r="AI13" i="16"/>
  <c r="U13" i="16"/>
  <c r="V13" i="16"/>
  <c r="AF12" i="16"/>
  <c r="AF11" i="16"/>
  <c r="O11" i="16"/>
  <c r="AI10" i="16"/>
  <c r="AF10" i="16"/>
  <c r="AI9" i="16"/>
  <c r="AF9" i="16"/>
  <c r="S9" i="16"/>
  <c r="Y9" i="16"/>
  <c r="AI8" i="16"/>
  <c r="AF8" i="16"/>
  <c r="AG7" i="16"/>
  <c r="AF7" i="16"/>
  <c r="T7" i="16"/>
  <c r="W7" i="16"/>
  <c r="X7" i="16"/>
  <c r="Y7" i="16"/>
  <c r="AF6" i="16"/>
  <c r="O6" i="16"/>
  <c r="V6" i="16"/>
  <c r="Y6" i="16"/>
  <c r="AF5" i="16"/>
  <c r="O5" i="16"/>
  <c r="Y5" i="16"/>
  <c r="AG4" i="16"/>
  <c r="AF4" i="16"/>
  <c r="O4" i="16"/>
  <c r="X4" i="16"/>
  <c r="Y4" i="16"/>
  <c r="AJ3" i="16"/>
  <c r="AG2" i="16"/>
  <c r="AF2" i="16"/>
  <c r="O2" i="16"/>
  <c r="W2" i="16"/>
  <c r="Y2" i="16"/>
  <c r="AH266" i="15"/>
  <c r="AF266" i="15"/>
  <c r="O266" i="15"/>
  <c r="Y266" i="15"/>
  <c r="AH264" i="15"/>
  <c r="O264" i="15"/>
  <c r="U264" i="15"/>
  <c r="V264" i="15"/>
  <c r="AH263" i="15"/>
  <c r="Y263" i="15"/>
  <c r="AH262" i="15"/>
  <c r="AG260" i="15"/>
  <c r="O260" i="15"/>
  <c r="V260" i="15"/>
  <c r="O259" i="15"/>
  <c r="V259" i="15"/>
  <c r="AH258" i="15"/>
  <c r="AG258" i="15"/>
  <c r="AF258" i="15"/>
  <c r="AE258" i="15"/>
  <c r="O258" i="15"/>
  <c r="S258" i="15"/>
  <c r="T258" i="15"/>
  <c r="U258" i="15"/>
  <c r="V258" i="15"/>
  <c r="W258" i="15"/>
  <c r="Y258" i="15"/>
  <c r="AF257" i="15"/>
  <c r="AH256" i="15"/>
  <c r="M256" i="15"/>
  <c r="M254" i="15"/>
  <c r="AH253" i="15"/>
  <c r="AG252" i="15"/>
  <c r="AF252" i="15"/>
  <c r="AE252" i="15"/>
  <c r="AI251" i="15"/>
  <c r="AH251" i="15"/>
  <c r="Y251" i="15"/>
  <c r="X251" i="15"/>
  <c r="AF250" i="15"/>
  <c r="AF249" i="15"/>
  <c r="V249" i="15"/>
  <c r="AF248" i="15"/>
  <c r="AF247" i="15"/>
  <c r="AH246" i="15"/>
  <c r="O246" i="15"/>
  <c r="V246" i="15"/>
  <c r="AF245" i="15"/>
  <c r="AF244" i="15"/>
  <c r="AF243" i="15"/>
  <c r="AH241" i="15"/>
  <c r="AH240" i="15"/>
  <c r="Y240" i="15"/>
  <c r="AH238" i="15"/>
  <c r="AF238" i="15"/>
  <c r="T238" i="15"/>
  <c r="AF237" i="15"/>
  <c r="O237" i="15"/>
  <c r="T237" i="15"/>
  <c r="Y237" i="15"/>
  <c r="AF236" i="15"/>
  <c r="AH235" i="15"/>
  <c r="AF235" i="15"/>
  <c r="Y235" i="15"/>
  <c r="AH234" i="15"/>
  <c r="AF233" i="15"/>
  <c r="O233" i="15"/>
  <c r="AH232" i="15"/>
  <c r="AF232" i="15"/>
  <c r="O232" i="15"/>
  <c r="M232" i="15"/>
  <c r="AH231" i="15"/>
  <c r="M231" i="15"/>
  <c r="AH230" i="15"/>
  <c r="M230" i="15"/>
  <c r="M229" i="15"/>
  <c r="O228" i="15"/>
  <c r="M228" i="15"/>
  <c r="M227" i="15"/>
  <c r="M226" i="15"/>
  <c r="AH225" i="15"/>
  <c r="AF225" i="15"/>
  <c r="M225" i="15"/>
  <c r="AG224" i="15"/>
  <c r="M224" i="15"/>
  <c r="AH223" i="15"/>
  <c r="AF223" i="15"/>
  <c r="O223" i="15"/>
  <c r="M222" i="15"/>
  <c r="M221" i="15"/>
  <c r="AH220" i="15"/>
  <c r="V220" i="15"/>
  <c r="M220" i="15"/>
  <c r="M219" i="15"/>
  <c r="AH218" i="15"/>
  <c r="M218" i="15"/>
  <c r="AG217" i="15"/>
  <c r="AF217" i="15"/>
  <c r="M217" i="15"/>
  <c r="AF216" i="15"/>
  <c r="T216" i="15"/>
  <c r="Y216" i="15"/>
  <c r="M216" i="15"/>
  <c r="AH215" i="15"/>
  <c r="AH214" i="15"/>
  <c r="O214" i="15"/>
  <c r="V214" i="15"/>
  <c r="M214" i="15"/>
  <c r="AH213" i="15"/>
  <c r="M213" i="15"/>
  <c r="M211" i="15"/>
  <c r="AH210" i="15"/>
  <c r="M210" i="15"/>
  <c r="AH209" i="15"/>
  <c r="M209" i="15"/>
  <c r="AH208" i="15"/>
  <c r="AG208" i="15"/>
  <c r="O208" i="15"/>
  <c r="T208" i="15"/>
  <c r="V208" i="15"/>
  <c r="X208" i="15"/>
  <c r="Y208" i="15"/>
  <c r="M208" i="15"/>
  <c r="M207" i="15"/>
  <c r="AF206" i="15"/>
  <c r="M206" i="15"/>
  <c r="AH205" i="15"/>
  <c r="AF205" i="15"/>
  <c r="O205" i="15"/>
  <c r="T205" i="15"/>
  <c r="Y205" i="15"/>
  <c r="M205" i="15"/>
  <c r="M204" i="15"/>
  <c r="W203" i="15"/>
  <c r="Y203" i="15"/>
  <c r="M203" i="15"/>
  <c r="M202" i="15"/>
  <c r="AF201" i="15"/>
  <c r="M201" i="15"/>
  <c r="M200" i="15"/>
  <c r="AH199" i="15"/>
  <c r="M199" i="15"/>
  <c r="M198" i="15"/>
  <c r="M197" i="15"/>
  <c r="M196" i="15"/>
  <c r="AF195" i="15"/>
  <c r="M195" i="15"/>
  <c r="AH194" i="15"/>
  <c r="M194" i="15"/>
  <c r="AH193" i="15"/>
  <c r="W193" i="15"/>
  <c r="M193" i="15"/>
  <c r="AH192" i="15"/>
  <c r="M192" i="15"/>
  <c r="AH191" i="15"/>
  <c r="M191" i="15"/>
  <c r="AH190" i="15"/>
  <c r="M190" i="15"/>
  <c r="AH189" i="15"/>
  <c r="M189" i="15"/>
  <c r="AF188" i="15"/>
  <c r="M188" i="15"/>
  <c r="AH187" i="15"/>
  <c r="M187" i="15"/>
  <c r="M186" i="15"/>
  <c r="AF185" i="15"/>
  <c r="O184" i="15"/>
  <c r="M184" i="15"/>
  <c r="O183" i="15"/>
  <c r="U183" i="15"/>
  <c r="V183" i="15"/>
  <c r="AF182" i="15"/>
  <c r="AH181" i="15"/>
  <c r="AF180" i="15"/>
  <c r="AF179" i="15"/>
  <c r="O178" i="15"/>
  <c r="AH176" i="15"/>
  <c r="AF176" i="15"/>
  <c r="O176" i="15"/>
  <c r="V176" i="15"/>
  <c r="AI175" i="15"/>
  <c r="AF174" i="15"/>
  <c r="O174" i="15"/>
  <c r="R174" i="15"/>
  <c r="W174" i="15"/>
  <c r="Y174" i="15"/>
  <c r="AF173" i="15"/>
  <c r="O172" i="15"/>
  <c r="AF171" i="15"/>
  <c r="O171" i="15"/>
  <c r="T171" i="15"/>
  <c r="U171" i="15"/>
  <c r="Y171" i="15"/>
  <c r="AH170" i="15"/>
  <c r="AG170" i="15"/>
  <c r="AF170" i="15"/>
  <c r="AE170" i="15"/>
  <c r="O170" i="15"/>
  <c r="S170" i="15"/>
  <c r="T170" i="15"/>
  <c r="U170" i="15"/>
  <c r="V170" i="15"/>
  <c r="W170" i="15"/>
  <c r="Y170" i="15"/>
  <c r="AH169" i="15"/>
  <c r="AG169" i="15"/>
  <c r="AF169" i="15"/>
  <c r="AE169" i="15"/>
  <c r="O169" i="15"/>
  <c r="U169" i="15"/>
  <c r="V169" i="15"/>
  <c r="W169" i="15"/>
  <c r="Y169" i="15"/>
  <c r="AH168" i="15"/>
  <c r="AG168" i="15"/>
  <c r="AF168" i="15"/>
  <c r="AH165" i="15"/>
  <c r="O165" i="15"/>
  <c r="T165" i="15"/>
  <c r="W165" i="15"/>
  <c r="X165" i="15"/>
  <c r="Y165" i="15"/>
  <c r="M165" i="15"/>
  <c r="AG164" i="15"/>
  <c r="AF164" i="15"/>
  <c r="AH160" i="15"/>
  <c r="Y160" i="15"/>
  <c r="AH159" i="15"/>
  <c r="AF159" i="15"/>
  <c r="S159" i="15"/>
  <c r="Y159" i="15"/>
  <c r="M156" i="15"/>
  <c r="M144" i="15"/>
  <c r="AF140" i="15"/>
  <c r="V140" i="15"/>
  <c r="Y140" i="15"/>
  <c r="AH134" i="15"/>
  <c r="AH128" i="15"/>
  <c r="O128" i="15"/>
  <c r="R128" i="15"/>
  <c r="S128" i="15"/>
  <c r="T128" i="15"/>
  <c r="V128" i="15"/>
  <c r="W128" i="15"/>
  <c r="X128" i="15"/>
  <c r="Y128" i="15"/>
  <c r="AH127" i="15"/>
  <c r="AF127" i="15"/>
  <c r="AD127" i="15"/>
  <c r="O127" i="15"/>
  <c r="V127" i="15"/>
  <c r="AH125" i="15"/>
  <c r="AF125" i="15"/>
  <c r="AD125" i="15"/>
  <c r="AH124" i="15"/>
  <c r="AF124" i="15"/>
  <c r="AD124" i="15"/>
  <c r="Z124" i="15"/>
  <c r="O124" i="15"/>
  <c r="V124" i="15"/>
  <c r="AF123" i="15"/>
  <c r="AD123" i="15"/>
  <c r="O123" i="15"/>
  <c r="AH122" i="15"/>
  <c r="AF122" i="15"/>
  <c r="AD122" i="15"/>
  <c r="AF121" i="15"/>
  <c r="AH120" i="15"/>
  <c r="AF120" i="15"/>
  <c r="AD120" i="15"/>
  <c r="O120" i="15"/>
  <c r="V120" i="15"/>
  <c r="AF119" i="15"/>
  <c r="AH118" i="15"/>
  <c r="AF118" i="15"/>
  <c r="AD118" i="15"/>
  <c r="T118" i="15"/>
  <c r="Y118" i="15"/>
  <c r="AH117" i="15"/>
  <c r="AD117" i="15"/>
  <c r="AH116" i="15"/>
  <c r="AF116" i="15"/>
  <c r="V116" i="15"/>
  <c r="AF115" i="15"/>
  <c r="AD115" i="15"/>
  <c r="O115" i="15"/>
  <c r="V115" i="15"/>
  <c r="AH114" i="15"/>
  <c r="AD114" i="15"/>
  <c r="O114" i="15"/>
  <c r="R114" i="15"/>
  <c r="T114" i="15"/>
  <c r="W114" i="15"/>
  <c r="X114" i="15"/>
  <c r="Y114" i="15"/>
  <c r="M114" i="15"/>
  <c r="AH113" i="15"/>
  <c r="AD113" i="15"/>
  <c r="Y113" i="15"/>
  <c r="AH112" i="15"/>
  <c r="AF111" i="15"/>
  <c r="AF110" i="15"/>
  <c r="V110" i="15"/>
  <c r="AD108" i="15"/>
  <c r="O108" i="15"/>
  <c r="S108" i="15"/>
  <c r="Y108" i="15"/>
  <c r="AD107" i="15"/>
  <c r="O107" i="15"/>
  <c r="S107" i="15"/>
  <c r="T107" i="15"/>
  <c r="Y107" i="15"/>
  <c r="AH106" i="15"/>
  <c r="AF106" i="15"/>
  <c r="AD106" i="15"/>
  <c r="O106" i="15"/>
  <c r="R106" i="15"/>
  <c r="AH105" i="15"/>
  <c r="AD105" i="15"/>
  <c r="O105" i="15"/>
  <c r="V105" i="15"/>
  <c r="W105" i="15"/>
  <c r="Y105" i="15"/>
  <c r="AF104" i="15"/>
  <c r="AD104" i="15"/>
  <c r="T104" i="15"/>
  <c r="AF103" i="15"/>
  <c r="AF102" i="15"/>
  <c r="AD102" i="15"/>
  <c r="O102" i="15"/>
  <c r="V102" i="15"/>
  <c r="M102" i="15"/>
  <c r="AF101" i="15"/>
  <c r="AF100" i="15"/>
  <c r="AH98" i="15"/>
  <c r="AF97" i="15"/>
  <c r="O97" i="15"/>
  <c r="M96" i="15"/>
  <c r="AF95" i="15"/>
  <c r="AF94" i="15"/>
  <c r="AF93" i="15"/>
  <c r="AD93" i="15"/>
  <c r="AB93" i="15"/>
  <c r="AF92" i="15"/>
  <c r="AD92" i="15"/>
  <c r="M91" i="15"/>
  <c r="AF90" i="15"/>
  <c r="AD90" i="15"/>
  <c r="O90" i="15"/>
  <c r="AH88" i="15"/>
  <c r="AF88" i="15"/>
  <c r="AD88" i="15"/>
  <c r="V88" i="15"/>
  <c r="AH86" i="15"/>
  <c r="AF86" i="15"/>
  <c r="AD86" i="15"/>
  <c r="O86" i="15"/>
  <c r="V86" i="15"/>
  <c r="AF85" i="15"/>
  <c r="O85" i="15"/>
  <c r="AH83" i="15"/>
  <c r="AF83" i="15"/>
  <c r="T83" i="15"/>
  <c r="W83" i="15"/>
  <c r="X83" i="15"/>
  <c r="Y83" i="15"/>
  <c r="AF82" i="15"/>
  <c r="AD81" i="15"/>
  <c r="O81" i="15"/>
  <c r="AD80" i="15"/>
  <c r="AF79" i="15"/>
  <c r="AH78" i="15"/>
  <c r="AF77" i="15"/>
  <c r="V77" i="15"/>
  <c r="AF76" i="15"/>
  <c r="AH75" i="15"/>
  <c r="AF75" i="15"/>
  <c r="O75" i="15"/>
  <c r="T75" i="15"/>
  <c r="AF74" i="15"/>
  <c r="M74" i="15"/>
  <c r="AF73" i="15"/>
  <c r="M73" i="15"/>
  <c r="AH72" i="15"/>
  <c r="AG72" i="15"/>
  <c r="AF72" i="15"/>
  <c r="O72" i="15"/>
  <c r="T72" i="15"/>
  <c r="W72" i="15"/>
  <c r="Y72" i="15"/>
  <c r="M72" i="15"/>
  <c r="AF70" i="15"/>
  <c r="AF69" i="15"/>
  <c r="AF68" i="15"/>
  <c r="AF67" i="15"/>
  <c r="AF66" i="15"/>
  <c r="AF65" i="15"/>
  <c r="AF64" i="15"/>
  <c r="AF63" i="15"/>
  <c r="AF62" i="15"/>
  <c r="O62" i="15"/>
  <c r="AH61" i="15"/>
  <c r="AF61" i="15"/>
  <c r="AF60" i="15"/>
  <c r="AH59" i="15"/>
  <c r="AF59" i="15"/>
  <c r="AH58" i="15"/>
  <c r="AF58" i="15"/>
  <c r="O58" i="15"/>
  <c r="AH57" i="15"/>
  <c r="AF57" i="15"/>
  <c r="AF56" i="15"/>
  <c r="AH55" i="15"/>
  <c r="AF55" i="15"/>
  <c r="AG54" i="15"/>
  <c r="AF54" i="15"/>
  <c r="AH53" i="15"/>
  <c r="AF53" i="15"/>
  <c r="Y53" i="15"/>
  <c r="T53" i="15"/>
  <c r="O53" i="15"/>
  <c r="AF52" i="15"/>
  <c r="AF51" i="15"/>
  <c r="O51" i="15"/>
  <c r="AF50" i="15"/>
  <c r="AH48" i="15"/>
  <c r="AF48" i="15"/>
  <c r="V48" i="15"/>
  <c r="AH47" i="15"/>
  <c r="AF47" i="15"/>
  <c r="Y47" i="15"/>
  <c r="X47" i="15"/>
  <c r="T47" i="15"/>
  <c r="R47" i="15"/>
  <c r="O47" i="15"/>
  <c r="AF46" i="15"/>
  <c r="AH45" i="15"/>
  <c r="AF45" i="15"/>
  <c r="R45" i="15"/>
  <c r="O45" i="15"/>
  <c r="W43" i="15"/>
  <c r="R43" i="15"/>
  <c r="O43" i="15"/>
  <c r="Y42" i="15"/>
  <c r="W42" i="15"/>
  <c r="T42" i="15"/>
  <c r="R42" i="15"/>
  <c r="O42" i="15"/>
  <c r="AH41" i="15"/>
  <c r="AF41" i="15"/>
  <c r="V41" i="15"/>
  <c r="V40" i="15"/>
  <c r="O40" i="15"/>
  <c r="AH39" i="15"/>
  <c r="AF39" i="15"/>
  <c r="O39" i="15"/>
  <c r="AH38" i="15"/>
  <c r="AF37" i="15"/>
  <c r="V37" i="15"/>
  <c r="M37" i="15"/>
  <c r="AH36" i="15"/>
  <c r="AF36" i="15"/>
  <c r="AF35" i="15"/>
  <c r="AH34" i="15"/>
  <c r="AF34" i="15"/>
  <c r="AF33" i="15"/>
  <c r="AH32" i="15"/>
  <c r="AF32" i="15"/>
  <c r="Y32" i="15"/>
  <c r="W32" i="15"/>
  <c r="T32" i="15"/>
  <c r="AF31" i="15"/>
  <c r="AE31" i="15"/>
  <c r="AF30" i="15"/>
  <c r="AF29" i="15"/>
  <c r="AF28" i="15"/>
  <c r="AF25" i="15"/>
  <c r="AF24" i="15"/>
  <c r="AF23" i="15"/>
  <c r="AF21" i="15"/>
  <c r="O21" i="15"/>
  <c r="AF20" i="15"/>
  <c r="AG19" i="15"/>
  <c r="AF19" i="15"/>
  <c r="Y19" i="15"/>
  <c r="W19" i="15"/>
  <c r="V19" i="15"/>
  <c r="S19" i="15"/>
  <c r="O19" i="15"/>
  <c r="AH18" i="15"/>
  <c r="AF18" i="15"/>
  <c r="AH17" i="15"/>
  <c r="AF17" i="15"/>
  <c r="AF16" i="15"/>
  <c r="AF15" i="15"/>
  <c r="AH14" i="15"/>
  <c r="AF14" i="15"/>
  <c r="R14" i="15"/>
  <c r="O14" i="15"/>
  <c r="AH13" i="15"/>
  <c r="AF13" i="15"/>
  <c r="AH12" i="15"/>
  <c r="AF12" i="15"/>
  <c r="Y12" i="15"/>
  <c r="T12" i="15"/>
  <c r="AH11" i="15"/>
  <c r="AF11" i="15"/>
  <c r="O11" i="15"/>
  <c r="AF10" i="15"/>
  <c r="U10" i="15"/>
  <c r="S10" i="15"/>
  <c r="O10" i="15"/>
  <c r="AF9" i="15"/>
  <c r="AF8" i="15"/>
  <c r="Y8" i="15"/>
  <c r="AI7" i="15"/>
  <c r="AH7" i="15"/>
  <c r="AF7" i="15"/>
  <c r="O7" i="15"/>
  <c r="R7" i="15"/>
  <c r="U7" i="15"/>
  <c r="V7" i="15"/>
  <c r="W7" i="15"/>
  <c r="Y7" i="15"/>
  <c r="AH6" i="15"/>
  <c r="O6" i="15"/>
  <c r="O5" i="15"/>
  <c r="V5" i="15"/>
  <c r="AH4" i="15"/>
  <c r="AH3" i="15"/>
  <c r="V3" i="15"/>
  <c r="AH2" i="15"/>
  <c r="AF2" i="15"/>
  <c r="O2" i="15"/>
  <c r="R2" i="15"/>
  <c r="S2" i="15"/>
  <c r="T2" i="15"/>
  <c r="V2" i="15"/>
  <c r="W2" i="15"/>
  <c r="Y2" i="15"/>
  <c r="W813" i="14"/>
  <c r="Y813" i="14"/>
  <c r="AL801" i="14"/>
  <c r="AK801" i="14"/>
  <c r="AJ801" i="14"/>
  <c r="AI801" i="14"/>
  <c r="Y801" i="14"/>
  <c r="O801" i="14"/>
  <c r="O800" i="14"/>
  <c r="AL797" i="14"/>
  <c r="AK797" i="14"/>
  <c r="AJ797" i="14"/>
  <c r="AI797" i="14"/>
  <c r="AH797" i="14"/>
  <c r="O797" i="14"/>
  <c r="AL796" i="14"/>
  <c r="AK796" i="14"/>
  <c r="AJ796" i="14"/>
  <c r="AI796" i="14"/>
  <c r="AH796" i="14"/>
  <c r="O796" i="14"/>
  <c r="Y795" i="14"/>
  <c r="W795" i="14"/>
  <c r="O795" i="14"/>
  <c r="V793" i="14"/>
  <c r="W792" i="14"/>
  <c r="O792" i="14"/>
  <c r="W791" i="14"/>
  <c r="O791" i="14"/>
  <c r="O788" i="14"/>
  <c r="Y785" i="14"/>
  <c r="Y784" i="14"/>
  <c r="W784" i="14"/>
  <c r="V784" i="14"/>
  <c r="O784" i="14"/>
  <c r="O783" i="14"/>
  <c r="AM780" i="14"/>
  <c r="AL780" i="14"/>
  <c r="AK780" i="14"/>
  <c r="AJ780" i="14"/>
  <c r="AI780" i="14"/>
  <c r="X780" i="14"/>
  <c r="T780" i="14"/>
  <c r="O780" i="14"/>
  <c r="AL779" i="14"/>
  <c r="AK779" i="14"/>
  <c r="AJ779" i="14"/>
  <c r="AI779" i="14"/>
  <c r="AL778" i="14"/>
  <c r="AK778" i="14"/>
  <c r="AJ778" i="14"/>
  <c r="AI778" i="14"/>
  <c r="M777" i="14"/>
  <c r="O776" i="14"/>
  <c r="R776" i="14"/>
  <c r="T776" i="14"/>
  <c r="Y776" i="14"/>
  <c r="M776" i="14"/>
  <c r="U747" i="14"/>
  <c r="O747" i="14"/>
  <c r="O740" i="14"/>
  <c r="W740" i="14"/>
  <c r="Y740" i="14"/>
  <c r="O739" i="14"/>
  <c r="M739" i="14"/>
  <c r="AL738" i="14"/>
  <c r="AK738" i="14"/>
  <c r="AJ738" i="14"/>
  <c r="AI738" i="14"/>
  <c r="O738" i="14"/>
  <c r="AL737" i="14"/>
  <c r="AK737" i="14"/>
  <c r="AJ737" i="14"/>
  <c r="AI737" i="14"/>
  <c r="O737" i="14"/>
  <c r="S736" i="14"/>
  <c r="O734" i="14"/>
  <c r="Y733" i="14"/>
  <c r="Y732" i="14"/>
  <c r="X732" i="14"/>
  <c r="T732" i="14"/>
  <c r="O732" i="14"/>
  <c r="Y729" i="14"/>
  <c r="AL728" i="14"/>
  <c r="AK728" i="14"/>
  <c r="AJ728" i="14"/>
  <c r="AI728" i="14"/>
  <c r="AL727" i="14"/>
  <c r="AK727" i="14"/>
  <c r="AJ727" i="14"/>
  <c r="AI727" i="14"/>
  <c r="O727" i="14"/>
  <c r="AL726" i="14"/>
  <c r="AK726" i="14"/>
  <c r="AJ726" i="14"/>
  <c r="AI726" i="14"/>
  <c r="AO725" i="14"/>
  <c r="AM725" i="14"/>
  <c r="AL725" i="14"/>
  <c r="AK725" i="14"/>
  <c r="AJ725" i="14"/>
  <c r="AI725" i="14"/>
  <c r="AF725" i="14"/>
  <c r="Y725" i="14"/>
  <c r="X725" i="14"/>
  <c r="O725" i="14"/>
  <c r="Y722" i="14"/>
  <c r="O722" i="14"/>
  <c r="Y721" i="14"/>
  <c r="O721" i="14"/>
  <c r="M721" i="14"/>
  <c r="O720" i="14"/>
  <c r="W719" i="14"/>
  <c r="O719" i="14"/>
  <c r="AL718" i="14"/>
  <c r="AK718" i="14"/>
  <c r="AJ718" i="14"/>
  <c r="AI718" i="14"/>
  <c r="O718" i="14"/>
  <c r="AL717" i="14"/>
  <c r="AK717" i="14"/>
  <c r="AJ717" i="14"/>
  <c r="AI717" i="14"/>
  <c r="O717" i="14"/>
  <c r="O716" i="14"/>
  <c r="O715" i="14"/>
  <c r="Y713" i="14"/>
  <c r="Y712" i="14"/>
  <c r="AR711" i="14"/>
  <c r="V711" i="14"/>
  <c r="T711" i="14"/>
  <c r="O711" i="14"/>
  <c r="AL703" i="14"/>
  <c r="AK703" i="14"/>
  <c r="AJ703" i="14"/>
  <c r="AI703" i="14"/>
  <c r="AG703" i="14"/>
  <c r="AF703" i="14"/>
  <c r="AB703" i="14"/>
  <c r="Y703" i="14"/>
  <c r="W703" i="14"/>
  <c r="S703" i="14"/>
  <c r="O703" i="14"/>
  <c r="AO700" i="14"/>
  <c r="AM700" i="14"/>
  <c r="AL700" i="14"/>
  <c r="AK700" i="14"/>
  <c r="AJ700" i="14"/>
  <c r="AI700" i="14"/>
  <c r="X700" i="14"/>
  <c r="V700" i="14"/>
  <c r="O700" i="14"/>
  <c r="AO699" i="14"/>
  <c r="AL699" i="14"/>
  <c r="AK699" i="14"/>
  <c r="AJ699" i="14"/>
  <c r="AI699" i="14"/>
  <c r="Y699" i="14"/>
  <c r="O699" i="14"/>
  <c r="O698" i="14"/>
  <c r="AB693" i="14"/>
  <c r="AB692" i="14"/>
  <c r="Y690" i="14"/>
  <c r="AL688" i="14"/>
  <c r="AK688" i="14"/>
  <c r="AJ688" i="14"/>
  <c r="AI688" i="14"/>
  <c r="AH688" i="14"/>
  <c r="Y688" i="14"/>
  <c r="W688" i="14"/>
  <c r="AL687" i="14"/>
  <c r="AK687" i="14"/>
  <c r="AJ687" i="14"/>
  <c r="AI687" i="14"/>
  <c r="AH687" i="14"/>
  <c r="Y687" i="14"/>
  <c r="W687" i="14"/>
  <c r="V687" i="14"/>
  <c r="T687" i="14"/>
  <c r="O687" i="14"/>
  <c r="Y683" i="14"/>
  <c r="T683" i="14"/>
  <c r="O683" i="14"/>
  <c r="AV681" i="14"/>
  <c r="AL681" i="14"/>
  <c r="AK681" i="14"/>
  <c r="AJ681" i="14"/>
  <c r="AI681" i="14"/>
  <c r="AF681" i="14"/>
  <c r="V679" i="14"/>
  <c r="Y677" i="14"/>
  <c r="AF675" i="14"/>
  <c r="AF674" i="14"/>
  <c r="O674" i="14"/>
  <c r="AL671" i="14"/>
  <c r="AK671" i="14"/>
  <c r="AJ671" i="14"/>
  <c r="AI671" i="14"/>
  <c r="O671" i="14"/>
  <c r="W669" i="14"/>
  <c r="V669" i="14"/>
  <c r="U669" i="14"/>
  <c r="Y668" i="14"/>
  <c r="W668" i="14"/>
  <c r="V668" i="14"/>
  <c r="U668" i="14"/>
  <c r="T668" i="14"/>
  <c r="O668" i="14"/>
  <c r="W667" i="14"/>
  <c r="U667" i="14"/>
  <c r="O667" i="14"/>
  <c r="W666" i="14"/>
  <c r="U666" i="14"/>
  <c r="T666" i="14"/>
  <c r="O666" i="14"/>
  <c r="W665" i="14"/>
  <c r="U665" i="14"/>
  <c r="T665" i="14"/>
  <c r="O665" i="14"/>
  <c r="W664" i="14"/>
  <c r="U664" i="14"/>
  <c r="T664" i="14"/>
  <c r="O664" i="14"/>
  <c r="O661" i="14"/>
  <c r="AU660" i="14"/>
  <c r="AT660" i="14"/>
  <c r="W658" i="14"/>
  <c r="O658" i="14"/>
  <c r="Y657" i="14"/>
  <c r="V657" i="14"/>
  <c r="R657" i="14"/>
  <c r="O656" i="14"/>
  <c r="O655" i="14"/>
  <c r="W651" i="14"/>
  <c r="U651" i="14"/>
  <c r="T651" i="14"/>
  <c r="O651" i="14"/>
  <c r="Y650" i="14"/>
  <c r="W650" i="14"/>
  <c r="V650" i="14"/>
  <c r="O650" i="14"/>
  <c r="AL649" i="14"/>
  <c r="AK649" i="14"/>
  <c r="AJ649" i="14"/>
  <c r="AI649" i="14"/>
  <c r="Y649" i="14"/>
  <c r="O649" i="14"/>
  <c r="Y647" i="14"/>
  <c r="W647" i="14"/>
  <c r="O647" i="14"/>
  <c r="O646" i="14"/>
  <c r="O643" i="14"/>
  <c r="Y640" i="14"/>
  <c r="W640" i="14"/>
  <c r="V635" i="14"/>
  <c r="O633" i="14"/>
  <c r="Y633" i="14"/>
  <c r="M633" i="14"/>
  <c r="O632" i="14"/>
  <c r="M632" i="14"/>
  <c r="O631" i="14"/>
  <c r="Y631" i="14"/>
  <c r="M631" i="14"/>
  <c r="O630" i="14"/>
  <c r="M630" i="14"/>
  <c r="M629" i="14"/>
  <c r="O628" i="14"/>
  <c r="M628" i="14"/>
  <c r="O627" i="14"/>
  <c r="W627" i="14"/>
  <c r="Y627" i="14"/>
  <c r="M627" i="14"/>
  <c r="O626" i="14"/>
  <c r="W626" i="14"/>
  <c r="M626" i="14"/>
  <c r="W625" i="14"/>
  <c r="M625" i="14"/>
  <c r="V624" i="14"/>
  <c r="M624" i="14"/>
  <c r="O623" i="14"/>
  <c r="W623" i="14"/>
  <c r="Y623" i="14"/>
  <c r="M623" i="14"/>
  <c r="M622" i="14"/>
  <c r="R621" i="14"/>
  <c r="V621" i="14"/>
  <c r="M621" i="14"/>
  <c r="M620" i="14"/>
  <c r="M619" i="14"/>
  <c r="M618" i="14"/>
  <c r="M617" i="14"/>
  <c r="M616" i="14"/>
  <c r="O615" i="14"/>
  <c r="W615" i="14"/>
  <c r="M615" i="14"/>
  <c r="M614" i="14"/>
  <c r="O613" i="14"/>
  <c r="V613" i="14"/>
  <c r="X613" i="14"/>
  <c r="Y613" i="14"/>
  <c r="M613" i="14"/>
  <c r="O612" i="14"/>
  <c r="U612" i="14"/>
  <c r="V612" i="14"/>
  <c r="M612" i="14"/>
  <c r="O611" i="14"/>
  <c r="V611" i="14"/>
  <c r="W611" i="14"/>
  <c r="Y611" i="14"/>
  <c r="M611" i="14"/>
  <c r="O610" i="14"/>
  <c r="V610" i="14"/>
  <c r="W610" i="14"/>
  <c r="Y610" i="14"/>
  <c r="M610" i="14"/>
  <c r="AL609" i="14"/>
  <c r="AJ609" i="14"/>
  <c r="AI609" i="14"/>
  <c r="O609" i="14"/>
  <c r="M609" i="14"/>
  <c r="AL608" i="14"/>
  <c r="AJ608" i="14"/>
  <c r="AI608" i="14"/>
  <c r="AF608" i="14"/>
  <c r="O608" i="14"/>
  <c r="W608" i="14"/>
  <c r="Y608" i="14"/>
  <c r="M608" i="14"/>
  <c r="AL607" i="14"/>
  <c r="AI607" i="14"/>
  <c r="V607" i="14"/>
  <c r="M607" i="14"/>
  <c r="M606" i="14"/>
  <c r="O605" i="14"/>
  <c r="Y605" i="14"/>
  <c r="M605" i="14"/>
  <c r="Y604" i="14"/>
  <c r="M604" i="14"/>
  <c r="O603" i="14"/>
  <c r="R603" i="14"/>
  <c r="T603" i="14"/>
  <c r="Y603" i="14"/>
  <c r="M603" i="14"/>
  <c r="M602" i="14"/>
  <c r="O601" i="14"/>
  <c r="M601" i="14"/>
  <c r="V600" i="14"/>
  <c r="M600" i="14"/>
  <c r="V599" i="14"/>
  <c r="M599" i="14"/>
  <c r="V598" i="14"/>
  <c r="M598" i="14"/>
  <c r="W597" i="14"/>
  <c r="M597" i="14"/>
  <c r="O596" i="14"/>
  <c r="R596" i="14"/>
  <c r="W596" i="14"/>
  <c r="M596" i="14"/>
  <c r="M595" i="14"/>
  <c r="V594" i="14"/>
  <c r="M594" i="14"/>
  <c r="V593" i="14"/>
  <c r="M593" i="14"/>
  <c r="M592" i="14"/>
  <c r="M591" i="14"/>
  <c r="M586" i="14"/>
  <c r="Y585" i="14"/>
  <c r="M585" i="14"/>
  <c r="O584" i="14"/>
  <c r="R584" i="14"/>
  <c r="O583" i="14"/>
  <c r="Y583" i="14"/>
  <c r="M583" i="14"/>
  <c r="M582" i="14"/>
  <c r="Y581" i="14"/>
  <c r="M581" i="14"/>
  <c r="M580" i="14"/>
  <c r="O579" i="14"/>
  <c r="M579" i="14"/>
  <c r="R578" i="14"/>
  <c r="Y578" i="14"/>
  <c r="M578" i="14"/>
  <c r="O577" i="14"/>
  <c r="S577" i="14"/>
  <c r="W577" i="14"/>
  <c r="M577" i="14"/>
  <c r="O576" i="14"/>
  <c r="M576" i="14"/>
  <c r="O575" i="14"/>
  <c r="T575" i="14"/>
  <c r="X575" i="14"/>
  <c r="Y575" i="14"/>
  <c r="M575" i="14"/>
  <c r="O574" i="14"/>
  <c r="Y574" i="14"/>
  <c r="M574" i="14"/>
  <c r="W572" i="14"/>
  <c r="M572" i="14"/>
  <c r="V571" i="14"/>
  <c r="M571" i="14"/>
  <c r="V570" i="14"/>
  <c r="M570" i="14"/>
  <c r="M569" i="14"/>
  <c r="V568" i="14"/>
  <c r="M568" i="14"/>
  <c r="V567" i="14"/>
  <c r="M567" i="14"/>
  <c r="M566" i="14"/>
  <c r="V565" i="14"/>
  <c r="M565" i="14"/>
  <c r="O564" i="14"/>
  <c r="V564" i="14"/>
  <c r="Y564" i="14"/>
  <c r="M564" i="14"/>
  <c r="M563" i="14"/>
  <c r="M562" i="14"/>
  <c r="O561" i="14"/>
  <c r="M561" i="14"/>
  <c r="O560" i="14"/>
  <c r="M560" i="14"/>
  <c r="O559" i="14"/>
  <c r="M559" i="14"/>
  <c r="AF558" i="14"/>
  <c r="O558" i="14"/>
  <c r="M558" i="14"/>
  <c r="AL557" i="14"/>
  <c r="AK557" i="14"/>
  <c r="AI557" i="14"/>
  <c r="AF557" i="14"/>
  <c r="O557" i="14"/>
  <c r="Y557" i="14"/>
  <c r="M557" i="14"/>
  <c r="AL556" i="14"/>
  <c r="AK556" i="14"/>
  <c r="AI556" i="14"/>
  <c r="M556" i="14"/>
  <c r="AL555" i="14"/>
  <c r="AK555" i="14"/>
  <c r="AI555" i="14"/>
  <c r="O555" i="14"/>
  <c r="M555" i="14"/>
  <c r="AL554" i="14"/>
  <c r="AK554" i="14"/>
  <c r="AJ554" i="14"/>
  <c r="AI554" i="14"/>
  <c r="O554" i="14"/>
  <c r="M554" i="14"/>
  <c r="M553" i="14"/>
  <c r="M552" i="14"/>
  <c r="M551" i="14"/>
  <c r="M550" i="14"/>
  <c r="AL549" i="14"/>
  <c r="AK549" i="14"/>
  <c r="AJ549" i="14"/>
  <c r="AI549" i="14"/>
  <c r="O549" i="14"/>
  <c r="M549" i="14"/>
  <c r="AL548" i="14"/>
  <c r="AK548" i="14"/>
  <c r="AJ548" i="14"/>
  <c r="AI548" i="14"/>
  <c r="O548" i="14"/>
  <c r="Y548" i="14"/>
  <c r="M548" i="14"/>
  <c r="AL547" i="14"/>
  <c r="AK547" i="14"/>
  <c r="AJ547" i="14"/>
  <c r="AI547" i="14"/>
  <c r="O547" i="14"/>
  <c r="M547" i="14"/>
  <c r="O546" i="14"/>
  <c r="M546" i="14"/>
  <c r="O545" i="14"/>
  <c r="M545" i="14"/>
  <c r="O544" i="14"/>
  <c r="M544" i="14"/>
  <c r="O543" i="14"/>
  <c r="U543" i="14"/>
  <c r="W543" i="14"/>
  <c r="M543" i="14"/>
  <c r="O542" i="14"/>
  <c r="Y542" i="14"/>
  <c r="M542" i="14"/>
  <c r="O541" i="14"/>
  <c r="S541" i="14"/>
  <c r="M541" i="14"/>
  <c r="M540" i="14"/>
  <c r="M539" i="14"/>
  <c r="V538" i="14"/>
  <c r="Y538" i="14"/>
  <c r="M538" i="14"/>
  <c r="O537" i="14"/>
  <c r="M537" i="14"/>
  <c r="AL536" i="14"/>
  <c r="AK536" i="14"/>
  <c r="AJ536" i="14"/>
  <c r="AI536" i="14"/>
  <c r="O535" i="14"/>
  <c r="M534" i="14"/>
  <c r="AV533" i="14"/>
  <c r="M533" i="14"/>
  <c r="AL532" i="14"/>
  <c r="AK532" i="14"/>
  <c r="AJ532" i="14"/>
  <c r="AI532" i="14"/>
  <c r="M532" i="14"/>
  <c r="AV531" i="14"/>
  <c r="AL531" i="14"/>
  <c r="AK531" i="14"/>
  <c r="AJ531" i="14"/>
  <c r="AI531" i="14"/>
  <c r="M531" i="14"/>
  <c r="M529" i="14"/>
  <c r="M528" i="14"/>
  <c r="S527" i="14"/>
  <c r="Y527" i="14"/>
  <c r="M527" i="14"/>
  <c r="M526" i="14"/>
  <c r="AL525" i="14"/>
  <c r="AJ525" i="14"/>
  <c r="AI525" i="14"/>
  <c r="AH525" i="14"/>
  <c r="O525" i="14"/>
  <c r="T525" i="14"/>
  <c r="W525" i="14"/>
  <c r="Y525" i="14"/>
  <c r="AL524" i="14"/>
  <c r="AJ524" i="14"/>
  <c r="AI524" i="14"/>
  <c r="O524" i="14"/>
  <c r="W524" i="14"/>
  <c r="AL523" i="14"/>
  <c r="AI523" i="14"/>
  <c r="AH523" i="14"/>
  <c r="O523" i="14"/>
  <c r="V523" i="14"/>
  <c r="W523" i="14"/>
  <c r="AM522" i="14"/>
  <c r="O522" i="14"/>
  <c r="T522" i="14"/>
  <c r="U522" i="14"/>
  <c r="V522" i="14"/>
  <c r="W522" i="14"/>
  <c r="X522" i="14"/>
  <c r="Y522" i="14"/>
  <c r="O521" i="14"/>
  <c r="T521" i="14"/>
  <c r="U521" i="14"/>
  <c r="W521" i="14"/>
  <c r="Y521" i="14"/>
  <c r="O520" i="14"/>
  <c r="U520" i="14"/>
  <c r="V520" i="14"/>
  <c r="W520" i="14"/>
  <c r="Y520" i="14"/>
  <c r="V519" i="14"/>
  <c r="M519" i="14"/>
  <c r="O518" i="14"/>
  <c r="V516" i="14"/>
  <c r="O515" i="14"/>
  <c r="W515" i="14"/>
  <c r="Y515" i="14"/>
  <c r="O514" i="14"/>
  <c r="W514" i="14"/>
  <c r="Y514" i="14"/>
  <c r="O513" i="14"/>
  <c r="W513" i="14"/>
  <c r="Y513" i="14"/>
  <c r="W511" i="14"/>
  <c r="W510" i="14"/>
  <c r="AV509" i="14"/>
  <c r="O509" i="14"/>
  <c r="O508" i="14"/>
  <c r="M508" i="14"/>
  <c r="O507" i="14"/>
  <c r="S507" i="14"/>
  <c r="W507" i="14"/>
  <c r="Y507" i="14"/>
  <c r="M507" i="14"/>
  <c r="O506" i="14"/>
  <c r="W506" i="14"/>
  <c r="Y506" i="14"/>
  <c r="M506" i="14"/>
  <c r="W505" i="14"/>
  <c r="M505" i="14"/>
  <c r="M504" i="14"/>
  <c r="V503" i="14"/>
  <c r="M503" i="14"/>
  <c r="V502" i="14"/>
  <c r="M502" i="14"/>
  <c r="O501" i="14"/>
  <c r="R501" i="14"/>
  <c r="T501" i="14"/>
  <c r="Y501" i="14"/>
  <c r="M501" i="14"/>
  <c r="Y500" i="14"/>
  <c r="O500" i="14"/>
  <c r="M500" i="14"/>
  <c r="AV499" i="14"/>
  <c r="M499" i="14"/>
  <c r="O498" i="14"/>
  <c r="M498" i="14"/>
  <c r="M497" i="14"/>
  <c r="M496" i="14"/>
  <c r="M495" i="14"/>
  <c r="V494" i="14"/>
  <c r="M494" i="14"/>
  <c r="O493" i="14"/>
  <c r="M493" i="14"/>
  <c r="O492" i="14"/>
  <c r="V492" i="14"/>
  <c r="W492" i="14"/>
  <c r="Y492" i="14"/>
  <c r="M492" i="14"/>
  <c r="Y491" i="14"/>
  <c r="W491" i="14"/>
  <c r="O491" i="14"/>
  <c r="M491" i="14"/>
  <c r="Y490" i="14"/>
  <c r="M490" i="14"/>
  <c r="O489" i="14"/>
  <c r="Y489" i="14"/>
  <c r="M489" i="14"/>
  <c r="M488" i="14"/>
  <c r="O487" i="14"/>
  <c r="M487" i="14"/>
  <c r="Y486" i="14"/>
  <c r="M486" i="14"/>
  <c r="M485" i="14"/>
  <c r="W484" i="14"/>
  <c r="Y484" i="14"/>
  <c r="M484" i="14"/>
  <c r="AL483" i="14"/>
  <c r="AK483" i="14"/>
  <c r="AJ483" i="14"/>
  <c r="AI483" i="14"/>
  <c r="O482" i="14"/>
  <c r="V482" i="14"/>
  <c r="M482" i="14"/>
  <c r="AL481" i="14"/>
  <c r="AK481" i="14"/>
  <c r="AJ481" i="14"/>
  <c r="AI481" i="14"/>
  <c r="AF481" i="14"/>
  <c r="O480" i="14"/>
  <c r="O477" i="14"/>
  <c r="W477" i="14"/>
  <c r="Y477" i="14"/>
  <c r="M477" i="14"/>
  <c r="O476" i="14"/>
  <c r="W476" i="14"/>
  <c r="Y476" i="14"/>
  <c r="M476" i="14"/>
  <c r="AL475" i="14"/>
  <c r="AK475" i="14"/>
  <c r="O475" i="14"/>
  <c r="M475" i="14"/>
  <c r="AL474" i="14"/>
  <c r="AK474" i="14"/>
  <c r="O474" i="14"/>
  <c r="M474" i="14"/>
  <c r="AL473" i="14"/>
  <c r="AK473" i="14"/>
  <c r="AI473" i="14"/>
  <c r="AH473" i="14"/>
  <c r="Y473" i="14"/>
  <c r="AD472" i="14"/>
  <c r="O472" i="14"/>
  <c r="Y472" i="14"/>
  <c r="M472" i="14"/>
  <c r="AD471" i="14"/>
  <c r="O471" i="14"/>
  <c r="Y471" i="14"/>
  <c r="M471" i="14"/>
  <c r="AD470" i="14"/>
  <c r="O470" i="14"/>
  <c r="V470" i="14"/>
  <c r="Y470" i="14"/>
  <c r="M470" i="14"/>
  <c r="AD469" i="14"/>
  <c r="O469" i="14"/>
  <c r="X469" i="14"/>
  <c r="Y469" i="14"/>
  <c r="M469" i="14"/>
  <c r="M468" i="14"/>
  <c r="M467" i="14"/>
  <c r="M466" i="14"/>
  <c r="M465" i="14"/>
  <c r="M464" i="14"/>
  <c r="M463" i="14"/>
  <c r="M462" i="14"/>
  <c r="M461" i="14"/>
  <c r="M460" i="14"/>
  <c r="M459" i="14"/>
  <c r="M458" i="14"/>
  <c r="M457" i="14"/>
  <c r="M456" i="14"/>
  <c r="M455" i="14"/>
  <c r="V454" i="14"/>
  <c r="M454" i="14"/>
  <c r="M453" i="14"/>
  <c r="M452" i="14"/>
  <c r="M451" i="14"/>
  <c r="M450" i="14"/>
  <c r="M449" i="14"/>
  <c r="M448" i="14"/>
  <c r="M447" i="14"/>
  <c r="M446" i="14"/>
  <c r="M445" i="14"/>
  <c r="M444" i="14"/>
  <c r="M443" i="14"/>
  <c r="M442" i="14"/>
  <c r="M441" i="14"/>
  <c r="M440" i="14"/>
  <c r="M439" i="14"/>
  <c r="M438" i="14"/>
  <c r="M437" i="14"/>
  <c r="M436" i="14"/>
  <c r="M435" i="14"/>
  <c r="M434" i="14"/>
  <c r="M433" i="14"/>
  <c r="M432" i="14"/>
  <c r="M431" i="14"/>
  <c r="M430" i="14"/>
  <c r="M427" i="14"/>
  <c r="M426" i="14"/>
  <c r="M425" i="14"/>
  <c r="M423" i="14"/>
  <c r="M422" i="14"/>
  <c r="M421" i="14"/>
  <c r="M419" i="14"/>
  <c r="M418" i="14"/>
  <c r="M417" i="14"/>
  <c r="M416" i="14"/>
  <c r="M415" i="14"/>
  <c r="M414" i="14"/>
  <c r="M413" i="14"/>
  <c r="M412" i="14"/>
  <c r="M411" i="14"/>
  <c r="M410" i="14"/>
  <c r="M409" i="14"/>
  <c r="M408" i="14"/>
  <c r="M407" i="14"/>
  <c r="M406" i="14"/>
  <c r="Y405" i="14"/>
  <c r="X405" i="14"/>
  <c r="V405" i="14"/>
  <c r="O405" i="14"/>
  <c r="M405" i="14"/>
  <c r="M404" i="14"/>
  <c r="M403" i="14"/>
  <c r="M402" i="14"/>
  <c r="O401" i="14"/>
  <c r="O400" i="14"/>
  <c r="S400" i="14"/>
  <c r="Y400" i="14"/>
  <c r="AD399" i="14"/>
  <c r="O399" i="14"/>
  <c r="V399" i="14"/>
  <c r="M399" i="14"/>
  <c r="M398" i="14"/>
  <c r="M397" i="14"/>
  <c r="M396" i="14"/>
  <c r="M395" i="14"/>
  <c r="M394" i="14"/>
  <c r="M393" i="14"/>
  <c r="M392" i="14"/>
  <c r="M391" i="14"/>
  <c r="M389" i="14"/>
  <c r="M388" i="14"/>
  <c r="M387" i="14"/>
  <c r="M386" i="14"/>
  <c r="M385" i="14"/>
  <c r="M384" i="14"/>
  <c r="M383" i="14"/>
  <c r="M382" i="14"/>
  <c r="M378" i="14"/>
  <c r="M376" i="14"/>
  <c r="O375" i="14"/>
  <c r="O373" i="14"/>
  <c r="R373" i="14"/>
  <c r="S373" i="14"/>
  <c r="V373" i="14"/>
  <c r="Y373" i="14"/>
  <c r="M373" i="14"/>
  <c r="W372" i="14"/>
  <c r="Y372" i="14"/>
  <c r="M372" i="14"/>
  <c r="M371" i="14"/>
  <c r="AL370" i="14"/>
  <c r="AK370" i="14"/>
  <c r="AJ370" i="14"/>
  <c r="AI370" i="14"/>
  <c r="M370" i="14"/>
  <c r="M369" i="14"/>
  <c r="M368" i="14"/>
  <c r="V367" i="14"/>
  <c r="M367" i="14"/>
  <c r="M366" i="14"/>
  <c r="M365" i="14"/>
  <c r="M364" i="14"/>
  <c r="M363" i="14"/>
  <c r="M362" i="14"/>
  <c r="AD361" i="14"/>
  <c r="O361" i="14"/>
  <c r="M361" i="14"/>
  <c r="AD360" i="14"/>
  <c r="O360" i="14"/>
  <c r="M360" i="14"/>
  <c r="AD359" i="14"/>
  <c r="O359" i="14"/>
  <c r="M359" i="14"/>
  <c r="AD358" i="14"/>
  <c r="M357" i="14"/>
  <c r="S356" i="14"/>
  <c r="V356" i="14"/>
  <c r="M356" i="14"/>
  <c r="U355" i="14"/>
  <c r="M355" i="14"/>
  <c r="S354" i="14"/>
  <c r="V354" i="14"/>
  <c r="M354" i="14"/>
  <c r="AL353" i="14"/>
  <c r="AK353" i="14"/>
  <c r="AJ353" i="14"/>
  <c r="AI353" i="14"/>
  <c r="AG353" i="14"/>
  <c r="O353" i="14"/>
  <c r="R353" i="14"/>
  <c r="S353" i="14"/>
  <c r="Y353" i="14"/>
  <c r="M353" i="14"/>
  <c r="AV352" i="14"/>
  <c r="AL352" i="14"/>
  <c r="AK352" i="14"/>
  <c r="AJ352" i="14"/>
  <c r="AI352" i="14"/>
  <c r="AD352" i="14"/>
  <c r="O352" i="14"/>
  <c r="R352" i="14"/>
  <c r="M352" i="14"/>
  <c r="AD351" i="14"/>
  <c r="O351" i="14"/>
  <c r="S351" i="14"/>
  <c r="M351" i="14"/>
  <c r="AD350" i="14"/>
  <c r="O350" i="14"/>
  <c r="S350" i="14"/>
  <c r="M350" i="14"/>
  <c r="AD349" i="14"/>
  <c r="V349" i="14"/>
  <c r="M349" i="14"/>
  <c r="M348" i="14"/>
  <c r="V347" i="14"/>
  <c r="M347" i="14"/>
  <c r="AD346" i="14"/>
  <c r="M346" i="14"/>
  <c r="AL345" i="14"/>
  <c r="AK345" i="14"/>
  <c r="AJ345" i="14"/>
  <c r="AI345" i="14"/>
  <c r="M345" i="14"/>
  <c r="AR344" i="14"/>
  <c r="AD344" i="14"/>
  <c r="M344" i="14"/>
  <c r="AR343" i="14"/>
  <c r="AD343" i="14"/>
  <c r="M343" i="14"/>
  <c r="AD342" i="14"/>
  <c r="O342" i="14"/>
  <c r="R342" i="14"/>
  <c r="S342" i="14"/>
  <c r="W342" i="14"/>
  <c r="M342" i="14"/>
  <c r="AD341" i="14"/>
  <c r="O341" i="14"/>
  <c r="V341" i="14"/>
  <c r="M341" i="14"/>
  <c r="M340" i="14"/>
  <c r="M339" i="14"/>
  <c r="M338" i="14"/>
  <c r="M337" i="14"/>
  <c r="M336" i="14"/>
  <c r="M335" i="14"/>
  <c r="AD334" i="14"/>
  <c r="M334" i="14"/>
  <c r="AD333" i="14"/>
  <c r="M333" i="14"/>
  <c r="O332" i="14"/>
  <c r="U332" i="14"/>
  <c r="M332" i="14"/>
  <c r="AD331" i="14"/>
  <c r="O331" i="14"/>
  <c r="V331" i="14"/>
  <c r="M331" i="14"/>
  <c r="Y330" i="14"/>
  <c r="M330" i="14"/>
  <c r="AL329" i="14"/>
  <c r="AK329" i="14"/>
  <c r="AJ329" i="14"/>
  <c r="AI329" i="14"/>
  <c r="AD329" i="14"/>
  <c r="M329" i="14"/>
  <c r="AD328" i="14"/>
  <c r="M328" i="14"/>
  <c r="M327" i="14"/>
  <c r="AD326" i="14"/>
  <c r="M326" i="14"/>
  <c r="AD325" i="14"/>
  <c r="O325" i="14"/>
  <c r="M325" i="14"/>
  <c r="M324" i="14"/>
  <c r="M323" i="14"/>
  <c r="T322" i="14"/>
  <c r="M322" i="14"/>
  <c r="M321" i="14"/>
  <c r="M320" i="14"/>
  <c r="M319" i="14"/>
  <c r="M318" i="14"/>
  <c r="V317" i="14"/>
  <c r="M317" i="14"/>
  <c r="AD316" i="14"/>
  <c r="M316" i="14"/>
  <c r="AD315" i="14"/>
  <c r="M315" i="14"/>
  <c r="O314" i="14"/>
  <c r="U314" i="14"/>
  <c r="M314" i="14"/>
  <c r="M313" i="14"/>
  <c r="M312" i="14"/>
  <c r="O311" i="14"/>
  <c r="V311" i="14"/>
  <c r="M311" i="14"/>
  <c r="M310" i="14"/>
  <c r="M309" i="14"/>
  <c r="O308" i="14"/>
  <c r="R308" i="14"/>
  <c r="Y308" i="14"/>
  <c r="M308" i="14"/>
  <c r="AD307" i="14"/>
  <c r="M306" i="14"/>
  <c r="AD305" i="14"/>
  <c r="M305" i="14"/>
  <c r="AD304" i="14"/>
  <c r="O304" i="14"/>
  <c r="R304" i="14"/>
  <c r="Y304" i="14"/>
  <c r="M304" i="14"/>
  <c r="AD303" i="14"/>
  <c r="O303" i="14"/>
  <c r="T303" i="14"/>
  <c r="W303" i="14"/>
  <c r="Y303" i="14"/>
  <c r="M303" i="14"/>
  <c r="W302" i="14"/>
  <c r="M302" i="14"/>
  <c r="M301" i="14"/>
  <c r="M300" i="14"/>
  <c r="M299" i="14"/>
  <c r="AD298" i="14"/>
  <c r="O298" i="14"/>
  <c r="R298" i="14"/>
  <c r="M298" i="14"/>
  <c r="AD297" i="14"/>
  <c r="M297" i="14"/>
  <c r="O296" i="14"/>
  <c r="Y296" i="14"/>
  <c r="M296" i="14"/>
  <c r="AD295" i="14"/>
  <c r="O295" i="14"/>
  <c r="Y295" i="14"/>
  <c r="M295" i="14"/>
  <c r="O294" i="14"/>
  <c r="M294" i="14"/>
  <c r="AL293" i="14"/>
  <c r="AK293" i="14"/>
  <c r="AJ293" i="14"/>
  <c r="AI293" i="14"/>
  <c r="AD293" i="14"/>
  <c r="O293" i="14"/>
  <c r="V293" i="14"/>
  <c r="M293" i="14"/>
  <c r="AV292" i="14"/>
  <c r="M292" i="14"/>
  <c r="M291" i="14"/>
  <c r="M290" i="14"/>
  <c r="O289" i="14"/>
  <c r="V289" i="14"/>
  <c r="M289" i="14"/>
  <c r="M288" i="14"/>
  <c r="M287" i="14"/>
  <c r="AD286" i="14"/>
  <c r="Y286" i="14"/>
  <c r="M286" i="14"/>
  <c r="AV285" i="14"/>
  <c r="AD285" i="14"/>
  <c r="O285" i="14"/>
  <c r="W285" i="14"/>
  <c r="Y285" i="14"/>
  <c r="O284" i="14"/>
  <c r="S284" i="14"/>
  <c r="Y284" i="14"/>
  <c r="M284" i="14"/>
  <c r="AD283" i="14"/>
  <c r="O283" i="14"/>
  <c r="AD282" i="14"/>
  <c r="O282" i="14"/>
  <c r="M282" i="14"/>
  <c r="AL281" i="14"/>
  <c r="AK281" i="14"/>
  <c r="AJ281" i="14"/>
  <c r="AI281" i="14"/>
  <c r="AH281" i="14"/>
  <c r="AD281" i="14"/>
  <c r="W281" i="14"/>
  <c r="Y281" i="14"/>
  <c r="M281" i="14"/>
  <c r="AD280" i="14"/>
  <c r="O280" i="14"/>
  <c r="M280" i="14"/>
  <c r="AD279" i="14"/>
  <c r="M279" i="14"/>
  <c r="O278" i="14"/>
  <c r="W278" i="14"/>
  <c r="M278" i="14"/>
  <c r="AD277" i="14"/>
  <c r="M277" i="14"/>
  <c r="V276" i="14"/>
  <c r="M276" i="14"/>
  <c r="V275" i="14"/>
  <c r="Y275" i="14"/>
  <c r="M275" i="14"/>
  <c r="AD274" i="14"/>
  <c r="V274" i="14"/>
  <c r="M274" i="14"/>
  <c r="AD273" i="14"/>
  <c r="V273" i="14"/>
  <c r="W273" i="14"/>
  <c r="Y273" i="14"/>
  <c r="M273" i="14"/>
  <c r="Y272" i="14"/>
  <c r="M272" i="14"/>
  <c r="V271" i="14"/>
  <c r="M271" i="14"/>
  <c r="AD270" i="14"/>
  <c r="O270" i="14"/>
  <c r="V270" i="14"/>
  <c r="Y270" i="14"/>
  <c r="M270" i="14"/>
  <c r="AD269" i="14"/>
  <c r="V269" i="14"/>
  <c r="Y269" i="14"/>
  <c r="M269" i="14"/>
  <c r="M268" i="14"/>
  <c r="AD267" i="14"/>
  <c r="M267" i="14"/>
  <c r="Y266" i="14"/>
  <c r="M266" i="14"/>
  <c r="AD265" i="14"/>
  <c r="T265" i="14"/>
  <c r="W265" i="14"/>
  <c r="Y265" i="14"/>
  <c r="M265" i="14"/>
  <c r="AR264" i="14"/>
  <c r="AL263" i="14"/>
  <c r="AK263" i="14"/>
  <c r="AJ263" i="14"/>
  <c r="AI263" i="14"/>
  <c r="AD263" i="14"/>
  <c r="O263" i="14"/>
  <c r="M263" i="14"/>
  <c r="AD262" i="14"/>
  <c r="M262" i="14"/>
  <c r="V261" i="14"/>
  <c r="M261" i="14"/>
  <c r="O260" i="14"/>
  <c r="V260" i="14"/>
  <c r="M260" i="14"/>
  <c r="M259" i="14"/>
  <c r="O258" i="14"/>
  <c r="M258" i="14"/>
  <c r="AL257" i="14"/>
  <c r="AK257" i="14"/>
  <c r="AJ257" i="14"/>
  <c r="AI257" i="14"/>
  <c r="AD257" i="14"/>
  <c r="V257" i="14"/>
  <c r="M257" i="14"/>
  <c r="AL256" i="14"/>
  <c r="AK256" i="14"/>
  <c r="AJ256" i="14"/>
  <c r="AI256" i="14"/>
  <c r="AD256" i="14"/>
  <c r="O256" i="14"/>
  <c r="V256" i="14"/>
  <c r="W256" i="14"/>
  <c r="Y256" i="14"/>
  <c r="M256" i="14"/>
  <c r="AL255" i="14"/>
  <c r="AK255" i="14"/>
  <c r="AJ255" i="14"/>
  <c r="AI255" i="14"/>
  <c r="AH255" i="14"/>
  <c r="M255" i="14"/>
  <c r="AL254" i="14"/>
  <c r="AK254" i="14"/>
  <c r="AJ254" i="14"/>
  <c r="AI254" i="14"/>
  <c r="W254" i="14"/>
  <c r="Y254" i="14"/>
  <c r="M254" i="14"/>
  <c r="M253" i="14"/>
  <c r="M252" i="14"/>
  <c r="M251" i="14"/>
  <c r="M250" i="14"/>
  <c r="AD249" i="14"/>
  <c r="M249" i="14"/>
  <c r="M248" i="14"/>
  <c r="M247" i="14"/>
  <c r="M246" i="14"/>
  <c r="M245" i="14"/>
  <c r="M244" i="14"/>
  <c r="AR243" i="14"/>
  <c r="M243" i="14"/>
  <c r="O242" i="14"/>
  <c r="S242" i="14"/>
  <c r="T242" i="14"/>
  <c r="Y242" i="14"/>
  <c r="M240" i="14"/>
  <c r="M239" i="14"/>
  <c r="M238" i="14"/>
  <c r="AD237" i="14"/>
  <c r="O237" i="14"/>
  <c r="Y237" i="14"/>
  <c r="M237" i="14"/>
  <c r="O234" i="14"/>
  <c r="AL233" i="14"/>
  <c r="AK233" i="14"/>
  <c r="AJ233" i="14"/>
  <c r="AI233" i="14"/>
  <c r="AH233" i="14"/>
  <c r="AD233" i="14"/>
  <c r="O233" i="14"/>
  <c r="Y233" i="14"/>
  <c r="M231" i="14"/>
  <c r="AD230" i="14"/>
  <c r="W230" i="14"/>
  <c r="Y230" i="14"/>
  <c r="M230" i="14"/>
  <c r="AD229" i="14"/>
  <c r="M229" i="14"/>
  <c r="M227" i="14"/>
  <c r="M226" i="14"/>
  <c r="Y225" i="14"/>
  <c r="M225" i="14"/>
  <c r="AM224" i="14"/>
  <c r="AL224" i="14"/>
  <c r="AK224" i="14"/>
  <c r="AJ224" i="14"/>
  <c r="AI224" i="14"/>
  <c r="AH224" i="14"/>
  <c r="AF224" i="14"/>
  <c r="O224" i="14"/>
  <c r="V224" i="14"/>
  <c r="W224" i="14"/>
  <c r="X224" i="14"/>
  <c r="Y224" i="14"/>
  <c r="M224" i="14"/>
  <c r="AD223" i="14"/>
  <c r="O223" i="14"/>
  <c r="M223" i="14"/>
  <c r="M222" i="14"/>
  <c r="M221" i="14"/>
  <c r="AD220" i="14"/>
  <c r="V220" i="14"/>
  <c r="AD219" i="14"/>
  <c r="V219" i="14"/>
  <c r="V218" i="14"/>
  <c r="AR216" i="14"/>
  <c r="O215" i="14"/>
  <c r="M215" i="14"/>
  <c r="O214" i="14"/>
  <c r="V214" i="14"/>
  <c r="M214" i="14"/>
  <c r="M213" i="14"/>
  <c r="AD212" i="14"/>
  <c r="V212" i="14"/>
  <c r="M212" i="14"/>
  <c r="AR211" i="14"/>
  <c r="M211" i="14"/>
  <c r="M210" i="14"/>
  <c r="M209" i="14"/>
  <c r="AD208" i="14"/>
  <c r="M208" i="14"/>
  <c r="AD207" i="14"/>
  <c r="M207" i="14"/>
  <c r="R206" i="14"/>
  <c r="W206" i="14"/>
  <c r="Y206" i="14"/>
  <c r="M206" i="14"/>
  <c r="AL205" i="14"/>
  <c r="AK205" i="14"/>
  <c r="AJ205" i="14"/>
  <c r="AI205" i="14"/>
  <c r="AH205" i="14"/>
  <c r="AD205" i="14"/>
  <c r="O205" i="14"/>
  <c r="W205" i="14"/>
  <c r="Y205" i="14"/>
  <c r="M205" i="14"/>
  <c r="M204" i="14"/>
  <c r="AD203" i="14"/>
  <c r="O203" i="14"/>
  <c r="T203" i="14"/>
  <c r="X203" i="14"/>
  <c r="Y203" i="14"/>
  <c r="M203" i="14"/>
  <c r="O202" i="14"/>
  <c r="Y202" i="14"/>
  <c r="M202" i="14"/>
  <c r="AD201" i="14"/>
  <c r="O201" i="14"/>
  <c r="S201" i="14"/>
  <c r="X201" i="14"/>
  <c r="Y201" i="14"/>
  <c r="M201" i="14"/>
  <c r="AL200" i="14"/>
  <c r="AK200" i="14"/>
  <c r="AJ200" i="14"/>
  <c r="AI200" i="14"/>
  <c r="AH200" i="14"/>
  <c r="AD200" i="14"/>
  <c r="T200" i="14"/>
  <c r="W200" i="14"/>
  <c r="Y200" i="14"/>
  <c r="M200" i="14"/>
  <c r="M199" i="14"/>
  <c r="M198" i="14"/>
  <c r="M197" i="14"/>
  <c r="M196" i="14"/>
  <c r="O195" i="14"/>
  <c r="M195" i="14"/>
  <c r="O194" i="14"/>
  <c r="M194" i="14"/>
  <c r="M193" i="14"/>
  <c r="AL192" i="14"/>
  <c r="AK192" i="14"/>
  <c r="AJ192" i="14"/>
  <c r="AI192" i="14"/>
  <c r="AD192" i="14"/>
  <c r="M192" i="14"/>
  <c r="M191" i="14"/>
  <c r="V190" i="14"/>
  <c r="M190" i="14"/>
  <c r="M189" i="14"/>
  <c r="AD188" i="14"/>
  <c r="V188" i="14"/>
  <c r="M188" i="14"/>
  <c r="V187" i="14"/>
  <c r="M187" i="14"/>
  <c r="V186" i="14"/>
  <c r="M186" i="14"/>
  <c r="AD185" i="14"/>
  <c r="O185" i="14"/>
  <c r="S185" i="14"/>
  <c r="W185" i="14"/>
  <c r="Y185" i="14"/>
  <c r="M185" i="14"/>
  <c r="AD184" i="14"/>
  <c r="M184" i="14"/>
  <c r="AL183" i="14"/>
  <c r="AK183" i="14"/>
  <c r="AI183" i="14"/>
  <c r="AD183" i="14"/>
  <c r="M183" i="14"/>
  <c r="M182" i="14"/>
  <c r="M181" i="14"/>
  <c r="O180" i="14"/>
  <c r="Y180" i="14"/>
  <c r="M180" i="14"/>
  <c r="O179" i="14"/>
  <c r="M179" i="14"/>
  <c r="M178" i="14"/>
  <c r="O176" i="14"/>
  <c r="R176" i="14"/>
  <c r="U176" i="14"/>
  <c r="M176" i="14"/>
  <c r="O175" i="14"/>
  <c r="R175" i="14"/>
  <c r="U175" i="14"/>
  <c r="M175" i="14"/>
  <c r="AO174" i="14"/>
  <c r="AE174" i="14"/>
  <c r="O174" i="14"/>
  <c r="X174" i="14"/>
  <c r="Y174" i="14"/>
  <c r="Y173" i="14"/>
  <c r="M173" i="14"/>
  <c r="AL171" i="14"/>
  <c r="AK171" i="14"/>
  <c r="AJ171" i="14"/>
  <c r="AI171" i="14"/>
  <c r="AH171" i="14"/>
  <c r="AF171" i="14"/>
  <c r="M171" i="14"/>
  <c r="X170" i="14"/>
  <c r="AD169" i="14"/>
  <c r="O169" i="14"/>
  <c r="Y169" i="14"/>
  <c r="M169" i="14"/>
  <c r="M168" i="14"/>
  <c r="M167" i="14"/>
  <c r="AD166" i="14"/>
  <c r="M166" i="14"/>
  <c r="M165" i="14"/>
  <c r="O164" i="14"/>
  <c r="Y164" i="14"/>
  <c r="M164" i="14"/>
  <c r="M163" i="14"/>
  <c r="M162" i="14"/>
  <c r="AD161" i="14"/>
  <c r="M161" i="14"/>
  <c r="AD160" i="14"/>
  <c r="M160" i="14"/>
  <c r="AD159" i="14"/>
  <c r="M159" i="14"/>
  <c r="AL158" i="14"/>
  <c r="AK158" i="14"/>
  <c r="AJ158" i="14"/>
  <c r="AI158" i="14"/>
  <c r="AD158" i="14"/>
  <c r="R158" i="14"/>
  <c r="M158" i="14"/>
  <c r="AD157" i="14"/>
  <c r="M157" i="14"/>
  <c r="V156" i="14"/>
  <c r="Y156" i="14"/>
  <c r="M156" i="14"/>
  <c r="AD155" i="14"/>
  <c r="O155" i="14"/>
  <c r="T155" i="14"/>
  <c r="U155" i="14"/>
  <c r="V155" i="14"/>
  <c r="M155" i="14"/>
  <c r="AD154" i="14"/>
  <c r="T154" i="14"/>
  <c r="U154" i="14"/>
  <c r="V154" i="14"/>
  <c r="W154" i="14"/>
  <c r="M154" i="14"/>
  <c r="AD153" i="14"/>
  <c r="O153" i="14"/>
  <c r="V153" i="14"/>
  <c r="Y153" i="14"/>
  <c r="M153" i="14"/>
  <c r="AD152" i="14"/>
  <c r="M152" i="14"/>
  <c r="AL151" i="14"/>
  <c r="AK151" i="14"/>
  <c r="AI151" i="14"/>
  <c r="M151" i="14"/>
  <c r="AL150" i="14"/>
  <c r="AK150" i="14"/>
  <c r="AJ150" i="14"/>
  <c r="AI150" i="14"/>
  <c r="AD150" i="14"/>
  <c r="O150" i="14"/>
  <c r="M150" i="14"/>
  <c r="AE149" i="14"/>
  <c r="S149" i="14"/>
  <c r="T149" i="14"/>
  <c r="W149" i="14"/>
  <c r="X149" i="14"/>
  <c r="Y149" i="14"/>
  <c r="M149" i="14"/>
  <c r="AM148" i="14"/>
  <c r="AL148" i="14"/>
  <c r="AK148" i="14"/>
  <c r="AJ148" i="14"/>
  <c r="AI148" i="14"/>
  <c r="AH148" i="14"/>
  <c r="AD148" i="14"/>
  <c r="O148" i="14"/>
  <c r="T148" i="14"/>
  <c r="W148" i="14"/>
  <c r="Y148" i="14"/>
  <c r="M148" i="14"/>
  <c r="M147" i="14"/>
  <c r="AL146" i="14"/>
  <c r="AK146" i="14"/>
  <c r="AJ146" i="14"/>
  <c r="AI146" i="14"/>
  <c r="AH146" i="14"/>
  <c r="O146" i="14"/>
  <c r="W146" i="14"/>
  <c r="AD145" i="14"/>
  <c r="O145" i="14"/>
  <c r="V145" i="14"/>
  <c r="W145" i="14"/>
  <c r="X145" i="14"/>
  <c r="M145" i="14"/>
  <c r="AD144" i="14"/>
  <c r="M144" i="14"/>
  <c r="V143" i="14"/>
  <c r="M143" i="14"/>
  <c r="AD142" i="14"/>
  <c r="V142" i="14"/>
  <c r="M142" i="14"/>
  <c r="AD141" i="14"/>
  <c r="O141" i="14"/>
  <c r="M141" i="14"/>
  <c r="AD140" i="14"/>
  <c r="O140" i="14"/>
  <c r="W140" i="14"/>
  <c r="M140" i="14"/>
  <c r="AD139" i="14"/>
  <c r="O138" i="14"/>
  <c r="M138" i="14"/>
  <c r="O137" i="14"/>
  <c r="V137" i="14"/>
  <c r="M137" i="14"/>
  <c r="O136" i="14"/>
  <c r="S136" i="14"/>
  <c r="T136" i="14"/>
  <c r="W136" i="14"/>
  <c r="Y136" i="14"/>
  <c r="M136" i="14"/>
  <c r="V135" i="14"/>
  <c r="X135" i="14"/>
  <c r="Y135" i="14"/>
  <c r="M135" i="14"/>
  <c r="O134" i="14"/>
  <c r="V134" i="14"/>
  <c r="M133" i="14"/>
  <c r="M132" i="14"/>
  <c r="Y131" i="14"/>
  <c r="M131" i="14"/>
  <c r="O130" i="14"/>
  <c r="R130" i="14"/>
  <c r="T130" i="14"/>
  <c r="X130" i="14"/>
  <c r="Y130" i="14"/>
  <c r="M130" i="14"/>
  <c r="AM129" i="14"/>
  <c r="AL129" i="14"/>
  <c r="AK129" i="14"/>
  <c r="AJ129" i="14"/>
  <c r="AI129" i="14"/>
  <c r="AF129" i="14"/>
  <c r="O129" i="14"/>
  <c r="R129" i="14"/>
  <c r="T129" i="14"/>
  <c r="X129" i="14"/>
  <c r="Y129" i="14"/>
  <c r="M129" i="14"/>
  <c r="M128" i="14"/>
  <c r="M127" i="14"/>
  <c r="O126" i="14"/>
  <c r="M126" i="14"/>
  <c r="AT125" i="14"/>
  <c r="AR125" i="14"/>
  <c r="AP125" i="14"/>
  <c r="O125" i="14"/>
  <c r="V125" i="14"/>
  <c r="W125" i="14"/>
  <c r="X125" i="14"/>
  <c r="Y125" i="14"/>
  <c r="M125" i="14"/>
  <c r="AT124" i="14"/>
  <c r="AR124" i="14"/>
  <c r="AP124" i="14"/>
  <c r="O124" i="14"/>
  <c r="Y124" i="14"/>
  <c r="M124" i="14"/>
  <c r="O123" i="14"/>
  <c r="U123" i="14"/>
  <c r="V123" i="14"/>
  <c r="M122" i="14"/>
  <c r="AU121" i="14"/>
  <c r="AT121" i="14"/>
  <c r="M121" i="14"/>
  <c r="AU120" i="14"/>
  <c r="AT120" i="14"/>
  <c r="M120" i="14"/>
  <c r="AU119" i="14"/>
  <c r="AT119" i="14"/>
  <c r="M119" i="14"/>
  <c r="AU118" i="14"/>
  <c r="AT118" i="14"/>
  <c r="M118" i="14"/>
  <c r="M117" i="14"/>
  <c r="M116" i="14"/>
  <c r="AU115" i="14"/>
  <c r="M115" i="14"/>
  <c r="AU114" i="14"/>
  <c r="AT114" i="14"/>
  <c r="M114" i="14"/>
  <c r="AU113" i="14"/>
  <c r="AT113" i="14"/>
  <c r="M113" i="14"/>
  <c r="M112" i="14"/>
  <c r="O111" i="14"/>
  <c r="M111" i="14"/>
  <c r="AU110" i="14"/>
  <c r="AT110" i="14"/>
  <c r="AR110" i="14"/>
  <c r="Y110" i="14"/>
  <c r="M110" i="14"/>
  <c r="AU109" i="14"/>
  <c r="AT109" i="14"/>
  <c r="AR109" i="14"/>
  <c r="O109" i="14"/>
  <c r="R109" i="14"/>
  <c r="Y109" i="14"/>
  <c r="M109" i="14"/>
  <c r="AU108" i="14"/>
  <c r="AT108" i="14"/>
  <c r="AR108" i="14"/>
  <c r="O108" i="14"/>
  <c r="W108" i="14"/>
  <c r="X108" i="14"/>
  <c r="Y108" i="14"/>
  <c r="M108" i="14"/>
  <c r="M107" i="14"/>
  <c r="M106" i="14"/>
  <c r="M105" i="14"/>
  <c r="AM104" i="14"/>
  <c r="AL104" i="14"/>
  <c r="AK104" i="14"/>
  <c r="AJ104" i="14"/>
  <c r="AI104" i="14"/>
  <c r="AF104" i="14"/>
  <c r="M104" i="14"/>
  <c r="M103" i="14"/>
  <c r="M102" i="14"/>
  <c r="Y101" i="14"/>
  <c r="M101" i="14"/>
  <c r="O100" i="14"/>
  <c r="O99" i="14"/>
  <c r="O98" i="14"/>
  <c r="Y98" i="14"/>
  <c r="O97" i="14"/>
  <c r="U97" i="14"/>
  <c r="AL96" i="14"/>
  <c r="AK96" i="14"/>
  <c r="AJ96" i="14"/>
  <c r="AI96" i="14"/>
  <c r="M96" i="14"/>
  <c r="AL95" i="14"/>
  <c r="AK95" i="14"/>
  <c r="AJ95" i="14"/>
  <c r="AI95" i="14"/>
  <c r="AF95" i="14"/>
  <c r="M95" i="14"/>
  <c r="AL94" i="14"/>
  <c r="AK94" i="14"/>
  <c r="AJ94" i="14"/>
  <c r="AI94" i="14"/>
  <c r="AF94" i="14"/>
  <c r="M94" i="14"/>
  <c r="AL93" i="14"/>
  <c r="AK93" i="14"/>
  <c r="AJ93" i="14"/>
  <c r="AI93" i="14"/>
  <c r="AF93" i="14"/>
  <c r="M93" i="14"/>
  <c r="AL92" i="14"/>
  <c r="AK92" i="14"/>
  <c r="AJ92" i="14"/>
  <c r="AI92" i="14"/>
  <c r="AH92" i="14"/>
  <c r="O92" i="14"/>
  <c r="M92" i="14"/>
  <c r="O91" i="14"/>
  <c r="R91" i="14"/>
  <c r="M91" i="14"/>
  <c r="M90" i="14"/>
  <c r="M89" i="14"/>
  <c r="O88" i="14"/>
  <c r="W88" i="14"/>
  <c r="Y88" i="14"/>
  <c r="M88" i="14"/>
  <c r="M87" i="14"/>
  <c r="M86" i="14"/>
  <c r="M85" i="14"/>
  <c r="O84" i="14"/>
  <c r="M84" i="14"/>
  <c r="O82" i="14"/>
  <c r="W82" i="14"/>
  <c r="Y82" i="14"/>
  <c r="M82" i="14"/>
  <c r="AL81" i="14"/>
  <c r="AK81" i="14"/>
  <c r="AJ81" i="14"/>
  <c r="AI81" i="14"/>
  <c r="AF81" i="14"/>
  <c r="O81" i="14"/>
  <c r="Y81" i="14"/>
  <c r="M81" i="14"/>
  <c r="AL80" i="14"/>
  <c r="AK80" i="14"/>
  <c r="AJ80" i="14"/>
  <c r="AI80" i="14"/>
  <c r="M80" i="14"/>
  <c r="AL79" i="14"/>
  <c r="AK79" i="14"/>
  <c r="AJ79" i="14"/>
  <c r="AI79" i="14"/>
  <c r="O79" i="14"/>
  <c r="M79" i="14"/>
  <c r="AL78" i="14"/>
  <c r="AK78" i="14"/>
  <c r="AJ78" i="14"/>
  <c r="AI78" i="14"/>
  <c r="AF78" i="14"/>
  <c r="O78" i="14"/>
  <c r="Y78" i="14"/>
  <c r="M78" i="14"/>
  <c r="M77" i="14"/>
  <c r="M76" i="14"/>
  <c r="M75" i="14"/>
  <c r="M74" i="14"/>
  <c r="M73" i="14"/>
  <c r="M72" i="14"/>
  <c r="M71" i="14"/>
  <c r="M70" i="14"/>
  <c r="M69" i="14"/>
  <c r="M68" i="14"/>
  <c r="Y67" i="14"/>
  <c r="M67" i="14"/>
  <c r="M66" i="14"/>
  <c r="M65" i="14"/>
  <c r="M64" i="14"/>
  <c r="M63" i="14"/>
  <c r="M62" i="14"/>
  <c r="O60" i="14"/>
  <c r="O57" i="14"/>
  <c r="O54" i="14"/>
  <c r="Y51" i="14"/>
  <c r="O51" i="14"/>
  <c r="AP49" i="14"/>
  <c r="AL49" i="14"/>
  <c r="AK49" i="14"/>
  <c r="AJ49" i="14"/>
  <c r="AI49" i="14"/>
  <c r="AP48" i="14"/>
  <c r="AL48" i="14"/>
  <c r="AK48" i="14"/>
  <c r="AJ48" i="14"/>
  <c r="AI48" i="14"/>
  <c r="AF48" i="14"/>
  <c r="O48" i="14"/>
  <c r="AP47" i="14"/>
  <c r="AL47" i="14"/>
  <c r="AK47" i="14"/>
  <c r="AJ47" i="14"/>
  <c r="AI47" i="14"/>
  <c r="O47" i="14"/>
  <c r="AL46" i="14"/>
  <c r="AK46" i="14"/>
  <c r="AI46" i="14"/>
  <c r="AF46" i="14"/>
  <c r="O46" i="14"/>
  <c r="AL45" i="14"/>
  <c r="AK45" i="14"/>
  <c r="AI45" i="14"/>
  <c r="AG45" i="14"/>
  <c r="S45" i="14"/>
  <c r="O45" i="14"/>
  <c r="O44" i="14"/>
  <c r="Y44" i="14"/>
  <c r="O43" i="14"/>
  <c r="Y43" i="14"/>
  <c r="Y42" i="14"/>
  <c r="AE41" i="14"/>
  <c r="O36" i="14"/>
  <c r="S36" i="14"/>
  <c r="O35" i="14"/>
  <c r="S35" i="14"/>
  <c r="Y35" i="14"/>
  <c r="Y30" i="14"/>
  <c r="V29" i="14"/>
  <c r="Y29" i="14"/>
  <c r="O28" i="14"/>
  <c r="AI27" i="14"/>
  <c r="V27" i="14"/>
  <c r="M27" i="14"/>
  <c r="AL26" i="14"/>
  <c r="AK26" i="14"/>
  <c r="AJ26" i="14"/>
  <c r="AI26" i="14"/>
  <c r="V26" i="14"/>
  <c r="M26" i="14"/>
  <c r="O25" i="14"/>
  <c r="R25" i="14"/>
  <c r="S25" i="14"/>
  <c r="T25" i="14"/>
  <c r="Y25" i="14"/>
  <c r="M25" i="14"/>
  <c r="O24" i="14"/>
  <c r="R24" i="14"/>
  <c r="T24" i="14"/>
  <c r="Y24" i="14"/>
  <c r="M24" i="14"/>
  <c r="M23" i="14"/>
  <c r="M22" i="14"/>
  <c r="M21" i="14"/>
  <c r="M20" i="14"/>
  <c r="M19" i="14"/>
  <c r="AL17" i="14"/>
  <c r="AK17" i="14"/>
  <c r="AJ17" i="14"/>
  <c r="AI17" i="14"/>
  <c r="AH17" i="14"/>
  <c r="T17" i="14"/>
  <c r="V17" i="14"/>
  <c r="AL16" i="14"/>
  <c r="AK16" i="14"/>
  <c r="AJ16" i="14"/>
  <c r="AI16" i="14"/>
  <c r="AH16" i="14"/>
  <c r="O16" i="14"/>
  <c r="O15" i="14"/>
  <c r="V15" i="14"/>
  <c r="W15" i="14"/>
  <c r="X15" i="14"/>
  <c r="Y15" i="14"/>
  <c r="O14" i="14"/>
  <c r="Y14" i="14"/>
  <c r="O13" i="14"/>
  <c r="X13" i="14"/>
  <c r="Y13" i="14"/>
  <c r="O12" i="14"/>
  <c r="Y12" i="14"/>
  <c r="Y11" i="14"/>
  <c r="O9" i="14"/>
  <c r="O8" i="14"/>
  <c r="AL7" i="14"/>
  <c r="AK7" i="14"/>
  <c r="AJ7" i="14"/>
  <c r="AI7" i="14"/>
  <c r="O7" i="14"/>
  <c r="T7" i="14"/>
  <c r="W7" i="14"/>
  <c r="Y7" i="14"/>
  <c r="AL6" i="14"/>
  <c r="AK6" i="14"/>
  <c r="AJ6" i="14"/>
  <c r="AI6" i="14"/>
  <c r="AH6" i="14"/>
  <c r="V6" i="14"/>
  <c r="Y6" i="14"/>
  <c r="Y5" i="14"/>
  <c r="R4" i="14"/>
  <c r="T4" i="14"/>
  <c r="V4" i="14"/>
  <c r="X4" i="14"/>
  <c r="Y4" i="14"/>
  <c r="AL3" i="14"/>
  <c r="AK3" i="14"/>
  <c r="AJ3" i="14"/>
  <c r="AI3" i="14"/>
  <c r="W3" i="14"/>
  <c r="Y3" i="14"/>
  <c r="V2" i="14"/>
  <c r="O166" i="12"/>
  <c r="R166" i="12"/>
  <c r="W166" i="12"/>
  <c r="X166" i="12"/>
  <c r="Y166" i="12"/>
  <c r="M166" i="12"/>
  <c r="O165" i="12"/>
  <c r="R165" i="12"/>
  <c r="W165" i="12"/>
  <c r="X165" i="12"/>
  <c r="Y165" i="12"/>
  <c r="M165" i="12"/>
  <c r="O164" i="12"/>
  <c r="T164" i="12"/>
  <c r="Y164" i="12"/>
  <c r="M164" i="12"/>
  <c r="M163" i="12"/>
  <c r="O162" i="12"/>
  <c r="M162" i="12"/>
  <c r="V161" i="12"/>
  <c r="M161" i="12"/>
  <c r="O160" i="12"/>
  <c r="S160" i="12"/>
  <c r="T160" i="12"/>
  <c r="U160" i="12"/>
  <c r="W160" i="12"/>
  <c r="X160" i="12"/>
  <c r="Y160" i="12"/>
  <c r="M160" i="12"/>
  <c r="O159" i="12"/>
  <c r="X159" i="12"/>
  <c r="M159" i="12"/>
  <c r="O158" i="12"/>
  <c r="M158" i="12"/>
  <c r="M157" i="12"/>
  <c r="T156" i="12"/>
  <c r="M156" i="12"/>
  <c r="O155" i="12"/>
  <c r="M155" i="12"/>
  <c r="M154" i="12"/>
  <c r="O153" i="12"/>
  <c r="M153" i="12"/>
  <c r="O152" i="12"/>
  <c r="T152" i="12"/>
  <c r="M152" i="12"/>
  <c r="R151" i="12"/>
  <c r="T151" i="12"/>
  <c r="M151" i="12"/>
  <c r="T150" i="12"/>
  <c r="W150" i="12"/>
  <c r="Y150" i="12"/>
  <c r="M150" i="12"/>
  <c r="O149" i="12"/>
  <c r="M149" i="12"/>
  <c r="O148" i="12"/>
  <c r="M148" i="12"/>
  <c r="M147" i="12"/>
  <c r="M146" i="12"/>
  <c r="O145" i="12"/>
  <c r="V145" i="12"/>
  <c r="W145" i="12"/>
  <c r="Y145" i="12"/>
  <c r="M144" i="12"/>
  <c r="M143" i="12"/>
  <c r="M142" i="12"/>
  <c r="M141" i="12"/>
  <c r="O140" i="12"/>
  <c r="T140" i="12"/>
  <c r="U140" i="12"/>
  <c r="V140" i="12"/>
  <c r="W140" i="12"/>
  <c r="X140" i="12"/>
  <c r="Y140" i="12"/>
  <c r="M140" i="12"/>
  <c r="O139" i="12"/>
  <c r="R139" i="12"/>
  <c r="W139" i="12"/>
  <c r="X139" i="12"/>
  <c r="M139" i="12"/>
  <c r="O138" i="12"/>
  <c r="M138" i="12"/>
  <c r="O137" i="12"/>
  <c r="S137" i="12"/>
  <c r="U137" i="12"/>
  <c r="W137" i="12"/>
  <c r="Y137" i="12"/>
  <c r="M137" i="12"/>
  <c r="O136" i="12"/>
  <c r="T136" i="12"/>
  <c r="U136" i="12"/>
  <c r="W136" i="12"/>
  <c r="X136" i="12"/>
  <c r="Y136" i="12"/>
  <c r="M136" i="12"/>
  <c r="R135" i="12"/>
  <c r="W135" i="12"/>
  <c r="X135" i="12"/>
  <c r="Y135" i="12"/>
  <c r="M135" i="12"/>
  <c r="M134" i="12"/>
  <c r="M133" i="12"/>
  <c r="M132" i="12"/>
  <c r="O131" i="12"/>
  <c r="X131" i="12"/>
  <c r="Y131" i="12"/>
  <c r="M131" i="12"/>
  <c r="O130" i="12"/>
  <c r="W130" i="12"/>
  <c r="X130" i="12"/>
  <c r="Y130" i="12"/>
  <c r="M130" i="12"/>
  <c r="O129" i="12"/>
  <c r="Y129" i="12"/>
  <c r="M129" i="12"/>
  <c r="O127" i="12"/>
  <c r="V127" i="12"/>
  <c r="W127" i="12"/>
  <c r="X127" i="12"/>
  <c r="Y127" i="12"/>
  <c r="O126" i="12"/>
  <c r="V126" i="12"/>
  <c r="W126" i="12"/>
  <c r="Y126" i="12"/>
  <c r="O125" i="12"/>
  <c r="R125" i="12"/>
  <c r="T125" i="12"/>
  <c r="W125" i="12"/>
  <c r="X125" i="12"/>
  <c r="Y125" i="12"/>
  <c r="O124" i="12"/>
  <c r="R124" i="12"/>
  <c r="M124" i="12"/>
  <c r="V123" i="12"/>
  <c r="W123" i="12"/>
  <c r="M123" i="12"/>
  <c r="O122" i="12"/>
  <c r="V122" i="12"/>
  <c r="Y122" i="12"/>
  <c r="M122" i="12"/>
  <c r="O121" i="12"/>
  <c r="V121" i="12"/>
  <c r="W121" i="12"/>
  <c r="Y121" i="12"/>
  <c r="M121" i="12"/>
  <c r="M120" i="12"/>
  <c r="O119" i="12"/>
  <c r="M119" i="12"/>
  <c r="O118" i="12"/>
  <c r="R118" i="12"/>
  <c r="X118" i="12"/>
  <c r="Y118" i="12"/>
  <c r="M118" i="12"/>
  <c r="O117" i="12"/>
  <c r="R117" i="12"/>
  <c r="Y117" i="12"/>
  <c r="M117" i="12"/>
  <c r="R116" i="12"/>
  <c r="M116" i="12"/>
  <c r="M115" i="12"/>
  <c r="M114" i="12"/>
  <c r="M113" i="12"/>
  <c r="M112" i="12"/>
  <c r="O111" i="12"/>
  <c r="R111" i="12"/>
  <c r="X111" i="12"/>
  <c r="Y111" i="12"/>
  <c r="O110" i="12"/>
  <c r="R110" i="12"/>
  <c r="W110" i="12"/>
  <c r="X110" i="12"/>
  <c r="Y110" i="12"/>
  <c r="O109" i="12"/>
  <c r="R109" i="12"/>
  <c r="T109" i="12"/>
  <c r="Y109" i="12"/>
  <c r="O108" i="12"/>
  <c r="Y108" i="12"/>
  <c r="O107" i="12"/>
  <c r="T107" i="12"/>
  <c r="U107" i="12"/>
  <c r="R105" i="12"/>
  <c r="S105" i="12"/>
  <c r="W105" i="12"/>
  <c r="Y105" i="12"/>
  <c r="R104" i="12"/>
  <c r="W104" i="12"/>
  <c r="X104" i="12"/>
  <c r="Y104" i="12"/>
  <c r="R103" i="12"/>
  <c r="Y89" i="12"/>
  <c r="S89" i="12"/>
  <c r="Y88" i="12"/>
  <c r="S88" i="12"/>
  <c r="R88" i="12"/>
  <c r="O88" i="12"/>
  <c r="AF87" i="12"/>
  <c r="T87" i="12"/>
  <c r="V87" i="12"/>
  <c r="AF86" i="12"/>
  <c r="T86" i="12"/>
  <c r="V86" i="12"/>
  <c r="AF85" i="12"/>
  <c r="O85" i="12"/>
  <c r="R85" i="12"/>
  <c r="T85" i="12"/>
  <c r="V85" i="12"/>
  <c r="Y85" i="12"/>
  <c r="O84" i="12"/>
  <c r="R84" i="12"/>
  <c r="O83" i="12"/>
  <c r="U83" i="12"/>
  <c r="AD82" i="12"/>
  <c r="O82" i="12"/>
  <c r="W82" i="12"/>
  <c r="Y82" i="12"/>
  <c r="AD81" i="12"/>
  <c r="O81" i="12"/>
  <c r="R81" i="12"/>
  <c r="Y81" i="12"/>
  <c r="AD80" i="12"/>
  <c r="O80" i="12"/>
  <c r="R80" i="12"/>
  <c r="S80" i="12"/>
  <c r="W80" i="12"/>
  <c r="Y80" i="12"/>
  <c r="AD79" i="12"/>
  <c r="O79" i="12"/>
  <c r="V79" i="12"/>
  <c r="Y79" i="12"/>
  <c r="AD78" i="12"/>
  <c r="O78" i="12"/>
  <c r="V78" i="12"/>
  <c r="Y78" i="12"/>
  <c r="AD77" i="12"/>
  <c r="AD76" i="12"/>
  <c r="O76" i="12"/>
  <c r="Y76" i="12"/>
  <c r="AD75" i="12"/>
  <c r="O75" i="12"/>
  <c r="S75" i="12"/>
  <c r="T75" i="12"/>
  <c r="U75" i="12"/>
  <c r="V75" i="12"/>
  <c r="W75" i="12"/>
  <c r="X75" i="12"/>
  <c r="Y75" i="12"/>
  <c r="M75" i="12"/>
  <c r="AD74" i="12"/>
  <c r="O74" i="12"/>
  <c r="R74" i="12"/>
  <c r="W74" i="12"/>
  <c r="Y74" i="12"/>
  <c r="AD73" i="12"/>
  <c r="O73" i="12"/>
  <c r="R73" i="12"/>
  <c r="Y73" i="12"/>
  <c r="AD72" i="12"/>
  <c r="AD71" i="12"/>
  <c r="O71" i="12"/>
  <c r="R71" i="12"/>
  <c r="S71" i="12"/>
  <c r="W71" i="12"/>
  <c r="X71" i="12"/>
  <c r="Y71" i="12"/>
  <c r="AD70" i="12"/>
  <c r="O70" i="12"/>
  <c r="R70" i="12"/>
  <c r="W70" i="12"/>
  <c r="Y70" i="12"/>
  <c r="AD69" i="12"/>
  <c r="O69" i="12"/>
  <c r="R69" i="12"/>
  <c r="W69" i="12"/>
  <c r="Y69" i="12"/>
  <c r="AD68" i="12"/>
  <c r="X68" i="12"/>
  <c r="Y68" i="12"/>
  <c r="AD67" i="12"/>
  <c r="X67" i="12"/>
  <c r="Y67" i="12"/>
  <c r="AD66" i="12"/>
  <c r="R66" i="12"/>
  <c r="X66" i="12"/>
  <c r="Y66" i="12"/>
  <c r="AD65" i="12"/>
  <c r="O64" i="12"/>
  <c r="S64" i="12"/>
  <c r="T64" i="12"/>
  <c r="W64" i="12"/>
  <c r="Y64" i="12"/>
  <c r="O63" i="12"/>
  <c r="R63" i="12"/>
  <c r="W63" i="12"/>
  <c r="Y63" i="12"/>
  <c r="AH61" i="12"/>
  <c r="O61" i="12"/>
  <c r="O60" i="12"/>
  <c r="W60" i="12"/>
  <c r="O59" i="12"/>
  <c r="W59" i="12"/>
  <c r="AD58" i="12"/>
  <c r="O58" i="12"/>
  <c r="T58" i="12"/>
  <c r="U58" i="12"/>
  <c r="V58" i="12"/>
  <c r="W58" i="12"/>
  <c r="X58" i="12"/>
  <c r="Y58" i="12"/>
  <c r="M58" i="12"/>
  <c r="O55" i="12"/>
  <c r="O54" i="12"/>
  <c r="AF53" i="12"/>
  <c r="O53" i="12"/>
  <c r="V53" i="12"/>
  <c r="Y53" i="12"/>
  <c r="AD48" i="12"/>
  <c r="AD47" i="12"/>
  <c r="O47" i="12"/>
  <c r="R47" i="12"/>
  <c r="T47" i="12"/>
  <c r="W47" i="12"/>
  <c r="Y47" i="12"/>
  <c r="AD46" i="12"/>
  <c r="O46" i="12"/>
  <c r="V46" i="12"/>
  <c r="W46" i="12"/>
  <c r="Y46" i="12"/>
  <c r="AH45" i="12"/>
  <c r="AD45" i="12"/>
  <c r="O45" i="12"/>
  <c r="R45" i="12"/>
  <c r="W45" i="12"/>
  <c r="Y45" i="12"/>
  <c r="AH44" i="12"/>
  <c r="AD44" i="12"/>
  <c r="O44" i="12"/>
  <c r="W44" i="12"/>
  <c r="Y44" i="12"/>
  <c r="O43" i="12"/>
  <c r="O41" i="12"/>
  <c r="U39" i="12"/>
  <c r="Y39" i="12"/>
  <c r="AD38" i="12"/>
  <c r="O38" i="12"/>
  <c r="AD37" i="12"/>
  <c r="O37" i="12"/>
  <c r="S37" i="12"/>
  <c r="T37" i="12"/>
  <c r="U37" i="12"/>
  <c r="V37" i="12"/>
  <c r="W37" i="12"/>
  <c r="X37" i="12"/>
  <c r="Y37" i="12"/>
  <c r="M37" i="12"/>
  <c r="AD36" i="12"/>
  <c r="O36" i="12"/>
  <c r="Y36" i="12"/>
  <c r="Y35" i="12"/>
  <c r="O34" i="12"/>
  <c r="O33" i="12"/>
  <c r="R33" i="12"/>
  <c r="W33" i="12"/>
  <c r="Y33" i="12"/>
  <c r="O32" i="12"/>
  <c r="R32" i="12"/>
  <c r="W32" i="12"/>
  <c r="Y32" i="12"/>
  <c r="O31" i="12"/>
  <c r="R31" i="12"/>
  <c r="O30" i="12"/>
  <c r="T30" i="12"/>
  <c r="U30" i="12"/>
  <c r="W30" i="12"/>
  <c r="Y30" i="12"/>
  <c r="O29" i="12"/>
  <c r="R29" i="12"/>
  <c r="S29" i="12"/>
  <c r="W29" i="12"/>
  <c r="Y29" i="12"/>
  <c r="O28" i="12"/>
  <c r="S28" i="12"/>
  <c r="W28" i="12"/>
  <c r="O27" i="12"/>
  <c r="T27" i="12"/>
  <c r="W27" i="12"/>
  <c r="X27" i="12"/>
  <c r="O25" i="12"/>
  <c r="R25" i="12"/>
  <c r="W25" i="12"/>
  <c r="V24" i="12"/>
  <c r="O23" i="12"/>
  <c r="R23" i="12"/>
  <c r="T23" i="12"/>
  <c r="W23" i="12"/>
  <c r="X23" i="12"/>
  <c r="Y23" i="12"/>
  <c r="O22" i="12"/>
  <c r="V22" i="12"/>
  <c r="W22" i="12"/>
  <c r="Y22" i="12"/>
  <c r="O21" i="12"/>
  <c r="V20" i="12"/>
  <c r="W20" i="12"/>
  <c r="Y20" i="12"/>
  <c r="O19" i="12"/>
  <c r="Y19" i="12"/>
  <c r="M19" i="12"/>
  <c r="O18" i="12"/>
  <c r="V18" i="12"/>
  <c r="Y18" i="12"/>
  <c r="M18" i="12"/>
  <c r="M17" i="12"/>
  <c r="O16" i="12"/>
  <c r="S16" i="12"/>
  <c r="V16" i="12"/>
  <c r="W16" i="12"/>
  <c r="X16" i="12"/>
  <c r="Y16" i="12"/>
  <c r="M16" i="12"/>
  <c r="V15" i="12"/>
  <c r="W15" i="12"/>
  <c r="M15" i="12"/>
  <c r="M14" i="12"/>
  <c r="U13" i="12"/>
  <c r="M13" i="12"/>
  <c r="O12" i="12"/>
  <c r="O11" i="12"/>
  <c r="T11" i="12"/>
  <c r="O10" i="12"/>
  <c r="O9" i="12"/>
  <c r="O8" i="12"/>
  <c r="O7" i="12"/>
  <c r="O6" i="12"/>
  <c r="T6" i="12"/>
  <c r="V6" i="12"/>
  <c r="AE5" i="12"/>
  <c r="O5" i="12"/>
  <c r="R5" i="12"/>
  <c r="S5" i="12"/>
  <c r="T5" i="12"/>
  <c r="W5" i="12"/>
  <c r="Y5" i="12"/>
  <c r="O4" i="12"/>
  <c r="R4" i="12"/>
  <c r="S4" i="12"/>
  <c r="Y4" i="12"/>
  <c r="T3" i="12"/>
  <c r="U3" i="12"/>
  <c r="V3" i="12"/>
  <c r="O2" i="12"/>
  <c r="T2" i="12"/>
  <c r="U2" i="12"/>
  <c r="V2" i="12"/>
  <c r="W2" i="12"/>
  <c r="X2" i="12"/>
  <c r="Y2" i="12"/>
  <c r="O150" i="13"/>
  <c r="W150" i="13"/>
  <c r="Y150" i="13"/>
  <c r="O149" i="13"/>
  <c r="AE148" i="13"/>
  <c r="T148" i="13"/>
  <c r="AE147" i="13"/>
  <c r="O146" i="13"/>
  <c r="Y146" i="13"/>
  <c r="O145" i="13"/>
  <c r="R145" i="13"/>
  <c r="Y145" i="13"/>
  <c r="Y144" i="13"/>
  <c r="V144" i="13"/>
  <c r="O144" i="13"/>
  <c r="R141" i="13"/>
  <c r="R140" i="13"/>
  <c r="Y140" i="13"/>
  <c r="AE139" i="13"/>
  <c r="T138" i="13"/>
  <c r="AE136" i="13"/>
  <c r="O136" i="13"/>
  <c r="T136" i="13"/>
  <c r="Y136" i="13"/>
  <c r="AE135" i="13"/>
  <c r="O135" i="13"/>
  <c r="AE134" i="13"/>
  <c r="R134" i="13"/>
  <c r="AE133" i="13"/>
  <c r="T133" i="13"/>
  <c r="Y133" i="13"/>
  <c r="O130" i="13"/>
  <c r="R130" i="13"/>
  <c r="V130" i="13"/>
  <c r="Y130" i="13"/>
  <c r="AE129" i="13"/>
  <c r="R129" i="13"/>
  <c r="AE128" i="13"/>
  <c r="O128" i="13"/>
  <c r="O125" i="13"/>
  <c r="T125" i="13"/>
  <c r="U125" i="13"/>
  <c r="V125" i="13"/>
  <c r="W125" i="13"/>
  <c r="X125" i="13"/>
  <c r="Y125" i="13"/>
  <c r="AE124" i="13"/>
  <c r="O124" i="13"/>
  <c r="U124" i="13"/>
  <c r="O123" i="13"/>
  <c r="T123" i="13"/>
  <c r="U123" i="13"/>
  <c r="W123" i="13"/>
  <c r="X123" i="13"/>
  <c r="Y123" i="13"/>
  <c r="O122" i="13"/>
  <c r="W122" i="13"/>
  <c r="AE121" i="13"/>
  <c r="T120" i="13"/>
  <c r="O119" i="13"/>
  <c r="O118" i="13"/>
  <c r="T118" i="13"/>
  <c r="U118" i="13"/>
  <c r="W118" i="13"/>
  <c r="Y118" i="13"/>
  <c r="AE117" i="13"/>
  <c r="O117" i="13"/>
  <c r="T117" i="13"/>
  <c r="U117" i="13"/>
  <c r="W117" i="13"/>
  <c r="Y117" i="13"/>
  <c r="U116" i="13"/>
  <c r="W116" i="13"/>
  <c r="Y116" i="13"/>
  <c r="AE115" i="13"/>
  <c r="O115" i="13"/>
  <c r="T115" i="13"/>
  <c r="U115" i="13"/>
  <c r="W115" i="13"/>
  <c r="Y115" i="13"/>
  <c r="V113" i="13"/>
  <c r="AE112" i="13"/>
  <c r="O112" i="13"/>
  <c r="V112" i="13"/>
  <c r="M112" i="13"/>
  <c r="AE111" i="13"/>
  <c r="O111" i="13"/>
  <c r="V111" i="13"/>
  <c r="M111" i="13"/>
  <c r="AE110" i="13"/>
  <c r="O110" i="13"/>
  <c r="M110" i="13"/>
  <c r="M109" i="13"/>
  <c r="O108" i="13"/>
  <c r="T108" i="13"/>
  <c r="U108" i="13"/>
  <c r="W108" i="13"/>
  <c r="Y108" i="13"/>
  <c r="U107" i="13"/>
  <c r="V107" i="13"/>
  <c r="T106" i="13"/>
  <c r="U106" i="13"/>
  <c r="W106" i="13"/>
  <c r="AE66" i="13"/>
  <c r="O66" i="13"/>
  <c r="Y66" i="13"/>
  <c r="AE65" i="13"/>
  <c r="Y65" i="13"/>
  <c r="AE64" i="13"/>
  <c r="O64" i="13"/>
  <c r="S64" i="13"/>
  <c r="T64" i="13"/>
  <c r="W64" i="13"/>
  <c r="Y64" i="13"/>
  <c r="AE63" i="13"/>
  <c r="O63" i="13"/>
  <c r="S63" i="13"/>
  <c r="T63" i="13"/>
  <c r="V63" i="13"/>
  <c r="W63" i="13"/>
  <c r="Y63" i="13"/>
  <c r="O62" i="13"/>
  <c r="W62" i="13"/>
  <c r="Y62" i="13"/>
  <c r="AE61" i="13"/>
  <c r="O61" i="13"/>
  <c r="T61" i="13"/>
  <c r="Y61" i="13"/>
  <c r="AE60" i="13"/>
  <c r="O60" i="13"/>
  <c r="V60" i="13"/>
  <c r="AD59" i="13"/>
  <c r="O59" i="13"/>
  <c r="V59" i="13"/>
  <c r="W59" i="13"/>
  <c r="Y59" i="13"/>
  <c r="AD58" i="13"/>
  <c r="O58" i="13"/>
  <c r="V58" i="13"/>
  <c r="W58" i="13"/>
  <c r="Y58" i="13"/>
  <c r="AD57" i="13"/>
  <c r="O57" i="13"/>
  <c r="V57" i="13"/>
  <c r="W57" i="13"/>
  <c r="Y57" i="13"/>
  <c r="AE56" i="13"/>
  <c r="AD56" i="13"/>
  <c r="O56" i="13"/>
  <c r="R56" i="13"/>
  <c r="V56" i="13"/>
  <c r="AE55" i="13"/>
  <c r="AD55" i="13"/>
  <c r="R55" i="13"/>
  <c r="AE54" i="13"/>
  <c r="AD54" i="13"/>
  <c r="O54" i="13"/>
  <c r="V54" i="13"/>
  <c r="AE53" i="13"/>
  <c r="AD53" i="13"/>
  <c r="O53" i="13"/>
  <c r="V53" i="13"/>
  <c r="Y53" i="13"/>
  <c r="AD52" i="13"/>
  <c r="O52" i="13"/>
  <c r="AE51" i="13"/>
  <c r="AD51" i="13"/>
  <c r="O51" i="13"/>
  <c r="AE50" i="13"/>
  <c r="AD50" i="13"/>
  <c r="O50" i="13"/>
  <c r="Y50" i="13"/>
  <c r="AE49" i="13"/>
  <c r="AD49" i="13"/>
  <c r="O49" i="13"/>
  <c r="T49" i="13"/>
  <c r="W49" i="13"/>
  <c r="Y49" i="13"/>
  <c r="AL48" i="13"/>
  <c r="O48" i="13"/>
  <c r="W48" i="13"/>
  <c r="X48" i="13"/>
  <c r="T47" i="13"/>
  <c r="U47" i="13"/>
  <c r="W47" i="13"/>
  <c r="Y47" i="13"/>
  <c r="O46" i="13"/>
  <c r="T46" i="13"/>
  <c r="U46" i="13"/>
  <c r="W46" i="13"/>
  <c r="Y46" i="13"/>
  <c r="O45" i="13"/>
  <c r="W45" i="13"/>
  <c r="O44" i="13"/>
  <c r="U44" i="13"/>
  <c r="W44" i="13"/>
  <c r="M44" i="13"/>
  <c r="O43" i="13"/>
  <c r="T43" i="13"/>
  <c r="U43" i="13"/>
  <c r="W43" i="13"/>
  <c r="Y43" i="13"/>
  <c r="M43" i="13"/>
  <c r="M42" i="13"/>
  <c r="M41" i="13"/>
  <c r="M40" i="13"/>
  <c r="AK39" i="13"/>
  <c r="M39" i="13"/>
  <c r="O38" i="13"/>
  <c r="U38" i="13"/>
  <c r="W38" i="13"/>
  <c r="M38" i="13"/>
  <c r="O37" i="13"/>
  <c r="T37" i="13"/>
  <c r="U37" i="13"/>
  <c r="W37" i="13"/>
  <c r="Y37" i="13"/>
  <c r="M37" i="13"/>
  <c r="AE36" i="13"/>
  <c r="O36" i="13"/>
  <c r="T36" i="13"/>
  <c r="W36" i="13"/>
  <c r="Y36" i="13"/>
  <c r="M36" i="13"/>
  <c r="AE35" i="13"/>
  <c r="O35" i="13"/>
  <c r="T35" i="13"/>
  <c r="U35" i="13"/>
  <c r="V35" i="13"/>
  <c r="W35" i="13"/>
  <c r="Y35" i="13"/>
  <c r="AE34" i="13"/>
  <c r="O34" i="13"/>
  <c r="T34" i="13"/>
  <c r="U34" i="13"/>
  <c r="V34" i="13"/>
  <c r="W34" i="13"/>
  <c r="X34" i="13"/>
  <c r="Y34" i="13"/>
  <c r="AE33" i="13"/>
  <c r="O33" i="13"/>
  <c r="V33" i="13"/>
  <c r="AE32" i="13"/>
  <c r="O32" i="13"/>
  <c r="AE31" i="13"/>
  <c r="AE30" i="13"/>
  <c r="O30" i="13"/>
  <c r="T30" i="13"/>
  <c r="AE29" i="13"/>
  <c r="O29" i="13"/>
  <c r="V29" i="13"/>
  <c r="AE28" i="13"/>
  <c r="O28" i="13"/>
  <c r="R28" i="13"/>
  <c r="T28" i="13"/>
  <c r="V28" i="13"/>
  <c r="Y28" i="13"/>
  <c r="AE27" i="13"/>
  <c r="O27" i="13"/>
  <c r="T27" i="13"/>
  <c r="V27" i="13"/>
  <c r="AE26" i="13"/>
  <c r="AE25" i="13"/>
  <c r="O25" i="13"/>
  <c r="R25" i="13"/>
  <c r="AE24" i="13"/>
  <c r="Y24" i="13"/>
  <c r="AE23" i="13"/>
  <c r="O23" i="13"/>
  <c r="V23" i="13"/>
  <c r="AE22" i="13"/>
  <c r="O22" i="13"/>
  <c r="R22" i="13"/>
  <c r="T22" i="13"/>
  <c r="AE21" i="13"/>
  <c r="O21" i="13"/>
  <c r="AE20" i="13"/>
  <c r="O20" i="13"/>
  <c r="AE19" i="13"/>
  <c r="O19" i="13"/>
  <c r="AE18" i="13"/>
  <c r="O18" i="13"/>
  <c r="AE17" i="13"/>
  <c r="O17" i="13"/>
  <c r="R17" i="13"/>
  <c r="S17" i="13"/>
  <c r="T17" i="13"/>
  <c r="V17" i="13"/>
  <c r="W17" i="13"/>
  <c r="AE16" i="13"/>
  <c r="S16" i="13"/>
  <c r="T16" i="13"/>
  <c r="V16" i="13"/>
  <c r="Y16" i="13"/>
  <c r="AE15" i="13"/>
  <c r="O15" i="13"/>
  <c r="R15" i="13"/>
  <c r="T15" i="13"/>
  <c r="AE14" i="13"/>
  <c r="O14" i="13"/>
  <c r="V14" i="13"/>
  <c r="AE13" i="13"/>
  <c r="V13" i="13"/>
  <c r="AE12" i="13"/>
  <c r="O12" i="13"/>
  <c r="R12" i="13"/>
  <c r="S12" i="13"/>
  <c r="AE11" i="13"/>
  <c r="O11" i="13"/>
  <c r="AE10" i="13"/>
  <c r="O10" i="13"/>
  <c r="T10" i="13"/>
  <c r="V10" i="13"/>
  <c r="AE9" i="13"/>
  <c r="O9" i="13"/>
  <c r="R9" i="13"/>
  <c r="T9" i="13"/>
  <c r="V9" i="13"/>
  <c r="W9" i="13"/>
  <c r="Y9" i="13"/>
  <c r="AE8" i="13"/>
  <c r="O8" i="13"/>
  <c r="R8" i="13"/>
  <c r="T8" i="13"/>
  <c r="Y8" i="13"/>
  <c r="AE7" i="13"/>
  <c r="O7" i="13"/>
  <c r="R7" i="13"/>
  <c r="AE6" i="13"/>
  <c r="O6" i="13"/>
  <c r="T6" i="13"/>
  <c r="Y6" i="13"/>
  <c r="AE5" i="13"/>
  <c r="O5" i="13"/>
  <c r="T5" i="13"/>
  <c r="V5" i="13"/>
  <c r="AE4" i="13"/>
  <c r="O4" i="13"/>
  <c r="T4" i="13"/>
  <c r="Y4" i="13"/>
  <c r="AE3" i="13"/>
  <c r="O3" i="13"/>
  <c r="T3" i="13"/>
  <c r="V3" i="13"/>
  <c r="W3" i="13"/>
  <c r="O2" i="13"/>
  <c r="W2" i="13"/>
  <c r="X2" i="13"/>
  <c r="Y2" i="13"/>
  <c r="O4358" i="1"/>
  <c r="M4358" i="1"/>
  <c r="O4355" i="1"/>
  <c r="M4354" i="1"/>
  <c r="M4353" i="1"/>
  <c r="M4352" i="1"/>
  <c r="O4348" i="1"/>
  <c r="Y4348" i="1"/>
  <c r="M4347" i="1"/>
  <c r="M4346" i="1"/>
  <c r="M4342" i="1"/>
  <c r="M4341" i="1"/>
  <c r="M4340" i="1"/>
  <c r="M4339" i="1"/>
  <c r="M4338" i="1"/>
  <c r="M4337" i="1"/>
  <c r="M4336" i="1"/>
  <c r="M4335" i="1"/>
  <c r="AP4334" i="1"/>
  <c r="AO4334" i="1"/>
  <c r="AM4334" i="1"/>
  <c r="O4334" i="1"/>
  <c r="Y4334" i="1"/>
  <c r="AP4333" i="1"/>
  <c r="AO4333" i="1"/>
  <c r="AM4333" i="1"/>
  <c r="Y4333" i="1"/>
  <c r="O4330" i="1"/>
  <c r="W4330" i="1"/>
  <c r="Y4330" i="1"/>
  <c r="M4330" i="1"/>
  <c r="O4329" i="1"/>
  <c r="W4329" i="1"/>
  <c r="Y4329" i="1"/>
  <c r="M4329" i="1"/>
  <c r="M4328" i="1"/>
  <c r="M4327" i="1"/>
  <c r="O4326" i="1"/>
  <c r="M4326" i="1"/>
  <c r="M4325" i="1"/>
  <c r="M4324" i="1"/>
  <c r="AI4323" i="1"/>
  <c r="M4323" i="1"/>
  <c r="R4322" i="1"/>
  <c r="M4322" i="1"/>
  <c r="AJ4321" i="1"/>
  <c r="AI4321" i="1"/>
  <c r="R4321" i="1"/>
  <c r="M4321" i="1"/>
  <c r="AI4320" i="1"/>
  <c r="M4320" i="1"/>
  <c r="AJ4319" i="1"/>
  <c r="AI4319" i="1"/>
  <c r="S4319" i="1"/>
  <c r="M4319" i="1"/>
  <c r="AI4318" i="1"/>
  <c r="M4318" i="1"/>
  <c r="M4317" i="1"/>
  <c r="O4316" i="1"/>
  <c r="R4316" i="1"/>
  <c r="T4316" i="1"/>
  <c r="W4316" i="1"/>
  <c r="Y4316" i="1"/>
  <c r="O4315" i="1"/>
  <c r="S4315" i="1"/>
  <c r="V4315" i="1"/>
  <c r="W4315" i="1"/>
  <c r="Y4315" i="1"/>
  <c r="M4315" i="1"/>
  <c r="M4314" i="1"/>
  <c r="O4313" i="1"/>
  <c r="M4313" i="1"/>
  <c r="M4312" i="1"/>
  <c r="M4311" i="1"/>
  <c r="M4310" i="1"/>
  <c r="O4309" i="1"/>
  <c r="S4309" i="1"/>
  <c r="W4309" i="1"/>
  <c r="Y4309" i="1"/>
  <c r="M4309" i="1"/>
  <c r="O4308" i="1"/>
  <c r="S4308" i="1"/>
  <c r="Y4308" i="1"/>
  <c r="M4308" i="1"/>
  <c r="M4307" i="1"/>
  <c r="M4306" i="1"/>
  <c r="M4305" i="1"/>
  <c r="O4304" i="1"/>
  <c r="M4304" i="1"/>
  <c r="M4303" i="1"/>
  <c r="M4302" i="1"/>
  <c r="O4301" i="1"/>
  <c r="V4301" i="1"/>
  <c r="Y4301" i="1"/>
  <c r="M4301" i="1"/>
  <c r="Y4300" i="1"/>
  <c r="M4300" i="1"/>
  <c r="O4299" i="1"/>
  <c r="T4299" i="1"/>
  <c r="Y4299" i="1"/>
  <c r="M4299" i="1"/>
  <c r="M4298" i="1"/>
  <c r="M4297" i="1"/>
  <c r="M4296" i="1"/>
  <c r="V4295" i="1"/>
  <c r="M4295" i="1"/>
  <c r="M4294" i="1"/>
  <c r="O4293" i="1"/>
  <c r="U4293" i="1"/>
  <c r="W4293" i="1"/>
  <c r="Y4293" i="1"/>
  <c r="M4293" i="1"/>
  <c r="M4292" i="1"/>
  <c r="R4291" i="1"/>
  <c r="W4291" i="1"/>
  <c r="X4291" i="1"/>
  <c r="Y4291" i="1"/>
  <c r="M4291" i="1"/>
  <c r="U4290" i="1"/>
  <c r="Y4290" i="1"/>
  <c r="M4290" i="1"/>
  <c r="O4289" i="1"/>
  <c r="R4289" i="1"/>
  <c r="U4289" i="1"/>
  <c r="W4289" i="1"/>
  <c r="Y4289" i="1"/>
  <c r="M4289" i="1"/>
  <c r="Y4288" i="1"/>
  <c r="M4288" i="1"/>
  <c r="M4287" i="1"/>
  <c r="M4286" i="1"/>
  <c r="O4285" i="1"/>
  <c r="U4285" i="1"/>
  <c r="M4285" i="1"/>
  <c r="AB4253" i="1"/>
  <c r="O4253" i="1"/>
  <c r="R4253" i="1"/>
  <c r="M4249" i="1"/>
  <c r="Y4248" i="1"/>
  <c r="M4229" i="1"/>
  <c r="M4228" i="1"/>
  <c r="M4220" i="1"/>
  <c r="M4219" i="1"/>
  <c r="M4213" i="1"/>
  <c r="M4211" i="1"/>
  <c r="M4210" i="1"/>
  <c r="AE4209" i="1"/>
  <c r="M4209" i="1"/>
  <c r="W4207" i="1"/>
  <c r="Y4207" i="1"/>
  <c r="M4207" i="1"/>
  <c r="Y4206" i="1"/>
  <c r="O4201" i="1"/>
  <c r="W4201" i="1"/>
  <c r="Y4201" i="1"/>
  <c r="M4201" i="1"/>
  <c r="O4200" i="1"/>
  <c r="X4200" i="1"/>
  <c r="Y4200" i="1"/>
  <c r="M4200" i="1"/>
  <c r="M4199" i="1"/>
  <c r="M4188" i="1"/>
  <c r="O4187" i="1"/>
  <c r="T4187" i="1"/>
  <c r="U4187" i="1"/>
  <c r="W4187" i="1"/>
  <c r="Y4187" i="1"/>
  <c r="M4187" i="1"/>
  <c r="O4186" i="1"/>
  <c r="T4186" i="1"/>
  <c r="U4186" i="1"/>
  <c r="W4186" i="1"/>
  <c r="X4186" i="1"/>
  <c r="Y4186" i="1"/>
  <c r="M4186" i="1"/>
  <c r="V4183" i="1"/>
  <c r="M4183" i="1"/>
  <c r="V4182" i="1"/>
  <c r="Y4182" i="1"/>
  <c r="M4182" i="1"/>
  <c r="O4181" i="1"/>
  <c r="V4181" i="1"/>
  <c r="Y4181" i="1"/>
  <c r="M4181" i="1"/>
  <c r="O4180" i="1"/>
  <c r="V4180" i="1"/>
  <c r="Y4180" i="1"/>
  <c r="M4180" i="1"/>
  <c r="M4179" i="1"/>
  <c r="M4178" i="1"/>
  <c r="R4177" i="1"/>
  <c r="T4177" i="1"/>
  <c r="U4177" i="1"/>
  <c r="V4177" i="1"/>
  <c r="W4177" i="1"/>
  <c r="Y4177" i="1"/>
  <c r="M4177" i="1"/>
  <c r="O4175" i="1"/>
  <c r="U4175" i="1"/>
  <c r="Y4175" i="1"/>
  <c r="M4175" i="1"/>
  <c r="V4174" i="1"/>
  <c r="Y4174" i="1"/>
  <c r="M4174" i="1"/>
  <c r="O4171" i="1"/>
  <c r="T4171" i="1"/>
  <c r="U4171" i="1"/>
  <c r="W4171" i="1"/>
  <c r="Y4171" i="1"/>
  <c r="M4171" i="1"/>
  <c r="O4169" i="1"/>
  <c r="U4169" i="1"/>
  <c r="W4169" i="1"/>
  <c r="Y4169" i="1"/>
  <c r="M4169" i="1"/>
  <c r="M4168" i="1"/>
  <c r="O4167" i="1"/>
  <c r="M4167" i="1"/>
  <c r="M4163" i="1"/>
  <c r="O4162" i="1"/>
  <c r="S4162" i="1"/>
  <c r="Y4162" i="1"/>
  <c r="M4162" i="1"/>
  <c r="O4161" i="1"/>
  <c r="M4161" i="1"/>
  <c r="O4160" i="1"/>
  <c r="M4160" i="1"/>
  <c r="M4156" i="1"/>
  <c r="S4153" i="1"/>
  <c r="Y4153" i="1"/>
  <c r="O4152" i="1"/>
  <c r="Y4152" i="1"/>
  <c r="M4152" i="1"/>
  <c r="O4151" i="1"/>
  <c r="S4151" i="1"/>
  <c r="O4150" i="1"/>
  <c r="S4146" i="1"/>
  <c r="Y4146" i="1"/>
  <c r="M4146" i="1"/>
  <c r="Y4145" i="1"/>
  <c r="M4145" i="1"/>
  <c r="O4144" i="1"/>
  <c r="R4144" i="1"/>
  <c r="Y4144" i="1"/>
  <c r="M4144" i="1"/>
  <c r="M4143" i="1"/>
  <c r="M4142" i="1"/>
  <c r="M4141" i="1"/>
  <c r="M4140" i="1"/>
  <c r="M4139" i="1"/>
  <c r="S4134" i="1"/>
  <c r="W4134" i="1"/>
  <c r="Y4134" i="1"/>
  <c r="O4132" i="1"/>
  <c r="R4132" i="1"/>
  <c r="U4132" i="1"/>
  <c r="Y4132" i="1"/>
  <c r="O4131" i="1"/>
  <c r="M4131" i="1"/>
  <c r="O4130" i="1"/>
  <c r="M4130" i="1"/>
  <c r="O4129" i="1"/>
  <c r="M4129" i="1"/>
  <c r="O4128" i="1"/>
  <c r="R4128" i="1"/>
  <c r="M4128" i="1"/>
  <c r="O4127" i="1"/>
  <c r="T4127" i="1"/>
  <c r="V4127" i="1"/>
  <c r="M4127" i="1"/>
  <c r="AT4126" i="1"/>
  <c r="M4126" i="1"/>
  <c r="AT4125" i="1"/>
  <c r="AE4125" i="1"/>
  <c r="M4125" i="1"/>
  <c r="Y4124" i="1"/>
  <c r="M4124" i="1"/>
  <c r="M4122" i="1"/>
  <c r="O4121" i="1"/>
  <c r="S4121" i="1"/>
  <c r="M4120" i="1"/>
  <c r="O4115" i="1"/>
  <c r="R4115" i="1"/>
  <c r="W4115" i="1"/>
  <c r="X4115" i="1"/>
  <c r="Y4115" i="1"/>
  <c r="M4115" i="1"/>
  <c r="M4112" i="1"/>
  <c r="M4110" i="1"/>
  <c r="M4109" i="1"/>
  <c r="M4108" i="1"/>
  <c r="M4107" i="1"/>
  <c r="R4105" i="1"/>
  <c r="Y4105" i="1"/>
  <c r="O4104" i="1"/>
  <c r="M4104" i="1"/>
  <c r="O4103" i="1"/>
  <c r="M4103" i="1"/>
  <c r="V4102" i="1"/>
  <c r="M4101" i="1"/>
  <c r="M4100" i="1"/>
  <c r="M4099" i="1"/>
  <c r="M4098" i="1"/>
  <c r="M4097" i="1"/>
  <c r="O4096" i="1"/>
  <c r="R4096" i="1"/>
  <c r="W4096" i="1"/>
  <c r="M4096" i="1"/>
  <c r="O4095" i="1"/>
  <c r="W4095" i="1"/>
  <c r="M4095" i="1"/>
  <c r="O4094" i="1"/>
  <c r="M4094" i="1"/>
  <c r="O4093" i="1"/>
  <c r="V4093" i="1"/>
  <c r="W4093" i="1"/>
  <c r="M4093" i="1"/>
  <c r="M4092" i="1"/>
  <c r="M4091" i="1"/>
  <c r="M4090" i="1"/>
  <c r="M4089" i="1"/>
  <c r="M4088" i="1"/>
  <c r="M4087" i="1"/>
  <c r="M4086" i="1"/>
  <c r="O4085" i="1"/>
  <c r="S4085" i="1"/>
  <c r="Y4085" i="1"/>
  <c r="O4084" i="1"/>
  <c r="O4083" i="1"/>
  <c r="O4082" i="1"/>
  <c r="O4080" i="1"/>
  <c r="R4080" i="1"/>
  <c r="W4080" i="1"/>
  <c r="Y4080" i="1"/>
  <c r="O4079" i="1"/>
  <c r="O4078" i="1"/>
  <c r="R4077" i="1"/>
  <c r="O4076" i="1"/>
  <c r="V4076" i="1"/>
  <c r="Y4076" i="1"/>
  <c r="M4076" i="1"/>
  <c r="O4075" i="1"/>
  <c r="Y4075" i="1"/>
  <c r="M4075" i="1"/>
  <c r="Y4074" i="1"/>
  <c r="M4074" i="1"/>
  <c r="O4073" i="1"/>
  <c r="M4072" i="1"/>
  <c r="O4071" i="1"/>
  <c r="Y4071" i="1"/>
  <c r="M4071" i="1"/>
  <c r="M4068" i="1"/>
  <c r="M4067" i="1"/>
  <c r="O4066" i="1"/>
  <c r="M4066" i="1"/>
  <c r="O4065" i="1"/>
  <c r="M4065" i="1"/>
  <c r="O4064" i="1"/>
  <c r="T4064" i="1"/>
  <c r="M4064" i="1"/>
  <c r="V4063" i="1"/>
  <c r="M4063" i="1"/>
  <c r="O4060" i="1"/>
  <c r="M4060" i="1"/>
  <c r="O4059" i="1"/>
  <c r="S4059" i="1"/>
  <c r="Y4059" i="1"/>
  <c r="M4059" i="1"/>
  <c r="M4058" i="1"/>
  <c r="U4057" i="1"/>
  <c r="Y4057" i="1"/>
  <c r="M4057" i="1"/>
  <c r="O4056" i="1"/>
  <c r="T4056" i="1"/>
  <c r="U4056" i="1"/>
  <c r="Y4056" i="1"/>
  <c r="M4056" i="1"/>
  <c r="M4055" i="1"/>
  <c r="V4054" i="1"/>
  <c r="M4054" i="1"/>
  <c r="Y4053" i="1"/>
  <c r="M4053" i="1"/>
  <c r="O4052" i="1"/>
  <c r="Y4052" i="1"/>
  <c r="M4052" i="1"/>
  <c r="V4050" i="1"/>
  <c r="W4050" i="1"/>
  <c r="Y4050" i="1"/>
  <c r="M4050" i="1"/>
  <c r="O4049" i="1"/>
  <c r="U4049" i="1"/>
  <c r="V4049" i="1"/>
  <c r="M4049" i="1"/>
  <c r="O4048" i="1"/>
  <c r="M4048" i="1"/>
  <c r="O4047" i="1"/>
  <c r="M4047" i="1"/>
  <c r="M4046" i="1"/>
  <c r="M4045" i="1"/>
  <c r="M4044" i="1"/>
  <c r="M4043" i="1"/>
  <c r="O4042" i="1"/>
  <c r="T4042" i="1"/>
  <c r="W4042" i="1"/>
  <c r="Y4042" i="1"/>
  <c r="BO4041" i="1"/>
  <c r="BN4041" i="1"/>
  <c r="BM4041" i="1"/>
  <c r="BL4041" i="1"/>
  <c r="BK4041" i="1"/>
  <c r="BJ4041" i="1"/>
  <c r="BI4041" i="1"/>
  <c r="BH4041" i="1"/>
  <c r="BG4041" i="1"/>
  <c r="BF4041" i="1"/>
  <c r="BE4041" i="1"/>
  <c r="BD4041" i="1"/>
  <c r="BC4041" i="1"/>
  <c r="BB4041" i="1"/>
  <c r="BA4041" i="1"/>
  <c r="AZ4041" i="1"/>
  <c r="AY4041" i="1"/>
  <c r="AJ4041" i="1"/>
  <c r="M4041" i="1"/>
  <c r="BO4040" i="1"/>
  <c r="BN4040" i="1"/>
  <c r="BM4040" i="1"/>
  <c r="BL4040" i="1"/>
  <c r="BK4040" i="1"/>
  <c r="BJ4040" i="1"/>
  <c r="BI4040" i="1"/>
  <c r="BH4040" i="1"/>
  <c r="BG4040" i="1"/>
  <c r="BF4040" i="1"/>
  <c r="BE4040" i="1"/>
  <c r="BD4040" i="1"/>
  <c r="BC4040" i="1"/>
  <c r="BB4040" i="1"/>
  <c r="BA4040" i="1"/>
  <c r="AZ4040" i="1"/>
  <c r="AY4040" i="1"/>
  <c r="M4040" i="1"/>
  <c r="BE4039" i="1"/>
  <c r="BC4039" i="1"/>
  <c r="BB4039" i="1"/>
  <c r="BA4039" i="1"/>
  <c r="AZ4039" i="1"/>
  <c r="AY4039" i="1"/>
  <c r="M4039" i="1"/>
  <c r="R4038" i="1"/>
  <c r="Y4038" i="1"/>
  <c r="M4038" i="1"/>
  <c r="M4037" i="1"/>
  <c r="M4036" i="1"/>
  <c r="M4035" i="1"/>
  <c r="W4034" i="1"/>
  <c r="M4034" i="1"/>
  <c r="T4033" i="1"/>
  <c r="W4033" i="1"/>
  <c r="X4033" i="1"/>
  <c r="Y4033" i="1"/>
  <c r="M4033" i="1"/>
  <c r="M4032" i="1"/>
  <c r="O4031" i="1"/>
  <c r="W4031" i="1"/>
  <c r="Y4031" i="1"/>
  <c r="M4031" i="1"/>
  <c r="M4030" i="1"/>
  <c r="O4026" i="1"/>
  <c r="S4026" i="1"/>
  <c r="O4025" i="1"/>
  <c r="O4024" i="1"/>
  <c r="Y4024" i="1"/>
  <c r="O4023" i="1"/>
  <c r="T4023" i="1"/>
  <c r="U4023" i="1"/>
  <c r="W4023" i="1"/>
  <c r="Y4023" i="1"/>
  <c r="M4023" i="1"/>
  <c r="O4022" i="1"/>
  <c r="T4022" i="1"/>
  <c r="U4022" i="1"/>
  <c r="V4022" i="1"/>
  <c r="W4022" i="1"/>
  <c r="Y4022" i="1"/>
  <c r="M4022" i="1"/>
  <c r="O4021" i="1"/>
  <c r="T4021" i="1"/>
  <c r="U4021" i="1"/>
  <c r="W4021" i="1"/>
  <c r="Y4021" i="1"/>
  <c r="M4021" i="1"/>
  <c r="V4020" i="1"/>
  <c r="Y4020" i="1"/>
  <c r="M4020" i="1"/>
  <c r="Y4019" i="1"/>
  <c r="M4019" i="1"/>
  <c r="M4018" i="1"/>
  <c r="S4017" i="1"/>
  <c r="T4017" i="1"/>
  <c r="V4017" i="1"/>
  <c r="M4017" i="1"/>
  <c r="M4016" i="1"/>
  <c r="O4015" i="1"/>
  <c r="U4015" i="1"/>
  <c r="W4015" i="1"/>
  <c r="Y4015" i="1"/>
  <c r="M4014" i="1"/>
  <c r="O4013" i="1"/>
  <c r="Y4013" i="1"/>
  <c r="M4013" i="1"/>
  <c r="M4012" i="1"/>
  <c r="O4011" i="1"/>
  <c r="R4011" i="1"/>
  <c r="S4011" i="1"/>
  <c r="T4011" i="1"/>
  <c r="W4011" i="1"/>
  <c r="X4011" i="1"/>
  <c r="Y4011" i="1"/>
  <c r="M4011" i="1"/>
  <c r="O4010" i="1"/>
  <c r="T4010" i="1"/>
  <c r="M4010" i="1"/>
  <c r="M4009" i="1"/>
  <c r="Y4008" i="1"/>
  <c r="M4008" i="1"/>
  <c r="Y4007" i="1"/>
  <c r="M4007" i="1"/>
  <c r="M4006" i="1"/>
  <c r="M4005" i="1"/>
  <c r="CA4004" i="1"/>
  <c r="CA4003" i="1"/>
  <c r="M4002" i="1"/>
  <c r="O4001" i="1"/>
  <c r="W4001" i="1"/>
  <c r="X4001" i="1"/>
  <c r="Y4001" i="1"/>
  <c r="M4001" i="1"/>
  <c r="W4000" i="1"/>
  <c r="Y4000" i="1"/>
  <c r="M4000" i="1"/>
  <c r="O3999" i="1"/>
  <c r="Y3999" i="1"/>
  <c r="M3999" i="1"/>
  <c r="O3998" i="1"/>
  <c r="V3998" i="1"/>
  <c r="W3998" i="1"/>
  <c r="O3997" i="1"/>
  <c r="M3997" i="1"/>
  <c r="M3996" i="1"/>
  <c r="O3995" i="1"/>
  <c r="M3995" i="1"/>
  <c r="O3994" i="1"/>
  <c r="Y3994" i="1"/>
  <c r="M3994" i="1"/>
  <c r="U3993" i="1"/>
  <c r="V3993" i="1"/>
  <c r="W3993" i="1"/>
  <c r="X3993" i="1"/>
  <c r="Y3993" i="1"/>
  <c r="M3993" i="1"/>
  <c r="O3992" i="1"/>
  <c r="T3992" i="1"/>
  <c r="U3992" i="1"/>
  <c r="M3992" i="1"/>
  <c r="V3991" i="1"/>
  <c r="W3991" i="1"/>
  <c r="M3991" i="1"/>
  <c r="M3990" i="1"/>
  <c r="M3989" i="1"/>
  <c r="S3988" i="1"/>
  <c r="T3988" i="1"/>
  <c r="W3988" i="1"/>
  <c r="Y3988" i="1"/>
  <c r="M3988" i="1"/>
  <c r="V3987" i="1"/>
  <c r="W3987" i="1"/>
  <c r="Y3987" i="1"/>
  <c r="M3987" i="1"/>
  <c r="AB3986" i="1"/>
  <c r="S3986" i="1"/>
  <c r="W3986" i="1"/>
  <c r="Y3986" i="1"/>
  <c r="M3986" i="1"/>
  <c r="W3985" i="1"/>
  <c r="M3985" i="1"/>
  <c r="M3984" i="1"/>
  <c r="M3983" i="1"/>
  <c r="O3982" i="1"/>
  <c r="S3982" i="1"/>
  <c r="T3982" i="1"/>
  <c r="V3982" i="1"/>
  <c r="X3982" i="1"/>
  <c r="Y3982" i="1"/>
  <c r="M3982" i="1"/>
  <c r="Y3981" i="1"/>
  <c r="M3981" i="1"/>
  <c r="AB3980" i="1"/>
  <c r="O3980" i="1"/>
  <c r="R3980" i="1"/>
  <c r="V3980" i="1"/>
  <c r="W3980" i="1"/>
  <c r="Y3980" i="1"/>
  <c r="M3980" i="1"/>
  <c r="W3979" i="1"/>
  <c r="Y3979" i="1"/>
  <c r="M3979" i="1"/>
  <c r="O3978" i="1"/>
  <c r="O3977" i="1"/>
  <c r="Y3977" i="1"/>
  <c r="M3977" i="1"/>
  <c r="O3976" i="1"/>
  <c r="Y3976" i="1"/>
  <c r="M3976" i="1"/>
  <c r="M3975" i="1"/>
  <c r="M3974" i="1"/>
  <c r="O3973" i="1"/>
  <c r="M3973" i="1"/>
  <c r="R3972" i="1"/>
  <c r="Y3972" i="1"/>
  <c r="M3972" i="1"/>
  <c r="O3971" i="1"/>
  <c r="M3971" i="1"/>
  <c r="O3970" i="1"/>
  <c r="M3970" i="1"/>
  <c r="O3969" i="1"/>
  <c r="R3969" i="1"/>
  <c r="M3969" i="1"/>
  <c r="O3968" i="1"/>
  <c r="M3968" i="1"/>
  <c r="O3967" i="1"/>
  <c r="M3967" i="1"/>
  <c r="O3966" i="1"/>
  <c r="M3966" i="1"/>
  <c r="O3965" i="1"/>
  <c r="S3965" i="1"/>
  <c r="M3965" i="1"/>
  <c r="O3964" i="1"/>
  <c r="M3964" i="1"/>
  <c r="O3963" i="1"/>
  <c r="R3963" i="1"/>
  <c r="M3963" i="1"/>
  <c r="M3962" i="1"/>
  <c r="Y3961" i="1"/>
  <c r="M3961" i="1"/>
  <c r="O3960" i="1"/>
  <c r="O3959" i="1"/>
  <c r="AE3952" i="1"/>
  <c r="R3950" i="1"/>
  <c r="W3950" i="1"/>
  <c r="X3950" i="1"/>
  <c r="M3950" i="1"/>
  <c r="M3949" i="1"/>
  <c r="M3948" i="1"/>
  <c r="W3947" i="1"/>
  <c r="W3946" i="1"/>
  <c r="O3945" i="1"/>
  <c r="M3944" i="1"/>
  <c r="O3943" i="1"/>
  <c r="Y3943" i="1"/>
  <c r="M3943" i="1"/>
  <c r="O3942" i="1"/>
  <c r="R3942" i="1"/>
  <c r="T3942" i="1"/>
  <c r="Y3942" i="1"/>
  <c r="M3942" i="1"/>
  <c r="Y3941" i="1"/>
  <c r="M3941" i="1"/>
  <c r="Y3940" i="1"/>
  <c r="M3940" i="1"/>
  <c r="M3939" i="1"/>
  <c r="M3938" i="1"/>
  <c r="M3937" i="1"/>
  <c r="S3936" i="1"/>
  <c r="T3936" i="1"/>
  <c r="W3936" i="1"/>
  <c r="X3936" i="1"/>
  <c r="M3936" i="1"/>
  <c r="S3935" i="1"/>
  <c r="T3935" i="1"/>
  <c r="V3935" i="1"/>
  <c r="W3935" i="1"/>
  <c r="X3935" i="1"/>
  <c r="M3935" i="1"/>
  <c r="M3934" i="1"/>
  <c r="V3933" i="1"/>
  <c r="M3933" i="1"/>
  <c r="O3932" i="1"/>
  <c r="M3932" i="1"/>
  <c r="M3929" i="1"/>
  <c r="M3928" i="1"/>
  <c r="M3927" i="1"/>
  <c r="M3926" i="1"/>
  <c r="O3924" i="1"/>
  <c r="M3924" i="1"/>
  <c r="W3923" i="1"/>
  <c r="Y3923" i="1"/>
  <c r="M3923" i="1"/>
  <c r="O3922" i="1"/>
  <c r="Y3922" i="1"/>
  <c r="M3922" i="1"/>
  <c r="O3921" i="1"/>
  <c r="Y3921" i="1"/>
  <c r="M3921" i="1"/>
  <c r="O3920" i="1"/>
  <c r="S3920" i="1"/>
  <c r="Y3920" i="1"/>
  <c r="M3920" i="1"/>
  <c r="T3919" i="1"/>
  <c r="Y3919" i="1"/>
  <c r="M3919" i="1"/>
  <c r="T3918" i="1"/>
  <c r="Y3918" i="1"/>
  <c r="M3918" i="1"/>
  <c r="S3917" i="1"/>
  <c r="Y3917" i="1"/>
  <c r="M3917" i="1"/>
  <c r="O3916" i="1"/>
  <c r="M3916" i="1"/>
  <c r="O3915" i="1"/>
  <c r="S3915" i="1"/>
  <c r="T3915" i="1"/>
  <c r="U3915" i="1"/>
  <c r="W3915" i="1"/>
  <c r="M3915" i="1"/>
  <c r="T3914" i="1"/>
  <c r="Y3914" i="1"/>
  <c r="M3914" i="1"/>
  <c r="T3913" i="1"/>
  <c r="V3913" i="1"/>
  <c r="X3913" i="1"/>
  <c r="Y3913" i="1"/>
  <c r="M3913" i="1"/>
  <c r="M3912" i="1"/>
  <c r="M3911" i="1"/>
  <c r="M3910" i="1"/>
  <c r="M3909" i="1"/>
  <c r="M3908" i="1"/>
  <c r="M3907" i="1"/>
  <c r="M3906" i="1"/>
  <c r="M3905" i="1"/>
  <c r="M3904" i="1"/>
  <c r="M3903" i="1"/>
  <c r="M3902" i="1"/>
  <c r="M3901" i="1"/>
  <c r="O3897" i="1"/>
  <c r="W3897" i="1"/>
  <c r="Y3897" i="1"/>
  <c r="O3896" i="1"/>
  <c r="Y3896" i="1"/>
  <c r="O3894" i="1"/>
  <c r="U3894" i="1"/>
  <c r="M3894" i="1"/>
  <c r="AQ3893" i="1"/>
  <c r="O3893" i="1"/>
  <c r="W3893" i="1"/>
  <c r="Y3893" i="1"/>
  <c r="M3893" i="1"/>
  <c r="R3892" i="1"/>
  <c r="S3892" i="1"/>
  <c r="T3892" i="1"/>
  <c r="M3892" i="1"/>
  <c r="S3891" i="1"/>
  <c r="T3891" i="1"/>
  <c r="W3891" i="1"/>
  <c r="X3891" i="1"/>
  <c r="M3891" i="1"/>
  <c r="M3890" i="1"/>
  <c r="T3889" i="1"/>
  <c r="M3889" i="1"/>
  <c r="O3888" i="1"/>
  <c r="T3888" i="1"/>
  <c r="U3888" i="1"/>
  <c r="W3888" i="1"/>
  <c r="Y3888" i="1"/>
  <c r="M3888" i="1"/>
  <c r="O3887" i="1"/>
  <c r="R3887" i="1"/>
  <c r="U3887" i="1"/>
  <c r="W3887" i="1"/>
  <c r="X3887" i="1"/>
  <c r="Y3887" i="1"/>
  <c r="M3887" i="1"/>
  <c r="O3886" i="1"/>
  <c r="W3886" i="1"/>
  <c r="X3886" i="1"/>
  <c r="Y3886" i="1"/>
  <c r="M3886" i="1"/>
  <c r="O3885" i="1"/>
  <c r="V3885" i="1"/>
  <c r="W3885" i="1"/>
  <c r="X3885" i="1"/>
  <c r="Y3885" i="1"/>
  <c r="M3885" i="1"/>
  <c r="O3884" i="1"/>
  <c r="V3884" i="1"/>
  <c r="W3884" i="1"/>
  <c r="X3884" i="1"/>
  <c r="Y3884" i="1"/>
  <c r="M3884" i="1"/>
  <c r="O3883" i="1"/>
  <c r="T3883" i="1"/>
  <c r="X3883" i="1"/>
  <c r="Y3883" i="1"/>
  <c r="M3883" i="1"/>
  <c r="O3882" i="1"/>
  <c r="W3882" i="1"/>
  <c r="Y3882" i="1"/>
  <c r="M3882" i="1"/>
  <c r="O3881" i="1"/>
  <c r="U3881" i="1"/>
  <c r="W3881" i="1"/>
  <c r="X3881" i="1"/>
  <c r="Y3881" i="1"/>
  <c r="M3881" i="1"/>
  <c r="O3880" i="1"/>
  <c r="T3880" i="1"/>
  <c r="U3880" i="1"/>
  <c r="W3880" i="1"/>
  <c r="Y3880" i="1"/>
  <c r="M3880" i="1"/>
  <c r="O3879" i="1"/>
  <c r="Y3879" i="1"/>
  <c r="M3879" i="1"/>
  <c r="M3878" i="1"/>
  <c r="O3877" i="1"/>
  <c r="S3877" i="1"/>
  <c r="Y3877" i="1"/>
  <c r="M3877" i="1"/>
  <c r="M3876" i="1"/>
  <c r="M3875" i="1"/>
  <c r="O3874" i="1"/>
  <c r="M3874" i="1"/>
  <c r="O3873" i="1"/>
  <c r="M3873" i="1"/>
  <c r="O3872" i="1"/>
  <c r="T3872" i="1"/>
  <c r="U3872" i="1"/>
  <c r="W3872" i="1"/>
  <c r="Y3872" i="1"/>
  <c r="O3871" i="1"/>
  <c r="S3871" i="1"/>
  <c r="M3871" i="1"/>
  <c r="O3870" i="1"/>
  <c r="T3870" i="1"/>
  <c r="M3870" i="1"/>
  <c r="W3869" i="1"/>
  <c r="Y3869" i="1"/>
  <c r="M3869" i="1"/>
  <c r="O3868" i="1"/>
  <c r="Y3868" i="1"/>
  <c r="M3868" i="1"/>
  <c r="O3867" i="1"/>
  <c r="M3867" i="1"/>
  <c r="O3866" i="1"/>
  <c r="T3866" i="1"/>
  <c r="U3866" i="1"/>
  <c r="W3866" i="1"/>
  <c r="Y3866" i="1"/>
  <c r="M3866" i="1"/>
  <c r="O3865" i="1"/>
  <c r="W3865" i="1"/>
  <c r="M3865" i="1"/>
  <c r="O3864" i="1"/>
  <c r="R3864" i="1"/>
  <c r="Y3864" i="1"/>
  <c r="M3864" i="1"/>
  <c r="O3863" i="1"/>
  <c r="V3863" i="1"/>
  <c r="Y3863" i="1"/>
  <c r="M3863" i="1"/>
  <c r="O3862" i="1"/>
  <c r="Y3862" i="1"/>
  <c r="M3862" i="1"/>
  <c r="O3861" i="1"/>
  <c r="M3861" i="1"/>
  <c r="O3860" i="1"/>
  <c r="V3860" i="1"/>
  <c r="W3860" i="1"/>
  <c r="M3860" i="1"/>
  <c r="O3859" i="1"/>
  <c r="T3859" i="1"/>
  <c r="U3859" i="1"/>
  <c r="W3859" i="1"/>
  <c r="Y3859" i="1"/>
  <c r="M3859" i="1"/>
  <c r="O3858" i="1"/>
  <c r="U3858" i="1"/>
  <c r="W3858" i="1"/>
  <c r="Y3858" i="1"/>
  <c r="M3858" i="1"/>
  <c r="O3857" i="1"/>
  <c r="T3857" i="1"/>
  <c r="U3857" i="1"/>
  <c r="W3857" i="1"/>
  <c r="Y3857" i="1"/>
  <c r="M3857" i="1"/>
  <c r="U3856" i="1"/>
  <c r="W3856" i="1"/>
  <c r="Y3856" i="1"/>
  <c r="M3856" i="1"/>
  <c r="O3855" i="1"/>
  <c r="U3855" i="1"/>
  <c r="W3855" i="1"/>
  <c r="M3855" i="1"/>
  <c r="O3854" i="1"/>
  <c r="U3854" i="1"/>
  <c r="V3854" i="1"/>
  <c r="M3854" i="1"/>
  <c r="O3853" i="1"/>
  <c r="W3853" i="1"/>
  <c r="Y3853" i="1"/>
  <c r="M3853" i="1"/>
  <c r="M3852" i="1"/>
  <c r="O3851" i="1"/>
  <c r="T3851" i="1"/>
  <c r="W3851" i="1"/>
  <c r="Y3851" i="1"/>
  <c r="M3851" i="1"/>
  <c r="O3850" i="1"/>
  <c r="T3850" i="1"/>
  <c r="W3850" i="1"/>
  <c r="Y3850" i="1"/>
  <c r="M3850" i="1"/>
  <c r="O3849" i="1"/>
  <c r="T3849" i="1"/>
  <c r="U3849" i="1"/>
  <c r="W3849" i="1"/>
  <c r="Y3849" i="1"/>
  <c r="M3849" i="1"/>
  <c r="O3848" i="1"/>
  <c r="T3848" i="1"/>
  <c r="U3848" i="1"/>
  <c r="W3848" i="1"/>
  <c r="Y3848" i="1"/>
  <c r="M3848" i="1"/>
  <c r="O3847" i="1"/>
  <c r="U3847" i="1"/>
  <c r="V3847" i="1"/>
  <c r="M3847" i="1"/>
  <c r="O3846" i="1"/>
  <c r="T3846" i="1"/>
  <c r="U3846" i="1"/>
  <c r="V3846" i="1"/>
  <c r="W3846" i="1"/>
  <c r="X3846" i="1"/>
  <c r="Y3846" i="1"/>
  <c r="M3846" i="1"/>
  <c r="O3845" i="1"/>
  <c r="T3845" i="1"/>
  <c r="U3845" i="1"/>
  <c r="V3845" i="1"/>
  <c r="W3845" i="1"/>
  <c r="Y3845" i="1"/>
  <c r="M3845" i="1"/>
  <c r="O3844" i="1"/>
  <c r="T3844" i="1"/>
  <c r="W3844" i="1"/>
  <c r="M3844" i="1"/>
  <c r="O3843" i="1"/>
  <c r="T3843" i="1"/>
  <c r="U3843" i="1"/>
  <c r="W3843" i="1"/>
  <c r="Y3843" i="1"/>
  <c r="M3843" i="1"/>
  <c r="O3842" i="1"/>
  <c r="U3842" i="1"/>
  <c r="M3842" i="1"/>
  <c r="O3841" i="1"/>
  <c r="U3841" i="1"/>
  <c r="M3841" i="1"/>
  <c r="O3840" i="1"/>
  <c r="U3840" i="1"/>
  <c r="M3840" i="1"/>
  <c r="O3839" i="1"/>
  <c r="T3839" i="1"/>
  <c r="U3839" i="1"/>
  <c r="W3839" i="1"/>
  <c r="Y3839" i="1"/>
  <c r="M3839" i="1"/>
  <c r="O3838" i="1"/>
  <c r="T3838" i="1"/>
  <c r="W3838" i="1"/>
  <c r="Y3838" i="1"/>
  <c r="M3838" i="1"/>
  <c r="O3837" i="1"/>
  <c r="T3837" i="1"/>
  <c r="U3837" i="1"/>
  <c r="W3837" i="1"/>
  <c r="X3837" i="1"/>
  <c r="Y3837" i="1"/>
  <c r="M3837" i="1"/>
  <c r="O3836" i="1"/>
  <c r="U3836" i="1"/>
  <c r="W3836" i="1"/>
  <c r="Y3836" i="1"/>
  <c r="M3836" i="1"/>
  <c r="O3835" i="1"/>
  <c r="T3835" i="1"/>
  <c r="U3835" i="1"/>
  <c r="W3835" i="1"/>
  <c r="M3835" i="1"/>
  <c r="O3834" i="1"/>
  <c r="T3834" i="1"/>
  <c r="W3834" i="1"/>
  <c r="Y3834" i="1"/>
  <c r="M3834" i="1"/>
  <c r="O3833" i="1"/>
  <c r="U3833" i="1"/>
  <c r="W3833" i="1"/>
  <c r="Y3833" i="1"/>
  <c r="M3833" i="1"/>
  <c r="O3832" i="1"/>
  <c r="M3832" i="1"/>
  <c r="O3831" i="1"/>
  <c r="W3831" i="1"/>
  <c r="M3831" i="1"/>
  <c r="O3830" i="1"/>
  <c r="U3830" i="1"/>
  <c r="M3830" i="1"/>
  <c r="O3829" i="1"/>
  <c r="Y3829" i="1"/>
  <c r="M3829" i="1"/>
  <c r="Y3828" i="1"/>
  <c r="M3828" i="1"/>
  <c r="M3827" i="1"/>
  <c r="O3826" i="1"/>
  <c r="M3826" i="1"/>
  <c r="M3825" i="1"/>
  <c r="O3824" i="1"/>
  <c r="M3824" i="1"/>
  <c r="O3823" i="1"/>
  <c r="S3823" i="1"/>
  <c r="T3823" i="1"/>
  <c r="Y3823" i="1"/>
  <c r="O3822" i="1"/>
  <c r="R3822" i="1"/>
  <c r="S3822" i="1"/>
  <c r="T3822" i="1"/>
  <c r="U3822" i="1"/>
  <c r="V3822" i="1"/>
  <c r="Y3822" i="1"/>
  <c r="O3821" i="1"/>
  <c r="Y3821" i="1"/>
  <c r="M3821" i="1"/>
  <c r="Y3820" i="1"/>
  <c r="M3820" i="1"/>
  <c r="R3819" i="1"/>
  <c r="S3819" i="1"/>
  <c r="T3819" i="1"/>
  <c r="Y3819" i="1"/>
  <c r="M3819" i="1"/>
  <c r="O3818" i="1"/>
  <c r="Y3818" i="1"/>
  <c r="M3818" i="1"/>
  <c r="Y3817" i="1"/>
  <c r="M3817" i="1"/>
  <c r="O3816" i="1"/>
  <c r="Y3816" i="1"/>
  <c r="M3816" i="1"/>
  <c r="M3815" i="1"/>
  <c r="O3814" i="1"/>
  <c r="M3814" i="1"/>
  <c r="O3813" i="1"/>
  <c r="M3813" i="1"/>
  <c r="O3812" i="1"/>
  <c r="R3812" i="1"/>
  <c r="U3812" i="1"/>
  <c r="W3812" i="1"/>
  <c r="Y3812" i="1"/>
  <c r="M3812" i="1"/>
  <c r="O3811" i="1"/>
  <c r="R3811" i="1"/>
  <c r="W3811" i="1"/>
  <c r="Y3811" i="1"/>
  <c r="M3811" i="1"/>
  <c r="O3810" i="1"/>
  <c r="R3810" i="1"/>
  <c r="U3810" i="1"/>
  <c r="W3810" i="1"/>
  <c r="Y3810" i="1"/>
  <c r="M3810" i="1"/>
  <c r="O3809" i="1"/>
  <c r="S3809" i="1"/>
  <c r="T3809" i="1"/>
  <c r="U3809" i="1"/>
  <c r="V3809" i="1"/>
  <c r="W3809" i="1"/>
  <c r="Y3809" i="1"/>
  <c r="M3809" i="1"/>
  <c r="O3808" i="1"/>
  <c r="T3808" i="1"/>
  <c r="U3808" i="1"/>
  <c r="W3808" i="1"/>
  <c r="Y3808" i="1"/>
  <c r="M3808" i="1"/>
  <c r="O3806" i="1"/>
  <c r="R3806" i="1"/>
  <c r="T3806" i="1"/>
  <c r="Y3806" i="1"/>
  <c r="M3806" i="1"/>
  <c r="O3805" i="1"/>
  <c r="Y3805" i="1"/>
  <c r="M3805" i="1"/>
  <c r="O3804" i="1"/>
  <c r="R3804" i="1"/>
  <c r="U3804" i="1"/>
  <c r="W3804" i="1"/>
  <c r="Y3804" i="1"/>
  <c r="M3804" i="1"/>
  <c r="O3803" i="1"/>
  <c r="V3803" i="1"/>
  <c r="W3803" i="1"/>
  <c r="Y3803" i="1"/>
  <c r="M3803" i="1"/>
  <c r="O3802" i="1"/>
  <c r="W3802" i="1"/>
  <c r="Y3802" i="1"/>
  <c r="M3802" i="1"/>
  <c r="O3801" i="1"/>
  <c r="R3801" i="1"/>
  <c r="U3801" i="1"/>
  <c r="Y3801" i="1"/>
  <c r="M3801" i="1"/>
  <c r="O3800" i="1"/>
  <c r="R3800" i="1"/>
  <c r="W3800" i="1"/>
  <c r="Y3800" i="1"/>
  <c r="M3800" i="1"/>
  <c r="O3799" i="1"/>
  <c r="W3799" i="1"/>
  <c r="Y3799" i="1"/>
  <c r="M3799" i="1"/>
  <c r="O3798" i="1"/>
  <c r="Y3798" i="1"/>
  <c r="M3798" i="1"/>
  <c r="M3797" i="1"/>
  <c r="V3796" i="1"/>
  <c r="M3796" i="1"/>
  <c r="M3795" i="1"/>
  <c r="R3794" i="1"/>
  <c r="Y3794" i="1"/>
  <c r="M3794" i="1"/>
  <c r="AT3793" i="1"/>
  <c r="AG3793" i="1"/>
  <c r="AE3793" i="1"/>
  <c r="W3793" i="1"/>
  <c r="Y3793" i="1"/>
  <c r="M3793" i="1"/>
  <c r="O3792" i="1"/>
  <c r="R3792" i="1"/>
  <c r="Y3792" i="1"/>
  <c r="M3792" i="1"/>
  <c r="O3791" i="1"/>
  <c r="W3791" i="1"/>
  <c r="Y3791" i="1"/>
  <c r="M3791" i="1"/>
  <c r="O3790" i="1"/>
  <c r="W3790" i="1"/>
  <c r="Y3790" i="1"/>
  <c r="M3790" i="1"/>
  <c r="O3789" i="1"/>
  <c r="R3789" i="1"/>
  <c r="U3789" i="1"/>
  <c r="V3789" i="1"/>
  <c r="W3789" i="1"/>
  <c r="Y3789" i="1"/>
  <c r="M3789" i="1"/>
  <c r="AB3788" i="1"/>
  <c r="O3788" i="1"/>
  <c r="R3788" i="1"/>
  <c r="U3788" i="1"/>
  <c r="V3788" i="1"/>
  <c r="W3788" i="1"/>
  <c r="X3788" i="1"/>
  <c r="Y3788" i="1"/>
  <c r="M3788" i="1"/>
  <c r="O3787" i="1"/>
  <c r="R3787" i="1"/>
  <c r="V3787" i="1"/>
  <c r="W3787" i="1"/>
  <c r="Y3787" i="1"/>
  <c r="M3787" i="1"/>
  <c r="O3786" i="1"/>
  <c r="W3786" i="1"/>
  <c r="Y3786" i="1"/>
  <c r="M3786" i="1"/>
  <c r="O3785" i="1"/>
  <c r="Y3784" i="1"/>
  <c r="M3784" i="1"/>
  <c r="O3783" i="1"/>
  <c r="R3783" i="1"/>
  <c r="V3783" i="1"/>
  <c r="W3783" i="1"/>
  <c r="Y3783" i="1"/>
  <c r="M3783" i="1"/>
  <c r="M3782" i="1"/>
  <c r="O3781" i="1"/>
  <c r="T3781" i="1"/>
  <c r="U3781" i="1"/>
  <c r="W3781" i="1"/>
  <c r="Y3781" i="1"/>
  <c r="M3781" i="1"/>
  <c r="O3780" i="1"/>
  <c r="R3780" i="1"/>
  <c r="W3780" i="1"/>
  <c r="Y3780" i="1"/>
  <c r="S3779" i="1"/>
  <c r="Y3779" i="1"/>
  <c r="M3779" i="1"/>
  <c r="O3775" i="1"/>
  <c r="S3775" i="1"/>
  <c r="M3775" i="1"/>
  <c r="O3774" i="1"/>
  <c r="S3774" i="1"/>
  <c r="Y3774" i="1"/>
  <c r="M3774" i="1"/>
  <c r="O3773" i="1"/>
  <c r="U3773" i="1"/>
  <c r="V3773" i="1"/>
  <c r="W3773" i="1"/>
  <c r="Y3773" i="1"/>
  <c r="M3773" i="1"/>
  <c r="O3772" i="1"/>
  <c r="Y3772" i="1"/>
  <c r="M3772" i="1"/>
  <c r="S3770" i="1"/>
  <c r="U3770" i="1"/>
  <c r="V3770" i="1"/>
  <c r="Y3770" i="1"/>
  <c r="M3770" i="1"/>
  <c r="O3769" i="1"/>
  <c r="U3769" i="1"/>
  <c r="Y3769" i="1"/>
  <c r="M3769" i="1"/>
  <c r="M3768" i="1"/>
  <c r="O3767" i="1"/>
  <c r="U3767" i="1"/>
  <c r="M3767" i="1"/>
  <c r="O3766" i="1"/>
  <c r="U3766" i="1"/>
  <c r="M3766" i="1"/>
  <c r="O3765" i="1"/>
  <c r="M3765" i="1"/>
  <c r="M3764" i="1"/>
  <c r="M3763" i="1"/>
  <c r="M3762" i="1"/>
  <c r="V3760" i="1"/>
  <c r="M3760" i="1"/>
  <c r="O3759" i="1"/>
  <c r="Y3759" i="1"/>
  <c r="M3759" i="1"/>
  <c r="O3758" i="1"/>
  <c r="Y3758" i="1"/>
  <c r="M3758" i="1"/>
  <c r="O3757" i="1"/>
  <c r="R3757" i="1"/>
  <c r="W3757" i="1"/>
  <c r="Y3757" i="1"/>
  <c r="M3757" i="1"/>
  <c r="M3756" i="1"/>
  <c r="O3755" i="1"/>
  <c r="M3755" i="1"/>
  <c r="O3754" i="1"/>
  <c r="T3754" i="1"/>
  <c r="U3754" i="1"/>
  <c r="W3754" i="1"/>
  <c r="Y3754" i="1"/>
  <c r="M3754" i="1"/>
  <c r="O3753" i="1"/>
  <c r="R3753" i="1"/>
  <c r="U3753" i="1"/>
  <c r="V3753" i="1"/>
  <c r="W3753" i="1"/>
  <c r="Y3753" i="1"/>
  <c r="M3753" i="1"/>
  <c r="O3752" i="1"/>
  <c r="M3752" i="1"/>
  <c r="O3751" i="1"/>
  <c r="Y3751" i="1"/>
  <c r="M3751" i="1"/>
  <c r="O3750" i="1"/>
  <c r="S3750" i="1"/>
  <c r="Y3750" i="1"/>
  <c r="M3750" i="1"/>
  <c r="O3749" i="1"/>
  <c r="Y3749" i="1"/>
  <c r="M3749" i="1"/>
  <c r="O3748" i="1"/>
  <c r="M3748" i="1"/>
  <c r="O3747" i="1"/>
  <c r="M3747" i="1"/>
  <c r="O3746" i="1"/>
  <c r="M3746" i="1"/>
  <c r="M3745" i="1"/>
  <c r="M3744" i="1"/>
  <c r="M3743" i="1"/>
  <c r="T3742" i="1"/>
  <c r="V3742" i="1"/>
  <c r="Y3742" i="1"/>
  <c r="M3742" i="1"/>
  <c r="Y3741" i="1"/>
  <c r="M3741" i="1"/>
  <c r="O3740" i="1"/>
  <c r="Y3740" i="1"/>
  <c r="M3740" i="1"/>
  <c r="O3739" i="1"/>
  <c r="R3739" i="1"/>
  <c r="V3739" i="1"/>
  <c r="W3739" i="1"/>
  <c r="Y3739" i="1"/>
  <c r="M3739" i="1"/>
  <c r="O3738" i="1"/>
  <c r="M3738" i="1"/>
  <c r="O3737" i="1"/>
  <c r="W3737" i="1"/>
  <c r="Y3737" i="1"/>
  <c r="M3737" i="1"/>
  <c r="O3736" i="1"/>
  <c r="M3736" i="1"/>
  <c r="O3735" i="1"/>
  <c r="M3735" i="1"/>
  <c r="O3734" i="1"/>
  <c r="W3734" i="1"/>
  <c r="X3734" i="1"/>
  <c r="Y3734" i="1"/>
  <c r="M3734" i="1"/>
  <c r="O3733" i="1"/>
  <c r="U3733" i="1"/>
  <c r="V3733" i="1"/>
  <c r="M3733" i="1"/>
  <c r="O3732" i="1"/>
  <c r="M3732" i="1"/>
  <c r="O3731" i="1"/>
  <c r="M3731" i="1"/>
  <c r="AB3730" i="1"/>
  <c r="O3730" i="1"/>
  <c r="R3730" i="1"/>
  <c r="U3730" i="1"/>
  <c r="V3730" i="1"/>
  <c r="M3730" i="1"/>
  <c r="O3729" i="1"/>
  <c r="R3729" i="1"/>
  <c r="V3729" i="1"/>
  <c r="M3729" i="1"/>
  <c r="AB3728" i="1"/>
  <c r="O3728" i="1"/>
  <c r="R3728" i="1"/>
  <c r="V3728" i="1"/>
  <c r="M3728" i="1"/>
  <c r="M3727" i="1"/>
  <c r="M3726" i="1"/>
  <c r="M3725" i="1"/>
  <c r="M3724" i="1"/>
  <c r="M3723" i="1"/>
  <c r="M3722" i="1"/>
  <c r="O3721" i="1"/>
  <c r="M3721" i="1"/>
  <c r="O3720" i="1"/>
  <c r="M3720" i="1"/>
  <c r="S3719" i="1"/>
  <c r="Y3719" i="1"/>
  <c r="M3719" i="1"/>
  <c r="M3718" i="1"/>
  <c r="S3717" i="1"/>
  <c r="M3717" i="1"/>
  <c r="M3716" i="1"/>
  <c r="O3715" i="1"/>
  <c r="Y3715" i="1"/>
  <c r="M3715" i="1"/>
  <c r="M3714" i="1"/>
  <c r="O3713" i="1"/>
  <c r="Y3713" i="1"/>
  <c r="M3713" i="1"/>
  <c r="O3712" i="1"/>
  <c r="U3712" i="1"/>
  <c r="M3712" i="1"/>
  <c r="O3711" i="1"/>
  <c r="U3711" i="1"/>
  <c r="V3711" i="1"/>
  <c r="M3711" i="1"/>
  <c r="O3710" i="1"/>
  <c r="U3710" i="1"/>
  <c r="V3710" i="1"/>
  <c r="M3710" i="1"/>
  <c r="O3709" i="1"/>
  <c r="M3709" i="1"/>
  <c r="O3708" i="1"/>
  <c r="M3708" i="1"/>
  <c r="M3707" i="1"/>
  <c r="AE3706" i="1"/>
  <c r="O3706" i="1"/>
  <c r="S3706" i="1"/>
  <c r="Y3706" i="1"/>
  <c r="M3706" i="1"/>
  <c r="O3705" i="1"/>
  <c r="S3705" i="1"/>
  <c r="T3705" i="1"/>
  <c r="U3705" i="1"/>
  <c r="W3705" i="1"/>
  <c r="Y3705" i="1"/>
  <c r="M3705" i="1"/>
  <c r="S3704" i="1"/>
  <c r="T3704" i="1"/>
  <c r="U3704" i="1"/>
  <c r="Y3704" i="1"/>
  <c r="M3704" i="1"/>
  <c r="M3703" i="1"/>
  <c r="O3702" i="1"/>
  <c r="M3702" i="1"/>
  <c r="O3701" i="1"/>
  <c r="W3701" i="1"/>
  <c r="M3701" i="1"/>
  <c r="O3700" i="1"/>
  <c r="M3700" i="1"/>
  <c r="O3699" i="1"/>
  <c r="U3699" i="1"/>
  <c r="V3699" i="1"/>
  <c r="M3699" i="1"/>
  <c r="O3698" i="1"/>
  <c r="S3698" i="1"/>
  <c r="W3698" i="1"/>
  <c r="Y3698" i="1"/>
  <c r="M3698" i="1"/>
  <c r="M3697" i="1"/>
  <c r="T3696" i="1"/>
  <c r="M3696" i="1"/>
  <c r="O3695" i="1"/>
  <c r="U3695" i="1"/>
  <c r="W3695" i="1"/>
  <c r="Y3695" i="1"/>
  <c r="O3694" i="1"/>
  <c r="T3694" i="1"/>
  <c r="V3694" i="1"/>
  <c r="V3693" i="1"/>
  <c r="O3692" i="1"/>
  <c r="R3692" i="1"/>
  <c r="T3692" i="1"/>
  <c r="V3692" i="1"/>
  <c r="Y3692" i="1"/>
  <c r="O3691" i="1"/>
  <c r="O3690" i="1"/>
  <c r="M3690" i="1"/>
  <c r="M3689" i="1"/>
  <c r="O3688" i="1"/>
  <c r="M3688" i="1"/>
  <c r="O3687" i="1"/>
  <c r="M3687" i="1"/>
  <c r="M3686" i="1"/>
  <c r="M3685" i="1"/>
  <c r="O3684" i="1"/>
  <c r="V3684" i="1"/>
  <c r="M3684" i="1"/>
  <c r="O3683" i="1"/>
  <c r="R3683" i="1"/>
  <c r="U3683" i="1"/>
  <c r="V3683" i="1"/>
  <c r="M3683" i="1"/>
  <c r="O3682" i="1"/>
  <c r="M3682" i="1"/>
  <c r="O3681" i="1"/>
  <c r="S3681" i="1"/>
  <c r="T3681" i="1"/>
  <c r="W3681" i="1"/>
  <c r="Y3681" i="1"/>
  <c r="M3681" i="1"/>
  <c r="O3680" i="1"/>
  <c r="W3680" i="1"/>
  <c r="Y3680" i="1"/>
  <c r="M3680" i="1"/>
  <c r="O3679" i="1"/>
  <c r="R3679" i="1"/>
  <c r="S3679" i="1"/>
  <c r="T3679" i="1"/>
  <c r="W3679" i="1"/>
  <c r="Y3679" i="1"/>
  <c r="M3679" i="1"/>
  <c r="O3678" i="1"/>
  <c r="Y3678" i="1"/>
  <c r="M3678" i="1"/>
  <c r="O3677" i="1"/>
  <c r="S3677" i="1"/>
  <c r="T3677" i="1"/>
  <c r="W3677" i="1"/>
  <c r="Y3677" i="1"/>
  <c r="M3677" i="1"/>
  <c r="O3676" i="1"/>
  <c r="S3676" i="1"/>
  <c r="W3676" i="1"/>
  <c r="Y3676" i="1"/>
  <c r="M3676" i="1"/>
  <c r="O3675" i="1"/>
  <c r="M3675" i="1"/>
  <c r="O3674" i="1"/>
  <c r="Y3674" i="1"/>
  <c r="M3674" i="1"/>
  <c r="O3673" i="1"/>
  <c r="T3673" i="1"/>
  <c r="U3673" i="1"/>
  <c r="W3673" i="1"/>
  <c r="Y3673" i="1"/>
  <c r="M3673" i="1"/>
  <c r="O3672" i="1"/>
  <c r="S3672" i="1"/>
  <c r="W3672" i="1"/>
  <c r="Y3672" i="1"/>
  <c r="M3672" i="1"/>
  <c r="O3671" i="1"/>
  <c r="S3671" i="1"/>
  <c r="W3671" i="1"/>
  <c r="M3671" i="1"/>
  <c r="O3670" i="1"/>
  <c r="R3670" i="1"/>
  <c r="S3670" i="1"/>
  <c r="W3670" i="1"/>
  <c r="Y3670" i="1"/>
  <c r="M3670" i="1"/>
  <c r="M3669" i="1"/>
  <c r="M3668" i="1"/>
  <c r="M3667" i="1"/>
  <c r="M3666" i="1"/>
  <c r="T3665" i="1"/>
  <c r="Y3665" i="1"/>
  <c r="M3665" i="1"/>
  <c r="O3664" i="1"/>
  <c r="M3664" i="1"/>
  <c r="V3663" i="1"/>
  <c r="M3663" i="1"/>
  <c r="M3662" i="1"/>
  <c r="O3661" i="1"/>
  <c r="S3661" i="1"/>
  <c r="Y3661" i="1"/>
  <c r="M3661" i="1"/>
  <c r="M3660" i="1"/>
  <c r="O3659" i="1"/>
  <c r="M3659" i="1"/>
  <c r="O3658" i="1"/>
  <c r="W3658" i="1"/>
  <c r="M3658" i="1"/>
  <c r="M3657" i="1"/>
  <c r="M3656" i="1"/>
  <c r="AE3655" i="1"/>
  <c r="O3655" i="1"/>
  <c r="V3655" i="1"/>
  <c r="M3655" i="1"/>
  <c r="AE3654" i="1"/>
  <c r="O3654" i="1"/>
  <c r="Y3654" i="1"/>
  <c r="M3654" i="1"/>
  <c r="O3653" i="1"/>
  <c r="M3653" i="1"/>
  <c r="O3652" i="1"/>
  <c r="R3652" i="1"/>
  <c r="S3652" i="1"/>
  <c r="W3652" i="1"/>
  <c r="Y3652" i="1"/>
  <c r="M3652" i="1"/>
  <c r="O3651" i="1"/>
  <c r="M3651" i="1"/>
  <c r="O3650" i="1"/>
  <c r="M3650" i="1"/>
  <c r="O3649" i="1"/>
  <c r="M3649" i="1"/>
  <c r="O3648" i="1"/>
  <c r="M3648" i="1"/>
  <c r="O3647" i="1"/>
  <c r="M3647" i="1"/>
  <c r="O3646" i="1"/>
  <c r="R3646" i="1"/>
  <c r="T3646" i="1"/>
  <c r="Y3646" i="1"/>
  <c r="M3646" i="1"/>
  <c r="O3645" i="1"/>
  <c r="S3645" i="1"/>
  <c r="W3645" i="1"/>
  <c r="Y3645" i="1"/>
  <c r="M3645" i="1"/>
  <c r="M3644" i="1"/>
  <c r="M3643" i="1"/>
  <c r="V3642" i="1"/>
  <c r="O3641" i="1"/>
  <c r="T3641" i="1"/>
  <c r="W3641" i="1"/>
  <c r="Y3641" i="1"/>
  <c r="M3641" i="1"/>
  <c r="O3640" i="1"/>
  <c r="M3640" i="1"/>
  <c r="AI3639" i="1"/>
  <c r="AI3638" i="1"/>
  <c r="M3638" i="1"/>
  <c r="V3637" i="1"/>
  <c r="W3637" i="1"/>
  <c r="Y3637" i="1"/>
  <c r="M3637" i="1"/>
  <c r="O3636" i="1"/>
  <c r="Y3636" i="1"/>
  <c r="M3636" i="1"/>
  <c r="O3635" i="1"/>
  <c r="Y3635" i="1"/>
  <c r="M3635" i="1"/>
  <c r="O3634" i="1"/>
  <c r="M3634" i="1"/>
  <c r="O3633" i="1"/>
  <c r="W3633" i="1"/>
  <c r="Y3633" i="1"/>
  <c r="M3633" i="1"/>
  <c r="O3632" i="1"/>
  <c r="M3632" i="1"/>
  <c r="O3631" i="1"/>
  <c r="Y3631" i="1"/>
  <c r="M3631" i="1"/>
  <c r="AB3630" i="1"/>
  <c r="O3630" i="1"/>
  <c r="R3630" i="1"/>
  <c r="V3630" i="1"/>
  <c r="W3630" i="1"/>
  <c r="Y3630" i="1"/>
  <c r="M3630" i="1"/>
  <c r="O3629" i="1"/>
  <c r="U3629" i="1"/>
  <c r="M3629" i="1"/>
  <c r="AE3627" i="1"/>
  <c r="O3627" i="1"/>
  <c r="T3627" i="1"/>
  <c r="U3627" i="1"/>
  <c r="W3627" i="1"/>
  <c r="Y3627" i="1"/>
  <c r="M3627" i="1"/>
  <c r="AE3626" i="1"/>
  <c r="O3626" i="1"/>
  <c r="T3626" i="1"/>
  <c r="U3626" i="1"/>
  <c r="W3626" i="1"/>
  <c r="Y3626" i="1"/>
  <c r="M3626" i="1"/>
  <c r="O3625" i="1"/>
  <c r="S3625" i="1"/>
  <c r="T3625" i="1"/>
  <c r="U3625" i="1"/>
  <c r="V3625" i="1"/>
  <c r="W3625" i="1"/>
  <c r="X3625" i="1"/>
  <c r="Y3625" i="1"/>
  <c r="M3625" i="1"/>
  <c r="O3624" i="1"/>
  <c r="R3624" i="1"/>
  <c r="S3624" i="1"/>
  <c r="T3624" i="1"/>
  <c r="U3624" i="1"/>
  <c r="V3624" i="1"/>
  <c r="W3624" i="1"/>
  <c r="X3624" i="1"/>
  <c r="Y3624" i="1"/>
  <c r="M3624" i="1"/>
  <c r="O3623" i="1"/>
  <c r="M3623" i="1"/>
  <c r="O3622" i="1"/>
  <c r="M3622" i="1"/>
  <c r="M3621" i="1"/>
  <c r="O3620" i="1"/>
  <c r="M3620" i="1"/>
  <c r="O3619" i="1"/>
  <c r="R3619" i="1"/>
  <c r="S3619" i="1"/>
  <c r="U3619" i="1"/>
  <c r="Y3619" i="1"/>
  <c r="M3619" i="1"/>
  <c r="O3618" i="1"/>
  <c r="W3618" i="1"/>
  <c r="Y3618" i="1"/>
  <c r="O3617" i="1"/>
  <c r="S3617" i="1"/>
  <c r="W3617" i="1"/>
  <c r="Y3617" i="1"/>
  <c r="M3617" i="1"/>
  <c r="O3616" i="1"/>
  <c r="T3616" i="1"/>
  <c r="W3616" i="1"/>
  <c r="Y3616" i="1"/>
  <c r="M3616" i="1"/>
  <c r="O3615" i="1"/>
  <c r="W3615" i="1"/>
  <c r="Y3615" i="1"/>
  <c r="M3615" i="1"/>
  <c r="O3614" i="1"/>
  <c r="T3614" i="1"/>
  <c r="U3614" i="1"/>
  <c r="V3614" i="1"/>
  <c r="W3614" i="1"/>
  <c r="Y3614" i="1"/>
  <c r="M3614" i="1"/>
  <c r="O3613" i="1"/>
  <c r="W3613" i="1"/>
  <c r="Y3613" i="1"/>
  <c r="M3613" i="1"/>
  <c r="O3612" i="1"/>
  <c r="R3612" i="1"/>
  <c r="S3612" i="1"/>
  <c r="V3612" i="1"/>
  <c r="W3612" i="1"/>
  <c r="Y3612" i="1"/>
  <c r="M3612" i="1"/>
  <c r="O3611" i="1"/>
  <c r="R3611" i="1"/>
  <c r="S3611" i="1"/>
  <c r="W3611" i="1"/>
  <c r="Y3611" i="1"/>
  <c r="M3611" i="1"/>
  <c r="AJ3610" i="1"/>
  <c r="O3610" i="1"/>
  <c r="R3610" i="1"/>
  <c r="S3610" i="1"/>
  <c r="V3610" i="1"/>
  <c r="W3610" i="1"/>
  <c r="Y3610" i="1"/>
  <c r="M3610" i="1"/>
  <c r="AJ3609" i="1"/>
  <c r="O3609" i="1"/>
  <c r="R3609" i="1"/>
  <c r="S3609" i="1"/>
  <c r="W3609" i="1"/>
  <c r="Y3609" i="1"/>
  <c r="M3609" i="1"/>
  <c r="O3608" i="1"/>
  <c r="R3608" i="1"/>
  <c r="S3608" i="1"/>
  <c r="T3608" i="1"/>
  <c r="U3608" i="1"/>
  <c r="W3608" i="1"/>
  <c r="Y3608" i="1"/>
  <c r="M3608" i="1"/>
  <c r="O3607" i="1"/>
  <c r="R3607" i="1"/>
  <c r="T3607" i="1"/>
  <c r="V3607" i="1"/>
  <c r="W3607" i="1"/>
  <c r="X3607" i="1"/>
  <c r="Y3607" i="1"/>
  <c r="M3607" i="1"/>
  <c r="M3597" i="1"/>
  <c r="O3596" i="1"/>
  <c r="X3596" i="1"/>
  <c r="Y3596" i="1"/>
  <c r="M3596" i="1"/>
  <c r="M3595" i="1"/>
  <c r="O3594" i="1"/>
  <c r="M3594" i="1"/>
  <c r="O3593" i="1"/>
  <c r="W3593" i="1"/>
  <c r="M3593" i="1"/>
  <c r="O3592" i="1"/>
  <c r="W3592" i="1"/>
  <c r="M3592" i="1"/>
  <c r="O3591" i="1"/>
  <c r="W3591" i="1"/>
  <c r="M3591" i="1"/>
  <c r="W3589" i="1"/>
  <c r="M3589" i="1"/>
  <c r="M3586" i="1"/>
  <c r="O3556" i="1"/>
  <c r="W3556" i="1"/>
  <c r="X3556" i="1"/>
  <c r="Y3556" i="1"/>
  <c r="M3556" i="1"/>
  <c r="O3545" i="1"/>
  <c r="W3545" i="1"/>
  <c r="Y3545" i="1"/>
  <c r="M3545" i="1"/>
  <c r="O3544" i="1"/>
  <c r="Y3544" i="1"/>
  <c r="M3544" i="1"/>
  <c r="O3543" i="1"/>
  <c r="Y3543" i="1"/>
  <c r="M3543" i="1"/>
  <c r="O3542" i="1"/>
  <c r="M3542" i="1"/>
  <c r="AB3541" i="1"/>
  <c r="O3541" i="1"/>
  <c r="R3541" i="1"/>
  <c r="U3541" i="1"/>
  <c r="V3541" i="1"/>
  <c r="W3541" i="1"/>
  <c r="Y3541" i="1"/>
  <c r="M3541" i="1"/>
  <c r="O3540" i="1"/>
  <c r="O3538" i="1"/>
  <c r="W3538" i="1"/>
  <c r="Y3538" i="1"/>
  <c r="M3538" i="1"/>
  <c r="AB3537" i="1"/>
  <c r="O3537" i="1"/>
  <c r="Y3537" i="1"/>
  <c r="M3537" i="1"/>
  <c r="O3536" i="1"/>
  <c r="W3536" i="1"/>
  <c r="Y3536" i="1"/>
  <c r="M3536" i="1"/>
  <c r="AB3535" i="1"/>
  <c r="U3535" i="1"/>
  <c r="V3535" i="1"/>
  <c r="M3535" i="1"/>
  <c r="O3534" i="1"/>
  <c r="S3534" i="1"/>
  <c r="W3534" i="1"/>
  <c r="Y3534" i="1"/>
  <c r="M3534" i="1"/>
  <c r="O3533" i="1"/>
  <c r="M3533" i="1"/>
  <c r="O3531" i="1"/>
  <c r="Y3531" i="1"/>
  <c r="AE3530" i="1"/>
  <c r="O3530" i="1"/>
  <c r="W3530" i="1"/>
  <c r="Y3530" i="1"/>
  <c r="M3530" i="1"/>
  <c r="O3529" i="1"/>
  <c r="V3529" i="1"/>
  <c r="X3529" i="1"/>
  <c r="Y3529" i="1"/>
  <c r="O3528" i="1"/>
  <c r="X3528" i="1"/>
  <c r="Y3528" i="1"/>
  <c r="O3527" i="1"/>
  <c r="M3527" i="1"/>
  <c r="O3526" i="1"/>
  <c r="M3526" i="1"/>
  <c r="O3525" i="1"/>
  <c r="S3525" i="1"/>
  <c r="W3525" i="1"/>
  <c r="Y3525" i="1"/>
  <c r="M3525" i="1"/>
  <c r="O3524" i="1"/>
  <c r="R3524" i="1"/>
  <c r="T3524" i="1"/>
  <c r="W3524" i="1"/>
  <c r="Y3524" i="1"/>
  <c r="M3524" i="1"/>
  <c r="O3523" i="1"/>
  <c r="S3523" i="1"/>
  <c r="M3523" i="1"/>
  <c r="O3522" i="1"/>
  <c r="S3522" i="1"/>
  <c r="M3522" i="1"/>
  <c r="V3521" i="1"/>
  <c r="M3521" i="1"/>
  <c r="O3520" i="1"/>
  <c r="V3520" i="1"/>
  <c r="M3520" i="1"/>
  <c r="O3519" i="1"/>
  <c r="M3519" i="1"/>
  <c r="O3518" i="1"/>
  <c r="R3518" i="1"/>
  <c r="V3518" i="1"/>
  <c r="M3518" i="1"/>
  <c r="O3517" i="1"/>
  <c r="V3517" i="1"/>
  <c r="M3517" i="1"/>
  <c r="O3516" i="1"/>
  <c r="R3516" i="1"/>
  <c r="V3516" i="1"/>
  <c r="M3516" i="1"/>
  <c r="O3515" i="1"/>
  <c r="M3515" i="1"/>
  <c r="O3514" i="1"/>
  <c r="M3514" i="1"/>
  <c r="O3513" i="1"/>
  <c r="R3513" i="1"/>
  <c r="V3513" i="1"/>
  <c r="Y3513" i="1"/>
  <c r="M3513" i="1"/>
  <c r="O3512" i="1"/>
  <c r="R3512" i="1"/>
  <c r="V3512" i="1"/>
  <c r="Y3512" i="1"/>
  <c r="M3512" i="1"/>
  <c r="T3511" i="1"/>
  <c r="Y3511" i="1"/>
  <c r="M3511" i="1"/>
  <c r="Y3510" i="1"/>
  <c r="M3510" i="1"/>
  <c r="Y3509" i="1"/>
  <c r="M3509" i="1"/>
  <c r="V3508" i="1"/>
  <c r="W3508" i="1"/>
  <c r="Y3508" i="1"/>
  <c r="M3508" i="1"/>
  <c r="M3507" i="1"/>
  <c r="M3506" i="1"/>
  <c r="M3505" i="1"/>
  <c r="O3504" i="1"/>
  <c r="R3504" i="1"/>
  <c r="U3504" i="1"/>
  <c r="M3504" i="1"/>
  <c r="M3503" i="1"/>
  <c r="R3502" i="1"/>
  <c r="M3502" i="1"/>
  <c r="O3501" i="1"/>
  <c r="Y3501" i="1"/>
  <c r="M3501" i="1"/>
  <c r="O3500" i="1"/>
  <c r="R3500" i="1"/>
  <c r="V3500" i="1"/>
  <c r="W3500" i="1"/>
  <c r="Y3500" i="1"/>
  <c r="M3500" i="1"/>
  <c r="O3499" i="1"/>
  <c r="S3499" i="1"/>
  <c r="W3499" i="1"/>
  <c r="Y3499" i="1"/>
  <c r="M3499" i="1"/>
  <c r="O3473" i="1"/>
  <c r="S3473" i="1"/>
  <c r="U3473" i="1"/>
  <c r="V3473" i="1"/>
  <c r="W3473" i="1"/>
  <c r="X3473" i="1"/>
  <c r="Y3473" i="1"/>
  <c r="M3473" i="1"/>
  <c r="O3472" i="1"/>
  <c r="S3472" i="1"/>
  <c r="U3472" i="1"/>
  <c r="W3472" i="1"/>
  <c r="X3472" i="1"/>
  <c r="M3472" i="1"/>
  <c r="O3467" i="1"/>
  <c r="V3467" i="1"/>
  <c r="M3467" i="1"/>
  <c r="O3466" i="1"/>
  <c r="M3466" i="1"/>
  <c r="O3461" i="1"/>
  <c r="M3461" i="1"/>
  <c r="O3457" i="1"/>
  <c r="Y3457" i="1"/>
  <c r="T3454" i="1"/>
  <c r="V3454" i="1"/>
  <c r="X3454" i="1"/>
  <c r="M3454" i="1"/>
  <c r="R3453" i="1"/>
  <c r="S3453" i="1"/>
  <c r="T3453" i="1"/>
  <c r="X3453" i="1"/>
  <c r="M3453" i="1"/>
  <c r="R3452" i="1"/>
  <c r="V3452" i="1"/>
  <c r="M3452" i="1"/>
  <c r="V3451" i="1"/>
  <c r="U3445" i="1"/>
  <c r="V3445" i="1"/>
  <c r="W3445" i="1"/>
  <c r="Y3445" i="1"/>
  <c r="M3445" i="1"/>
  <c r="O3444" i="1"/>
  <c r="U3444" i="1"/>
  <c r="W3444" i="1"/>
  <c r="Y3444" i="1"/>
  <c r="M3444" i="1"/>
  <c r="O3443" i="1"/>
  <c r="R3443" i="1"/>
  <c r="T3443" i="1"/>
  <c r="U3443" i="1"/>
  <c r="W3443" i="1"/>
  <c r="X3443" i="1"/>
  <c r="Y3443" i="1"/>
  <c r="M3443" i="1"/>
  <c r="O3442" i="1"/>
  <c r="R3442" i="1"/>
  <c r="U3442" i="1"/>
  <c r="W3442" i="1"/>
  <c r="X3442" i="1"/>
  <c r="Y3442" i="1"/>
  <c r="M3442" i="1"/>
  <c r="O3423" i="1"/>
  <c r="S3423" i="1"/>
  <c r="W3423" i="1"/>
  <c r="Y3423" i="1"/>
  <c r="M3423" i="1"/>
  <c r="O3366" i="1"/>
  <c r="R3366" i="1"/>
  <c r="T3366" i="1"/>
  <c r="W3366" i="1"/>
  <c r="Y3366" i="1"/>
  <c r="M3366" i="1"/>
  <c r="O3338" i="1"/>
  <c r="T3338" i="1"/>
  <c r="U3338" i="1"/>
  <c r="W3338" i="1"/>
  <c r="Y3338" i="1"/>
  <c r="O3337" i="1"/>
  <c r="T3337" i="1"/>
  <c r="U3337" i="1"/>
  <c r="W3337" i="1"/>
  <c r="Y3337" i="1"/>
  <c r="AB3317" i="1"/>
  <c r="O3317" i="1"/>
  <c r="Y3317" i="1"/>
  <c r="M3317" i="1"/>
  <c r="O3316" i="1"/>
  <c r="Y3316" i="1"/>
  <c r="M3316" i="1"/>
  <c r="O3298" i="1"/>
  <c r="M3298" i="1"/>
  <c r="O3297" i="1"/>
  <c r="S3297" i="1"/>
  <c r="Y3297" i="1"/>
  <c r="M3297" i="1"/>
  <c r="O3296" i="1"/>
  <c r="M3296" i="1"/>
  <c r="O3295" i="1"/>
  <c r="V3295" i="1"/>
  <c r="M3295" i="1"/>
  <c r="O3261" i="1"/>
  <c r="T3261" i="1"/>
  <c r="X3261" i="1"/>
  <c r="Y3261" i="1"/>
  <c r="M3261" i="1"/>
  <c r="O3260" i="1"/>
  <c r="T3260" i="1"/>
  <c r="Y3260" i="1"/>
  <c r="M3260" i="1"/>
  <c r="S3245" i="1"/>
  <c r="T3245" i="1"/>
  <c r="M3245" i="1"/>
  <c r="AG3233" i="1"/>
  <c r="M3233" i="1"/>
  <c r="AG3232" i="1"/>
  <c r="AE3232" i="1"/>
  <c r="M3232" i="1"/>
  <c r="AG3231" i="1"/>
  <c r="M3231" i="1"/>
  <c r="AG3230" i="1"/>
  <c r="M3230" i="1"/>
  <c r="AG3229" i="1"/>
  <c r="M3229" i="1"/>
  <c r="AG3228" i="1"/>
  <c r="AE3228" i="1"/>
  <c r="M3228" i="1"/>
  <c r="AG3227" i="1"/>
  <c r="M3227" i="1"/>
  <c r="AG3226" i="1"/>
  <c r="M3226" i="1"/>
  <c r="S3221" i="1"/>
  <c r="T3221" i="1"/>
  <c r="M3221" i="1"/>
  <c r="M3168" i="1"/>
  <c r="O3144" i="1"/>
  <c r="Y3144" i="1"/>
  <c r="M3144" i="1"/>
  <c r="O3142" i="1"/>
  <c r="M3142" i="1"/>
  <c r="O3141" i="1"/>
  <c r="M3141" i="1"/>
  <c r="O3137" i="1"/>
  <c r="T3137" i="1"/>
  <c r="U3137" i="1"/>
  <c r="V3137" i="1"/>
  <c r="W3137" i="1"/>
  <c r="X3137" i="1"/>
  <c r="Y3137" i="1"/>
  <c r="O3126" i="1"/>
  <c r="V3126" i="1"/>
  <c r="Y3126" i="1"/>
  <c r="M3126" i="1"/>
  <c r="O3121" i="1"/>
  <c r="T3121" i="1"/>
  <c r="U3121" i="1"/>
  <c r="V3121" i="1"/>
  <c r="W3121" i="1"/>
  <c r="X3121" i="1"/>
  <c r="Y3121" i="1"/>
  <c r="O3034" i="1"/>
  <c r="R3034" i="1"/>
  <c r="S3034" i="1"/>
  <c r="Y3034" i="1"/>
  <c r="M3034" i="1"/>
  <c r="V3030" i="1"/>
  <c r="M3030" i="1"/>
  <c r="O3016" i="1"/>
  <c r="S3016" i="1"/>
  <c r="M3016" i="1"/>
  <c r="O3010" i="1"/>
  <c r="M3010" i="1"/>
  <c r="O3009" i="1"/>
  <c r="V3009" i="1"/>
  <c r="M3009" i="1"/>
  <c r="Y3008" i="1"/>
  <c r="M3008" i="1"/>
  <c r="M3007" i="1"/>
  <c r="M3006" i="1"/>
  <c r="M2941" i="1"/>
  <c r="M2940" i="1"/>
  <c r="M2912" i="1"/>
  <c r="O2909" i="1"/>
  <c r="Y2909" i="1"/>
  <c r="M2909" i="1"/>
  <c r="Y2897" i="1"/>
  <c r="M2897" i="1"/>
  <c r="O2896" i="1"/>
  <c r="T2896" i="1"/>
  <c r="W2896" i="1"/>
  <c r="Y2896" i="1"/>
  <c r="M2896" i="1"/>
  <c r="O2895" i="1"/>
  <c r="M2895" i="1"/>
  <c r="O2894" i="1"/>
  <c r="M2894" i="1"/>
  <c r="O2893" i="1"/>
  <c r="M2893" i="1"/>
  <c r="O2892" i="1"/>
  <c r="M2892" i="1"/>
  <c r="O2891" i="1"/>
  <c r="R2891" i="1"/>
  <c r="S2891" i="1"/>
  <c r="U2891" i="1"/>
  <c r="W2891" i="1"/>
  <c r="X2891" i="1"/>
  <c r="Y2891" i="1"/>
  <c r="M2891" i="1"/>
  <c r="O2890" i="1"/>
  <c r="S2890" i="1"/>
  <c r="U2890" i="1"/>
  <c r="W2890" i="1"/>
  <c r="X2890" i="1"/>
  <c r="Y2890" i="1"/>
  <c r="M2890" i="1"/>
  <c r="O2889" i="1"/>
  <c r="M2889" i="1"/>
  <c r="M2888" i="1"/>
  <c r="O2887" i="1"/>
  <c r="T2887" i="1"/>
  <c r="U2887" i="1"/>
  <c r="W2887" i="1"/>
  <c r="Y2887" i="1"/>
  <c r="M2886" i="1"/>
  <c r="O2885" i="1"/>
  <c r="M2885" i="1"/>
  <c r="M2884" i="1"/>
  <c r="O2883" i="1"/>
  <c r="M2883" i="1"/>
  <c r="W2882" i="1"/>
  <c r="Y2882" i="1"/>
  <c r="M2882" i="1"/>
  <c r="O2881" i="1"/>
  <c r="T2881" i="1"/>
  <c r="Y2881" i="1"/>
  <c r="M2881" i="1"/>
  <c r="O2880" i="1"/>
  <c r="Y2880" i="1"/>
  <c r="M2880" i="1"/>
  <c r="O2879" i="1"/>
  <c r="T2879" i="1"/>
  <c r="X2879" i="1"/>
  <c r="Y2879" i="1"/>
  <c r="M2879" i="1"/>
  <c r="O2878" i="1"/>
  <c r="M2878" i="1"/>
  <c r="O2877" i="1"/>
  <c r="M2877" i="1"/>
  <c r="O2876" i="1"/>
  <c r="V2876" i="1"/>
  <c r="Y2876" i="1"/>
  <c r="O2875" i="1"/>
  <c r="V2875" i="1"/>
  <c r="M2875" i="1"/>
  <c r="M2874" i="1"/>
  <c r="M2873" i="1"/>
  <c r="O2872" i="1"/>
  <c r="M2872" i="1"/>
  <c r="O2871" i="1"/>
  <c r="Y2871" i="1"/>
  <c r="M2871" i="1"/>
  <c r="O2870" i="1"/>
  <c r="U2870" i="1"/>
  <c r="V2870" i="1"/>
  <c r="W2870" i="1"/>
  <c r="Y2870" i="1"/>
  <c r="M2870" i="1"/>
  <c r="O2869" i="1"/>
  <c r="T2869" i="1"/>
  <c r="U2869" i="1"/>
  <c r="W2869" i="1"/>
  <c r="Y2869" i="1"/>
  <c r="M2869" i="1"/>
  <c r="O2868" i="1"/>
  <c r="U2868" i="1"/>
  <c r="W2868" i="1"/>
  <c r="Y2868" i="1"/>
  <c r="M2868" i="1"/>
  <c r="O2867" i="1"/>
  <c r="S2867" i="1"/>
  <c r="T2867" i="1"/>
  <c r="W2867" i="1"/>
  <c r="Y2867" i="1"/>
  <c r="M2867" i="1"/>
  <c r="O2866" i="1"/>
  <c r="M2866" i="1"/>
  <c r="O2865" i="1"/>
  <c r="M2865" i="1"/>
  <c r="O2864" i="1"/>
  <c r="T2864" i="1"/>
  <c r="U2864" i="1"/>
  <c r="V2864" i="1"/>
  <c r="W2864" i="1"/>
  <c r="M2864" i="1"/>
  <c r="O2863" i="1"/>
  <c r="R2863" i="1"/>
  <c r="T2863" i="1"/>
  <c r="U2863" i="1"/>
  <c r="V2863" i="1"/>
  <c r="W2863" i="1"/>
  <c r="Y2863" i="1"/>
  <c r="M2863" i="1"/>
  <c r="O2862" i="1"/>
  <c r="S2862" i="1"/>
  <c r="T2862" i="1"/>
  <c r="W2862" i="1"/>
  <c r="M2862" i="1"/>
  <c r="O2861" i="1"/>
  <c r="W2861" i="1"/>
  <c r="M2861" i="1"/>
  <c r="O2860" i="1"/>
  <c r="W2860" i="1"/>
  <c r="X2860" i="1"/>
  <c r="Y2860" i="1"/>
  <c r="M2860" i="1"/>
  <c r="O2859" i="1"/>
  <c r="M2859" i="1"/>
  <c r="S2858" i="1"/>
  <c r="T2858" i="1"/>
  <c r="Y2858" i="1"/>
  <c r="M2858" i="1"/>
  <c r="W2857" i="1"/>
  <c r="X2857" i="1"/>
  <c r="Y2857" i="1"/>
  <c r="M2857" i="1"/>
  <c r="M2856" i="1"/>
  <c r="M2855" i="1"/>
  <c r="O2854" i="1"/>
  <c r="U2854" i="1"/>
  <c r="W2854" i="1"/>
  <c r="M2854" i="1"/>
  <c r="O2853" i="1"/>
  <c r="M2852" i="1"/>
  <c r="O2851" i="1"/>
  <c r="X2851" i="1"/>
  <c r="Y2851" i="1"/>
  <c r="M2851" i="1"/>
  <c r="O2850" i="1"/>
  <c r="Y2850" i="1"/>
  <c r="M2850" i="1"/>
  <c r="M2849" i="1"/>
  <c r="O2848" i="1"/>
  <c r="X2848" i="1"/>
  <c r="Y2848" i="1"/>
  <c r="M2847" i="1"/>
  <c r="O2846" i="1"/>
  <c r="M2846" i="1"/>
  <c r="AE2845" i="1"/>
  <c r="O2845" i="1"/>
  <c r="M2845" i="1"/>
  <c r="AE2844" i="1"/>
  <c r="O2844" i="1"/>
  <c r="U2844" i="1"/>
  <c r="V2844" i="1"/>
  <c r="M2844" i="1"/>
  <c r="AE2843" i="1"/>
  <c r="O2843" i="1"/>
  <c r="R2843" i="1"/>
  <c r="M2843" i="1"/>
  <c r="O2842" i="1"/>
  <c r="W2842" i="1"/>
  <c r="X2842" i="1"/>
  <c r="Y2842" i="1"/>
  <c r="M2842" i="1"/>
  <c r="O2841" i="1"/>
  <c r="Y2841" i="1"/>
  <c r="M2841" i="1"/>
  <c r="M2840" i="1"/>
  <c r="O2839" i="1"/>
  <c r="Y2839" i="1"/>
  <c r="M2839" i="1"/>
  <c r="U2838" i="1"/>
  <c r="M2838" i="1"/>
  <c r="O2836" i="1"/>
  <c r="R2836" i="1"/>
  <c r="U2836" i="1"/>
  <c r="W2836" i="1"/>
  <c r="Y2836" i="1"/>
  <c r="M2835" i="1"/>
  <c r="O2834" i="1"/>
  <c r="Y2834" i="1"/>
  <c r="M2834" i="1"/>
  <c r="M2833" i="1"/>
  <c r="M2832" i="1"/>
  <c r="O2831" i="1"/>
  <c r="T2831" i="1"/>
  <c r="W2831" i="1"/>
  <c r="Y2831" i="1"/>
  <c r="M2831" i="1"/>
  <c r="O2830" i="1"/>
  <c r="T2830" i="1"/>
  <c r="U2830" i="1"/>
  <c r="V2830" i="1"/>
  <c r="W2830" i="1"/>
  <c r="Y2830" i="1"/>
  <c r="M2830" i="1"/>
  <c r="O2829" i="1"/>
  <c r="T2829" i="1"/>
  <c r="U2829" i="1"/>
  <c r="W2829" i="1"/>
  <c r="Y2829" i="1"/>
  <c r="M2829" i="1"/>
  <c r="O2828" i="1"/>
  <c r="T2828" i="1"/>
  <c r="U2828" i="1"/>
  <c r="V2828" i="1"/>
  <c r="W2828" i="1"/>
  <c r="Y2828" i="1"/>
  <c r="M2828" i="1"/>
  <c r="O2827" i="1"/>
  <c r="M2827" i="1"/>
  <c r="O2826" i="1"/>
  <c r="M2826" i="1"/>
  <c r="M2825" i="1"/>
  <c r="R2824" i="1"/>
  <c r="M2824" i="1"/>
  <c r="O2823" i="1"/>
  <c r="R2823" i="1"/>
  <c r="S2823" i="1"/>
  <c r="W2823" i="1"/>
  <c r="Y2823" i="1"/>
  <c r="M2823" i="1"/>
  <c r="O2822" i="1"/>
  <c r="R2822" i="1"/>
  <c r="V2822" i="1"/>
  <c r="W2822" i="1"/>
  <c r="Y2822" i="1"/>
  <c r="M2822" i="1"/>
  <c r="O2821" i="1"/>
  <c r="X2821" i="1"/>
  <c r="Y2821" i="1"/>
  <c r="M2821" i="1"/>
  <c r="M2820" i="1"/>
  <c r="X2819" i="1"/>
  <c r="W2819" i="1"/>
  <c r="R2819" i="1"/>
  <c r="M2819" i="1"/>
  <c r="M2818" i="1"/>
  <c r="M2817" i="1"/>
  <c r="M2816" i="1"/>
  <c r="T2815" i="1"/>
  <c r="W2815" i="1"/>
  <c r="M2815" i="1"/>
  <c r="S2814" i="1"/>
  <c r="T2814" i="1"/>
  <c r="X2814" i="1"/>
  <c r="M2814" i="1"/>
  <c r="T2813" i="1"/>
  <c r="W2813" i="1"/>
  <c r="X2813" i="1"/>
  <c r="M2813" i="1"/>
  <c r="S2812" i="1"/>
  <c r="T2812" i="1"/>
  <c r="W2812" i="1"/>
  <c r="M2812" i="1"/>
  <c r="S2811" i="1"/>
  <c r="U2811" i="1"/>
  <c r="W2811" i="1"/>
  <c r="X2811" i="1"/>
  <c r="Y2811" i="1"/>
  <c r="M2811" i="1"/>
  <c r="T2810" i="1"/>
  <c r="M2810" i="1"/>
  <c r="O2809" i="1"/>
  <c r="Y2809" i="1"/>
  <c r="M2809" i="1"/>
  <c r="T2808" i="1"/>
  <c r="Y2808" i="1"/>
  <c r="M2808" i="1"/>
  <c r="O2807" i="1"/>
  <c r="R2807" i="1"/>
  <c r="Y2807" i="1"/>
  <c r="M2807" i="1"/>
  <c r="O2806" i="1"/>
  <c r="Y2806" i="1"/>
  <c r="M2806" i="1"/>
  <c r="M2805" i="1"/>
  <c r="O2804" i="1"/>
  <c r="S2804" i="1"/>
  <c r="Y2804" i="1"/>
  <c r="M2804" i="1"/>
  <c r="O2803" i="1"/>
  <c r="S2803" i="1"/>
  <c r="M2803" i="1"/>
  <c r="M2802" i="1"/>
  <c r="M2801" i="1"/>
  <c r="M2800" i="1"/>
  <c r="M2799" i="1"/>
  <c r="U2798" i="1"/>
  <c r="Y2798" i="1"/>
  <c r="M2798" i="1"/>
  <c r="O2797" i="1"/>
  <c r="M2797" i="1"/>
  <c r="U2796" i="1"/>
  <c r="Y2796" i="1"/>
  <c r="M2796" i="1"/>
  <c r="O2795" i="1"/>
  <c r="U2795" i="1"/>
  <c r="V2795" i="1"/>
  <c r="Y2795" i="1"/>
  <c r="M2795" i="1"/>
  <c r="Y2794" i="1"/>
  <c r="M2794" i="1"/>
  <c r="M2793" i="1"/>
  <c r="O2792" i="1"/>
  <c r="R2792" i="1"/>
  <c r="Y2792" i="1"/>
  <c r="M2792" i="1"/>
  <c r="O2791" i="1"/>
  <c r="R2791" i="1"/>
  <c r="M2791" i="1"/>
  <c r="O2790" i="1"/>
  <c r="R2790" i="1"/>
  <c r="S2790" i="1"/>
  <c r="W2790" i="1"/>
  <c r="Y2790" i="1"/>
  <c r="M2790" i="1"/>
  <c r="O2789" i="1"/>
  <c r="Y2789" i="1"/>
  <c r="M2789" i="1"/>
  <c r="M2788" i="1"/>
  <c r="M2787" i="1"/>
  <c r="O2786" i="1"/>
  <c r="Y2786" i="1"/>
  <c r="M2786" i="1"/>
  <c r="O2785" i="1"/>
  <c r="M2785" i="1"/>
  <c r="M2784" i="1"/>
  <c r="O2783" i="1"/>
  <c r="Y2783" i="1"/>
  <c r="M2783" i="1"/>
  <c r="O2782" i="1"/>
  <c r="S2782" i="1"/>
  <c r="Y2782" i="1"/>
  <c r="M2782" i="1"/>
  <c r="Y2781" i="1"/>
  <c r="M2781" i="1"/>
  <c r="O2780" i="1"/>
  <c r="M2780" i="1"/>
  <c r="O2779" i="1"/>
  <c r="M2779" i="1"/>
  <c r="O2778" i="1"/>
  <c r="M2778" i="1"/>
  <c r="O2777" i="1"/>
  <c r="R2777" i="1"/>
  <c r="W2777" i="1"/>
  <c r="Y2777" i="1"/>
  <c r="M2777" i="1"/>
  <c r="O2776" i="1"/>
  <c r="U2776" i="1"/>
  <c r="W2776" i="1"/>
  <c r="Y2776" i="1"/>
  <c r="M2776" i="1"/>
  <c r="R2775" i="1"/>
  <c r="S2775" i="1"/>
  <c r="U2775" i="1"/>
  <c r="M2775" i="1"/>
  <c r="M2774" i="1"/>
  <c r="M2773" i="1"/>
  <c r="O2772" i="1"/>
  <c r="U2772" i="1"/>
  <c r="Y2772" i="1"/>
  <c r="M2772" i="1"/>
  <c r="U2771" i="1"/>
  <c r="Y2771" i="1"/>
  <c r="M2771" i="1"/>
  <c r="V2770" i="1"/>
  <c r="M2770" i="1"/>
  <c r="M2769" i="1"/>
  <c r="M2768" i="1"/>
  <c r="R2767" i="1"/>
  <c r="W2767" i="1"/>
  <c r="M2767" i="1"/>
  <c r="O2766" i="1"/>
  <c r="T2766" i="1"/>
  <c r="Y2766" i="1"/>
  <c r="AB2765" i="1"/>
  <c r="O2765" i="1"/>
  <c r="U2765" i="1"/>
  <c r="V2765" i="1"/>
  <c r="W2765" i="1"/>
  <c r="M2765" i="1"/>
  <c r="O2764" i="1"/>
  <c r="M2764" i="1"/>
  <c r="M2763" i="1"/>
  <c r="M2762" i="1"/>
  <c r="O2761" i="1"/>
  <c r="S2761" i="1"/>
  <c r="Y2761" i="1"/>
  <c r="M2761" i="1"/>
  <c r="M2760" i="1"/>
  <c r="M2759" i="1"/>
  <c r="M2758" i="1"/>
  <c r="M2757" i="1"/>
  <c r="M2756" i="1"/>
  <c r="M2755" i="1"/>
  <c r="AQ2754" i="1"/>
  <c r="Y2754" i="1"/>
  <c r="W2754" i="1"/>
  <c r="U2754" i="1"/>
  <c r="R2754" i="1"/>
  <c r="O2754" i="1"/>
  <c r="M2754" i="1"/>
  <c r="O2753" i="1"/>
  <c r="M2753" i="1"/>
  <c r="O2752" i="1"/>
  <c r="R2752" i="1"/>
  <c r="S2752" i="1"/>
  <c r="T2752" i="1"/>
  <c r="M2752" i="1"/>
  <c r="O2751" i="1"/>
  <c r="R2751" i="1"/>
  <c r="S2751" i="1"/>
  <c r="T2751" i="1"/>
  <c r="W2751" i="1"/>
  <c r="X2751" i="1"/>
  <c r="Y2751" i="1"/>
  <c r="M2751" i="1"/>
  <c r="O2750" i="1"/>
  <c r="R2750" i="1"/>
  <c r="S2750" i="1"/>
  <c r="T2750" i="1"/>
  <c r="W2750" i="1"/>
  <c r="X2750" i="1"/>
  <c r="Y2750" i="1"/>
  <c r="M2750" i="1"/>
  <c r="O2749" i="1"/>
  <c r="S2749" i="1"/>
  <c r="T2749" i="1"/>
  <c r="Y2749" i="1"/>
  <c r="M2749" i="1"/>
  <c r="O2748" i="1"/>
  <c r="Y2748" i="1"/>
  <c r="M2748" i="1"/>
  <c r="O2747" i="1"/>
  <c r="R2747" i="1"/>
  <c r="S2747" i="1"/>
  <c r="T2747" i="1"/>
  <c r="W2747" i="1"/>
  <c r="M2747" i="1"/>
  <c r="O2746" i="1"/>
  <c r="R2746" i="1"/>
  <c r="S2746" i="1"/>
  <c r="T2746" i="1"/>
  <c r="W2746" i="1"/>
  <c r="X2746" i="1"/>
  <c r="Y2746" i="1"/>
  <c r="M2746" i="1"/>
  <c r="O2745" i="1"/>
  <c r="R2745" i="1"/>
  <c r="S2745" i="1"/>
  <c r="T2745" i="1"/>
  <c r="W2745" i="1"/>
  <c r="X2745" i="1"/>
  <c r="Y2745" i="1"/>
  <c r="M2745" i="1"/>
  <c r="O2744" i="1"/>
  <c r="M2744" i="1"/>
  <c r="O2743" i="1"/>
  <c r="T2743" i="1"/>
  <c r="W2743" i="1"/>
  <c r="Y2743" i="1"/>
  <c r="M2743" i="1"/>
  <c r="O2742" i="1"/>
  <c r="T2742" i="1"/>
  <c r="W2742" i="1"/>
  <c r="X2742" i="1"/>
  <c r="Y2742" i="1"/>
  <c r="O2741" i="1"/>
  <c r="T2741" i="1"/>
  <c r="W2741" i="1"/>
  <c r="X2741" i="1"/>
  <c r="Y2741" i="1"/>
  <c r="O2740" i="1"/>
  <c r="T2740" i="1"/>
  <c r="Y2740" i="1"/>
  <c r="M2740" i="1"/>
  <c r="M2739" i="1"/>
  <c r="W2738" i="1"/>
  <c r="M2738" i="1"/>
  <c r="M2737" i="1"/>
  <c r="M2736" i="1"/>
  <c r="M2735" i="1"/>
  <c r="M2734" i="1"/>
  <c r="M2733" i="1"/>
  <c r="O2732" i="1"/>
  <c r="M2732" i="1"/>
  <c r="M2731" i="1"/>
  <c r="M2730" i="1"/>
  <c r="O2729" i="1"/>
  <c r="M2729" i="1"/>
  <c r="Y2728" i="1"/>
  <c r="M2728" i="1"/>
  <c r="M2727" i="1"/>
  <c r="O2726" i="1"/>
  <c r="T2726" i="1"/>
  <c r="W2726" i="1"/>
  <c r="Y2726" i="1"/>
  <c r="M2726" i="1"/>
  <c r="W2725" i="1"/>
  <c r="M2725" i="1"/>
  <c r="AX2724" i="1"/>
  <c r="M2724" i="1"/>
  <c r="O2723" i="1"/>
  <c r="T2723" i="1"/>
  <c r="U2723" i="1"/>
  <c r="W2723" i="1"/>
  <c r="Y2723" i="1"/>
  <c r="O2721" i="1"/>
  <c r="W2720" i="1"/>
  <c r="Y2720" i="1"/>
  <c r="M2720" i="1"/>
  <c r="M2719" i="1"/>
  <c r="M2718" i="1"/>
  <c r="AL2717" i="1"/>
  <c r="AK2717" i="1"/>
  <c r="O2717" i="1"/>
  <c r="S2717" i="1"/>
  <c r="Y2717" i="1"/>
  <c r="M2717" i="1"/>
  <c r="AL2716" i="1"/>
  <c r="AK2716" i="1"/>
  <c r="O2716" i="1"/>
  <c r="Y2716" i="1"/>
  <c r="M2716" i="1"/>
  <c r="AL2715" i="1"/>
  <c r="AK2715" i="1"/>
  <c r="M2715" i="1"/>
  <c r="AL2714" i="1"/>
  <c r="AK2714" i="1"/>
  <c r="O2714" i="1"/>
  <c r="M2714" i="1"/>
  <c r="AL2713" i="1"/>
  <c r="AK2713" i="1"/>
  <c r="O2713" i="1"/>
  <c r="S2713" i="1"/>
  <c r="M2713" i="1"/>
  <c r="AL2712" i="1"/>
  <c r="AK2712" i="1"/>
  <c r="O2712" i="1"/>
  <c r="R2712" i="1"/>
  <c r="S2712" i="1"/>
  <c r="T2712" i="1"/>
  <c r="M2712" i="1"/>
  <c r="AL2711" i="1"/>
  <c r="O2711" i="1"/>
  <c r="M2711" i="1"/>
  <c r="W2710" i="1"/>
  <c r="Y2710" i="1"/>
  <c r="M2710" i="1"/>
  <c r="S2709" i="1"/>
  <c r="Y2709" i="1"/>
  <c r="M2709" i="1"/>
  <c r="W2708" i="1"/>
  <c r="Y2708" i="1"/>
  <c r="M2708" i="1"/>
  <c r="O2707" i="1"/>
  <c r="M2707" i="1"/>
  <c r="O2706" i="1"/>
  <c r="M2706" i="1"/>
  <c r="M2705" i="1"/>
  <c r="O2704" i="1"/>
  <c r="M2704" i="1"/>
  <c r="M2703" i="1"/>
  <c r="M2702" i="1"/>
  <c r="O2701" i="1"/>
  <c r="V2701" i="1"/>
  <c r="W2701" i="1"/>
  <c r="Y2701" i="1"/>
  <c r="M2701" i="1"/>
  <c r="O2700" i="1"/>
  <c r="M2700" i="1"/>
  <c r="M2699" i="1"/>
  <c r="T2698" i="1"/>
  <c r="U2698" i="1"/>
  <c r="W2698" i="1"/>
  <c r="X2698" i="1"/>
  <c r="Y2698" i="1"/>
  <c r="M2698" i="1"/>
  <c r="O2697" i="1"/>
  <c r="U2697" i="1"/>
  <c r="V2697" i="1"/>
  <c r="W2697" i="1"/>
  <c r="X2697" i="1"/>
  <c r="Y2697" i="1"/>
  <c r="M2697" i="1"/>
  <c r="R2696" i="1"/>
  <c r="T2696" i="1"/>
  <c r="W2696" i="1"/>
  <c r="X2696" i="1"/>
  <c r="M2696" i="1"/>
  <c r="R2695" i="1"/>
  <c r="T2695" i="1"/>
  <c r="W2695" i="1"/>
  <c r="X2695" i="1"/>
  <c r="Y2695" i="1"/>
  <c r="M2695" i="1"/>
  <c r="O2694" i="1"/>
  <c r="M2694" i="1"/>
  <c r="O2693" i="1"/>
  <c r="M2693" i="1"/>
  <c r="O2692" i="1"/>
  <c r="M2692" i="1"/>
  <c r="O2691" i="1"/>
  <c r="M2691" i="1"/>
  <c r="O2690" i="1"/>
  <c r="R2690" i="1"/>
  <c r="Y2690" i="1"/>
  <c r="M2690" i="1"/>
  <c r="O2689" i="1"/>
  <c r="R2689" i="1"/>
  <c r="Y2689" i="1"/>
  <c r="M2689" i="1"/>
  <c r="O2688" i="1"/>
  <c r="Y2688" i="1"/>
  <c r="M2688" i="1"/>
  <c r="O2687" i="1"/>
  <c r="R2687" i="1"/>
  <c r="X2687" i="1"/>
  <c r="Y2687" i="1"/>
  <c r="M2687" i="1"/>
  <c r="O2686" i="1"/>
  <c r="T2686" i="1"/>
  <c r="Y2686" i="1"/>
  <c r="M2686" i="1"/>
  <c r="O2685" i="1"/>
  <c r="M2685" i="1"/>
  <c r="M2684" i="1"/>
  <c r="M2683" i="1"/>
  <c r="O2682" i="1"/>
  <c r="R2682" i="1"/>
  <c r="U2682" i="1"/>
  <c r="V2682" i="1"/>
  <c r="Y2682" i="1"/>
  <c r="M2682" i="1"/>
  <c r="M2681" i="1"/>
  <c r="O2680" i="1"/>
  <c r="M2680" i="1"/>
  <c r="M2679" i="1"/>
  <c r="O2678" i="1"/>
  <c r="R2678" i="1"/>
  <c r="W2678" i="1"/>
  <c r="Y2678" i="1"/>
  <c r="M2678" i="1"/>
  <c r="T2677" i="1"/>
  <c r="W2677" i="1"/>
  <c r="X2677" i="1"/>
  <c r="M2677" i="1"/>
  <c r="S2676" i="1"/>
  <c r="T2676" i="1"/>
  <c r="W2676" i="1"/>
  <c r="X2676" i="1"/>
  <c r="Y2676" i="1"/>
  <c r="M2676" i="1"/>
  <c r="O2675" i="1"/>
  <c r="O2674" i="1"/>
  <c r="R2674" i="1"/>
  <c r="S2674" i="1"/>
  <c r="W2674" i="1"/>
  <c r="X2674" i="1"/>
  <c r="Y2674" i="1"/>
  <c r="M2674" i="1"/>
  <c r="O2673" i="1"/>
  <c r="R2673" i="1"/>
  <c r="W2673" i="1"/>
  <c r="Y2673" i="1"/>
  <c r="M2673" i="1"/>
  <c r="O2672" i="1"/>
  <c r="M2672" i="1"/>
  <c r="O2671" i="1"/>
  <c r="R2671" i="1"/>
  <c r="T2671" i="1"/>
  <c r="Y2671" i="1"/>
  <c r="M2671" i="1"/>
  <c r="O2670" i="1"/>
  <c r="R2670" i="1"/>
  <c r="Y2670" i="1"/>
  <c r="M2670" i="1"/>
  <c r="AB2669" i="1"/>
  <c r="O2669" i="1"/>
  <c r="R2669" i="1"/>
  <c r="S2669" i="1"/>
  <c r="Y2669" i="1"/>
  <c r="X2668" i="1"/>
  <c r="Y2668" i="1"/>
  <c r="V2667" i="1"/>
  <c r="Y2667" i="1"/>
  <c r="O2666" i="1"/>
  <c r="M2666" i="1"/>
  <c r="O2665" i="1"/>
  <c r="T2665" i="1"/>
  <c r="W2665" i="1"/>
  <c r="Y2665" i="1"/>
  <c r="M2665" i="1"/>
  <c r="O2664" i="1"/>
  <c r="R2664" i="1"/>
  <c r="M2664" i="1"/>
  <c r="O2663" i="1"/>
  <c r="Y2663" i="1"/>
  <c r="O2662" i="1"/>
  <c r="R2662" i="1"/>
  <c r="T2662" i="1"/>
  <c r="U2662" i="1"/>
  <c r="M2662" i="1"/>
  <c r="O2661" i="1"/>
  <c r="T2661" i="1"/>
  <c r="M2661" i="1"/>
  <c r="O2660" i="1"/>
  <c r="V2660" i="1"/>
  <c r="Y2660" i="1"/>
  <c r="M2660" i="1"/>
  <c r="O2659" i="1"/>
  <c r="R2659" i="1"/>
  <c r="T2659" i="1"/>
  <c r="U2659" i="1"/>
  <c r="V2659" i="1"/>
  <c r="W2659" i="1"/>
  <c r="X2659" i="1"/>
  <c r="Y2659" i="1"/>
  <c r="O2658" i="1"/>
  <c r="W2658" i="1"/>
  <c r="Y2658" i="1"/>
  <c r="M2658" i="1"/>
  <c r="O2657" i="1"/>
  <c r="Y2657" i="1"/>
  <c r="M2657" i="1"/>
  <c r="O2656" i="1"/>
  <c r="V2656" i="1"/>
  <c r="Y2656" i="1"/>
  <c r="M2656" i="1"/>
  <c r="O2655" i="1"/>
  <c r="V2655" i="1"/>
  <c r="W2655" i="1"/>
  <c r="Y2655" i="1"/>
  <c r="M2655" i="1"/>
  <c r="O2654" i="1"/>
  <c r="Y2654" i="1"/>
  <c r="M2654" i="1"/>
  <c r="O2653" i="1"/>
  <c r="M2653" i="1"/>
  <c r="M2652" i="1"/>
  <c r="M2651" i="1"/>
  <c r="M2650" i="1"/>
  <c r="M2649" i="1"/>
  <c r="O2648" i="1"/>
  <c r="M2648" i="1"/>
  <c r="AL2647" i="1"/>
  <c r="AK2647" i="1"/>
  <c r="O2647" i="1"/>
  <c r="R2647" i="1"/>
  <c r="S2647" i="1"/>
  <c r="W2647" i="1"/>
  <c r="Y2647" i="1"/>
  <c r="M2647" i="1"/>
  <c r="AL2646" i="1"/>
  <c r="AK2646" i="1"/>
  <c r="O2646" i="1"/>
  <c r="R2646" i="1"/>
  <c r="W2646" i="1"/>
  <c r="Y2646" i="1"/>
  <c r="M2646" i="1"/>
  <c r="AL2645" i="1"/>
  <c r="AK2645" i="1"/>
  <c r="O2645" i="1"/>
  <c r="R2645" i="1"/>
  <c r="S2645" i="1"/>
  <c r="W2645" i="1"/>
  <c r="Y2645" i="1"/>
  <c r="M2645" i="1"/>
  <c r="AL2644" i="1"/>
  <c r="AK2644" i="1"/>
  <c r="O2644" i="1"/>
  <c r="W2644" i="1"/>
  <c r="M2644" i="1"/>
  <c r="AL2643" i="1"/>
  <c r="AK2643" i="1"/>
  <c r="O2643" i="1"/>
  <c r="W2643" i="1"/>
  <c r="M2643" i="1"/>
  <c r="AL2642" i="1"/>
  <c r="AK2642" i="1"/>
  <c r="O2642" i="1"/>
  <c r="R2642" i="1"/>
  <c r="M2642" i="1"/>
  <c r="AL2641" i="1"/>
  <c r="AK2641" i="1"/>
  <c r="O2641" i="1"/>
  <c r="M2641" i="1"/>
  <c r="M2640" i="1"/>
  <c r="O2639" i="1"/>
  <c r="M2639" i="1"/>
  <c r="M2638" i="1"/>
  <c r="Y2637" i="1"/>
  <c r="M2637" i="1"/>
  <c r="O2636" i="1"/>
  <c r="S2636" i="1"/>
  <c r="M2636" i="1"/>
  <c r="O2635" i="1"/>
  <c r="S2635" i="1"/>
  <c r="M2635" i="1"/>
  <c r="O2634" i="1"/>
  <c r="S2634" i="1"/>
  <c r="M2634" i="1"/>
  <c r="O2633" i="1"/>
  <c r="M2633" i="1"/>
  <c r="O2632" i="1"/>
  <c r="T2632" i="1"/>
  <c r="Y2632" i="1"/>
  <c r="M2632" i="1"/>
  <c r="O2631" i="1"/>
  <c r="Y2631" i="1"/>
  <c r="M2631" i="1"/>
  <c r="O2630" i="1"/>
  <c r="M2630" i="1"/>
  <c r="O2629" i="1"/>
  <c r="Y2629" i="1"/>
  <c r="M2629" i="1"/>
  <c r="O2628" i="1"/>
  <c r="Y2628" i="1"/>
  <c r="M2628" i="1"/>
  <c r="AB2627" i="1"/>
  <c r="O2627" i="1"/>
  <c r="R2627" i="1"/>
  <c r="T2627" i="1"/>
  <c r="M2627" i="1"/>
  <c r="O2626" i="1"/>
  <c r="M2626" i="1"/>
  <c r="O2625" i="1"/>
  <c r="M2625" i="1"/>
  <c r="O2624" i="1"/>
  <c r="M2624" i="1"/>
  <c r="O2623" i="1"/>
  <c r="M2623" i="1"/>
  <c r="O2622" i="1"/>
  <c r="Y2622" i="1"/>
  <c r="M2622" i="1"/>
  <c r="M2621" i="1"/>
  <c r="O2620" i="1"/>
  <c r="S2620" i="1"/>
  <c r="T2620" i="1"/>
  <c r="M2620" i="1"/>
  <c r="O2619" i="1"/>
  <c r="S2619" i="1"/>
  <c r="M2619" i="1"/>
  <c r="O2618" i="1"/>
  <c r="M2618" i="1"/>
  <c r="O2617" i="1"/>
  <c r="V2617" i="1"/>
  <c r="Y2617" i="1"/>
  <c r="M2617" i="1"/>
  <c r="Y2616" i="1"/>
  <c r="M2616" i="1"/>
  <c r="O2615" i="1"/>
  <c r="M2615" i="1"/>
  <c r="O2614" i="1"/>
  <c r="M2614" i="1"/>
  <c r="O2613" i="1"/>
  <c r="M2613" i="1"/>
  <c r="O2612" i="1"/>
  <c r="M2612" i="1"/>
  <c r="O2611" i="1"/>
  <c r="M2611" i="1"/>
  <c r="O2610" i="1"/>
  <c r="M2610" i="1"/>
  <c r="O2609" i="1"/>
  <c r="M2609" i="1"/>
  <c r="O2608" i="1"/>
  <c r="M2608" i="1"/>
  <c r="O2607" i="1"/>
  <c r="S2607" i="1"/>
  <c r="W2607" i="1"/>
  <c r="O2606" i="1"/>
  <c r="T2606" i="1"/>
  <c r="W2606" i="1"/>
  <c r="M2606" i="1"/>
  <c r="O2605" i="1"/>
  <c r="S2605" i="1"/>
  <c r="W2605" i="1"/>
  <c r="Y2605" i="1"/>
  <c r="M2605" i="1"/>
  <c r="O2604" i="1"/>
  <c r="T2604" i="1"/>
  <c r="W2604" i="1"/>
  <c r="Y2604" i="1"/>
  <c r="M2604" i="1"/>
  <c r="O2603" i="1"/>
  <c r="R2603" i="1"/>
  <c r="S2603" i="1"/>
  <c r="W2603" i="1"/>
  <c r="Y2603" i="1"/>
  <c r="M2603" i="1"/>
  <c r="O2602" i="1"/>
  <c r="R2602" i="1"/>
  <c r="T2602" i="1"/>
  <c r="W2602" i="1"/>
  <c r="X2602" i="1"/>
  <c r="M2601" i="1"/>
  <c r="M2600" i="1"/>
  <c r="O2599" i="1"/>
  <c r="S2599" i="1"/>
  <c r="T2599" i="1"/>
  <c r="M2599" i="1"/>
  <c r="O2598" i="1"/>
  <c r="T2598" i="1"/>
  <c r="M2598" i="1"/>
  <c r="O2597" i="1"/>
  <c r="R2597" i="1"/>
  <c r="M2597" i="1"/>
  <c r="O2596" i="1"/>
  <c r="M2596" i="1"/>
  <c r="O2595" i="1"/>
  <c r="T2595" i="1"/>
  <c r="U2595" i="1"/>
  <c r="W2595" i="1"/>
  <c r="Y2595" i="1"/>
  <c r="M2595" i="1"/>
  <c r="O2594" i="1"/>
  <c r="T2594" i="1"/>
  <c r="U2594" i="1"/>
  <c r="W2594" i="1"/>
  <c r="Y2594" i="1"/>
  <c r="M2594" i="1"/>
  <c r="O2593" i="1"/>
  <c r="R2593" i="1"/>
  <c r="U2593" i="1"/>
  <c r="W2593" i="1"/>
  <c r="Y2593" i="1"/>
  <c r="M2593" i="1"/>
  <c r="Y2592" i="1"/>
  <c r="M2592" i="1"/>
  <c r="Y2591" i="1"/>
  <c r="M2591" i="1"/>
  <c r="O2590" i="1"/>
  <c r="S2590" i="1"/>
  <c r="W2590" i="1"/>
  <c r="Y2590" i="1"/>
  <c r="AE2589" i="1"/>
  <c r="O2589" i="1"/>
  <c r="R2589" i="1"/>
  <c r="S2589" i="1"/>
  <c r="V2589" i="1"/>
  <c r="M2589" i="1"/>
  <c r="M2588" i="1"/>
  <c r="O2587" i="1"/>
  <c r="S2587" i="1"/>
  <c r="Y2587" i="1"/>
  <c r="M2587" i="1"/>
  <c r="M2586" i="1"/>
  <c r="O2585" i="1"/>
  <c r="R2585" i="1"/>
  <c r="S2585" i="1"/>
  <c r="W2585" i="1"/>
  <c r="X2585" i="1"/>
  <c r="Y2585" i="1"/>
  <c r="M2585" i="1"/>
  <c r="O2584" i="1"/>
  <c r="M2584" i="1"/>
  <c r="O2583" i="1"/>
  <c r="U2583" i="1"/>
  <c r="Y2583" i="1"/>
  <c r="M2583" i="1"/>
  <c r="O2582" i="1"/>
  <c r="T2582" i="1"/>
  <c r="Y2582" i="1"/>
  <c r="M2582" i="1"/>
  <c r="O2581" i="1"/>
  <c r="T2581" i="1"/>
  <c r="M2581" i="1"/>
  <c r="O2580" i="1"/>
  <c r="T2580" i="1"/>
  <c r="M2580" i="1"/>
  <c r="O2579" i="1"/>
  <c r="T2579" i="1"/>
  <c r="W2579" i="1"/>
  <c r="M2579" i="1"/>
  <c r="O2578" i="1"/>
  <c r="T2578" i="1"/>
  <c r="W2578" i="1"/>
  <c r="Y2578" i="1"/>
  <c r="M2578" i="1"/>
  <c r="O2577" i="1"/>
  <c r="T2577" i="1"/>
  <c r="Y2577" i="1"/>
  <c r="M2577" i="1"/>
  <c r="O2576" i="1"/>
  <c r="T2576" i="1"/>
  <c r="M2576" i="1"/>
  <c r="T2575" i="1"/>
  <c r="W2575" i="1"/>
  <c r="Y2575" i="1"/>
  <c r="M2575" i="1"/>
  <c r="O2574" i="1"/>
  <c r="S2574" i="1"/>
  <c r="T2574" i="1"/>
  <c r="Y2574" i="1"/>
  <c r="M2574" i="1"/>
  <c r="O2573" i="1"/>
  <c r="S2573" i="1"/>
  <c r="M2573" i="1"/>
  <c r="W2572" i="1"/>
  <c r="M2572" i="1"/>
  <c r="Y2571" i="1"/>
  <c r="M2571" i="1"/>
  <c r="O2570" i="1"/>
  <c r="S2570" i="1"/>
  <c r="W2570" i="1"/>
  <c r="Y2570" i="1"/>
  <c r="M2570" i="1"/>
  <c r="O2569" i="1"/>
  <c r="R2569" i="1"/>
  <c r="S2569" i="1"/>
  <c r="T2569" i="1"/>
  <c r="W2569" i="1"/>
  <c r="Y2569" i="1"/>
  <c r="M2569" i="1"/>
  <c r="O2568" i="1"/>
  <c r="V2568" i="1"/>
  <c r="W2568" i="1"/>
  <c r="Y2568" i="1"/>
  <c r="O2567" i="1"/>
  <c r="V2567" i="1"/>
  <c r="O2566" i="1"/>
  <c r="O2565" i="1"/>
  <c r="Y2565" i="1"/>
  <c r="M2565" i="1"/>
  <c r="O2564" i="1"/>
  <c r="M2564" i="1"/>
  <c r="O2563" i="1"/>
  <c r="T2563" i="1"/>
  <c r="U2563" i="1"/>
  <c r="O2562" i="1"/>
  <c r="R2562" i="1"/>
  <c r="U2562" i="1"/>
  <c r="V2562" i="1"/>
  <c r="W2562" i="1"/>
  <c r="Y2562" i="1"/>
  <c r="M2562" i="1"/>
  <c r="O2561" i="1"/>
  <c r="M2561" i="1"/>
  <c r="M2560" i="1"/>
  <c r="O2559" i="1"/>
  <c r="M2559" i="1"/>
  <c r="O2558" i="1"/>
  <c r="M2558" i="1"/>
  <c r="O2557" i="1"/>
  <c r="M2557" i="1"/>
  <c r="O2556" i="1"/>
  <c r="S2556" i="1"/>
  <c r="Y2556" i="1"/>
  <c r="M2556" i="1"/>
  <c r="M2555" i="1"/>
  <c r="O2554" i="1"/>
  <c r="M2554" i="1"/>
  <c r="O2553" i="1"/>
  <c r="M2553" i="1"/>
  <c r="O2552" i="1"/>
  <c r="Y2552" i="1"/>
  <c r="O2551" i="1"/>
  <c r="Y2551" i="1"/>
  <c r="O2550" i="1"/>
  <c r="V2550" i="1"/>
  <c r="Y2550" i="1"/>
  <c r="O2549" i="1"/>
  <c r="S2549" i="1"/>
  <c r="T2549" i="1"/>
  <c r="M2549" i="1"/>
  <c r="O2548" i="1"/>
  <c r="M2548" i="1"/>
  <c r="M2547" i="1"/>
  <c r="O2546" i="1"/>
  <c r="V2546" i="1"/>
  <c r="W2546" i="1"/>
  <c r="Y2546" i="1"/>
  <c r="M2546" i="1"/>
  <c r="O2545" i="1"/>
  <c r="S2545" i="1"/>
  <c r="T2545" i="1"/>
  <c r="Y2545" i="1"/>
  <c r="M2545" i="1"/>
  <c r="O2544" i="1"/>
  <c r="V2544" i="1"/>
  <c r="Y2544" i="1"/>
  <c r="M2544" i="1"/>
  <c r="O2543" i="1"/>
  <c r="M2543" i="1"/>
  <c r="O2542" i="1"/>
  <c r="S2542" i="1"/>
  <c r="T2542" i="1"/>
  <c r="U2542" i="1"/>
  <c r="W2542" i="1"/>
  <c r="X2542" i="1"/>
  <c r="M2542" i="1"/>
  <c r="AB2541" i="1"/>
  <c r="O2541" i="1"/>
  <c r="Y2541" i="1"/>
  <c r="M2541" i="1"/>
  <c r="AB2540" i="1"/>
  <c r="O2540" i="1"/>
  <c r="R2540" i="1"/>
  <c r="S2540" i="1"/>
  <c r="W2540" i="1"/>
  <c r="Y2540" i="1"/>
  <c r="M2540" i="1"/>
  <c r="W2539" i="1"/>
  <c r="M2539" i="1"/>
  <c r="O2538" i="1"/>
  <c r="W2538" i="1"/>
  <c r="M2538" i="1"/>
  <c r="O2537" i="1"/>
  <c r="R2537" i="1"/>
  <c r="S2537" i="1"/>
  <c r="Y2537" i="1"/>
  <c r="M2537" i="1"/>
  <c r="O2536" i="1"/>
  <c r="M2536" i="1"/>
  <c r="Y2535" i="1"/>
  <c r="M2535" i="1"/>
  <c r="O2534" i="1"/>
  <c r="R2534" i="1"/>
  <c r="Y2534" i="1"/>
  <c r="M2534" i="1"/>
  <c r="O2533" i="1"/>
  <c r="Y2533" i="1"/>
  <c r="M2533" i="1"/>
  <c r="M2532" i="1"/>
  <c r="O2531" i="1"/>
  <c r="Y2531" i="1"/>
  <c r="M2531" i="1"/>
  <c r="W2530" i="1"/>
  <c r="Y2530" i="1"/>
  <c r="M2530" i="1"/>
  <c r="O2529" i="1"/>
  <c r="R2529" i="1"/>
  <c r="T2529" i="1"/>
  <c r="W2529" i="1"/>
  <c r="X2529" i="1"/>
  <c r="Y2529" i="1"/>
  <c r="O2528" i="1"/>
  <c r="R2528" i="1"/>
  <c r="T2528" i="1"/>
  <c r="W2528" i="1"/>
  <c r="X2528" i="1"/>
  <c r="Y2528" i="1"/>
  <c r="O2527" i="1"/>
  <c r="Y2527" i="1"/>
  <c r="M2527" i="1"/>
  <c r="V2526" i="1"/>
  <c r="Y2526" i="1"/>
  <c r="M2526" i="1"/>
  <c r="O2525" i="1"/>
  <c r="Y2525" i="1"/>
  <c r="M2525" i="1"/>
  <c r="O2524" i="1"/>
  <c r="S2524" i="1"/>
  <c r="Y2524" i="1"/>
  <c r="M2524" i="1"/>
  <c r="O2523" i="1"/>
  <c r="U2523" i="1"/>
  <c r="V2523" i="1"/>
  <c r="W2523" i="1"/>
  <c r="Y2523" i="1"/>
  <c r="M2523" i="1"/>
  <c r="O2522" i="1"/>
  <c r="M2522" i="1"/>
  <c r="O2521" i="1"/>
  <c r="M2521" i="1"/>
  <c r="O2519" i="1"/>
  <c r="R2519" i="1"/>
  <c r="S2519" i="1"/>
  <c r="M2519" i="1"/>
  <c r="AE2518" i="1"/>
  <c r="O2518" i="1"/>
  <c r="Y2518" i="1"/>
  <c r="M2518" i="1"/>
  <c r="M2517" i="1"/>
  <c r="O2516" i="1"/>
  <c r="R2516" i="1"/>
  <c r="W2516" i="1"/>
  <c r="AB2515" i="1"/>
  <c r="O2515" i="1"/>
  <c r="R2515" i="1"/>
  <c r="W2515" i="1"/>
  <c r="R2514" i="1"/>
  <c r="S2513" i="1"/>
  <c r="T2513" i="1"/>
  <c r="X2513" i="1"/>
  <c r="Y2513" i="1"/>
  <c r="M2513" i="1"/>
  <c r="T2512" i="1"/>
  <c r="X2512" i="1"/>
  <c r="M2512" i="1"/>
  <c r="M2511" i="1"/>
  <c r="O2510" i="1"/>
  <c r="V2510" i="1"/>
  <c r="W2510" i="1"/>
  <c r="M2510" i="1"/>
  <c r="Y2509" i="1"/>
  <c r="M2509" i="1"/>
  <c r="O2508" i="1"/>
  <c r="W2508" i="1"/>
  <c r="X2508" i="1"/>
  <c r="Y2508" i="1"/>
  <c r="M2508" i="1"/>
  <c r="O2507" i="1"/>
  <c r="V2507" i="1"/>
  <c r="M2507" i="1"/>
  <c r="O2506" i="1"/>
  <c r="W2506" i="1"/>
  <c r="X2506" i="1"/>
  <c r="Y2506" i="1"/>
  <c r="M2506" i="1"/>
  <c r="O2505" i="1"/>
  <c r="M2505" i="1"/>
  <c r="AE2504" i="1"/>
  <c r="O2504" i="1"/>
  <c r="R2504" i="1"/>
  <c r="S2504" i="1"/>
  <c r="U2504" i="1"/>
  <c r="V2504" i="1"/>
  <c r="W2504" i="1"/>
  <c r="Y2504" i="1"/>
  <c r="M2504" i="1"/>
  <c r="AE2503" i="1"/>
  <c r="O2503" i="1"/>
  <c r="R2503" i="1"/>
  <c r="U2503" i="1"/>
  <c r="V2503" i="1"/>
  <c r="W2503" i="1"/>
  <c r="Y2503" i="1"/>
  <c r="M2503" i="1"/>
  <c r="AE2502" i="1"/>
  <c r="O2502" i="1"/>
  <c r="R2502" i="1"/>
  <c r="V2502" i="1"/>
  <c r="W2502" i="1"/>
  <c r="Y2502" i="1"/>
  <c r="M2502" i="1"/>
  <c r="AE2501" i="1"/>
  <c r="O2501" i="1"/>
  <c r="R2501" i="1"/>
  <c r="U2501" i="1"/>
  <c r="V2501" i="1"/>
  <c r="W2501" i="1"/>
  <c r="Y2501" i="1"/>
  <c r="AE2500" i="1"/>
  <c r="O2500" i="1"/>
  <c r="R2500" i="1"/>
  <c r="W2500" i="1"/>
  <c r="Y2500" i="1"/>
  <c r="M2500" i="1"/>
  <c r="AE2499" i="1"/>
  <c r="O2499" i="1"/>
  <c r="R2499" i="1"/>
  <c r="V2499" i="1"/>
  <c r="W2499" i="1"/>
  <c r="Y2499" i="1"/>
  <c r="M2499" i="1"/>
  <c r="AE2498" i="1"/>
  <c r="O2498" i="1"/>
  <c r="R2498" i="1"/>
  <c r="V2498" i="1"/>
  <c r="W2498" i="1"/>
  <c r="Y2498" i="1"/>
  <c r="M2498" i="1"/>
  <c r="AE2497" i="1"/>
  <c r="O2497" i="1"/>
  <c r="R2497" i="1"/>
  <c r="W2497" i="1"/>
  <c r="Y2497" i="1"/>
  <c r="M2497" i="1"/>
  <c r="O2496" i="1"/>
  <c r="M2496" i="1"/>
  <c r="O2495" i="1"/>
  <c r="R2495" i="1"/>
  <c r="U2495" i="1"/>
  <c r="V2495" i="1"/>
  <c r="W2495" i="1"/>
  <c r="Y2495" i="1"/>
  <c r="M2495" i="1"/>
  <c r="O2494" i="1"/>
  <c r="V2494" i="1"/>
  <c r="Y2494" i="1"/>
  <c r="M2494" i="1"/>
  <c r="O2493" i="1"/>
  <c r="Y2493" i="1"/>
  <c r="M2493" i="1"/>
  <c r="O2492" i="1"/>
  <c r="M2492" i="1"/>
  <c r="O2491" i="1"/>
  <c r="R2491" i="1"/>
  <c r="W2491" i="1"/>
  <c r="X2491" i="1"/>
  <c r="Y2491" i="1"/>
  <c r="M2491" i="1"/>
  <c r="AE2490" i="1"/>
  <c r="O2490" i="1"/>
  <c r="R2490" i="1"/>
  <c r="U2490" i="1"/>
  <c r="V2490" i="1"/>
  <c r="W2490" i="1"/>
  <c r="Y2490" i="1"/>
  <c r="M2490" i="1"/>
  <c r="O2489" i="1"/>
  <c r="V2489" i="1"/>
  <c r="W2489" i="1"/>
  <c r="Y2489" i="1"/>
  <c r="M2489" i="1"/>
  <c r="O2488" i="1"/>
  <c r="M2488" i="1"/>
  <c r="O2487" i="1"/>
  <c r="S2487" i="1"/>
  <c r="V2487" i="1"/>
  <c r="Y2487" i="1"/>
  <c r="O2486" i="1"/>
  <c r="Y2486" i="1"/>
  <c r="M2486" i="1"/>
  <c r="V2485" i="1"/>
  <c r="M2485" i="1"/>
  <c r="O2484" i="1"/>
  <c r="S2484" i="1"/>
  <c r="Y2484" i="1"/>
  <c r="M2484" i="1"/>
  <c r="O2483" i="1"/>
  <c r="Y2483" i="1"/>
  <c r="M2483" i="1"/>
  <c r="O2482" i="1"/>
  <c r="W2482" i="1"/>
  <c r="Y2482" i="1"/>
  <c r="M2482" i="1"/>
  <c r="O2481" i="1"/>
  <c r="Y2481" i="1"/>
  <c r="M2481" i="1"/>
  <c r="O2480" i="1"/>
  <c r="M2480" i="1"/>
  <c r="M2479" i="1"/>
  <c r="O2478" i="1"/>
  <c r="Y2478" i="1"/>
  <c r="M2478" i="1"/>
  <c r="AB2477" i="1"/>
  <c r="O2477" i="1"/>
  <c r="V2477" i="1"/>
  <c r="W2477" i="1"/>
  <c r="X2477" i="1"/>
  <c r="Y2477" i="1"/>
  <c r="M2477" i="1"/>
  <c r="R2476" i="1"/>
  <c r="M2475" i="1"/>
  <c r="M2474" i="1"/>
  <c r="O2473" i="1"/>
  <c r="Y2473" i="1"/>
  <c r="M2473" i="1"/>
  <c r="O2472" i="1"/>
  <c r="T2472" i="1"/>
  <c r="Y2472" i="1"/>
  <c r="O2471" i="1"/>
  <c r="Y2471" i="1"/>
  <c r="M2471" i="1"/>
  <c r="AB2470" i="1"/>
  <c r="O2470" i="1"/>
  <c r="W2470" i="1"/>
  <c r="Y2470" i="1"/>
  <c r="V2469" i="1"/>
  <c r="W2469" i="1"/>
  <c r="Y2469" i="1"/>
  <c r="M2469" i="1"/>
  <c r="V2468" i="1"/>
  <c r="W2468" i="1"/>
  <c r="X2468" i="1"/>
  <c r="Y2468" i="1"/>
  <c r="M2468" i="1"/>
  <c r="O2467" i="1"/>
  <c r="T2467" i="1"/>
  <c r="V2467" i="1"/>
  <c r="Y2467" i="1"/>
  <c r="M2467" i="1"/>
  <c r="O2466" i="1"/>
  <c r="T2466" i="1"/>
  <c r="Y2466" i="1"/>
  <c r="M2466" i="1"/>
  <c r="O2465" i="1"/>
  <c r="S2465" i="1"/>
  <c r="T2465" i="1"/>
  <c r="V2465" i="1"/>
  <c r="Y2465" i="1"/>
  <c r="M2465" i="1"/>
  <c r="O2464" i="1"/>
  <c r="M2464" i="1"/>
  <c r="M2463" i="1"/>
  <c r="O2462" i="1"/>
  <c r="Y2462" i="1"/>
  <c r="M2462" i="1"/>
  <c r="O2461" i="1"/>
  <c r="W2461" i="1"/>
  <c r="Y2461" i="1"/>
  <c r="M2461" i="1"/>
  <c r="O2460" i="1"/>
  <c r="R2460" i="1"/>
  <c r="V2460" i="1"/>
  <c r="M2460" i="1"/>
  <c r="Y2459" i="1"/>
  <c r="M2459" i="1"/>
  <c r="M2458" i="1"/>
  <c r="M2457" i="1"/>
  <c r="M2456" i="1"/>
  <c r="M2455" i="1"/>
  <c r="M2454" i="1"/>
  <c r="M2453" i="1"/>
  <c r="M2452" i="1"/>
  <c r="M2450" i="1"/>
  <c r="M2449" i="1"/>
  <c r="O2448" i="1"/>
  <c r="M2448" i="1"/>
  <c r="O2447" i="1"/>
  <c r="M2447" i="1"/>
  <c r="O2446" i="1"/>
  <c r="T2446" i="1"/>
  <c r="Y2446" i="1"/>
  <c r="M2446" i="1"/>
  <c r="O2445" i="1"/>
  <c r="Y2445" i="1"/>
  <c r="M2445" i="1"/>
  <c r="O2444" i="1"/>
  <c r="W2444" i="1"/>
  <c r="Y2444" i="1"/>
  <c r="AQ2443" i="1"/>
  <c r="AG2443" i="1"/>
  <c r="M2442" i="1"/>
  <c r="O2441" i="1"/>
  <c r="M2441" i="1"/>
  <c r="W2440" i="1"/>
  <c r="Y2440" i="1"/>
  <c r="M2440" i="1"/>
  <c r="M2439" i="1"/>
  <c r="M2438" i="1"/>
  <c r="O2437" i="1"/>
  <c r="R2437" i="1"/>
  <c r="S2437" i="1"/>
  <c r="T2437" i="1"/>
  <c r="U2437" i="1"/>
  <c r="W2437" i="1"/>
  <c r="Y2437" i="1"/>
  <c r="M2437" i="1"/>
  <c r="O2436" i="1"/>
  <c r="S2436" i="1"/>
  <c r="T2436" i="1"/>
  <c r="U2436" i="1"/>
  <c r="W2436" i="1"/>
  <c r="Y2436" i="1"/>
  <c r="M2436" i="1"/>
  <c r="M2435" i="1"/>
  <c r="M2434" i="1"/>
  <c r="M2433" i="1"/>
  <c r="AT2432" i="1"/>
  <c r="Y2432" i="1"/>
  <c r="AT2431" i="1"/>
  <c r="Y2431" i="1"/>
  <c r="M2430" i="1"/>
  <c r="M2429" i="1"/>
  <c r="O2428" i="1"/>
  <c r="Y2428" i="1"/>
  <c r="M2428" i="1"/>
  <c r="Y2427" i="1"/>
  <c r="M2427" i="1"/>
  <c r="O2426" i="1"/>
  <c r="Y2426" i="1"/>
  <c r="M2426" i="1"/>
  <c r="R2425" i="1"/>
  <c r="R2424" i="1"/>
  <c r="Y2424" i="1"/>
  <c r="M2424" i="1"/>
  <c r="O2423" i="1"/>
  <c r="M2423" i="1"/>
  <c r="O2422" i="1"/>
  <c r="O2421" i="1"/>
  <c r="Y2421" i="1"/>
  <c r="M2421" i="1"/>
  <c r="M2420" i="1"/>
  <c r="V2419" i="1"/>
  <c r="M2419" i="1"/>
  <c r="O2418" i="1"/>
  <c r="R2418" i="1"/>
  <c r="M2418" i="1"/>
  <c r="M2417" i="1"/>
  <c r="M2415" i="1"/>
  <c r="O2414" i="1"/>
  <c r="M2414" i="1"/>
  <c r="O2413" i="1"/>
  <c r="M2413" i="1"/>
  <c r="O2412" i="1"/>
  <c r="M2412" i="1"/>
  <c r="O2411" i="1"/>
  <c r="W2411" i="1"/>
  <c r="Y2411" i="1"/>
  <c r="M2411" i="1"/>
  <c r="Y2410" i="1"/>
  <c r="M2410" i="1"/>
  <c r="M2409" i="1"/>
  <c r="M2407" i="1"/>
  <c r="M2406" i="1"/>
  <c r="O2405" i="1"/>
  <c r="U2405" i="1"/>
  <c r="W2405" i="1"/>
  <c r="Y2405" i="1"/>
  <c r="M2405" i="1"/>
  <c r="O2404" i="1"/>
  <c r="T2404" i="1"/>
  <c r="U2404" i="1"/>
  <c r="W2404" i="1"/>
  <c r="Y2404" i="1"/>
  <c r="M2404" i="1"/>
  <c r="U2403" i="1"/>
  <c r="Y2403" i="1"/>
  <c r="M2403" i="1"/>
  <c r="O2402" i="1"/>
  <c r="M2402" i="1"/>
  <c r="T2401" i="1"/>
  <c r="M2401" i="1"/>
  <c r="M2400" i="1"/>
  <c r="M2399" i="1"/>
  <c r="O2396" i="1"/>
  <c r="T2396" i="1"/>
  <c r="Y2396" i="1"/>
  <c r="M2396" i="1"/>
  <c r="O2395" i="1"/>
  <c r="Y2395" i="1"/>
  <c r="M2395" i="1"/>
  <c r="M2394" i="1"/>
  <c r="M2393" i="1"/>
  <c r="M2392" i="1"/>
  <c r="O2390" i="1"/>
  <c r="T2390" i="1"/>
  <c r="U2390" i="1"/>
  <c r="W2390" i="1"/>
  <c r="Y2390" i="1"/>
  <c r="W2389" i="1"/>
  <c r="Y2389" i="1"/>
  <c r="O2388" i="1"/>
  <c r="U2388" i="1"/>
  <c r="V2388" i="1"/>
  <c r="W2388" i="1"/>
  <c r="Y2388" i="1"/>
  <c r="O2387" i="1"/>
  <c r="S2387" i="1"/>
  <c r="U2387" i="1"/>
  <c r="W2387" i="1"/>
  <c r="O2386" i="1"/>
  <c r="R2386" i="1"/>
  <c r="S2386" i="1"/>
  <c r="U2386" i="1"/>
  <c r="Y2386" i="1"/>
  <c r="M2385" i="1"/>
  <c r="M2384" i="1"/>
  <c r="M2383" i="1"/>
  <c r="R2382" i="1"/>
  <c r="W2382" i="1"/>
  <c r="Y2382" i="1"/>
  <c r="M2382" i="1"/>
  <c r="O2381" i="1"/>
  <c r="W2381" i="1"/>
  <c r="M2381" i="1"/>
  <c r="T2380" i="1"/>
  <c r="U2380" i="1"/>
  <c r="W2380" i="1"/>
  <c r="Y2380" i="1"/>
  <c r="M2380" i="1"/>
  <c r="T2379" i="1"/>
  <c r="U2379" i="1"/>
  <c r="W2379" i="1"/>
  <c r="Y2379" i="1"/>
  <c r="M2379" i="1"/>
  <c r="T2378" i="1"/>
  <c r="U2378" i="1"/>
  <c r="W2378" i="1"/>
  <c r="X2378" i="1"/>
  <c r="Y2378" i="1"/>
  <c r="M2378" i="1"/>
  <c r="O2377" i="1"/>
  <c r="S2377" i="1"/>
  <c r="T2377" i="1"/>
  <c r="W2377" i="1"/>
  <c r="Y2377" i="1"/>
  <c r="M2377" i="1"/>
  <c r="O2375" i="1"/>
  <c r="T2375" i="1"/>
  <c r="W2375" i="1"/>
  <c r="Y2375" i="1"/>
  <c r="O2374" i="1"/>
  <c r="R2374" i="1"/>
  <c r="T2374" i="1"/>
  <c r="U2374" i="1"/>
  <c r="W2374" i="1"/>
  <c r="Y2374" i="1"/>
  <c r="M2374" i="1"/>
  <c r="O2373" i="1"/>
  <c r="W2373" i="1"/>
  <c r="Y2373" i="1"/>
  <c r="M2373" i="1"/>
  <c r="O2372" i="1"/>
  <c r="Y2372" i="1"/>
  <c r="O2371" i="1"/>
  <c r="R2371" i="1"/>
  <c r="Y2371" i="1"/>
  <c r="O2370" i="1"/>
  <c r="O2369" i="1"/>
  <c r="Y2369" i="1"/>
  <c r="O2368" i="1"/>
  <c r="O2367" i="1"/>
  <c r="Y2367" i="1"/>
  <c r="S2366" i="1"/>
  <c r="M2366" i="1"/>
  <c r="O2365" i="1"/>
  <c r="S2365" i="1"/>
  <c r="V2365" i="1"/>
  <c r="Y2365" i="1"/>
  <c r="M2365" i="1"/>
  <c r="O2364" i="1"/>
  <c r="S2364" i="1"/>
  <c r="V2364" i="1"/>
  <c r="W2364" i="1"/>
  <c r="Y2364" i="1"/>
  <c r="M2364" i="1"/>
  <c r="Y2363" i="1"/>
  <c r="Y2362" i="1"/>
  <c r="O2361" i="1"/>
  <c r="S2361" i="1"/>
  <c r="T2361" i="1"/>
  <c r="U2361" i="1"/>
  <c r="Y2361" i="1"/>
  <c r="O2360" i="1"/>
  <c r="U2360" i="1"/>
  <c r="U2359" i="1"/>
  <c r="Y2359" i="1"/>
  <c r="O2358" i="1"/>
  <c r="U2358" i="1"/>
  <c r="O2357" i="1"/>
  <c r="U2357" i="1"/>
  <c r="O2356" i="1"/>
  <c r="U2356" i="1"/>
  <c r="O2355" i="1"/>
  <c r="T2355" i="1"/>
  <c r="W2355" i="1"/>
  <c r="Y2355" i="1"/>
  <c r="M2355" i="1"/>
  <c r="O2354" i="1"/>
  <c r="T2354" i="1"/>
  <c r="W2354" i="1"/>
  <c r="Y2354" i="1"/>
  <c r="M2354" i="1"/>
  <c r="O2353" i="1"/>
  <c r="Y2353" i="1"/>
  <c r="M2353" i="1"/>
  <c r="O2352" i="1"/>
  <c r="Y2352" i="1"/>
  <c r="M2352" i="1"/>
  <c r="AE2351" i="1"/>
  <c r="AB2351" i="1"/>
  <c r="O2351" i="1"/>
  <c r="R2351" i="1"/>
  <c r="S2351" i="1"/>
  <c r="T2351" i="1"/>
  <c r="X2351" i="1"/>
  <c r="Y2351" i="1"/>
  <c r="M2351" i="1"/>
  <c r="O2350" i="1"/>
  <c r="R2350" i="1"/>
  <c r="Y2350" i="1"/>
  <c r="M2350" i="1"/>
  <c r="O2349" i="1"/>
  <c r="M2349" i="1"/>
  <c r="M2348" i="1"/>
  <c r="M2347" i="1"/>
  <c r="O2346" i="1"/>
  <c r="M2346" i="1"/>
  <c r="O2345" i="1"/>
  <c r="M2345" i="1"/>
  <c r="O2344" i="1"/>
  <c r="M2344" i="1"/>
  <c r="M2343" i="1"/>
  <c r="O2342" i="1"/>
  <c r="M2342" i="1"/>
  <c r="O2341" i="1"/>
  <c r="S2341" i="1"/>
  <c r="Y2341" i="1"/>
  <c r="M2341" i="1"/>
  <c r="M2340" i="1"/>
  <c r="Y2339" i="1"/>
  <c r="M2339" i="1"/>
  <c r="O2338" i="1"/>
  <c r="M2338" i="1"/>
  <c r="O2337" i="1"/>
  <c r="Y2337" i="1"/>
  <c r="M2337" i="1"/>
  <c r="O2336" i="1"/>
  <c r="M2336" i="1"/>
  <c r="M2335" i="1"/>
  <c r="O2334" i="1"/>
  <c r="S2334" i="1"/>
  <c r="M2334" i="1"/>
  <c r="O2333" i="1"/>
  <c r="M2333" i="1"/>
  <c r="O2332" i="1"/>
  <c r="M2332" i="1"/>
  <c r="O2331" i="1"/>
  <c r="V2331" i="1"/>
  <c r="W2331" i="1"/>
  <c r="X2331" i="1"/>
  <c r="Y2331" i="1"/>
  <c r="M2331" i="1"/>
  <c r="O2330" i="1"/>
  <c r="M2330" i="1"/>
  <c r="O2329" i="1"/>
  <c r="M2329" i="1"/>
  <c r="O2328" i="1"/>
  <c r="V2328" i="1"/>
  <c r="W2328" i="1"/>
  <c r="Y2328" i="1"/>
  <c r="M2328" i="1"/>
  <c r="V2327" i="1"/>
  <c r="M2327" i="1"/>
  <c r="O2326" i="1"/>
  <c r="M2326" i="1"/>
  <c r="S2325" i="1"/>
  <c r="M2325" i="1"/>
  <c r="T2324" i="1"/>
  <c r="Y2324" i="1"/>
  <c r="M2324" i="1"/>
  <c r="O2323" i="1"/>
  <c r="V2323" i="1"/>
  <c r="W2323" i="1"/>
  <c r="Y2323" i="1"/>
  <c r="O2322" i="1"/>
  <c r="U2322" i="1"/>
  <c r="V2322" i="1"/>
  <c r="W2322" i="1"/>
  <c r="Y2322" i="1"/>
  <c r="O2321" i="1"/>
  <c r="R2321" i="1"/>
  <c r="W2321" i="1"/>
  <c r="X2321" i="1"/>
  <c r="Y2321" i="1"/>
  <c r="O2320" i="1"/>
  <c r="R2320" i="1"/>
  <c r="Y2320" i="1"/>
  <c r="M2320" i="1"/>
  <c r="O2319" i="1"/>
  <c r="R2319" i="1"/>
  <c r="T2319" i="1"/>
  <c r="W2319" i="1"/>
  <c r="Y2319" i="1"/>
  <c r="M2319" i="1"/>
  <c r="O2318" i="1"/>
  <c r="Y2318" i="1"/>
  <c r="M2318" i="1"/>
  <c r="O2317" i="1"/>
  <c r="W2317" i="1"/>
  <c r="X2317" i="1"/>
  <c r="Y2317" i="1"/>
  <c r="M2317" i="1"/>
  <c r="O2316" i="1"/>
  <c r="R2316" i="1"/>
  <c r="T2316" i="1"/>
  <c r="V2316" i="1"/>
  <c r="Y2316" i="1"/>
  <c r="M2316" i="1"/>
  <c r="O2315" i="1"/>
  <c r="W2315" i="1"/>
  <c r="Y2315" i="1"/>
  <c r="M2315" i="1"/>
  <c r="M2314" i="1"/>
  <c r="M2313" i="1"/>
  <c r="O2312" i="1"/>
  <c r="W2312" i="1"/>
  <c r="Y2312" i="1"/>
  <c r="M2312" i="1"/>
  <c r="O2311" i="1"/>
  <c r="R2311" i="1"/>
  <c r="T2311" i="1"/>
  <c r="W2311" i="1"/>
  <c r="Y2311" i="1"/>
  <c r="M2311" i="1"/>
  <c r="O2310" i="1"/>
  <c r="W2310" i="1"/>
  <c r="X2310" i="1"/>
  <c r="Y2310" i="1"/>
  <c r="M2310" i="1"/>
  <c r="Y2309" i="1"/>
  <c r="M2309" i="1"/>
  <c r="O2308" i="1"/>
  <c r="T2307" i="1"/>
  <c r="Y2307" i="1"/>
  <c r="M2307" i="1"/>
  <c r="V2306" i="1"/>
  <c r="Y2306" i="1"/>
  <c r="M2306" i="1"/>
  <c r="O2305" i="1"/>
  <c r="M2305" i="1"/>
  <c r="T2304" i="1"/>
  <c r="M2304" i="1"/>
  <c r="O2303" i="1"/>
  <c r="V2303" i="1"/>
  <c r="M2303" i="1"/>
  <c r="AE2302" i="1"/>
  <c r="O2302" i="1"/>
  <c r="T2302" i="1"/>
  <c r="V2302" i="1"/>
  <c r="W2302" i="1"/>
  <c r="Y2302" i="1"/>
  <c r="M2302" i="1"/>
  <c r="V2301" i="1"/>
  <c r="Y2301" i="1"/>
  <c r="M2301" i="1"/>
  <c r="V2300" i="1"/>
  <c r="M2300" i="1"/>
  <c r="O2299" i="1"/>
  <c r="W2299" i="1"/>
  <c r="Y2299" i="1"/>
  <c r="M2299" i="1"/>
  <c r="O2298" i="1"/>
  <c r="T2298" i="1"/>
  <c r="W2298" i="1"/>
  <c r="Y2298" i="1"/>
  <c r="M2298" i="1"/>
  <c r="M2297" i="1"/>
  <c r="M2296" i="1"/>
  <c r="T2295" i="1"/>
  <c r="V2295" i="1"/>
  <c r="Y2295" i="1"/>
  <c r="M2295" i="1"/>
  <c r="O2294" i="1"/>
  <c r="V2294" i="1"/>
  <c r="Y2294" i="1"/>
  <c r="M2294" i="1"/>
  <c r="O2293" i="1"/>
  <c r="M2293" i="1"/>
  <c r="O2292" i="1"/>
  <c r="M2292" i="1"/>
  <c r="O2291" i="1"/>
  <c r="M2291" i="1"/>
  <c r="O2290" i="1"/>
  <c r="M2290" i="1"/>
  <c r="O2289" i="1"/>
  <c r="S2289" i="1"/>
  <c r="T2289" i="1"/>
  <c r="Y2289" i="1"/>
  <c r="M2289" i="1"/>
  <c r="T2288" i="1"/>
  <c r="Y2288" i="1"/>
  <c r="M2288" i="1"/>
  <c r="S2287" i="1"/>
  <c r="T2287" i="1"/>
  <c r="M2287" i="1"/>
  <c r="T2286" i="1"/>
  <c r="M2286" i="1"/>
  <c r="O2285" i="1"/>
  <c r="M2285" i="1"/>
  <c r="O2284" i="1"/>
  <c r="M2284" i="1"/>
  <c r="O2283" i="1"/>
  <c r="M2283" i="1"/>
  <c r="O2282" i="1"/>
  <c r="M2282" i="1"/>
  <c r="M2281" i="1"/>
  <c r="M2280" i="1"/>
  <c r="O2279" i="1"/>
  <c r="Y2279" i="1"/>
  <c r="M2279" i="1"/>
  <c r="O2278" i="1"/>
  <c r="Y2278" i="1"/>
  <c r="M2278" i="1"/>
  <c r="O2277" i="1"/>
  <c r="M2277" i="1"/>
  <c r="O2276" i="1"/>
  <c r="M2276" i="1"/>
  <c r="O2275" i="1"/>
  <c r="M2275" i="1"/>
  <c r="O2274" i="1"/>
  <c r="M2274" i="1"/>
  <c r="O2273" i="1"/>
  <c r="Y2273" i="1"/>
  <c r="M2273" i="1"/>
  <c r="Y2272" i="1"/>
  <c r="M2272" i="1"/>
  <c r="O2271" i="1"/>
  <c r="T2271" i="1"/>
  <c r="Y2271" i="1"/>
  <c r="M2271" i="1"/>
  <c r="T2270" i="1"/>
  <c r="V2270" i="1"/>
  <c r="W2270" i="1"/>
  <c r="Y2270" i="1"/>
  <c r="M2270" i="1"/>
  <c r="M2269" i="1"/>
  <c r="O2268" i="1"/>
  <c r="R2268" i="1"/>
  <c r="T2268" i="1"/>
  <c r="V2268" i="1"/>
  <c r="W2268" i="1"/>
  <c r="Y2268" i="1"/>
  <c r="M2268" i="1"/>
  <c r="AB2267" i="1"/>
  <c r="T2267" i="1"/>
  <c r="W2267" i="1"/>
  <c r="Y2267" i="1"/>
  <c r="M2267" i="1"/>
  <c r="O2266" i="1"/>
  <c r="M2266" i="1"/>
  <c r="O2265" i="1"/>
  <c r="M2265" i="1"/>
  <c r="O2264" i="1"/>
  <c r="M2264" i="1"/>
  <c r="O2263" i="1"/>
  <c r="Y2263" i="1"/>
  <c r="M2263" i="1"/>
  <c r="O2262" i="1"/>
  <c r="Y2262" i="1"/>
  <c r="M2262" i="1"/>
  <c r="Y2261" i="1"/>
  <c r="M2261" i="1"/>
  <c r="M2260" i="1"/>
  <c r="AE2255" i="1"/>
  <c r="O2255" i="1"/>
  <c r="R2255" i="1"/>
  <c r="U2255" i="1"/>
  <c r="W2255" i="1"/>
  <c r="Y2255" i="1"/>
  <c r="M2255" i="1"/>
  <c r="AE2254" i="1"/>
  <c r="O2254" i="1"/>
  <c r="R2254" i="1"/>
  <c r="U2254" i="1"/>
  <c r="W2254" i="1"/>
  <c r="Y2254" i="1"/>
  <c r="M2254" i="1"/>
  <c r="M2253" i="1"/>
  <c r="AQ2252" i="1"/>
  <c r="AG2252" i="1"/>
  <c r="S2252" i="1"/>
  <c r="V2252" i="1"/>
  <c r="O2251" i="1"/>
  <c r="M2251" i="1"/>
  <c r="O2250" i="1"/>
  <c r="S2250" i="1"/>
  <c r="T2250" i="1"/>
  <c r="Y2250" i="1"/>
  <c r="M2250" i="1"/>
  <c r="O2249" i="1"/>
  <c r="W2249" i="1"/>
  <c r="M2249" i="1"/>
  <c r="O2248" i="1"/>
  <c r="V2248" i="1"/>
  <c r="M2248" i="1"/>
  <c r="O2247" i="1"/>
  <c r="R2247" i="1"/>
  <c r="V2247" i="1"/>
  <c r="W2247" i="1"/>
  <c r="M2247" i="1"/>
  <c r="O2246" i="1"/>
  <c r="W2246" i="1"/>
  <c r="Y2246" i="1"/>
  <c r="M2246" i="1"/>
  <c r="O2245" i="1"/>
  <c r="Y2245" i="1"/>
  <c r="M2245" i="1"/>
  <c r="O2244" i="1"/>
  <c r="R2244" i="1"/>
  <c r="T2244" i="1"/>
  <c r="V2244" i="1"/>
  <c r="W2244" i="1"/>
  <c r="Y2244" i="1"/>
  <c r="M2244" i="1"/>
  <c r="O2243" i="1"/>
  <c r="Y2243" i="1"/>
  <c r="M2243" i="1"/>
  <c r="O2242" i="1"/>
  <c r="Y2242" i="1"/>
  <c r="M2242" i="1"/>
  <c r="Y2241" i="1"/>
  <c r="W2241" i="1"/>
  <c r="V2241" i="1"/>
  <c r="S2241" i="1"/>
  <c r="M2241" i="1"/>
  <c r="M2240" i="1"/>
  <c r="M2239" i="1"/>
  <c r="M2238" i="1"/>
  <c r="M2237" i="1"/>
  <c r="O2236" i="1"/>
  <c r="W2236" i="1"/>
  <c r="Y2236" i="1"/>
  <c r="M2236" i="1"/>
  <c r="Y2235" i="1"/>
  <c r="M2235" i="1"/>
  <c r="AQ2234" i="1"/>
  <c r="AI2234" i="1"/>
  <c r="O2234" i="1"/>
  <c r="X2234" i="1"/>
  <c r="Y2234" i="1"/>
  <c r="M2234" i="1"/>
  <c r="BO2233" i="1"/>
  <c r="BN2233" i="1"/>
  <c r="BM2233" i="1"/>
  <c r="BL2233" i="1"/>
  <c r="BK2233" i="1"/>
  <c r="BI2233" i="1"/>
  <c r="BG2233" i="1"/>
  <c r="BF2233" i="1"/>
  <c r="BE2233" i="1"/>
  <c r="BD2233" i="1"/>
  <c r="BC2233" i="1"/>
  <c r="BB2233" i="1"/>
  <c r="BA2233" i="1"/>
  <c r="AZ2233" i="1"/>
  <c r="AY2233" i="1"/>
  <c r="Y2233" i="1"/>
  <c r="M2233" i="1"/>
  <c r="O2232" i="1"/>
  <c r="W2232" i="1"/>
  <c r="M2232" i="1"/>
  <c r="Y2231" i="1"/>
  <c r="M2231" i="1"/>
  <c r="T2230" i="1"/>
  <c r="V2230" i="1"/>
  <c r="W2230" i="1"/>
  <c r="Y2230" i="1"/>
  <c r="M2230" i="1"/>
  <c r="M2229" i="1"/>
  <c r="O2228" i="1"/>
  <c r="V2228" i="1"/>
  <c r="W2228" i="1"/>
  <c r="Y2228" i="1"/>
  <c r="M2228" i="1"/>
  <c r="S2227" i="1"/>
  <c r="W2227" i="1"/>
  <c r="Y2227" i="1"/>
  <c r="M2227" i="1"/>
  <c r="T2226" i="1"/>
  <c r="Y2226" i="1"/>
  <c r="M2226" i="1"/>
  <c r="O2225" i="1"/>
  <c r="R2225" i="1"/>
  <c r="Y2225" i="1"/>
  <c r="M2225" i="1"/>
  <c r="V2224" i="1"/>
  <c r="M2224" i="1"/>
  <c r="O2223" i="1"/>
  <c r="Y2223" i="1"/>
  <c r="M2223" i="1"/>
  <c r="Y2222" i="1"/>
  <c r="M2222" i="1"/>
  <c r="V2221" i="1"/>
  <c r="W2221" i="1"/>
  <c r="Y2221" i="1"/>
  <c r="M2221" i="1"/>
  <c r="AB2220" i="1"/>
  <c r="R2220" i="1"/>
  <c r="T2220" i="1"/>
  <c r="W2220" i="1"/>
  <c r="Y2220" i="1"/>
  <c r="M2220" i="1"/>
  <c r="O2219" i="1"/>
  <c r="S2219" i="1"/>
  <c r="M2219" i="1"/>
  <c r="O2218" i="1"/>
  <c r="T2218" i="1"/>
  <c r="V2218" i="1"/>
  <c r="Y2218" i="1"/>
  <c r="M2218" i="1"/>
  <c r="T2217" i="1"/>
  <c r="Y2217" i="1"/>
  <c r="M2217" i="1"/>
  <c r="O2216" i="1"/>
  <c r="T2216" i="1"/>
  <c r="W2216" i="1"/>
  <c r="Y2216" i="1"/>
  <c r="M2216" i="1"/>
  <c r="O2215" i="1"/>
  <c r="T2215" i="1"/>
  <c r="W2215" i="1"/>
  <c r="Y2215" i="1"/>
  <c r="M2215" i="1"/>
  <c r="O2214" i="1"/>
  <c r="U2214" i="1"/>
  <c r="W2214" i="1"/>
  <c r="Y2214" i="1"/>
  <c r="M2214" i="1"/>
  <c r="O2213" i="1"/>
  <c r="M2213" i="1"/>
  <c r="O2212" i="1"/>
  <c r="M2212" i="1"/>
  <c r="S2211" i="1"/>
  <c r="T2211" i="1"/>
  <c r="Y2211" i="1"/>
  <c r="M2211" i="1"/>
  <c r="O2210" i="1"/>
  <c r="Y2210" i="1"/>
  <c r="M2210" i="1"/>
  <c r="O2209" i="1"/>
  <c r="R2209" i="1"/>
  <c r="S2209" i="1"/>
  <c r="T2209" i="1"/>
  <c r="W2209" i="1"/>
  <c r="Y2209" i="1"/>
  <c r="M2209" i="1"/>
  <c r="O2208" i="1"/>
  <c r="T2208" i="1"/>
  <c r="M2208" i="1"/>
  <c r="O2207" i="1"/>
  <c r="V2207" i="1"/>
  <c r="W2207" i="1"/>
  <c r="Y2207" i="1"/>
  <c r="O2206" i="1"/>
  <c r="Y2206" i="1"/>
  <c r="M2206" i="1"/>
  <c r="O2205" i="1"/>
  <c r="M2205" i="1"/>
  <c r="AG2204" i="1"/>
  <c r="O2204" i="1"/>
  <c r="R2204" i="1"/>
  <c r="U2204" i="1"/>
  <c r="V2204" i="1"/>
  <c r="M2204" i="1"/>
  <c r="O2203" i="1"/>
  <c r="Y2203" i="1"/>
  <c r="M2203" i="1"/>
  <c r="O2202" i="1"/>
  <c r="R2202" i="1"/>
  <c r="U2202" i="1"/>
  <c r="V2202" i="1"/>
  <c r="W2202" i="1"/>
  <c r="Y2202" i="1"/>
  <c r="M2202" i="1"/>
  <c r="O2201" i="1"/>
  <c r="V2201" i="1"/>
  <c r="Y2201" i="1"/>
  <c r="M2201" i="1"/>
  <c r="O2200" i="1"/>
  <c r="R2200" i="1"/>
  <c r="U2200" i="1"/>
  <c r="V2200" i="1"/>
  <c r="Y2200" i="1"/>
  <c r="M2200" i="1"/>
  <c r="O2199" i="1"/>
  <c r="U2199" i="1"/>
  <c r="V2199" i="1"/>
  <c r="M2199" i="1"/>
  <c r="O2198" i="1"/>
  <c r="R2198" i="1"/>
  <c r="U2198" i="1"/>
  <c r="V2198" i="1"/>
  <c r="Y2198" i="1"/>
  <c r="M2198" i="1"/>
  <c r="O2197" i="1"/>
  <c r="M2197" i="1"/>
  <c r="O2196" i="1"/>
  <c r="Y2196" i="1"/>
  <c r="M2196" i="1"/>
  <c r="O2195" i="1"/>
  <c r="R2195" i="1"/>
  <c r="M2195" i="1"/>
  <c r="O2194" i="1"/>
  <c r="M2194" i="1"/>
  <c r="O2193" i="1"/>
  <c r="T2193" i="1"/>
  <c r="V2193" i="1"/>
  <c r="W2193" i="1"/>
  <c r="X2193" i="1"/>
  <c r="Y2193" i="1"/>
  <c r="M2193" i="1"/>
  <c r="O2192" i="1"/>
  <c r="Y2192" i="1"/>
  <c r="M2192" i="1"/>
  <c r="O2191" i="1"/>
  <c r="V2191" i="1"/>
  <c r="W2191" i="1"/>
  <c r="Y2191" i="1"/>
  <c r="M2191" i="1"/>
  <c r="M2190" i="1"/>
  <c r="M2188" i="1"/>
  <c r="O2187" i="1"/>
  <c r="Y2187" i="1"/>
  <c r="M2187" i="1"/>
  <c r="O2186" i="1"/>
  <c r="Y2186" i="1"/>
  <c r="M2186" i="1"/>
  <c r="O2185" i="1"/>
  <c r="R2185" i="1"/>
  <c r="T2185" i="1"/>
  <c r="W2185" i="1"/>
  <c r="Y2185" i="1"/>
  <c r="M2185" i="1"/>
  <c r="O2184" i="1"/>
  <c r="T2184" i="1"/>
  <c r="W2184" i="1"/>
  <c r="X2184" i="1"/>
  <c r="Y2184" i="1"/>
  <c r="M2184" i="1"/>
  <c r="M2183" i="1"/>
  <c r="O2182" i="1"/>
  <c r="Y2182" i="1"/>
  <c r="M2182" i="1"/>
  <c r="T2181" i="1"/>
  <c r="W2181" i="1"/>
  <c r="Y2181" i="1"/>
  <c r="M2181" i="1"/>
  <c r="O2180" i="1"/>
  <c r="Y2180" i="1"/>
  <c r="M2180" i="1"/>
  <c r="O2179" i="1"/>
  <c r="Y2179" i="1"/>
  <c r="M2179" i="1"/>
  <c r="M2178" i="1"/>
  <c r="O2177" i="1"/>
  <c r="U2177" i="1"/>
  <c r="M2177" i="1"/>
  <c r="M2176" i="1"/>
  <c r="M2175" i="1"/>
  <c r="M2174" i="1"/>
  <c r="M2173" i="1"/>
  <c r="S2172" i="1"/>
  <c r="T2172" i="1"/>
  <c r="W2172" i="1"/>
  <c r="M2172" i="1"/>
  <c r="T2171" i="1"/>
  <c r="U2171" i="1"/>
  <c r="W2171" i="1"/>
  <c r="X2171" i="1"/>
  <c r="M2171" i="1"/>
  <c r="R2170" i="1"/>
  <c r="S2170" i="1"/>
  <c r="T2170" i="1"/>
  <c r="U2170" i="1"/>
  <c r="W2170" i="1"/>
  <c r="X2170" i="1"/>
  <c r="M2170" i="1"/>
  <c r="O2169" i="1"/>
  <c r="V2169" i="1"/>
  <c r="W2169" i="1"/>
  <c r="Y2169" i="1"/>
  <c r="M2169" i="1"/>
  <c r="T2168" i="1"/>
  <c r="V2168" i="1"/>
  <c r="W2168" i="1"/>
  <c r="Y2168" i="1"/>
  <c r="M2168" i="1"/>
  <c r="Y2167" i="1"/>
  <c r="M2167" i="1"/>
  <c r="O2166" i="1"/>
  <c r="V2166" i="1"/>
  <c r="W2166" i="1"/>
  <c r="Y2166" i="1"/>
  <c r="M2166" i="1"/>
  <c r="S2165" i="1"/>
  <c r="T2165" i="1"/>
  <c r="W2165" i="1"/>
  <c r="Y2165" i="1"/>
  <c r="M2165" i="1"/>
  <c r="Y2164" i="1"/>
  <c r="M2164" i="1"/>
  <c r="M2163" i="1"/>
  <c r="O2162" i="1"/>
  <c r="Y2162" i="1"/>
  <c r="M2162" i="1"/>
  <c r="M2161" i="1"/>
  <c r="M2160" i="1"/>
  <c r="O2159" i="1"/>
  <c r="Y2159" i="1"/>
  <c r="M2159" i="1"/>
  <c r="Y2158" i="1"/>
  <c r="M2158" i="1"/>
  <c r="V2157" i="1"/>
  <c r="R2157" i="1"/>
  <c r="O2157" i="1"/>
  <c r="M2157" i="1"/>
  <c r="O2156" i="1"/>
  <c r="R2156" i="1"/>
  <c r="T2156" i="1"/>
  <c r="Y2156" i="1"/>
  <c r="M2156" i="1"/>
  <c r="W2155" i="1"/>
  <c r="Y2155" i="1"/>
  <c r="M2155" i="1"/>
  <c r="O2154" i="1"/>
  <c r="W2154" i="1"/>
  <c r="Y2154" i="1"/>
  <c r="M2154" i="1"/>
  <c r="O2153" i="1"/>
  <c r="O2152" i="1"/>
  <c r="T2152" i="1"/>
  <c r="U2152" i="1"/>
  <c r="W2152" i="1"/>
  <c r="Y2152" i="1"/>
  <c r="O2151" i="1"/>
  <c r="S2151" i="1"/>
  <c r="T2151" i="1"/>
  <c r="U2151" i="1"/>
  <c r="W2151" i="1"/>
  <c r="Y2151" i="1"/>
  <c r="Y2150" i="1"/>
  <c r="M2150" i="1"/>
  <c r="O2149" i="1"/>
  <c r="Y2149" i="1"/>
  <c r="M2149" i="1"/>
  <c r="O2148" i="1"/>
  <c r="M2148" i="1"/>
  <c r="M2147" i="1"/>
  <c r="M2146" i="1"/>
  <c r="Y2145" i="1"/>
  <c r="M2145" i="1"/>
  <c r="W2144" i="1"/>
  <c r="Y2144" i="1"/>
  <c r="M2144" i="1"/>
  <c r="O2143" i="1"/>
  <c r="M2143" i="1"/>
  <c r="O2142" i="1"/>
  <c r="M2142" i="1"/>
  <c r="O2141" i="1"/>
  <c r="X2141" i="1"/>
  <c r="Y2141" i="1"/>
  <c r="M2141" i="1"/>
  <c r="O2140" i="1"/>
  <c r="T2140" i="1"/>
  <c r="M2140" i="1"/>
  <c r="O2139" i="1"/>
  <c r="U2139" i="1"/>
  <c r="W2139" i="1"/>
  <c r="X2139" i="1"/>
  <c r="Y2139" i="1"/>
  <c r="M2139" i="1"/>
  <c r="O2138" i="1"/>
  <c r="M2138" i="1"/>
  <c r="M2137" i="1"/>
  <c r="O2136" i="1"/>
  <c r="R2136" i="1"/>
  <c r="M2136" i="1"/>
  <c r="O2135" i="1"/>
  <c r="R2135" i="1"/>
  <c r="Y2135" i="1"/>
  <c r="M2135" i="1"/>
  <c r="M2134" i="1"/>
  <c r="O2133" i="1"/>
  <c r="M2133" i="1"/>
  <c r="O2132" i="1"/>
  <c r="V2132" i="1"/>
  <c r="O2131" i="1"/>
  <c r="V2131" i="1"/>
  <c r="Y2131" i="1"/>
  <c r="O2130" i="1"/>
  <c r="Y2130" i="1"/>
  <c r="O2129" i="1"/>
  <c r="V2129" i="1"/>
  <c r="O2128" i="1"/>
  <c r="V2128" i="1"/>
  <c r="Y2128" i="1"/>
  <c r="M2128" i="1"/>
  <c r="V2127" i="1"/>
  <c r="M2127" i="1"/>
  <c r="S2126" i="1"/>
  <c r="Y2126" i="1"/>
  <c r="S2125" i="1"/>
  <c r="Y2125" i="1"/>
  <c r="U2124" i="1"/>
  <c r="Y2124" i="1"/>
  <c r="O2123" i="1"/>
  <c r="Y2123" i="1"/>
  <c r="O2122" i="1"/>
  <c r="Y2122" i="1"/>
  <c r="O2121" i="1"/>
  <c r="S2121" i="1"/>
  <c r="T2121" i="1"/>
  <c r="V2121" i="1"/>
  <c r="Y2121" i="1"/>
  <c r="O2120" i="1"/>
  <c r="S2120" i="1"/>
  <c r="T2120" i="1"/>
  <c r="V2120" i="1"/>
  <c r="Y2120" i="1"/>
  <c r="S2119" i="1"/>
  <c r="U2119" i="1"/>
  <c r="W2119" i="1"/>
  <c r="Y2119" i="1"/>
  <c r="M2119" i="1"/>
  <c r="O2118" i="1"/>
  <c r="U2118" i="1"/>
  <c r="Y2118" i="1"/>
  <c r="M2118" i="1"/>
  <c r="S2115" i="1"/>
  <c r="M2115" i="1"/>
  <c r="O2114" i="1"/>
  <c r="M2114" i="1"/>
  <c r="Y2113" i="1"/>
  <c r="M2113" i="1"/>
  <c r="S2112" i="1"/>
  <c r="T2112" i="1"/>
  <c r="V2112" i="1"/>
  <c r="W2112" i="1"/>
  <c r="Y2112" i="1"/>
  <c r="M2112" i="1"/>
  <c r="AB2111" i="1"/>
  <c r="R2111" i="1"/>
  <c r="S2111" i="1"/>
  <c r="T2111" i="1"/>
  <c r="U2111" i="1"/>
  <c r="V2111" i="1"/>
  <c r="W2111" i="1"/>
  <c r="Y2111" i="1"/>
  <c r="M2111" i="1"/>
  <c r="U2110" i="1"/>
  <c r="V2110" i="1"/>
  <c r="Y2110" i="1"/>
  <c r="M2110" i="1"/>
  <c r="V2109" i="1"/>
  <c r="M2109" i="1"/>
  <c r="S2108" i="1"/>
  <c r="T2108" i="1"/>
  <c r="V2108" i="1"/>
  <c r="W2108" i="1"/>
  <c r="Y2108" i="1"/>
  <c r="M2108" i="1"/>
  <c r="V2107" i="1"/>
  <c r="Y2107" i="1"/>
  <c r="M2107" i="1"/>
  <c r="M2106" i="1"/>
  <c r="Y2105" i="1"/>
  <c r="O2104" i="1"/>
  <c r="O2102" i="1"/>
  <c r="W2102" i="1"/>
  <c r="M2102" i="1"/>
  <c r="O2101" i="1"/>
  <c r="M2101" i="1"/>
  <c r="M2100" i="1"/>
  <c r="O2099" i="1"/>
  <c r="W2099" i="1"/>
  <c r="Y2099" i="1"/>
  <c r="M2099" i="1"/>
  <c r="M2098" i="1"/>
  <c r="O2097" i="1"/>
  <c r="Y2097" i="1"/>
  <c r="Y2096" i="1"/>
  <c r="M2096" i="1"/>
  <c r="O2095" i="1"/>
  <c r="R2095" i="1"/>
  <c r="S2095" i="1"/>
  <c r="W2095" i="1"/>
  <c r="O2094" i="1"/>
  <c r="T2094" i="1"/>
  <c r="U2094" i="1"/>
  <c r="W2094" i="1"/>
  <c r="Y2094" i="1"/>
  <c r="O2093" i="1"/>
  <c r="W2093" i="1"/>
  <c r="M2093" i="1"/>
  <c r="V2092" i="1"/>
  <c r="M2092" i="1"/>
  <c r="O2091" i="1"/>
  <c r="V2091" i="1"/>
  <c r="W2091" i="1"/>
  <c r="Y2091" i="1"/>
  <c r="M2091" i="1"/>
  <c r="O2090" i="1"/>
  <c r="S2090" i="1"/>
  <c r="W2090" i="1"/>
  <c r="Y2090" i="1"/>
  <c r="M2090" i="1"/>
  <c r="O2089" i="1"/>
  <c r="S2089" i="1"/>
  <c r="U2089" i="1"/>
  <c r="W2089" i="1"/>
  <c r="Y2089" i="1"/>
  <c r="O2088" i="1"/>
  <c r="T2088" i="1"/>
  <c r="Y2088" i="1"/>
  <c r="M2088" i="1"/>
  <c r="O2087" i="1"/>
  <c r="Y2087" i="1"/>
  <c r="M2087" i="1"/>
  <c r="O2085" i="1"/>
  <c r="S2085" i="1"/>
  <c r="M2085" i="1"/>
  <c r="O2084" i="1"/>
  <c r="Y2084" i="1"/>
  <c r="M2084" i="1"/>
  <c r="O2083" i="1"/>
  <c r="W2083" i="1"/>
  <c r="Y2083" i="1"/>
  <c r="M2083" i="1"/>
  <c r="BW2082" i="1"/>
  <c r="BV2082" i="1"/>
  <c r="BU2082" i="1"/>
  <c r="BT2082" i="1"/>
  <c r="BS2082" i="1"/>
  <c r="BR2082" i="1"/>
  <c r="BP2082" i="1"/>
  <c r="AP2082" i="1"/>
  <c r="AO2082" i="1"/>
  <c r="O2082" i="1"/>
  <c r="S2082" i="1"/>
  <c r="W2082" i="1"/>
  <c r="Y2082" i="1"/>
  <c r="M2082" i="1"/>
  <c r="BW2081" i="1"/>
  <c r="BV2081" i="1"/>
  <c r="BU2081" i="1"/>
  <c r="BT2081" i="1"/>
  <c r="BS2081" i="1"/>
  <c r="BR2081" i="1"/>
  <c r="BP2081" i="1"/>
  <c r="AP2081" i="1"/>
  <c r="AO2081" i="1"/>
  <c r="AM2081" i="1"/>
  <c r="AE2081" i="1"/>
  <c r="O2081" i="1"/>
  <c r="S2081" i="1"/>
  <c r="W2081" i="1"/>
  <c r="Y2081" i="1"/>
  <c r="M2081" i="1"/>
  <c r="Y2080" i="1"/>
  <c r="M2080" i="1"/>
  <c r="T2079" i="1"/>
  <c r="Y2079" i="1"/>
  <c r="M2079" i="1"/>
  <c r="O2078" i="1"/>
  <c r="R2078" i="1"/>
  <c r="T2078" i="1"/>
  <c r="Y2078" i="1"/>
  <c r="Y2077" i="1"/>
  <c r="M2077" i="1"/>
  <c r="O2076" i="1"/>
  <c r="S2076" i="1"/>
  <c r="Y2076" i="1"/>
  <c r="O2075" i="1"/>
  <c r="Y2075" i="1"/>
  <c r="M2075" i="1"/>
  <c r="O2074" i="1"/>
  <c r="T2074" i="1"/>
  <c r="W2074" i="1"/>
  <c r="Y2074" i="1"/>
  <c r="M2074" i="1"/>
  <c r="M2073" i="1"/>
  <c r="M2072" i="1"/>
  <c r="M2071" i="1"/>
  <c r="M2070" i="1"/>
  <c r="M2069" i="1"/>
  <c r="O2068" i="1"/>
  <c r="Y2068" i="1"/>
  <c r="M2068" i="1"/>
  <c r="O2067" i="1"/>
  <c r="S2067" i="1"/>
  <c r="V2067" i="1"/>
  <c r="W2067" i="1"/>
  <c r="X2067" i="1"/>
  <c r="Y2067" i="1"/>
  <c r="M2067" i="1"/>
  <c r="V2066" i="1"/>
  <c r="Y2066" i="1"/>
  <c r="M2066" i="1"/>
  <c r="Y2065" i="1"/>
  <c r="O2065" i="1"/>
  <c r="M2065" i="1"/>
  <c r="S2064" i="1"/>
  <c r="W2064" i="1"/>
  <c r="X2064" i="1"/>
  <c r="Y2064" i="1"/>
  <c r="Y2063" i="1"/>
  <c r="M2063" i="1"/>
  <c r="O2062" i="1"/>
  <c r="Y2062" i="1"/>
  <c r="M2062" i="1"/>
  <c r="M2061" i="1"/>
  <c r="O2060" i="1"/>
  <c r="Y2060" i="1"/>
  <c r="M2060" i="1"/>
  <c r="O2059" i="1"/>
  <c r="Y2059" i="1"/>
  <c r="M2059" i="1"/>
  <c r="O2058" i="1"/>
  <c r="W2058" i="1"/>
  <c r="Y2058" i="1"/>
  <c r="M2058" i="1"/>
  <c r="O2057" i="1"/>
  <c r="T2057" i="1"/>
  <c r="W2057" i="1"/>
  <c r="Y2057" i="1"/>
  <c r="M2057" i="1"/>
  <c r="O2056" i="1"/>
  <c r="Y2056" i="1"/>
  <c r="M2056" i="1"/>
  <c r="O2055" i="1"/>
  <c r="Y2055" i="1"/>
  <c r="M2055" i="1"/>
  <c r="O2054" i="1"/>
  <c r="S2054" i="1"/>
  <c r="M2054" i="1"/>
  <c r="O2053" i="1"/>
  <c r="Y2053" i="1"/>
  <c r="M2053" i="1"/>
  <c r="V2052" i="1"/>
  <c r="Y2052" i="1"/>
  <c r="M2052" i="1"/>
  <c r="O2051" i="1"/>
  <c r="Y2051" i="1"/>
  <c r="M2051" i="1"/>
  <c r="O2050" i="1"/>
  <c r="Y2050" i="1"/>
  <c r="M2050" i="1"/>
  <c r="O2049" i="1"/>
  <c r="R2049" i="1"/>
  <c r="S2049" i="1"/>
  <c r="W2049" i="1"/>
  <c r="Y2049" i="1"/>
  <c r="M2049" i="1"/>
  <c r="O2048" i="1"/>
  <c r="M2048" i="1"/>
  <c r="O2047" i="1"/>
  <c r="S2047" i="1"/>
  <c r="M2047" i="1"/>
  <c r="O2046" i="1"/>
  <c r="V2046" i="1"/>
  <c r="Y2046" i="1"/>
  <c r="O2045" i="1"/>
  <c r="O2044" i="1"/>
  <c r="Y2044" i="1"/>
  <c r="M2044" i="1"/>
  <c r="O2043" i="1"/>
  <c r="M2043" i="1"/>
  <c r="O2042" i="1"/>
  <c r="S2042" i="1"/>
  <c r="T2042" i="1"/>
  <c r="U2042" i="1"/>
  <c r="W2042" i="1"/>
  <c r="Y2042" i="1"/>
  <c r="M2042" i="1"/>
  <c r="O2041" i="1"/>
  <c r="M2041" i="1"/>
  <c r="O2040" i="1"/>
  <c r="T2040" i="1"/>
  <c r="U2040" i="1"/>
  <c r="W2040" i="1"/>
  <c r="Y2040" i="1"/>
  <c r="M2040" i="1"/>
  <c r="O2039" i="1"/>
  <c r="M2039" i="1"/>
  <c r="O2038" i="1"/>
  <c r="M2038" i="1"/>
  <c r="O2037" i="1"/>
  <c r="Y2037" i="1"/>
  <c r="M2037" i="1"/>
  <c r="O2036" i="1"/>
  <c r="W2036" i="1"/>
  <c r="Y2036" i="1"/>
  <c r="O2035" i="1"/>
  <c r="R2035" i="1"/>
  <c r="T2035" i="1"/>
  <c r="U2035" i="1"/>
  <c r="Y2035" i="1"/>
  <c r="M2035" i="1"/>
  <c r="T2034" i="1"/>
  <c r="U2034" i="1"/>
  <c r="V2034" i="1"/>
  <c r="W2034" i="1"/>
  <c r="X2034" i="1"/>
  <c r="Y2034" i="1"/>
  <c r="M2034" i="1"/>
  <c r="T2033" i="1"/>
  <c r="U2033" i="1"/>
  <c r="V2033" i="1"/>
  <c r="W2033" i="1"/>
  <c r="X2033" i="1"/>
  <c r="Y2033" i="1"/>
  <c r="M2033" i="1"/>
  <c r="O2032" i="1"/>
  <c r="S2032" i="1"/>
  <c r="T2032" i="1"/>
  <c r="W2032" i="1"/>
  <c r="Y2032" i="1"/>
  <c r="S2031" i="1"/>
  <c r="W2031" i="1"/>
  <c r="X2031" i="1"/>
  <c r="Y2031" i="1"/>
  <c r="M2031" i="1"/>
  <c r="W2030" i="1"/>
  <c r="Y2030" i="1"/>
  <c r="M2030" i="1"/>
  <c r="Y2029" i="1"/>
  <c r="M2029" i="1"/>
  <c r="Y2028" i="1"/>
  <c r="M2028" i="1"/>
  <c r="O2027" i="1"/>
  <c r="T2027" i="1"/>
  <c r="W2027" i="1"/>
  <c r="Y2027" i="1"/>
  <c r="O2026" i="1"/>
  <c r="S2026" i="1"/>
  <c r="T2026" i="1"/>
  <c r="U2026" i="1"/>
  <c r="W2026" i="1"/>
  <c r="Y2026" i="1"/>
  <c r="O2025" i="1"/>
  <c r="R2025" i="1"/>
  <c r="U2025" i="1"/>
  <c r="W2025" i="1"/>
  <c r="X2025" i="1"/>
  <c r="Y2025" i="1"/>
  <c r="M2025" i="1"/>
  <c r="M2024" i="1"/>
  <c r="T2023" i="1"/>
  <c r="M2023" i="1"/>
  <c r="T2022" i="1"/>
  <c r="U2022" i="1"/>
  <c r="V2022" i="1"/>
  <c r="W2022" i="1"/>
  <c r="Y2022" i="1"/>
  <c r="M2022" i="1"/>
  <c r="M2021" i="1"/>
  <c r="M2020" i="1"/>
  <c r="O2019" i="1"/>
  <c r="S2019" i="1"/>
  <c r="M2019" i="1"/>
  <c r="M2018" i="1"/>
  <c r="M2017" i="1"/>
  <c r="M2016" i="1"/>
  <c r="O2015" i="1"/>
  <c r="M2015" i="1"/>
  <c r="M2014" i="1"/>
  <c r="W2013" i="1"/>
  <c r="Y2013" i="1"/>
  <c r="M2013" i="1"/>
  <c r="Y2012" i="1"/>
  <c r="M2012" i="1"/>
  <c r="V2011" i="1"/>
  <c r="Y2011" i="1"/>
  <c r="M2011" i="1"/>
  <c r="O2010" i="1"/>
  <c r="S2010" i="1"/>
  <c r="M2010" i="1"/>
  <c r="M2009" i="1"/>
  <c r="O2008" i="1"/>
  <c r="S2008" i="1"/>
  <c r="M2008" i="1"/>
  <c r="O2007" i="1"/>
  <c r="Y2007" i="1"/>
  <c r="M2007" i="1"/>
  <c r="AE2006" i="1"/>
  <c r="O2006" i="1"/>
  <c r="S2006" i="1"/>
  <c r="V2006" i="1"/>
  <c r="W2006" i="1"/>
  <c r="M2006" i="1"/>
  <c r="AE2005" i="1"/>
  <c r="AB2005" i="1"/>
  <c r="O2005" i="1"/>
  <c r="R2005" i="1"/>
  <c r="S2005" i="1"/>
  <c r="V2005" i="1"/>
  <c r="W2005" i="1"/>
  <c r="M2005" i="1"/>
  <c r="AE2004" i="1"/>
  <c r="O2004" i="1"/>
  <c r="V2004" i="1"/>
  <c r="Y2004" i="1"/>
  <c r="M2004" i="1"/>
  <c r="AE2003" i="1"/>
  <c r="O2003" i="1"/>
  <c r="M2003" i="1"/>
  <c r="M2002" i="1"/>
  <c r="M2001" i="1"/>
  <c r="O2000" i="1"/>
  <c r="V2000" i="1"/>
  <c r="M2000" i="1"/>
  <c r="V1999" i="1"/>
  <c r="M1999" i="1"/>
  <c r="O1998" i="1"/>
  <c r="S1998" i="1"/>
  <c r="T1998" i="1"/>
  <c r="U1998" i="1"/>
  <c r="W1998" i="1"/>
  <c r="Y1998" i="1"/>
  <c r="M1998" i="1"/>
  <c r="O1997" i="1"/>
  <c r="Y1997" i="1"/>
  <c r="O1996" i="1"/>
  <c r="W1996" i="1"/>
  <c r="O1995" i="1"/>
  <c r="V1995" i="1"/>
  <c r="V1994" i="1"/>
  <c r="M1994" i="1"/>
  <c r="O1993" i="1"/>
  <c r="M1993" i="1"/>
  <c r="AB1992" i="1"/>
  <c r="Y1992" i="1"/>
  <c r="M1992" i="1"/>
  <c r="M1991" i="1"/>
  <c r="M1990" i="1"/>
  <c r="Y1989" i="1"/>
  <c r="M1989" i="1"/>
  <c r="M1988" i="1"/>
  <c r="O1987" i="1"/>
  <c r="Y1987" i="1"/>
  <c r="M1987" i="1"/>
  <c r="Y1986" i="1"/>
  <c r="M1986" i="1"/>
  <c r="M1985" i="1"/>
  <c r="M1984" i="1"/>
  <c r="O1983" i="1"/>
  <c r="Y1983" i="1"/>
  <c r="M1983" i="1"/>
  <c r="M1982" i="1"/>
  <c r="M1981" i="1"/>
  <c r="M1980" i="1"/>
  <c r="M1979" i="1"/>
  <c r="M1978" i="1"/>
  <c r="O1977" i="1"/>
  <c r="W1977" i="1"/>
  <c r="Y1977" i="1"/>
  <c r="M1977" i="1"/>
  <c r="O1976" i="1"/>
  <c r="M1976" i="1"/>
  <c r="O1975" i="1"/>
  <c r="R1975" i="1"/>
  <c r="S1975" i="1"/>
  <c r="W1975" i="1"/>
  <c r="Y1975" i="1"/>
  <c r="M1975" i="1"/>
  <c r="O1974" i="1"/>
  <c r="M1974" i="1"/>
  <c r="O1973" i="1"/>
  <c r="Y1973" i="1"/>
  <c r="M1973" i="1"/>
  <c r="O1972" i="1"/>
  <c r="M1972" i="1"/>
  <c r="O1971" i="1"/>
  <c r="R1971" i="1"/>
  <c r="S1971" i="1"/>
  <c r="M1971" i="1"/>
  <c r="M1970" i="1"/>
  <c r="S1969" i="1"/>
  <c r="T1969" i="1"/>
  <c r="W1969" i="1"/>
  <c r="M1969" i="1"/>
  <c r="O1968" i="1"/>
  <c r="R1968" i="1"/>
  <c r="Y1967" i="1"/>
  <c r="M1967" i="1"/>
  <c r="S1966" i="1"/>
  <c r="T1966" i="1"/>
  <c r="Y1966" i="1"/>
  <c r="M1966" i="1"/>
  <c r="O1965" i="1"/>
  <c r="R1965" i="1"/>
  <c r="S1965" i="1"/>
  <c r="W1965" i="1"/>
  <c r="Y1965" i="1"/>
  <c r="M1965" i="1"/>
  <c r="O1964" i="1"/>
  <c r="W1964" i="1"/>
  <c r="Y1964" i="1"/>
  <c r="M1964" i="1"/>
  <c r="O1963" i="1"/>
  <c r="V1963" i="1"/>
  <c r="W1963" i="1"/>
  <c r="Y1963" i="1"/>
  <c r="M1963" i="1"/>
  <c r="S1962" i="1"/>
  <c r="Y1962" i="1"/>
  <c r="M1962" i="1"/>
  <c r="Y1961" i="1"/>
  <c r="M1960" i="1"/>
  <c r="M1959" i="1"/>
  <c r="Y1958" i="1"/>
  <c r="M1958" i="1"/>
  <c r="M1957" i="1"/>
  <c r="M1956" i="1"/>
  <c r="M1955" i="1"/>
  <c r="Y1954" i="1"/>
  <c r="M1954" i="1"/>
  <c r="Y1953" i="1"/>
  <c r="M1953" i="1"/>
  <c r="O1952" i="1"/>
  <c r="T1952" i="1"/>
  <c r="W1952" i="1"/>
  <c r="Y1952" i="1"/>
  <c r="M1952" i="1"/>
  <c r="O1951" i="1"/>
  <c r="Y1951" i="1"/>
  <c r="M1951" i="1"/>
  <c r="O1950" i="1"/>
  <c r="W1950" i="1"/>
  <c r="Y1950" i="1"/>
  <c r="M1950" i="1"/>
  <c r="O1949" i="1"/>
  <c r="M1949" i="1"/>
  <c r="O1948" i="1"/>
  <c r="S1948" i="1"/>
  <c r="Y1948" i="1"/>
  <c r="M1948" i="1"/>
  <c r="O1947" i="1"/>
  <c r="U1947" i="1"/>
  <c r="W1947" i="1"/>
  <c r="X1947" i="1"/>
  <c r="Y1947" i="1"/>
  <c r="M1947" i="1"/>
  <c r="O1946" i="1"/>
  <c r="S1946" i="1"/>
  <c r="Y1946" i="1"/>
  <c r="M1946" i="1"/>
  <c r="O1945" i="1"/>
  <c r="M1945" i="1"/>
  <c r="O1944" i="1"/>
  <c r="R1944" i="1"/>
  <c r="S1944" i="1"/>
  <c r="V1944" i="1"/>
  <c r="Y1944" i="1"/>
  <c r="M1944" i="1"/>
  <c r="O1943" i="1"/>
  <c r="M1943" i="1"/>
  <c r="AE1942" i="1"/>
  <c r="O1942" i="1"/>
  <c r="R1942" i="1"/>
  <c r="S1942" i="1"/>
  <c r="W1942" i="1"/>
  <c r="Y1942" i="1"/>
  <c r="M1942" i="1"/>
  <c r="O1941" i="1"/>
  <c r="S1941" i="1"/>
  <c r="V1941" i="1"/>
  <c r="W1941" i="1"/>
  <c r="Y1941" i="1"/>
  <c r="M1941" i="1"/>
  <c r="O1940" i="1"/>
  <c r="S1940" i="1"/>
  <c r="W1940" i="1"/>
  <c r="Y1940" i="1"/>
  <c r="M1940" i="1"/>
  <c r="AE1939" i="1"/>
  <c r="O1939" i="1"/>
  <c r="R1939" i="1"/>
  <c r="W1939" i="1"/>
  <c r="M1939" i="1"/>
  <c r="O1938" i="1"/>
  <c r="W1938" i="1"/>
  <c r="M1938" i="1"/>
  <c r="O1937" i="1"/>
  <c r="V1937" i="1"/>
  <c r="Y1937" i="1"/>
  <c r="M1937" i="1"/>
  <c r="O1936" i="1"/>
  <c r="S1936" i="1"/>
  <c r="Y1936" i="1"/>
  <c r="M1936" i="1"/>
  <c r="O1935" i="1"/>
  <c r="R1935" i="1"/>
  <c r="M1935" i="1"/>
  <c r="R1934" i="1"/>
  <c r="Y1934" i="1"/>
  <c r="M1934" i="1"/>
  <c r="Y1933" i="1"/>
  <c r="M1933" i="1"/>
  <c r="O1932" i="1"/>
  <c r="T1932" i="1"/>
  <c r="Y1932" i="1"/>
  <c r="M1932" i="1"/>
  <c r="T1931" i="1"/>
  <c r="M1931" i="1"/>
  <c r="O1930" i="1"/>
  <c r="S1930" i="1"/>
  <c r="M1930" i="1"/>
  <c r="O1929" i="1"/>
  <c r="U1929" i="1"/>
  <c r="M1929" i="1"/>
  <c r="O1928" i="1"/>
  <c r="T1928" i="1"/>
  <c r="U1928" i="1"/>
  <c r="W1928" i="1"/>
  <c r="Y1928" i="1"/>
  <c r="M1928" i="1"/>
  <c r="Y1926" i="1"/>
  <c r="O1925" i="1"/>
  <c r="T1925" i="1"/>
  <c r="W1925" i="1"/>
  <c r="Y1925" i="1"/>
  <c r="M1925" i="1"/>
  <c r="O1924" i="1"/>
  <c r="W1924" i="1"/>
  <c r="M1924" i="1"/>
  <c r="M1923" i="1"/>
  <c r="M1922" i="1"/>
  <c r="O1921" i="1"/>
  <c r="Y1921" i="1"/>
  <c r="M1921" i="1"/>
  <c r="O1920" i="1"/>
  <c r="M1920" i="1"/>
  <c r="Y1919" i="1"/>
  <c r="M1919" i="1"/>
  <c r="O1918" i="1"/>
  <c r="M1918" i="1"/>
  <c r="Y1917" i="1"/>
  <c r="M1917" i="1"/>
  <c r="O1916" i="1"/>
  <c r="M1916" i="1"/>
  <c r="O1915" i="1"/>
  <c r="M1915" i="1"/>
  <c r="O1914" i="1"/>
  <c r="M1914" i="1"/>
  <c r="AP1913" i="1"/>
  <c r="T1913" i="1"/>
  <c r="W1913" i="1"/>
  <c r="M1913" i="1"/>
  <c r="O1912" i="1"/>
  <c r="M1912" i="1"/>
  <c r="AB1911" i="1"/>
  <c r="O1911" i="1"/>
  <c r="R1911" i="1"/>
  <c r="S1911" i="1"/>
  <c r="M1911" i="1"/>
  <c r="M1910" i="1"/>
  <c r="O1909" i="1"/>
  <c r="M1909" i="1"/>
  <c r="M1908" i="1"/>
  <c r="O1907" i="1"/>
  <c r="S1907" i="1"/>
  <c r="W1907" i="1"/>
  <c r="Y1907" i="1"/>
  <c r="M1907" i="1"/>
  <c r="M1906" i="1"/>
  <c r="O1905" i="1"/>
  <c r="R1905" i="1"/>
  <c r="S1905" i="1"/>
  <c r="W1905" i="1"/>
  <c r="Y1905" i="1"/>
  <c r="M1905" i="1"/>
  <c r="O1904" i="1"/>
  <c r="R1904" i="1"/>
  <c r="S1904" i="1"/>
  <c r="W1904" i="1"/>
  <c r="Y1904" i="1"/>
  <c r="M1904" i="1"/>
  <c r="O1903" i="1"/>
  <c r="M1903" i="1"/>
  <c r="O1902" i="1"/>
  <c r="M1902" i="1"/>
  <c r="O1901" i="1"/>
  <c r="Y1901" i="1"/>
  <c r="M1901" i="1"/>
  <c r="O1900" i="1"/>
  <c r="Y1900" i="1"/>
  <c r="M1900" i="1"/>
  <c r="M1899" i="1"/>
  <c r="Y1898" i="1"/>
  <c r="M1898" i="1"/>
  <c r="O1897" i="1"/>
  <c r="Y1897" i="1"/>
  <c r="M1897" i="1"/>
  <c r="O1896" i="1"/>
  <c r="R1896" i="1"/>
  <c r="Y1896" i="1"/>
  <c r="M1896" i="1"/>
  <c r="O1895" i="1"/>
  <c r="Y1895" i="1"/>
  <c r="M1895" i="1"/>
  <c r="M1894" i="1"/>
  <c r="O1893" i="1"/>
  <c r="M1893" i="1"/>
  <c r="O1892" i="1"/>
  <c r="M1892" i="1"/>
  <c r="Y1891" i="1"/>
  <c r="M1891" i="1"/>
  <c r="M1890" i="1"/>
  <c r="Y1889" i="1"/>
  <c r="M1889" i="1"/>
  <c r="M1888" i="1"/>
  <c r="O1887" i="1"/>
  <c r="Y1887" i="1"/>
  <c r="M1887" i="1"/>
  <c r="O1886" i="1"/>
  <c r="Y1886" i="1"/>
  <c r="M1886" i="1"/>
  <c r="O1885" i="1"/>
  <c r="R1885" i="1"/>
  <c r="S1885" i="1"/>
  <c r="T1885" i="1"/>
  <c r="W1885" i="1"/>
  <c r="Y1885" i="1"/>
  <c r="M1885" i="1"/>
  <c r="O1884" i="1"/>
  <c r="R1884" i="1"/>
  <c r="U1884" i="1"/>
  <c r="V1884" i="1"/>
  <c r="X1884" i="1"/>
  <c r="Y1884" i="1"/>
  <c r="M1884" i="1"/>
  <c r="O1883" i="1"/>
  <c r="R1883" i="1"/>
  <c r="U1883" i="1"/>
  <c r="V1883" i="1"/>
  <c r="Y1883" i="1"/>
  <c r="M1883" i="1"/>
  <c r="O1882" i="1"/>
  <c r="R1882" i="1"/>
  <c r="V1882" i="1"/>
  <c r="Y1882" i="1"/>
  <c r="M1882" i="1"/>
  <c r="O1881" i="1"/>
  <c r="R1881" i="1"/>
  <c r="V1881" i="1"/>
  <c r="W1881" i="1"/>
  <c r="X1881" i="1"/>
  <c r="Y1881" i="1"/>
  <c r="M1881" i="1"/>
  <c r="O1880" i="1"/>
  <c r="V1880" i="1"/>
  <c r="Y1880" i="1"/>
  <c r="M1880" i="1"/>
  <c r="O1879" i="1"/>
  <c r="R1879" i="1"/>
  <c r="U1879" i="1"/>
  <c r="V1879" i="1"/>
  <c r="Y1879" i="1"/>
  <c r="M1879" i="1"/>
  <c r="M1878" i="1"/>
  <c r="O1877" i="1"/>
  <c r="S1877" i="1"/>
  <c r="M1877" i="1"/>
  <c r="M1876" i="1"/>
  <c r="O1875" i="1"/>
  <c r="R1875" i="1"/>
  <c r="S1875" i="1"/>
  <c r="W1875" i="1"/>
  <c r="Y1875" i="1"/>
  <c r="M1875" i="1"/>
  <c r="M1874" i="1"/>
  <c r="M1873" i="1"/>
  <c r="M1872" i="1"/>
  <c r="M1871" i="1"/>
  <c r="O1870" i="1"/>
  <c r="S1870" i="1"/>
  <c r="W1870" i="1"/>
  <c r="Y1870" i="1"/>
  <c r="M1870" i="1"/>
  <c r="M1869" i="1"/>
  <c r="O1868" i="1"/>
  <c r="R1868" i="1"/>
  <c r="W1868" i="1"/>
  <c r="Y1868" i="1"/>
  <c r="M1868" i="1"/>
  <c r="O1867" i="1"/>
  <c r="R1867" i="1"/>
  <c r="S1867" i="1"/>
  <c r="T1867" i="1"/>
  <c r="U1867" i="1"/>
  <c r="V1867" i="1"/>
  <c r="W1867" i="1"/>
  <c r="Y1867" i="1"/>
  <c r="M1867" i="1"/>
  <c r="M1866" i="1"/>
  <c r="O1865" i="1"/>
  <c r="R1865" i="1"/>
  <c r="Y1865" i="1"/>
  <c r="M1865" i="1"/>
  <c r="M1864" i="1"/>
  <c r="O1863" i="1"/>
  <c r="Y1863" i="1"/>
  <c r="O1862" i="1"/>
  <c r="Y1862" i="1"/>
  <c r="O1861" i="1"/>
  <c r="M1861" i="1"/>
  <c r="O1860" i="1"/>
  <c r="M1860" i="1"/>
  <c r="O1859" i="1"/>
  <c r="M1859" i="1"/>
  <c r="O1858" i="1"/>
  <c r="M1858" i="1"/>
  <c r="O1857" i="1"/>
  <c r="V1857" i="1"/>
  <c r="M1857" i="1"/>
  <c r="O1856" i="1"/>
  <c r="W1856" i="1"/>
  <c r="Y1856" i="1"/>
  <c r="O1855" i="1"/>
  <c r="R1855" i="1"/>
  <c r="O1854" i="1"/>
  <c r="R1854" i="1"/>
  <c r="Y1854" i="1"/>
  <c r="M1854" i="1"/>
  <c r="O1852" i="1"/>
  <c r="W1852" i="1"/>
  <c r="Y1852" i="1"/>
  <c r="O1851" i="1"/>
  <c r="S1851" i="1"/>
  <c r="W1851" i="1"/>
  <c r="Y1851" i="1"/>
  <c r="M1851" i="1"/>
  <c r="O1850" i="1"/>
  <c r="M1850" i="1"/>
  <c r="M1849" i="1"/>
  <c r="V1848" i="1"/>
  <c r="M1848" i="1"/>
  <c r="V1847" i="1"/>
  <c r="M1847" i="1"/>
  <c r="O1846" i="1"/>
  <c r="M1846" i="1"/>
  <c r="O1845" i="1"/>
  <c r="Y1845" i="1"/>
  <c r="M1845" i="1"/>
  <c r="M1844" i="1"/>
  <c r="V1843" i="1"/>
  <c r="M1843" i="1"/>
  <c r="V1842" i="1"/>
  <c r="M1842" i="1"/>
  <c r="O1841" i="1"/>
  <c r="T1841" i="1"/>
  <c r="M1841" i="1"/>
  <c r="O1840" i="1"/>
  <c r="M1840" i="1"/>
  <c r="O1839" i="1"/>
  <c r="Y1839" i="1"/>
  <c r="M1839" i="1"/>
  <c r="O1838" i="1"/>
  <c r="M1838" i="1"/>
  <c r="O1837" i="1"/>
  <c r="V1837" i="1"/>
  <c r="Y1837" i="1"/>
  <c r="M1837" i="1"/>
  <c r="O1836" i="1"/>
  <c r="M1836" i="1"/>
  <c r="O1835" i="1"/>
  <c r="M1835" i="1"/>
  <c r="O1834" i="1"/>
  <c r="U1834" i="1"/>
  <c r="W1834" i="1"/>
  <c r="Y1834" i="1"/>
  <c r="O1833" i="1"/>
  <c r="U1833" i="1"/>
  <c r="W1833" i="1"/>
  <c r="M1833" i="1"/>
  <c r="T1832" i="1"/>
  <c r="Y1832" i="1"/>
  <c r="M1832" i="1"/>
  <c r="O1831" i="1"/>
  <c r="W1831" i="1"/>
  <c r="Y1831" i="1"/>
  <c r="M1831" i="1"/>
  <c r="W1830" i="1"/>
  <c r="Y1830" i="1"/>
  <c r="M1830" i="1"/>
  <c r="M1828" i="1"/>
  <c r="M1827" i="1"/>
  <c r="S1826" i="1"/>
  <c r="M1826" i="1"/>
  <c r="V1825" i="1"/>
  <c r="M1825" i="1"/>
  <c r="M1824" i="1"/>
  <c r="O1823" i="1"/>
  <c r="M1823" i="1"/>
  <c r="O1822" i="1"/>
  <c r="M1822" i="1"/>
  <c r="AQ1820" i="1"/>
  <c r="AG1820" i="1"/>
  <c r="O1819" i="1"/>
  <c r="Y1819" i="1"/>
  <c r="M1819" i="1"/>
  <c r="M1818" i="1"/>
  <c r="M1817" i="1"/>
  <c r="Y1816" i="1"/>
  <c r="M1816" i="1"/>
  <c r="O1815" i="1"/>
  <c r="V1815" i="1"/>
  <c r="Y1815" i="1"/>
  <c r="M1815" i="1"/>
  <c r="O1814" i="1"/>
  <c r="S1814" i="1"/>
  <c r="T1814" i="1"/>
  <c r="U1814" i="1"/>
  <c r="W1814" i="1"/>
  <c r="X1814" i="1"/>
  <c r="Y1814" i="1"/>
  <c r="M1814" i="1"/>
  <c r="O1813" i="1"/>
  <c r="M1813" i="1"/>
  <c r="O1812" i="1"/>
  <c r="U1812" i="1"/>
  <c r="M1812" i="1"/>
  <c r="M1811" i="1"/>
  <c r="S1810" i="1"/>
  <c r="M1810" i="1"/>
  <c r="M1809" i="1"/>
  <c r="O1808" i="1"/>
  <c r="V1808" i="1"/>
  <c r="M1808" i="1"/>
  <c r="AB1807" i="1"/>
  <c r="S1807" i="1"/>
  <c r="V1807" i="1"/>
  <c r="M1807" i="1"/>
  <c r="V1806" i="1"/>
  <c r="W1806" i="1"/>
  <c r="M1806" i="1"/>
  <c r="M1805" i="1"/>
  <c r="M1804" i="1"/>
  <c r="O1803" i="1"/>
  <c r="M1803" i="1"/>
  <c r="O1800" i="1"/>
  <c r="S1800" i="1"/>
  <c r="T1800" i="1"/>
  <c r="U1800" i="1"/>
  <c r="W1800" i="1"/>
  <c r="Y1800" i="1"/>
  <c r="M1800" i="1"/>
  <c r="S1799" i="1"/>
  <c r="T1799" i="1"/>
  <c r="U1799" i="1"/>
  <c r="W1799" i="1"/>
  <c r="Y1799" i="1"/>
  <c r="M1799" i="1"/>
  <c r="T1798" i="1"/>
  <c r="U1798" i="1"/>
  <c r="V1798" i="1"/>
  <c r="W1798" i="1"/>
  <c r="Y1798" i="1"/>
  <c r="M1798" i="1"/>
  <c r="O1797" i="1"/>
  <c r="S1797" i="1"/>
  <c r="U1797" i="1"/>
  <c r="W1797" i="1"/>
  <c r="Y1797" i="1"/>
  <c r="M1797" i="1"/>
  <c r="O1796" i="1"/>
  <c r="O1795" i="1"/>
  <c r="R1795" i="1"/>
  <c r="M1795" i="1"/>
  <c r="Y1794" i="1"/>
  <c r="M1794" i="1"/>
  <c r="R1793" i="1"/>
  <c r="Y1793" i="1"/>
  <c r="M1793" i="1"/>
  <c r="O1792" i="1"/>
  <c r="V1792" i="1"/>
  <c r="M1792" i="1"/>
  <c r="M1791" i="1"/>
  <c r="O1790" i="1"/>
  <c r="U1790" i="1"/>
  <c r="M1790" i="1"/>
  <c r="O1789" i="1"/>
  <c r="U1789" i="1"/>
  <c r="M1789" i="1"/>
  <c r="O1788" i="1"/>
  <c r="S1788" i="1"/>
  <c r="X1788" i="1"/>
  <c r="Y1788" i="1"/>
  <c r="O1787" i="1"/>
  <c r="O1786" i="1"/>
  <c r="M1786" i="1"/>
  <c r="O1785" i="1"/>
  <c r="M1785" i="1"/>
  <c r="O1784" i="1"/>
  <c r="M1784" i="1"/>
  <c r="O1783" i="1"/>
  <c r="O1782" i="1"/>
  <c r="O1781" i="1"/>
  <c r="R1781" i="1"/>
  <c r="S1781" i="1"/>
  <c r="V1781" i="1"/>
  <c r="Y1781" i="1"/>
  <c r="M1781" i="1"/>
  <c r="O1780" i="1"/>
  <c r="R1780" i="1"/>
  <c r="S1780" i="1"/>
  <c r="V1780" i="1"/>
  <c r="Y1780" i="1"/>
  <c r="M1780" i="1"/>
  <c r="O1779" i="1"/>
  <c r="R1779" i="1"/>
  <c r="U1779" i="1"/>
  <c r="Y1779" i="1"/>
  <c r="M1779" i="1"/>
  <c r="O1778" i="1"/>
  <c r="R1778" i="1"/>
  <c r="Y1778" i="1"/>
  <c r="M1778" i="1"/>
  <c r="O1777" i="1"/>
  <c r="R1777" i="1"/>
  <c r="W1777" i="1"/>
  <c r="Y1777" i="1"/>
  <c r="M1777" i="1"/>
  <c r="O1776" i="1"/>
  <c r="R1776" i="1"/>
  <c r="W1776" i="1"/>
  <c r="Y1776" i="1"/>
  <c r="M1776" i="1"/>
  <c r="AB1775" i="1"/>
  <c r="O1775" i="1"/>
  <c r="R1775" i="1"/>
  <c r="T1775" i="1"/>
  <c r="V1775" i="1"/>
  <c r="W1775" i="1"/>
  <c r="X1775" i="1"/>
  <c r="Y1775" i="1"/>
  <c r="M1775" i="1"/>
  <c r="O1774" i="1"/>
  <c r="S1774" i="1"/>
  <c r="W1774" i="1"/>
  <c r="Y1774" i="1"/>
  <c r="O1773" i="1"/>
  <c r="M1773" i="1"/>
  <c r="O1772" i="1"/>
  <c r="R1772" i="1"/>
  <c r="M1772" i="1"/>
  <c r="O1771" i="1"/>
  <c r="M1771" i="1"/>
  <c r="S1770" i="1"/>
  <c r="T1770" i="1"/>
  <c r="W1770" i="1"/>
  <c r="X1770" i="1"/>
  <c r="Y1770" i="1"/>
  <c r="M1770" i="1"/>
  <c r="T1768" i="1"/>
  <c r="Y1768" i="1"/>
  <c r="M1768" i="1"/>
  <c r="O1767" i="1"/>
  <c r="R1767" i="1"/>
  <c r="W1767" i="1"/>
  <c r="M1767" i="1"/>
  <c r="O1766" i="1"/>
  <c r="Y1766" i="1"/>
  <c r="O1765" i="1"/>
  <c r="W1765" i="1"/>
  <c r="Y1765" i="1"/>
  <c r="O1764" i="1"/>
  <c r="T1764" i="1"/>
  <c r="Y1764" i="1"/>
  <c r="AB1763" i="1"/>
  <c r="O1763" i="1"/>
  <c r="T1763" i="1"/>
  <c r="W1763" i="1"/>
  <c r="Y1763" i="1"/>
  <c r="M1763" i="1"/>
  <c r="O1762" i="1"/>
  <c r="T1762" i="1"/>
  <c r="U1762" i="1"/>
  <c r="W1762" i="1"/>
  <c r="Y1762" i="1"/>
  <c r="M1762" i="1"/>
  <c r="AD1761" i="1"/>
  <c r="AB1761" i="1"/>
  <c r="O1761" i="1"/>
  <c r="S1761" i="1"/>
  <c r="Y1761" i="1"/>
  <c r="M1761" i="1"/>
  <c r="AB1760" i="1"/>
  <c r="M1760" i="1"/>
  <c r="O1758" i="1"/>
  <c r="O1757" i="1"/>
  <c r="AD1756" i="1"/>
  <c r="M1756" i="1"/>
  <c r="AD1755" i="1"/>
  <c r="M1755" i="1"/>
  <c r="O1754" i="1"/>
  <c r="M1754" i="1"/>
  <c r="M1753" i="1"/>
  <c r="O1752" i="1"/>
  <c r="M1752" i="1"/>
  <c r="M1751" i="1"/>
  <c r="Y1750" i="1"/>
  <c r="M1750" i="1"/>
  <c r="O1749" i="1"/>
  <c r="R1749" i="1"/>
  <c r="W1749" i="1"/>
  <c r="X1749" i="1"/>
  <c r="Y1749" i="1"/>
  <c r="M1749" i="1"/>
  <c r="O1748" i="1"/>
  <c r="R1748" i="1"/>
  <c r="V1748" i="1"/>
  <c r="W1748" i="1"/>
  <c r="Y1748" i="1"/>
  <c r="M1748" i="1"/>
  <c r="O1747" i="1"/>
  <c r="R1747" i="1"/>
  <c r="V1747" i="1"/>
  <c r="W1747" i="1"/>
  <c r="Y1747" i="1"/>
  <c r="M1747" i="1"/>
  <c r="O1746" i="1"/>
  <c r="T1746" i="1"/>
  <c r="W1746" i="1"/>
  <c r="Y1746" i="1"/>
  <c r="M1746" i="1"/>
  <c r="Y1745" i="1"/>
  <c r="Y1744" i="1"/>
  <c r="O1743" i="1"/>
  <c r="V1743" i="1"/>
  <c r="M1743" i="1"/>
  <c r="M1742" i="1"/>
  <c r="O1741" i="1"/>
  <c r="T1741" i="1"/>
  <c r="U1741" i="1"/>
  <c r="W1741" i="1"/>
  <c r="Y1741" i="1"/>
  <c r="M1741" i="1"/>
  <c r="AD1740" i="1"/>
  <c r="O1740" i="1"/>
  <c r="M1740" i="1"/>
  <c r="AB1739" i="1"/>
  <c r="O1739" i="1"/>
  <c r="M1739" i="1"/>
  <c r="AD1738" i="1"/>
  <c r="V1738" i="1"/>
  <c r="Y1738" i="1"/>
  <c r="M1738" i="1"/>
  <c r="O1737" i="1"/>
  <c r="M1737" i="1"/>
  <c r="M1736" i="1"/>
  <c r="O1735" i="1"/>
  <c r="W1735" i="1"/>
  <c r="X1735" i="1"/>
  <c r="Y1735" i="1"/>
  <c r="M1735" i="1"/>
  <c r="M1734" i="1"/>
  <c r="AE1733" i="1"/>
  <c r="O1733" i="1"/>
  <c r="T1733" i="1"/>
  <c r="U1733" i="1"/>
  <c r="W1733" i="1"/>
  <c r="Y1733" i="1"/>
  <c r="M1733" i="1"/>
  <c r="O1732" i="1"/>
  <c r="T1732" i="1"/>
  <c r="U1732" i="1"/>
  <c r="W1732" i="1"/>
  <c r="Y1732" i="1"/>
  <c r="M1732" i="1"/>
  <c r="O1731" i="1"/>
  <c r="W1731" i="1"/>
  <c r="Y1731" i="1"/>
  <c r="M1731" i="1"/>
  <c r="O1730" i="1"/>
  <c r="R1730" i="1"/>
  <c r="M1730" i="1"/>
  <c r="O1729" i="1"/>
  <c r="M1729" i="1"/>
  <c r="AD1728" i="1"/>
  <c r="O1728" i="1"/>
  <c r="R1728" i="1"/>
  <c r="T1728" i="1"/>
  <c r="W1728" i="1"/>
  <c r="Y1728" i="1"/>
  <c r="M1728" i="1"/>
  <c r="AL1727" i="1"/>
  <c r="AK1727" i="1"/>
  <c r="AD1727" i="1"/>
  <c r="O1727" i="1"/>
  <c r="M1727" i="1"/>
  <c r="AL1726" i="1"/>
  <c r="AK1726" i="1"/>
  <c r="M1726" i="1"/>
  <c r="AL1725" i="1"/>
  <c r="AK1725" i="1"/>
  <c r="M1725" i="1"/>
  <c r="AL1724" i="1"/>
  <c r="AK1724" i="1"/>
  <c r="AD1724" i="1"/>
  <c r="O1724" i="1"/>
  <c r="M1724" i="1"/>
  <c r="AL1723" i="1"/>
  <c r="AK1723" i="1"/>
  <c r="O1723" i="1"/>
  <c r="S1723" i="1"/>
  <c r="Y1723" i="1"/>
  <c r="M1723" i="1"/>
  <c r="AL1722" i="1"/>
  <c r="AK1722" i="1"/>
  <c r="M1722" i="1"/>
  <c r="AL1721" i="1"/>
  <c r="AK1721" i="1"/>
  <c r="O1721" i="1"/>
  <c r="S1721" i="1"/>
  <c r="W1721" i="1"/>
  <c r="Y1721" i="1"/>
  <c r="M1721" i="1"/>
  <c r="M1720" i="1"/>
  <c r="M1719" i="1"/>
  <c r="O1715" i="1"/>
  <c r="Y1715" i="1"/>
  <c r="M1715" i="1"/>
  <c r="O1714" i="1"/>
  <c r="W1714" i="1"/>
  <c r="Y1714" i="1"/>
  <c r="M1714" i="1"/>
  <c r="O1713" i="1"/>
  <c r="T1713" i="1"/>
  <c r="W1713" i="1"/>
  <c r="X1713" i="1"/>
  <c r="Y1713" i="1"/>
  <c r="M1713" i="1"/>
  <c r="O1712" i="1"/>
  <c r="R1712" i="1"/>
  <c r="T1712" i="1"/>
  <c r="W1712" i="1"/>
  <c r="X1712" i="1"/>
  <c r="Y1712" i="1"/>
  <c r="M1712" i="1"/>
  <c r="O1711" i="1"/>
  <c r="Y1711" i="1"/>
  <c r="O1710" i="1"/>
  <c r="W1710" i="1"/>
  <c r="R1709" i="1"/>
  <c r="S1709" i="1"/>
  <c r="T1709" i="1"/>
  <c r="U1709" i="1"/>
  <c r="V1709" i="1"/>
  <c r="W1709" i="1"/>
  <c r="X1709" i="1"/>
  <c r="Y1709" i="1"/>
  <c r="R1708" i="1"/>
  <c r="S1708" i="1"/>
  <c r="T1708" i="1"/>
  <c r="U1708" i="1"/>
  <c r="V1708" i="1"/>
  <c r="W1708" i="1"/>
  <c r="X1708" i="1"/>
  <c r="Y1708" i="1"/>
  <c r="R1707" i="1"/>
  <c r="S1707" i="1"/>
  <c r="T1707" i="1"/>
  <c r="U1707" i="1"/>
  <c r="V1707" i="1"/>
  <c r="W1707" i="1"/>
  <c r="Y1707" i="1"/>
  <c r="T1706" i="1"/>
  <c r="U1706" i="1"/>
  <c r="V1706" i="1"/>
  <c r="W1706" i="1"/>
  <c r="Y1706" i="1"/>
  <c r="U1705" i="1"/>
  <c r="V1705" i="1"/>
  <c r="W1705" i="1"/>
  <c r="Y1705" i="1"/>
  <c r="T1704" i="1"/>
  <c r="U1704" i="1"/>
  <c r="V1704" i="1"/>
  <c r="W1704" i="1"/>
  <c r="Y1704" i="1"/>
  <c r="S1703" i="1"/>
  <c r="T1703" i="1"/>
  <c r="U1703" i="1"/>
  <c r="V1703" i="1"/>
  <c r="W1703" i="1"/>
  <c r="X1703" i="1"/>
  <c r="Y1703" i="1"/>
  <c r="S1702" i="1"/>
  <c r="T1702" i="1"/>
  <c r="U1702" i="1"/>
  <c r="V1702" i="1"/>
  <c r="W1702" i="1"/>
  <c r="X1702" i="1"/>
  <c r="Y1702" i="1"/>
  <c r="S1701" i="1"/>
  <c r="T1701" i="1"/>
  <c r="U1701" i="1"/>
  <c r="V1701" i="1"/>
  <c r="W1701" i="1"/>
  <c r="Y1701" i="1"/>
  <c r="T1700" i="1"/>
  <c r="U1700" i="1"/>
  <c r="V1700" i="1"/>
  <c r="W1700" i="1"/>
  <c r="X1700" i="1"/>
  <c r="Y1700" i="1"/>
  <c r="S1699" i="1"/>
  <c r="T1699" i="1"/>
  <c r="U1699" i="1"/>
  <c r="V1699" i="1"/>
  <c r="W1699" i="1"/>
  <c r="X1699" i="1"/>
  <c r="Y1699" i="1"/>
  <c r="T1698" i="1"/>
  <c r="U1698" i="1"/>
  <c r="W1698" i="1"/>
  <c r="Y1698" i="1"/>
  <c r="O1697" i="1"/>
  <c r="T1697" i="1"/>
  <c r="U1697" i="1"/>
  <c r="W1697" i="1"/>
  <c r="O1696" i="1"/>
  <c r="O1695" i="1"/>
  <c r="R1695" i="1"/>
  <c r="S1695" i="1"/>
  <c r="U1695" i="1"/>
  <c r="W1695" i="1"/>
  <c r="X1695" i="1"/>
  <c r="Y1695" i="1"/>
  <c r="M1695" i="1"/>
  <c r="O1694" i="1"/>
  <c r="R1694" i="1"/>
  <c r="T1694" i="1"/>
  <c r="U1694" i="1"/>
  <c r="W1694" i="1"/>
  <c r="Y1694" i="1"/>
  <c r="M1694" i="1"/>
  <c r="O1693" i="1"/>
  <c r="T1693" i="1"/>
  <c r="U1693" i="1"/>
  <c r="W1693" i="1"/>
  <c r="Y1693" i="1"/>
  <c r="M1693" i="1"/>
  <c r="T1692" i="1"/>
  <c r="U1692" i="1"/>
  <c r="W1692" i="1"/>
  <c r="Y1692" i="1"/>
  <c r="M1692" i="1"/>
  <c r="O1686" i="1"/>
  <c r="T1686" i="1"/>
  <c r="U1686" i="1"/>
  <c r="W1686" i="1"/>
  <c r="X1686" i="1"/>
  <c r="Y1686" i="1"/>
  <c r="O1685" i="1"/>
  <c r="W1685" i="1"/>
  <c r="Y1685" i="1"/>
  <c r="O1684" i="1"/>
  <c r="Y1684" i="1"/>
  <c r="M1684" i="1"/>
  <c r="M1683" i="1"/>
  <c r="M1682" i="1"/>
  <c r="M1681" i="1"/>
  <c r="Y1680" i="1"/>
  <c r="M1680" i="1"/>
  <c r="M1679" i="1"/>
  <c r="O1678" i="1"/>
  <c r="M1678" i="1"/>
  <c r="O1677" i="1"/>
  <c r="U1677" i="1"/>
  <c r="W1677" i="1"/>
  <c r="Y1677" i="1"/>
  <c r="M1677" i="1"/>
  <c r="O1676" i="1"/>
  <c r="R1676" i="1"/>
  <c r="U1676" i="1"/>
  <c r="V1676" i="1"/>
  <c r="W1676" i="1"/>
  <c r="Y1676" i="1"/>
  <c r="M1676" i="1"/>
  <c r="O1675" i="1"/>
  <c r="T1675" i="1"/>
  <c r="U1675" i="1"/>
  <c r="W1675" i="1"/>
  <c r="Y1675" i="1"/>
  <c r="M1675" i="1"/>
  <c r="O1674" i="1"/>
  <c r="T1674" i="1"/>
  <c r="U1674" i="1"/>
  <c r="W1674" i="1"/>
  <c r="Y1674" i="1"/>
  <c r="M1674" i="1"/>
  <c r="O1673" i="1"/>
  <c r="U1673" i="1"/>
  <c r="W1673" i="1"/>
  <c r="M1673" i="1"/>
  <c r="O1672" i="1"/>
  <c r="S1672" i="1"/>
  <c r="V1672" i="1"/>
  <c r="M1672" i="1"/>
  <c r="V1671" i="1"/>
  <c r="M1671" i="1"/>
  <c r="M1670" i="1"/>
  <c r="M1669" i="1"/>
  <c r="O1668" i="1"/>
  <c r="M1668" i="1"/>
  <c r="O1667" i="1"/>
  <c r="W1667" i="1"/>
  <c r="Y1667" i="1"/>
  <c r="M1667" i="1"/>
  <c r="O1666" i="1"/>
  <c r="R1666" i="1"/>
  <c r="S1666" i="1"/>
  <c r="T1666" i="1"/>
  <c r="W1666" i="1"/>
  <c r="Y1666" i="1"/>
  <c r="M1666" i="1"/>
  <c r="O1665" i="1"/>
  <c r="W1665" i="1"/>
  <c r="Y1665" i="1"/>
  <c r="M1665" i="1"/>
  <c r="O1664" i="1"/>
  <c r="W1664" i="1"/>
  <c r="Y1664" i="1"/>
  <c r="M1664" i="1"/>
  <c r="M1663" i="1"/>
  <c r="O1662" i="1"/>
  <c r="M1662" i="1"/>
  <c r="O1661" i="1"/>
  <c r="M1661" i="1"/>
  <c r="O1660" i="1"/>
  <c r="R1660" i="1"/>
  <c r="Y1660" i="1"/>
  <c r="M1660" i="1"/>
  <c r="Y1659" i="1"/>
  <c r="O1658" i="1"/>
  <c r="S1658" i="1"/>
  <c r="M1658" i="1"/>
  <c r="O1657" i="1"/>
  <c r="W1657" i="1"/>
  <c r="O1656" i="1"/>
  <c r="U1656" i="1"/>
  <c r="V1656" i="1"/>
  <c r="O1655" i="1"/>
  <c r="W1655" i="1"/>
  <c r="Y1655" i="1"/>
  <c r="O1654" i="1"/>
  <c r="S1654" i="1"/>
  <c r="W1654" i="1"/>
  <c r="Y1654" i="1"/>
  <c r="M1654" i="1"/>
  <c r="O1653" i="1"/>
  <c r="M1653" i="1"/>
  <c r="M1652" i="1"/>
  <c r="O1651" i="1"/>
  <c r="S1651" i="1"/>
  <c r="U1651" i="1"/>
  <c r="V1651" i="1"/>
  <c r="W1651" i="1"/>
  <c r="O1650" i="1"/>
  <c r="M1650" i="1"/>
  <c r="O1649" i="1"/>
  <c r="Y1649" i="1"/>
  <c r="M1649" i="1"/>
  <c r="O1648" i="1"/>
  <c r="M1648" i="1"/>
  <c r="O1646" i="1"/>
  <c r="O1645" i="1"/>
  <c r="T1645" i="1"/>
  <c r="M1645" i="1"/>
  <c r="O1644" i="1"/>
  <c r="T1644" i="1"/>
  <c r="W1644" i="1"/>
  <c r="M1644" i="1"/>
  <c r="O1643" i="1"/>
  <c r="R1643" i="1"/>
  <c r="T1643" i="1"/>
  <c r="W1643" i="1"/>
  <c r="X1643" i="1"/>
  <c r="Y1643" i="1"/>
  <c r="M1643" i="1"/>
  <c r="O1642" i="1"/>
  <c r="T1642" i="1"/>
  <c r="M1642" i="1"/>
  <c r="O1641" i="1"/>
  <c r="R1641" i="1"/>
  <c r="X1641" i="1"/>
  <c r="Y1641" i="1"/>
  <c r="M1641" i="1"/>
  <c r="O1640" i="1"/>
  <c r="T1640" i="1"/>
  <c r="Y1640" i="1"/>
  <c r="O1639" i="1"/>
  <c r="T1639" i="1"/>
  <c r="Y1639" i="1"/>
  <c r="O1638" i="1"/>
  <c r="T1638" i="1"/>
  <c r="Y1638" i="1"/>
  <c r="O1637" i="1"/>
  <c r="Y1637" i="1"/>
  <c r="O1636" i="1"/>
  <c r="T1636" i="1"/>
  <c r="M1636" i="1"/>
  <c r="O1635" i="1"/>
  <c r="S1635" i="1"/>
  <c r="T1635" i="1"/>
  <c r="M1635" i="1"/>
  <c r="O1634" i="1"/>
  <c r="M1634" i="1"/>
  <c r="O1633" i="1"/>
  <c r="Y1633" i="1"/>
  <c r="M1633" i="1"/>
  <c r="O1632" i="1"/>
  <c r="Y1632" i="1"/>
  <c r="O1631" i="1"/>
  <c r="M1631" i="1"/>
  <c r="M1630" i="1"/>
  <c r="O1629" i="1"/>
  <c r="M1629" i="1"/>
  <c r="O1628" i="1"/>
  <c r="M1628" i="1"/>
  <c r="O1627" i="1"/>
  <c r="M1627" i="1"/>
  <c r="O1626" i="1"/>
  <c r="M1626" i="1"/>
  <c r="O1625" i="1"/>
  <c r="M1625" i="1"/>
  <c r="O1624" i="1"/>
  <c r="W1624" i="1"/>
  <c r="Y1624" i="1"/>
  <c r="M1624" i="1"/>
  <c r="Y1623" i="1"/>
  <c r="M1623" i="1"/>
  <c r="V1622" i="1"/>
  <c r="Y1622" i="1"/>
  <c r="M1622" i="1"/>
  <c r="O1621" i="1"/>
  <c r="U1621" i="1"/>
  <c r="W1621" i="1"/>
  <c r="Y1621" i="1"/>
  <c r="M1621" i="1"/>
  <c r="M1620" i="1"/>
  <c r="O1619" i="1"/>
  <c r="M1619" i="1"/>
  <c r="O1618" i="1"/>
  <c r="U1618" i="1"/>
  <c r="M1618" i="1"/>
  <c r="O1617" i="1"/>
  <c r="W1617" i="1"/>
  <c r="M1617" i="1"/>
  <c r="O1616" i="1"/>
  <c r="U1616" i="1"/>
  <c r="W1616" i="1"/>
  <c r="M1616" i="1"/>
  <c r="O1615" i="1"/>
  <c r="T1615" i="1"/>
  <c r="U1615" i="1"/>
  <c r="W1615" i="1"/>
  <c r="X1615" i="1"/>
  <c r="M1615" i="1"/>
  <c r="O1614" i="1"/>
  <c r="T1614" i="1"/>
  <c r="U1614" i="1"/>
  <c r="W1614" i="1"/>
  <c r="Y1614" i="1"/>
  <c r="M1614" i="1"/>
  <c r="O1613" i="1"/>
  <c r="T1613" i="1"/>
  <c r="U1613" i="1"/>
  <c r="W1613" i="1"/>
  <c r="M1613" i="1"/>
  <c r="Y1612" i="1"/>
  <c r="M1612" i="1"/>
  <c r="O1611" i="1"/>
  <c r="W1611" i="1"/>
  <c r="Y1611" i="1"/>
  <c r="M1611" i="1"/>
  <c r="R1610" i="1"/>
  <c r="S1610" i="1"/>
  <c r="Y1610" i="1"/>
  <c r="M1610" i="1"/>
  <c r="M1609" i="1"/>
  <c r="O1608" i="1"/>
  <c r="U1608" i="1"/>
  <c r="W1608" i="1"/>
  <c r="Y1608" i="1"/>
  <c r="O1607" i="1"/>
  <c r="T1607" i="1"/>
  <c r="U1607" i="1"/>
  <c r="W1607" i="1"/>
  <c r="Y1607" i="1"/>
  <c r="O1606" i="1"/>
  <c r="U1606" i="1"/>
  <c r="W1606" i="1"/>
  <c r="Y1606" i="1"/>
  <c r="M1606" i="1"/>
  <c r="AB1605" i="1"/>
  <c r="R1605" i="1"/>
  <c r="S1605" i="1"/>
  <c r="T1605" i="1"/>
  <c r="V1605" i="1"/>
  <c r="W1605" i="1"/>
  <c r="Y1605" i="1"/>
  <c r="M1605" i="1"/>
  <c r="O1604" i="1"/>
  <c r="M1604" i="1"/>
  <c r="O1603" i="1"/>
  <c r="M1603" i="1"/>
  <c r="O1602" i="1"/>
  <c r="Y1602" i="1"/>
  <c r="M1602" i="1"/>
  <c r="O1601" i="1"/>
  <c r="Y1601" i="1"/>
  <c r="M1601" i="1"/>
  <c r="O1599" i="1"/>
  <c r="Y1599" i="1"/>
  <c r="M1599" i="1"/>
  <c r="S1598" i="1"/>
  <c r="Y1598" i="1"/>
  <c r="M1598" i="1"/>
  <c r="S1597" i="1"/>
  <c r="Y1597" i="1"/>
  <c r="M1597" i="1"/>
  <c r="O1596" i="1"/>
  <c r="U1596" i="1"/>
  <c r="W1596" i="1"/>
  <c r="Y1596" i="1"/>
  <c r="M1596" i="1"/>
  <c r="O1595" i="1"/>
  <c r="Y1595" i="1"/>
  <c r="M1595" i="1"/>
  <c r="Y1594" i="1"/>
  <c r="M1594" i="1"/>
  <c r="O1593" i="1"/>
  <c r="S1593" i="1"/>
  <c r="M1593" i="1"/>
  <c r="O1592" i="1"/>
  <c r="Y1592" i="1"/>
  <c r="M1592" i="1"/>
  <c r="O1591" i="1"/>
  <c r="M1591" i="1"/>
  <c r="O1590" i="1"/>
  <c r="S1590" i="1"/>
  <c r="W1590" i="1"/>
  <c r="Y1590" i="1"/>
  <c r="M1590" i="1"/>
  <c r="O1589" i="1"/>
  <c r="Y1589" i="1"/>
  <c r="M1589" i="1"/>
  <c r="O1588" i="1"/>
  <c r="M1588" i="1"/>
  <c r="O1587" i="1"/>
  <c r="M1587" i="1"/>
  <c r="O1586" i="1"/>
  <c r="S1586" i="1"/>
  <c r="W1586" i="1"/>
  <c r="Y1586" i="1"/>
  <c r="M1586" i="1"/>
  <c r="O1585" i="1"/>
  <c r="U1585" i="1"/>
  <c r="W1585" i="1"/>
  <c r="O1584" i="1"/>
  <c r="R1584" i="1"/>
  <c r="M1584" i="1"/>
  <c r="O1583" i="1"/>
  <c r="Y1583" i="1"/>
  <c r="M1583" i="1"/>
  <c r="O1582" i="1"/>
  <c r="Y1582" i="1"/>
  <c r="M1582" i="1"/>
  <c r="M1581" i="1"/>
  <c r="O1580" i="1"/>
  <c r="S1580" i="1"/>
  <c r="T1580" i="1"/>
  <c r="U1580" i="1"/>
  <c r="W1580" i="1"/>
  <c r="X1580" i="1"/>
  <c r="Y1580" i="1"/>
  <c r="M1580" i="1"/>
  <c r="O1579" i="1"/>
  <c r="T1579" i="1"/>
  <c r="Y1579" i="1"/>
  <c r="M1579" i="1"/>
  <c r="AB1578" i="1"/>
  <c r="M1578" i="1"/>
  <c r="U1577" i="1"/>
  <c r="Y1577" i="1"/>
  <c r="M1577" i="1"/>
  <c r="M1576" i="1"/>
  <c r="V1575" i="1"/>
  <c r="M1575" i="1"/>
  <c r="O1574" i="1"/>
  <c r="M1574" i="1"/>
  <c r="O1573" i="1"/>
  <c r="M1573" i="1"/>
  <c r="M1572" i="1"/>
  <c r="O1570" i="1"/>
  <c r="U1570" i="1"/>
  <c r="V1570" i="1"/>
  <c r="W1570" i="1"/>
  <c r="Y1570" i="1"/>
  <c r="M1570" i="1"/>
  <c r="O1569" i="1"/>
  <c r="U1569" i="1"/>
  <c r="W1569" i="1"/>
  <c r="Y1569" i="1"/>
  <c r="M1569" i="1"/>
  <c r="O1568" i="1"/>
  <c r="M1568" i="1"/>
  <c r="O1567" i="1"/>
  <c r="Y1567" i="1"/>
  <c r="M1567" i="1"/>
  <c r="O1566" i="1"/>
  <c r="S1566" i="1"/>
  <c r="W1566" i="1"/>
  <c r="Y1566" i="1"/>
  <c r="M1566" i="1"/>
  <c r="O1565" i="1"/>
  <c r="R1565" i="1"/>
  <c r="V1565" i="1"/>
  <c r="Y1565" i="1"/>
  <c r="M1565" i="1"/>
  <c r="O1564" i="1"/>
  <c r="V1564" i="1"/>
  <c r="Y1564" i="1"/>
  <c r="M1564" i="1"/>
  <c r="AJ1563" i="1"/>
  <c r="O1563" i="1"/>
  <c r="Y1563" i="1"/>
  <c r="M1563" i="1"/>
  <c r="AJ1562" i="1"/>
  <c r="O1562" i="1"/>
  <c r="Y1562" i="1"/>
  <c r="M1562" i="1"/>
  <c r="M1561" i="1"/>
  <c r="M1560" i="1"/>
  <c r="T1559" i="1"/>
  <c r="U1559" i="1"/>
  <c r="W1559" i="1"/>
  <c r="Y1559" i="1"/>
  <c r="M1559" i="1"/>
  <c r="T1558" i="1"/>
  <c r="U1558" i="1"/>
  <c r="W1558" i="1"/>
  <c r="Y1558" i="1"/>
  <c r="M1558" i="1"/>
  <c r="M1557" i="1"/>
  <c r="Y1556" i="1"/>
  <c r="M1556" i="1"/>
  <c r="O1555" i="1"/>
  <c r="S1555" i="1"/>
  <c r="T1555" i="1"/>
  <c r="U1555" i="1"/>
  <c r="W1555" i="1"/>
  <c r="X1555" i="1"/>
  <c r="Y1555" i="1"/>
  <c r="M1555" i="1"/>
  <c r="O1554" i="1"/>
  <c r="M1554" i="1"/>
  <c r="O1553" i="1"/>
  <c r="M1553" i="1"/>
  <c r="O1552" i="1"/>
  <c r="M1552" i="1"/>
  <c r="O1551" i="1"/>
  <c r="R1551" i="1"/>
  <c r="S1551" i="1"/>
  <c r="M1551" i="1"/>
  <c r="R1550" i="1"/>
  <c r="M1550" i="1"/>
  <c r="O1549" i="1"/>
  <c r="R1549" i="1"/>
  <c r="M1549" i="1"/>
  <c r="O1548" i="1"/>
  <c r="R1548" i="1"/>
  <c r="S1548" i="1"/>
  <c r="Y1548" i="1"/>
  <c r="M1548" i="1"/>
  <c r="O1547" i="1"/>
  <c r="R1547" i="1"/>
  <c r="M1547" i="1"/>
  <c r="O1546" i="1"/>
  <c r="X1546" i="1"/>
  <c r="Y1546" i="1"/>
  <c r="M1546" i="1"/>
  <c r="O1541" i="1"/>
  <c r="M1541" i="1"/>
  <c r="M1540" i="1"/>
  <c r="M1539" i="1"/>
  <c r="M1538" i="1"/>
  <c r="O1537" i="1"/>
  <c r="U1537" i="1"/>
  <c r="Y1537" i="1"/>
  <c r="M1537" i="1"/>
  <c r="M1536" i="1"/>
  <c r="AB1535" i="1"/>
  <c r="O1535" i="1"/>
  <c r="R1535" i="1"/>
  <c r="S1535" i="1"/>
  <c r="X1535" i="1"/>
  <c r="Y1535" i="1"/>
  <c r="O1534" i="1"/>
  <c r="V1534" i="1"/>
  <c r="M1534" i="1"/>
  <c r="O1533" i="1"/>
  <c r="M1533" i="1"/>
  <c r="Y1532" i="1"/>
  <c r="M1532" i="1"/>
  <c r="Y1531" i="1"/>
  <c r="M1531" i="1"/>
  <c r="O1530" i="1"/>
  <c r="S1530" i="1"/>
  <c r="V1530" i="1"/>
  <c r="W1530" i="1"/>
  <c r="Y1530" i="1"/>
  <c r="O1529" i="1"/>
  <c r="S1529" i="1"/>
  <c r="W1529" i="1"/>
  <c r="Y1529" i="1"/>
  <c r="O1528" i="1"/>
  <c r="R1528" i="1"/>
  <c r="W1528" i="1"/>
  <c r="O1527" i="1"/>
  <c r="R1527" i="1"/>
  <c r="S1527" i="1"/>
  <c r="W1527" i="1"/>
  <c r="Y1527" i="1"/>
  <c r="O1526" i="1"/>
  <c r="M1526" i="1"/>
  <c r="O1525" i="1"/>
  <c r="Y1525" i="1"/>
  <c r="M1525" i="1"/>
  <c r="O1524" i="1"/>
  <c r="S1524" i="1"/>
  <c r="Y1524" i="1"/>
  <c r="M1524" i="1"/>
  <c r="O1523" i="1"/>
  <c r="R1523" i="1"/>
  <c r="S1523" i="1"/>
  <c r="W1523" i="1"/>
  <c r="Y1523" i="1"/>
  <c r="M1523" i="1"/>
  <c r="O1522" i="1"/>
  <c r="Y1522" i="1"/>
  <c r="M1522" i="1"/>
  <c r="O1521" i="1"/>
  <c r="S1521" i="1"/>
  <c r="Y1521" i="1"/>
  <c r="O1520" i="1"/>
  <c r="W1520" i="1"/>
  <c r="Y1520" i="1"/>
  <c r="O1519" i="1"/>
  <c r="M1519" i="1"/>
  <c r="O1518" i="1"/>
  <c r="M1518" i="1"/>
  <c r="O1517" i="1"/>
  <c r="M1517" i="1"/>
  <c r="Y1516" i="1"/>
  <c r="M1516" i="1"/>
  <c r="O1515" i="1"/>
  <c r="Y1515" i="1"/>
  <c r="M1515" i="1"/>
  <c r="O1514" i="1"/>
  <c r="S1514" i="1"/>
  <c r="M1514" i="1"/>
  <c r="O1513" i="1"/>
  <c r="R1513" i="1"/>
  <c r="M1513" i="1"/>
  <c r="T1512" i="1"/>
  <c r="W1512" i="1"/>
  <c r="Y1512" i="1"/>
  <c r="O1511" i="1"/>
  <c r="M1511" i="1"/>
  <c r="O1510" i="1"/>
  <c r="R1510" i="1"/>
  <c r="M1510" i="1"/>
  <c r="O1509" i="1"/>
  <c r="U1509" i="1"/>
  <c r="M1509" i="1"/>
  <c r="O1508" i="1"/>
  <c r="U1508" i="1"/>
  <c r="Y1508" i="1"/>
  <c r="M1508" i="1"/>
  <c r="O1507" i="1"/>
  <c r="R1507" i="1"/>
  <c r="M1507" i="1"/>
  <c r="O1506" i="1"/>
  <c r="U1506" i="1"/>
  <c r="Y1506" i="1"/>
  <c r="M1506" i="1"/>
  <c r="O1505" i="1"/>
  <c r="S1505" i="1"/>
  <c r="T1505" i="1"/>
  <c r="W1505" i="1"/>
  <c r="Y1505" i="1"/>
  <c r="M1505" i="1"/>
  <c r="Y1503" i="1"/>
  <c r="M1503" i="1"/>
  <c r="O1502" i="1"/>
  <c r="R1502" i="1"/>
  <c r="S1502" i="1"/>
  <c r="T1502" i="1"/>
  <c r="Y1502" i="1"/>
  <c r="M1502" i="1"/>
  <c r="O1501" i="1"/>
  <c r="Y1501" i="1"/>
  <c r="M1501" i="1"/>
  <c r="AJ1500" i="1"/>
  <c r="O1500" i="1"/>
  <c r="T1500" i="1"/>
  <c r="Y1500" i="1"/>
  <c r="M1500" i="1"/>
  <c r="Y1499" i="1"/>
  <c r="M1499" i="1"/>
  <c r="M1498" i="1"/>
  <c r="M1497" i="1"/>
  <c r="M1496" i="1"/>
  <c r="O1495" i="1"/>
  <c r="S1495" i="1"/>
  <c r="W1495" i="1"/>
  <c r="Y1495" i="1"/>
  <c r="M1495" i="1"/>
  <c r="O1494" i="1"/>
  <c r="R1494" i="1"/>
  <c r="T1494" i="1"/>
  <c r="U1494" i="1"/>
  <c r="W1494" i="1"/>
  <c r="Y1494" i="1"/>
  <c r="M1494" i="1"/>
  <c r="O1493" i="1"/>
  <c r="T1493" i="1"/>
  <c r="Y1493" i="1"/>
  <c r="M1493" i="1"/>
  <c r="M1492" i="1"/>
  <c r="M1491" i="1"/>
  <c r="O1490" i="1"/>
  <c r="R1490" i="1"/>
  <c r="M1490" i="1"/>
  <c r="Y1489" i="1"/>
  <c r="M1489" i="1"/>
  <c r="O1488" i="1"/>
  <c r="M1488" i="1"/>
  <c r="O1487" i="1"/>
  <c r="S1487" i="1"/>
  <c r="T1487" i="1"/>
  <c r="U1487" i="1"/>
  <c r="Y1487" i="1"/>
  <c r="M1487" i="1"/>
  <c r="O1486" i="1"/>
  <c r="M1486" i="1"/>
  <c r="O1485" i="1"/>
  <c r="M1485" i="1"/>
  <c r="O1484" i="1"/>
  <c r="Y1484" i="1"/>
  <c r="M1484" i="1"/>
  <c r="M1483" i="1"/>
  <c r="O1482" i="1"/>
  <c r="T1482" i="1"/>
  <c r="Y1482" i="1"/>
  <c r="M1482" i="1"/>
  <c r="O1481" i="1"/>
  <c r="M1481" i="1"/>
  <c r="O1480" i="1"/>
  <c r="M1480" i="1"/>
  <c r="O1479" i="1"/>
  <c r="R1479" i="1"/>
  <c r="T1479" i="1"/>
  <c r="W1479" i="1"/>
  <c r="Y1479" i="1"/>
  <c r="M1479" i="1"/>
  <c r="O1478" i="1"/>
  <c r="M1478" i="1"/>
  <c r="O1477" i="1"/>
  <c r="M1477" i="1"/>
  <c r="O1476" i="1"/>
  <c r="M1476" i="1"/>
  <c r="O1475" i="1"/>
  <c r="M1475" i="1"/>
  <c r="O1474" i="1"/>
  <c r="T1474" i="1"/>
  <c r="Y1474" i="1"/>
  <c r="M1474" i="1"/>
  <c r="R1473" i="1"/>
  <c r="T1473" i="1"/>
  <c r="W1473" i="1"/>
  <c r="Y1473" i="1"/>
  <c r="M1473" i="1"/>
  <c r="O1472" i="1"/>
  <c r="T1472" i="1"/>
  <c r="Y1472" i="1"/>
  <c r="M1472" i="1"/>
  <c r="O1471" i="1"/>
  <c r="S1471" i="1"/>
  <c r="T1471" i="1"/>
  <c r="Y1471" i="1"/>
  <c r="M1471" i="1"/>
  <c r="M1470" i="1"/>
  <c r="O1469" i="1"/>
  <c r="Y1469" i="1"/>
  <c r="M1469" i="1"/>
  <c r="M1468" i="1"/>
  <c r="O1467" i="1"/>
  <c r="U1467" i="1"/>
  <c r="M1467" i="1"/>
  <c r="V1466" i="1"/>
  <c r="M1466" i="1"/>
  <c r="O1465" i="1"/>
  <c r="V1465" i="1"/>
  <c r="M1465" i="1"/>
  <c r="M1464" i="1"/>
  <c r="O1463" i="1"/>
  <c r="U1463" i="1"/>
  <c r="M1463" i="1"/>
  <c r="M1462" i="1"/>
  <c r="M1461" i="1"/>
  <c r="M1460" i="1"/>
  <c r="O1459" i="1"/>
  <c r="U1459" i="1"/>
  <c r="V1459" i="1"/>
  <c r="W1459" i="1"/>
  <c r="X1459" i="1"/>
  <c r="Y1459" i="1"/>
  <c r="M1459" i="1"/>
  <c r="O1458" i="1"/>
  <c r="Y1458" i="1"/>
  <c r="M1458" i="1"/>
  <c r="O1457" i="1"/>
  <c r="M1457" i="1"/>
  <c r="M1456" i="1"/>
  <c r="AQ1455" i="1"/>
  <c r="V1455" i="1"/>
  <c r="M1455" i="1"/>
  <c r="O1454" i="1"/>
  <c r="S1454" i="1"/>
  <c r="U1454" i="1"/>
  <c r="O1453" i="1"/>
  <c r="U1453" i="1"/>
  <c r="V1453" i="1"/>
  <c r="W1453" i="1"/>
  <c r="Y1453" i="1"/>
  <c r="O1452" i="1"/>
  <c r="U1452" i="1"/>
  <c r="V1452" i="1"/>
  <c r="W1452" i="1"/>
  <c r="Y1452" i="1"/>
  <c r="O1451" i="1"/>
  <c r="W1451" i="1"/>
  <c r="X1451" i="1"/>
  <c r="Y1451" i="1"/>
  <c r="M1450" i="1"/>
  <c r="O1449" i="1"/>
  <c r="O1448" i="1"/>
  <c r="M1448" i="1"/>
  <c r="O1447" i="1"/>
  <c r="Y1447" i="1"/>
  <c r="AB1446" i="1"/>
  <c r="O1446" i="1"/>
  <c r="U1446" i="1"/>
  <c r="Y1446" i="1"/>
  <c r="U1445" i="1"/>
  <c r="Y1445" i="1"/>
  <c r="O1444" i="1"/>
  <c r="M1444" i="1"/>
  <c r="O1443" i="1"/>
  <c r="M1443" i="1"/>
  <c r="R1442" i="1"/>
  <c r="V1442" i="1"/>
  <c r="Y1442" i="1"/>
  <c r="M1442" i="1"/>
  <c r="O1441" i="1"/>
  <c r="V1441" i="1"/>
  <c r="Y1441" i="1"/>
  <c r="M1441" i="1"/>
  <c r="M1440" i="1"/>
  <c r="O1439" i="1"/>
  <c r="X1439" i="1"/>
  <c r="M1439" i="1"/>
  <c r="O1438" i="1"/>
  <c r="Y1438" i="1"/>
  <c r="M1438" i="1"/>
  <c r="O1437" i="1"/>
  <c r="M1437" i="1"/>
  <c r="O1436" i="1"/>
  <c r="U1436" i="1"/>
  <c r="W1436" i="1"/>
  <c r="Y1436" i="1"/>
  <c r="O1435" i="1"/>
  <c r="T1435" i="1"/>
  <c r="O1434" i="1"/>
  <c r="T1434" i="1"/>
  <c r="U1434" i="1"/>
  <c r="W1434" i="1"/>
  <c r="Y1434" i="1"/>
  <c r="O1433" i="1"/>
  <c r="W1433" i="1"/>
  <c r="Y1433" i="1"/>
  <c r="O1432" i="1"/>
  <c r="T1432" i="1"/>
  <c r="O1431" i="1"/>
  <c r="O1430" i="1"/>
  <c r="O1429" i="1"/>
  <c r="O1428" i="1"/>
  <c r="T1428" i="1"/>
  <c r="U1428" i="1"/>
  <c r="W1428" i="1"/>
  <c r="X1428" i="1"/>
  <c r="Y1428" i="1"/>
  <c r="O1427" i="1"/>
  <c r="T1427" i="1"/>
  <c r="U1427" i="1"/>
  <c r="O1426" i="1"/>
  <c r="U1426" i="1"/>
  <c r="W1426" i="1"/>
  <c r="Y1426" i="1"/>
  <c r="O1425" i="1"/>
  <c r="T1425" i="1"/>
  <c r="U1425" i="1"/>
  <c r="W1425" i="1"/>
  <c r="X1425" i="1"/>
  <c r="O1424" i="1"/>
  <c r="U1424" i="1"/>
  <c r="W1424" i="1"/>
  <c r="Y1424" i="1"/>
  <c r="O1423" i="1"/>
  <c r="U1423" i="1"/>
  <c r="O1422" i="1"/>
  <c r="T1422" i="1"/>
  <c r="U1422" i="1"/>
  <c r="W1422" i="1"/>
  <c r="Y1422" i="1"/>
  <c r="BO1421" i="1"/>
  <c r="BN1421" i="1"/>
  <c r="BM1421" i="1"/>
  <c r="BL1421" i="1"/>
  <c r="BK1421" i="1"/>
  <c r="BJ1421" i="1"/>
  <c r="BI1421" i="1"/>
  <c r="BH1421" i="1"/>
  <c r="BG1421" i="1"/>
  <c r="BF1421" i="1"/>
  <c r="BE1421" i="1"/>
  <c r="BD1421" i="1"/>
  <c r="BC1421" i="1"/>
  <c r="BB1421" i="1"/>
  <c r="BA1421" i="1"/>
  <c r="AZ1421" i="1"/>
  <c r="AY1421" i="1"/>
  <c r="AJ1421" i="1"/>
  <c r="O1421" i="1"/>
  <c r="S1421" i="1"/>
  <c r="U1421" i="1"/>
  <c r="W1421" i="1"/>
  <c r="Y1421" i="1"/>
  <c r="M1421" i="1"/>
  <c r="BO1420" i="1"/>
  <c r="BN1420" i="1"/>
  <c r="BM1420" i="1"/>
  <c r="BL1420" i="1"/>
  <c r="BK1420" i="1"/>
  <c r="BJ1420" i="1"/>
  <c r="BI1420" i="1"/>
  <c r="BH1420" i="1"/>
  <c r="BG1420" i="1"/>
  <c r="BF1420" i="1"/>
  <c r="BE1420" i="1"/>
  <c r="BD1420" i="1"/>
  <c r="BC1420" i="1"/>
  <c r="BB1420" i="1"/>
  <c r="BA1420" i="1"/>
  <c r="AZ1420" i="1"/>
  <c r="AY1420" i="1"/>
  <c r="O1420" i="1"/>
  <c r="M1420" i="1"/>
  <c r="BE1419" i="1"/>
  <c r="BC1419" i="1"/>
  <c r="BB1419" i="1"/>
  <c r="BA1419" i="1"/>
  <c r="AZ1419" i="1"/>
  <c r="AY1419" i="1"/>
  <c r="O1419" i="1"/>
  <c r="M1419" i="1"/>
  <c r="O1418" i="1"/>
  <c r="R1418" i="1"/>
  <c r="S1418" i="1"/>
  <c r="W1418" i="1"/>
  <c r="Y1418" i="1"/>
  <c r="O1417" i="1"/>
  <c r="V1417" i="1"/>
  <c r="W1417" i="1"/>
  <c r="W1416" i="1"/>
  <c r="O1415" i="1"/>
  <c r="T1415" i="1"/>
  <c r="W1415" i="1"/>
  <c r="Y1415" i="1"/>
  <c r="O1414" i="1"/>
  <c r="S1414" i="1"/>
  <c r="T1414" i="1"/>
  <c r="W1414" i="1"/>
  <c r="Y1414" i="1"/>
  <c r="O1413" i="1"/>
  <c r="T1413" i="1"/>
  <c r="W1413" i="1"/>
  <c r="Y1413" i="1"/>
  <c r="O1412" i="1"/>
  <c r="T1412" i="1"/>
  <c r="W1412" i="1"/>
  <c r="Y1412" i="1"/>
  <c r="AX1411" i="1"/>
  <c r="O1411" i="1"/>
  <c r="T1411" i="1"/>
  <c r="W1411" i="1"/>
  <c r="Y1411" i="1"/>
  <c r="AX1409" i="1"/>
  <c r="T1409" i="1"/>
  <c r="Y1409" i="1"/>
  <c r="AX1408" i="1"/>
  <c r="T1408" i="1"/>
  <c r="Y1408" i="1"/>
  <c r="AX1407" i="1"/>
  <c r="Y1406" i="1"/>
  <c r="AX1405" i="1"/>
  <c r="AX1403" i="1"/>
  <c r="O1403" i="1"/>
  <c r="T1403" i="1"/>
  <c r="W1403" i="1"/>
  <c r="Y1403" i="1"/>
  <c r="AX1402" i="1"/>
  <c r="Y1402" i="1"/>
  <c r="AX1401" i="1"/>
  <c r="AX1400" i="1"/>
  <c r="AX1399" i="1"/>
  <c r="AX1398" i="1"/>
  <c r="AX1397" i="1"/>
  <c r="O1397" i="1"/>
  <c r="T1397" i="1"/>
  <c r="Y1397" i="1"/>
  <c r="AX1396" i="1"/>
  <c r="T1396" i="1"/>
  <c r="Y1396" i="1"/>
  <c r="O1395" i="1"/>
  <c r="T1395" i="1"/>
  <c r="U1395" i="1"/>
  <c r="W1395" i="1"/>
  <c r="Y1395" i="1"/>
  <c r="O1393" i="1"/>
  <c r="W1393" i="1"/>
  <c r="O1392" i="1"/>
  <c r="U1392" i="1"/>
  <c r="W1392" i="1"/>
  <c r="Y1392" i="1"/>
  <c r="O1391" i="1"/>
  <c r="O1390" i="1"/>
  <c r="O1389" i="1"/>
  <c r="W1388" i="1"/>
  <c r="Y1388" i="1"/>
  <c r="O1387" i="1"/>
  <c r="T1387" i="1"/>
  <c r="W1387" i="1"/>
  <c r="Y1387" i="1"/>
  <c r="T1386" i="1"/>
  <c r="U1386" i="1"/>
  <c r="W1386" i="1"/>
  <c r="Y1386" i="1"/>
  <c r="O1384" i="1"/>
  <c r="O1383" i="1"/>
  <c r="W1383" i="1"/>
  <c r="O1381" i="1"/>
  <c r="O1380" i="1"/>
  <c r="AB1379" i="1"/>
  <c r="T1379" i="1"/>
  <c r="V1379" i="1"/>
  <c r="M1379" i="1"/>
  <c r="W1378" i="1"/>
  <c r="Y1378" i="1"/>
  <c r="M1378" i="1"/>
  <c r="O1377" i="1"/>
  <c r="R1377" i="1"/>
  <c r="V1377" i="1"/>
  <c r="W1377" i="1"/>
  <c r="X1377" i="1"/>
  <c r="Y1377" i="1"/>
  <c r="M1377" i="1"/>
  <c r="O1376" i="1"/>
  <c r="R1376" i="1"/>
  <c r="V1376" i="1"/>
  <c r="W1376" i="1"/>
  <c r="Y1376" i="1"/>
  <c r="M1376" i="1"/>
  <c r="O1375" i="1"/>
  <c r="U1375" i="1"/>
  <c r="Y1375" i="1"/>
  <c r="M1375" i="1"/>
  <c r="W1372" i="1"/>
  <c r="Y1372" i="1"/>
  <c r="M1372" i="1"/>
  <c r="AB1371" i="1"/>
  <c r="X1371" i="1"/>
  <c r="Y1371" i="1"/>
  <c r="M1371" i="1"/>
  <c r="M1368" i="1"/>
  <c r="O1367" i="1"/>
  <c r="Y1367" i="1"/>
  <c r="M1367" i="1"/>
  <c r="O1366" i="1"/>
  <c r="Y1366" i="1"/>
  <c r="M1366" i="1"/>
  <c r="V1365" i="1"/>
  <c r="M1365" i="1"/>
  <c r="O1364" i="1"/>
  <c r="R1364" i="1"/>
  <c r="S1364" i="1"/>
  <c r="T1364" i="1"/>
  <c r="Y1364" i="1"/>
  <c r="M1364" i="1"/>
  <c r="O1363" i="1"/>
  <c r="M1363" i="1"/>
  <c r="O1362" i="1"/>
  <c r="Y1362" i="1"/>
  <c r="M1362" i="1"/>
  <c r="M1361" i="1"/>
  <c r="S1360" i="1"/>
  <c r="Y1360" i="1"/>
  <c r="M1360" i="1"/>
  <c r="M1359" i="1"/>
  <c r="AT1358" i="1"/>
  <c r="O1358" i="1"/>
  <c r="V1358" i="1"/>
  <c r="W1358" i="1"/>
  <c r="Y1358" i="1"/>
  <c r="M1358" i="1"/>
  <c r="O1357" i="1"/>
  <c r="R1357" i="1"/>
  <c r="W1357" i="1"/>
  <c r="Y1357" i="1"/>
  <c r="M1357" i="1"/>
  <c r="Y1356" i="1"/>
  <c r="M1356" i="1"/>
  <c r="AI1355" i="1"/>
  <c r="AE1355" i="1"/>
  <c r="O1355" i="1"/>
  <c r="M1355" i="1"/>
  <c r="S1354" i="1"/>
  <c r="T1354" i="1"/>
  <c r="V1354" i="1"/>
  <c r="W1354" i="1"/>
  <c r="X1354" i="1"/>
  <c r="M1354" i="1"/>
  <c r="O1353" i="1"/>
  <c r="R1353" i="1"/>
  <c r="Y1353" i="1"/>
  <c r="M1353" i="1"/>
  <c r="O1352" i="1"/>
  <c r="O1351" i="1"/>
  <c r="S1351" i="1"/>
  <c r="T1351" i="1"/>
  <c r="W1351" i="1"/>
  <c r="Y1351" i="1"/>
  <c r="O1350" i="1"/>
  <c r="Y1350" i="1"/>
  <c r="M1349" i="1"/>
  <c r="O1348" i="1"/>
  <c r="M1348" i="1"/>
  <c r="O1347" i="1"/>
  <c r="T1347" i="1"/>
  <c r="U1347" i="1"/>
  <c r="W1347" i="1"/>
  <c r="Y1347" i="1"/>
  <c r="M1347" i="1"/>
  <c r="O1346" i="1"/>
  <c r="T1346" i="1"/>
  <c r="M1346" i="1"/>
  <c r="O1345" i="1"/>
  <c r="T1345" i="1"/>
  <c r="U1345" i="1"/>
  <c r="W1345" i="1"/>
  <c r="Y1345" i="1"/>
  <c r="M1345" i="1"/>
  <c r="O1344" i="1"/>
  <c r="T1344" i="1"/>
  <c r="W1344" i="1"/>
  <c r="M1344" i="1"/>
  <c r="O1343" i="1"/>
  <c r="S1343" i="1"/>
  <c r="Y1343" i="1"/>
  <c r="M1343" i="1"/>
  <c r="M1342" i="1"/>
  <c r="O1341" i="1"/>
  <c r="R1341" i="1"/>
  <c r="W1341" i="1"/>
  <c r="Y1341" i="1"/>
  <c r="M1341" i="1"/>
  <c r="O1340" i="1"/>
  <c r="R1340" i="1"/>
  <c r="T1340" i="1"/>
  <c r="W1340" i="1"/>
  <c r="Y1340" i="1"/>
  <c r="M1340" i="1"/>
  <c r="O1339" i="1"/>
  <c r="R1339" i="1"/>
  <c r="M1339" i="1"/>
  <c r="O1338" i="1"/>
  <c r="R1338" i="1"/>
  <c r="M1338" i="1"/>
  <c r="M1337" i="1"/>
  <c r="M1336" i="1"/>
  <c r="R1335" i="1"/>
  <c r="M1335" i="1"/>
  <c r="V1334" i="1"/>
  <c r="M1334" i="1"/>
  <c r="M1333" i="1"/>
  <c r="M1332" i="1"/>
  <c r="M1331" i="1"/>
  <c r="O1330" i="1"/>
  <c r="R1330" i="1"/>
  <c r="Y1330" i="1"/>
  <c r="M1330" i="1"/>
  <c r="O1329" i="1"/>
  <c r="Y1329" i="1"/>
  <c r="M1329" i="1"/>
  <c r="O1328" i="1"/>
  <c r="O1327" i="1"/>
  <c r="M1325" i="1"/>
  <c r="M1324" i="1"/>
  <c r="O1323" i="1"/>
  <c r="M1323" i="1"/>
  <c r="O1322" i="1"/>
  <c r="M1322" i="1"/>
  <c r="O1321" i="1"/>
  <c r="M1321" i="1"/>
  <c r="M1320" i="1"/>
  <c r="V1319" i="1"/>
  <c r="M1319" i="1"/>
  <c r="O1318" i="1"/>
  <c r="W1318" i="1"/>
  <c r="Y1318" i="1"/>
  <c r="M1318" i="1"/>
  <c r="M1317" i="1"/>
  <c r="M1316" i="1"/>
  <c r="M1315" i="1"/>
  <c r="O1314" i="1"/>
  <c r="M1314" i="1"/>
  <c r="O1313" i="1"/>
  <c r="R1313" i="1"/>
  <c r="T1313" i="1"/>
  <c r="U1313" i="1"/>
  <c r="W1313" i="1"/>
  <c r="Y1313" i="1"/>
  <c r="O1312" i="1"/>
  <c r="U1312" i="1"/>
  <c r="W1312" i="1"/>
  <c r="O1311" i="1"/>
  <c r="R1311" i="1"/>
  <c r="S1311" i="1"/>
  <c r="T1311" i="1"/>
  <c r="U1311" i="1"/>
  <c r="W1311" i="1"/>
  <c r="X1311" i="1"/>
  <c r="Y1311" i="1"/>
  <c r="O1310" i="1"/>
  <c r="R1310" i="1"/>
  <c r="S1310" i="1"/>
  <c r="T1310" i="1"/>
  <c r="U1310" i="1"/>
  <c r="W1310" i="1"/>
  <c r="X1310" i="1"/>
  <c r="Y1310" i="1"/>
  <c r="O1309" i="1"/>
  <c r="Y1309" i="1"/>
  <c r="M1309" i="1"/>
  <c r="AQ1308" i="1"/>
  <c r="M1308" i="1"/>
  <c r="AQ1307" i="1"/>
  <c r="O1307" i="1"/>
  <c r="M1307" i="1"/>
  <c r="O1306" i="1"/>
  <c r="T1306" i="1"/>
  <c r="V1306" i="1"/>
  <c r="W1306" i="1"/>
  <c r="M1306" i="1"/>
  <c r="AB1305" i="1"/>
  <c r="O1305" i="1"/>
  <c r="R1305" i="1"/>
  <c r="S1305" i="1"/>
  <c r="W1305" i="1"/>
  <c r="Y1305" i="1"/>
  <c r="M1305" i="1"/>
  <c r="AB1304" i="1"/>
  <c r="O1304" i="1"/>
  <c r="R1304" i="1"/>
  <c r="M1304" i="1"/>
  <c r="U1303" i="1"/>
  <c r="M1303" i="1"/>
  <c r="O1302" i="1"/>
  <c r="U1302" i="1"/>
  <c r="M1302" i="1"/>
  <c r="O1301" i="1"/>
  <c r="U1301" i="1"/>
  <c r="M1301" i="1"/>
  <c r="O1300" i="1"/>
  <c r="U1300" i="1"/>
  <c r="M1300" i="1"/>
  <c r="O1299" i="1"/>
  <c r="U1299" i="1"/>
  <c r="Y1299" i="1"/>
  <c r="M1299" i="1"/>
  <c r="AB1298" i="1"/>
  <c r="O1298" i="1"/>
  <c r="U1298" i="1"/>
  <c r="Y1298" i="1"/>
  <c r="M1298" i="1"/>
  <c r="AI1297" i="1"/>
  <c r="O1297" i="1"/>
  <c r="M1297" i="1"/>
  <c r="O1296" i="1"/>
  <c r="U1296" i="1"/>
  <c r="W1296" i="1"/>
  <c r="M1296" i="1"/>
  <c r="O1295" i="1"/>
  <c r="U1295" i="1"/>
  <c r="M1295" i="1"/>
  <c r="O1294" i="1"/>
  <c r="M1294" i="1"/>
  <c r="O1293" i="1"/>
  <c r="S1293" i="1"/>
  <c r="W1293" i="1"/>
  <c r="Y1293" i="1"/>
  <c r="M1292" i="1"/>
  <c r="W1291" i="1"/>
  <c r="Y1291" i="1"/>
  <c r="M1291" i="1"/>
  <c r="O1290" i="1"/>
  <c r="M1290" i="1"/>
  <c r="M1289" i="1"/>
  <c r="U1288" i="1"/>
  <c r="M1288" i="1"/>
  <c r="AI1287" i="1"/>
  <c r="U1287" i="1"/>
  <c r="M1287" i="1"/>
  <c r="O1286" i="1"/>
  <c r="Y1286" i="1"/>
  <c r="M1286" i="1"/>
  <c r="O1285" i="1"/>
  <c r="R1285" i="1"/>
  <c r="Y1285" i="1"/>
  <c r="M1285" i="1"/>
  <c r="O1284" i="1"/>
  <c r="R1284" i="1"/>
  <c r="X1284" i="1"/>
  <c r="Y1284" i="1"/>
  <c r="M1284" i="1"/>
  <c r="Y1283" i="1"/>
  <c r="M1283" i="1"/>
  <c r="Y1282" i="1"/>
  <c r="M1282" i="1"/>
  <c r="M1281" i="1"/>
  <c r="M1280" i="1"/>
  <c r="M1279" i="1"/>
  <c r="M1278" i="1"/>
  <c r="M1277" i="1"/>
  <c r="M1276" i="1"/>
  <c r="T1275" i="1"/>
  <c r="Y1275" i="1"/>
  <c r="M1275" i="1"/>
  <c r="O1274" i="1"/>
  <c r="U1274" i="1"/>
  <c r="V1274" i="1"/>
  <c r="O1273" i="1"/>
  <c r="M1273" i="1"/>
  <c r="M1272" i="1"/>
  <c r="M1271" i="1"/>
  <c r="W1270" i="1"/>
  <c r="Y1270" i="1"/>
  <c r="M1270" i="1"/>
  <c r="O1269" i="1"/>
  <c r="T1269" i="1"/>
  <c r="W1269" i="1"/>
  <c r="Y1269" i="1"/>
  <c r="M1269" i="1"/>
  <c r="O1268" i="1"/>
  <c r="T1268" i="1"/>
  <c r="U1268" i="1"/>
  <c r="W1268" i="1"/>
  <c r="Y1268" i="1"/>
  <c r="M1268" i="1"/>
  <c r="O1267" i="1"/>
  <c r="M1267" i="1"/>
  <c r="O1266" i="1"/>
  <c r="M1266" i="1"/>
  <c r="O1265" i="1"/>
  <c r="M1265" i="1"/>
  <c r="O1264" i="1"/>
  <c r="T1264" i="1"/>
  <c r="Y1264" i="1"/>
  <c r="M1264" i="1"/>
  <c r="O1263" i="1"/>
  <c r="M1263" i="1"/>
  <c r="W1262" i="1"/>
  <c r="Y1262" i="1"/>
  <c r="M1262" i="1"/>
  <c r="Y1261" i="1"/>
  <c r="M1261" i="1"/>
  <c r="O1260" i="1"/>
  <c r="V1260" i="1"/>
  <c r="Y1260" i="1"/>
  <c r="M1260" i="1"/>
  <c r="O1259" i="1"/>
  <c r="M1259" i="1"/>
  <c r="O1258" i="1"/>
  <c r="T1258" i="1"/>
  <c r="Y1258" i="1"/>
  <c r="M1258" i="1"/>
  <c r="O1257" i="1"/>
  <c r="R1257" i="1"/>
  <c r="T1257" i="1"/>
  <c r="U1257" i="1"/>
  <c r="W1257" i="1"/>
  <c r="Y1257" i="1"/>
  <c r="O1256" i="1"/>
  <c r="S1256" i="1"/>
  <c r="T1256" i="1"/>
  <c r="W1256" i="1"/>
  <c r="Y1256" i="1"/>
  <c r="T1255" i="1"/>
  <c r="W1255" i="1"/>
  <c r="Y1255" i="1"/>
  <c r="M1255" i="1"/>
  <c r="O1254" i="1"/>
  <c r="M1254" i="1"/>
  <c r="O1253" i="1"/>
  <c r="Y1253" i="1"/>
  <c r="M1253" i="1"/>
  <c r="R1252" i="1"/>
  <c r="T1252" i="1"/>
  <c r="W1252" i="1"/>
  <c r="Y1252" i="1"/>
  <c r="M1252" i="1"/>
  <c r="R1251" i="1"/>
  <c r="U1251" i="1"/>
  <c r="W1251" i="1"/>
  <c r="Y1251" i="1"/>
  <c r="M1251" i="1"/>
  <c r="M1250" i="1"/>
  <c r="O1249" i="1"/>
  <c r="W1249" i="1"/>
  <c r="Y1249" i="1"/>
  <c r="M1248" i="1"/>
  <c r="O1247" i="1"/>
  <c r="M1247" i="1"/>
  <c r="R1246" i="1"/>
  <c r="T1246" i="1"/>
  <c r="W1246" i="1"/>
  <c r="Y1246" i="1"/>
  <c r="M1246" i="1"/>
  <c r="O1245" i="1"/>
  <c r="W1245" i="1"/>
  <c r="X1245" i="1"/>
  <c r="Y1245" i="1"/>
  <c r="M1245" i="1"/>
  <c r="V1244" i="1"/>
  <c r="Y1244" i="1"/>
  <c r="M1244" i="1"/>
  <c r="M1243" i="1"/>
  <c r="M1242" i="1"/>
  <c r="O1241" i="1"/>
  <c r="Y1241" i="1"/>
  <c r="M1241" i="1"/>
  <c r="AB1240" i="1"/>
  <c r="R1240" i="1"/>
  <c r="U1240" i="1"/>
  <c r="V1240" i="1"/>
  <c r="W1240" i="1"/>
  <c r="Y1240" i="1"/>
  <c r="M1240" i="1"/>
  <c r="AI1239" i="1"/>
  <c r="AE1239" i="1"/>
  <c r="R1239" i="1"/>
  <c r="U1239" i="1"/>
  <c r="M1239" i="1"/>
  <c r="Y1238" i="1"/>
  <c r="M1238" i="1"/>
  <c r="Y1237" i="1"/>
  <c r="M1237" i="1"/>
  <c r="O1236" i="1"/>
  <c r="M1236" i="1"/>
  <c r="O1235" i="1"/>
  <c r="M1235" i="1"/>
  <c r="V1234" i="1"/>
  <c r="M1234" i="1"/>
  <c r="W1233" i="1"/>
  <c r="Y1233" i="1"/>
  <c r="M1233" i="1"/>
  <c r="W1232" i="1"/>
  <c r="Y1232" i="1"/>
  <c r="M1232" i="1"/>
  <c r="O1231" i="1"/>
  <c r="R1231" i="1"/>
  <c r="W1231" i="1"/>
  <c r="Y1231" i="1"/>
  <c r="M1231" i="1"/>
  <c r="Y1230" i="1"/>
  <c r="O1229" i="1"/>
  <c r="O1228" i="1"/>
  <c r="Y1228" i="1"/>
  <c r="Y1227" i="1"/>
  <c r="T1226" i="1"/>
  <c r="Y1226" i="1"/>
  <c r="M1226" i="1"/>
  <c r="M1225" i="1"/>
  <c r="O1224" i="1"/>
  <c r="T1224" i="1"/>
  <c r="U1224" i="1"/>
  <c r="V1224" i="1"/>
  <c r="W1224" i="1"/>
  <c r="Y1224" i="1"/>
  <c r="M1224" i="1"/>
  <c r="O1223" i="1"/>
  <c r="W1223" i="1"/>
  <c r="M1223" i="1"/>
  <c r="O1222" i="1"/>
  <c r="R1222" i="1"/>
  <c r="S1222" i="1"/>
  <c r="T1222" i="1"/>
  <c r="W1222" i="1"/>
  <c r="M1222" i="1"/>
  <c r="O1221" i="1"/>
  <c r="M1221" i="1"/>
  <c r="R1219" i="1"/>
  <c r="Y1219" i="1"/>
  <c r="Y1220" i="1"/>
  <c r="R1220" i="1"/>
  <c r="O1220" i="1"/>
  <c r="M1220" i="1"/>
  <c r="M1219" i="1"/>
  <c r="AT1218" i="1"/>
  <c r="W1218" i="1"/>
  <c r="Y1218" i="1"/>
  <c r="M1218" i="1"/>
  <c r="O1217" i="1"/>
  <c r="U1217" i="1"/>
  <c r="O1216" i="1"/>
  <c r="O1215" i="1"/>
  <c r="O1214" i="1"/>
  <c r="V1214" i="1"/>
  <c r="O1213" i="1"/>
  <c r="O1212" i="1"/>
  <c r="R1212" i="1"/>
  <c r="U1212" i="1"/>
  <c r="O1211" i="1"/>
  <c r="R1211" i="1"/>
  <c r="T1211" i="1"/>
  <c r="U1211" i="1"/>
  <c r="W1211" i="1"/>
  <c r="Y1211" i="1"/>
  <c r="Y1210" i="1"/>
  <c r="S1209" i="1"/>
  <c r="Y1209" i="1"/>
  <c r="AE1208" i="1"/>
  <c r="O1208" i="1"/>
  <c r="T1208" i="1"/>
  <c r="U1208" i="1"/>
  <c r="Y1208" i="1"/>
  <c r="O1207" i="1"/>
  <c r="R1207" i="1"/>
  <c r="T1207" i="1"/>
  <c r="O1206" i="1"/>
  <c r="U1206" i="1"/>
  <c r="O1205" i="1"/>
  <c r="O1204" i="1"/>
  <c r="T1204" i="1"/>
  <c r="Y1204" i="1"/>
  <c r="O1203" i="1"/>
  <c r="S1203" i="1"/>
  <c r="W1203" i="1"/>
  <c r="Y1203" i="1"/>
  <c r="O1202" i="1"/>
  <c r="R1202" i="1"/>
  <c r="T1202" i="1"/>
  <c r="U1202" i="1"/>
  <c r="V1202" i="1"/>
  <c r="W1202" i="1"/>
  <c r="X1202" i="1"/>
  <c r="Y1202" i="1"/>
  <c r="O1200" i="1"/>
  <c r="S1200" i="1"/>
  <c r="O1199" i="1"/>
  <c r="U1194" i="1"/>
  <c r="Y1194" i="1"/>
  <c r="O1193" i="1"/>
  <c r="Y1193" i="1"/>
  <c r="O1192" i="1"/>
  <c r="Y1192" i="1"/>
  <c r="M1192" i="1"/>
  <c r="O1191" i="1"/>
  <c r="Y1191" i="1"/>
  <c r="M1191" i="1"/>
  <c r="O1190" i="1"/>
  <c r="U1190" i="1"/>
  <c r="Y1190" i="1"/>
  <c r="S1189" i="1"/>
  <c r="W1189" i="1"/>
  <c r="AT1187" i="1"/>
  <c r="U1187" i="1"/>
  <c r="Y1187" i="1"/>
  <c r="AT1186" i="1"/>
  <c r="Y1186" i="1"/>
  <c r="O1185" i="1"/>
  <c r="U1185" i="1"/>
  <c r="R1184" i="1"/>
  <c r="S1184" i="1"/>
  <c r="T1184" i="1"/>
  <c r="W1184" i="1"/>
  <c r="O1183" i="1"/>
  <c r="R1180" i="1"/>
  <c r="S1180" i="1"/>
  <c r="T1180" i="1"/>
  <c r="V1180" i="1"/>
  <c r="W1180" i="1"/>
  <c r="Y1180" i="1"/>
  <c r="S1179" i="1"/>
  <c r="T1179" i="1"/>
  <c r="V1179" i="1"/>
  <c r="W1179" i="1"/>
  <c r="Y1179" i="1"/>
  <c r="O1178" i="1"/>
  <c r="X1178" i="1"/>
  <c r="Y1178" i="1"/>
  <c r="O1177" i="1"/>
  <c r="Y1177" i="1"/>
  <c r="O1173" i="1"/>
  <c r="R1173" i="1"/>
  <c r="U1173" i="1"/>
  <c r="W1173" i="1"/>
  <c r="Y1173" i="1"/>
  <c r="Y1172" i="1"/>
  <c r="O1171" i="1"/>
  <c r="R1171" i="1"/>
  <c r="T1171" i="1"/>
  <c r="W1171" i="1"/>
  <c r="X1171" i="1"/>
  <c r="Y1171" i="1"/>
  <c r="Y1170" i="1"/>
  <c r="O1169" i="1"/>
  <c r="Y1169" i="1"/>
  <c r="V1167" i="1"/>
  <c r="O1164" i="1"/>
  <c r="W1164" i="1"/>
  <c r="Y1164" i="1"/>
  <c r="O1163" i="1"/>
  <c r="R1163" i="1"/>
  <c r="T1163" i="1"/>
  <c r="W1163" i="1"/>
  <c r="Y1163" i="1"/>
  <c r="O1162" i="1"/>
  <c r="R1162" i="1"/>
  <c r="T1162" i="1"/>
  <c r="U1162" i="1"/>
  <c r="W1162" i="1"/>
  <c r="Y1162" i="1"/>
  <c r="O1160" i="1"/>
  <c r="U1160" i="1"/>
  <c r="W1160" i="1"/>
  <c r="Y1160" i="1"/>
  <c r="O1159" i="1"/>
  <c r="U1159" i="1"/>
  <c r="W1159" i="1"/>
  <c r="Y1159" i="1"/>
  <c r="O1158" i="1"/>
  <c r="V1158" i="1"/>
  <c r="W1158" i="1"/>
  <c r="Y1158" i="1"/>
  <c r="O1157" i="1"/>
  <c r="R1157" i="1"/>
  <c r="W1157" i="1"/>
  <c r="Y1157" i="1"/>
  <c r="R1156" i="1"/>
  <c r="W1156" i="1"/>
  <c r="Y1156" i="1"/>
  <c r="O1155" i="1"/>
  <c r="T1155" i="1"/>
  <c r="U1155" i="1"/>
  <c r="W1155" i="1"/>
  <c r="Y1155" i="1"/>
  <c r="O1154" i="1"/>
  <c r="T1154" i="1"/>
  <c r="W1154" i="1"/>
  <c r="X1154" i="1"/>
  <c r="Y1154" i="1"/>
  <c r="O1153" i="1"/>
  <c r="S1153" i="1"/>
  <c r="T1153" i="1"/>
  <c r="U1153" i="1"/>
  <c r="W1153" i="1"/>
  <c r="Y1153" i="1"/>
  <c r="O1152" i="1"/>
  <c r="T1152" i="1"/>
  <c r="U1152" i="1"/>
  <c r="W1152" i="1"/>
  <c r="Y1152" i="1"/>
  <c r="O1151" i="1"/>
  <c r="T1151" i="1"/>
  <c r="U1151" i="1"/>
  <c r="W1151" i="1"/>
  <c r="Y1151" i="1"/>
  <c r="W1150" i="1"/>
  <c r="Y1150" i="1"/>
  <c r="O1149" i="1"/>
  <c r="T1149" i="1"/>
  <c r="W1149" i="1"/>
  <c r="Y1149" i="1"/>
  <c r="O1148" i="1"/>
  <c r="O1147" i="1"/>
  <c r="O1145" i="1"/>
  <c r="O1144" i="1"/>
  <c r="AG1143" i="1"/>
  <c r="O1143" i="1"/>
  <c r="U1143" i="1"/>
  <c r="W1143" i="1"/>
  <c r="Y1143" i="1"/>
  <c r="O1141" i="1"/>
  <c r="S1141" i="1"/>
  <c r="W1141" i="1"/>
  <c r="Y1141" i="1"/>
  <c r="O1140" i="1"/>
  <c r="S1140" i="1"/>
  <c r="Y1140" i="1"/>
  <c r="O1139" i="1"/>
  <c r="T1139" i="1"/>
  <c r="M1139" i="1"/>
  <c r="O1138" i="1"/>
  <c r="U1138" i="1"/>
  <c r="V1138" i="1"/>
  <c r="W1138" i="1"/>
  <c r="X1138" i="1"/>
  <c r="Y1138" i="1"/>
  <c r="M1138" i="1"/>
  <c r="O1137" i="1"/>
  <c r="S1137" i="1"/>
  <c r="T1137" i="1"/>
  <c r="U1137" i="1"/>
  <c r="W1137" i="1"/>
  <c r="X1137" i="1"/>
  <c r="Y1137" i="1"/>
  <c r="M1137" i="1"/>
  <c r="O1136" i="1"/>
  <c r="T1136" i="1"/>
  <c r="U1136" i="1"/>
  <c r="W1136" i="1"/>
  <c r="Y1136" i="1"/>
  <c r="M1136" i="1"/>
  <c r="M1135" i="1"/>
  <c r="M1134" i="1"/>
  <c r="O1133" i="1"/>
  <c r="O1132" i="1"/>
  <c r="O1131" i="1"/>
  <c r="Y1131" i="1"/>
  <c r="O1130" i="1"/>
  <c r="W1130" i="1"/>
  <c r="O1129" i="1"/>
  <c r="V1129" i="1"/>
  <c r="W1129" i="1"/>
  <c r="W1128" i="1"/>
  <c r="O1127" i="1"/>
  <c r="V1127" i="1"/>
  <c r="W1127" i="1"/>
  <c r="Y1127" i="1"/>
  <c r="O1125" i="1"/>
  <c r="O1122" i="1"/>
  <c r="R1122" i="1"/>
  <c r="Y1122" i="1"/>
  <c r="O1121" i="1"/>
  <c r="Y1121" i="1"/>
  <c r="O1120" i="1"/>
  <c r="O1119" i="1"/>
  <c r="Y1119" i="1"/>
  <c r="O1118" i="1"/>
  <c r="W1118" i="1"/>
  <c r="O1117" i="1"/>
  <c r="V1117" i="1"/>
  <c r="W1117" i="1"/>
  <c r="O1116" i="1"/>
  <c r="W1116" i="1"/>
  <c r="Y1116" i="1"/>
  <c r="O1115" i="1"/>
  <c r="S1115" i="1"/>
  <c r="T1115" i="1"/>
  <c r="Y1115" i="1"/>
  <c r="O1114" i="1"/>
  <c r="Y1114" i="1"/>
  <c r="O1113" i="1"/>
  <c r="O1112" i="1"/>
  <c r="Y1112" i="1"/>
  <c r="O1109" i="1"/>
  <c r="O1097" i="1"/>
  <c r="R1097" i="1"/>
  <c r="U1097" i="1"/>
  <c r="V1097" i="1"/>
  <c r="W1097" i="1"/>
  <c r="Y1097" i="1"/>
  <c r="M1097" i="1"/>
  <c r="O1096" i="1"/>
  <c r="U1096" i="1"/>
  <c r="M1096" i="1"/>
  <c r="O1095" i="1"/>
  <c r="U1095" i="1"/>
  <c r="M1095" i="1"/>
  <c r="O1094" i="1"/>
  <c r="W1094" i="1"/>
  <c r="Y1094" i="1"/>
  <c r="M1094" i="1"/>
  <c r="O1093" i="1"/>
  <c r="U1093" i="1"/>
  <c r="W1093" i="1"/>
  <c r="Y1093" i="1"/>
  <c r="M1093" i="1"/>
  <c r="O1092" i="1"/>
  <c r="M1092" i="1"/>
  <c r="O1091" i="1"/>
  <c r="M1091" i="1"/>
  <c r="O1090" i="1"/>
  <c r="R1090" i="1"/>
  <c r="U1090" i="1"/>
  <c r="W1090" i="1"/>
  <c r="X1090" i="1"/>
  <c r="Y1090" i="1"/>
  <c r="M1090" i="1"/>
  <c r="AB1089" i="1"/>
  <c r="R1089" i="1"/>
  <c r="T1089" i="1"/>
  <c r="W1089" i="1"/>
  <c r="Y1089" i="1"/>
  <c r="Y1088" i="1"/>
  <c r="M1088" i="1"/>
  <c r="T1087" i="1"/>
  <c r="O1086" i="1"/>
  <c r="M1086" i="1"/>
  <c r="T1085" i="1"/>
  <c r="T1084" i="1"/>
  <c r="O1083" i="1"/>
  <c r="M1083" i="1"/>
  <c r="O1082" i="1"/>
  <c r="M1082" i="1"/>
  <c r="O1081" i="1"/>
  <c r="M1081" i="1"/>
  <c r="M1080" i="1"/>
  <c r="O1079" i="1"/>
  <c r="M1079" i="1"/>
  <c r="AB1078" i="1"/>
  <c r="O1078" i="1"/>
  <c r="T1078" i="1"/>
  <c r="U1078" i="1"/>
  <c r="W1078" i="1"/>
  <c r="X1078" i="1"/>
  <c r="Y1078" i="1"/>
  <c r="M1078" i="1"/>
  <c r="AB1077" i="1"/>
  <c r="O1077" i="1"/>
  <c r="T1077" i="1"/>
  <c r="U1077" i="1"/>
  <c r="W1077" i="1"/>
  <c r="X1077" i="1"/>
  <c r="Y1077" i="1"/>
  <c r="M1077" i="1"/>
  <c r="O1076" i="1"/>
  <c r="T1076" i="1"/>
  <c r="W1076" i="1"/>
  <c r="M1076" i="1"/>
  <c r="M1075" i="1"/>
  <c r="M1074" i="1"/>
  <c r="M1073" i="1"/>
  <c r="O1072" i="1"/>
  <c r="R1072" i="1"/>
  <c r="T1072" i="1"/>
  <c r="U1072" i="1"/>
  <c r="W1072" i="1"/>
  <c r="Y1072" i="1"/>
  <c r="M1072" i="1"/>
  <c r="O1071" i="1"/>
  <c r="R1071" i="1"/>
  <c r="T1071" i="1"/>
  <c r="U1071" i="1"/>
  <c r="W1071" i="1"/>
  <c r="Y1071" i="1"/>
  <c r="M1071" i="1"/>
  <c r="O1070" i="1"/>
  <c r="T1070" i="1"/>
  <c r="U1070" i="1"/>
  <c r="W1070" i="1"/>
  <c r="Y1070" i="1"/>
  <c r="M1070" i="1"/>
  <c r="O1069" i="1"/>
  <c r="S1069" i="1"/>
  <c r="W1069" i="1"/>
  <c r="X1069" i="1"/>
  <c r="Y1069" i="1"/>
  <c r="M1069" i="1"/>
  <c r="O1068" i="1"/>
  <c r="S1068" i="1"/>
  <c r="T1068" i="1"/>
  <c r="W1068" i="1"/>
  <c r="X1068" i="1"/>
  <c r="Y1068" i="1"/>
  <c r="M1068" i="1"/>
  <c r="O1067" i="1"/>
  <c r="O1066" i="1"/>
  <c r="R1066" i="1"/>
  <c r="T1066" i="1"/>
  <c r="O1065" i="1"/>
  <c r="R1065" i="1"/>
  <c r="T1065" i="1"/>
  <c r="W1065" i="1"/>
  <c r="X1065" i="1"/>
  <c r="O1064" i="1"/>
  <c r="W1064" i="1"/>
  <c r="O1063" i="1"/>
  <c r="O1062" i="1"/>
  <c r="U1062" i="1"/>
  <c r="O1061" i="1"/>
  <c r="R1061" i="1"/>
  <c r="Y1061" i="1"/>
  <c r="M1061" i="1"/>
  <c r="O1060" i="1"/>
  <c r="S1060" i="1"/>
  <c r="W1060" i="1"/>
  <c r="Y1060" i="1"/>
  <c r="M1060" i="1"/>
  <c r="O1059" i="1"/>
  <c r="R1059" i="1"/>
  <c r="T1059" i="1"/>
  <c r="W1059" i="1"/>
  <c r="Y1059" i="1"/>
  <c r="O1058" i="1"/>
  <c r="T1058" i="1"/>
  <c r="W1058" i="1"/>
  <c r="O1057" i="1"/>
  <c r="O1056" i="1"/>
  <c r="T1056" i="1"/>
  <c r="W1056" i="1"/>
  <c r="O1055" i="1"/>
  <c r="T1055" i="1"/>
  <c r="U1055" i="1"/>
  <c r="V1055" i="1"/>
  <c r="O1054" i="1"/>
  <c r="T1054" i="1"/>
  <c r="U1054" i="1"/>
  <c r="V1054" i="1"/>
  <c r="W1054" i="1"/>
  <c r="Y1054" i="1"/>
  <c r="O1053" i="1"/>
  <c r="T1053" i="1"/>
  <c r="U1053" i="1"/>
  <c r="O1052" i="1"/>
  <c r="U1052" i="1"/>
  <c r="W1052" i="1"/>
  <c r="Y1052" i="1"/>
  <c r="M1051" i="1"/>
  <c r="M1050" i="1"/>
  <c r="M1049" i="1"/>
  <c r="M1048" i="1"/>
  <c r="M1047" i="1"/>
  <c r="M1046" i="1"/>
  <c r="M1045" i="1"/>
  <c r="M1044" i="1"/>
  <c r="M1043" i="1"/>
  <c r="M1042" i="1"/>
  <c r="M1041" i="1"/>
  <c r="M1040" i="1"/>
  <c r="M1039" i="1"/>
  <c r="M1038" i="1"/>
  <c r="Y1037" i="1"/>
  <c r="M1037" i="1"/>
  <c r="Y1036" i="1"/>
  <c r="R1036" i="1"/>
  <c r="M1036" i="1"/>
  <c r="M1035" i="1"/>
  <c r="M1034" i="1"/>
  <c r="M1033" i="1"/>
  <c r="M1032" i="1"/>
  <c r="AD1031" i="1"/>
  <c r="M1031" i="1"/>
  <c r="AT1030" i="1"/>
  <c r="O1030" i="1"/>
  <c r="R1030" i="1"/>
  <c r="S1030" i="1"/>
  <c r="W1030" i="1"/>
  <c r="M1030" i="1"/>
  <c r="O1029" i="1"/>
  <c r="R1029" i="1"/>
  <c r="T1029" i="1"/>
  <c r="U1029" i="1"/>
  <c r="W1029" i="1"/>
  <c r="Y1029" i="1"/>
  <c r="M1029" i="1"/>
  <c r="M1028" i="1"/>
  <c r="R1027" i="1"/>
  <c r="M1027" i="1"/>
  <c r="O1026" i="1"/>
  <c r="R1026" i="1"/>
  <c r="O1024" i="1"/>
  <c r="S1024" i="1"/>
  <c r="V1024" i="1"/>
  <c r="Y1024" i="1"/>
  <c r="O1023" i="1"/>
  <c r="T1023" i="1"/>
  <c r="U1023" i="1"/>
  <c r="W1023" i="1"/>
  <c r="M1023" i="1"/>
  <c r="O1022" i="1"/>
  <c r="W1022" i="1"/>
  <c r="M1022" i="1"/>
  <c r="O1021" i="1"/>
  <c r="T1021" i="1"/>
  <c r="W1021" i="1"/>
  <c r="X1021" i="1"/>
  <c r="Y1021" i="1"/>
  <c r="M1021" i="1"/>
  <c r="O1020" i="1"/>
  <c r="V1020" i="1"/>
  <c r="M1020" i="1"/>
  <c r="O1019" i="1"/>
  <c r="R1019" i="1"/>
  <c r="S1019" i="1"/>
  <c r="W1019" i="1"/>
  <c r="Y1019" i="1"/>
  <c r="M1019" i="1"/>
  <c r="O1018" i="1"/>
  <c r="S1018" i="1"/>
  <c r="Y1018" i="1"/>
  <c r="M1018" i="1"/>
  <c r="M1017" i="1"/>
  <c r="AB1016" i="1"/>
  <c r="Y1016" i="1"/>
  <c r="M1016" i="1"/>
  <c r="O1015" i="1"/>
  <c r="T1015" i="1"/>
  <c r="U1015" i="1"/>
  <c r="W1015" i="1"/>
  <c r="Y1015" i="1"/>
  <c r="M1015" i="1"/>
  <c r="O1014" i="1"/>
  <c r="M1014" i="1"/>
  <c r="M1013" i="1"/>
  <c r="M1012" i="1"/>
  <c r="O1011" i="1"/>
  <c r="S1011" i="1"/>
  <c r="T1011" i="1"/>
  <c r="O1010" i="1"/>
  <c r="T1010" i="1"/>
  <c r="W1010" i="1"/>
  <c r="Y1010" i="1"/>
  <c r="O1009" i="1"/>
  <c r="T1009" i="1"/>
  <c r="W1009" i="1"/>
  <c r="Y1009" i="1"/>
  <c r="O1008" i="1"/>
  <c r="S1008" i="1"/>
  <c r="T1008" i="1"/>
  <c r="O1007" i="1"/>
  <c r="T1007" i="1"/>
  <c r="W1007" i="1"/>
  <c r="Y1007" i="1"/>
  <c r="O1006" i="1"/>
  <c r="M1006" i="1"/>
  <c r="O1005" i="1"/>
  <c r="M1005" i="1"/>
  <c r="O1004" i="1"/>
  <c r="M1004" i="1"/>
  <c r="O1003" i="1"/>
  <c r="M1003" i="1"/>
  <c r="Y1002" i="1"/>
  <c r="M1002" i="1"/>
  <c r="Y1001" i="1"/>
  <c r="M1001" i="1"/>
  <c r="Y1000" i="1"/>
  <c r="M1000" i="1"/>
  <c r="O999" i="1"/>
  <c r="W999" i="1"/>
  <c r="Y999" i="1"/>
  <c r="M999" i="1"/>
  <c r="O998" i="1"/>
  <c r="Y998" i="1"/>
  <c r="M998" i="1"/>
  <c r="M997" i="1"/>
  <c r="O996" i="1"/>
  <c r="R996" i="1"/>
  <c r="Y996" i="1"/>
  <c r="M996" i="1"/>
  <c r="O995" i="1"/>
  <c r="U995" i="1"/>
  <c r="M995" i="1"/>
  <c r="O994" i="1"/>
  <c r="M994" i="1"/>
  <c r="O993" i="1"/>
  <c r="M993" i="1"/>
  <c r="O992" i="1"/>
  <c r="M992" i="1"/>
  <c r="O991" i="1"/>
  <c r="S991" i="1"/>
  <c r="W991" i="1"/>
  <c r="Y991" i="1"/>
  <c r="M991" i="1"/>
  <c r="O990" i="1"/>
  <c r="M990" i="1"/>
  <c r="O989" i="1"/>
  <c r="W989" i="1"/>
  <c r="X989" i="1"/>
  <c r="Y989" i="1"/>
  <c r="M989" i="1"/>
  <c r="O988" i="1"/>
  <c r="M988" i="1"/>
  <c r="O987" i="1"/>
  <c r="Y987" i="1"/>
  <c r="M987" i="1"/>
  <c r="O986" i="1"/>
  <c r="T986" i="1"/>
  <c r="Y986" i="1"/>
  <c r="O985" i="1"/>
  <c r="U985" i="1"/>
  <c r="W985" i="1"/>
  <c r="Y985" i="1"/>
  <c r="M985" i="1"/>
  <c r="O984" i="1"/>
  <c r="T984" i="1"/>
  <c r="U984" i="1"/>
  <c r="W984" i="1"/>
  <c r="Y984" i="1"/>
  <c r="M984" i="1"/>
  <c r="O983" i="1"/>
  <c r="M983" i="1"/>
  <c r="M982" i="1"/>
  <c r="M981" i="1"/>
  <c r="R980" i="1"/>
  <c r="M980" i="1"/>
  <c r="M979" i="1"/>
  <c r="M978" i="1"/>
  <c r="M977" i="1"/>
  <c r="M976" i="1"/>
  <c r="M975" i="1"/>
  <c r="O974" i="1"/>
  <c r="W974" i="1"/>
  <c r="Y974" i="1"/>
  <c r="M974" i="1"/>
  <c r="O973" i="1"/>
  <c r="Y973" i="1"/>
  <c r="M973" i="1"/>
  <c r="AE972" i="1"/>
  <c r="O972" i="1"/>
  <c r="Y972" i="1"/>
  <c r="O971" i="1"/>
  <c r="W971" i="1"/>
  <c r="Y971" i="1"/>
  <c r="O970" i="1"/>
  <c r="R970" i="1"/>
  <c r="W970" i="1"/>
  <c r="X970" i="1"/>
  <c r="Y970" i="1"/>
  <c r="O969" i="1"/>
  <c r="S969" i="1"/>
  <c r="W969" i="1"/>
  <c r="Y969" i="1"/>
  <c r="O968" i="1"/>
  <c r="R968" i="1"/>
  <c r="S968" i="1"/>
  <c r="T968" i="1"/>
  <c r="U968" i="1"/>
  <c r="V968" i="1"/>
  <c r="X968" i="1"/>
  <c r="Y968" i="1"/>
  <c r="M968" i="1"/>
  <c r="O967" i="1"/>
  <c r="S967" i="1"/>
  <c r="T967" i="1"/>
  <c r="U967" i="1"/>
  <c r="M967" i="1"/>
  <c r="M966" i="1"/>
  <c r="M965" i="1"/>
  <c r="M964" i="1"/>
  <c r="O963" i="1"/>
  <c r="M963" i="1"/>
  <c r="V962" i="1"/>
  <c r="M962" i="1"/>
  <c r="O961" i="1"/>
  <c r="R961" i="1"/>
  <c r="V961" i="1"/>
  <c r="M961" i="1"/>
  <c r="O960" i="1"/>
  <c r="S960" i="1"/>
  <c r="Y960" i="1"/>
  <c r="M960" i="1"/>
  <c r="O959" i="1"/>
  <c r="M959" i="1"/>
  <c r="O958" i="1"/>
  <c r="M958" i="1"/>
  <c r="O957" i="1"/>
  <c r="V957" i="1"/>
  <c r="M957" i="1"/>
  <c r="AD956" i="1"/>
  <c r="O956" i="1"/>
  <c r="T956" i="1"/>
  <c r="U956" i="1"/>
  <c r="W956" i="1"/>
  <c r="Y956" i="1"/>
  <c r="M956" i="1"/>
  <c r="O955" i="1"/>
  <c r="U955" i="1"/>
  <c r="M955" i="1"/>
  <c r="O954" i="1"/>
  <c r="U954" i="1"/>
  <c r="M954" i="1"/>
  <c r="O953" i="1"/>
  <c r="U953" i="1"/>
  <c r="M953" i="1"/>
  <c r="AB952" i="1"/>
  <c r="O952" i="1"/>
  <c r="S952" i="1"/>
  <c r="V952" i="1"/>
  <c r="Y952" i="1"/>
  <c r="M952" i="1"/>
  <c r="O951" i="1"/>
  <c r="M951" i="1"/>
  <c r="O950" i="1"/>
  <c r="M950" i="1"/>
  <c r="O949" i="1"/>
  <c r="M949" i="1"/>
  <c r="O948" i="1"/>
  <c r="T948" i="1"/>
  <c r="U948" i="1"/>
  <c r="W948" i="1"/>
  <c r="X948" i="1"/>
  <c r="Y948" i="1"/>
  <c r="M948" i="1"/>
  <c r="AD947" i="1"/>
  <c r="O947" i="1"/>
  <c r="M947" i="1"/>
  <c r="AD946" i="1"/>
  <c r="O946" i="1"/>
  <c r="M946" i="1"/>
  <c r="AD945" i="1"/>
  <c r="O945" i="1"/>
  <c r="R945" i="1"/>
  <c r="Y945" i="1"/>
  <c r="M945" i="1"/>
  <c r="AD944" i="1"/>
  <c r="O944" i="1"/>
  <c r="M944" i="1"/>
  <c r="AQ943" i="1"/>
  <c r="AD943" i="1"/>
  <c r="M943" i="1"/>
  <c r="M942" i="1"/>
  <c r="O941" i="1"/>
  <c r="M941" i="1"/>
  <c r="O940" i="1"/>
  <c r="M940" i="1"/>
  <c r="O939" i="1"/>
  <c r="W939" i="1"/>
  <c r="Y939" i="1"/>
  <c r="M939" i="1"/>
  <c r="O938" i="1"/>
  <c r="M938" i="1"/>
  <c r="O937" i="1"/>
  <c r="Y937" i="1"/>
  <c r="M937" i="1"/>
  <c r="T936" i="1"/>
  <c r="M936" i="1"/>
  <c r="T935" i="1"/>
  <c r="M935" i="1"/>
  <c r="T934" i="1"/>
  <c r="Y934" i="1"/>
  <c r="M934" i="1"/>
  <c r="O933" i="1"/>
  <c r="T933" i="1"/>
  <c r="M933" i="1"/>
  <c r="T932" i="1"/>
  <c r="M932" i="1"/>
  <c r="AD931" i="1"/>
  <c r="O931" i="1"/>
  <c r="M931" i="1"/>
  <c r="M930" i="1"/>
  <c r="Y929" i="1"/>
  <c r="O928" i="1"/>
  <c r="V928" i="1"/>
  <c r="W928" i="1"/>
  <c r="X928" i="1"/>
  <c r="O927" i="1"/>
  <c r="R927" i="1"/>
  <c r="S927" i="1"/>
  <c r="T927" i="1"/>
  <c r="W927" i="1"/>
  <c r="Y927" i="1"/>
  <c r="O926" i="1"/>
  <c r="O925" i="1"/>
  <c r="O924" i="1"/>
  <c r="S924" i="1"/>
  <c r="Y924" i="1"/>
  <c r="O923" i="1"/>
  <c r="Y923" i="1"/>
  <c r="O922" i="1"/>
  <c r="Y922" i="1"/>
  <c r="O921" i="1"/>
  <c r="R921" i="1"/>
  <c r="O920" i="1"/>
  <c r="R920" i="1"/>
  <c r="S920" i="1"/>
  <c r="Y920" i="1"/>
  <c r="O919" i="1"/>
  <c r="O918" i="1"/>
  <c r="X918" i="1"/>
  <c r="Y918" i="1"/>
  <c r="V916" i="1"/>
  <c r="W916" i="1"/>
  <c r="Y916" i="1"/>
  <c r="W915" i="1"/>
  <c r="Y915" i="1"/>
  <c r="O914" i="1"/>
  <c r="W914" i="1"/>
  <c r="Y914" i="1"/>
  <c r="O913" i="1"/>
  <c r="W913" i="1"/>
  <c r="O912" i="1"/>
  <c r="Y912" i="1"/>
  <c r="S911" i="1"/>
  <c r="T911" i="1"/>
  <c r="W911" i="1"/>
  <c r="O910" i="1"/>
  <c r="V910" i="1"/>
  <c r="U909" i="1"/>
  <c r="V909" i="1"/>
  <c r="Y909" i="1"/>
  <c r="O908" i="1"/>
  <c r="U908" i="1"/>
  <c r="V908" i="1"/>
  <c r="W908" i="1"/>
  <c r="Y908" i="1"/>
  <c r="O907" i="1"/>
  <c r="V907" i="1"/>
  <c r="W907" i="1"/>
  <c r="Y907" i="1"/>
  <c r="T906" i="1"/>
  <c r="W906" i="1"/>
  <c r="X906" i="1"/>
  <c r="Y906" i="1"/>
  <c r="X905" i="1"/>
  <c r="Y905" i="1"/>
  <c r="O904" i="1"/>
  <c r="W904" i="1"/>
  <c r="X904" i="1"/>
  <c r="Y904" i="1"/>
  <c r="O903" i="1"/>
  <c r="Y903" i="1"/>
  <c r="Y902" i="1"/>
  <c r="O901" i="1"/>
  <c r="S901" i="1"/>
  <c r="Y901" i="1"/>
  <c r="O900" i="1"/>
  <c r="S900" i="1"/>
  <c r="Y900" i="1"/>
  <c r="S899" i="1"/>
  <c r="T899" i="1"/>
  <c r="W899" i="1"/>
  <c r="S898" i="1"/>
  <c r="T898" i="1"/>
  <c r="W898" i="1"/>
  <c r="V896" i="1"/>
  <c r="W896" i="1"/>
  <c r="Y896" i="1"/>
  <c r="Y895" i="1"/>
  <c r="M894" i="1"/>
  <c r="O893" i="1"/>
  <c r="O892" i="1"/>
  <c r="O891" i="1"/>
  <c r="S891" i="1"/>
  <c r="T891" i="1"/>
  <c r="W891" i="1"/>
  <c r="Y891" i="1"/>
  <c r="O890" i="1"/>
  <c r="O889" i="1"/>
  <c r="U889" i="1"/>
  <c r="V889" i="1"/>
  <c r="W889" i="1"/>
  <c r="Y889" i="1"/>
  <c r="O886" i="1"/>
  <c r="O885" i="1"/>
  <c r="R885" i="1"/>
  <c r="S885" i="1"/>
  <c r="T885" i="1"/>
  <c r="U885" i="1"/>
  <c r="V885" i="1"/>
  <c r="W885" i="1"/>
  <c r="X885" i="1"/>
  <c r="Y885" i="1"/>
  <c r="O884" i="1"/>
  <c r="R884" i="1"/>
  <c r="T884" i="1"/>
  <c r="U884" i="1"/>
  <c r="O883" i="1"/>
  <c r="O882" i="1"/>
  <c r="O880" i="1"/>
  <c r="Y880" i="1"/>
  <c r="O878" i="1"/>
  <c r="V876" i="1"/>
  <c r="O875" i="1"/>
  <c r="R875" i="1"/>
  <c r="T875" i="1"/>
  <c r="W875" i="1"/>
  <c r="Y875" i="1"/>
  <c r="AE874" i="1"/>
  <c r="O874" i="1"/>
  <c r="R874" i="1"/>
  <c r="T874" i="1"/>
  <c r="V874" i="1"/>
  <c r="Y874" i="1"/>
  <c r="AE873" i="1"/>
  <c r="O873" i="1"/>
  <c r="R873" i="1"/>
  <c r="V873" i="1"/>
  <c r="W873" i="1"/>
  <c r="Y873" i="1"/>
  <c r="AE872" i="1"/>
  <c r="O872" i="1"/>
  <c r="R872" i="1"/>
  <c r="W872" i="1"/>
  <c r="Y872" i="1"/>
  <c r="O871" i="1"/>
  <c r="R871" i="1"/>
  <c r="V871" i="1"/>
  <c r="Y871" i="1"/>
  <c r="M871" i="1"/>
  <c r="U870" i="1"/>
  <c r="V870" i="1"/>
  <c r="Y870" i="1"/>
  <c r="O869" i="1"/>
  <c r="U869" i="1"/>
  <c r="W869" i="1"/>
  <c r="Y869" i="1"/>
  <c r="M869" i="1"/>
  <c r="O868" i="1"/>
  <c r="R868" i="1"/>
  <c r="U868" i="1"/>
  <c r="W868" i="1"/>
  <c r="Y868" i="1"/>
  <c r="M868" i="1"/>
  <c r="O867" i="1"/>
  <c r="R867" i="1"/>
  <c r="S867" i="1"/>
  <c r="U867" i="1"/>
  <c r="W867" i="1"/>
  <c r="X867" i="1"/>
  <c r="Y867" i="1"/>
  <c r="M867" i="1"/>
  <c r="R866" i="1"/>
  <c r="T866" i="1"/>
  <c r="W866" i="1"/>
  <c r="Y866" i="1"/>
  <c r="R865" i="1"/>
  <c r="S865" i="1"/>
  <c r="T865" i="1"/>
  <c r="W865" i="1"/>
  <c r="X865" i="1"/>
  <c r="Y865" i="1"/>
  <c r="Y864" i="1"/>
  <c r="Y863" i="1"/>
  <c r="O862" i="1"/>
  <c r="Y862" i="1"/>
  <c r="O861" i="1"/>
  <c r="T861" i="1"/>
  <c r="Y861" i="1"/>
  <c r="O860" i="1"/>
  <c r="S860" i="1"/>
  <c r="T860" i="1"/>
  <c r="W860" i="1"/>
  <c r="Y860" i="1"/>
  <c r="O859" i="1"/>
  <c r="S859" i="1"/>
  <c r="T859" i="1"/>
  <c r="U859" i="1"/>
  <c r="W859" i="1"/>
  <c r="Y859" i="1"/>
  <c r="O858" i="1"/>
  <c r="V858" i="1"/>
  <c r="O857" i="1"/>
  <c r="S857" i="1"/>
  <c r="T857" i="1"/>
  <c r="U857" i="1"/>
  <c r="W857" i="1"/>
  <c r="X857" i="1"/>
  <c r="Y857" i="1"/>
  <c r="O856" i="1"/>
  <c r="V856" i="1"/>
  <c r="O855" i="1"/>
  <c r="U855" i="1"/>
  <c r="V855" i="1"/>
  <c r="Y855" i="1"/>
  <c r="O854" i="1"/>
  <c r="Y854" i="1"/>
  <c r="O853" i="1"/>
  <c r="R853" i="1"/>
  <c r="S853" i="1"/>
  <c r="T853" i="1"/>
  <c r="Y853" i="1"/>
  <c r="Y852" i="1"/>
  <c r="O851" i="1"/>
  <c r="V851" i="1"/>
  <c r="O850" i="1"/>
  <c r="O849" i="1"/>
  <c r="O848" i="1"/>
  <c r="R848" i="1"/>
  <c r="S848" i="1"/>
  <c r="T848" i="1"/>
  <c r="Y848" i="1"/>
  <c r="O847" i="1"/>
  <c r="S847" i="1"/>
  <c r="T847" i="1"/>
  <c r="U847" i="1"/>
  <c r="W847" i="1"/>
  <c r="Y847" i="1"/>
  <c r="O846" i="1"/>
  <c r="S846" i="1"/>
  <c r="T846" i="1"/>
  <c r="U846" i="1"/>
  <c r="W846" i="1"/>
  <c r="Y846" i="1"/>
  <c r="O845" i="1"/>
  <c r="T845" i="1"/>
  <c r="W843" i="1"/>
  <c r="Y843" i="1"/>
  <c r="AB842" i="1"/>
  <c r="O842" i="1"/>
  <c r="W842" i="1"/>
  <c r="Y842" i="1"/>
  <c r="O841" i="1"/>
  <c r="R841" i="1"/>
  <c r="T841" i="1"/>
  <c r="U841" i="1"/>
  <c r="V841" i="1"/>
  <c r="W841" i="1"/>
  <c r="X841" i="1"/>
  <c r="Y841" i="1"/>
  <c r="O840" i="1"/>
  <c r="T840" i="1"/>
  <c r="U840" i="1"/>
  <c r="W840" i="1"/>
  <c r="Y840" i="1"/>
  <c r="O839" i="1"/>
  <c r="T838" i="1"/>
  <c r="W838" i="1"/>
  <c r="Y838" i="1"/>
  <c r="T837" i="1"/>
  <c r="W837" i="1"/>
  <c r="Y837" i="1"/>
  <c r="O836" i="1"/>
  <c r="T836" i="1"/>
  <c r="U836" i="1"/>
  <c r="Y836" i="1"/>
  <c r="O835" i="1"/>
  <c r="S835" i="1"/>
  <c r="T835" i="1"/>
  <c r="U835" i="1"/>
  <c r="W835" i="1"/>
  <c r="Y835" i="1"/>
  <c r="O834" i="1"/>
  <c r="Y834" i="1"/>
  <c r="O833" i="1"/>
  <c r="S833" i="1"/>
  <c r="T833" i="1"/>
  <c r="V833" i="1"/>
  <c r="Y833" i="1"/>
  <c r="O832" i="1"/>
  <c r="O831" i="1"/>
  <c r="S831" i="1"/>
  <c r="Y831" i="1"/>
  <c r="O829" i="1"/>
  <c r="T829" i="1"/>
  <c r="W829" i="1"/>
  <c r="Y829" i="1"/>
  <c r="O828" i="1"/>
  <c r="R828" i="1"/>
  <c r="S828" i="1"/>
  <c r="T828" i="1"/>
  <c r="Y828" i="1"/>
  <c r="O827" i="1"/>
  <c r="V827" i="1"/>
  <c r="Y827" i="1"/>
  <c r="O826" i="1"/>
  <c r="T826" i="1"/>
  <c r="V826" i="1"/>
  <c r="W826" i="1"/>
  <c r="Y826" i="1"/>
  <c r="Y825" i="1"/>
  <c r="O824" i="1"/>
  <c r="S824" i="1"/>
  <c r="O823" i="1"/>
  <c r="S823" i="1"/>
  <c r="T823" i="1"/>
  <c r="Y823" i="1"/>
  <c r="Y822" i="1"/>
  <c r="Y821" i="1"/>
  <c r="V820" i="1"/>
  <c r="Y820" i="1"/>
  <c r="O819" i="1"/>
  <c r="S819" i="1"/>
  <c r="Y819" i="1"/>
  <c r="O817" i="1"/>
  <c r="R817" i="1"/>
  <c r="S817" i="1"/>
  <c r="U817" i="1"/>
  <c r="Y817" i="1"/>
  <c r="O816" i="1"/>
  <c r="W816" i="1"/>
  <c r="X816" i="1"/>
  <c r="M816" i="1"/>
  <c r="R815" i="1"/>
  <c r="T815" i="1"/>
  <c r="U815" i="1"/>
  <c r="W815" i="1"/>
  <c r="X815" i="1"/>
  <c r="M815" i="1"/>
  <c r="R814" i="1"/>
  <c r="S814" i="1"/>
  <c r="T814" i="1"/>
  <c r="W814" i="1"/>
  <c r="Y814" i="1"/>
  <c r="M814" i="1"/>
  <c r="O813" i="1"/>
  <c r="V813" i="1"/>
  <c r="M813" i="1"/>
  <c r="O812" i="1"/>
  <c r="V812" i="1"/>
  <c r="M812" i="1"/>
  <c r="O811" i="1"/>
  <c r="R811" i="1"/>
  <c r="U811" i="1"/>
  <c r="W811" i="1"/>
  <c r="Y811" i="1"/>
  <c r="M811" i="1"/>
  <c r="AI810" i="1"/>
  <c r="O810" i="1"/>
  <c r="W810" i="1"/>
  <c r="Y810" i="1"/>
  <c r="O809" i="1"/>
  <c r="R809" i="1"/>
  <c r="T809" i="1"/>
  <c r="U809" i="1"/>
  <c r="V809" i="1"/>
  <c r="W809" i="1"/>
  <c r="Y809" i="1"/>
  <c r="M809" i="1"/>
  <c r="O808" i="1"/>
  <c r="R808" i="1"/>
  <c r="S808" i="1"/>
  <c r="T808" i="1"/>
  <c r="U808" i="1"/>
  <c r="V808" i="1"/>
  <c r="W808" i="1"/>
  <c r="X808" i="1"/>
  <c r="Y808" i="1"/>
  <c r="M808" i="1"/>
  <c r="Y807" i="1"/>
  <c r="M807" i="1"/>
  <c r="O806" i="1"/>
  <c r="M806" i="1"/>
  <c r="O805" i="1"/>
  <c r="T805" i="1"/>
  <c r="W805" i="1"/>
  <c r="Y805" i="1"/>
  <c r="M805" i="1"/>
  <c r="O804" i="1"/>
  <c r="S804" i="1"/>
  <c r="T804" i="1"/>
  <c r="Y804" i="1"/>
  <c r="M804" i="1"/>
  <c r="O803" i="1"/>
  <c r="S803" i="1"/>
  <c r="T803" i="1"/>
  <c r="V803" i="1"/>
  <c r="Y803" i="1"/>
  <c r="M803" i="1"/>
  <c r="O802" i="1"/>
  <c r="S802" i="1"/>
  <c r="T802" i="1"/>
  <c r="V802" i="1"/>
  <c r="Y802" i="1"/>
  <c r="M802" i="1"/>
  <c r="O801" i="1"/>
  <c r="M801" i="1"/>
  <c r="M800" i="1"/>
  <c r="M799" i="1"/>
  <c r="M798" i="1"/>
  <c r="O797" i="1"/>
  <c r="R797" i="1"/>
  <c r="S797" i="1"/>
  <c r="T797" i="1"/>
  <c r="V797" i="1"/>
  <c r="M797" i="1"/>
  <c r="O796" i="1"/>
  <c r="S796" i="1"/>
  <c r="T796" i="1"/>
  <c r="V796" i="1"/>
  <c r="M796" i="1"/>
  <c r="O795" i="1"/>
  <c r="R795" i="1"/>
  <c r="S795" i="1"/>
  <c r="T795" i="1"/>
  <c r="V795" i="1"/>
  <c r="M795" i="1"/>
  <c r="O794" i="1"/>
  <c r="M794" i="1"/>
  <c r="V793" i="1"/>
  <c r="Y793" i="1"/>
  <c r="M793" i="1"/>
  <c r="O792" i="1"/>
  <c r="Y792" i="1"/>
  <c r="M792" i="1"/>
  <c r="O791" i="1"/>
  <c r="W791" i="1"/>
  <c r="M791" i="1"/>
  <c r="AB790" i="1"/>
  <c r="O790" i="1"/>
  <c r="R790" i="1"/>
  <c r="U790" i="1"/>
  <c r="V790" i="1"/>
  <c r="M790" i="1"/>
  <c r="O789" i="1"/>
  <c r="M789" i="1"/>
  <c r="O788" i="1"/>
  <c r="S788" i="1"/>
  <c r="W788" i="1"/>
  <c r="M788" i="1"/>
  <c r="M787" i="1"/>
  <c r="M786" i="1"/>
  <c r="O785" i="1"/>
  <c r="Y785" i="1"/>
  <c r="M785" i="1"/>
  <c r="O784" i="1"/>
  <c r="R784" i="1"/>
  <c r="S784" i="1"/>
  <c r="U784" i="1"/>
  <c r="Y784" i="1"/>
  <c r="M784" i="1"/>
  <c r="O783" i="1"/>
  <c r="Y783" i="1"/>
  <c r="M783" i="1"/>
  <c r="O782" i="1"/>
  <c r="R782" i="1"/>
  <c r="T782" i="1"/>
  <c r="U782" i="1"/>
  <c r="W782" i="1"/>
  <c r="Y782" i="1"/>
  <c r="M782" i="1"/>
  <c r="O781" i="1"/>
  <c r="U781" i="1"/>
  <c r="V781" i="1"/>
  <c r="W781" i="1"/>
  <c r="Y781" i="1"/>
  <c r="M781" i="1"/>
  <c r="O780" i="1"/>
  <c r="T780" i="1"/>
  <c r="U780" i="1"/>
  <c r="V780" i="1"/>
  <c r="W780" i="1"/>
  <c r="X780" i="1"/>
  <c r="Y780" i="1"/>
  <c r="M780" i="1"/>
  <c r="O779" i="1"/>
  <c r="T779" i="1"/>
  <c r="U779" i="1"/>
  <c r="W779" i="1"/>
  <c r="Y779" i="1"/>
  <c r="M779" i="1"/>
  <c r="O778" i="1"/>
  <c r="V778" i="1"/>
  <c r="W778" i="1"/>
  <c r="Y778" i="1"/>
  <c r="M778" i="1"/>
  <c r="Y777" i="1"/>
  <c r="M777" i="1"/>
  <c r="O776" i="1"/>
  <c r="U776" i="1"/>
  <c r="V776" i="1"/>
  <c r="W776" i="1"/>
  <c r="X776" i="1"/>
  <c r="Y776" i="1"/>
  <c r="M776" i="1"/>
  <c r="Y775" i="1"/>
  <c r="M775" i="1"/>
  <c r="Y774" i="1"/>
  <c r="M774" i="1"/>
  <c r="O773" i="1"/>
  <c r="R773" i="1"/>
  <c r="T773" i="1"/>
  <c r="W773" i="1"/>
  <c r="X773" i="1"/>
  <c r="Y773" i="1"/>
  <c r="M773" i="1"/>
  <c r="O772" i="1"/>
  <c r="R772" i="1"/>
  <c r="T772" i="1"/>
  <c r="X772" i="1"/>
  <c r="Y772" i="1"/>
  <c r="M772" i="1"/>
  <c r="O771" i="1"/>
  <c r="U771" i="1"/>
  <c r="V770" i="1"/>
  <c r="Y770" i="1"/>
  <c r="M770" i="1"/>
  <c r="M769" i="1"/>
  <c r="O768" i="1"/>
  <c r="M768" i="1"/>
  <c r="Y767" i="1"/>
  <c r="M767" i="1"/>
  <c r="O766" i="1"/>
  <c r="M766" i="1"/>
  <c r="O765" i="1"/>
  <c r="U765" i="1"/>
  <c r="V765" i="1"/>
  <c r="W765" i="1"/>
  <c r="Y765" i="1"/>
  <c r="M765" i="1"/>
  <c r="O764" i="1"/>
  <c r="T764" i="1"/>
  <c r="U764" i="1"/>
  <c r="W764" i="1"/>
  <c r="Y764" i="1"/>
  <c r="M764" i="1"/>
  <c r="R763" i="1"/>
  <c r="T763" i="1"/>
  <c r="Y763" i="1"/>
  <c r="M763" i="1"/>
  <c r="R762" i="1"/>
  <c r="T762" i="1"/>
  <c r="Y762" i="1"/>
  <c r="M762" i="1"/>
  <c r="R761" i="1"/>
  <c r="T761" i="1"/>
  <c r="M761" i="1"/>
  <c r="Y760" i="1"/>
  <c r="M760" i="1"/>
  <c r="O759" i="1"/>
  <c r="Y759" i="1"/>
  <c r="M759" i="1"/>
  <c r="O758" i="1"/>
  <c r="M758" i="1"/>
  <c r="Y757" i="1"/>
  <c r="M757" i="1"/>
  <c r="Y756" i="1"/>
  <c r="M756" i="1"/>
  <c r="AF755" i="1"/>
  <c r="O755" i="1"/>
  <c r="Y755" i="1"/>
  <c r="M755" i="1"/>
  <c r="Y754" i="1"/>
  <c r="M754" i="1"/>
  <c r="M753" i="1"/>
  <c r="O751" i="1"/>
  <c r="O749" i="1"/>
  <c r="U749" i="1"/>
  <c r="V748" i="1"/>
  <c r="X748" i="1"/>
  <c r="Y748" i="1"/>
  <c r="M748" i="1"/>
  <c r="O747" i="1"/>
  <c r="R747" i="1"/>
  <c r="T747" i="1"/>
  <c r="W747" i="1"/>
  <c r="X747" i="1"/>
  <c r="Y747" i="1"/>
  <c r="M747" i="1"/>
  <c r="O746" i="1"/>
  <c r="R746" i="1"/>
  <c r="W746" i="1"/>
  <c r="X746" i="1"/>
  <c r="Y746" i="1"/>
  <c r="M746" i="1"/>
  <c r="O745" i="1"/>
  <c r="V745" i="1"/>
  <c r="W745" i="1"/>
  <c r="X745" i="1"/>
  <c r="Y745" i="1"/>
  <c r="M745" i="1"/>
  <c r="O744" i="1"/>
  <c r="T744" i="1"/>
  <c r="Y744" i="1"/>
  <c r="V743" i="1"/>
  <c r="W743" i="1"/>
  <c r="Y743" i="1"/>
  <c r="M743" i="1"/>
  <c r="V742" i="1"/>
  <c r="W742" i="1"/>
  <c r="Y742" i="1"/>
  <c r="M742" i="1"/>
  <c r="W741" i="1"/>
  <c r="Y741" i="1"/>
  <c r="M741" i="1"/>
  <c r="S740" i="1"/>
  <c r="T740" i="1"/>
  <c r="W740" i="1"/>
  <c r="Y740" i="1"/>
  <c r="M740" i="1"/>
  <c r="M739" i="1"/>
  <c r="O738" i="1"/>
  <c r="X738" i="1"/>
  <c r="Y738" i="1"/>
  <c r="M738" i="1"/>
  <c r="O737" i="1"/>
  <c r="Y737" i="1"/>
  <c r="M737" i="1"/>
  <c r="Y736" i="1"/>
  <c r="M736" i="1"/>
  <c r="Y735" i="1"/>
  <c r="M735" i="1"/>
  <c r="M734" i="1"/>
  <c r="O733" i="1"/>
  <c r="W733" i="1"/>
  <c r="Y733" i="1"/>
  <c r="M733" i="1"/>
  <c r="O732" i="1"/>
  <c r="M732" i="1"/>
  <c r="Y731" i="1"/>
  <c r="M731" i="1"/>
  <c r="O730" i="1"/>
  <c r="V730" i="1"/>
  <c r="M730" i="1"/>
  <c r="O729" i="1"/>
  <c r="V729" i="1"/>
  <c r="M729" i="1"/>
  <c r="O728" i="1"/>
  <c r="V728" i="1"/>
  <c r="M728" i="1"/>
  <c r="O727" i="1"/>
  <c r="T727" i="1"/>
  <c r="M727" i="1"/>
  <c r="O726" i="1"/>
  <c r="R726" i="1"/>
  <c r="V726" i="1"/>
  <c r="M726" i="1"/>
  <c r="AS725" i="1"/>
  <c r="AF725" i="1"/>
  <c r="R725" i="1"/>
  <c r="Y725" i="1"/>
  <c r="M725" i="1"/>
  <c r="Y724" i="1"/>
  <c r="M724" i="1"/>
  <c r="AF723" i="1"/>
  <c r="Y723" i="1"/>
  <c r="M723" i="1"/>
  <c r="T722" i="1"/>
  <c r="M722" i="1"/>
  <c r="O721" i="1"/>
  <c r="R721" i="1"/>
  <c r="S721" i="1"/>
  <c r="Y721" i="1"/>
  <c r="M721" i="1"/>
  <c r="AE720" i="1"/>
  <c r="O720" i="1"/>
  <c r="M720" i="1"/>
  <c r="O719" i="1"/>
  <c r="X719" i="1"/>
  <c r="Y719" i="1"/>
  <c r="M719" i="1"/>
  <c r="O718" i="1"/>
  <c r="Y718" i="1"/>
  <c r="M718" i="1"/>
  <c r="O717" i="1"/>
  <c r="Y717" i="1"/>
  <c r="M717" i="1"/>
  <c r="M716" i="1"/>
  <c r="Y715" i="1"/>
  <c r="M715" i="1"/>
  <c r="O714" i="1"/>
  <c r="R714" i="1"/>
  <c r="M714" i="1"/>
  <c r="AI713" i="1"/>
  <c r="M713" i="1"/>
  <c r="O712" i="1"/>
  <c r="S712" i="1"/>
  <c r="M712" i="1"/>
  <c r="M711" i="1"/>
  <c r="O710" i="1"/>
  <c r="W710" i="1"/>
  <c r="Y710" i="1"/>
  <c r="M710" i="1"/>
  <c r="O709" i="1"/>
  <c r="M709" i="1"/>
  <c r="O708" i="1"/>
  <c r="S708" i="1"/>
  <c r="Y708" i="1"/>
  <c r="M708" i="1"/>
  <c r="O707" i="1"/>
  <c r="R707" i="1"/>
  <c r="V707" i="1"/>
  <c r="W707" i="1"/>
  <c r="X707" i="1"/>
  <c r="Y707" i="1"/>
  <c r="M707" i="1"/>
  <c r="O706" i="1"/>
  <c r="T706" i="1"/>
  <c r="W706" i="1"/>
  <c r="Y706" i="1"/>
  <c r="M706" i="1"/>
  <c r="O705" i="1"/>
  <c r="M705" i="1"/>
  <c r="O704" i="1"/>
  <c r="M704" i="1"/>
  <c r="O703" i="1"/>
  <c r="M703" i="1"/>
  <c r="O702" i="1"/>
  <c r="M702" i="1"/>
  <c r="O701" i="1"/>
  <c r="Y701" i="1"/>
  <c r="O699" i="1"/>
  <c r="S699" i="1"/>
  <c r="Y699" i="1"/>
  <c r="O698" i="1"/>
  <c r="R698" i="1"/>
  <c r="Y698" i="1"/>
  <c r="M698" i="1"/>
  <c r="O697" i="1"/>
  <c r="S697" i="1"/>
  <c r="M697" i="1"/>
  <c r="M696" i="1"/>
  <c r="O695" i="1"/>
  <c r="R695" i="1"/>
  <c r="U695" i="1"/>
  <c r="V695" i="1"/>
  <c r="W695" i="1"/>
  <c r="Y695" i="1"/>
  <c r="M695" i="1"/>
  <c r="O694" i="1"/>
  <c r="V694" i="1"/>
  <c r="M694" i="1"/>
  <c r="O693" i="1"/>
  <c r="R693" i="1"/>
  <c r="U693" i="1"/>
  <c r="V693" i="1"/>
  <c r="Y693" i="1"/>
  <c r="M693" i="1"/>
  <c r="T692" i="1"/>
  <c r="M692" i="1"/>
  <c r="O691" i="1"/>
  <c r="M691" i="1"/>
  <c r="O690" i="1"/>
  <c r="R690" i="1"/>
  <c r="S690" i="1"/>
  <c r="T690" i="1"/>
  <c r="W690" i="1"/>
  <c r="M690" i="1"/>
  <c r="O689" i="1"/>
  <c r="M689" i="1"/>
  <c r="O688" i="1"/>
  <c r="M688" i="1"/>
  <c r="O687" i="1"/>
  <c r="S687" i="1"/>
  <c r="W687" i="1"/>
  <c r="Y687" i="1"/>
  <c r="R686" i="1"/>
  <c r="Y686" i="1"/>
  <c r="M686" i="1"/>
  <c r="R685" i="1"/>
  <c r="Y685" i="1"/>
  <c r="M685" i="1"/>
  <c r="O681" i="1"/>
  <c r="U681" i="1"/>
  <c r="M681" i="1"/>
  <c r="U680" i="1"/>
  <c r="M680" i="1"/>
  <c r="T679" i="1"/>
  <c r="M679" i="1"/>
  <c r="O678" i="1"/>
  <c r="U678" i="1"/>
  <c r="W678" i="1"/>
  <c r="X678" i="1"/>
  <c r="Y678" i="1"/>
  <c r="M678" i="1"/>
  <c r="O677" i="1"/>
  <c r="V677" i="1"/>
  <c r="Y677" i="1"/>
  <c r="O676" i="1"/>
  <c r="O675" i="1"/>
  <c r="O674" i="1"/>
  <c r="U674" i="1"/>
  <c r="Y674" i="1"/>
  <c r="Y673" i="1"/>
  <c r="M673" i="1"/>
  <c r="O672" i="1"/>
  <c r="R672" i="1"/>
  <c r="U672" i="1"/>
  <c r="W672" i="1"/>
  <c r="Y672" i="1"/>
  <c r="M672" i="1"/>
  <c r="V671" i="1"/>
  <c r="M671" i="1"/>
  <c r="O670" i="1"/>
  <c r="M669" i="1"/>
  <c r="M668" i="1"/>
  <c r="R667" i="1"/>
  <c r="S667" i="1"/>
  <c r="T667" i="1"/>
  <c r="V667" i="1"/>
  <c r="Y667" i="1"/>
  <c r="M667" i="1"/>
  <c r="O666" i="1"/>
  <c r="O665" i="1"/>
  <c r="R665" i="1"/>
  <c r="S665" i="1"/>
  <c r="V665" i="1"/>
  <c r="Y665" i="1"/>
  <c r="O664" i="1"/>
  <c r="T664" i="1"/>
  <c r="T663" i="1"/>
  <c r="O662" i="1"/>
  <c r="Y662" i="1"/>
  <c r="M662" i="1"/>
  <c r="O661" i="1"/>
  <c r="M661" i="1"/>
  <c r="O660" i="1"/>
  <c r="M660" i="1"/>
  <c r="O659" i="1"/>
  <c r="R659" i="1"/>
  <c r="V659" i="1"/>
  <c r="W659" i="1"/>
  <c r="X659" i="1"/>
  <c r="Y659" i="1"/>
  <c r="M659" i="1"/>
  <c r="O658" i="1"/>
  <c r="R658" i="1"/>
  <c r="S658" i="1"/>
  <c r="V658" i="1"/>
  <c r="W658" i="1"/>
  <c r="Y658" i="1"/>
  <c r="M658" i="1"/>
  <c r="O657" i="1"/>
  <c r="R657" i="1"/>
  <c r="W657" i="1"/>
  <c r="Y657" i="1"/>
  <c r="M657" i="1"/>
  <c r="O656" i="1"/>
  <c r="R656" i="1"/>
  <c r="W656" i="1"/>
  <c r="Y656" i="1"/>
  <c r="M656" i="1"/>
  <c r="O655" i="1"/>
  <c r="R655" i="1"/>
  <c r="W655" i="1"/>
  <c r="Y655" i="1"/>
  <c r="M655" i="1"/>
  <c r="M654" i="1"/>
  <c r="M653" i="1"/>
  <c r="O652" i="1"/>
  <c r="R652" i="1"/>
  <c r="Y652" i="1"/>
  <c r="M652" i="1"/>
  <c r="O651" i="1"/>
  <c r="W651" i="1"/>
  <c r="Y651" i="1"/>
  <c r="M651" i="1"/>
  <c r="O650" i="1"/>
  <c r="R650" i="1"/>
  <c r="T650" i="1"/>
  <c r="X650" i="1"/>
  <c r="Y650" i="1"/>
  <c r="M650" i="1"/>
  <c r="O649" i="1"/>
  <c r="R649" i="1"/>
  <c r="S649" i="1"/>
  <c r="T649" i="1"/>
  <c r="W649" i="1"/>
  <c r="X649" i="1"/>
  <c r="Y649" i="1"/>
  <c r="M649" i="1"/>
  <c r="S648" i="1"/>
  <c r="T648" i="1"/>
  <c r="U648" i="1"/>
  <c r="W648" i="1"/>
  <c r="Y648" i="1"/>
  <c r="M648" i="1"/>
  <c r="O647" i="1"/>
  <c r="S647" i="1"/>
  <c r="T647" i="1"/>
  <c r="U647" i="1"/>
  <c r="W647" i="1"/>
  <c r="X647" i="1"/>
  <c r="Y647" i="1"/>
  <c r="M647" i="1"/>
  <c r="M646" i="1"/>
  <c r="O645" i="1"/>
  <c r="M645" i="1"/>
  <c r="O644" i="1"/>
  <c r="W644" i="1"/>
  <c r="Y644" i="1"/>
  <c r="R643" i="1"/>
  <c r="O642" i="1"/>
  <c r="T642" i="1"/>
  <c r="Y642" i="1"/>
  <c r="M642" i="1"/>
  <c r="AE641" i="1"/>
  <c r="R641" i="1"/>
  <c r="T641" i="1"/>
  <c r="Y641" i="1"/>
  <c r="M641" i="1"/>
  <c r="R640" i="1"/>
  <c r="Y640" i="1"/>
  <c r="M640" i="1"/>
  <c r="R639" i="1"/>
  <c r="T639" i="1"/>
  <c r="V639" i="1"/>
  <c r="W639" i="1"/>
  <c r="Y639" i="1"/>
  <c r="M639" i="1"/>
  <c r="Y638" i="1"/>
  <c r="M638" i="1"/>
  <c r="M637" i="1"/>
  <c r="M636" i="1"/>
  <c r="O635" i="1"/>
  <c r="M635" i="1"/>
  <c r="O634" i="1"/>
  <c r="U634" i="1"/>
  <c r="M634" i="1"/>
  <c r="M633" i="1"/>
  <c r="M632" i="1"/>
  <c r="M631" i="1"/>
  <c r="AE630" i="1"/>
  <c r="O630" i="1"/>
  <c r="S630" i="1"/>
  <c r="W630" i="1"/>
  <c r="Y630" i="1"/>
  <c r="M630" i="1"/>
  <c r="O629" i="1"/>
  <c r="T629" i="1"/>
  <c r="M629" i="1"/>
  <c r="T628" i="1"/>
  <c r="M628" i="1"/>
  <c r="M627" i="1"/>
  <c r="M626" i="1"/>
  <c r="O625" i="1"/>
  <c r="R625" i="1"/>
  <c r="S625" i="1"/>
  <c r="Y625" i="1"/>
  <c r="M625" i="1"/>
  <c r="Y624" i="1"/>
  <c r="M624" i="1"/>
  <c r="O623" i="1"/>
  <c r="V623" i="1"/>
  <c r="W623" i="1"/>
  <c r="Y623" i="1"/>
  <c r="M623" i="1"/>
  <c r="O621" i="1"/>
  <c r="R621" i="1"/>
  <c r="S621" i="1"/>
  <c r="T621" i="1"/>
  <c r="W621" i="1"/>
  <c r="Y621" i="1"/>
  <c r="M621" i="1"/>
  <c r="Y620" i="1"/>
  <c r="M620" i="1"/>
  <c r="S619" i="1"/>
  <c r="T619" i="1"/>
  <c r="U619" i="1"/>
  <c r="W619" i="1"/>
  <c r="M619" i="1"/>
  <c r="S618" i="1"/>
  <c r="T618" i="1"/>
  <c r="U618" i="1"/>
  <c r="W618" i="1"/>
  <c r="X618" i="1"/>
  <c r="M618" i="1"/>
  <c r="M617" i="1"/>
  <c r="O616" i="1"/>
  <c r="Y616" i="1"/>
  <c r="M616" i="1"/>
  <c r="O615" i="1"/>
  <c r="Y615" i="1"/>
  <c r="M615" i="1"/>
  <c r="M614" i="1"/>
  <c r="T613" i="1"/>
  <c r="Y613" i="1"/>
  <c r="M613" i="1"/>
  <c r="Y612" i="1"/>
  <c r="M612" i="1"/>
  <c r="Y611" i="1"/>
  <c r="M611" i="1"/>
  <c r="O610" i="1"/>
  <c r="Y610" i="1"/>
  <c r="M610" i="1"/>
  <c r="AB609" i="1"/>
  <c r="O609" i="1"/>
  <c r="M609" i="1"/>
  <c r="T608" i="1"/>
  <c r="Y608" i="1"/>
  <c r="M608" i="1"/>
  <c r="V607" i="1"/>
  <c r="W607" i="1"/>
  <c r="Y607" i="1"/>
  <c r="M607" i="1"/>
  <c r="M606" i="1"/>
  <c r="M605" i="1"/>
  <c r="Y604" i="1"/>
  <c r="M604" i="1"/>
  <c r="O603" i="1"/>
  <c r="M603" i="1"/>
  <c r="O602" i="1"/>
  <c r="R602" i="1"/>
  <c r="W602" i="1"/>
  <c r="X602" i="1"/>
  <c r="Y602" i="1"/>
  <c r="M602" i="1"/>
  <c r="Y601" i="1"/>
  <c r="M601" i="1"/>
  <c r="T600" i="1"/>
  <c r="W600" i="1"/>
  <c r="Y600" i="1"/>
  <c r="M600" i="1"/>
  <c r="O599" i="1"/>
  <c r="U599" i="1"/>
  <c r="M599" i="1"/>
  <c r="M598" i="1"/>
  <c r="M597" i="1"/>
  <c r="O596" i="1"/>
  <c r="T596" i="1"/>
  <c r="U596" i="1"/>
  <c r="Y596" i="1"/>
  <c r="M596" i="1"/>
  <c r="O595" i="1"/>
  <c r="T595" i="1"/>
  <c r="U595" i="1"/>
  <c r="W595" i="1"/>
  <c r="Y595" i="1"/>
  <c r="M595" i="1"/>
  <c r="O594" i="1"/>
  <c r="S594" i="1"/>
  <c r="T594" i="1"/>
  <c r="U594" i="1"/>
  <c r="W594" i="1"/>
  <c r="X594" i="1"/>
  <c r="M594" i="1"/>
  <c r="O593" i="1"/>
  <c r="T593" i="1"/>
  <c r="W593" i="1"/>
  <c r="M593" i="1"/>
  <c r="O592" i="1"/>
  <c r="T592" i="1"/>
  <c r="U592" i="1"/>
  <c r="W592" i="1"/>
  <c r="M592" i="1"/>
  <c r="O591" i="1"/>
  <c r="W591" i="1"/>
  <c r="M591" i="1"/>
  <c r="O590" i="1"/>
  <c r="T590" i="1"/>
  <c r="U590" i="1"/>
  <c r="V590" i="1"/>
  <c r="W590" i="1"/>
  <c r="X590" i="1"/>
  <c r="Y590" i="1"/>
  <c r="M590" i="1"/>
  <c r="O589" i="1"/>
  <c r="U589" i="1"/>
  <c r="M589" i="1"/>
  <c r="M588" i="1"/>
  <c r="M587" i="1"/>
  <c r="M586" i="1"/>
  <c r="O585" i="1"/>
  <c r="M585" i="1"/>
  <c r="O584" i="1"/>
  <c r="M584" i="1"/>
  <c r="O583" i="1"/>
  <c r="R583" i="1"/>
  <c r="M583" i="1"/>
  <c r="O582" i="1"/>
  <c r="Y582" i="1"/>
  <c r="M582" i="1"/>
  <c r="M581" i="1"/>
  <c r="M580" i="1"/>
  <c r="O579" i="1"/>
  <c r="R579" i="1"/>
  <c r="S579" i="1"/>
  <c r="U579" i="1"/>
  <c r="V579" i="1"/>
  <c r="W579" i="1"/>
  <c r="X579" i="1"/>
  <c r="Y579" i="1"/>
  <c r="M579" i="1"/>
  <c r="O578" i="1"/>
  <c r="R578" i="1"/>
  <c r="U578" i="1"/>
  <c r="V578" i="1"/>
  <c r="W578" i="1"/>
  <c r="X578" i="1"/>
  <c r="Y578" i="1"/>
  <c r="M578" i="1"/>
  <c r="M577" i="1"/>
  <c r="M576" i="1"/>
  <c r="M575" i="1"/>
  <c r="Y574" i="1"/>
  <c r="M574" i="1"/>
  <c r="O573" i="1"/>
  <c r="R573" i="1"/>
  <c r="M573" i="1"/>
  <c r="O572" i="1"/>
  <c r="M572" i="1"/>
  <c r="AG571" i="1"/>
  <c r="O571" i="1"/>
  <c r="M571" i="1"/>
  <c r="AG570" i="1"/>
  <c r="O570" i="1"/>
  <c r="M570" i="1"/>
  <c r="O569" i="1"/>
  <c r="M569" i="1"/>
  <c r="O568" i="1"/>
  <c r="U568" i="1"/>
  <c r="W568" i="1"/>
  <c r="Y568" i="1"/>
  <c r="M568" i="1"/>
  <c r="O567" i="1"/>
  <c r="Y567" i="1"/>
  <c r="M567" i="1"/>
  <c r="O566" i="1"/>
  <c r="W566" i="1"/>
  <c r="M566" i="1"/>
  <c r="O565" i="1"/>
  <c r="R565" i="1"/>
  <c r="U565" i="1"/>
  <c r="W565" i="1"/>
  <c r="Y565" i="1"/>
  <c r="M565" i="1"/>
  <c r="O564" i="1"/>
  <c r="Y564" i="1"/>
  <c r="M564" i="1"/>
  <c r="O563" i="1"/>
  <c r="W563" i="1"/>
  <c r="Y563" i="1"/>
  <c r="M563" i="1"/>
  <c r="O562" i="1"/>
  <c r="S562" i="1"/>
  <c r="T562" i="1"/>
  <c r="U562" i="1"/>
  <c r="W562" i="1"/>
  <c r="Y562" i="1"/>
  <c r="M562" i="1"/>
  <c r="O561" i="1"/>
  <c r="S561" i="1"/>
  <c r="T561" i="1"/>
  <c r="U561" i="1"/>
  <c r="W561" i="1"/>
  <c r="Y561" i="1"/>
  <c r="M561" i="1"/>
  <c r="M560" i="1"/>
  <c r="M559" i="1"/>
  <c r="O558" i="1"/>
  <c r="S558" i="1"/>
  <c r="T558" i="1"/>
  <c r="M558" i="1"/>
  <c r="M557" i="1"/>
  <c r="O556" i="1"/>
  <c r="M556" i="1"/>
  <c r="O555" i="1"/>
  <c r="S555" i="1"/>
  <c r="T555" i="1"/>
  <c r="M555" i="1"/>
  <c r="M554" i="1"/>
  <c r="Y553" i="1"/>
  <c r="M553" i="1"/>
  <c r="M552" i="1"/>
  <c r="Y551" i="1"/>
  <c r="M551" i="1"/>
  <c r="O550" i="1"/>
  <c r="M550" i="1"/>
  <c r="Y549" i="1"/>
  <c r="Y548" i="1"/>
  <c r="O547" i="1"/>
  <c r="M547" i="1"/>
  <c r="O546" i="1"/>
  <c r="M546" i="1"/>
  <c r="O545" i="1"/>
  <c r="M545" i="1"/>
  <c r="O544" i="1"/>
  <c r="Y544" i="1"/>
  <c r="M544" i="1"/>
  <c r="O543" i="1"/>
  <c r="S543" i="1"/>
  <c r="Y543" i="1"/>
  <c r="M543" i="1"/>
  <c r="O542" i="1"/>
  <c r="M542" i="1"/>
  <c r="M541" i="1"/>
  <c r="O540" i="1"/>
  <c r="W540" i="1"/>
  <c r="Y540" i="1"/>
  <c r="M540" i="1"/>
  <c r="O539" i="1"/>
  <c r="R539" i="1"/>
  <c r="M539" i="1"/>
  <c r="O538" i="1"/>
  <c r="W538" i="1"/>
  <c r="Y538" i="1"/>
  <c r="M538" i="1"/>
  <c r="O537" i="1"/>
  <c r="Y537" i="1"/>
  <c r="M537" i="1"/>
  <c r="M536" i="1"/>
  <c r="M535" i="1"/>
  <c r="M534" i="1"/>
  <c r="O533" i="1"/>
  <c r="Y533" i="1"/>
  <c r="M533" i="1"/>
  <c r="O532" i="1"/>
  <c r="T532" i="1"/>
  <c r="W532" i="1"/>
  <c r="Y532" i="1"/>
  <c r="M532" i="1"/>
  <c r="O531" i="1"/>
  <c r="U531" i="1"/>
  <c r="V531" i="1"/>
  <c r="W531" i="1"/>
  <c r="Y531" i="1"/>
  <c r="M531" i="1"/>
  <c r="O530" i="1"/>
  <c r="U530" i="1"/>
  <c r="W530" i="1"/>
  <c r="X530" i="1"/>
  <c r="Y530" i="1"/>
  <c r="M530" i="1"/>
  <c r="O529" i="1"/>
  <c r="T529" i="1"/>
  <c r="M529" i="1"/>
  <c r="O528" i="1"/>
  <c r="M528" i="1"/>
  <c r="O527" i="1"/>
  <c r="R527" i="1"/>
  <c r="T527" i="1"/>
  <c r="Y527" i="1"/>
  <c r="M527" i="1"/>
  <c r="O526" i="1"/>
  <c r="R526" i="1"/>
  <c r="T526" i="1"/>
  <c r="Y526" i="1"/>
  <c r="M526" i="1"/>
  <c r="M525" i="1"/>
  <c r="T524" i="1"/>
  <c r="M524" i="1"/>
  <c r="M523" i="1"/>
  <c r="M522" i="1"/>
  <c r="O521" i="1"/>
  <c r="T521" i="1"/>
  <c r="Y521" i="1"/>
  <c r="M521" i="1"/>
  <c r="M520" i="1"/>
  <c r="O519" i="1"/>
  <c r="R519" i="1"/>
  <c r="T519" i="1"/>
  <c r="Y519" i="1"/>
  <c r="M519" i="1"/>
  <c r="O518" i="1"/>
  <c r="R518" i="1"/>
  <c r="S518" i="1"/>
  <c r="Y518" i="1"/>
  <c r="M518" i="1"/>
  <c r="O517" i="1"/>
  <c r="T517" i="1"/>
  <c r="Y517" i="1"/>
  <c r="M517" i="1"/>
  <c r="O516" i="1"/>
  <c r="M516" i="1"/>
  <c r="T515" i="1"/>
  <c r="M515" i="1"/>
  <c r="O514" i="1"/>
  <c r="M514" i="1"/>
  <c r="O513" i="1"/>
  <c r="Y513" i="1"/>
  <c r="M513" i="1"/>
  <c r="O512" i="1"/>
  <c r="Y512" i="1"/>
  <c r="M512" i="1"/>
  <c r="O511" i="1"/>
  <c r="Y511" i="1"/>
  <c r="M511" i="1"/>
  <c r="O510" i="1"/>
  <c r="Y510" i="1"/>
  <c r="M510" i="1"/>
  <c r="O509" i="1"/>
  <c r="S509" i="1"/>
  <c r="Y509" i="1"/>
  <c r="M509" i="1"/>
  <c r="O508" i="1"/>
  <c r="M508" i="1"/>
  <c r="M507" i="1"/>
  <c r="M506" i="1"/>
  <c r="M505" i="1"/>
  <c r="M504" i="1"/>
  <c r="M503" i="1"/>
  <c r="O502" i="1"/>
  <c r="Y502" i="1"/>
  <c r="M502" i="1"/>
  <c r="O501" i="1"/>
  <c r="R501" i="1"/>
  <c r="T501" i="1"/>
  <c r="Y501" i="1"/>
  <c r="M501" i="1"/>
  <c r="O500" i="1"/>
  <c r="V500" i="1"/>
  <c r="M500" i="1"/>
  <c r="O499" i="1"/>
  <c r="R499" i="1"/>
  <c r="S499" i="1"/>
  <c r="Y499" i="1"/>
  <c r="M499" i="1"/>
  <c r="Y498" i="1"/>
  <c r="M498" i="1"/>
  <c r="M497" i="1"/>
  <c r="AT496" i="1"/>
  <c r="O496" i="1"/>
  <c r="W496" i="1"/>
  <c r="M496" i="1"/>
  <c r="O495" i="1"/>
  <c r="S495" i="1"/>
  <c r="Y495" i="1"/>
  <c r="M495" i="1"/>
  <c r="O494" i="1"/>
  <c r="M494" i="1"/>
  <c r="AU493" i="1"/>
  <c r="M493" i="1"/>
  <c r="M492" i="1"/>
  <c r="M491" i="1"/>
  <c r="AT490" i="1"/>
  <c r="O490" i="1"/>
  <c r="R490" i="1"/>
  <c r="Y490" i="1"/>
  <c r="M490" i="1"/>
  <c r="AT489" i="1"/>
  <c r="O489" i="1"/>
  <c r="M489" i="1"/>
  <c r="AT488" i="1"/>
  <c r="O488" i="1"/>
  <c r="R488" i="1"/>
  <c r="W488" i="1"/>
  <c r="Y488" i="1"/>
  <c r="M488" i="1"/>
  <c r="O487" i="1"/>
  <c r="S487" i="1"/>
  <c r="W487" i="1"/>
  <c r="O485" i="1"/>
  <c r="R485" i="1"/>
  <c r="S485" i="1"/>
  <c r="W485" i="1"/>
  <c r="Y485" i="1"/>
  <c r="M485" i="1"/>
  <c r="O484" i="1"/>
  <c r="M484" i="1"/>
  <c r="AU483" i="1"/>
  <c r="M483" i="1"/>
  <c r="M482" i="1"/>
  <c r="M481" i="1"/>
  <c r="O480" i="1"/>
  <c r="R480" i="1"/>
  <c r="W480" i="1"/>
  <c r="Y480" i="1"/>
  <c r="M480" i="1"/>
  <c r="O479" i="1"/>
  <c r="W479" i="1"/>
  <c r="X479" i="1"/>
  <c r="Y479" i="1"/>
  <c r="M479" i="1"/>
  <c r="O478" i="1"/>
  <c r="W478" i="1"/>
  <c r="Y478" i="1"/>
  <c r="M478" i="1"/>
  <c r="O477" i="1"/>
  <c r="R477" i="1"/>
  <c r="S477" i="1"/>
  <c r="W477" i="1"/>
  <c r="M477" i="1"/>
  <c r="M476" i="1"/>
  <c r="O475" i="1"/>
  <c r="V475" i="1"/>
  <c r="M475" i="1"/>
  <c r="O474" i="1"/>
  <c r="M474" i="1"/>
  <c r="O473" i="1"/>
  <c r="T473" i="1"/>
  <c r="W473" i="1"/>
  <c r="Y473" i="1"/>
  <c r="M473" i="1"/>
  <c r="O472" i="1"/>
  <c r="U472" i="1"/>
  <c r="W472" i="1"/>
  <c r="Y472" i="1"/>
  <c r="M472" i="1"/>
  <c r="O471" i="1"/>
  <c r="R471" i="1"/>
  <c r="T471" i="1"/>
  <c r="W471" i="1"/>
  <c r="Y471" i="1"/>
  <c r="M471" i="1"/>
  <c r="O470" i="1"/>
  <c r="M470" i="1"/>
  <c r="O469" i="1"/>
  <c r="V469" i="1"/>
  <c r="M469" i="1"/>
  <c r="O468" i="1"/>
  <c r="M468" i="1"/>
  <c r="O467" i="1"/>
  <c r="M467" i="1"/>
  <c r="M466" i="1"/>
  <c r="O465" i="1"/>
  <c r="R465" i="1"/>
  <c r="U465" i="1"/>
  <c r="V465" i="1"/>
  <c r="W465" i="1"/>
  <c r="X465" i="1"/>
  <c r="M465" i="1"/>
  <c r="U464" i="1"/>
  <c r="M464" i="1"/>
  <c r="M463" i="1"/>
  <c r="AE462" i="1"/>
  <c r="M462" i="1"/>
  <c r="O461" i="1"/>
  <c r="R461" i="1"/>
  <c r="S461" i="1"/>
  <c r="T461" i="1"/>
  <c r="U461" i="1"/>
  <c r="W461" i="1"/>
  <c r="Y461" i="1"/>
  <c r="M461" i="1"/>
  <c r="O460" i="1"/>
  <c r="T460" i="1"/>
  <c r="W460" i="1"/>
  <c r="M460" i="1"/>
  <c r="O459" i="1"/>
  <c r="V459" i="1"/>
  <c r="X459" i="1"/>
  <c r="Y459" i="1"/>
  <c r="O458" i="1"/>
  <c r="M458" i="1"/>
  <c r="O457" i="1"/>
  <c r="Y457" i="1"/>
  <c r="M457" i="1"/>
  <c r="O456" i="1"/>
  <c r="M456" i="1"/>
  <c r="M455" i="1"/>
  <c r="O454" i="1"/>
  <c r="M454" i="1"/>
  <c r="O453" i="1"/>
  <c r="M453" i="1"/>
  <c r="O452" i="1"/>
  <c r="M452" i="1"/>
  <c r="Y451" i="1"/>
  <c r="M451" i="1"/>
  <c r="O450" i="1"/>
  <c r="Y450" i="1"/>
  <c r="M450" i="1"/>
  <c r="O449" i="1"/>
  <c r="R449" i="1"/>
  <c r="U449" i="1"/>
  <c r="M449" i="1"/>
  <c r="Y448" i="1"/>
  <c r="M448" i="1"/>
  <c r="O447" i="1"/>
  <c r="V447" i="1"/>
  <c r="W447" i="1"/>
  <c r="Y447" i="1"/>
  <c r="M447" i="1"/>
  <c r="O446" i="1"/>
  <c r="W446" i="1"/>
  <c r="Y446" i="1"/>
  <c r="M446" i="1"/>
  <c r="O445" i="1"/>
  <c r="M445" i="1"/>
  <c r="O444" i="1"/>
  <c r="Y444" i="1"/>
  <c r="M444" i="1"/>
  <c r="O443" i="1"/>
  <c r="Y443" i="1"/>
  <c r="M443" i="1"/>
  <c r="M442" i="1"/>
  <c r="AB441" i="1"/>
  <c r="O441" i="1"/>
  <c r="R441" i="1"/>
  <c r="S441" i="1"/>
  <c r="T441" i="1"/>
  <c r="M441" i="1"/>
  <c r="O440" i="1"/>
  <c r="M440" i="1"/>
  <c r="M439" i="1"/>
  <c r="M438" i="1"/>
  <c r="M437" i="1"/>
  <c r="M436" i="1"/>
  <c r="Y435" i="1"/>
  <c r="M435" i="1"/>
  <c r="O434" i="1"/>
  <c r="M434" i="1"/>
  <c r="R433" i="1"/>
  <c r="M433" i="1"/>
  <c r="V432" i="1"/>
  <c r="O431" i="1"/>
  <c r="T431" i="1"/>
  <c r="M431" i="1"/>
  <c r="O430" i="1"/>
  <c r="Y430" i="1"/>
  <c r="M430" i="1"/>
  <c r="O429" i="1"/>
  <c r="S429" i="1"/>
  <c r="Y429" i="1"/>
  <c r="M429" i="1"/>
  <c r="O428" i="1"/>
  <c r="S428" i="1"/>
  <c r="Y428" i="1"/>
  <c r="M428" i="1"/>
  <c r="O427" i="1"/>
  <c r="S427" i="1"/>
  <c r="Y427" i="1"/>
  <c r="M426" i="1"/>
  <c r="Y425" i="1"/>
  <c r="W425" i="1"/>
  <c r="O425" i="1"/>
  <c r="V424" i="1"/>
  <c r="O424" i="1"/>
  <c r="Y423" i="1"/>
  <c r="W423" i="1"/>
  <c r="O423" i="1"/>
  <c r="Y422" i="1"/>
  <c r="O422" i="1"/>
  <c r="S421" i="1"/>
  <c r="O421" i="1"/>
  <c r="Y419" i="1"/>
  <c r="O419" i="1"/>
  <c r="Y418" i="1"/>
  <c r="O418" i="1"/>
  <c r="Y417" i="1"/>
  <c r="W417" i="1"/>
  <c r="T417" i="1"/>
  <c r="O417" i="1"/>
  <c r="AG416" i="1"/>
  <c r="Y416" i="1"/>
  <c r="W416" i="1"/>
  <c r="O416" i="1"/>
  <c r="O415" i="1"/>
  <c r="O414" i="1"/>
  <c r="AB413" i="1"/>
  <c r="Y413" i="1"/>
  <c r="V413" i="1"/>
  <c r="Y412" i="1"/>
  <c r="V412" i="1"/>
  <c r="O412" i="1"/>
  <c r="O410" i="1"/>
  <c r="AB409" i="1"/>
  <c r="Y409" i="1"/>
  <c r="W409" i="1"/>
  <c r="R409" i="1"/>
  <c r="O409" i="1"/>
  <c r="Y408" i="1"/>
  <c r="W408" i="1"/>
  <c r="U408" i="1"/>
  <c r="R408" i="1"/>
  <c r="O408" i="1"/>
  <c r="O407" i="1"/>
  <c r="Y406" i="1"/>
  <c r="Y405" i="1"/>
  <c r="W405" i="1"/>
  <c r="T402" i="1"/>
  <c r="O402" i="1"/>
  <c r="Y401" i="1"/>
  <c r="T401" i="1"/>
  <c r="O401" i="1"/>
  <c r="O400" i="1"/>
  <c r="S400" i="1"/>
  <c r="M400" i="1"/>
  <c r="O399" i="1"/>
  <c r="S399" i="1"/>
  <c r="M399" i="1"/>
  <c r="O398" i="1"/>
  <c r="O397" i="1"/>
  <c r="Y396" i="1"/>
  <c r="W396" i="1"/>
  <c r="T396" i="1"/>
  <c r="R396" i="1"/>
  <c r="O396" i="1"/>
  <c r="Y395" i="1"/>
  <c r="T395" i="1"/>
  <c r="O395" i="1"/>
  <c r="Y394" i="1"/>
  <c r="X394" i="1"/>
  <c r="W394" i="1"/>
  <c r="V394" i="1"/>
  <c r="O394" i="1"/>
  <c r="Y393" i="1"/>
  <c r="O393" i="1"/>
  <c r="W392" i="1"/>
  <c r="S392" i="1"/>
  <c r="O392" i="1"/>
  <c r="O391" i="1"/>
  <c r="W390" i="1"/>
  <c r="U390" i="1"/>
  <c r="O390" i="1"/>
  <c r="Y389" i="1"/>
  <c r="T389" i="1"/>
  <c r="S389" i="1"/>
  <c r="R389" i="1"/>
  <c r="O389" i="1"/>
  <c r="O388" i="1"/>
  <c r="O387" i="1"/>
  <c r="O386" i="1"/>
  <c r="Y383" i="1"/>
  <c r="W383" i="1"/>
  <c r="V382" i="1"/>
  <c r="O382" i="1"/>
  <c r="O381" i="1"/>
  <c r="O380" i="1"/>
  <c r="Y378" i="1"/>
  <c r="W378" i="1"/>
  <c r="R378" i="1"/>
  <c r="O378" i="1"/>
  <c r="Y377" i="1"/>
  <c r="O377" i="1"/>
  <c r="Y376" i="1"/>
  <c r="W376" i="1"/>
  <c r="U376" i="1"/>
  <c r="T376" i="1"/>
  <c r="S376" i="1"/>
  <c r="O376" i="1"/>
  <c r="U375" i="1"/>
  <c r="T375" i="1"/>
  <c r="O375" i="1"/>
  <c r="Y374" i="1"/>
  <c r="W374" i="1"/>
  <c r="U374" i="1"/>
  <c r="R374" i="1"/>
  <c r="O374" i="1"/>
  <c r="Y373" i="1"/>
  <c r="W373" i="1"/>
  <c r="V373" i="1"/>
  <c r="S373" i="1"/>
  <c r="Y372" i="1"/>
  <c r="W372" i="1"/>
  <c r="U372" i="1"/>
  <c r="T372" i="1"/>
  <c r="S372" i="1"/>
  <c r="R372" i="1"/>
  <c r="O372" i="1"/>
  <c r="Y371" i="1"/>
  <c r="W371" i="1"/>
  <c r="U371" i="1"/>
  <c r="T371" i="1"/>
  <c r="O371" i="1"/>
  <c r="O370" i="1"/>
  <c r="O369" i="1"/>
  <c r="Y368" i="1"/>
  <c r="O368" i="1"/>
  <c r="Y367" i="1"/>
  <c r="S367" i="1"/>
  <c r="O367" i="1"/>
  <c r="O365" i="1"/>
  <c r="O364" i="1"/>
  <c r="O363" i="1"/>
  <c r="Y362" i="1"/>
  <c r="W362" i="1"/>
  <c r="O362" i="1"/>
  <c r="Y360" i="1"/>
  <c r="O360" i="1"/>
  <c r="Y359" i="1"/>
  <c r="U359" i="1"/>
  <c r="O359" i="1"/>
  <c r="O358" i="1"/>
  <c r="Y357" i="1"/>
  <c r="W357" i="1"/>
  <c r="V357" i="1"/>
  <c r="AB356" i="1"/>
  <c r="Y356" i="1"/>
  <c r="W356" i="1"/>
  <c r="O356" i="1"/>
  <c r="AB355" i="1"/>
  <c r="Y355" i="1"/>
  <c r="AX354" i="1"/>
  <c r="AI354" i="1"/>
  <c r="Y354" i="1"/>
  <c r="W354" i="1"/>
  <c r="T354" i="1"/>
  <c r="O354" i="1"/>
  <c r="AX353" i="1"/>
  <c r="Y353" i="1"/>
  <c r="T353" i="1"/>
  <c r="O353" i="1"/>
  <c r="AX352" i="1"/>
  <c r="Y352" i="1"/>
  <c r="T352" i="1"/>
  <c r="AX351" i="1"/>
  <c r="Y351" i="1"/>
  <c r="X351" i="1"/>
  <c r="W351" i="1"/>
  <c r="U351" i="1"/>
  <c r="T351" i="1"/>
  <c r="AX350" i="1"/>
  <c r="Y350" i="1"/>
  <c r="T350" i="1"/>
  <c r="AX349" i="1"/>
  <c r="AX348" i="1"/>
  <c r="AX347" i="1"/>
  <c r="Y347" i="1"/>
  <c r="W347" i="1"/>
  <c r="T347" i="1"/>
  <c r="O347" i="1"/>
  <c r="AX346" i="1"/>
  <c r="Y346" i="1"/>
  <c r="T346" i="1"/>
  <c r="AX345" i="1"/>
  <c r="AI345" i="1"/>
  <c r="Y345" i="1"/>
  <c r="T345" i="1"/>
  <c r="AX344" i="1"/>
  <c r="T344" i="1"/>
  <c r="AX343" i="1"/>
  <c r="Y343" i="1"/>
  <c r="T343" i="1"/>
  <c r="AX342" i="1"/>
  <c r="T342" i="1"/>
  <c r="AX341" i="1"/>
  <c r="T341" i="1"/>
  <c r="AX340" i="1"/>
  <c r="T340" i="1"/>
  <c r="O340" i="1"/>
  <c r="AX339" i="1"/>
  <c r="AI339" i="1"/>
  <c r="T339" i="1"/>
  <c r="O339" i="1"/>
  <c r="AB338" i="1"/>
  <c r="Y338" i="1"/>
  <c r="W338" i="1"/>
  <c r="T338" i="1"/>
  <c r="S338" i="1"/>
  <c r="O338" i="1"/>
  <c r="O337" i="1"/>
  <c r="T337" i="1"/>
  <c r="U337" i="1"/>
  <c r="W337" i="1"/>
  <c r="X337" i="1"/>
  <c r="Y337" i="1"/>
  <c r="M337" i="1"/>
  <c r="O336" i="1"/>
  <c r="S336" i="1"/>
  <c r="Y336" i="1"/>
  <c r="M336" i="1"/>
  <c r="O335" i="1"/>
  <c r="Y335" i="1"/>
  <c r="M335" i="1"/>
  <c r="T334" i="1"/>
  <c r="V334" i="1"/>
  <c r="Y334" i="1"/>
  <c r="M334" i="1"/>
  <c r="O333" i="1"/>
  <c r="Y333" i="1"/>
  <c r="M333" i="1"/>
  <c r="O332" i="1"/>
  <c r="R332" i="1"/>
  <c r="S332" i="1"/>
  <c r="T332" i="1"/>
  <c r="U332" i="1"/>
  <c r="W332" i="1"/>
  <c r="M332" i="1"/>
  <c r="AB331" i="1"/>
  <c r="O331" i="1"/>
  <c r="R331" i="1"/>
  <c r="S331" i="1"/>
  <c r="T331" i="1"/>
  <c r="U331" i="1"/>
  <c r="W331" i="1"/>
  <c r="Y331" i="1"/>
  <c r="M331" i="1"/>
  <c r="M330" i="1"/>
  <c r="M329" i="1"/>
  <c r="O328" i="1"/>
  <c r="X328" i="1"/>
  <c r="M328" i="1"/>
  <c r="O327" i="1"/>
  <c r="U327" i="1"/>
  <c r="W327" i="1"/>
  <c r="Y327" i="1"/>
  <c r="M327" i="1"/>
  <c r="O326" i="1"/>
  <c r="U326" i="1"/>
  <c r="M326" i="1"/>
  <c r="M325" i="1"/>
  <c r="M324" i="1"/>
  <c r="O323" i="1"/>
  <c r="W323" i="1"/>
  <c r="Y323" i="1"/>
  <c r="M323" i="1"/>
  <c r="AE322" i="1"/>
  <c r="O322" i="1"/>
  <c r="T322" i="1"/>
  <c r="W322" i="1"/>
  <c r="Y322" i="1"/>
  <c r="M322" i="1"/>
  <c r="AE321" i="1"/>
  <c r="O321" i="1"/>
  <c r="T321" i="1"/>
  <c r="W321" i="1"/>
  <c r="Y321" i="1"/>
  <c r="M321" i="1"/>
  <c r="O318" i="1"/>
  <c r="M318" i="1"/>
  <c r="M317" i="1"/>
  <c r="O316" i="1"/>
  <c r="R316" i="1"/>
  <c r="T316" i="1"/>
  <c r="U316" i="1"/>
  <c r="W316" i="1"/>
  <c r="Y316" i="1"/>
  <c r="M316" i="1"/>
  <c r="M315" i="1"/>
  <c r="AG314" i="1"/>
  <c r="AE314" i="1"/>
  <c r="O314" i="1"/>
  <c r="R314" i="1"/>
  <c r="S314" i="1"/>
  <c r="T314" i="1"/>
  <c r="W314" i="1"/>
  <c r="Y314" i="1"/>
  <c r="M314" i="1"/>
  <c r="O313" i="1"/>
  <c r="R313" i="1"/>
  <c r="U313" i="1"/>
  <c r="V313" i="1"/>
  <c r="M313" i="1"/>
  <c r="O312" i="1"/>
  <c r="R312" i="1"/>
  <c r="U312" i="1"/>
  <c r="W312" i="1"/>
  <c r="Y312" i="1"/>
  <c r="M312" i="1"/>
  <c r="O311" i="1"/>
  <c r="U311" i="1"/>
  <c r="Y311" i="1"/>
  <c r="M311" i="1"/>
  <c r="M310" i="1"/>
  <c r="Y309" i="1"/>
  <c r="M309" i="1"/>
  <c r="M308" i="1"/>
  <c r="O307" i="1"/>
  <c r="Y307" i="1"/>
  <c r="M307" i="1"/>
  <c r="O306" i="1"/>
  <c r="T306" i="1"/>
  <c r="W306" i="1"/>
  <c r="Y306" i="1"/>
  <c r="M306" i="1"/>
  <c r="O305" i="1"/>
  <c r="Y305" i="1"/>
  <c r="M305" i="1"/>
  <c r="O304" i="1"/>
  <c r="M304" i="1"/>
  <c r="O303" i="1"/>
  <c r="V303" i="1"/>
  <c r="M303" i="1"/>
  <c r="Y302" i="1"/>
  <c r="M302" i="1"/>
  <c r="Y301" i="1"/>
  <c r="M301" i="1"/>
  <c r="M300" i="1"/>
  <c r="M299" i="1"/>
  <c r="R298" i="1"/>
  <c r="S298" i="1"/>
  <c r="Y298" i="1"/>
  <c r="M298" i="1"/>
  <c r="S297" i="1"/>
  <c r="M297" i="1"/>
  <c r="O296" i="1"/>
  <c r="R296" i="1"/>
  <c r="S296" i="1"/>
  <c r="Y296" i="1"/>
  <c r="M296" i="1"/>
  <c r="R295" i="1"/>
  <c r="T295" i="1"/>
  <c r="W295" i="1"/>
  <c r="Y295" i="1"/>
  <c r="M295" i="1"/>
  <c r="Y294" i="1"/>
  <c r="M294" i="1"/>
  <c r="V293" i="1"/>
  <c r="M293" i="1"/>
  <c r="O292" i="1"/>
  <c r="M292" i="1"/>
  <c r="M291" i="1"/>
  <c r="O290" i="1"/>
  <c r="M290" i="1"/>
  <c r="O289" i="1"/>
  <c r="T289" i="1"/>
  <c r="U289" i="1"/>
  <c r="M289" i="1"/>
  <c r="Y288" i="1"/>
  <c r="M288" i="1"/>
  <c r="O287" i="1"/>
  <c r="T287" i="1"/>
  <c r="W287" i="1"/>
  <c r="Y287" i="1"/>
  <c r="M286" i="1"/>
  <c r="M285" i="1"/>
  <c r="O284" i="1"/>
  <c r="T284" i="1"/>
  <c r="U284" i="1"/>
  <c r="W284" i="1"/>
  <c r="Y284" i="1"/>
  <c r="M284" i="1"/>
  <c r="O283" i="1"/>
  <c r="M283" i="1"/>
  <c r="O282" i="1"/>
  <c r="Y282" i="1"/>
  <c r="M282" i="1"/>
  <c r="O281" i="1"/>
  <c r="Y281" i="1"/>
  <c r="M281" i="1"/>
  <c r="O280" i="1"/>
  <c r="T280" i="1"/>
  <c r="U280" i="1"/>
  <c r="W280" i="1"/>
  <c r="M280" i="1"/>
  <c r="O279" i="1"/>
  <c r="M279" i="1"/>
  <c r="O278" i="1"/>
  <c r="T278" i="1"/>
  <c r="W278" i="1"/>
  <c r="Y278" i="1"/>
  <c r="M278" i="1"/>
  <c r="O277" i="1"/>
  <c r="T277" i="1"/>
  <c r="W277" i="1"/>
  <c r="M277" i="1"/>
  <c r="O276" i="1"/>
  <c r="M276" i="1"/>
  <c r="O275" i="1"/>
  <c r="T275" i="1"/>
  <c r="W275" i="1"/>
  <c r="Y275" i="1"/>
  <c r="M275" i="1"/>
  <c r="Y274" i="1"/>
  <c r="M274" i="1"/>
  <c r="M273" i="1"/>
  <c r="T272" i="1"/>
  <c r="M272" i="1"/>
  <c r="M271" i="1"/>
  <c r="M270" i="1"/>
  <c r="O269" i="1"/>
  <c r="S269" i="1"/>
  <c r="T269" i="1"/>
  <c r="M269" i="1"/>
  <c r="O268" i="1"/>
  <c r="S268" i="1"/>
  <c r="T268" i="1"/>
  <c r="M268" i="1"/>
  <c r="T267" i="1"/>
  <c r="Y267" i="1"/>
  <c r="M267" i="1"/>
  <c r="V266" i="1"/>
  <c r="Y266" i="1"/>
  <c r="M266" i="1"/>
  <c r="T265" i="1"/>
  <c r="W265" i="1"/>
  <c r="Y265" i="1"/>
  <c r="M265" i="1"/>
  <c r="T264" i="1"/>
  <c r="Y264" i="1"/>
  <c r="M264" i="1"/>
  <c r="T263" i="1"/>
  <c r="Y263" i="1"/>
  <c r="M263" i="1"/>
  <c r="M262" i="1"/>
  <c r="Y261" i="1"/>
  <c r="M261" i="1"/>
  <c r="S260" i="1"/>
  <c r="T260" i="1"/>
  <c r="W260" i="1"/>
  <c r="Y260" i="1"/>
  <c r="M260" i="1"/>
  <c r="M259" i="1"/>
  <c r="O258" i="1"/>
  <c r="M258" i="1"/>
  <c r="M257" i="1"/>
  <c r="O256" i="1"/>
  <c r="M256" i="1"/>
  <c r="O255" i="1"/>
  <c r="T255" i="1"/>
  <c r="Y255" i="1"/>
  <c r="M255" i="1"/>
  <c r="Y254" i="1"/>
  <c r="M254" i="1"/>
  <c r="M253" i="1"/>
  <c r="M252" i="1"/>
  <c r="O251" i="1"/>
  <c r="M251" i="1"/>
  <c r="O250" i="1"/>
  <c r="M250" i="1"/>
  <c r="O249" i="1"/>
  <c r="R249" i="1"/>
  <c r="S249" i="1"/>
  <c r="T249" i="1"/>
  <c r="U249" i="1"/>
  <c r="Y249" i="1"/>
  <c r="M249" i="1"/>
  <c r="O248" i="1"/>
  <c r="M248" i="1"/>
  <c r="M247" i="1"/>
  <c r="M246" i="1"/>
  <c r="Y245" i="1"/>
  <c r="M245" i="1"/>
  <c r="O244" i="1"/>
  <c r="M244" i="1"/>
  <c r="AP243" i="1"/>
  <c r="AO243" i="1"/>
  <c r="AM243" i="1"/>
  <c r="AB243" i="1"/>
  <c r="T243" i="1"/>
  <c r="W243" i="1"/>
  <c r="X243" i="1"/>
  <c r="Y243" i="1"/>
  <c r="AP242" i="1"/>
  <c r="AO242" i="1"/>
  <c r="AM242" i="1"/>
  <c r="AB242" i="1"/>
  <c r="O242" i="1"/>
  <c r="T242" i="1"/>
  <c r="W242" i="1"/>
  <c r="Y242" i="1"/>
  <c r="O241" i="1"/>
  <c r="V241" i="1"/>
  <c r="M241" i="1"/>
  <c r="M240" i="1"/>
  <c r="M239" i="1"/>
  <c r="M238" i="1"/>
  <c r="O237" i="1"/>
  <c r="U237" i="1"/>
  <c r="W237" i="1"/>
  <c r="Y237" i="1"/>
  <c r="M237" i="1"/>
  <c r="O236" i="1"/>
  <c r="U236" i="1"/>
  <c r="M236" i="1"/>
  <c r="O235" i="1"/>
  <c r="U235" i="1"/>
  <c r="M235" i="1"/>
  <c r="O234" i="1"/>
  <c r="T234" i="1"/>
  <c r="U234" i="1"/>
  <c r="W234" i="1"/>
  <c r="Y234" i="1"/>
  <c r="M234" i="1"/>
  <c r="O233" i="1"/>
  <c r="M233" i="1"/>
  <c r="O232" i="1"/>
  <c r="M232" i="1"/>
  <c r="O231" i="1"/>
  <c r="M231" i="1"/>
  <c r="O230" i="1"/>
  <c r="M230" i="1"/>
  <c r="O229" i="1"/>
  <c r="R229" i="1"/>
  <c r="U229" i="1"/>
  <c r="Y229" i="1"/>
  <c r="M229" i="1"/>
  <c r="O228" i="1"/>
  <c r="V228" i="1"/>
  <c r="M228" i="1"/>
  <c r="O227" i="1"/>
  <c r="U227" i="1"/>
  <c r="M227" i="1"/>
  <c r="O226" i="1"/>
  <c r="R226" i="1"/>
  <c r="U226" i="1"/>
  <c r="M226" i="1"/>
  <c r="O225" i="1"/>
  <c r="V225" i="1"/>
  <c r="M225" i="1"/>
  <c r="O224" i="1"/>
  <c r="Y224" i="1"/>
  <c r="M224" i="1"/>
  <c r="O223" i="1"/>
  <c r="T223" i="1"/>
  <c r="U223" i="1"/>
  <c r="W223" i="1"/>
  <c r="Y223" i="1"/>
  <c r="M223" i="1"/>
  <c r="AF222" i="1"/>
  <c r="O222" i="1"/>
  <c r="U222" i="1"/>
  <c r="M222" i="1"/>
  <c r="O221" i="1"/>
  <c r="T221" i="1"/>
  <c r="U221" i="1"/>
  <c r="W221" i="1"/>
  <c r="M221" i="1"/>
  <c r="O220" i="1"/>
  <c r="T220" i="1"/>
  <c r="W220" i="1"/>
  <c r="Y220" i="1"/>
  <c r="M220" i="1"/>
  <c r="O219" i="1"/>
  <c r="T219" i="1"/>
  <c r="U219" i="1"/>
  <c r="W219" i="1"/>
  <c r="Y219" i="1"/>
  <c r="M219" i="1"/>
  <c r="O218" i="1"/>
  <c r="S218" i="1"/>
  <c r="T218" i="1"/>
  <c r="U218" i="1"/>
  <c r="W218" i="1"/>
  <c r="Y218" i="1"/>
  <c r="M218" i="1"/>
  <c r="O217" i="1"/>
  <c r="S217" i="1"/>
  <c r="T217" i="1"/>
  <c r="U217" i="1"/>
  <c r="Y217" i="1"/>
  <c r="M217" i="1"/>
  <c r="O216" i="1"/>
  <c r="Y215" i="1"/>
  <c r="AE214" i="1"/>
  <c r="Y214" i="1"/>
  <c r="O213" i="1"/>
  <c r="T213" i="1"/>
  <c r="U213" i="1"/>
  <c r="W213" i="1"/>
  <c r="Y213" i="1"/>
  <c r="O212" i="1"/>
  <c r="W212" i="1"/>
  <c r="Y212" i="1"/>
  <c r="O211" i="1"/>
  <c r="W211" i="1"/>
  <c r="Y211" i="1"/>
  <c r="O210" i="1"/>
  <c r="T210" i="1"/>
  <c r="Y210" i="1"/>
  <c r="AL209" i="1"/>
  <c r="AK209" i="1"/>
  <c r="O209" i="1"/>
  <c r="S209" i="1"/>
  <c r="Y209" i="1"/>
  <c r="AL208" i="1"/>
  <c r="AK208" i="1"/>
  <c r="O208" i="1"/>
  <c r="AL207" i="1"/>
  <c r="AK207" i="1"/>
  <c r="O207" i="1"/>
  <c r="AL206" i="1"/>
  <c r="AK206" i="1"/>
  <c r="O206" i="1"/>
  <c r="R206" i="1"/>
  <c r="AL205" i="1"/>
  <c r="AK205" i="1"/>
  <c r="O205" i="1"/>
  <c r="AL204" i="1"/>
  <c r="AK204" i="1"/>
  <c r="O204" i="1"/>
  <c r="S204" i="1"/>
  <c r="Y204" i="1"/>
  <c r="AL203" i="1"/>
  <c r="AK203" i="1"/>
  <c r="O203" i="1"/>
  <c r="Y203" i="1"/>
  <c r="O201" i="1"/>
  <c r="W201" i="1"/>
  <c r="Y201" i="1"/>
  <c r="AB200" i="1"/>
  <c r="O200" i="1"/>
  <c r="W200" i="1"/>
  <c r="Y200" i="1"/>
  <c r="O199" i="1"/>
  <c r="T199" i="1"/>
  <c r="U199" i="1"/>
  <c r="V199" i="1"/>
  <c r="W199" i="1"/>
  <c r="Y199" i="1"/>
  <c r="O197" i="1"/>
  <c r="O196" i="1"/>
  <c r="O195" i="1"/>
  <c r="S195" i="1"/>
  <c r="T195" i="1"/>
  <c r="U195" i="1"/>
  <c r="W195" i="1"/>
  <c r="X195" i="1"/>
  <c r="Y195" i="1"/>
  <c r="O194" i="1"/>
  <c r="O193" i="1"/>
  <c r="V193" i="1"/>
  <c r="Y193" i="1"/>
  <c r="O192" i="1"/>
  <c r="S192" i="1"/>
  <c r="T192" i="1"/>
  <c r="U192" i="1"/>
  <c r="W192" i="1"/>
  <c r="Y192" i="1"/>
  <c r="O191" i="1"/>
  <c r="Y191" i="1"/>
  <c r="O190" i="1"/>
  <c r="O188" i="1"/>
  <c r="O187" i="1"/>
  <c r="Y187" i="1"/>
  <c r="O186" i="1"/>
  <c r="R186" i="1"/>
  <c r="Y186" i="1"/>
  <c r="O185" i="1"/>
  <c r="Y185" i="1"/>
  <c r="O184" i="1"/>
  <c r="S184" i="1"/>
  <c r="Y184" i="1"/>
  <c r="O183" i="1"/>
  <c r="Y183" i="1"/>
  <c r="T182" i="1"/>
  <c r="Y182" i="1"/>
  <c r="Y181" i="1"/>
  <c r="T180" i="1"/>
  <c r="Y180" i="1"/>
  <c r="O179" i="1"/>
  <c r="O178" i="1"/>
  <c r="R178" i="1"/>
  <c r="S178" i="1"/>
  <c r="T178" i="1"/>
  <c r="U178" i="1"/>
  <c r="V178" i="1"/>
  <c r="W178" i="1"/>
  <c r="X178" i="1"/>
  <c r="Y178" i="1"/>
  <c r="O177" i="1"/>
  <c r="R177" i="1"/>
  <c r="S177" i="1"/>
  <c r="T177" i="1"/>
  <c r="O176" i="1"/>
  <c r="U176" i="1"/>
  <c r="W176" i="1"/>
  <c r="Y176" i="1"/>
  <c r="O175" i="1"/>
  <c r="R175" i="1"/>
  <c r="S175" i="1"/>
  <c r="Y175" i="1"/>
  <c r="AE174" i="1"/>
  <c r="O174" i="1"/>
  <c r="U174" i="1"/>
  <c r="V174" i="1"/>
  <c r="AE173" i="1"/>
  <c r="O173" i="1"/>
  <c r="U173" i="1"/>
  <c r="O172" i="1"/>
  <c r="U172" i="1"/>
  <c r="Y171" i="1"/>
  <c r="O170" i="1"/>
  <c r="Y170" i="1"/>
  <c r="O169" i="1"/>
  <c r="R169" i="1"/>
  <c r="U169" i="1"/>
  <c r="V169" i="1"/>
  <c r="W169" i="1"/>
  <c r="Y169" i="1"/>
  <c r="O168" i="1"/>
  <c r="R168" i="1"/>
  <c r="U168" i="1"/>
  <c r="W168" i="1"/>
  <c r="Y168" i="1"/>
  <c r="Y166" i="1"/>
  <c r="O165" i="1"/>
  <c r="S165" i="1"/>
  <c r="T165" i="1"/>
  <c r="U165" i="1"/>
  <c r="W165" i="1"/>
  <c r="Y165" i="1"/>
  <c r="O164" i="1"/>
  <c r="T164" i="1"/>
  <c r="U164" i="1"/>
  <c r="W164" i="1"/>
  <c r="Y164" i="1"/>
  <c r="O163" i="1"/>
  <c r="R163" i="1"/>
  <c r="W163" i="1"/>
  <c r="Y163" i="1"/>
  <c r="O162" i="1"/>
  <c r="T159" i="1"/>
  <c r="O158" i="1"/>
  <c r="T158" i="1"/>
  <c r="U158" i="1"/>
  <c r="W158" i="1"/>
  <c r="Y158" i="1"/>
  <c r="O157" i="1"/>
  <c r="O156" i="1"/>
  <c r="V156" i="1"/>
  <c r="O155" i="1"/>
  <c r="O154" i="1"/>
  <c r="V154" i="1"/>
  <c r="Y154" i="1"/>
  <c r="AJ153" i="1"/>
  <c r="O153" i="1"/>
  <c r="R153" i="1"/>
  <c r="S153" i="1"/>
  <c r="Y153" i="1"/>
  <c r="AJ152" i="1"/>
  <c r="O152" i="1"/>
  <c r="R152" i="1"/>
  <c r="S152" i="1"/>
  <c r="T152" i="1"/>
  <c r="V152" i="1"/>
  <c r="Y152" i="1"/>
  <c r="O150" i="1"/>
  <c r="Y148" i="1"/>
  <c r="AE146" i="1"/>
  <c r="O146" i="1"/>
  <c r="Y146" i="1"/>
  <c r="O145" i="1"/>
  <c r="Y145" i="1"/>
  <c r="O141" i="1"/>
  <c r="Y141" i="1"/>
  <c r="O138" i="1"/>
  <c r="O137" i="1"/>
  <c r="O136" i="1"/>
  <c r="T136" i="1"/>
  <c r="Y136" i="1"/>
  <c r="O135" i="1"/>
  <c r="T135" i="1"/>
  <c r="O134" i="1"/>
  <c r="R134" i="1"/>
  <c r="T134" i="1"/>
  <c r="W134" i="1"/>
  <c r="Y134" i="1"/>
  <c r="V133" i="1"/>
  <c r="W133" i="1"/>
  <c r="X133" i="1"/>
  <c r="O132" i="1"/>
  <c r="Y132" i="1"/>
  <c r="O131" i="1"/>
  <c r="Y131" i="1"/>
  <c r="Y130" i="1"/>
  <c r="O129" i="1"/>
  <c r="V129" i="1"/>
  <c r="O128" i="1"/>
  <c r="R128" i="1"/>
  <c r="V128" i="1"/>
  <c r="W128" i="1"/>
  <c r="Y128" i="1"/>
  <c r="O127" i="1"/>
  <c r="V127" i="1"/>
  <c r="O126" i="1"/>
  <c r="R126" i="1"/>
  <c r="S126" i="1"/>
  <c r="T126" i="1"/>
  <c r="Y126" i="1"/>
  <c r="O125" i="1"/>
  <c r="Y125" i="1"/>
  <c r="S124" i="1"/>
  <c r="T124" i="1"/>
  <c r="W124" i="1"/>
  <c r="Y124" i="1"/>
  <c r="O123" i="1"/>
  <c r="T123" i="1"/>
  <c r="O122" i="1"/>
  <c r="O121" i="1"/>
  <c r="U121" i="1"/>
  <c r="O120" i="1"/>
  <c r="T120" i="1"/>
  <c r="W120" i="1"/>
  <c r="O119" i="1"/>
  <c r="O118" i="1"/>
  <c r="U118" i="1"/>
  <c r="W118" i="1"/>
  <c r="Y118" i="1"/>
  <c r="O117" i="1"/>
  <c r="S117" i="1"/>
  <c r="T117" i="1"/>
  <c r="V117" i="1"/>
  <c r="W117" i="1"/>
  <c r="Y117" i="1"/>
  <c r="S116" i="1"/>
  <c r="T116" i="1"/>
  <c r="W116" i="1"/>
  <c r="Y116" i="1"/>
  <c r="W115" i="1"/>
  <c r="V114" i="1"/>
  <c r="Y114" i="1"/>
  <c r="Y113" i="1"/>
  <c r="T112" i="1"/>
  <c r="W112" i="1"/>
  <c r="Y112" i="1"/>
  <c r="O111" i="1"/>
  <c r="V111" i="1"/>
  <c r="O110" i="1"/>
  <c r="U110" i="1"/>
  <c r="V110" i="1"/>
  <c r="W110" i="1"/>
  <c r="Y110" i="1"/>
  <c r="O109" i="1"/>
  <c r="R109" i="1"/>
  <c r="U109" i="1"/>
  <c r="W109" i="1"/>
  <c r="X109" i="1"/>
  <c r="Y109" i="1"/>
  <c r="AE108" i="1"/>
  <c r="O108" i="1"/>
  <c r="R108" i="1"/>
  <c r="U108" i="1"/>
  <c r="V108" i="1"/>
  <c r="W108" i="1"/>
  <c r="Y108" i="1"/>
  <c r="O107" i="1"/>
  <c r="V107" i="1"/>
  <c r="Y107" i="1"/>
  <c r="O106" i="1"/>
  <c r="V106" i="1"/>
  <c r="O105" i="1"/>
  <c r="R105" i="1"/>
  <c r="U105" i="1"/>
  <c r="Y105" i="1"/>
  <c r="O104" i="1"/>
  <c r="R104" i="1"/>
  <c r="S104" i="1"/>
  <c r="T104" i="1"/>
  <c r="U104" i="1"/>
  <c r="V104" i="1"/>
  <c r="W104" i="1"/>
  <c r="X104" i="1"/>
  <c r="Y104" i="1"/>
  <c r="O103" i="1"/>
  <c r="T103" i="1"/>
  <c r="U103" i="1"/>
  <c r="W103" i="1"/>
  <c r="Y103" i="1"/>
  <c r="O102" i="1"/>
  <c r="Y102" i="1"/>
  <c r="O101" i="1"/>
  <c r="T101" i="1"/>
  <c r="U101" i="1"/>
  <c r="W101" i="1"/>
  <c r="Y101" i="1"/>
  <c r="O100" i="1"/>
  <c r="T100" i="1"/>
  <c r="W100" i="1"/>
  <c r="Y100" i="1"/>
  <c r="Y99" i="1"/>
  <c r="O98" i="1"/>
  <c r="R98" i="1"/>
  <c r="S98" i="1"/>
  <c r="Y98" i="1"/>
  <c r="O97" i="1"/>
  <c r="O96" i="1"/>
  <c r="O95" i="1"/>
  <c r="U95" i="1"/>
  <c r="AG94" i="1"/>
  <c r="O94" i="1"/>
  <c r="Y93" i="1"/>
  <c r="Y92" i="1"/>
  <c r="Y91" i="1"/>
  <c r="O90" i="1"/>
  <c r="Y90" i="1"/>
  <c r="V89" i="1"/>
  <c r="O88" i="1"/>
  <c r="V88" i="1"/>
  <c r="R87" i="1"/>
  <c r="S87" i="1"/>
  <c r="T87" i="1"/>
  <c r="Y87" i="1"/>
  <c r="Y86" i="1"/>
  <c r="T85" i="1"/>
  <c r="W85" i="1"/>
  <c r="X85" i="1"/>
  <c r="Y85" i="1"/>
  <c r="T84" i="1"/>
  <c r="W84" i="1"/>
  <c r="Y84" i="1"/>
  <c r="S83" i="1"/>
  <c r="T83" i="1"/>
  <c r="Y83" i="1"/>
  <c r="O82" i="1"/>
  <c r="S82" i="1"/>
  <c r="T82" i="1"/>
  <c r="Y82" i="1"/>
  <c r="O81" i="1"/>
  <c r="R81" i="1"/>
  <c r="S81" i="1"/>
  <c r="Y81" i="1"/>
  <c r="S80" i="1"/>
  <c r="T80" i="1"/>
  <c r="Y80" i="1"/>
  <c r="O79" i="1"/>
  <c r="S79" i="1"/>
  <c r="T79" i="1"/>
  <c r="Y79" i="1"/>
  <c r="O78" i="1"/>
  <c r="S78" i="1"/>
  <c r="O77" i="1"/>
  <c r="R77" i="1"/>
  <c r="Y77" i="1"/>
  <c r="O76" i="1"/>
  <c r="U76" i="1"/>
  <c r="W76" i="1"/>
  <c r="O75" i="1"/>
  <c r="T75" i="1"/>
  <c r="U75" i="1"/>
  <c r="W75" i="1"/>
  <c r="O74" i="1"/>
  <c r="T74" i="1"/>
  <c r="AG73" i="1"/>
  <c r="O73" i="1"/>
  <c r="R73" i="1"/>
  <c r="S73" i="1"/>
  <c r="AG72" i="1"/>
  <c r="O72" i="1"/>
  <c r="Y72" i="1"/>
  <c r="AG71" i="1"/>
  <c r="O70" i="1"/>
  <c r="O69" i="1"/>
  <c r="S69" i="1"/>
  <c r="W69" i="1"/>
  <c r="Y69" i="1"/>
  <c r="O68" i="1"/>
  <c r="S68" i="1"/>
  <c r="V68" i="1"/>
  <c r="W68" i="1"/>
  <c r="Y68" i="1"/>
  <c r="O67" i="1"/>
  <c r="R67" i="1"/>
  <c r="T67" i="1"/>
  <c r="W67" i="1"/>
  <c r="O66" i="1"/>
  <c r="R66" i="1"/>
  <c r="S66" i="1"/>
  <c r="T66" i="1"/>
  <c r="U66" i="1"/>
  <c r="W66" i="1"/>
  <c r="X66" i="1"/>
  <c r="Y66" i="1"/>
  <c r="O65" i="1"/>
  <c r="T62" i="1"/>
  <c r="T61" i="1"/>
  <c r="O59" i="1"/>
  <c r="T59" i="1"/>
  <c r="U59" i="1"/>
  <c r="W59" i="1"/>
  <c r="Y59" i="1"/>
  <c r="O58" i="1"/>
  <c r="S58" i="1"/>
  <c r="T58" i="1"/>
  <c r="U58" i="1"/>
  <c r="W58" i="1"/>
  <c r="Y58" i="1"/>
  <c r="O57" i="1"/>
  <c r="T57" i="1"/>
  <c r="U57" i="1"/>
  <c r="W57" i="1"/>
  <c r="O56" i="1"/>
  <c r="S56" i="1"/>
  <c r="T56" i="1"/>
  <c r="U56" i="1"/>
  <c r="W56" i="1"/>
  <c r="Y56" i="1"/>
  <c r="O55" i="1"/>
  <c r="V55" i="1"/>
  <c r="Y55" i="1"/>
  <c r="O54" i="1"/>
  <c r="O53" i="1"/>
  <c r="O52" i="1"/>
  <c r="S52" i="1"/>
  <c r="O51" i="1"/>
  <c r="Y51" i="1"/>
  <c r="O50" i="1"/>
  <c r="Y50" i="1"/>
  <c r="O49" i="1"/>
  <c r="O48" i="1"/>
  <c r="Y48" i="1"/>
  <c r="O47" i="1"/>
  <c r="R47" i="1"/>
  <c r="Y47" i="1"/>
  <c r="O45" i="1"/>
  <c r="O44" i="1"/>
  <c r="Y44" i="1"/>
  <c r="O43" i="1"/>
  <c r="O42" i="1"/>
  <c r="Y42" i="1"/>
  <c r="O41" i="1"/>
  <c r="Y41" i="1"/>
  <c r="O40" i="1"/>
  <c r="T40" i="1"/>
  <c r="O39" i="1"/>
  <c r="O38" i="1"/>
  <c r="R38" i="1"/>
  <c r="S38" i="1"/>
  <c r="T38" i="1"/>
  <c r="V38" i="1"/>
  <c r="T37" i="1"/>
  <c r="W37" i="1"/>
  <c r="Y37" i="1"/>
  <c r="O36" i="1"/>
  <c r="T36" i="1"/>
  <c r="O35" i="1"/>
  <c r="S35" i="1"/>
  <c r="T35" i="1"/>
  <c r="U35" i="1"/>
  <c r="W35" i="1"/>
  <c r="X35" i="1"/>
  <c r="Y35" i="1"/>
  <c r="O34" i="1"/>
  <c r="T34" i="1"/>
  <c r="U34" i="1"/>
  <c r="Y34" i="1"/>
  <c r="O33" i="1"/>
  <c r="T33" i="1"/>
  <c r="U33" i="1"/>
  <c r="V33" i="1"/>
  <c r="W33" i="1"/>
  <c r="X33" i="1"/>
  <c r="Y33" i="1"/>
  <c r="O32" i="1"/>
  <c r="T32" i="1"/>
  <c r="U32" i="1"/>
  <c r="W32" i="1"/>
  <c r="X32" i="1"/>
  <c r="Y32" i="1"/>
  <c r="O30" i="1"/>
  <c r="T30" i="1"/>
  <c r="U30" i="1"/>
  <c r="W30" i="1"/>
  <c r="Y30" i="1"/>
  <c r="O29" i="1"/>
  <c r="R29" i="1"/>
  <c r="S29" i="1"/>
  <c r="W29" i="1"/>
  <c r="Y29" i="1"/>
  <c r="V27" i="1"/>
  <c r="W27" i="1"/>
  <c r="Y27" i="1"/>
  <c r="O26" i="1"/>
  <c r="S26" i="1"/>
  <c r="T26" i="1"/>
  <c r="Y26" i="1"/>
  <c r="O25" i="1"/>
  <c r="T25" i="1"/>
  <c r="V25" i="1"/>
  <c r="W25" i="1"/>
  <c r="O24" i="1"/>
  <c r="T24" i="1"/>
  <c r="V24" i="1"/>
  <c r="O23" i="1"/>
  <c r="R23" i="1"/>
  <c r="O22" i="1"/>
  <c r="R22" i="1"/>
  <c r="T22" i="1"/>
  <c r="O21" i="1"/>
  <c r="X21" i="1"/>
  <c r="O20" i="1"/>
  <c r="O19" i="1"/>
  <c r="S19" i="1"/>
  <c r="T19" i="1"/>
  <c r="T18" i="1"/>
  <c r="U18" i="1"/>
  <c r="V18" i="1"/>
  <c r="W18" i="1"/>
  <c r="X18" i="1"/>
  <c r="Y18" i="1"/>
  <c r="S17" i="1"/>
  <c r="T17" i="1"/>
  <c r="U17" i="1"/>
  <c r="V17" i="1"/>
  <c r="W17" i="1"/>
  <c r="Y17" i="1"/>
  <c r="S16" i="1"/>
  <c r="T16" i="1"/>
  <c r="U16" i="1"/>
  <c r="V16" i="1"/>
  <c r="W16" i="1"/>
  <c r="Y16" i="1"/>
  <c r="T15" i="1"/>
  <c r="U15" i="1"/>
  <c r="W15" i="1"/>
  <c r="Y15" i="1"/>
  <c r="T14" i="1"/>
  <c r="U14" i="1"/>
  <c r="V14" i="1"/>
  <c r="W14" i="1"/>
  <c r="Y14" i="1"/>
  <c r="T13" i="1"/>
  <c r="U13" i="1"/>
  <c r="W13" i="1"/>
  <c r="Y13" i="1"/>
  <c r="O12" i="1"/>
  <c r="V12" i="1"/>
  <c r="O11" i="1"/>
  <c r="S11" i="1"/>
  <c r="T11" i="1"/>
  <c r="U11" i="1"/>
  <c r="Y11" i="1"/>
  <c r="O10" i="1"/>
  <c r="S10" i="1"/>
  <c r="T10" i="1"/>
  <c r="W10" i="1"/>
  <c r="Y10" i="1"/>
  <c r="O9" i="1"/>
  <c r="S9" i="1"/>
  <c r="T9" i="1"/>
  <c r="O8" i="1"/>
  <c r="T8" i="1"/>
  <c r="U8" i="1"/>
  <c r="W8" i="1"/>
  <c r="Y8" i="1"/>
  <c r="O7" i="1"/>
  <c r="T6" i="1"/>
  <c r="O4" i="1"/>
  <c r="S4" i="1"/>
  <c r="T4" i="1"/>
  <c r="Y4" i="1"/>
  <c r="O3" i="1"/>
  <c r="S3" i="1"/>
  <c r="V3" i="1"/>
  <c r="Y3" i="1"/>
  <c r="O2" i="1"/>
  <c r="Y2" i="1"/>
</calcChain>
</file>

<file path=xl/comments1.xml><?xml version="1.0" encoding="utf-8"?>
<comments xmlns="http://schemas.openxmlformats.org/spreadsheetml/2006/main">
  <authors>
    <author>Dep User</author>
    <author>david papp</author>
    <author>Papp</author>
    <author>lillieE</author>
  </authors>
  <commentList>
    <comment ref="F1" authorId="0">
      <text>
        <r>
          <rPr>
            <b/>
            <sz val="9"/>
            <color indexed="81"/>
            <rFont val="Tahoma"/>
            <family val="2"/>
          </rPr>
          <t xml:space="preserve">Some of these have notes that say "CTDEEP".  That indicates that this basin code was looked up by one of our interns, not reported by company.  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E1" authorId="0">
      <text>
        <r>
          <rPr>
            <sz val="9"/>
            <color indexed="81"/>
            <rFont val="Tahoma"/>
            <family val="2"/>
          </rPr>
          <t xml:space="preserve">the columns from here to the right may be different for each sector.  Most of these parameters were not tested for under the earlier permit (except bacteria).  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94" authorId="0">
      <text>
        <r>
          <rPr>
            <sz val="8"/>
            <color indexed="81"/>
            <rFont val="Tahoma"/>
            <family val="2"/>
          </rPr>
          <t>sampled 3/1/12</t>
        </r>
        <r>
          <rPr>
            <b/>
            <sz val="8"/>
            <color indexed="81"/>
            <rFont val="Tahoma"/>
            <family val="2"/>
          </rPr>
          <t xml:space="preserve">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103" authorId="0">
      <text>
        <r>
          <rPr>
            <b/>
            <sz val="8"/>
            <color indexed="81"/>
            <rFont val="Tahoma"/>
            <family val="2"/>
          </rPr>
          <t>Piper Brook Old cnannel-RGE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X339" authorId="1">
      <text>
        <r>
          <rPr>
            <b/>
            <sz val="9"/>
            <color indexed="81"/>
            <rFont val="Calibri"/>
            <family val="2"/>
          </rPr>
          <t xml:space="preserve">Mistakenly did nitrites 
</t>
        </r>
        <r>
          <rPr>
            <sz val="9"/>
            <color indexed="81"/>
            <rFont val="Calibri"/>
            <family val="2"/>
          </rPr>
          <t xml:space="preserve">
</t>
        </r>
      </text>
    </comment>
    <comment ref="B585" authorId="0">
      <text>
        <r>
          <rPr>
            <sz val="8"/>
            <color indexed="81"/>
            <rFont val="Tahoma"/>
            <family val="2"/>
          </rPr>
          <t xml:space="preserve">bacteria monitoring done outside hold time, redid during a different storm
</t>
        </r>
      </text>
    </comment>
    <comment ref="I830" authorId="0">
      <text>
        <r>
          <rPr>
            <sz val="8"/>
            <color indexed="81"/>
            <rFont val="Tahoma"/>
            <family val="2"/>
          </rPr>
          <t>discharges to town storm drainage system (MS4)</t>
        </r>
        <r>
          <rPr>
            <b/>
            <sz val="8"/>
            <color indexed="81"/>
            <rFont val="Tahoma"/>
            <family val="2"/>
          </rPr>
          <t xml:space="preserve">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835" authorId="0">
      <text>
        <r>
          <rPr>
            <sz val="8"/>
            <color indexed="81"/>
            <rFont val="Tahoma"/>
            <family val="2"/>
          </rPr>
          <t>discharges to town storm drainage system (MS4)</t>
        </r>
        <r>
          <rPr>
            <b/>
            <sz val="8"/>
            <color indexed="81"/>
            <rFont val="Tahoma"/>
            <family val="2"/>
          </rPr>
          <t xml:space="preserve">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836" authorId="0">
      <text>
        <r>
          <rPr>
            <sz val="8"/>
            <color indexed="81"/>
            <rFont val="Tahoma"/>
            <family val="2"/>
          </rPr>
          <t>discharges to town storm drainage system (MS4)</t>
        </r>
        <r>
          <rPr>
            <b/>
            <sz val="8"/>
            <color indexed="81"/>
            <rFont val="Tahoma"/>
            <family val="2"/>
          </rPr>
          <t xml:space="preserve">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E837" authorId="0">
      <text>
        <r>
          <rPr>
            <sz val="8"/>
            <color indexed="81"/>
            <rFont val="Tahoma"/>
            <family val="2"/>
          </rPr>
          <t xml:space="preserve">not convinced this isn't a typo.  Ecoli results not on their lab report.  
</t>
        </r>
      </text>
    </comment>
    <comment ref="AE838" authorId="0">
      <text>
        <r>
          <rPr>
            <sz val="8"/>
            <color indexed="81"/>
            <rFont val="Tahoma"/>
            <family val="2"/>
          </rPr>
          <t xml:space="preserve">not convinced this isn't a typo.  Ecoli results not on their lab report.  
</t>
        </r>
      </text>
    </comment>
    <comment ref="J858" authorId="0">
      <text>
        <r>
          <rPr>
            <sz val="8"/>
            <color indexed="81"/>
            <rFont val="Tahoma"/>
            <family val="2"/>
          </rPr>
          <t xml:space="preserve">cover letter says most SW retained and used as process water. Basin was pumped &amp; sample collected from the outfall.
</t>
        </r>
      </text>
    </comment>
    <comment ref="I859" authorId="0">
      <text>
        <r>
          <rPr>
            <sz val="8"/>
            <color indexed="81"/>
            <rFont val="Tahoma"/>
            <family val="2"/>
          </rPr>
          <t xml:space="preserve">discharges to MS4
</t>
        </r>
      </text>
    </comment>
    <comment ref="T867" authorId="0">
      <text>
        <r>
          <rPr>
            <sz val="8"/>
            <color indexed="81"/>
            <rFont val="Tahoma"/>
            <family val="2"/>
          </rPr>
          <t xml:space="preserve">from a different sample collected 4/12/13
</t>
        </r>
      </text>
    </comment>
    <comment ref="T868" authorId="0">
      <text>
        <r>
          <rPr>
            <sz val="8"/>
            <color indexed="81"/>
            <rFont val="Tahoma"/>
            <family val="2"/>
          </rPr>
          <t xml:space="preserve">from a different sample collected 4/12/13
</t>
        </r>
      </text>
    </comment>
    <comment ref="A1175" authorId="0">
      <text>
        <r>
          <rPr>
            <sz val="9"/>
            <color indexed="81"/>
            <rFont val="Tahoma"/>
            <family val="2"/>
          </rPr>
          <t xml:space="preserve">pulled data off later SMR for sake of averages. Numbers could be 1/2 detection limits
</t>
        </r>
      </text>
    </comment>
    <comment ref="I1286" authorId="0">
      <text>
        <r>
          <rPr>
            <sz val="8"/>
            <color indexed="81"/>
            <rFont val="Tahoma"/>
            <family val="2"/>
          </rPr>
          <t xml:space="preserve">discharges to MS4
</t>
        </r>
      </text>
    </comment>
    <comment ref="Q1410" authorId="0">
      <text>
        <r>
          <rPr>
            <b/>
            <sz val="8"/>
            <color indexed="81"/>
            <rFont val="Tahoma"/>
            <family val="2"/>
          </rPr>
          <t>they think this is an error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N1641" authorId="0">
      <text>
        <r>
          <rPr>
            <sz val="8"/>
            <color indexed="81"/>
            <rFont val="Tahoma"/>
            <family val="2"/>
          </rPr>
          <t xml:space="preserve">inadvertently analyzed
</t>
        </r>
      </text>
    </comment>
    <comment ref="I1661" authorId="1">
      <text>
        <r>
          <rPr>
            <b/>
            <sz val="9"/>
            <color indexed="81"/>
            <rFont val="Calibri"/>
            <family val="2"/>
          </rPr>
          <t>they say no extra mon required</t>
        </r>
        <r>
          <rPr>
            <sz val="9"/>
            <color indexed="81"/>
            <rFont val="Calibri"/>
            <family val="2"/>
          </rPr>
          <t xml:space="preserve">
</t>
        </r>
      </text>
    </comment>
    <comment ref="I1767" authorId="2">
      <text>
        <r>
          <rPr>
            <b/>
            <sz val="9"/>
            <color indexed="81"/>
            <rFont val="Tahoma"/>
            <family val="2"/>
          </rPr>
          <t>Papp:</t>
        </r>
        <r>
          <rPr>
            <sz val="9"/>
            <color indexed="81"/>
            <rFont val="Tahoma"/>
            <family val="2"/>
          </rPr>
          <t xml:space="preserve">
to MS4</t>
        </r>
      </text>
    </comment>
    <comment ref="I1794" authorId="0">
      <text>
        <r>
          <rPr>
            <sz val="8"/>
            <color indexed="81"/>
            <rFont val="Tahoma"/>
            <family val="2"/>
          </rPr>
          <t xml:space="preserve">doesn't look like they discharge into am impared waterbody
</t>
        </r>
      </text>
    </comment>
    <comment ref="Q1802" authorId="1">
      <text>
        <r>
          <rPr>
            <b/>
            <sz val="9"/>
            <color indexed="81"/>
            <rFont val="Calibri"/>
            <family val="2"/>
          </rPr>
          <t>pH ok in tox test</t>
        </r>
        <r>
          <rPr>
            <sz val="9"/>
            <color indexed="81"/>
            <rFont val="Calibri"/>
            <family val="2"/>
          </rPr>
          <t xml:space="preserve">
</t>
        </r>
      </text>
    </comment>
    <comment ref="I1869" authorId="0">
      <text>
        <r>
          <rPr>
            <sz val="8"/>
            <color indexed="81"/>
            <rFont val="Tahoma"/>
            <family val="2"/>
          </rPr>
          <t xml:space="preserve">discharges to MS4
</t>
        </r>
      </text>
    </comment>
    <comment ref="E2074" authorId="0">
      <text>
        <r>
          <rPr>
            <b/>
            <sz val="8"/>
            <color indexed="81"/>
            <rFont val="Tahoma"/>
            <family val="2"/>
          </rPr>
          <t>Piper Brook Old cnannel-RGE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Q2234" authorId="0">
      <text>
        <r>
          <rPr>
            <b/>
            <sz val="8"/>
            <color indexed="81"/>
            <rFont val="Tahoma"/>
            <family val="2"/>
          </rPr>
          <t xml:space="preserve">list of what they tested for attached to SMR.  All ND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S2269" authorId="2">
      <text>
        <r>
          <rPr>
            <sz val="9"/>
            <color indexed="81"/>
            <rFont val="Tahoma"/>
            <family val="2"/>
          </rPr>
          <t xml:space="preserve">Think the sample was handled poorly so resampled TSS 9/28/12 found 4.5 mg/L
</t>
        </r>
      </text>
    </comment>
    <comment ref="V2300" authorId="0">
      <text>
        <r>
          <rPr>
            <b/>
            <sz val="8"/>
            <color indexed="81"/>
            <rFont val="Tahoma"/>
            <family val="2"/>
          </rPr>
          <t>elevated DL due to Matrix Interference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V2301" authorId="0">
      <text>
        <r>
          <rPr>
            <b/>
            <sz val="8"/>
            <color indexed="81"/>
            <rFont val="Tahoma"/>
            <family val="2"/>
          </rPr>
          <t>elevated DL due to Matrix Interference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2356" authorId="0">
      <text>
        <r>
          <rPr>
            <sz val="8"/>
            <color indexed="81"/>
            <rFont val="Tahoma"/>
            <family val="2"/>
          </rPr>
          <t xml:space="preserve">now called outfall T
</t>
        </r>
      </text>
    </comment>
    <comment ref="J2358" authorId="0">
      <text>
        <r>
          <rPr>
            <sz val="8"/>
            <color indexed="81"/>
            <rFont val="Tahoma"/>
            <family val="2"/>
          </rPr>
          <t xml:space="preserve">now called outfall T
</t>
        </r>
      </text>
    </comment>
    <comment ref="J2363" authorId="0">
      <text>
        <r>
          <rPr>
            <sz val="8"/>
            <color indexed="81"/>
            <rFont val="Tahoma"/>
            <family val="2"/>
          </rPr>
          <t xml:space="preserve">formerly outfall F. now outfall will be called T. was a typo
</t>
        </r>
      </text>
    </comment>
    <comment ref="I2402" authorId="0">
      <text>
        <r>
          <rPr>
            <sz val="8"/>
            <color indexed="81"/>
            <rFont val="Tahoma"/>
            <family val="2"/>
          </rPr>
          <t xml:space="preserve">they say no extra monitorng required per our IW table
</t>
        </r>
      </text>
    </comment>
    <comment ref="U2683" authorId="0">
      <text>
        <r>
          <rPr>
            <sz val="8"/>
            <color indexed="81"/>
            <rFont val="Tahoma"/>
            <family val="2"/>
          </rPr>
          <t>typo? Called them should this be 1.64?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V2800" authorId="0">
      <text>
        <r>
          <rPr>
            <b/>
            <sz val="8"/>
            <color indexed="81"/>
            <rFont val="Tahoma"/>
            <family val="2"/>
          </rPr>
          <t xml:space="preserve">ug/L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819" authorId="0">
      <text>
        <r>
          <rPr>
            <sz val="8"/>
            <color indexed="81"/>
            <rFont val="Tahoma"/>
            <family val="2"/>
          </rPr>
          <t xml:space="preserve">(exemption ok?)
</t>
        </r>
      </text>
    </comment>
    <comment ref="U3098" authorId="1">
      <text>
        <r>
          <rPr>
            <b/>
            <sz val="9"/>
            <color indexed="81"/>
            <rFont val="Calibri"/>
            <family val="2"/>
          </rPr>
          <t>have lab report, real number</t>
        </r>
      </text>
    </comment>
    <comment ref="F3157" authorId="2">
      <text>
        <r>
          <rPr>
            <b/>
            <sz val="9"/>
            <color indexed="81"/>
            <rFont val="Tahoma"/>
            <family val="2"/>
          </rPr>
          <t>CTDEEP</t>
        </r>
      </text>
    </comment>
    <comment ref="F3160" authorId="2">
      <text>
        <r>
          <rPr>
            <b/>
            <sz val="9"/>
            <color indexed="81"/>
            <rFont val="Tahoma"/>
            <family val="2"/>
          </rPr>
          <t xml:space="preserve">CTDEEP
</t>
        </r>
      </text>
    </comment>
    <comment ref="F3192" authorId="2">
      <text>
        <r>
          <rPr>
            <sz val="9"/>
            <color indexed="81"/>
            <rFont val="Tahoma"/>
            <family val="2"/>
          </rPr>
          <t xml:space="preserve">CTDEEP
</t>
        </r>
      </text>
    </comment>
    <comment ref="F3222" authorId="1">
      <text>
        <r>
          <rPr>
            <sz val="9"/>
            <color indexed="81"/>
            <rFont val="Calibri"/>
            <family val="2"/>
          </rPr>
          <t xml:space="preserve">CTDEEP
</t>
        </r>
      </text>
    </comment>
    <comment ref="F3294" authorId="1">
      <text>
        <r>
          <rPr>
            <b/>
            <sz val="9"/>
            <color indexed="81"/>
            <rFont val="Calibri"/>
            <family val="2"/>
          </rPr>
          <t>CTDEEP</t>
        </r>
        <r>
          <rPr>
            <sz val="9"/>
            <color indexed="81"/>
            <rFont val="Calibri"/>
            <family val="2"/>
          </rPr>
          <t xml:space="preserve">
</t>
        </r>
      </text>
    </comment>
    <comment ref="E3352" authorId="0">
      <text>
        <r>
          <rPr>
            <b/>
            <sz val="8"/>
            <color indexed="81"/>
            <rFont val="Tahoma"/>
            <family val="2"/>
          </rPr>
          <t>Piper Brook Old cnannel-RGE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3353" authorId="0">
      <text>
        <r>
          <rPr>
            <b/>
            <sz val="8"/>
            <color indexed="81"/>
            <rFont val="Tahoma"/>
            <family val="2"/>
          </rPr>
          <t>Piper Brook Old cnannel-RGE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441" authorId="1">
      <text>
        <r>
          <rPr>
            <b/>
            <sz val="9"/>
            <color indexed="81"/>
            <rFont val="Calibri"/>
            <family val="2"/>
          </rPr>
          <t>CTDEEP</t>
        </r>
        <r>
          <rPr>
            <sz val="9"/>
            <color indexed="81"/>
            <rFont val="Calibri"/>
            <family val="2"/>
          </rPr>
          <t xml:space="preserve">
</t>
        </r>
      </text>
    </comment>
    <comment ref="F3482" authorId="1">
      <text>
        <r>
          <rPr>
            <b/>
            <sz val="9"/>
            <color indexed="81"/>
            <rFont val="Calibri"/>
            <family val="2"/>
          </rPr>
          <t>CTDEEP</t>
        </r>
        <r>
          <rPr>
            <sz val="9"/>
            <color indexed="81"/>
            <rFont val="Calibri"/>
            <family val="2"/>
          </rPr>
          <t xml:space="preserve">
</t>
        </r>
      </text>
    </comment>
    <comment ref="F3487" authorId="0">
      <text>
        <r>
          <rPr>
            <b/>
            <sz val="9"/>
            <color indexed="81"/>
            <rFont val="Tahoma"/>
            <family val="2"/>
          </rPr>
          <t>CTDEEP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3488" authorId="0">
      <text>
        <r>
          <rPr>
            <b/>
            <sz val="9"/>
            <color indexed="81"/>
            <rFont val="Tahoma"/>
            <family val="2"/>
          </rPr>
          <t>CTDEEP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3495" authorId="0">
      <text>
        <r>
          <rPr>
            <b/>
            <sz val="9"/>
            <color indexed="81"/>
            <rFont val="Tahoma"/>
            <family val="2"/>
          </rPr>
          <t>CTDEEP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3496" authorId="0">
      <text>
        <r>
          <rPr>
            <b/>
            <sz val="9"/>
            <color indexed="81"/>
            <rFont val="Tahoma"/>
            <family val="2"/>
          </rPr>
          <t>CTDEEP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3562" authorId="1">
      <text>
        <r>
          <rPr>
            <b/>
            <sz val="9"/>
            <color indexed="81"/>
            <rFont val="Calibri"/>
            <family val="2"/>
          </rPr>
          <t xml:space="preserve">CTDEEP
</t>
        </r>
        <r>
          <rPr>
            <sz val="9"/>
            <color indexed="81"/>
            <rFont val="Calibri"/>
            <family val="2"/>
          </rPr>
          <t xml:space="preserve">
</t>
        </r>
      </text>
    </comment>
    <comment ref="F3563" authorId="1">
      <text>
        <r>
          <rPr>
            <b/>
            <sz val="9"/>
            <color indexed="81"/>
            <rFont val="Calibri"/>
            <family val="2"/>
          </rPr>
          <t xml:space="preserve">CTDEEP
</t>
        </r>
        <r>
          <rPr>
            <sz val="9"/>
            <color indexed="81"/>
            <rFont val="Calibri"/>
            <family val="2"/>
          </rPr>
          <t xml:space="preserve">
</t>
        </r>
      </text>
    </comment>
    <comment ref="F3564" authorId="1">
      <text>
        <r>
          <rPr>
            <b/>
            <sz val="9"/>
            <color indexed="81"/>
            <rFont val="Calibri"/>
            <family val="2"/>
          </rPr>
          <t xml:space="preserve">CTDEEP
</t>
        </r>
        <r>
          <rPr>
            <sz val="9"/>
            <color indexed="81"/>
            <rFont val="Calibri"/>
            <family val="2"/>
          </rPr>
          <t xml:space="preserve">
</t>
        </r>
      </text>
    </comment>
    <comment ref="F3565" authorId="1">
      <text>
        <r>
          <rPr>
            <b/>
            <sz val="9"/>
            <color indexed="81"/>
            <rFont val="Calibri"/>
            <family val="2"/>
          </rPr>
          <t xml:space="preserve">CTDEEP
</t>
        </r>
        <r>
          <rPr>
            <sz val="9"/>
            <color indexed="81"/>
            <rFont val="Calibri"/>
            <family val="2"/>
          </rPr>
          <t xml:space="preserve">
</t>
        </r>
      </text>
    </comment>
    <comment ref="F3571" authorId="1">
      <text>
        <r>
          <rPr>
            <b/>
            <sz val="9"/>
            <color indexed="81"/>
            <rFont val="Calibri"/>
            <family val="2"/>
          </rPr>
          <t>CTDEEP</t>
        </r>
      </text>
    </comment>
    <comment ref="F3628" authorId="0">
      <text>
        <r>
          <rPr>
            <b/>
            <sz val="9"/>
            <color indexed="81"/>
            <rFont val="Tahoma"/>
            <family val="2"/>
          </rPr>
          <t>CTDEEP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3900" authorId="0">
      <text>
        <r>
          <rPr>
            <b/>
            <sz val="9"/>
            <color indexed="81"/>
            <rFont val="Tahoma"/>
            <family val="2"/>
          </rPr>
          <t>CTDEEP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3959" authorId="1">
      <text>
        <r>
          <rPr>
            <b/>
            <sz val="9"/>
            <color indexed="81"/>
            <rFont val="Calibri"/>
            <family val="2"/>
          </rPr>
          <t>sampled prior to treatment</t>
        </r>
      </text>
    </comment>
    <comment ref="F4016" authorId="2">
      <text>
        <r>
          <rPr>
            <b/>
            <sz val="9"/>
            <color indexed="81"/>
            <rFont val="Tahoma"/>
            <family val="2"/>
          </rPr>
          <t xml:space="preserve">CTDEEP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4039" authorId="2">
      <text>
        <r>
          <rPr>
            <b/>
            <sz val="9"/>
            <color indexed="81"/>
            <rFont val="Tahoma"/>
            <family val="2"/>
          </rPr>
          <t xml:space="preserve">CTDEEP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4040" authorId="2">
      <text>
        <r>
          <rPr>
            <b/>
            <sz val="9"/>
            <color indexed="81"/>
            <rFont val="Tahoma"/>
            <family val="2"/>
          </rPr>
          <t xml:space="preserve">CTDEEP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4041" authorId="2">
      <text>
        <r>
          <rPr>
            <b/>
            <sz val="9"/>
            <color indexed="81"/>
            <rFont val="Tahoma"/>
            <family val="2"/>
          </rPr>
          <t xml:space="preserve">CTDEEP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4097" authorId="2">
      <text>
        <r>
          <rPr>
            <b/>
            <sz val="9"/>
            <color indexed="81"/>
            <rFont val="Tahoma"/>
            <family val="2"/>
          </rPr>
          <t xml:space="preserve">CTDEEP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4098" authorId="2">
      <text>
        <r>
          <rPr>
            <b/>
            <sz val="9"/>
            <color indexed="81"/>
            <rFont val="Tahoma"/>
            <family val="2"/>
          </rPr>
          <t xml:space="preserve">CTDEEP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4099" authorId="2">
      <text>
        <r>
          <rPr>
            <b/>
            <sz val="9"/>
            <color indexed="81"/>
            <rFont val="Tahoma"/>
            <family val="2"/>
          </rPr>
          <t xml:space="preserve">CTDEEP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4100" authorId="2">
      <text>
        <r>
          <rPr>
            <b/>
            <sz val="9"/>
            <color indexed="81"/>
            <rFont val="Tahoma"/>
            <family val="2"/>
          </rPr>
          <t xml:space="preserve">CTDEEP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4101" authorId="2">
      <text>
        <r>
          <rPr>
            <b/>
            <sz val="9"/>
            <color indexed="81"/>
            <rFont val="Tahoma"/>
            <family val="2"/>
          </rPr>
          <t xml:space="preserve">CTDEEP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4111" authorId="2">
      <text>
        <r>
          <rPr>
            <b/>
            <sz val="9"/>
            <color indexed="81"/>
            <rFont val="Tahoma"/>
            <family val="2"/>
          </rPr>
          <t>CTDEEP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4133" authorId="2">
      <text>
        <r>
          <rPr>
            <b/>
            <sz val="9"/>
            <color indexed="81"/>
            <rFont val="Tahoma"/>
            <family val="2"/>
          </rPr>
          <t xml:space="preserve">CTDEEP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4136" authorId="2">
      <text>
        <r>
          <rPr>
            <b/>
            <sz val="9"/>
            <color indexed="81"/>
            <rFont val="Tahoma"/>
            <family val="2"/>
          </rPr>
          <t xml:space="preserve">CTDEEP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4137" authorId="2">
      <text>
        <r>
          <rPr>
            <b/>
            <sz val="9"/>
            <color indexed="81"/>
            <rFont val="Tahoma"/>
            <family val="2"/>
          </rPr>
          <t>CTDEEP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4138" authorId="2">
      <text>
        <r>
          <rPr>
            <b/>
            <sz val="9"/>
            <color indexed="81"/>
            <rFont val="Tahoma"/>
            <family val="2"/>
          </rPr>
          <t xml:space="preserve">CTDEEP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4148" authorId="2">
      <text>
        <r>
          <rPr>
            <b/>
            <sz val="9"/>
            <color indexed="81"/>
            <rFont val="Tahoma"/>
            <family val="2"/>
          </rPr>
          <t xml:space="preserve">CTDEEP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4149" authorId="2">
      <text>
        <r>
          <rPr>
            <b/>
            <sz val="9"/>
            <color indexed="81"/>
            <rFont val="Tahoma"/>
            <family val="2"/>
          </rPr>
          <t xml:space="preserve">CTDEEP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4171" authorId="0">
      <text>
        <r>
          <rPr>
            <b/>
            <sz val="8"/>
            <color indexed="81"/>
            <rFont val="Tahoma"/>
            <family val="2"/>
          </rPr>
          <t>Piper Brook Old cnannel-RGE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184" authorId="2">
      <text>
        <r>
          <rPr>
            <b/>
            <sz val="9"/>
            <color indexed="81"/>
            <rFont val="Tahoma"/>
            <family val="2"/>
          </rPr>
          <t xml:space="preserve">CTDEEP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4185" authorId="2">
      <text>
        <r>
          <rPr>
            <b/>
            <sz val="9"/>
            <color indexed="81"/>
            <rFont val="Tahoma"/>
            <family val="2"/>
          </rPr>
          <t xml:space="preserve">CTDEEP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4257" authorId="0">
      <text>
        <r>
          <rPr>
            <b/>
            <sz val="9"/>
            <color indexed="81"/>
            <rFont val="Tahoma"/>
            <family val="2"/>
          </rPr>
          <t>CTDEEP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4261" authorId="0">
      <text>
        <r>
          <rPr>
            <b/>
            <sz val="9"/>
            <color indexed="81"/>
            <rFont val="Tahoma"/>
            <family val="2"/>
          </rPr>
          <t>CTDEEP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4262" authorId="0">
      <text>
        <r>
          <rPr>
            <b/>
            <sz val="9"/>
            <color indexed="81"/>
            <rFont val="Tahoma"/>
            <family val="2"/>
          </rPr>
          <t>CTDEEP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4263" authorId="0">
      <text>
        <r>
          <rPr>
            <b/>
            <sz val="9"/>
            <color indexed="81"/>
            <rFont val="Tahoma"/>
            <family val="2"/>
          </rPr>
          <t>CTDEEP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4264" authorId="0">
      <text>
        <r>
          <rPr>
            <b/>
            <sz val="9"/>
            <color indexed="81"/>
            <rFont val="Tahoma"/>
            <family val="2"/>
          </rPr>
          <t>CTDEEP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4265" authorId="0">
      <text>
        <r>
          <rPr>
            <b/>
            <sz val="9"/>
            <color indexed="81"/>
            <rFont val="Tahoma"/>
            <family val="2"/>
          </rPr>
          <t>CTDEEP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4266" authorId="0">
      <text>
        <r>
          <rPr>
            <b/>
            <sz val="9"/>
            <color indexed="81"/>
            <rFont val="Tahoma"/>
            <family val="2"/>
          </rPr>
          <t>CTDEEP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4267" authorId="0">
      <text>
        <r>
          <rPr>
            <b/>
            <sz val="9"/>
            <color indexed="81"/>
            <rFont val="Tahoma"/>
            <family val="2"/>
          </rPr>
          <t>CTDEEP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4268" authorId="0">
      <text>
        <r>
          <rPr>
            <b/>
            <sz val="9"/>
            <color indexed="81"/>
            <rFont val="Tahoma"/>
            <family val="2"/>
          </rPr>
          <t>CTDEEP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4269" authorId="0">
      <text>
        <r>
          <rPr>
            <b/>
            <sz val="9"/>
            <color indexed="81"/>
            <rFont val="Tahoma"/>
            <family val="2"/>
          </rPr>
          <t>CTDEEP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4270" authorId="0">
      <text>
        <r>
          <rPr>
            <b/>
            <sz val="9"/>
            <color indexed="81"/>
            <rFont val="Tahoma"/>
            <family val="2"/>
          </rPr>
          <t>CTDEEP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4272" authorId="0">
      <text>
        <r>
          <rPr>
            <b/>
            <sz val="9"/>
            <color indexed="81"/>
            <rFont val="Tahoma"/>
            <family val="2"/>
          </rPr>
          <t>CTDEEP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4273" authorId="0">
      <text>
        <r>
          <rPr>
            <b/>
            <sz val="9"/>
            <color indexed="81"/>
            <rFont val="Tahoma"/>
            <family val="2"/>
          </rPr>
          <t>CTDEEP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4274" authorId="0">
      <text>
        <r>
          <rPr>
            <b/>
            <sz val="9"/>
            <color indexed="81"/>
            <rFont val="Tahoma"/>
            <family val="2"/>
          </rPr>
          <t>CTDEEP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4278" authorId="0">
      <text>
        <r>
          <rPr>
            <b/>
            <sz val="9"/>
            <color indexed="81"/>
            <rFont val="Tahoma"/>
            <family val="2"/>
          </rPr>
          <t>CTDEEP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4279" authorId="0">
      <text>
        <r>
          <rPr>
            <b/>
            <sz val="9"/>
            <color indexed="81"/>
            <rFont val="Tahoma"/>
            <family val="2"/>
          </rPr>
          <t>CTDEEP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4282" authorId="0">
      <text>
        <r>
          <rPr>
            <b/>
            <sz val="9"/>
            <color indexed="81"/>
            <rFont val="Tahoma"/>
            <family val="2"/>
          </rPr>
          <t>CTDEEP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4283" authorId="0">
      <text>
        <r>
          <rPr>
            <b/>
            <sz val="9"/>
            <color indexed="81"/>
            <rFont val="Tahoma"/>
            <family val="2"/>
          </rPr>
          <t>CTDEEP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4284" authorId="0">
      <text>
        <r>
          <rPr>
            <b/>
            <sz val="9"/>
            <color indexed="81"/>
            <rFont val="Tahoma"/>
            <family val="2"/>
          </rPr>
          <t>CTDEEP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4285" authorId="0">
      <text>
        <r>
          <rPr>
            <b/>
            <sz val="9"/>
            <color indexed="81"/>
            <rFont val="Tahoma"/>
            <family val="2"/>
          </rPr>
          <t>CTDEEP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4289" authorId="0">
      <text>
        <r>
          <rPr>
            <b/>
            <sz val="9"/>
            <color indexed="81"/>
            <rFont val="Tahoma"/>
            <family val="2"/>
          </rPr>
          <t>CTDEEP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4290" authorId="0">
      <text>
        <r>
          <rPr>
            <b/>
            <sz val="9"/>
            <color indexed="81"/>
            <rFont val="Tahoma"/>
            <family val="2"/>
          </rPr>
          <t>CTDEEP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4291" authorId="0">
      <text>
        <r>
          <rPr>
            <b/>
            <sz val="9"/>
            <color indexed="81"/>
            <rFont val="Tahoma"/>
            <family val="2"/>
          </rPr>
          <t>CTDEEP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4293" authorId="0">
      <text>
        <r>
          <rPr>
            <b/>
            <sz val="9"/>
            <color indexed="81"/>
            <rFont val="Tahoma"/>
            <family val="2"/>
          </rPr>
          <t>CTDEEP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4299" authorId="0">
      <text>
        <r>
          <rPr>
            <b/>
            <sz val="9"/>
            <color indexed="81"/>
            <rFont val="Tahoma"/>
            <family val="2"/>
          </rPr>
          <t>CTDEEP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4300" authorId="0">
      <text>
        <r>
          <rPr>
            <b/>
            <sz val="9"/>
            <color indexed="81"/>
            <rFont val="Tahoma"/>
            <family val="2"/>
          </rPr>
          <t>CTDEEP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4301" authorId="0">
      <text>
        <r>
          <rPr>
            <b/>
            <sz val="9"/>
            <color indexed="81"/>
            <rFont val="Tahoma"/>
            <family val="2"/>
          </rPr>
          <t>CTDEEP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4302" authorId="0">
      <text>
        <r>
          <rPr>
            <b/>
            <sz val="9"/>
            <color indexed="81"/>
            <rFont val="Tahoma"/>
            <family val="2"/>
          </rPr>
          <t>CTDEEP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4304" authorId="0">
      <text>
        <r>
          <rPr>
            <b/>
            <sz val="9"/>
            <color indexed="81"/>
            <rFont val="Tahoma"/>
            <family val="2"/>
          </rPr>
          <t>CTDEEP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4305" authorId="0">
      <text>
        <r>
          <rPr>
            <b/>
            <sz val="9"/>
            <color indexed="81"/>
            <rFont val="Tahoma"/>
            <family val="2"/>
          </rPr>
          <t>CTDEEP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4308" authorId="0">
      <text>
        <r>
          <rPr>
            <b/>
            <sz val="9"/>
            <color indexed="81"/>
            <rFont val="Tahoma"/>
            <family val="2"/>
          </rPr>
          <t>CTDEEP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4309" authorId="0">
      <text>
        <r>
          <rPr>
            <b/>
            <sz val="9"/>
            <color indexed="81"/>
            <rFont val="Tahoma"/>
            <family val="2"/>
          </rPr>
          <t>CTDEEP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4310" authorId="0">
      <text>
        <r>
          <rPr>
            <b/>
            <sz val="9"/>
            <color indexed="81"/>
            <rFont val="Tahoma"/>
            <family val="2"/>
          </rPr>
          <t>CTDEEP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4311" authorId="0">
      <text>
        <r>
          <rPr>
            <b/>
            <sz val="9"/>
            <color indexed="81"/>
            <rFont val="Tahoma"/>
            <family val="2"/>
          </rPr>
          <t>CTDEEP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4312" authorId="0">
      <text>
        <r>
          <rPr>
            <b/>
            <sz val="9"/>
            <color indexed="81"/>
            <rFont val="Tahoma"/>
            <family val="2"/>
          </rPr>
          <t>CTDEEP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4313" authorId="0">
      <text>
        <r>
          <rPr>
            <b/>
            <sz val="9"/>
            <color indexed="81"/>
            <rFont val="Tahoma"/>
            <family val="2"/>
          </rPr>
          <t>CTDEEP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4314" authorId="0">
      <text>
        <r>
          <rPr>
            <b/>
            <sz val="9"/>
            <color indexed="81"/>
            <rFont val="Tahoma"/>
            <family val="2"/>
          </rPr>
          <t>CTDEEP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4315" authorId="0">
      <text>
        <r>
          <rPr>
            <b/>
            <sz val="9"/>
            <color indexed="81"/>
            <rFont val="Tahoma"/>
            <family val="2"/>
          </rPr>
          <t>CTDEEP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4317" authorId="0">
      <text>
        <r>
          <rPr>
            <b/>
            <sz val="9"/>
            <color indexed="81"/>
            <rFont val="Tahoma"/>
            <family val="2"/>
          </rPr>
          <t>CTDEEP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4318" authorId="0">
      <text>
        <r>
          <rPr>
            <b/>
            <sz val="9"/>
            <color indexed="81"/>
            <rFont val="Tahoma"/>
            <family val="2"/>
          </rPr>
          <t>CTDEEP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4319" authorId="0">
      <text>
        <r>
          <rPr>
            <b/>
            <sz val="9"/>
            <color indexed="81"/>
            <rFont val="Tahoma"/>
            <family val="2"/>
          </rPr>
          <t>CTDEEP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4320" authorId="0">
      <text>
        <r>
          <rPr>
            <b/>
            <sz val="9"/>
            <color indexed="81"/>
            <rFont val="Tahoma"/>
            <family val="2"/>
          </rPr>
          <t>CTDEEP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4321" authorId="0">
      <text>
        <r>
          <rPr>
            <b/>
            <sz val="9"/>
            <color indexed="81"/>
            <rFont val="Tahoma"/>
            <family val="2"/>
          </rPr>
          <t>CTDEEP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4322" authorId="0">
      <text>
        <r>
          <rPr>
            <b/>
            <sz val="9"/>
            <color indexed="81"/>
            <rFont val="Tahoma"/>
            <family val="2"/>
          </rPr>
          <t>CTDEEP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4323" authorId="0">
      <text>
        <r>
          <rPr>
            <b/>
            <sz val="9"/>
            <color indexed="81"/>
            <rFont val="Tahoma"/>
            <family val="2"/>
          </rPr>
          <t>CTDEEP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4324" authorId="0">
      <text>
        <r>
          <rPr>
            <b/>
            <sz val="9"/>
            <color indexed="81"/>
            <rFont val="Tahoma"/>
            <family val="2"/>
          </rPr>
          <t>CTDEEP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4325" authorId="0">
      <text>
        <r>
          <rPr>
            <b/>
            <sz val="9"/>
            <color indexed="81"/>
            <rFont val="Tahoma"/>
            <family val="2"/>
          </rPr>
          <t>CTDEEP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4326" authorId="0">
      <text>
        <r>
          <rPr>
            <b/>
            <sz val="9"/>
            <color indexed="81"/>
            <rFont val="Tahoma"/>
            <family val="2"/>
          </rPr>
          <t>CTDEEP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4329" authorId="0">
      <text>
        <r>
          <rPr>
            <b/>
            <sz val="9"/>
            <color indexed="81"/>
            <rFont val="Tahoma"/>
            <family val="2"/>
          </rPr>
          <t>CTDEEP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4330" authorId="0">
      <text>
        <r>
          <rPr>
            <b/>
            <sz val="9"/>
            <color indexed="81"/>
            <rFont val="Tahoma"/>
            <family val="2"/>
          </rPr>
          <t>CTDEEP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4333" authorId="0">
      <text>
        <r>
          <rPr>
            <b/>
            <sz val="9"/>
            <color indexed="81"/>
            <rFont val="Tahoma"/>
            <family val="2"/>
          </rPr>
          <t>CTDEEP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N4333" authorId="3">
      <text>
        <r>
          <rPr>
            <b/>
            <sz val="9"/>
            <color indexed="81"/>
            <rFont val="Tahoma"/>
            <family val="2"/>
          </rPr>
          <t>lillieE:</t>
        </r>
        <r>
          <rPr>
            <sz val="9"/>
            <color indexed="81"/>
            <rFont val="Tahoma"/>
            <family val="2"/>
          </rPr>
          <t xml:space="preserve">
mg/l</t>
        </r>
      </text>
    </comment>
    <comment ref="F4334" authorId="0">
      <text>
        <r>
          <rPr>
            <b/>
            <sz val="9"/>
            <color indexed="81"/>
            <rFont val="Tahoma"/>
            <family val="2"/>
          </rPr>
          <t>CTDEEP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4370" authorId="0">
      <text>
        <r>
          <rPr>
            <sz val="9"/>
            <color indexed="81"/>
            <rFont val="Tahoma"/>
            <family val="2"/>
          </rPr>
          <t xml:space="preserve">CTDEEP
</t>
        </r>
      </text>
    </comment>
    <comment ref="F4371" authorId="0">
      <text>
        <r>
          <rPr>
            <sz val="9"/>
            <color indexed="81"/>
            <rFont val="Tahoma"/>
            <family val="2"/>
          </rPr>
          <t xml:space="preserve">CTDEEP
</t>
        </r>
      </text>
    </comment>
    <comment ref="F4372" authorId="0">
      <text>
        <r>
          <rPr>
            <sz val="9"/>
            <color indexed="81"/>
            <rFont val="Tahoma"/>
            <family val="2"/>
          </rPr>
          <t xml:space="preserve">CTDEEP
</t>
        </r>
      </text>
    </comment>
    <comment ref="F4415" authorId="0">
      <text>
        <r>
          <rPr>
            <sz val="9"/>
            <color indexed="81"/>
            <rFont val="Tahoma"/>
            <family val="2"/>
          </rPr>
          <t xml:space="preserve">CTDEEP
</t>
        </r>
      </text>
    </comment>
    <comment ref="F4416" authorId="0">
      <text>
        <r>
          <rPr>
            <sz val="9"/>
            <color indexed="81"/>
            <rFont val="Tahoma"/>
            <family val="2"/>
          </rPr>
          <t xml:space="preserve">CTDEEP
</t>
        </r>
      </text>
    </comment>
    <comment ref="F4417" authorId="0">
      <text>
        <r>
          <rPr>
            <sz val="9"/>
            <color indexed="81"/>
            <rFont val="Tahoma"/>
            <family val="2"/>
          </rPr>
          <t xml:space="preserve">CTDEEP
</t>
        </r>
      </text>
    </comment>
    <comment ref="F4418" authorId="0">
      <text>
        <r>
          <rPr>
            <sz val="9"/>
            <color indexed="81"/>
            <rFont val="Tahoma"/>
            <family val="2"/>
          </rPr>
          <t xml:space="preserve">CTDEEP
</t>
        </r>
      </text>
    </comment>
    <comment ref="F4434" authorId="0">
      <text>
        <r>
          <rPr>
            <sz val="9"/>
            <color indexed="81"/>
            <rFont val="Tahoma"/>
            <family val="2"/>
          </rPr>
          <t xml:space="preserve">CTDEEP
</t>
        </r>
      </text>
    </comment>
    <comment ref="F4435" authorId="0">
      <text>
        <r>
          <rPr>
            <sz val="9"/>
            <color indexed="81"/>
            <rFont val="Tahoma"/>
            <family val="2"/>
          </rPr>
          <t xml:space="preserve">CTDEEP
</t>
        </r>
      </text>
    </comment>
    <comment ref="F4436" authorId="0">
      <text>
        <r>
          <rPr>
            <sz val="9"/>
            <color indexed="81"/>
            <rFont val="Tahoma"/>
            <family val="2"/>
          </rPr>
          <t xml:space="preserve">CTDEEP
</t>
        </r>
      </text>
    </comment>
    <comment ref="F4437" authorId="0">
      <text>
        <r>
          <rPr>
            <sz val="9"/>
            <color indexed="81"/>
            <rFont val="Tahoma"/>
            <family val="2"/>
          </rPr>
          <t xml:space="preserve">CTDEEP
</t>
        </r>
      </text>
    </comment>
    <comment ref="F4438" authorId="0">
      <text>
        <r>
          <rPr>
            <sz val="9"/>
            <color indexed="81"/>
            <rFont val="Tahoma"/>
            <family val="2"/>
          </rPr>
          <t xml:space="preserve">CTDEEP
</t>
        </r>
      </text>
    </comment>
    <comment ref="F4439" authorId="0">
      <text>
        <r>
          <rPr>
            <sz val="9"/>
            <color indexed="81"/>
            <rFont val="Tahoma"/>
            <family val="2"/>
          </rPr>
          <t xml:space="preserve">CTDEEP
</t>
        </r>
      </text>
    </comment>
    <comment ref="F4440" authorId="0">
      <text>
        <r>
          <rPr>
            <sz val="9"/>
            <color indexed="81"/>
            <rFont val="Tahoma"/>
            <family val="2"/>
          </rPr>
          <t xml:space="preserve">CTDEEP
</t>
        </r>
      </text>
    </comment>
    <comment ref="F4441" authorId="0">
      <text>
        <r>
          <rPr>
            <sz val="9"/>
            <color indexed="81"/>
            <rFont val="Tahoma"/>
            <family val="2"/>
          </rPr>
          <t xml:space="preserve">CTDEEP
</t>
        </r>
      </text>
    </comment>
    <comment ref="F4442" authorId="0">
      <text>
        <r>
          <rPr>
            <sz val="9"/>
            <color indexed="81"/>
            <rFont val="Tahoma"/>
            <family val="2"/>
          </rPr>
          <t xml:space="preserve">CTDEEP
</t>
        </r>
      </text>
    </comment>
    <comment ref="F4450" authorId="0">
      <text>
        <r>
          <rPr>
            <b/>
            <sz val="9"/>
            <color indexed="81"/>
            <rFont val="Tahoma"/>
            <family val="2"/>
          </rPr>
          <t xml:space="preserve">CTDEEP
</t>
        </r>
      </text>
    </comment>
    <comment ref="F4453" authorId="0">
      <text>
        <r>
          <rPr>
            <b/>
            <sz val="9"/>
            <color indexed="81"/>
            <rFont val="Tahoma"/>
            <family val="2"/>
          </rPr>
          <t>CTDEEP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4457" authorId="0">
      <text>
        <r>
          <rPr>
            <b/>
            <sz val="9"/>
            <color indexed="81"/>
            <rFont val="Tahoma"/>
            <family val="2"/>
          </rPr>
          <t xml:space="preserve">CTDEEP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4458" authorId="0">
      <text>
        <r>
          <rPr>
            <b/>
            <sz val="9"/>
            <color indexed="81"/>
            <rFont val="Tahoma"/>
            <family val="2"/>
          </rPr>
          <t xml:space="preserve">CTDEEP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4459" authorId="0">
      <text>
        <r>
          <rPr>
            <b/>
            <sz val="9"/>
            <color indexed="81"/>
            <rFont val="Tahoma"/>
            <family val="2"/>
          </rPr>
          <t xml:space="preserve">CTDEEP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4460" authorId="0">
      <text>
        <r>
          <rPr>
            <b/>
            <sz val="9"/>
            <color indexed="81"/>
            <rFont val="Tahoma"/>
            <family val="2"/>
          </rPr>
          <t xml:space="preserve">CTDEEP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4461" authorId="0">
      <text>
        <r>
          <rPr>
            <b/>
            <sz val="9"/>
            <color indexed="81"/>
            <rFont val="Tahoma"/>
            <family val="2"/>
          </rPr>
          <t xml:space="preserve">CTDEEP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4463" authorId="0">
      <text>
        <r>
          <rPr>
            <b/>
            <sz val="9"/>
            <color indexed="81"/>
            <rFont val="Tahoma"/>
            <family val="2"/>
          </rPr>
          <t xml:space="preserve">CTDEEP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4464" authorId="0">
      <text>
        <r>
          <rPr>
            <b/>
            <sz val="9"/>
            <color indexed="81"/>
            <rFont val="Tahoma"/>
            <family val="2"/>
          </rPr>
          <t xml:space="preserve">CTDEEP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4466" authorId="0">
      <text>
        <r>
          <rPr>
            <b/>
            <sz val="9"/>
            <color indexed="81"/>
            <rFont val="Tahoma"/>
            <family val="2"/>
          </rPr>
          <t xml:space="preserve">CTDEEP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4467" authorId="3">
      <text>
        <r>
          <rPr>
            <b/>
            <sz val="9"/>
            <color indexed="81"/>
            <rFont val="Tahoma"/>
            <family val="2"/>
          </rPr>
          <t>lillieE:</t>
        </r>
        <r>
          <rPr>
            <sz val="9"/>
            <color indexed="81"/>
            <rFont val="Tahoma"/>
            <family val="2"/>
          </rPr>
          <t xml:space="preserve">
µg/l
</t>
        </r>
      </text>
    </comment>
    <comment ref="F4479" authorId="0">
      <text>
        <r>
          <rPr>
            <b/>
            <sz val="9"/>
            <color indexed="81"/>
            <rFont val="Tahoma"/>
            <family val="2"/>
          </rPr>
          <t xml:space="preserve">CTDEEP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4480" authorId="0">
      <text>
        <r>
          <rPr>
            <b/>
            <sz val="9"/>
            <color indexed="81"/>
            <rFont val="Tahoma"/>
            <family val="2"/>
          </rPr>
          <t xml:space="preserve">CTDEEP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4492" authorId="0">
      <text>
        <r>
          <rPr>
            <b/>
            <sz val="9"/>
            <color indexed="81"/>
            <rFont val="Tahoma"/>
            <family val="2"/>
          </rPr>
          <t xml:space="preserve">CTDEEP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4493" authorId="0">
      <text>
        <r>
          <rPr>
            <b/>
            <sz val="9"/>
            <color indexed="81"/>
            <rFont val="Tahoma"/>
            <family val="2"/>
          </rPr>
          <t xml:space="preserve">CTDEEP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4494" authorId="0">
      <text>
        <r>
          <rPr>
            <b/>
            <sz val="9"/>
            <color indexed="81"/>
            <rFont val="Tahoma"/>
            <family val="2"/>
          </rPr>
          <t xml:space="preserve">CTDEEP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4495" authorId="0">
      <text>
        <r>
          <rPr>
            <b/>
            <sz val="9"/>
            <color indexed="81"/>
            <rFont val="Tahoma"/>
            <family val="2"/>
          </rPr>
          <t xml:space="preserve">CTDEEP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4496" authorId="0">
      <text>
        <r>
          <rPr>
            <b/>
            <sz val="9"/>
            <color indexed="81"/>
            <rFont val="Tahoma"/>
            <family val="2"/>
          </rPr>
          <t xml:space="preserve">CTDEEP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4497" authorId="0">
      <text>
        <r>
          <rPr>
            <b/>
            <sz val="9"/>
            <color indexed="81"/>
            <rFont val="Tahoma"/>
            <family val="2"/>
          </rPr>
          <t xml:space="preserve">CTDEEP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4520" authorId="0">
      <text>
        <r>
          <rPr>
            <b/>
            <sz val="9"/>
            <color indexed="81"/>
            <rFont val="Tahoma"/>
            <family val="2"/>
          </rPr>
          <t xml:space="preserve">CTDEEP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4521" authorId="0">
      <text>
        <r>
          <rPr>
            <b/>
            <sz val="9"/>
            <color indexed="81"/>
            <rFont val="Tahoma"/>
            <family val="2"/>
          </rPr>
          <t xml:space="preserve">CTDEEP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4522" authorId="0">
      <text>
        <r>
          <rPr>
            <b/>
            <sz val="9"/>
            <color indexed="81"/>
            <rFont val="Tahoma"/>
            <family val="2"/>
          </rPr>
          <t>CTDEEP</t>
        </r>
      </text>
    </comment>
    <comment ref="F4524" authorId="0">
      <text>
        <r>
          <rPr>
            <b/>
            <sz val="9"/>
            <color indexed="81"/>
            <rFont val="Tahoma"/>
            <family val="2"/>
          </rPr>
          <t xml:space="preserve">CTDEEP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4533" authorId="0">
      <text>
        <r>
          <rPr>
            <b/>
            <sz val="9"/>
            <color indexed="81"/>
            <rFont val="Tahoma"/>
            <family val="2"/>
          </rPr>
          <t xml:space="preserve">CTDEEP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4534" authorId="0">
      <text>
        <r>
          <rPr>
            <b/>
            <sz val="9"/>
            <color indexed="81"/>
            <rFont val="Tahoma"/>
            <family val="2"/>
          </rPr>
          <t xml:space="preserve">CTDEEP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4535" authorId="0">
      <text>
        <r>
          <rPr>
            <b/>
            <sz val="9"/>
            <color indexed="81"/>
            <rFont val="Tahoma"/>
            <family val="2"/>
          </rPr>
          <t xml:space="preserve">CTDEEP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4540" authorId="0">
      <text>
        <r>
          <rPr>
            <b/>
            <sz val="9"/>
            <color indexed="81"/>
            <rFont val="Tahoma"/>
            <family val="2"/>
          </rPr>
          <t>CTDEEP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4544" authorId="0">
      <text>
        <r>
          <rPr>
            <b/>
            <sz val="9"/>
            <color indexed="81"/>
            <rFont val="Tahoma"/>
            <family val="2"/>
          </rPr>
          <t xml:space="preserve">CTDEEP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A4547" authorId="3">
      <text>
        <r>
          <rPr>
            <b/>
            <sz val="9"/>
            <color indexed="81"/>
            <rFont val="Tahoma"/>
            <family val="2"/>
          </rPr>
          <t>lillieE:</t>
        </r>
        <r>
          <rPr>
            <sz val="9"/>
            <color indexed="81"/>
            <rFont val="Tahoma"/>
            <family val="2"/>
          </rPr>
          <t xml:space="preserve">
pg/L</t>
        </r>
      </text>
    </comment>
    <comment ref="CA4548" authorId="3">
      <text>
        <r>
          <rPr>
            <b/>
            <sz val="9"/>
            <color indexed="81"/>
            <rFont val="Tahoma"/>
            <family val="2"/>
          </rPr>
          <t>lillieE:</t>
        </r>
        <r>
          <rPr>
            <sz val="9"/>
            <color indexed="81"/>
            <rFont val="Tahoma"/>
            <family val="2"/>
          </rPr>
          <t xml:space="preserve">
pg/L</t>
        </r>
      </text>
    </comment>
    <comment ref="CA4549" authorId="3">
      <text>
        <r>
          <rPr>
            <b/>
            <sz val="9"/>
            <color indexed="81"/>
            <rFont val="Tahoma"/>
            <family val="2"/>
          </rPr>
          <t>lillieE:</t>
        </r>
        <r>
          <rPr>
            <sz val="9"/>
            <color indexed="81"/>
            <rFont val="Tahoma"/>
            <family val="2"/>
          </rPr>
          <t xml:space="preserve">
pg/L</t>
        </r>
      </text>
    </comment>
    <comment ref="F4569" authorId="0">
      <text>
        <r>
          <rPr>
            <b/>
            <sz val="9"/>
            <color indexed="81"/>
            <rFont val="Tahoma"/>
            <family val="2"/>
          </rPr>
          <t xml:space="preserve">CTDEEP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4570" authorId="0">
      <text>
        <r>
          <rPr>
            <b/>
            <sz val="9"/>
            <color indexed="81"/>
            <rFont val="Tahoma"/>
            <family val="2"/>
          </rPr>
          <t>CTDEEP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4571" authorId="0">
      <text>
        <r>
          <rPr>
            <b/>
            <sz val="9"/>
            <color indexed="81"/>
            <rFont val="Tahoma"/>
            <family val="2"/>
          </rPr>
          <t xml:space="preserve">CTDEEP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4572" authorId="0">
      <text>
        <r>
          <rPr>
            <b/>
            <sz val="9"/>
            <color indexed="81"/>
            <rFont val="Tahoma"/>
            <family val="2"/>
          </rPr>
          <t xml:space="preserve">CTDEEP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4573" authorId="0">
      <text>
        <r>
          <rPr>
            <b/>
            <sz val="9"/>
            <color indexed="81"/>
            <rFont val="Tahoma"/>
            <family val="2"/>
          </rPr>
          <t xml:space="preserve">CTDEEP
</t>
        </r>
      </text>
    </comment>
    <comment ref="F4574" authorId="0">
      <text>
        <r>
          <rPr>
            <b/>
            <sz val="9"/>
            <color indexed="81"/>
            <rFont val="Tahoma"/>
            <family val="2"/>
          </rPr>
          <t xml:space="preserve">CTDEEP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4575" authorId="0">
      <text>
        <r>
          <rPr>
            <b/>
            <sz val="9"/>
            <color indexed="81"/>
            <rFont val="Tahoma"/>
            <family val="2"/>
          </rPr>
          <t>CTDEEP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4576" authorId="0">
      <text>
        <r>
          <rPr>
            <b/>
            <sz val="9"/>
            <color indexed="81"/>
            <rFont val="Tahoma"/>
            <family val="2"/>
          </rPr>
          <t>CTDEEP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4577" authorId="0">
      <text>
        <r>
          <rPr>
            <b/>
            <sz val="9"/>
            <color indexed="81"/>
            <rFont val="Tahoma"/>
            <family val="2"/>
          </rPr>
          <t>CTDEEP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4580" authorId="0">
      <text>
        <r>
          <rPr>
            <sz val="9"/>
            <color indexed="81"/>
            <rFont val="Tahoma"/>
            <family val="2"/>
          </rPr>
          <t xml:space="preserve">CTDEEP
</t>
        </r>
      </text>
    </comment>
    <comment ref="F4581" authorId="0">
      <text>
        <r>
          <rPr>
            <sz val="9"/>
            <color indexed="81"/>
            <rFont val="Tahoma"/>
            <family val="2"/>
          </rPr>
          <t xml:space="preserve">CTDEEP
</t>
        </r>
      </text>
    </comment>
    <comment ref="F4582" authorId="0">
      <text>
        <r>
          <rPr>
            <sz val="9"/>
            <color indexed="81"/>
            <rFont val="Tahoma"/>
            <family val="2"/>
          </rPr>
          <t xml:space="preserve">CTDEEP
</t>
        </r>
      </text>
    </comment>
    <comment ref="F4583" authorId="0">
      <text>
        <r>
          <rPr>
            <sz val="9"/>
            <color indexed="81"/>
            <rFont val="Tahoma"/>
            <family val="2"/>
          </rPr>
          <t xml:space="preserve">CTDEEP
</t>
        </r>
      </text>
    </comment>
    <comment ref="F4584" authorId="0">
      <text>
        <r>
          <rPr>
            <b/>
            <sz val="9"/>
            <color indexed="81"/>
            <rFont val="Tahoma"/>
            <family val="2"/>
          </rPr>
          <t>CTDEEP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4585" authorId="0">
      <text>
        <r>
          <rPr>
            <b/>
            <sz val="9"/>
            <color indexed="81"/>
            <rFont val="Tahoma"/>
            <family val="2"/>
          </rPr>
          <t>CTDEEP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4587" authorId="0">
      <text>
        <r>
          <rPr>
            <b/>
            <sz val="9"/>
            <color indexed="81"/>
            <rFont val="Tahoma"/>
            <family val="2"/>
          </rPr>
          <t>CTDEEP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4588" authorId="0">
      <text>
        <r>
          <rPr>
            <b/>
            <sz val="9"/>
            <color indexed="81"/>
            <rFont val="Tahoma"/>
            <family val="2"/>
          </rPr>
          <t>CTDEEP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4589" authorId="0">
      <text>
        <r>
          <rPr>
            <b/>
            <sz val="9"/>
            <color indexed="81"/>
            <rFont val="Tahoma"/>
            <family val="2"/>
          </rPr>
          <t>CTDEEP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4597" authorId="0">
      <text>
        <r>
          <rPr>
            <sz val="9"/>
            <color indexed="81"/>
            <rFont val="Tahoma"/>
            <family val="2"/>
          </rPr>
          <t xml:space="preserve">CTDEEP
</t>
        </r>
      </text>
    </comment>
    <comment ref="F4598" authorId="0">
      <text>
        <r>
          <rPr>
            <b/>
            <sz val="9"/>
            <color indexed="81"/>
            <rFont val="Tahoma"/>
            <family val="2"/>
          </rPr>
          <t>CTDEEP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4600" authorId="0">
      <text>
        <r>
          <rPr>
            <b/>
            <sz val="9"/>
            <color indexed="81"/>
            <rFont val="Tahoma"/>
            <family val="2"/>
          </rPr>
          <t>CTDEEP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4601" authorId="0">
      <text>
        <r>
          <rPr>
            <b/>
            <sz val="9"/>
            <color indexed="81"/>
            <rFont val="Tahoma"/>
            <family val="2"/>
          </rPr>
          <t>CTDEEP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4603" authorId="0">
      <text>
        <r>
          <rPr>
            <b/>
            <sz val="9"/>
            <color indexed="81"/>
            <rFont val="Tahoma"/>
            <family val="2"/>
          </rPr>
          <t xml:space="preserve">CTDEEP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4606" authorId="0">
      <text>
        <r>
          <rPr>
            <b/>
            <sz val="9"/>
            <color indexed="81"/>
            <rFont val="Tahoma"/>
            <family val="2"/>
          </rPr>
          <t>CTDEEP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4607" authorId="0">
      <text>
        <r>
          <rPr>
            <b/>
            <sz val="9"/>
            <color indexed="81"/>
            <rFont val="Tahoma"/>
            <family val="2"/>
          </rPr>
          <t>CTDEEP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4613" authorId="0">
      <text>
        <r>
          <rPr>
            <b/>
            <sz val="9"/>
            <color indexed="81"/>
            <rFont val="Tahoma"/>
            <family val="2"/>
          </rPr>
          <t xml:space="preserve">CTDEEP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4618" authorId="0">
      <text>
        <r>
          <rPr>
            <b/>
            <sz val="9"/>
            <color indexed="81"/>
            <rFont val="Tahoma"/>
            <family val="2"/>
          </rPr>
          <t>CTDEEP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4627" authorId="0">
      <text>
        <r>
          <rPr>
            <b/>
            <sz val="9"/>
            <color indexed="81"/>
            <rFont val="Tahoma"/>
            <family val="2"/>
          </rPr>
          <t>CTDEEP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4628" authorId="0">
      <text>
        <r>
          <rPr>
            <b/>
            <sz val="9"/>
            <color indexed="81"/>
            <rFont val="Tahoma"/>
            <family val="2"/>
          </rPr>
          <t>CTDEEP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4629" authorId="0">
      <text>
        <r>
          <rPr>
            <b/>
            <sz val="9"/>
            <color indexed="81"/>
            <rFont val="Tahoma"/>
            <family val="2"/>
          </rPr>
          <t>CTDEEP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4630" authorId="0">
      <text>
        <r>
          <rPr>
            <b/>
            <sz val="9"/>
            <color indexed="81"/>
            <rFont val="Tahoma"/>
            <family val="2"/>
          </rPr>
          <t>CTDEEP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4631" authorId="0">
      <text>
        <r>
          <rPr>
            <b/>
            <sz val="9"/>
            <color indexed="81"/>
            <rFont val="Tahoma"/>
            <family val="2"/>
          </rPr>
          <t>CTDEEP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4633" authorId="0">
      <text>
        <r>
          <rPr>
            <b/>
            <sz val="9"/>
            <color indexed="81"/>
            <rFont val="Tahoma"/>
            <family val="2"/>
          </rPr>
          <t xml:space="preserve">CTDEEP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4648" authorId="0">
      <text>
        <r>
          <rPr>
            <b/>
            <sz val="9"/>
            <color indexed="81"/>
            <rFont val="Tahoma"/>
            <family val="2"/>
          </rPr>
          <t xml:space="preserve">CTDEEP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4649" authorId="0">
      <text>
        <r>
          <rPr>
            <b/>
            <sz val="9"/>
            <color indexed="81"/>
            <rFont val="Tahoma"/>
            <family val="2"/>
          </rPr>
          <t>CTDEEP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4650" authorId="0">
      <text>
        <r>
          <rPr>
            <b/>
            <sz val="9"/>
            <color indexed="81"/>
            <rFont val="Tahoma"/>
            <family val="2"/>
          </rPr>
          <t>CTDEEP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4651" authorId="0">
      <text>
        <r>
          <rPr>
            <b/>
            <sz val="9"/>
            <color indexed="81"/>
            <rFont val="Tahoma"/>
            <family val="2"/>
          </rPr>
          <t>CTDEEP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4652" authorId="0">
      <text>
        <r>
          <rPr>
            <b/>
            <sz val="9"/>
            <color indexed="81"/>
            <rFont val="Tahoma"/>
            <family val="2"/>
          </rPr>
          <t>CTDEEP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4653" authorId="0">
      <text>
        <r>
          <rPr>
            <b/>
            <sz val="9"/>
            <color indexed="81"/>
            <rFont val="Tahoma"/>
            <family val="2"/>
          </rPr>
          <t xml:space="preserve">CTDEEP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4654" authorId="0">
      <text>
        <r>
          <rPr>
            <b/>
            <sz val="9"/>
            <color indexed="81"/>
            <rFont val="Tahoma"/>
            <family val="2"/>
          </rPr>
          <t xml:space="preserve">CTDEEP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4655" authorId="0">
      <text>
        <r>
          <rPr>
            <b/>
            <sz val="9"/>
            <color indexed="81"/>
            <rFont val="Tahoma"/>
            <family val="2"/>
          </rPr>
          <t xml:space="preserve">CTDEEP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4656" authorId="0">
      <text>
        <r>
          <rPr>
            <b/>
            <sz val="9"/>
            <color indexed="81"/>
            <rFont val="Tahoma"/>
            <family val="2"/>
          </rPr>
          <t xml:space="preserve">CTDEEP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4659" authorId="0">
      <text>
        <r>
          <rPr>
            <b/>
            <sz val="9"/>
            <color indexed="81"/>
            <rFont val="Tahoma"/>
            <family val="2"/>
          </rPr>
          <t>ctdeep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4660" authorId="0">
      <text>
        <r>
          <rPr>
            <b/>
            <sz val="9"/>
            <color indexed="81"/>
            <rFont val="Tahoma"/>
            <family val="2"/>
          </rPr>
          <t>CTDEEP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4661" authorId="0">
      <text>
        <r>
          <rPr>
            <b/>
            <sz val="9"/>
            <color indexed="81"/>
            <rFont val="Tahoma"/>
            <family val="2"/>
          </rPr>
          <t>CTDEEP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4662" authorId="0">
      <text>
        <r>
          <rPr>
            <b/>
            <sz val="9"/>
            <color indexed="81"/>
            <rFont val="Tahoma"/>
            <family val="2"/>
          </rPr>
          <t>CTDEEP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4663" authorId="0">
      <text>
        <r>
          <rPr>
            <b/>
            <sz val="9"/>
            <color indexed="81"/>
            <rFont val="Tahoma"/>
            <family val="2"/>
          </rPr>
          <t>CTDEEP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4664" authorId="0">
      <text>
        <r>
          <rPr>
            <b/>
            <sz val="9"/>
            <color indexed="81"/>
            <rFont val="Tahoma"/>
            <family val="2"/>
          </rPr>
          <t>CTDEEP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4667" authorId="0">
      <text>
        <r>
          <rPr>
            <b/>
            <sz val="9"/>
            <color indexed="81"/>
            <rFont val="Tahoma"/>
            <family val="2"/>
          </rPr>
          <t>CTDEEP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4669" authorId="0">
      <text>
        <r>
          <rPr>
            <b/>
            <sz val="9"/>
            <color indexed="81"/>
            <rFont val="Tahoma"/>
            <family val="2"/>
          </rPr>
          <t>CTDEEP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4670" authorId="0">
      <text>
        <r>
          <rPr>
            <b/>
            <sz val="9"/>
            <color indexed="81"/>
            <rFont val="Tahoma"/>
            <family val="2"/>
          </rPr>
          <t>CTDEEP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4672" authorId="0">
      <text>
        <r>
          <rPr>
            <b/>
            <sz val="9"/>
            <color indexed="81"/>
            <rFont val="Tahoma"/>
            <family val="2"/>
          </rPr>
          <t>CTDEEP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N4672" authorId="3">
      <text>
        <r>
          <rPr>
            <b/>
            <sz val="9"/>
            <color indexed="81"/>
            <rFont val="Tahoma"/>
            <family val="2"/>
          </rPr>
          <t>lillieE:</t>
        </r>
        <r>
          <rPr>
            <sz val="9"/>
            <color indexed="81"/>
            <rFont val="Tahoma"/>
            <family val="2"/>
          </rPr>
          <t xml:space="preserve">
mg/l
</t>
        </r>
      </text>
    </comment>
    <comment ref="F4673" authorId="0">
      <text>
        <r>
          <rPr>
            <b/>
            <sz val="9"/>
            <color indexed="81"/>
            <rFont val="Tahoma"/>
            <family val="2"/>
          </rPr>
          <t>CTDEEP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4675" authorId="0">
      <text>
        <r>
          <rPr>
            <b/>
            <sz val="9"/>
            <color indexed="81"/>
            <rFont val="Tahoma"/>
            <family val="2"/>
          </rPr>
          <t>CTDEEP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4676" authorId="0">
      <text>
        <r>
          <rPr>
            <b/>
            <sz val="9"/>
            <color indexed="81"/>
            <rFont val="Tahoma"/>
            <family val="2"/>
          </rPr>
          <t>CTDEEP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4682" authorId="0">
      <text>
        <r>
          <rPr>
            <b/>
            <sz val="9"/>
            <color indexed="81"/>
            <rFont val="Tahoma"/>
            <family val="2"/>
          </rPr>
          <t>CTDEEP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4695" authorId="0">
      <text>
        <r>
          <rPr>
            <b/>
            <sz val="9"/>
            <color indexed="81"/>
            <rFont val="Tahoma"/>
            <family val="2"/>
          </rPr>
          <t xml:space="preserve">CTDEEP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david papp</author>
    <author>Dep User</author>
    <author>lillieE</author>
  </authors>
  <commentList>
    <comment ref="AE2" authorId="0">
      <text>
        <r>
          <rPr>
            <b/>
            <sz val="9"/>
            <color indexed="81"/>
            <rFont val="Calibri"/>
            <family val="2"/>
          </rPr>
          <t xml:space="preserve">ug/L
</t>
        </r>
      </text>
    </comment>
    <comment ref="AE4" authorId="1">
      <text>
        <r>
          <rPr>
            <b/>
            <sz val="8"/>
            <color indexed="81"/>
            <rFont val="Tahoma"/>
            <family val="2"/>
          </rPr>
          <t>ug/L: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E5" authorId="1">
      <text>
        <r>
          <rPr>
            <b/>
            <sz val="8"/>
            <color indexed="81"/>
            <rFont val="Tahoma"/>
            <family val="2"/>
          </rPr>
          <t>ug/L: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E6" authorId="1">
      <text>
        <r>
          <rPr>
            <b/>
            <sz val="8"/>
            <color indexed="81"/>
            <rFont val="Tahoma"/>
            <family val="2"/>
          </rPr>
          <t>ug/L: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E10" authorId="1">
      <text>
        <r>
          <rPr>
            <b/>
            <sz val="8"/>
            <color indexed="81"/>
            <rFont val="Tahoma"/>
            <family val="2"/>
          </rPr>
          <t xml:space="preserve">ug/L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E11" authorId="1">
      <text>
        <r>
          <rPr>
            <b/>
            <sz val="8"/>
            <color indexed="81"/>
            <rFont val="Tahoma"/>
            <family val="2"/>
          </rPr>
          <t xml:space="preserve">ug/L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E12" authorId="1">
      <text>
        <r>
          <rPr>
            <b/>
            <sz val="8"/>
            <color indexed="81"/>
            <rFont val="Tahoma"/>
            <family val="2"/>
          </rPr>
          <t xml:space="preserve">ug/L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E47" authorId="1">
      <text>
        <r>
          <rPr>
            <b/>
            <sz val="8"/>
            <color indexed="81"/>
            <rFont val="Tahoma"/>
            <family val="2"/>
          </rPr>
          <t>ug/L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E52" authorId="1">
      <text>
        <r>
          <rPr>
            <b/>
            <sz val="8"/>
            <color indexed="81"/>
            <rFont val="Tahoma"/>
            <family val="2"/>
          </rPr>
          <t>ug/L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E53" authorId="1">
      <text>
        <r>
          <rPr>
            <b/>
            <sz val="8"/>
            <color indexed="81"/>
            <rFont val="Tahoma"/>
            <family val="2"/>
          </rPr>
          <t xml:space="preserve">ug/L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E54" authorId="1">
      <text>
        <r>
          <rPr>
            <b/>
            <sz val="8"/>
            <color indexed="81"/>
            <rFont val="Tahoma"/>
            <family val="2"/>
          </rPr>
          <t xml:space="preserve">ug/L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E55" authorId="1">
      <text>
        <r>
          <rPr>
            <sz val="8"/>
            <color indexed="81"/>
            <rFont val="Tahoma"/>
            <family val="2"/>
          </rPr>
          <t xml:space="preserve">ug/L
</t>
        </r>
      </text>
    </comment>
    <comment ref="AE57" authorId="1">
      <text>
        <r>
          <rPr>
            <b/>
            <sz val="8"/>
            <color indexed="81"/>
            <rFont val="Tahoma"/>
            <family val="2"/>
          </rPr>
          <t>ug/L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E61" authorId="1">
      <text>
        <r>
          <rPr>
            <b/>
            <sz val="8"/>
            <color indexed="81"/>
            <rFont val="Tahoma"/>
            <family val="2"/>
          </rPr>
          <t>Dep User:</t>
        </r>
        <r>
          <rPr>
            <sz val="8"/>
            <color indexed="81"/>
            <rFont val="Tahoma"/>
            <family val="2"/>
          </rPr>
          <t xml:space="preserve">
ug/L
</t>
        </r>
      </text>
    </comment>
    <comment ref="AE62" authorId="1">
      <text>
        <r>
          <rPr>
            <b/>
            <sz val="8"/>
            <color indexed="81"/>
            <rFont val="Tahoma"/>
            <family val="2"/>
          </rPr>
          <t xml:space="preserve">ug/L
</t>
        </r>
      </text>
    </comment>
    <comment ref="AE67" authorId="1">
      <text>
        <r>
          <rPr>
            <b/>
            <sz val="8"/>
            <color indexed="81"/>
            <rFont val="Tahoma"/>
            <family val="2"/>
          </rPr>
          <t>Dep User:</t>
        </r>
        <r>
          <rPr>
            <sz val="8"/>
            <color indexed="81"/>
            <rFont val="Tahoma"/>
            <family val="2"/>
          </rPr>
          <t xml:space="preserve">
ug/l
</t>
        </r>
      </text>
    </comment>
    <comment ref="AE68" authorId="1">
      <text>
        <r>
          <rPr>
            <b/>
            <sz val="8"/>
            <color indexed="81"/>
            <rFont val="Tahoma"/>
            <family val="2"/>
          </rPr>
          <t>Dep User:</t>
        </r>
        <r>
          <rPr>
            <sz val="8"/>
            <color indexed="81"/>
            <rFont val="Tahoma"/>
            <family val="2"/>
          </rPr>
          <t xml:space="preserve">
ug/l</t>
        </r>
      </text>
    </comment>
    <comment ref="AE69" authorId="1">
      <text>
        <r>
          <rPr>
            <b/>
            <sz val="8"/>
            <color indexed="81"/>
            <rFont val="Tahoma"/>
            <family val="2"/>
          </rPr>
          <t>Dep User:</t>
        </r>
        <r>
          <rPr>
            <sz val="8"/>
            <color indexed="81"/>
            <rFont val="Tahoma"/>
            <family val="2"/>
          </rPr>
          <t xml:space="preserve">
ug/L
</t>
        </r>
      </text>
    </comment>
    <comment ref="AE70" authorId="1">
      <text>
        <r>
          <rPr>
            <b/>
            <sz val="8"/>
            <color indexed="81"/>
            <rFont val="Tahoma"/>
            <family val="2"/>
          </rPr>
          <t>Dep User:</t>
        </r>
        <r>
          <rPr>
            <sz val="8"/>
            <color indexed="81"/>
            <rFont val="Tahoma"/>
            <family val="2"/>
          </rPr>
          <t xml:space="preserve">
ug/l
</t>
        </r>
      </text>
    </comment>
    <comment ref="AE71" authorId="1">
      <text>
        <r>
          <rPr>
            <b/>
            <sz val="8"/>
            <color indexed="81"/>
            <rFont val="Tahoma"/>
            <family val="2"/>
          </rPr>
          <t>Dep User:</t>
        </r>
        <r>
          <rPr>
            <sz val="8"/>
            <color indexed="81"/>
            <rFont val="Tahoma"/>
            <family val="2"/>
          </rPr>
          <t xml:space="preserve">
ug/l
</t>
        </r>
      </text>
    </comment>
    <comment ref="AE72" authorId="1">
      <text>
        <r>
          <rPr>
            <b/>
            <sz val="8"/>
            <color indexed="81"/>
            <rFont val="Tahoma"/>
            <family val="2"/>
          </rPr>
          <t>Dep User:</t>
        </r>
        <r>
          <rPr>
            <sz val="8"/>
            <color indexed="81"/>
            <rFont val="Tahoma"/>
            <family val="2"/>
          </rPr>
          <t xml:space="preserve">
ug/L
</t>
        </r>
      </text>
    </comment>
    <comment ref="AE75" authorId="1">
      <text>
        <r>
          <rPr>
            <b/>
            <sz val="8"/>
            <color indexed="81"/>
            <rFont val="Tahoma"/>
            <family val="2"/>
          </rPr>
          <t>Dep User:</t>
        </r>
        <r>
          <rPr>
            <sz val="8"/>
            <color indexed="81"/>
            <rFont val="Tahoma"/>
            <family val="2"/>
          </rPr>
          <t xml:space="preserve">
ug/L</t>
        </r>
      </text>
    </comment>
    <comment ref="AE81" authorId="1">
      <text>
        <r>
          <rPr>
            <b/>
            <sz val="8"/>
            <color indexed="81"/>
            <rFont val="Tahoma"/>
            <family val="2"/>
          </rPr>
          <t>Dep User:</t>
        </r>
        <r>
          <rPr>
            <sz val="8"/>
            <color indexed="81"/>
            <rFont val="Tahoma"/>
            <family val="2"/>
          </rPr>
          <t xml:space="preserve">
ug/L
</t>
        </r>
      </text>
    </comment>
    <comment ref="AE82" authorId="1">
      <text>
        <r>
          <rPr>
            <b/>
            <sz val="8"/>
            <color indexed="81"/>
            <rFont val="Tahoma"/>
            <family val="2"/>
          </rPr>
          <t>Dep User:</t>
        </r>
        <r>
          <rPr>
            <sz val="8"/>
            <color indexed="81"/>
            <rFont val="Tahoma"/>
            <family val="2"/>
          </rPr>
          <t xml:space="preserve">
ug/L</t>
        </r>
      </text>
    </comment>
    <comment ref="AE83" authorId="1">
      <text>
        <r>
          <rPr>
            <b/>
            <sz val="8"/>
            <color indexed="81"/>
            <rFont val="Tahoma"/>
            <family val="2"/>
          </rPr>
          <t>Dep User:</t>
        </r>
        <r>
          <rPr>
            <sz val="8"/>
            <color indexed="81"/>
            <rFont val="Tahoma"/>
            <family val="2"/>
          </rPr>
          <t xml:space="preserve">
ug/L
</t>
        </r>
      </text>
    </comment>
    <comment ref="AE84" authorId="1">
      <text>
        <r>
          <rPr>
            <b/>
            <sz val="8"/>
            <color indexed="81"/>
            <rFont val="Tahoma"/>
            <family val="2"/>
          </rPr>
          <t>Dep User:</t>
        </r>
        <r>
          <rPr>
            <sz val="8"/>
            <color indexed="81"/>
            <rFont val="Tahoma"/>
            <family val="2"/>
          </rPr>
          <t xml:space="preserve">
ug/L
</t>
        </r>
      </text>
    </comment>
    <comment ref="AE85" authorId="1">
      <text>
        <r>
          <rPr>
            <b/>
            <sz val="8"/>
            <color indexed="81"/>
            <rFont val="Tahoma"/>
            <family val="2"/>
          </rPr>
          <t>Dep User:</t>
        </r>
        <r>
          <rPr>
            <sz val="8"/>
            <color indexed="81"/>
            <rFont val="Tahoma"/>
            <family val="2"/>
          </rPr>
          <t xml:space="preserve">
ug/L
</t>
        </r>
      </text>
    </comment>
    <comment ref="AE86" authorId="1">
      <text>
        <r>
          <rPr>
            <b/>
            <sz val="8"/>
            <color indexed="81"/>
            <rFont val="Tahoma"/>
            <family val="2"/>
          </rPr>
          <t>Dep User:</t>
        </r>
        <r>
          <rPr>
            <sz val="8"/>
            <color indexed="81"/>
            <rFont val="Tahoma"/>
            <family val="2"/>
          </rPr>
          <t xml:space="preserve">
ug/L
</t>
        </r>
      </text>
    </comment>
    <comment ref="AE87" authorId="1">
      <text>
        <r>
          <rPr>
            <b/>
            <sz val="8"/>
            <color indexed="81"/>
            <rFont val="Tahoma"/>
            <family val="2"/>
          </rPr>
          <t>Dep User:</t>
        </r>
        <r>
          <rPr>
            <sz val="8"/>
            <color indexed="81"/>
            <rFont val="Tahoma"/>
            <family val="2"/>
          </rPr>
          <t xml:space="preserve">
ug/L
</t>
        </r>
      </text>
    </comment>
    <comment ref="AE88" authorId="1">
      <text>
        <r>
          <rPr>
            <b/>
            <sz val="8"/>
            <color indexed="81"/>
            <rFont val="Tahoma"/>
            <family val="2"/>
          </rPr>
          <t>Dep User:</t>
        </r>
        <r>
          <rPr>
            <sz val="8"/>
            <color indexed="81"/>
            <rFont val="Tahoma"/>
            <family val="2"/>
          </rPr>
          <t xml:space="preserve">
ug/L
</t>
        </r>
      </text>
    </comment>
    <comment ref="AE89" authorId="1">
      <text>
        <r>
          <rPr>
            <b/>
            <sz val="8"/>
            <color indexed="81"/>
            <rFont val="Tahoma"/>
            <family val="2"/>
          </rPr>
          <t>Dep User:</t>
        </r>
        <r>
          <rPr>
            <sz val="8"/>
            <color indexed="81"/>
            <rFont val="Tahoma"/>
            <family val="2"/>
          </rPr>
          <t xml:space="preserve">
ug/L
</t>
        </r>
      </text>
    </comment>
    <comment ref="AE90" authorId="1">
      <text>
        <r>
          <rPr>
            <b/>
            <sz val="8"/>
            <color indexed="81"/>
            <rFont val="Tahoma"/>
            <family val="2"/>
          </rPr>
          <t>Dep User:</t>
        </r>
        <r>
          <rPr>
            <sz val="8"/>
            <color indexed="81"/>
            <rFont val="Tahoma"/>
            <family val="2"/>
          </rPr>
          <t xml:space="preserve">
ug/L
</t>
        </r>
      </text>
    </comment>
    <comment ref="AE91" authorId="1">
      <text>
        <r>
          <rPr>
            <b/>
            <sz val="8"/>
            <color indexed="81"/>
            <rFont val="Tahoma"/>
            <family val="2"/>
          </rPr>
          <t>ug/L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E92" authorId="1">
      <text>
        <r>
          <rPr>
            <b/>
            <sz val="8"/>
            <color indexed="81"/>
            <rFont val="Tahoma"/>
            <family val="2"/>
          </rPr>
          <t>ug/L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E101" authorId="1">
      <text>
        <r>
          <rPr>
            <b/>
            <sz val="8"/>
            <color indexed="81"/>
            <rFont val="Tahoma"/>
            <family val="2"/>
          </rPr>
          <t xml:space="preserve">ug/L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E102" authorId="1">
      <text>
        <r>
          <rPr>
            <b/>
            <sz val="8"/>
            <color indexed="81"/>
            <rFont val="Tahoma"/>
            <family val="2"/>
          </rPr>
          <t xml:space="preserve">ug/L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E110" authorId="1">
      <text>
        <r>
          <rPr>
            <b/>
            <sz val="8"/>
            <color indexed="81"/>
            <rFont val="Tahoma"/>
            <family val="2"/>
          </rPr>
          <t xml:space="preserve">ug/L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E111" authorId="1">
      <text>
        <r>
          <rPr>
            <b/>
            <sz val="8"/>
            <color indexed="81"/>
            <rFont val="Tahoma"/>
            <family val="2"/>
          </rPr>
          <t xml:space="preserve">ug/L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E112" authorId="1">
      <text>
        <r>
          <rPr>
            <b/>
            <sz val="8"/>
            <color indexed="81"/>
            <rFont val="Tahoma"/>
            <family val="2"/>
          </rPr>
          <t xml:space="preserve">ug/L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E113" authorId="1">
      <text>
        <r>
          <rPr>
            <b/>
            <sz val="8"/>
            <color indexed="81"/>
            <rFont val="Tahoma"/>
            <family val="2"/>
          </rPr>
          <t>ug/L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E114" authorId="1">
      <text>
        <r>
          <rPr>
            <b/>
            <sz val="8"/>
            <color indexed="81"/>
            <rFont val="Tahoma"/>
            <family val="2"/>
          </rPr>
          <t>ug/L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E115" authorId="1">
      <text>
        <r>
          <rPr>
            <b/>
            <sz val="8"/>
            <color indexed="81"/>
            <rFont val="Tahoma"/>
            <family val="2"/>
          </rPr>
          <t>ug/L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E116" authorId="1">
      <text>
        <r>
          <rPr>
            <b/>
            <sz val="8"/>
            <color indexed="81"/>
            <rFont val="Tahoma"/>
            <family val="2"/>
          </rPr>
          <t>ug/L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E120" authorId="1">
      <text>
        <r>
          <rPr>
            <b/>
            <sz val="8"/>
            <color indexed="81"/>
            <rFont val="Tahoma"/>
            <family val="2"/>
          </rPr>
          <t xml:space="preserve">ug/L
</t>
        </r>
      </text>
    </comment>
    <comment ref="AE121" authorId="1">
      <text>
        <r>
          <rPr>
            <b/>
            <sz val="8"/>
            <color indexed="81"/>
            <rFont val="Tahoma"/>
            <family val="2"/>
          </rPr>
          <t xml:space="preserve">ug/L
</t>
        </r>
      </text>
    </comment>
    <comment ref="AE122" authorId="1">
      <text>
        <r>
          <rPr>
            <b/>
            <sz val="9"/>
            <color indexed="81"/>
            <rFont val="Tahoma"/>
            <family val="2"/>
          </rPr>
          <t xml:space="preserve">ug/L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E124" authorId="1">
      <text>
        <r>
          <rPr>
            <b/>
            <sz val="8"/>
            <color indexed="81"/>
            <rFont val="Tahoma"/>
            <family val="2"/>
          </rPr>
          <t xml:space="preserve">ug/L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E126" authorId="1">
      <text>
        <r>
          <rPr>
            <b/>
            <sz val="8"/>
            <color indexed="81"/>
            <rFont val="Tahoma"/>
            <family val="2"/>
          </rPr>
          <t xml:space="preserve">UG/l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E127" authorId="1">
      <text>
        <r>
          <rPr>
            <b/>
            <sz val="8"/>
            <color indexed="81"/>
            <rFont val="Tahoma"/>
            <family val="2"/>
          </rPr>
          <t xml:space="preserve">ug/L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E128" authorId="1">
      <text>
        <r>
          <rPr>
            <b/>
            <sz val="8"/>
            <color indexed="81"/>
            <rFont val="Tahoma"/>
            <family val="2"/>
          </rPr>
          <t>Dep User:</t>
        </r>
        <r>
          <rPr>
            <sz val="8"/>
            <color indexed="81"/>
            <rFont val="Tahoma"/>
            <family val="2"/>
          </rPr>
          <t xml:space="preserve">
ug/l
</t>
        </r>
      </text>
    </comment>
    <comment ref="AE129" authorId="1">
      <text>
        <r>
          <rPr>
            <b/>
            <sz val="8"/>
            <color indexed="81"/>
            <rFont val="Tahoma"/>
            <family val="2"/>
          </rPr>
          <t>Dep User:</t>
        </r>
        <r>
          <rPr>
            <sz val="8"/>
            <color indexed="81"/>
            <rFont val="Tahoma"/>
            <family val="2"/>
          </rPr>
          <t xml:space="preserve">
ug/l
</t>
        </r>
      </text>
    </comment>
    <comment ref="AE130" authorId="1">
      <text>
        <r>
          <rPr>
            <b/>
            <sz val="8"/>
            <color indexed="81"/>
            <rFont val="Tahoma"/>
            <family val="2"/>
          </rPr>
          <t>Dep User:</t>
        </r>
        <r>
          <rPr>
            <sz val="8"/>
            <color indexed="81"/>
            <rFont val="Tahoma"/>
            <family val="2"/>
          </rPr>
          <t xml:space="preserve">
ug/L
</t>
        </r>
      </text>
    </comment>
    <comment ref="AE133" authorId="1">
      <text>
        <r>
          <rPr>
            <b/>
            <sz val="8"/>
            <color indexed="81"/>
            <rFont val="Tahoma"/>
            <family val="2"/>
          </rPr>
          <t xml:space="preserve">ug/L
</t>
        </r>
      </text>
    </comment>
    <comment ref="AE134" authorId="1">
      <text>
        <r>
          <rPr>
            <b/>
            <sz val="8"/>
            <color indexed="81"/>
            <rFont val="Tahoma"/>
            <family val="2"/>
          </rPr>
          <t xml:space="preserve">ug/L
</t>
        </r>
      </text>
    </comment>
    <comment ref="AE135" authorId="1">
      <text>
        <r>
          <rPr>
            <b/>
            <sz val="8"/>
            <color indexed="81"/>
            <rFont val="Tahoma"/>
            <family val="2"/>
          </rPr>
          <t xml:space="preserve">ug/L
</t>
        </r>
      </text>
    </comment>
    <comment ref="AE136" authorId="1">
      <text>
        <r>
          <rPr>
            <b/>
            <sz val="8"/>
            <color indexed="81"/>
            <rFont val="Tahoma"/>
            <family val="2"/>
          </rPr>
          <t xml:space="preserve">ug/L
</t>
        </r>
      </text>
    </comment>
    <comment ref="AE138" authorId="1">
      <text>
        <r>
          <rPr>
            <b/>
            <sz val="8"/>
            <color indexed="81"/>
            <rFont val="Tahoma"/>
            <family val="2"/>
          </rPr>
          <t>Dep User:</t>
        </r>
        <r>
          <rPr>
            <sz val="8"/>
            <color indexed="81"/>
            <rFont val="Tahoma"/>
            <family val="2"/>
          </rPr>
          <t xml:space="preserve">
ug/L
</t>
        </r>
      </text>
    </comment>
    <comment ref="AE139" authorId="1">
      <text>
        <r>
          <rPr>
            <b/>
            <sz val="8"/>
            <color indexed="81"/>
            <rFont val="Tahoma"/>
            <family val="2"/>
          </rPr>
          <t xml:space="preserve">ug/L
</t>
        </r>
      </text>
    </comment>
    <comment ref="AE140" authorId="1">
      <text>
        <r>
          <rPr>
            <b/>
            <sz val="8"/>
            <color indexed="81"/>
            <rFont val="Tahoma"/>
            <family val="2"/>
          </rPr>
          <t>ug/L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E142" authorId="1">
      <text>
        <r>
          <rPr>
            <b/>
            <sz val="8"/>
            <color indexed="81"/>
            <rFont val="Tahoma"/>
            <family val="2"/>
          </rPr>
          <t>Dep User:</t>
        </r>
        <r>
          <rPr>
            <sz val="8"/>
            <color indexed="81"/>
            <rFont val="Tahoma"/>
            <family val="2"/>
          </rPr>
          <t xml:space="preserve">
ug/l
</t>
        </r>
      </text>
    </comment>
    <comment ref="AE143" authorId="1">
      <text>
        <r>
          <rPr>
            <b/>
            <sz val="8"/>
            <color indexed="81"/>
            <rFont val="Tahoma"/>
            <family val="2"/>
          </rPr>
          <t>Dep User:</t>
        </r>
        <r>
          <rPr>
            <sz val="8"/>
            <color indexed="81"/>
            <rFont val="Tahoma"/>
            <family val="2"/>
          </rPr>
          <t xml:space="preserve">
ug/l
</t>
        </r>
      </text>
    </comment>
    <comment ref="AE144" authorId="1">
      <text>
        <r>
          <rPr>
            <b/>
            <sz val="8"/>
            <color indexed="81"/>
            <rFont val="Tahoma"/>
            <family val="2"/>
          </rPr>
          <t>Dep User:</t>
        </r>
        <r>
          <rPr>
            <sz val="8"/>
            <color indexed="81"/>
            <rFont val="Tahoma"/>
            <family val="2"/>
          </rPr>
          <t xml:space="preserve">
ug/l
</t>
        </r>
      </text>
    </comment>
    <comment ref="AE145" authorId="1">
      <text>
        <r>
          <rPr>
            <b/>
            <sz val="8"/>
            <color indexed="81"/>
            <rFont val="Tahoma"/>
            <family val="2"/>
          </rPr>
          <t>Dep User:</t>
        </r>
        <r>
          <rPr>
            <sz val="8"/>
            <color indexed="81"/>
            <rFont val="Tahoma"/>
            <family val="2"/>
          </rPr>
          <t xml:space="preserve">
ug/L
</t>
        </r>
      </text>
    </comment>
    <comment ref="AE146" authorId="0">
      <text>
        <r>
          <rPr>
            <b/>
            <sz val="9"/>
            <color indexed="81"/>
            <rFont val="Calibri"/>
            <family val="2"/>
          </rPr>
          <t>mg/L</t>
        </r>
      </text>
    </comment>
    <comment ref="AE147" authorId="0">
      <text>
        <r>
          <rPr>
            <b/>
            <sz val="9"/>
            <color indexed="81"/>
            <rFont val="Calibri"/>
            <family val="2"/>
          </rPr>
          <t>ug/L</t>
        </r>
      </text>
    </comment>
    <comment ref="AE148" authorId="0">
      <text>
        <r>
          <rPr>
            <b/>
            <sz val="9"/>
            <color indexed="81"/>
            <rFont val="Calibri"/>
            <family val="2"/>
          </rPr>
          <t>ug/L</t>
        </r>
      </text>
    </comment>
    <comment ref="AE149" authorId="0">
      <text>
        <r>
          <rPr>
            <b/>
            <sz val="9"/>
            <color indexed="81"/>
            <rFont val="Calibri"/>
            <family val="2"/>
          </rPr>
          <t xml:space="preserve">ug/L
</t>
        </r>
      </text>
    </comment>
    <comment ref="F150" authorId="1">
      <text>
        <r>
          <rPr>
            <b/>
            <sz val="9"/>
            <color indexed="81"/>
            <rFont val="Tahoma"/>
            <family val="2"/>
          </rPr>
          <t>CTDEEP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50" authorId="0">
      <text>
        <r>
          <rPr>
            <b/>
            <sz val="9"/>
            <color indexed="81"/>
            <rFont val="Calibri"/>
            <family val="2"/>
          </rPr>
          <t>sampled prior to treatment</t>
        </r>
      </text>
    </comment>
    <comment ref="AE150" authorId="1">
      <text>
        <r>
          <rPr>
            <b/>
            <sz val="8"/>
            <color indexed="81"/>
            <rFont val="Tahoma"/>
            <family val="2"/>
          </rPr>
          <t xml:space="preserve">ug/L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E151" authorId="1">
      <text>
        <r>
          <rPr>
            <b/>
            <sz val="9"/>
            <color indexed="81"/>
            <rFont val="Tahoma"/>
            <family val="2"/>
          </rPr>
          <t xml:space="preserve">ug/L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E152" authorId="0">
      <text>
        <r>
          <rPr>
            <b/>
            <sz val="9"/>
            <color indexed="81"/>
            <rFont val="Calibri"/>
            <family val="2"/>
          </rPr>
          <t xml:space="preserve">ug/L
</t>
        </r>
      </text>
    </comment>
    <comment ref="AE153" authorId="1">
      <text>
        <r>
          <rPr>
            <b/>
            <sz val="9"/>
            <color indexed="81"/>
            <rFont val="Tahoma"/>
            <family val="2"/>
          </rPr>
          <t xml:space="preserve">ug/L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E154" authorId="1">
      <text>
        <r>
          <rPr>
            <b/>
            <sz val="8"/>
            <color indexed="81"/>
            <rFont val="Tahoma"/>
            <family val="2"/>
          </rPr>
          <t>ug/L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E155" authorId="1">
      <text>
        <r>
          <rPr>
            <b/>
            <sz val="8"/>
            <color indexed="81"/>
            <rFont val="Tahoma"/>
            <family val="2"/>
          </rPr>
          <t>ug/L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E156" authorId="2">
      <text>
        <r>
          <rPr>
            <b/>
            <sz val="9"/>
            <color indexed="81"/>
            <rFont val="Tahoma"/>
            <family val="2"/>
          </rPr>
          <t>lillieE:</t>
        </r>
        <r>
          <rPr>
            <sz val="9"/>
            <color indexed="81"/>
            <rFont val="Tahoma"/>
            <family val="2"/>
          </rPr>
          <t xml:space="preserve">
µg/l
</t>
        </r>
      </text>
    </comment>
    <comment ref="AE157" authorId="2">
      <text>
        <r>
          <rPr>
            <b/>
            <sz val="9"/>
            <color indexed="81"/>
            <rFont val="Tahoma"/>
            <family val="2"/>
          </rPr>
          <t>lillieE:</t>
        </r>
        <r>
          <rPr>
            <sz val="9"/>
            <color indexed="81"/>
            <rFont val="Tahoma"/>
            <family val="2"/>
          </rPr>
          <t xml:space="preserve">
µg/l
</t>
        </r>
      </text>
    </comment>
  </commentList>
</comments>
</file>

<file path=xl/comments3.xml><?xml version="1.0" encoding="utf-8"?>
<comments xmlns="http://schemas.openxmlformats.org/spreadsheetml/2006/main">
  <authors>
    <author>Dep User</author>
    <author>david papp</author>
    <author>Papp</author>
  </authors>
  <commentList>
    <comment ref="AP47" authorId="0">
      <text>
        <r>
          <rPr>
            <sz val="8"/>
            <color indexed="81"/>
            <rFont val="Tahoma"/>
            <family val="2"/>
          </rPr>
          <t>report indicates not a required parameter</t>
        </r>
        <r>
          <rPr>
            <b/>
            <sz val="8"/>
            <color indexed="81"/>
            <rFont val="Tahoma"/>
            <family val="2"/>
          </rPr>
          <t xml:space="preserve">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P48" authorId="0">
      <text>
        <r>
          <rPr>
            <sz val="8"/>
            <color indexed="81"/>
            <rFont val="Tahoma"/>
            <family val="2"/>
          </rPr>
          <t>report indicates not a required parameter</t>
        </r>
        <r>
          <rPr>
            <b/>
            <sz val="8"/>
            <color indexed="81"/>
            <rFont val="Tahoma"/>
            <family val="2"/>
          </rPr>
          <t xml:space="preserve">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P49" authorId="0">
      <text>
        <r>
          <rPr>
            <sz val="8"/>
            <color indexed="81"/>
            <rFont val="Tahoma"/>
            <family val="2"/>
          </rPr>
          <t>report indicates not a required parameter</t>
        </r>
        <r>
          <rPr>
            <b/>
            <sz val="8"/>
            <color indexed="81"/>
            <rFont val="Tahoma"/>
            <family val="2"/>
          </rPr>
          <t xml:space="preserve">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T108" authorId="0">
      <text>
        <r>
          <rPr>
            <b/>
            <sz val="8"/>
            <color indexed="81"/>
            <rFont val="Tahoma"/>
            <family val="2"/>
          </rPr>
          <t xml:space="preserve">ug/L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T109" authorId="0">
      <text>
        <r>
          <rPr>
            <b/>
            <sz val="8"/>
            <color indexed="81"/>
            <rFont val="Tahoma"/>
            <family val="2"/>
          </rPr>
          <t xml:space="preserve">ug/L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T110" authorId="0">
      <text>
        <r>
          <rPr>
            <b/>
            <sz val="8"/>
            <color indexed="81"/>
            <rFont val="Tahoma"/>
            <family val="2"/>
          </rPr>
          <t xml:space="preserve">ug/L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T113" authorId="0">
      <text>
        <r>
          <rPr>
            <b/>
            <sz val="8"/>
            <color indexed="81"/>
            <rFont val="Tahoma"/>
            <family val="2"/>
          </rPr>
          <t xml:space="preserve">ug/L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T114" authorId="0">
      <text>
        <r>
          <rPr>
            <b/>
            <sz val="8"/>
            <color indexed="81"/>
            <rFont val="Tahoma"/>
            <family val="2"/>
          </rPr>
          <t xml:space="preserve">ug/L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T118" authorId="0">
      <text>
        <r>
          <rPr>
            <b/>
            <sz val="8"/>
            <color indexed="81"/>
            <rFont val="Tahoma"/>
            <family val="2"/>
          </rPr>
          <t xml:space="preserve">ug/L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T119" authorId="0">
      <text>
        <r>
          <rPr>
            <b/>
            <sz val="8"/>
            <color indexed="81"/>
            <rFont val="Tahoma"/>
            <family val="2"/>
          </rPr>
          <t xml:space="preserve">ug/L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T120" authorId="0">
      <text>
        <r>
          <rPr>
            <b/>
            <sz val="8"/>
            <color indexed="81"/>
            <rFont val="Tahoma"/>
            <family val="2"/>
          </rPr>
          <t xml:space="preserve">ug/L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T121" authorId="0">
      <text>
        <r>
          <rPr>
            <b/>
            <sz val="8"/>
            <color indexed="81"/>
            <rFont val="Tahoma"/>
            <family val="2"/>
          </rPr>
          <t xml:space="preserve">ug/L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179" authorId="0">
      <text>
        <r>
          <rPr>
            <sz val="8"/>
            <color indexed="81"/>
            <rFont val="Tahoma"/>
            <family val="2"/>
          </rPr>
          <t xml:space="preserve">spoke to Loreen @ lab. Didn't receive sufficient volumn and had to dilute sample
</t>
        </r>
      </text>
    </comment>
    <comment ref="O180" authorId="0">
      <text>
        <r>
          <rPr>
            <sz val="8"/>
            <color indexed="81"/>
            <rFont val="Tahoma"/>
            <family val="2"/>
          </rPr>
          <t xml:space="preserve">spoke to Loreen @ lab. Didn't receive sufficient volumn and had to dilute sample
</t>
        </r>
      </text>
    </comment>
    <comment ref="I212" authorId="1">
      <text>
        <r>
          <rPr>
            <sz val="9"/>
            <color indexed="81"/>
            <rFont val="Calibri"/>
            <family val="2"/>
          </rPr>
          <t xml:space="preserve">MS4 discharge
</t>
        </r>
      </text>
    </comment>
    <comment ref="I213" authorId="1">
      <text>
        <r>
          <rPr>
            <sz val="9"/>
            <color indexed="81"/>
            <rFont val="Calibri"/>
            <family val="2"/>
          </rPr>
          <t xml:space="preserve">MS4 discharge
</t>
        </r>
      </text>
    </comment>
    <comment ref="K483" authorId="2">
      <text>
        <r>
          <rPr>
            <sz val="9"/>
            <color indexed="81"/>
            <rFont val="Tahoma"/>
            <family val="2"/>
          </rPr>
          <t xml:space="preserve">earlier discharge &gt;1 year ago
</t>
        </r>
      </text>
    </comment>
    <comment ref="AA483" authorId="2">
      <text>
        <r>
          <rPr>
            <b/>
            <sz val="9"/>
            <color indexed="81"/>
            <rFont val="Tahoma"/>
            <family val="2"/>
          </rPr>
          <t>Papp:</t>
        </r>
        <r>
          <rPr>
            <sz val="9"/>
            <color indexed="81"/>
            <rFont val="Tahoma"/>
            <family val="2"/>
          </rPr>
          <t xml:space="preserve">
exceeded hold time, discharge is infrequent so they ran it anyway</t>
        </r>
      </text>
    </comment>
    <comment ref="I541" authorId="0">
      <text>
        <r>
          <rPr>
            <b/>
            <sz val="8"/>
            <color indexed="81"/>
            <rFont val="Tahoma"/>
            <family val="2"/>
          </rPr>
          <t xml:space="preserve">no parameters required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E602" authorId="0">
      <text>
        <r>
          <rPr>
            <sz val="8"/>
            <color indexed="81"/>
            <rFont val="Tahoma"/>
            <family val="2"/>
          </rPr>
          <t xml:space="preserve">later they determined they are not required to complete landfill parameters
</t>
        </r>
      </text>
    </comment>
    <comment ref="AT660" authorId="0">
      <text>
        <r>
          <rPr>
            <b/>
            <sz val="8"/>
            <color indexed="81"/>
            <rFont val="Tahoma"/>
            <family val="2"/>
          </rPr>
          <t xml:space="preserve">ug/L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U660" authorId="0">
      <text>
        <r>
          <rPr>
            <b/>
            <sz val="8"/>
            <color indexed="81"/>
            <rFont val="Tahoma"/>
            <family val="2"/>
          </rPr>
          <t xml:space="preserve">ug/L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783" authorId="1">
      <text>
        <r>
          <rPr>
            <b/>
            <sz val="9"/>
            <color indexed="81"/>
            <rFont val="Calibri"/>
            <family val="2"/>
          </rPr>
          <t>on SMR cause unknown</t>
        </r>
        <r>
          <rPr>
            <sz val="9"/>
            <color indexed="81"/>
            <rFont val="Calibri"/>
            <family val="2"/>
          </rPr>
          <t xml:space="preserve">
</t>
        </r>
      </text>
    </comment>
    <comment ref="F806" authorId="0">
      <text>
        <r>
          <rPr>
            <b/>
            <sz val="9"/>
            <color indexed="81"/>
            <rFont val="Tahoma"/>
            <family val="2"/>
          </rPr>
          <t>CTDEEP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807" authorId="0">
      <text>
        <r>
          <rPr>
            <b/>
            <sz val="9"/>
            <color indexed="81"/>
            <rFont val="Tahoma"/>
            <family val="2"/>
          </rPr>
          <t>CTDEEP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808" authorId="0">
      <text>
        <r>
          <rPr>
            <b/>
            <sz val="9"/>
            <color indexed="81"/>
            <rFont val="Tahoma"/>
            <family val="2"/>
          </rPr>
          <t>CTDEEP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809" authorId="0">
      <text>
        <r>
          <rPr>
            <b/>
            <sz val="9"/>
            <color indexed="81"/>
            <rFont val="Tahoma"/>
            <family val="2"/>
          </rPr>
          <t>CTDEEP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810" authorId="0">
      <text>
        <r>
          <rPr>
            <b/>
            <sz val="9"/>
            <color indexed="81"/>
            <rFont val="Tahoma"/>
            <family val="2"/>
          </rPr>
          <t>CTDEEP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>
  <authors>
    <author>Dep User</author>
    <author>Papp</author>
    <author>david papp</author>
    <author>dseresin</author>
  </authors>
  <commentList>
    <comment ref="AH29" authorId="0">
      <text>
        <r>
          <rPr>
            <b/>
            <sz val="8"/>
            <color indexed="81"/>
            <rFont val="Tahoma"/>
            <family val="2"/>
          </rPr>
          <t>Dep User:</t>
        </r>
        <r>
          <rPr>
            <sz val="8"/>
            <color indexed="81"/>
            <rFont val="Tahoma"/>
            <family val="2"/>
          </rPr>
          <t xml:space="preserve">
ug/L
</t>
        </r>
      </text>
    </comment>
    <comment ref="AH30" authorId="0">
      <text>
        <r>
          <rPr>
            <b/>
            <sz val="8"/>
            <color indexed="81"/>
            <rFont val="Tahoma"/>
            <family val="2"/>
          </rPr>
          <t>Dep User:</t>
        </r>
        <r>
          <rPr>
            <sz val="8"/>
            <color indexed="81"/>
            <rFont val="Tahoma"/>
            <family val="2"/>
          </rPr>
          <t xml:space="preserve">
ug/L
</t>
        </r>
      </text>
    </comment>
    <comment ref="AH99" authorId="0">
      <text>
        <r>
          <rPr>
            <b/>
            <sz val="9"/>
            <color indexed="81"/>
            <rFont val="Tahoma"/>
            <family val="2"/>
          </rPr>
          <t xml:space="preserve">ug/L
</t>
        </r>
      </text>
    </comment>
    <comment ref="AI99" authorId="0">
      <text>
        <r>
          <rPr>
            <b/>
            <sz val="9"/>
            <color indexed="81"/>
            <rFont val="Tahoma"/>
            <family val="2"/>
          </rPr>
          <t xml:space="preserve">ug/L
</t>
        </r>
      </text>
    </comment>
    <comment ref="AH101" authorId="0">
      <text>
        <r>
          <rPr>
            <b/>
            <sz val="9"/>
            <color indexed="81"/>
            <rFont val="Tahoma"/>
            <family val="2"/>
          </rPr>
          <t xml:space="preserve">ug/L
</t>
        </r>
      </text>
    </comment>
    <comment ref="AI101" authorId="0">
      <text>
        <r>
          <rPr>
            <b/>
            <sz val="9"/>
            <color indexed="81"/>
            <rFont val="Tahoma"/>
            <family val="2"/>
          </rPr>
          <t xml:space="preserve">ug/L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H106" authorId="1">
      <text>
        <r>
          <rPr>
            <b/>
            <sz val="9"/>
            <color indexed="81"/>
            <rFont val="Tahoma"/>
            <family val="2"/>
          </rPr>
          <t xml:space="preserve">Papp: ug/L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I106" authorId="1">
      <text>
        <r>
          <rPr>
            <b/>
            <sz val="9"/>
            <color indexed="81"/>
            <rFont val="Tahoma"/>
            <family val="2"/>
          </rPr>
          <t>Papp:</t>
        </r>
        <r>
          <rPr>
            <sz val="9"/>
            <color indexed="81"/>
            <rFont val="Tahoma"/>
            <family val="2"/>
          </rPr>
          <t xml:space="preserve">
ug/L
</t>
        </r>
      </text>
    </comment>
    <comment ref="AH107" authorId="1">
      <text>
        <r>
          <rPr>
            <b/>
            <sz val="9"/>
            <color indexed="81"/>
            <rFont val="Tahoma"/>
            <family val="2"/>
          </rPr>
          <t xml:space="preserve">Papp: ug/L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I107" authorId="1">
      <text>
        <r>
          <rPr>
            <b/>
            <sz val="9"/>
            <color indexed="81"/>
            <rFont val="Tahoma"/>
            <family val="2"/>
          </rPr>
          <t>Papp:</t>
        </r>
        <r>
          <rPr>
            <sz val="9"/>
            <color indexed="81"/>
            <rFont val="Tahoma"/>
            <family val="2"/>
          </rPr>
          <t xml:space="preserve">
ug/L
</t>
        </r>
      </text>
    </comment>
    <comment ref="AI123" authorId="0">
      <text>
        <r>
          <rPr>
            <b/>
            <sz val="9"/>
            <color indexed="81"/>
            <rFont val="Tahoma"/>
            <family val="2"/>
          </rPr>
          <t xml:space="preserve">ug/L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H126" authorId="0">
      <text>
        <r>
          <rPr>
            <b/>
            <sz val="8"/>
            <color indexed="81"/>
            <rFont val="Tahoma"/>
            <family val="2"/>
          </rPr>
          <t xml:space="preserve">ug/L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I137" authorId="0">
      <text>
        <r>
          <rPr>
            <b/>
            <sz val="8"/>
            <color indexed="81"/>
            <rFont val="Tahoma"/>
            <family val="2"/>
          </rPr>
          <t>Dep User:</t>
        </r>
        <r>
          <rPr>
            <sz val="8"/>
            <color indexed="81"/>
            <rFont val="Tahoma"/>
            <family val="2"/>
          </rPr>
          <t xml:space="preserve">
ug/L
</t>
        </r>
      </text>
    </comment>
    <comment ref="AH142" authorId="0">
      <text>
        <r>
          <rPr>
            <sz val="8"/>
            <color indexed="81"/>
            <rFont val="Tahoma"/>
            <family val="2"/>
          </rPr>
          <t xml:space="preserve">ppb
</t>
        </r>
      </text>
    </comment>
    <comment ref="AI142" authorId="0">
      <text>
        <r>
          <rPr>
            <sz val="8"/>
            <color indexed="81"/>
            <rFont val="Tahoma"/>
            <family val="2"/>
          </rPr>
          <t xml:space="preserve">ppb
</t>
        </r>
      </text>
    </comment>
    <comment ref="AH143" authorId="0">
      <text>
        <r>
          <rPr>
            <b/>
            <sz val="8"/>
            <color indexed="81"/>
            <rFont val="Tahoma"/>
            <family val="2"/>
          </rPr>
          <t xml:space="preserve">ppb
</t>
        </r>
      </text>
    </comment>
    <comment ref="AI143" authorId="0">
      <text>
        <r>
          <rPr>
            <b/>
            <sz val="8"/>
            <color indexed="81"/>
            <rFont val="Tahoma"/>
            <family val="2"/>
          </rPr>
          <t>Dep User:</t>
        </r>
        <r>
          <rPr>
            <sz val="8"/>
            <color indexed="81"/>
            <rFont val="Tahoma"/>
            <family val="2"/>
          </rPr>
          <t xml:space="preserve">
ug/L
</t>
        </r>
      </text>
    </comment>
    <comment ref="AH144" authorId="1">
      <text>
        <r>
          <rPr>
            <b/>
            <sz val="9"/>
            <color indexed="81"/>
            <rFont val="Tahoma"/>
            <family val="2"/>
          </rPr>
          <t>Papp:</t>
        </r>
        <r>
          <rPr>
            <sz val="9"/>
            <color indexed="81"/>
            <rFont val="Tahoma"/>
            <family val="2"/>
          </rPr>
          <t xml:space="preserve">
ug/L
</t>
        </r>
      </text>
    </comment>
    <comment ref="AI144" authorId="1">
      <text>
        <r>
          <rPr>
            <b/>
            <sz val="9"/>
            <color indexed="81"/>
            <rFont val="Tahoma"/>
            <family val="2"/>
          </rPr>
          <t>Papp:</t>
        </r>
        <r>
          <rPr>
            <sz val="9"/>
            <color indexed="81"/>
            <rFont val="Tahoma"/>
            <family val="2"/>
          </rPr>
          <t xml:space="preserve">
ug/L</t>
        </r>
      </text>
    </comment>
    <comment ref="AH145" authorId="1">
      <text>
        <r>
          <rPr>
            <b/>
            <sz val="9"/>
            <color indexed="81"/>
            <rFont val="Tahoma"/>
            <family val="2"/>
          </rPr>
          <t>Papp:</t>
        </r>
        <r>
          <rPr>
            <sz val="9"/>
            <color indexed="81"/>
            <rFont val="Tahoma"/>
            <family val="2"/>
          </rPr>
          <t xml:space="preserve">
ug/L
</t>
        </r>
      </text>
    </comment>
    <comment ref="AI145" authorId="1">
      <text>
        <r>
          <rPr>
            <b/>
            <sz val="9"/>
            <color indexed="81"/>
            <rFont val="Tahoma"/>
            <family val="2"/>
          </rPr>
          <t>Papp:</t>
        </r>
        <r>
          <rPr>
            <sz val="9"/>
            <color indexed="81"/>
            <rFont val="Tahoma"/>
            <family val="2"/>
          </rPr>
          <t xml:space="preserve">
ug/L</t>
        </r>
      </text>
    </comment>
    <comment ref="AH146" authorId="1">
      <text>
        <r>
          <rPr>
            <b/>
            <sz val="9"/>
            <color indexed="81"/>
            <rFont val="Tahoma"/>
            <family val="2"/>
          </rPr>
          <t>Papp:</t>
        </r>
        <r>
          <rPr>
            <sz val="9"/>
            <color indexed="81"/>
            <rFont val="Tahoma"/>
            <family val="2"/>
          </rPr>
          <t xml:space="preserve">
ug/L</t>
        </r>
      </text>
    </comment>
    <comment ref="AI146" authorId="1">
      <text>
        <r>
          <rPr>
            <b/>
            <sz val="9"/>
            <color indexed="81"/>
            <rFont val="Tahoma"/>
            <family val="2"/>
          </rPr>
          <t>Papp:</t>
        </r>
        <r>
          <rPr>
            <sz val="9"/>
            <color indexed="81"/>
            <rFont val="Tahoma"/>
            <family val="2"/>
          </rPr>
          <t xml:space="preserve">
ug/L</t>
        </r>
      </text>
    </comment>
    <comment ref="AH148" authorId="2">
      <text>
        <r>
          <rPr>
            <b/>
            <sz val="9"/>
            <color indexed="81"/>
            <rFont val="Calibri"/>
            <family val="2"/>
          </rPr>
          <t>ug/L</t>
        </r>
      </text>
    </comment>
    <comment ref="AI148" authorId="2">
      <text>
        <r>
          <rPr>
            <b/>
            <sz val="9"/>
            <color indexed="81"/>
            <rFont val="Calibri"/>
            <family val="2"/>
          </rPr>
          <t>ug/L</t>
        </r>
      </text>
    </comment>
    <comment ref="AH156" authorId="2">
      <text>
        <r>
          <rPr>
            <b/>
            <sz val="9"/>
            <color indexed="81"/>
            <rFont val="Calibri"/>
            <family val="2"/>
          </rPr>
          <t xml:space="preserve">ug/L
</t>
        </r>
      </text>
    </comment>
    <comment ref="AI156" authorId="2">
      <text>
        <r>
          <rPr>
            <b/>
            <sz val="9"/>
            <color indexed="81"/>
            <rFont val="Calibri"/>
            <family val="2"/>
          </rPr>
          <t xml:space="preserve">ug/L
</t>
        </r>
      </text>
    </comment>
    <comment ref="AH159" authorId="2">
      <text>
        <r>
          <rPr>
            <b/>
            <sz val="9"/>
            <color indexed="81"/>
            <rFont val="Calibri"/>
            <family val="2"/>
          </rPr>
          <t xml:space="preserve">ug/L
</t>
        </r>
      </text>
    </comment>
    <comment ref="AI159" authorId="2">
      <text>
        <r>
          <rPr>
            <b/>
            <sz val="9"/>
            <color indexed="81"/>
            <rFont val="Calibri"/>
            <family val="2"/>
          </rPr>
          <t xml:space="preserve">ug/L
</t>
        </r>
      </text>
    </comment>
    <comment ref="AH160" authorId="0">
      <text>
        <r>
          <rPr>
            <b/>
            <sz val="9"/>
            <color indexed="81"/>
            <rFont val="Tahoma"/>
            <family val="2"/>
          </rPr>
          <t xml:space="preserve">ug/L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I160" authorId="0">
      <text>
        <r>
          <rPr>
            <b/>
            <sz val="9"/>
            <color indexed="81"/>
            <rFont val="Tahoma"/>
            <family val="2"/>
          </rPr>
          <t xml:space="preserve">ug/L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H162" authorId="2">
      <text>
        <r>
          <rPr>
            <b/>
            <sz val="9"/>
            <color indexed="81"/>
            <rFont val="Calibri"/>
            <family val="2"/>
          </rPr>
          <t xml:space="preserve">ug/L
</t>
        </r>
      </text>
    </comment>
    <comment ref="AI162" authorId="2">
      <text>
        <r>
          <rPr>
            <b/>
            <sz val="9"/>
            <color indexed="81"/>
            <rFont val="Calibri"/>
            <family val="2"/>
          </rPr>
          <t xml:space="preserve">ug/L
</t>
        </r>
      </text>
    </comment>
    <comment ref="AI170" authorId="1">
      <text>
        <r>
          <rPr>
            <b/>
            <sz val="9"/>
            <color indexed="81"/>
            <rFont val="Tahoma"/>
            <family val="2"/>
          </rPr>
          <t xml:space="preserve">ug/L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I171" authorId="1">
      <text>
        <r>
          <rPr>
            <b/>
            <sz val="9"/>
            <color indexed="81"/>
            <rFont val="Tahoma"/>
            <family val="2"/>
          </rPr>
          <t xml:space="preserve">ug/L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I172" authorId="1">
      <text>
        <r>
          <rPr>
            <b/>
            <sz val="9"/>
            <color indexed="81"/>
            <rFont val="Tahoma"/>
            <family val="2"/>
          </rPr>
          <t xml:space="preserve">ug/L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I173" authorId="1">
      <text>
        <r>
          <rPr>
            <b/>
            <sz val="9"/>
            <color indexed="81"/>
            <rFont val="Tahoma"/>
            <family val="2"/>
          </rPr>
          <t xml:space="preserve">ug/L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I176" authorId="1">
      <text>
        <r>
          <rPr>
            <b/>
            <sz val="9"/>
            <color indexed="81"/>
            <rFont val="Tahoma"/>
            <family val="2"/>
          </rPr>
          <t xml:space="preserve">ug/L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I177" authorId="1">
      <text>
        <r>
          <rPr>
            <b/>
            <sz val="9"/>
            <color indexed="81"/>
            <rFont val="Tahoma"/>
            <family val="2"/>
          </rPr>
          <t xml:space="preserve">ug/L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H178" authorId="1">
      <text>
        <r>
          <rPr>
            <b/>
            <sz val="9"/>
            <color indexed="81"/>
            <rFont val="Tahoma"/>
            <family val="2"/>
          </rPr>
          <t xml:space="preserve">Papp: ug/L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I178" authorId="1">
      <text>
        <r>
          <rPr>
            <b/>
            <sz val="9"/>
            <color indexed="81"/>
            <rFont val="Tahoma"/>
            <family val="2"/>
          </rPr>
          <t>Papp:</t>
        </r>
        <r>
          <rPr>
            <sz val="9"/>
            <color indexed="81"/>
            <rFont val="Tahoma"/>
            <family val="2"/>
          </rPr>
          <t xml:space="preserve">
ug/L
</t>
        </r>
      </text>
    </comment>
    <comment ref="AH182" authorId="2">
      <text>
        <r>
          <rPr>
            <b/>
            <sz val="9"/>
            <color indexed="81"/>
            <rFont val="Calibri"/>
            <family val="2"/>
          </rPr>
          <t xml:space="preserve">ug/L
</t>
        </r>
      </text>
    </comment>
    <comment ref="AI182" authorId="2">
      <text>
        <r>
          <rPr>
            <b/>
            <sz val="9"/>
            <color indexed="81"/>
            <rFont val="Calibri"/>
            <family val="2"/>
          </rPr>
          <t xml:space="preserve">ug/L
</t>
        </r>
      </text>
    </comment>
    <comment ref="AH183" authorId="2">
      <text>
        <r>
          <rPr>
            <b/>
            <sz val="9"/>
            <color indexed="81"/>
            <rFont val="Calibri"/>
            <family val="2"/>
          </rPr>
          <t xml:space="preserve">ug/L
</t>
        </r>
      </text>
    </comment>
    <comment ref="AI183" authorId="2">
      <text>
        <r>
          <rPr>
            <b/>
            <sz val="9"/>
            <color indexed="81"/>
            <rFont val="Calibri"/>
            <family val="2"/>
          </rPr>
          <t xml:space="preserve">ug/L
</t>
        </r>
      </text>
    </comment>
    <comment ref="AH184" authorId="2">
      <text>
        <r>
          <rPr>
            <b/>
            <sz val="9"/>
            <color indexed="81"/>
            <rFont val="Calibri"/>
            <family val="2"/>
          </rPr>
          <t xml:space="preserve">ug/L
</t>
        </r>
      </text>
    </comment>
    <comment ref="AI184" authorId="2">
      <text>
        <r>
          <rPr>
            <b/>
            <sz val="9"/>
            <color indexed="81"/>
            <rFont val="Calibri"/>
            <family val="2"/>
          </rPr>
          <t xml:space="preserve">ug/L
</t>
        </r>
      </text>
    </comment>
    <comment ref="AH186" authorId="2">
      <text>
        <r>
          <rPr>
            <b/>
            <sz val="9"/>
            <color indexed="81"/>
            <rFont val="Calibri"/>
            <family val="2"/>
          </rPr>
          <t xml:space="preserve">ug/L
</t>
        </r>
      </text>
    </comment>
    <comment ref="AH187" authorId="2">
      <text>
        <r>
          <rPr>
            <b/>
            <sz val="9"/>
            <color indexed="81"/>
            <rFont val="Calibri"/>
            <family val="2"/>
          </rPr>
          <t>264 ug/L Bis(2-ethylhexyl)phthlate with diution of 25</t>
        </r>
      </text>
    </comment>
    <comment ref="AH193" authorId="2">
      <text>
        <r>
          <rPr>
            <b/>
            <sz val="9"/>
            <color indexed="81"/>
            <rFont val="Calibri"/>
            <family val="2"/>
          </rPr>
          <t xml:space="preserve">ug/L
</t>
        </r>
      </text>
    </comment>
    <comment ref="AI193" authorId="2">
      <text>
        <r>
          <rPr>
            <b/>
            <sz val="9"/>
            <color indexed="81"/>
            <rFont val="Calibri"/>
            <family val="2"/>
          </rPr>
          <t xml:space="preserve">ug/L
</t>
        </r>
      </text>
    </comment>
    <comment ref="AH194" authorId="3">
      <text>
        <r>
          <rPr>
            <b/>
            <sz val="9"/>
            <color indexed="81"/>
            <rFont val="Tahoma"/>
            <family val="2"/>
          </rPr>
          <t>dseresin:</t>
        </r>
        <r>
          <rPr>
            <sz val="9"/>
            <color indexed="81"/>
            <rFont val="Tahoma"/>
            <family val="2"/>
          </rPr>
          <t xml:space="preserve">
ug/L</t>
        </r>
      </text>
    </comment>
    <comment ref="AI194" authorId="3">
      <text>
        <r>
          <rPr>
            <b/>
            <sz val="9"/>
            <color indexed="81"/>
            <rFont val="Tahoma"/>
            <family val="2"/>
          </rPr>
          <t>dseresin:</t>
        </r>
        <r>
          <rPr>
            <sz val="9"/>
            <color indexed="81"/>
            <rFont val="Tahoma"/>
            <family val="2"/>
          </rPr>
          <t xml:space="preserve">
ug/L</t>
        </r>
      </text>
    </comment>
    <comment ref="AH195" authorId="3">
      <text>
        <r>
          <rPr>
            <b/>
            <sz val="9"/>
            <color indexed="81"/>
            <rFont val="Tahoma"/>
            <family val="2"/>
          </rPr>
          <t>dseresin:</t>
        </r>
        <r>
          <rPr>
            <sz val="9"/>
            <color indexed="81"/>
            <rFont val="Tahoma"/>
            <family val="2"/>
          </rPr>
          <t xml:space="preserve">
ug/L</t>
        </r>
      </text>
    </comment>
    <comment ref="AI195" authorId="3">
      <text>
        <r>
          <rPr>
            <b/>
            <sz val="9"/>
            <color indexed="81"/>
            <rFont val="Tahoma"/>
            <family val="2"/>
          </rPr>
          <t>dseresin:</t>
        </r>
        <r>
          <rPr>
            <sz val="9"/>
            <color indexed="81"/>
            <rFont val="Tahoma"/>
            <family val="2"/>
          </rPr>
          <t xml:space="preserve">
ug/L</t>
        </r>
      </text>
    </comment>
    <comment ref="AH199" authorId="3">
      <text>
        <r>
          <rPr>
            <b/>
            <sz val="9"/>
            <color indexed="81"/>
            <rFont val="Tahoma"/>
            <family val="2"/>
          </rPr>
          <t>dseresin:</t>
        </r>
        <r>
          <rPr>
            <sz val="9"/>
            <color indexed="81"/>
            <rFont val="Tahoma"/>
            <family val="2"/>
          </rPr>
          <t xml:space="preserve">
ug/L</t>
        </r>
      </text>
    </comment>
    <comment ref="AI199" authorId="3">
      <text>
        <r>
          <rPr>
            <b/>
            <sz val="9"/>
            <color indexed="81"/>
            <rFont val="Tahoma"/>
            <family val="2"/>
          </rPr>
          <t>dseresin:</t>
        </r>
        <r>
          <rPr>
            <sz val="9"/>
            <color indexed="81"/>
            <rFont val="Tahoma"/>
            <family val="2"/>
          </rPr>
          <t xml:space="preserve">
ug/L</t>
        </r>
      </text>
    </comment>
    <comment ref="AH200" authorId="3">
      <text>
        <r>
          <rPr>
            <b/>
            <sz val="9"/>
            <color indexed="81"/>
            <rFont val="Tahoma"/>
            <family val="2"/>
          </rPr>
          <t>dseresin:</t>
        </r>
        <r>
          <rPr>
            <sz val="9"/>
            <color indexed="81"/>
            <rFont val="Tahoma"/>
            <family val="2"/>
          </rPr>
          <t xml:space="preserve">
ug/L</t>
        </r>
      </text>
    </comment>
    <comment ref="AI200" authorId="3">
      <text>
        <r>
          <rPr>
            <b/>
            <sz val="9"/>
            <color indexed="81"/>
            <rFont val="Tahoma"/>
            <family val="2"/>
          </rPr>
          <t>dseresin:</t>
        </r>
        <r>
          <rPr>
            <sz val="9"/>
            <color indexed="81"/>
            <rFont val="Tahoma"/>
            <family val="2"/>
          </rPr>
          <t xml:space="preserve">
ug/L</t>
        </r>
      </text>
    </comment>
    <comment ref="AH205" authorId="3">
      <text>
        <r>
          <rPr>
            <b/>
            <sz val="9"/>
            <color indexed="81"/>
            <rFont val="Tahoma"/>
            <family val="2"/>
          </rPr>
          <t>dseresin:</t>
        </r>
        <r>
          <rPr>
            <sz val="9"/>
            <color indexed="81"/>
            <rFont val="Tahoma"/>
            <family val="2"/>
          </rPr>
          <t xml:space="preserve">
ug/L</t>
        </r>
      </text>
    </comment>
    <comment ref="AI205" authorId="3">
      <text>
        <r>
          <rPr>
            <b/>
            <sz val="9"/>
            <color indexed="81"/>
            <rFont val="Tahoma"/>
            <family val="2"/>
          </rPr>
          <t>dseresin:</t>
        </r>
        <r>
          <rPr>
            <sz val="9"/>
            <color indexed="81"/>
            <rFont val="Tahoma"/>
            <family val="2"/>
          </rPr>
          <t xml:space="preserve">
ug/L</t>
        </r>
      </text>
    </comment>
    <comment ref="AI206" authorId="3">
      <text>
        <r>
          <rPr>
            <b/>
            <sz val="9"/>
            <color indexed="81"/>
            <rFont val="Tahoma"/>
            <family val="2"/>
          </rPr>
          <t>dseresin:</t>
        </r>
        <r>
          <rPr>
            <sz val="9"/>
            <color indexed="81"/>
            <rFont val="Tahoma"/>
            <family val="2"/>
          </rPr>
          <t xml:space="preserve">
ug/L</t>
        </r>
      </text>
    </comment>
    <comment ref="AI207" authorId="3">
      <text>
        <r>
          <rPr>
            <b/>
            <sz val="9"/>
            <color indexed="81"/>
            <rFont val="Tahoma"/>
            <family val="2"/>
          </rPr>
          <t>dseresin:</t>
        </r>
        <r>
          <rPr>
            <sz val="9"/>
            <color indexed="81"/>
            <rFont val="Tahoma"/>
            <family val="2"/>
          </rPr>
          <t xml:space="preserve">
ug/L</t>
        </r>
      </text>
    </comment>
    <comment ref="AI208" authorId="3">
      <text>
        <r>
          <rPr>
            <b/>
            <sz val="9"/>
            <color indexed="81"/>
            <rFont val="Tahoma"/>
            <family val="2"/>
          </rPr>
          <t>dseresin:</t>
        </r>
        <r>
          <rPr>
            <sz val="9"/>
            <color indexed="81"/>
            <rFont val="Tahoma"/>
            <family val="2"/>
          </rPr>
          <t xml:space="preserve">
ug/L</t>
        </r>
      </text>
    </comment>
    <comment ref="AI209" authorId="3">
      <text>
        <r>
          <rPr>
            <b/>
            <sz val="9"/>
            <color indexed="81"/>
            <rFont val="Tahoma"/>
            <family val="2"/>
          </rPr>
          <t>dseresin:</t>
        </r>
        <r>
          <rPr>
            <sz val="9"/>
            <color indexed="81"/>
            <rFont val="Tahoma"/>
            <family val="2"/>
          </rPr>
          <t xml:space="preserve">
ug/L</t>
        </r>
      </text>
    </comment>
  </commentList>
</comments>
</file>

<file path=xl/comments5.xml><?xml version="1.0" encoding="utf-8"?>
<comments xmlns="http://schemas.openxmlformats.org/spreadsheetml/2006/main">
  <authors>
    <author>Dep User</author>
    <author>Papp</author>
  </authors>
  <commentList>
    <comment ref="AM196" authorId="0">
      <text>
        <r>
          <rPr>
            <b/>
            <sz val="8"/>
            <color indexed="81"/>
            <rFont val="Tahoma"/>
            <family val="2"/>
          </rPr>
          <t>Dep User:</t>
        </r>
        <r>
          <rPr>
            <sz val="8"/>
            <color indexed="81"/>
            <rFont val="Tahoma"/>
            <family val="2"/>
          </rPr>
          <t xml:space="preserve">
ug/L
</t>
        </r>
      </text>
    </comment>
    <comment ref="AH220" authorId="0">
      <text>
        <r>
          <rPr>
            <b/>
            <sz val="8"/>
            <color indexed="81"/>
            <rFont val="Tahoma"/>
            <family val="2"/>
          </rPr>
          <t xml:space="preserve">ug/L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L220" authorId="0">
      <text>
        <r>
          <rPr>
            <b/>
            <sz val="8"/>
            <color indexed="81"/>
            <rFont val="Tahoma"/>
            <family val="2"/>
          </rPr>
          <t xml:space="preserve">ug/L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H221" authorId="0">
      <text>
        <r>
          <rPr>
            <b/>
            <sz val="8"/>
            <color indexed="81"/>
            <rFont val="Tahoma"/>
            <family val="2"/>
          </rPr>
          <t xml:space="preserve">ug/L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L221" authorId="0">
      <text>
        <r>
          <rPr>
            <b/>
            <sz val="8"/>
            <color indexed="81"/>
            <rFont val="Tahoma"/>
            <family val="2"/>
          </rPr>
          <t xml:space="preserve">ug/L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M238" authorId="0">
      <text>
        <r>
          <rPr>
            <b/>
            <sz val="8"/>
            <color indexed="81"/>
            <rFont val="Tahoma"/>
            <family val="2"/>
          </rPr>
          <t>Dep User:</t>
        </r>
        <r>
          <rPr>
            <sz val="8"/>
            <color indexed="81"/>
            <rFont val="Tahoma"/>
            <family val="2"/>
          </rPr>
          <t xml:space="preserve">
ug/L
</t>
        </r>
      </text>
    </comment>
    <comment ref="AM239" authorId="0">
      <text>
        <r>
          <rPr>
            <b/>
            <sz val="8"/>
            <color indexed="81"/>
            <rFont val="Tahoma"/>
            <family val="2"/>
          </rPr>
          <t>Dep User:</t>
        </r>
        <r>
          <rPr>
            <sz val="8"/>
            <color indexed="81"/>
            <rFont val="Tahoma"/>
            <family val="2"/>
          </rPr>
          <t xml:space="preserve">
ug/L
</t>
        </r>
      </text>
    </comment>
    <comment ref="AH247" authorId="0">
      <text>
        <r>
          <rPr>
            <b/>
            <sz val="8"/>
            <color indexed="81"/>
            <rFont val="Tahoma"/>
            <family val="2"/>
          </rPr>
          <t xml:space="preserve">ug/L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L247" authorId="0">
      <text>
        <r>
          <rPr>
            <b/>
            <sz val="8"/>
            <color indexed="81"/>
            <rFont val="Tahoma"/>
            <family val="2"/>
          </rPr>
          <t xml:space="preserve">ug/L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H248" authorId="0">
      <text>
        <r>
          <rPr>
            <b/>
            <sz val="8"/>
            <color indexed="81"/>
            <rFont val="Tahoma"/>
            <family val="2"/>
          </rPr>
          <t xml:space="preserve">ug/L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L248" authorId="0">
      <text>
        <r>
          <rPr>
            <b/>
            <sz val="8"/>
            <color indexed="81"/>
            <rFont val="Tahoma"/>
            <family val="2"/>
          </rPr>
          <t xml:space="preserve">ug/L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S251" authorId="0">
      <text>
        <r>
          <rPr>
            <sz val="9"/>
            <color indexed="81"/>
            <rFont val="Tahoma"/>
            <family val="2"/>
          </rPr>
          <t>lab unable to do TSS, completed TSS during another storm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I291" authorId="1">
      <text>
        <r>
          <rPr>
            <b/>
            <sz val="9"/>
            <color indexed="81"/>
            <rFont val="Tahoma"/>
            <family val="2"/>
          </rPr>
          <t>Papp:</t>
        </r>
        <r>
          <rPr>
            <sz val="9"/>
            <color indexed="81"/>
            <rFont val="Tahoma"/>
            <family val="2"/>
          </rPr>
          <t xml:space="preserve">
sampled 6/19/14</t>
        </r>
      </text>
    </comment>
  </commentList>
</comments>
</file>

<file path=xl/comments6.xml><?xml version="1.0" encoding="utf-8"?>
<comments xmlns="http://schemas.openxmlformats.org/spreadsheetml/2006/main">
  <authors>
    <author>david papp</author>
    <author>Dep User</author>
  </authors>
  <commentList>
    <comment ref="I669" authorId="0">
      <text>
        <r>
          <rPr>
            <b/>
            <sz val="9"/>
            <color indexed="81"/>
            <rFont val="Calibri"/>
            <family val="2"/>
          </rPr>
          <t>on SMR-cause unknown</t>
        </r>
      </text>
    </comment>
    <comment ref="F704" authorId="1">
      <text>
        <r>
          <rPr>
            <b/>
            <sz val="9"/>
            <color indexed="81"/>
            <rFont val="Tahoma"/>
            <family val="2"/>
          </rPr>
          <t xml:space="preserve">CTDEEP
</t>
        </r>
      </text>
    </comment>
  </commentList>
</comments>
</file>

<file path=xl/comments7.xml><?xml version="1.0" encoding="utf-8"?>
<comments xmlns="http://schemas.openxmlformats.org/spreadsheetml/2006/main">
  <authors>
    <author>Dep User</author>
  </authors>
  <commentList>
    <comment ref="A82" authorId="0">
      <text>
        <r>
          <rPr>
            <b/>
            <sz val="8"/>
            <color indexed="81"/>
            <rFont val="Tahoma"/>
            <family val="2"/>
          </rPr>
          <t xml:space="preserve">DS will respond to them missing copper &amp; signature page &amp; IW?
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8.xml><?xml version="1.0" encoding="utf-8"?>
<comments xmlns="http://schemas.openxmlformats.org/spreadsheetml/2006/main">
  <authors>
    <author>Dep User</author>
  </authors>
  <commentList>
    <comment ref="AE27" authorId="0">
      <text>
        <r>
          <rPr>
            <b/>
            <sz val="8"/>
            <color indexed="81"/>
            <rFont val="Tahoma"/>
            <family val="2"/>
          </rPr>
          <t>resampled 9/28/12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F27" authorId="0">
      <text>
        <r>
          <rPr>
            <b/>
            <sz val="8"/>
            <color indexed="81"/>
            <rFont val="Tahoma"/>
            <family val="2"/>
          </rPr>
          <t>resampled 9/28/12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F28" authorId="0">
      <text>
        <r>
          <rPr>
            <b/>
            <sz val="8"/>
            <color indexed="81"/>
            <rFont val="Tahoma"/>
            <family val="2"/>
          </rPr>
          <t>resampled 9/28/12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F31" authorId="0">
      <text>
        <r>
          <rPr>
            <b/>
            <sz val="8"/>
            <color indexed="81"/>
            <rFont val="Tahoma"/>
            <family val="2"/>
          </rPr>
          <t>resampled 9/28/12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F32" authorId="0">
      <text>
        <r>
          <rPr>
            <b/>
            <sz val="8"/>
            <color indexed="81"/>
            <rFont val="Tahoma"/>
            <family val="2"/>
          </rPr>
          <t>resampled 9/28/12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F33" authorId="0">
      <text>
        <r>
          <rPr>
            <b/>
            <sz val="8"/>
            <color indexed="81"/>
            <rFont val="Tahoma"/>
            <family val="2"/>
          </rPr>
          <t>resampled 9/28/12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<sst xmlns="http://schemas.openxmlformats.org/spreadsheetml/2006/main" count="70976" uniqueCount="6627">
  <si>
    <t>GSI #</t>
  </si>
  <si>
    <t>Y</t>
  </si>
  <si>
    <t>N</t>
  </si>
  <si>
    <t>Permittee
Name</t>
  </si>
  <si>
    <t>Site
Name</t>
  </si>
  <si>
    <t>Town
ID #</t>
  </si>
  <si>
    <t>Receiving
Water</t>
  </si>
  <si>
    <t>Basin
Code</t>
  </si>
  <si>
    <t>Impaired
(Y/N)</t>
  </si>
  <si>
    <t>Sample
Location</t>
  </si>
  <si>
    <t>Sample
Date</t>
  </si>
  <si>
    <t>Previous
Storm Date</t>
  </si>
  <si>
    <t>Days Since
Last Storm</t>
  </si>
  <si>
    <t>Ice Melt
(Y/N)</t>
  </si>
  <si>
    <t>Rain
 pH</t>
  </si>
  <si>
    <t>24 hr
LC50</t>
  </si>
  <si>
    <t>48 hr
LC50</t>
  </si>
  <si>
    <t>Hardness
Level</t>
  </si>
  <si>
    <t>Conductivity
Level</t>
  </si>
  <si>
    <t>% Survival
in 100%</t>
  </si>
  <si>
    <t>SIC #</t>
  </si>
  <si>
    <t>Semiannual Semi-Volatile Hydrocarbons</t>
  </si>
  <si>
    <t>Semiannual Semi-volatile Hydrocarbons</t>
  </si>
  <si>
    <t>Semiannual PCBs</t>
  </si>
  <si>
    <t>BOD (During Deicing)</t>
  </si>
  <si>
    <t>Urea (During Deicing)</t>
  </si>
  <si>
    <t>Propylene Glycol (During Deicing)</t>
  </si>
  <si>
    <t>Ethylene Glycol (During Deicing)</t>
  </si>
  <si>
    <t>Semiannual Chloride</t>
  </si>
  <si>
    <t>Semiannual Cyanide</t>
  </si>
  <si>
    <t>Chloride</t>
  </si>
  <si>
    <t>Cyanide</t>
  </si>
  <si>
    <t>Sector</t>
  </si>
  <si>
    <t>A</t>
  </si>
  <si>
    <t>B</t>
  </si>
  <si>
    <t>G-SA</t>
  </si>
  <si>
    <t>G-MF</t>
  </si>
  <si>
    <t>G-DOT</t>
  </si>
  <si>
    <t>H</t>
  </si>
  <si>
    <t>I</t>
  </si>
  <si>
    <t>Kamatics Corporation</t>
  </si>
  <si>
    <t>011</t>
  </si>
  <si>
    <t>Beaman's Brook</t>
  </si>
  <si>
    <t>000470</t>
  </si>
  <si>
    <t>CT River</t>
  </si>
  <si>
    <t>CB #4-2, Outfall #4</t>
  </si>
  <si>
    <t>CB #5-6, Outfall #5</t>
  </si>
  <si>
    <t>Outfall #8</t>
  </si>
  <si>
    <t>Anocoil Corporation</t>
  </si>
  <si>
    <t>Hockanum River</t>
  </si>
  <si>
    <t>002047</t>
  </si>
  <si>
    <t>n/a</t>
  </si>
  <si>
    <t>Main St/Waterfall/DSN #1</t>
  </si>
  <si>
    <t>Roof / DSN #2</t>
  </si>
  <si>
    <t>Shipping / DSN #3</t>
  </si>
  <si>
    <t>Sargent Manufacturing</t>
  </si>
  <si>
    <t>093</t>
  </si>
  <si>
    <t>New Haven Harbour</t>
  </si>
  <si>
    <t>001521</t>
  </si>
  <si>
    <t>SW-S1</t>
  </si>
  <si>
    <t>SW-S2</t>
  </si>
  <si>
    <t>SW-S3</t>
  </si>
  <si>
    <t>SW-S4</t>
  </si>
  <si>
    <t>Eastport South, LLC</t>
  </si>
  <si>
    <t>Mile Creek Road Site</t>
  </si>
  <si>
    <t>001195</t>
  </si>
  <si>
    <t>Outlet AE83459 discharge</t>
  </si>
  <si>
    <t>Inlet AE83458 non-discharge</t>
  </si>
  <si>
    <t>C</t>
  </si>
  <si>
    <t>Town of Ledyard</t>
  </si>
  <si>
    <t>Public Works Facility &amp; Transfer Station</t>
  </si>
  <si>
    <t>072</t>
  </si>
  <si>
    <t>3003-07</t>
  </si>
  <si>
    <t>000395</t>
  </si>
  <si>
    <t>Outfall 1</t>
  </si>
  <si>
    <t>Outfall 2</t>
  </si>
  <si>
    <t>Howmet Turbine Components Corp.</t>
  </si>
  <si>
    <t>HTCC</t>
  </si>
  <si>
    <t>014</t>
  </si>
  <si>
    <t>Branford River</t>
  </si>
  <si>
    <t>000207</t>
  </si>
  <si>
    <t>Outfall 001</t>
  </si>
  <si>
    <t>Beacon Heights Coalition</t>
  </si>
  <si>
    <t>Beacon Heights Landfill</t>
  </si>
  <si>
    <t>097</t>
  </si>
  <si>
    <t>Hockanum Brook/Naugatuck River Basin</t>
  </si>
  <si>
    <t>002451</t>
  </si>
  <si>
    <t>300 Blackberry Hill Rd Beacon Falls</t>
  </si>
  <si>
    <t>Mannkind Corporation</t>
  </si>
  <si>
    <t>034</t>
  </si>
  <si>
    <t>002164</t>
  </si>
  <si>
    <t>&gt;3</t>
  </si>
  <si>
    <t>F</t>
  </si>
  <si>
    <t>PSEG Power Connecticut LLC</t>
  </si>
  <si>
    <t>New Haven Harbor Station</t>
  </si>
  <si>
    <t>New Haven Harbor</t>
  </si>
  <si>
    <t>DSN 002</t>
  </si>
  <si>
    <t>Portland Transfer Station</t>
  </si>
  <si>
    <t>113</t>
  </si>
  <si>
    <t>Portland Wastewater Treatment</t>
  </si>
  <si>
    <t>002129</t>
  </si>
  <si>
    <t>WPCF-3LWR Main St.</t>
  </si>
  <si>
    <t>Mattabassett District</t>
  </si>
  <si>
    <t>033</t>
  </si>
  <si>
    <t>Round Meadow/Boggy Meadow Swamp to Mattabassett River</t>
  </si>
  <si>
    <t>001700</t>
  </si>
  <si>
    <t>Outfall #1 24" reinforced concrete pipe</t>
  </si>
  <si>
    <t>Outfall #3 12" Corrugated metal pipe</t>
  </si>
  <si>
    <t>Outfall #4 12" reinforced concrete pipe</t>
  </si>
  <si>
    <t>Outfall #9 30" reinforced concrete pipe</t>
  </si>
  <si>
    <t>Times Microwave Systems</t>
  </si>
  <si>
    <t>148</t>
  </si>
  <si>
    <t>Quinnipiac River</t>
  </si>
  <si>
    <t>000332</t>
  </si>
  <si>
    <t>Outfall 002</t>
  </si>
  <si>
    <t>Outfall 003</t>
  </si>
  <si>
    <t>Sympaug Brook</t>
  </si>
  <si>
    <t>009</t>
  </si>
  <si>
    <t>27 Henry St., Bethel</t>
  </si>
  <si>
    <t>DW Transport &amp; Leasing Inc.</t>
  </si>
  <si>
    <t>DW Transport</t>
  </si>
  <si>
    <t>002332</t>
  </si>
  <si>
    <t>DWT-1 (24" Pipe)</t>
  </si>
  <si>
    <t>Aqua Blasting Corp.</t>
  </si>
  <si>
    <t>#1 Catch basin</t>
  </si>
  <si>
    <t>Sun Products Corp.</t>
  </si>
  <si>
    <t>North American R&amp;D Center</t>
  </si>
  <si>
    <t>144</t>
  </si>
  <si>
    <t>Pequonnock River</t>
  </si>
  <si>
    <t>002223</t>
  </si>
  <si>
    <t>SW1</t>
  </si>
  <si>
    <t>City of Hartford</t>
  </si>
  <si>
    <t>Dept. of Public Works</t>
  </si>
  <si>
    <t>064</t>
  </si>
  <si>
    <t>001354</t>
  </si>
  <si>
    <t>Outfall 4</t>
  </si>
  <si>
    <t>Thomas G. Faria Corp.</t>
  </si>
  <si>
    <t>001414</t>
  </si>
  <si>
    <t>E</t>
  </si>
  <si>
    <t>Danny Corp</t>
  </si>
  <si>
    <t>Park River</t>
  </si>
  <si>
    <t>000683</t>
  </si>
  <si>
    <t>OF #1</t>
  </si>
  <si>
    <t>ND</t>
  </si>
  <si>
    <t>OF #2</t>
  </si>
  <si>
    <t>OF #3</t>
  </si>
  <si>
    <t>OF #4</t>
  </si>
  <si>
    <t>OF #5</t>
  </si>
  <si>
    <t>OF #6</t>
  </si>
  <si>
    <t>Town of Oxford</t>
  </si>
  <si>
    <t>108</t>
  </si>
  <si>
    <t>41.42673 N, -73.14443 W (PWG) DSN-O3</t>
  </si>
  <si>
    <t>41.42673 N, -73.14443 W (Xfer Station) DSN-02</t>
  </si>
  <si>
    <t>002082</t>
  </si>
  <si>
    <t>001107</t>
  </si>
  <si>
    <t>Corbin Russwin</t>
  </si>
  <si>
    <t>007</t>
  </si>
  <si>
    <t>Webster Brook, Mattabasset River</t>
  </si>
  <si>
    <t>001492</t>
  </si>
  <si>
    <t>Stormwater DSN 001</t>
  </si>
  <si>
    <t>Stormwater DSN 002</t>
  </si>
  <si>
    <t>Stormwater DSN 004</t>
  </si>
  <si>
    <t>Stormwater DSN 005</t>
  </si>
  <si>
    <t>Dominion Nuclear CT., Inc.</t>
  </si>
  <si>
    <t>Millstone Power Station</t>
  </si>
  <si>
    <t>152</t>
  </si>
  <si>
    <t>LIS-Jordan Cove</t>
  </si>
  <si>
    <t>001600</t>
  </si>
  <si>
    <t>001430</t>
  </si>
  <si>
    <t>DSN 005</t>
  </si>
  <si>
    <t>DSN 007A</t>
  </si>
  <si>
    <t>DSN 009</t>
  </si>
  <si>
    <t>DSN 011</t>
  </si>
  <si>
    <t>DSN 012</t>
  </si>
  <si>
    <t>DSN 012A</t>
  </si>
  <si>
    <t>DSN 015</t>
  </si>
  <si>
    <t>DSN 016</t>
  </si>
  <si>
    <t>DSN 020A</t>
  </si>
  <si>
    <t>DSN 022</t>
  </si>
  <si>
    <t>DSN 024</t>
  </si>
  <si>
    <t>DSN 027</t>
  </si>
  <si>
    <t>DSN 030</t>
  </si>
  <si>
    <t>DSN 032</t>
  </si>
  <si>
    <t>General/GT</t>
  </si>
  <si>
    <t>Lyme Town Garage/Public Safety Complex</t>
  </si>
  <si>
    <t>Lyme Town Garage</t>
  </si>
  <si>
    <t>075</t>
  </si>
  <si>
    <t>Town of Bethany</t>
  </si>
  <si>
    <t>008</t>
  </si>
  <si>
    <t>000021</t>
  </si>
  <si>
    <t>41.44329 N, -72.99353 W (PWG) DSN-01</t>
  </si>
  <si>
    <t>Town of Windsor Locks WPCA</t>
  </si>
  <si>
    <t>165</t>
  </si>
  <si>
    <t>001963</t>
  </si>
  <si>
    <t>Outfall #1</t>
  </si>
  <si>
    <t>062</t>
  </si>
  <si>
    <t>Lake Whitney</t>
  </si>
  <si>
    <t>002217</t>
  </si>
  <si>
    <t>1351 Dixwell Ave. Hamden</t>
  </si>
  <si>
    <t>Plainville Plating Co., Inc.</t>
  </si>
  <si>
    <t>110</t>
  </si>
  <si>
    <t>Farmington River Watershed</t>
  </si>
  <si>
    <t>000201</t>
  </si>
  <si>
    <t>SWD 001</t>
  </si>
  <si>
    <t>Combustion Engineering, Inc.</t>
  </si>
  <si>
    <t>164</t>
  </si>
  <si>
    <t>000694</t>
  </si>
  <si>
    <t>Flemings Transportation Inc</t>
  </si>
  <si>
    <t>Flemings Transportation Inc Catch Basin CB8</t>
  </si>
  <si>
    <t>139</t>
  </si>
  <si>
    <t>CB-8</t>
  </si>
  <si>
    <t>000649</t>
  </si>
  <si>
    <t>Stanley Access Technologies</t>
  </si>
  <si>
    <t>052</t>
  </si>
  <si>
    <t>Pequabuck River</t>
  </si>
  <si>
    <t>000739</t>
  </si>
  <si>
    <t>(RD-1) Roof Drain</t>
  </si>
  <si>
    <t>(SF-1) Front Parking Lot</t>
  </si>
  <si>
    <t>(SF-2) Shipping Parking Lot</t>
  </si>
  <si>
    <t>(CB-1) Catch Basin North 40</t>
  </si>
  <si>
    <t>Kaman Aerospace Corp-Helicopters Division</t>
  </si>
  <si>
    <t>Unnamed Tributary of Mill Brook</t>
  </si>
  <si>
    <t>000467</t>
  </si>
  <si>
    <t>3721, 3728</t>
  </si>
  <si>
    <t>Stormwater Outfall #1</t>
  </si>
  <si>
    <t>Stormwater Outfall #2</t>
  </si>
  <si>
    <t>Stormwater Outfall #6</t>
  </si>
  <si>
    <t>CT Military Dept.</t>
  </si>
  <si>
    <t>AASF</t>
  </si>
  <si>
    <t>000281</t>
  </si>
  <si>
    <t>SP1</t>
  </si>
  <si>
    <t>SP2</t>
  </si>
  <si>
    <t>Town of Thomaston</t>
  </si>
  <si>
    <t>Town of Thomaston WPCA</t>
  </si>
  <si>
    <t>140</t>
  </si>
  <si>
    <t>Naugatuck River</t>
  </si>
  <si>
    <t>001825</t>
  </si>
  <si>
    <t>Discharge #1</t>
  </si>
  <si>
    <t>Discharge #2</t>
  </si>
  <si>
    <t>Town of Thomaston Transfer Station</t>
  </si>
  <si>
    <t>Branch Brook</t>
  </si>
  <si>
    <t>001116</t>
  </si>
  <si>
    <t>DSN 001-Open Channel at Branch Brook</t>
  </si>
  <si>
    <t>Town of Thomaston Public Works Garage</t>
  </si>
  <si>
    <t>001773</t>
  </si>
  <si>
    <t>Storm Drain in Parking Lot</t>
  </si>
  <si>
    <t>Natural Country Farms (d/b/a Country Pure Foods, Inc.)</t>
  </si>
  <si>
    <t>048</t>
  </si>
  <si>
    <t>001024</t>
  </si>
  <si>
    <t>SW001</t>
  </si>
  <si>
    <t>SPX Precision Components LLC</t>
  </si>
  <si>
    <t>094</t>
  </si>
  <si>
    <t>Piper Brook</t>
  </si>
  <si>
    <t>002192</t>
  </si>
  <si>
    <t>DSN 004</t>
  </si>
  <si>
    <t>DSN 001</t>
  </si>
  <si>
    <t>Pape Electroplating Co., Inc.</t>
  </si>
  <si>
    <t>089</t>
  </si>
  <si>
    <t>000230</t>
  </si>
  <si>
    <t>SE corner of facility</t>
  </si>
  <si>
    <t>RA 710 Bridgeport Ave, Inc.</t>
  </si>
  <si>
    <t>RXR Corp, Inc.</t>
  </si>
  <si>
    <t>015</t>
  </si>
  <si>
    <t>002000</t>
  </si>
  <si>
    <t>Outfall 2- SW2</t>
  </si>
  <si>
    <t>Outfall 1- SW1</t>
  </si>
  <si>
    <t>Stormwater Vault (SW3)</t>
  </si>
  <si>
    <t>Outfall 4- SW4</t>
  </si>
  <si>
    <t>155</t>
  </si>
  <si>
    <t>Trout Brook</t>
  </si>
  <si>
    <t>SW-3</t>
  </si>
  <si>
    <t>SW-1</t>
  </si>
  <si>
    <t>SW-2</t>
  </si>
  <si>
    <t>SW-4</t>
  </si>
  <si>
    <t>001910</t>
  </si>
  <si>
    <t>Terryville Auto Parts, Inc.</t>
  </si>
  <si>
    <t>111</t>
  </si>
  <si>
    <t>Pequabuck River Farmington Regional Basin</t>
  </si>
  <si>
    <t>001684</t>
  </si>
  <si>
    <t>D</t>
  </si>
  <si>
    <t>Laurel Park Coalition</t>
  </si>
  <si>
    <t>Laurel Park Landfill</t>
  </si>
  <si>
    <t>Unnamed Brook/Naugatuck River Basin</t>
  </si>
  <si>
    <t>002397</t>
  </si>
  <si>
    <t>Outfall DSN001</t>
  </si>
  <si>
    <t>First Student, Inc. #11743</t>
  </si>
  <si>
    <t>081</t>
  </si>
  <si>
    <t>Kissawaug Swamp</t>
  </si>
  <si>
    <t>001507</t>
  </si>
  <si>
    <t>Torrey S. Crane Co.</t>
  </si>
  <si>
    <t>131</t>
  </si>
  <si>
    <t>000369</t>
  </si>
  <si>
    <t>Torrey S Crane Co</t>
  </si>
  <si>
    <t>Wheelabrator Connecticut Inc.</t>
  </si>
  <si>
    <t>Ridgefield Transfer Station</t>
  </si>
  <si>
    <t>118</t>
  </si>
  <si>
    <t>Adjacent Marsh area</t>
  </si>
  <si>
    <t>001738</t>
  </si>
  <si>
    <t>Scale House</t>
  </si>
  <si>
    <t>Tipping Floor</t>
  </si>
  <si>
    <t>New Haven Harbor (LIS CB Inner-New Haven Harbor)</t>
  </si>
  <si>
    <t>001341</t>
  </si>
  <si>
    <t>Milford Power Company LLC</t>
  </si>
  <si>
    <t>084</t>
  </si>
  <si>
    <t>Housatonic River</t>
  </si>
  <si>
    <t>001726</t>
  </si>
  <si>
    <t>DIS002</t>
  </si>
  <si>
    <t>FuelCell Energy Inc.</t>
  </si>
  <si>
    <t>143</t>
  </si>
  <si>
    <t>Unnamed Wetlands</t>
  </si>
  <si>
    <t>001440</t>
  </si>
  <si>
    <t>DSN-002(B. Pond Outlet)</t>
  </si>
  <si>
    <t>DSN-001(F. Pond Outlet)</t>
  </si>
  <si>
    <t>Timken Aerospace Transmissions</t>
  </si>
  <si>
    <t>077</t>
  </si>
  <si>
    <t>Hockanum River, Upper CT River Basin</t>
  </si>
  <si>
    <t>Stanadyne Corporation</t>
  </si>
  <si>
    <t>Unnamed Tributary of CT River</t>
  </si>
  <si>
    <t>000170</t>
  </si>
  <si>
    <t>Outfall 001A</t>
  </si>
  <si>
    <t>Outfall 001B</t>
  </si>
  <si>
    <t>Bristol-Myers Squibb</t>
  </si>
  <si>
    <t>Muddy River</t>
  </si>
  <si>
    <t>001863</t>
  </si>
  <si>
    <t>Spillway between ponds</t>
  </si>
  <si>
    <t>Gulf Oil Limited Partnership</t>
  </si>
  <si>
    <t>Gulf Oil- New Haven Terminal</t>
  </si>
  <si>
    <t>Outfall #1(G-1)</t>
  </si>
  <si>
    <t>R&amp;H Terminal, LLC</t>
  </si>
  <si>
    <t>R&amp;H Terminal - New Haven Terminal</t>
  </si>
  <si>
    <t>001578</t>
  </si>
  <si>
    <t>Outfall #1(RH-1)</t>
  </si>
  <si>
    <t>Schneider Electric USA, Inc.</t>
  </si>
  <si>
    <t>044</t>
  </si>
  <si>
    <t>002001</t>
  </si>
  <si>
    <t>Catch Basin</t>
  </si>
  <si>
    <t>Town of Watertown</t>
  </si>
  <si>
    <t>Sanitary Landfill</t>
  </si>
  <si>
    <t>153</t>
  </si>
  <si>
    <t>000476</t>
  </si>
  <si>
    <t>Sanitary Landfill Outfall 002</t>
  </si>
  <si>
    <t>Sanitary Landfill Outfall 001</t>
  </si>
  <si>
    <t>Watertown Highway Garage</t>
  </si>
  <si>
    <t>Highway Garage Oufall #2</t>
  </si>
  <si>
    <t>Highway Garage Oufall #1</t>
  </si>
  <si>
    <t>City of Meriden</t>
  </si>
  <si>
    <t>Meriden WPCF</t>
  </si>
  <si>
    <t>080</t>
  </si>
  <si>
    <t>001687</t>
  </si>
  <si>
    <t>Electro-Methods, Inc.</t>
  </si>
  <si>
    <t>132</t>
  </si>
  <si>
    <t>001095</t>
  </si>
  <si>
    <t>330 Rear Swale</t>
  </si>
  <si>
    <t>Rearlot to Swale</t>
  </si>
  <si>
    <t>431 Catchbasin</t>
  </si>
  <si>
    <t>Quality Name Plate</t>
  </si>
  <si>
    <t>054</t>
  </si>
  <si>
    <t>DSN-003</t>
  </si>
  <si>
    <t>000667</t>
  </si>
  <si>
    <t>Roaring Brook</t>
  </si>
  <si>
    <t>DSN-007</t>
  </si>
  <si>
    <t>DSN-010</t>
  </si>
  <si>
    <t>MDC Poquonock WPC</t>
  </si>
  <si>
    <t>Poquonock Water Pollution Control</t>
  </si>
  <si>
    <t>Farmington River</t>
  </si>
  <si>
    <t>001672</t>
  </si>
  <si>
    <t>DSN001</t>
  </si>
  <si>
    <t>First Student, Inc. #26014</t>
  </si>
  <si>
    <t>010</t>
  </si>
  <si>
    <t>Weekeepeemee River</t>
  </si>
  <si>
    <t>002225</t>
  </si>
  <si>
    <t>120 Crane Hollow Rd Bethlehem</t>
  </si>
  <si>
    <t>151</t>
  </si>
  <si>
    <t>002058</t>
  </si>
  <si>
    <t>173A East Aurora St. Waterbury</t>
  </si>
  <si>
    <t>Town of Middlebury</t>
  </si>
  <si>
    <t>000958</t>
  </si>
  <si>
    <t>41.53716N, -73.08793W (PWG) DSN-01</t>
  </si>
  <si>
    <t>First Student, Inc. #11930</t>
  </si>
  <si>
    <t>017</t>
  </si>
  <si>
    <t>000905</t>
  </si>
  <si>
    <t>First Student, Inc. #26023</t>
  </si>
  <si>
    <t>Wetlands</t>
  </si>
  <si>
    <t>001889</t>
  </si>
  <si>
    <t>000270</t>
  </si>
  <si>
    <t xml:space="preserve">Portland Boat Works, Inc. </t>
  </si>
  <si>
    <t>&gt;14</t>
  </si>
  <si>
    <t>Town of Prospect</t>
  </si>
  <si>
    <t>Recycling Center</t>
  </si>
  <si>
    <t>115</t>
  </si>
  <si>
    <t>Ten Mile River</t>
  </si>
  <si>
    <t>000929</t>
  </si>
  <si>
    <t>Transfer Station</t>
  </si>
  <si>
    <t>Public Works Garage</t>
  </si>
  <si>
    <t>000930</t>
  </si>
  <si>
    <t>Town Garage</t>
  </si>
  <si>
    <t>AES Thames, LLC</t>
  </si>
  <si>
    <t>086</t>
  </si>
  <si>
    <t>Thames River</t>
  </si>
  <si>
    <t>000805</t>
  </si>
  <si>
    <t>Storm Drain Behind Security</t>
  </si>
  <si>
    <t>Generation Bldg Roof Drain DSN 002</t>
  </si>
  <si>
    <t>Roof Drain #1 DSN 003 Pipe 1</t>
  </si>
  <si>
    <t>Roof Drain #4 DSN 003 Pipe 4</t>
  </si>
  <si>
    <t>Town of Groton</t>
  </si>
  <si>
    <t>Groton WPCF</t>
  </si>
  <si>
    <t>059</t>
  </si>
  <si>
    <t>Fort Hill Brook</t>
  </si>
  <si>
    <t>001674</t>
  </si>
  <si>
    <t>WPCF Outfall 2</t>
  </si>
  <si>
    <t>WPCF Outfall 6</t>
  </si>
  <si>
    <t>Connecticut Hypodermics</t>
  </si>
  <si>
    <t>000659</t>
  </si>
  <si>
    <t>Coil Plus of Connecticut</t>
  </si>
  <si>
    <t>Naugatuck River Basin, Naugatuck River</t>
  </si>
  <si>
    <t>002197</t>
  </si>
  <si>
    <t xml:space="preserve">Metal Management Aerospace </t>
  </si>
  <si>
    <t>Sims Metal Management Aerospace</t>
  </si>
  <si>
    <t>002206</t>
  </si>
  <si>
    <t>Sample site 1</t>
  </si>
  <si>
    <t>Sample site 7</t>
  </si>
  <si>
    <t>Sample site 5</t>
  </si>
  <si>
    <t>Outfall 013</t>
  </si>
  <si>
    <t>Ansonia Copper &amp; Brass, Inc.</t>
  </si>
  <si>
    <t>Ansonia Facility</t>
  </si>
  <si>
    <t>002</t>
  </si>
  <si>
    <t>000530</t>
  </si>
  <si>
    <t>D001- Outfall to River near bridge</t>
  </si>
  <si>
    <t>Ametek Specialty Metal Products</t>
  </si>
  <si>
    <t>Wharton Brook</t>
  </si>
  <si>
    <t>000906</t>
  </si>
  <si>
    <t>OF-1</t>
  </si>
  <si>
    <t>Bridgeport Fittings, Inc.</t>
  </si>
  <si>
    <t>Town of Stratford MS4 System</t>
  </si>
  <si>
    <t>138</t>
  </si>
  <si>
    <t>001131</t>
  </si>
  <si>
    <t>Canberra Industries, Inc.</t>
  </si>
  <si>
    <t>Bishops Pond</t>
  </si>
  <si>
    <t>Custom Metal Crafters</t>
  </si>
  <si>
    <t>Newington Stormwater System (MS4)</t>
  </si>
  <si>
    <t>000908</t>
  </si>
  <si>
    <t>16" Outfall on North Mountain Rd.</t>
  </si>
  <si>
    <t>Purification Technologies Inc.</t>
  </si>
  <si>
    <t>026</t>
  </si>
  <si>
    <t>001100</t>
  </si>
  <si>
    <t>SW003</t>
  </si>
  <si>
    <t>Central Scrap Metal Co., Inc.</t>
  </si>
  <si>
    <t>Beaver Pond</t>
  </si>
  <si>
    <t>001630</t>
  </si>
  <si>
    <t>Outfall 2 catchbasin 4</t>
  </si>
  <si>
    <t>Crocker's Boatyard, Inc.</t>
  </si>
  <si>
    <t>002437</t>
  </si>
  <si>
    <t>095</t>
  </si>
  <si>
    <t>Shaws Cove (Off Thames River)</t>
  </si>
  <si>
    <t xml:space="preserve">Schick Manufacturing, Inc. </t>
  </si>
  <si>
    <t>000857</t>
  </si>
  <si>
    <t>SW2</t>
  </si>
  <si>
    <t>Town of East Haddam</t>
  </si>
  <si>
    <t>041</t>
  </si>
  <si>
    <t>001388</t>
  </si>
  <si>
    <t>DSN-002</t>
  </si>
  <si>
    <t>Carris Reels</t>
  </si>
  <si>
    <t>049</t>
  </si>
  <si>
    <t>Scantic River/ CT River Basin</t>
  </si>
  <si>
    <t>001553</t>
  </si>
  <si>
    <t>Carris Reels-SW Runoff</t>
  </si>
  <si>
    <t>United Tool &amp; Die Company</t>
  </si>
  <si>
    <t>MS4</t>
  </si>
  <si>
    <t>001686</t>
  </si>
  <si>
    <t>United Tool</t>
  </si>
  <si>
    <t>Town of New Fairfield</t>
  </si>
  <si>
    <t>091</t>
  </si>
  <si>
    <t>001274</t>
  </si>
  <si>
    <t>DSN004</t>
  </si>
  <si>
    <t>DSN007</t>
  </si>
  <si>
    <t>Municipal Transfer Station</t>
  </si>
  <si>
    <t>002298</t>
  </si>
  <si>
    <t>DSN003</t>
  </si>
  <si>
    <t>Middletown Power LLC</t>
  </si>
  <si>
    <t>Middletown Station</t>
  </si>
  <si>
    <t>083</t>
  </si>
  <si>
    <t>001428</t>
  </si>
  <si>
    <t>DSN-018-1A</t>
  </si>
  <si>
    <t>DSN-013-1</t>
  </si>
  <si>
    <t>DSN-006-1</t>
  </si>
  <si>
    <t>DSN-004-1</t>
  </si>
  <si>
    <t>CT Used Parts &amp; Auto Wrecking</t>
  </si>
  <si>
    <t>Naugatuck River, Naugatuck Regional Basin</t>
  </si>
  <si>
    <t>002249</t>
  </si>
  <si>
    <t>Pratt&amp;Whitney</t>
  </si>
  <si>
    <t>Pratt&amp;Whitney Middletown</t>
  </si>
  <si>
    <t>000126</t>
  </si>
  <si>
    <t>SW004</t>
  </si>
  <si>
    <t>SW005</t>
  </si>
  <si>
    <t>SW006</t>
  </si>
  <si>
    <t>SW007</t>
  </si>
  <si>
    <t>SW008</t>
  </si>
  <si>
    <t>SW009</t>
  </si>
  <si>
    <t>Amerbelle Textiles, LLC</t>
  </si>
  <si>
    <t>146</t>
  </si>
  <si>
    <t>001758</t>
  </si>
  <si>
    <t>DSN017</t>
  </si>
  <si>
    <t>DSN020</t>
  </si>
  <si>
    <t>DSN021</t>
  </si>
  <si>
    <t>DSN011</t>
  </si>
  <si>
    <t>DSN005</t>
  </si>
  <si>
    <t>FedEx Ground Package System, Inc.</t>
  </si>
  <si>
    <t>160</t>
  </si>
  <si>
    <t>Unnamed Tributary to Roaring Brook</t>
  </si>
  <si>
    <t>001740</t>
  </si>
  <si>
    <t>DSN-001</t>
  </si>
  <si>
    <t>Bodycote Thermal Processing</t>
  </si>
  <si>
    <t>Willow Brook</t>
  </si>
  <si>
    <t>000479</t>
  </si>
  <si>
    <t>DSN-01 (CB-2)</t>
  </si>
  <si>
    <t>General Cable</t>
  </si>
  <si>
    <t>163</t>
  </si>
  <si>
    <t>Willimantic River</t>
  </si>
  <si>
    <t>000744</t>
  </si>
  <si>
    <t>Town of Vernon</t>
  </si>
  <si>
    <t>Solid Waste Transfer Station</t>
  </si>
  <si>
    <t>001201</t>
  </si>
  <si>
    <t>Catch Basin TS-01</t>
  </si>
  <si>
    <t>Metals Testing Company</t>
  </si>
  <si>
    <t>000316</t>
  </si>
  <si>
    <t>Jennings Oil Company</t>
  </si>
  <si>
    <t>002484</t>
  </si>
  <si>
    <t>Tom's Foreign Auto Parts</t>
  </si>
  <si>
    <t>001126</t>
  </si>
  <si>
    <t>Aldi, Inc. South Windsor Division</t>
  </si>
  <si>
    <t>Scantic River</t>
  </si>
  <si>
    <t>002167</t>
  </si>
  <si>
    <t>O&amp;G Industries, Inc.</t>
  </si>
  <si>
    <t>New Milford Asphalt</t>
  </si>
  <si>
    <t>096</t>
  </si>
  <si>
    <t>Still River</t>
  </si>
  <si>
    <t>000587</t>
  </si>
  <si>
    <t>Emhart Teknologies, LLC</t>
  </si>
  <si>
    <t>Emhart Fastening Teknologies</t>
  </si>
  <si>
    <t>001007</t>
  </si>
  <si>
    <t>Cytec Industries, Inc.</t>
  </si>
  <si>
    <t>002322</t>
  </si>
  <si>
    <t>Turbine Controls, Inc.</t>
  </si>
  <si>
    <t>CB-A</t>
  </si>
  <si>
    <t>002154</t>
  </si>
  <si>
    <t>CB-B</t>
  </si>
  <si>
    <t>Regional Refuse District 1</t>
  </si>
  <si>
    <t>RRDD #1 Barkhamsted</t>
  </si>
  <si>
    <t>005</t>
  </si>
  <si>
    <t>Unnamed Brook Farmington River</t>
  </si>
  <si>
    <t>000205</t>
  </si>
  <si>
    <t>SW 3</t>
  </si>
  <si>
    <t>SW 1</t>
  </si>
  <si>
    <t>SW 2</t>
  </si>
  <si>
    <t>001136</t>
  </si>
  <si>
    <t>002063</t>
  </si>
  <si>
    <t>001216</t>
  </si>
  <si>
    <t xml:space="preserve">Outfall 001 </t>
  </si>
  <si>
    <t>Westbrook Marine Center</t>
  </si>
  <si>
    <t>154</t>
  </si>
  <si>
    <t>Patchogue River</t>
  </si>
  <si>
    <t>002470</t>
  </si>
  <si>
    <t>Oufall 001</t>
  </si>
  <si>
    <t>Hull Harbor, Inc. DBA Harbor One Marina</t>
  </si>
  <si>
    <t>106</t>
  </si>
  <si>
    <t>002312</t>
  </si>
  <si>
    <t>Indian Harbor Yacht Club</t>
  </si>
  <si>
    <t>057</t>
  </si>
  <si>
    <t>002367</t>
  </si>
  <si>
    <t>Outfall #2</t>
  </si>
  <si>
    <t>Riverside Yacht Club</t>
  </si>
  <si>
    <t>001891</t>
  </si>
  <si>
    <t>The Belle Haven Club</t>
  </si>
  <si>
    <t>002452</t>
  </si>
  <si>
    <t>BHC #1</t>
  </si>
  <si>
    <t>Motiva Enterprises LLC</t>
  </si>
  <si>
    <t>Motiva Enterprises LLC Bridgeport Terminal</t>
  </si>
  <si>
    <t>Motiva Enterprises LLC New Haven Terminal</t>
  </si>
  <si>
    <t>Johnsons Creek (LIS WB Inner-Bridgeport Harbor)</t>
  </si>
  <si>
    <t>001229</t>
  </si>
  <si>
    <t>Reynold Garage &amp; Marine</t>
  </si>
  <si>
    <t>Hamburg Cove on Eight Mile River</t>
  </si>
  <si>
    <t>001720</t>
  </si>
  <si>
    <t>Light Metals Coloring</t>
  </si>
  <si>
    <t>Catch basin to Quinnipiac River</t>
  </si>
  <si>
    <t>000384</t>
  </si>
  <si>
    <t>Outfall #3</t>
  </si>
  <si>
    <t>New Milford Quarry</t>
  </si>
  <si>
    <t>105</t>
  </si>
  <si>
    <t>001933</t>
  </si>
  <si>
    <t xml:space="preserve">O&amp;G Industries, Inc. </t>
  </si>
  <si>
    <t>Danbury Concrete</t>
  </si>
  <si>
    <t>000585</t>
  </si>
  <si>
    <t>DSN002</t>
  </si>
  <si>
    <t>Beacon Falls Fabrication</t>
  </si>
  <si>
    <t>006</t>
  </si>
  <si>
    <t>001679</t>
  </si>
  <si>
    <t>Sega Ready Mix</t>
  </si>
  <si>
    <t>Sega Ready Mix, Waterbury</t>
  </si>
  <si>
    <t>Naugatuck River Basin</t>
  </si>
  <si>
    <t>001666</t>
  </si>
  <si>
    <t>Prospect Quarry</t>
  </si>
  <si>
    <t>Naugatuck Basin</t>
  </si>
  <si>
    <t>001081</t>
  </si>
  <si>
    <t>South Main Repair</t>
  </si>
  <si>
    <t>001573</t>
  </si>
  <si>
    <t>DSN009</t>
  </si>
  <si>
    <t>Town Hall Annex Complex</t>
  </si>
  <si>
    <t>Eccleston Brook</t>
  </si>
  <si>
    <t>000608</t>
  </si>
  <si>
    <t>Annex Outfall 1</t>
  </si>
  <si>
    <t>Annex Outfall 2</t>
  </si>
  <si>
    <t>Annex Outfall 3</t>
  </si>
  <si>
    <t>Annex Outfall 4</t>
  </si>
  <si>
    <t>Wetlands associated with Eccleston Brook</t>
  </si>
  <si>
    <t>000609</t>
  </si>
  <si>
    <t>Flanders Outfall 1</t>
  </si>
  <si>
    <t>Flanders Outfall 2</t>
  </si>
  <si>
    <t>Flanders Outfall 3</t>
  </si>
  <si>
    <t>Flanders Outfall 4</t>
  </si>
  <si>
    <t>wetlands tributary to fort hill brook</t>
  </si>
  <si>
    <t>Wetlands associated with Fort Hill Brook</t>
  </si>
  <si>
    <t>Welles Road Landfill</t>
  </si>
  <si>
    <t>Red Brook</t>
  </si>
  <si>
    <t>000610</t>
  </si>
  <si>
    <t>Welles Outfall 2</t>
  </si>
  <si>
    <t>Sega Ready Mix, New Milford</t>
  </si>
  <si>
    <t>Still River Basin</t>
  </si>
  <si>
    <t>001667</t>
  </si>
  <si>
    <t>Purification Technologies Inc. Chester</t>
  </si>
  <si>
    <t>Goodrich Pump &amp; Engine Control Syst.</t>
  </si>
  <si>
    <t>000391</t>
  </si>
  <si>
    <t>36" Outfall</t>
  </si>
  <si>
    <t>Sumitomo Bakelite North America, Inc.</t>
  </si>
  <si>
    <t>Lydall Brook, Hockanum River Regional Basin</t>
  </si>
  <si>
    <t>Ross Recycling, Inc.</t>
  </si>
  <si>
    <t>116</t>
  </si>
  <si>
    <t>002092</t>
  </si>
  <si>
    <t>ROS-1</t>
  </si>
  <si>
    <t xml:space="preserve">Town of Orange </t>
  </si>
  <si>
    <t>107</t>
  </si>
  <si>
    <t>CB-1</t>
  </si>
  <si>
    <t>002404</t>
  </si>
  <si>
    <t>CB-2</t>
  </si>
  <si>
    <t>Orange Highway Garage</t>
  </si>
  <si>
    <t>Indian River</t>
  </si>
  <si>
    <t>002405</t>
  </si>
  <si>
    <t>CB-4</t>
  </si>
  <si>
    <t>Parker St. Auto Parts</t>
  </si>
  <si>
    <t>Hockanum River &amp; Tankerhoosen River Drainage Basin</t>
  </si>
  <si>
    <t>000984</t>
  </si>
  <si>
    <t>S. Camerota &amp; Sons, Inc.</t>
  </si>
  <si>
    <t>Camerota Truck Parts</t>
  </si>
  <si>
    <t>Freshwater Brook/CT Main Stem Regional Basin</t>
  </si>
  <si>
    <t>001062</t>
  </si>
  <si>
    <t>Ross Auto Parts</t>
  </si>
  <si>
    <t>002284</t>
  </si>
  <si>
    <t>Buckeye Terminals, LLC</t>
  </si>
  <si>
    <t>Buckeye Terminals, LLC - Wethersfield Terminal</t>
  </si>
  <si>
    <t>159</t>
  </si>
  <si>
    <t>002089</t>
  </si>
  <si>
    <t>Lagoon Outfall</t>
  </si>
  <si>
    <t>Tank Outfall</t>
  </si>
  <si>
    <t>Bridgeport Stone Yard</t>
  </si>
  <si>
    <t>LIS</t>
  </si>
  <si>
    <t>001560</t>
  </si>
  <si>
    <t>EDAC Technologies Corporation</t>
  </si>
  <si>
    <t>EDAC ACER</t>
  </si>
  <si>
    <t>002245</t>
  </si>
  <si>
    <t>D-001</t>
  </si>
  <si>
    <t>EDAC Gros-Ite</t>
  </si>
  <si>
    <t>Scott Swamp Brook</t>
  </si>
  <si>
    <t>002135</t>
  </si>
  <si>
    <t>EDAC</t>
  </si>
  <si>
    <t>Town of Farmington MS4 System</t>
  </si>
  <si>
    <t>000611</t>
  </si>
  <si>
    <t>D-002</t>
  </si>
  <si>
    <t>Urstadt Biddle Properties, Inc.</t>
  </si>
  <si>
    <t>Stratford Boardwalk Marina</t>
  </si>
  <si>
    <t>001901</t>
  </si>
  <si>
    <t>Bic Consumer Product Mfg. Co., Inc.</t>
  </si>
  <si>
    <t>Housatonic River via municipal sewers</t>
  </si>
  <si>
    <t>000390</t>
  </si>
  <si>
    <t>Sims Metal Management</t>
  </si>
  <si>
    <t>101</t>
  </si>
  <si>
    <t>001689</t>
  </si>
  <si>
    <t>Little River</t>
  </si>
  <si>
    <t>Outfall 3</t>
  </si>
  <si>
    <t>Summit Corporation of America</t>
  </si>
  <si>
    <t>000406</t>
  </si>
  <si>
    <t>DSN 003</t>
  </si>
  <si>
    <t>CB 6</t>
  </si>
  <si>
    <t>CB 8</t>
  </si>
  <si>
    <t>Reliable Plating &amp; Polishing Co.</t>
  </si>
  <si>
    <t>City of Bridgeport MS4 System</t>
  </si>
  <si>
    <t>000881</t>
  </si>
  <si>
    <t>Outfall 005</t>
  </si>
  <si>
    <t>Global Steering Systems, LLC</t>
  </si>
  <si>
    <t>Sylvan Lake via Turkey Brook</t>
  </si>
  <si>
    <t>002203</t>
  </si>
  <si>
    <t>SWD-001</t>
  </si>
  <si>
    <t>Kongsberg Automotive</t>
  </si>
  <si>
    <t>Kongsberg- Suffield Facility</t>
  </si>
  <si>
    <t>001836</t>
  </si>
  <si>
    <t>Petrillo's Used Auto Parts</t>
  </si>
  <si>
    <t>Quinnipiac River, Quinnipiac Regional Basin</t>
  </si>
  <si>
    <t>002368</t>
  </si>
  <si>
    <t>Tilcon</t>
  </si>
  <si>
    <t>000580</t>
  </si>
  <si>
    <t>Wauregan DSN 001</t>
  </si>
  <si>
    <t>141</t>
  </si>
  <si>
    <t>French River</t>
  </si>
  <si>
    <t>000582</t>
  </si>
  <si>
    <t>Wilsonville DSN 001</t>
  </si>
  <si>
    <t>Wilsonville DSN002</t>
  </si>
  <si>
    <t>Wilsonville DSN003</t>
  </si>
  <si>
    <t>Tilcon Wauregan</t>
  </si>
  <si>
    <t>Tilcon Wilsonville</t>
  </si>
  <si>
    <t>Tilcon Newington</t>
  </si>
  <si>
    <t>Piper Brook River</t>
  </si>
  <si>
    <t>001437</t>
  </si>
  <si>
    <t>Newington DSN004</t>
  </si>
  <si>
    <t>Newington DSN005</t>
  </si>
  <si>
    <t>Newington DSN 003</t>
  </si>
  <si>
    <t>Tilcon Hartford Concrete</t>
  </si>
  <si>
    <t>Unnamed tributary of CT River</t>
  </si>
  <si>
    <t>002038</t>
  </si>
  <si>
    <t>Tilcon Manchester</t>
  </si>
  <si>
    <t>001436</t>
  </si>
  <si>
    <t>Manchester DSN 004A</t>
  </si>
  <si>
    <t>Manchester DSN 004B</t>
  </si>
  <si>
    <t>Manchester DSN005</t>
  </si>
  <si>
    <t>Tilcon Groton</t>
  </si>
  <si>
    <t>Groton DSN 001</t>
  </si>
  <si>
    <t>Tilcon Norwich</t>
  </si>
  <si>
    <t>104</t>
  </si>
  <si>
    <t>001264</t>
  </si>
  <si>
    <t>Norwich DSN001</t>
  </si>
  <si>
    <t>Tilcon Wallingford</t>
  </si>
  <si>
    <t>Spring Brook</t>
  </si>
  <si>
    <t>000583</t>
  </si>
  <si>
    <t>Wallingford DSN 001A</t>
  </si>
  <si>
    <t>Wallingford DSN 003</t>
  </si>
  <si>
    <t>Wallingford DSN 005B</t>
  </si>
  <si>
    <t>Wallingford DSN 005</t>
  </si>
  <si>
    <t>Tilcon New Britain South</t>
  </si>
  <si>
    <t>000579</t>
  </si>
  <si>
    <t>New Britain South DSN001</t>
  </si>
  <si>
    <t>New Britain South DSN002</t>
  </si>
  <si>
    <t>New Britain South DSN003</t>
  </si>
  <si>
    <t>New Britain South DSN 004</t>
  </si>
  <si>
    <t>New Britain South DSN 009</t>
  </si>
  <si>
    <t>Tilcon North Haven</t>
  </si>
  <si>
    <t>000578</t>
  </si>
  <si>
    <t>North Haven DSN 001</t>
  </si>
  <si>
    <t>Tilcon North Branford</t>
  </si>
  <si>
    <t>099</t>
  </si>
  <si>
    <t>Burr Brook</t>
  </si>
  <si>
    <t>000577</t>
  </si>
  <si>
    <t>North Branford DSN 001</t>
  </si>
  <si>
    <t>North Branford DSN 003</t>
  </si>
  <si>
    <t>North Branford DSN 011</t>
  </si>
  <si>
    <t>Tilcon Farmington</t>
  </si>
  <si>
    <t>Dead Wood Swamp</t>
  </si>
  <si>
    <t>000576</t>
  </si>
  <si>
    <t>Farmington DSN 001</t>
  </si>
  <si>
    <t>Farmington DSN 002</t>
  </si>
  <si>
    <t>Farmington DSN 003</t>
  </si>
  <si>
    <t>Tilcon Pine Orchard Dock</t>
  </si>
  <si>
    <t>Coastal Tidal Waters LIS</t>
  </si>
  <si>
    <t>000575</t>
  </si>
  <si>
    <t>Pine Orchard Dock DSN 002</t>
  </si>
  <si>
    <t>Tilcon Waterbury</t>
  </si>
  <si>
    <t>000574</t>
  </si>
  <si>
    <t>Waterbury DSN 001</t>
  </si>
  <si>
    <t>Tilcon New Britain North</t>
  </si>
  <si>
    <t>Quinnipiac River via storm drain</t>
  </si>
  <si>
    <t>000573</t>
  </si>
  <si>
    <t>New Britain North DSN 001</t>
  </si>
  <si>
    <t>New Britain North DSN 002</t>
  </si>
  <si>
    <t>New Britain North DSN 003</t>
  </si>
  <si>
    <t>Tilcon Old Saybrook</t>
  </si>
  <si>
    <t>Rock Creek</t>
  </si>
  <si>
    <t>000572</t>
  </si>
  <si>
    <t>Old Saybrook DSN 001</t>
  </si>
  <si>
    <t>Tilcon Hamden</t>
  </si>
  <si>
    <t>Wintergreen Brook via town storm drain</t>
  </si>
  <si>
    <t>000569</t>
  </si>
  <si>
    <t>Hamden DSN 001</t>
  </si>
  <si>
    <t>Tilcon Danbury Asphalt</t>
  </si>
  <si>
    <t>Danbury Asphalt DSN 001</t>
  </si>
  <si>
    <t>000567</t>
  </si>
  <si>
    <t>Tilcon Danbury Stone Terminal</t>
  </si>
  <si>
    <t>000568</t>
  </si>
  <si>
    <t>Danbury Stone DSN 001</t>
  </si>
  <si>
    <t>Danbury Stone DSN 003</t>
  </si>
  <si>
    <t>Danbury Stone DSN 002</t>
  </si>
  <si>
    <t>Tilcon Bridgeport</t>
  </si>
  <si>
    <t>LIS via Cedar Creek</t>
  </si>
  <si>
    <t>000566</t>
  </si>
  <si>
    <t>Bridgeport DSN 0001</t>
  </si>
  <si>
    <t>Washington Concrete Products</t>
  </si>
  <si>
    <t>000441</t>
  </si>
  <si>
    <t xml:space="preserve">Outfall #4 </t>
  </si>
  <si>
    <t>CT DOT</t>
  </si>
  <si>
    <t>CT DOT- Brookfield</t>
  </si>
  <si>
    <t>018</t>
  </si>
  <si>
    <t>Limekiln Brook/Still River</t>
  </si>
  <si>
    <t>000008</t>
  </si>
  <si>
    <t>7538, 4789</t>
  </si>
  <si>
    <t>DSN001 (BB15630)</t>
  </si>
  <si>
    <t>CT DOT- New Milford</t>
  </si>
  <si>
    <t>000045</t>
  </si>
  <si>
    <t>DSN001(BB15626)</t>
  </si>
  <si>
    <t>CT DOT- New Haven</t>
  </si>
  <si>
    <t>West River</t>
  </si>
  <si>
    <t>000042</t>
  </si>
  <si>
    <t>DSN001(BB15627)</t>
  </si>
  <si>
    <t>060</t>
  </si>
  <si>
    <t>002425</t>
  </si>
  <si>
    <t>Brook &amp; Whittle, Ltd.</t>
  </si>
  <si>
    <t>002182</t>
  </si>
  <si>
    <t>EDAC AERO</t>
  </si>
  <si>
    <t>Webster Brook</t>
  </si>
  <si>
    <t>002256</t>
  </si>
  <si>
    <t>Quikrete-Connecticut</t>
  </si>
  <si>
    <t>Quikrete 109-077</t>
  </si>
  <si>
    <t>109</t>
  </si>
  <si>
    <t>000418</t>
  </si>
  <si>
    <t>Stormwater 1</t>
  </si>
  <si>
    <t>The Mohegan Tribal Gaming Authority</t>
  </si>
  <si>
    <t>Fleet Operations Center</t>
  </si>
  <si>
    <t>001906</t>
  </si>
  <si>
    <t>390 W. Thames St.</t>
  </si>
  <si>
    <t>420 W. Thames St.</t>
  </si>
  <si>
    <t>Legere Group, Inc.</t>
  </si>
  <si>
    <t>004</t>
  </si>
  <si>
    <t>001603</t>
  </si>
  <si>
    <t>Newberry Brook</t>
  </si>
  <si>
    <t>001993</t>
  </si>
  <si>
    <t>DSN-01</t>
  </si>
  <si>
    <t>Sporting Goods Properties, Inc.</t>
  </si>
  <si>
    <t>Lake Success Business Park</t>
  </si>
  <si>
    <t>Roadway Brook to Yellow Mill Channel</t>
  </si>
  <si>
    <t>001857</t>
  </si>
  <si>
    <t>Sedimentation Basin to Tracer Brook</t>
  </si>
  <si>
    <t>Unicorr Packaging Group</t>
  </si>
  <si>
    <t>Connecticut Container Corporation</t>
  </si>
  <si>
    <t>Town of North Haven MS4 System</t>
  </si>
  <si>
    <t>001842</t>
  </si>
  <si>
    <t>Inland Fuel Terminals, Inc.</t>
  </si>
  <si>
    <t>Cedar Creek, Black Rock Harbor</t>
  </si>
  <si>
    <t>001060</t>
  </si>
  <si>
    <t>I-1</t>
  </si>
  <si>
    <t>Santa Fuel</t>
  </si>
  <si>
    <t>001400</t>
  </si>
  <si>
    <t>S-1</t>
  </si>
  <si>
    <t>The Flame Treating and Eng. Co.</t>
  </si>
  <si>
    <t>Park River, South Branch</t>
  </si>
  <si>
    <t>000414</t>
  </si>
  <si>
    <t>TTM Printed Circuit Group, Inc.</t>
  </si>
  <si>
    <t>134</t>
  </si>
  <si>
    <t>Furnace Brook</t>
  </si>
  <si>
    <t>UR-1</t>
  </si>
  <si>
    <t>UR-2</t>
  </si>
  <si>
    <t>UR-4</t>
  </si>
  <si>
    <t>UR-5</t>
  </si>
  <si>
    <t>UR-7</t>
  </si>
  <si>
    <t>001958</t>
  </si>
  <si>
    <t>OMR-1</t>
  </si>
  <si>
    <t>OMR-2</t>
  </si>
  <si>
    <t>OMR-3</t>
  </si>
  <si>
    <t>OMR-5</t>
  </si>
  <si>
    <t>Bridgeport Harbor Station</t>
  </si>
  <si>
    <t>Bridgeport Harbor</t>
  </si>
  <si>
    <t>001601</t>
  </si>
  <si>
    <t>DSN S04</t>
  </si>
  <si>
    <t>DSN S05</t>
  </si>
  <si>
    <t>Gardner Denver Nash, LLC</t>
  </si>
  <si>
    <t>Engineered Products Division</t>
  </si>
  <si>
    <t>Unnamed tributary to Pequonock River</t>
  </si>
  <si>
    <t>001872</t>
  </si>
  <si>
    <t>Supreme Industries</t>
  </si>
  <si>
    <t>B+R corp VRF</t>
  </si>
  <si>
    <t>066</t>
  </si>
  <si>
    <t>001631</t>
  </si>
  <si>
    <t>Outfall B</t>
  </si>
  <si>
    <t>Windham Materials</t>
  </si>
  <si>
    <t>Shetucket River</t>
  </si>
  <si>
    <t>001739</t>
  </si>
  <si>
    <t>DSN-005</t>
  </si>
  <si>
    <t>Triram Connecticut, LLC</t>
  </si>
  <si>
    <t>Triram- Portland Facility</t>
  </si>
  <si>
    <t>Limelin Brook via Danbury Treatment Plant</t>
  </si>
  <si>
    <t>000147</t>
  </si>
  <si>
    <t>Outfall #1 (T-001)</t>
  </si>
  <si>
    <t>Outfall #2 (T-002)</t>
  </si>
  <si>
    <t>Helicopter Support, Inc.</t>
  </si>
  <si>
    <t>Trumbull MS4</t>
  </si>
  <si>
    <t>001744</t>
  </si>
  <si>
    <t>Logistec USA</t>
  </si>
  <si>
    <t>Logistec New London</t>
  </si>
  <si>
    <t>001421</t>
  </si>
  <si>
    <t>DSN010</t>
  </si>
  <si>
    <t>DSN024</t>
  </si>
  <si>
    <t>Reidville Used Auto Parts</t>
  </si>
  <si>
    <t>Beaverpond Brook, Naugatuck Regional Basin</t>
  </si>
  <si>
    <t>001794</t>
  </si>
  <si>
    <t>Citgo Petroleum Corporation</t>
  </si>
  <si>
    <t>Citgo - Rocky Hill Terminal</t>
  </si>
  <si>
    <t>119</t>
  </si>
  <si>
    <t>000150</t>
  </si>
  <si>
    <t>Outfall #1 (CIT-1)</t>
  </si>
  <si>
    <t>Bedoukian Research Inc</t>
  </si>
  <si>
    <t>Still River Watershed</t>
  </si>
  <si>
    <t>000351</t>
  </si>
  <si>
    <t>003- Wetlands</t>
  </si>
  <si>
    <t>002- Parking Lot</t>
  </si>
  <si>
    <t>1 Great Pasture Road</t>
  </si>
  <si>
    <t>001784</t>
  </si>
  <si>
    <t>1 &amp; 3 GPR Drain</t>
  </si>
  <si>
    <t>Hamilton Sundstrand</t>
  </si>
  <si>
    <t>Rainbow Brook/Farmington River Basin</t>
  </si>
  <si>
    <t>000388</t>
  </si>
  <si>
    <t>Outfall 004</t>
  </si>
  <si>
    <t>Outfall 006</t>
  </si>
  <si>
    <t>Outfall 009</t>
  </si>
  <si>
    <t>Somers Thins Strip, Olin Corporation</t>
  </si>
  <si>
    <t>3351, 3316, 3356</t>
  </si>
  <si>
    <t>Manhole 43 David St. Waterbury</t>
  </si>
  <si>
    <t>John's Refuse Removal, Inc.</t>
  </si>
  <si>
    <t>Muddy River Watershed</t>
  </si>
  <si>
    <t>002267</t>
  </si>
  <si>
    <t>001977</t>
  </si>
  <si>
    <t>Storm Drainage System Outfall</t>
  </si>
  <si>
    <t>3M Purification Inc.</t>
  </si>
  <si>
    <t>001961</t>
  </si>
  <si>
    <t>DSN-03</t>
  </si>
  <si>
    <t>DSN-05</t>
  </si>
  <si>
    <t>Connecticut Scrap, LLC</t>
  </si>
  <si>
    <t>001111</t>
  </si>
  <si>
    <t>CTS-1</t>
  </si>
  <si>
    <t>Liberty Recycling, LLC</t>
  </si>
  <si>
    <t>002478</t>
  </si>
  <si>
    <t>Northeast Corner</t>
  </si>
  <si>
    <t>MAHLE, Inc.</t>
  </si>
  <si>
    <t>Pumpkin Ground Brook, Housatonic Major Basin</t>
  </si>
  <si>
    <t>001163</t>
  </si>
  <si>
    <t>Builders Concrete East</t>
  </si>
  <si>
    <t>Natchaug River</t>
  </si>
  <si>
    <t>001646</t>
  </si>
  <si>
    <t>4603-00</t>
  </si>
  <si>
    <t>6025-09</t>
  </si>
  <si>
    <t>Farmill River</t>
  </si>
  <si>
    <t>Town of Portland</t>
  </si>
  <si>
    <t>nd</t>
  </si>
  <si>
    <t>First Student, Inc.</t>
  </si>
  <si>
    <t>#26000</t>
  </si>
  <si>
    <t>002215</t>
  </si>
  <si>
    <t>3004-00</t>
  </si>
  <si>
    <t>North Branch River</t>
  </si>
  <si>
    <t>4404-00</t>
  </si>
  <si>
    <t>Oxoboxo River Basin</t>
  </si>
  <si>
    <t>E.coli</t>
  </si>
  <si>
    <t>&gt;24200</t>
  </si>
  <si>
    <t>Rear lot to Swale</t>
  </si>
  <si>
    <t>001104</t>
  </si>
  <si>
    <t>First Student Inc. #11086</t>
  </si>
  <si>
    <t>000964</t>
  </si>
  <si>
    <t>Moodus River</t>
  </si>
  <si>
    <t>Bigerow Brook</t>
  </si>
  <si>
    <t>4400-01_02</t>
  </si>
  <si>
    <t>Oxford PWG</t>
  </si>
  <si>
    <t>Eight Mile brook</t>
  </si>
  <si>
    <t xml:space="preserve"> 6023-09-1</t>
  </si>
  <si>
    <t>Ball Pond Brook</t>
  </si>
  <si>
    <t>Middlebury PWG</t>
  </si>
  <si>
    <t>Wetlands waterbody</t>
  </si>
  <si>
    <t>6916-10</t>
  </si>
  <si>
    <t>Lyme Town Garage Catch Basin SW corner</t>
  </si>
  <si>
    <t>5000-46</t>
  </si>
  <si>
    <t>4401-10-1</t>
  </si>
  <si>
    <t>MS4 to Quinnipiac River</t>
  </si>
  <si>
    <t>4403-00</t>
  </si>
  <si>
    <t>5109-01</t>
  </si>
  <si>
    <t>Wetlands to Little Brook</t>
  </si>
  <si>
    <t>MS4 -CT River Major Basin</t>
  </si>
  <si>
    <t>5200-00 02</t>
  </si>
  <si>
    <t>Town of Newington MS4 System</t>
  </si>
  <si>
    <t>5200-00-06</t>
  </si>
  <si>
    <t>Quinnipiac River Watershed</t>
  </si>
  <si>
    <t>2000-47</t>
  </si>
  <si>
    <t>000730</t>
  </si>
  <si>
    <t>First Student-Middlebury #11743</t>
  </si>
  <si>
    <t>002057</t>
  </si>
  <si>
    <t>001571</t>
  </si>
  <si>
    <t>Bethany PWG</t>
  </si>
  <si>
    <t>5303-00</t>
  </si>
  <si>
    <t>001117</t>
  </si>
  <si>
    <t>First Student- Hamden #20629</t>
  </si>
  <si>
    <t>Total Coliform</t>
  </si>
  <si>
    <t>PCB's ug/L</t>
  </si>
  <si>
    <t>Ammonia as Nitrogen</t>
  </si>
  <si>
    <t>Fecal Coliform</t>
  </si>
  <si>
    <t>Enterococcus</t>
  </si>
  <si>
    <t>Padanaram Brook/ Still River Regional Basin</t>
  </si>
  <si>
    <t>6603-00</t>
  </si>
  <si>
    <t>D001</t>
  </si>
  <si>
    <t>First Student- Branford #12417</t>
  </si>
  <si>
    <t>First Student- Manchester #11727</t>
  </si>
  <si>
    <t>SW Shoreline</t>
  </si>
  <si>
    <t>Town Drainage System</t>
  </si>
  <si>
    <t>3400-00</t>
  </si>
  <si>
    <t>fecal coliform</t>
  </si>
  <si>
    <t>CT4000-00 02</t>
  </si>
  <si>
    <t>LIS EB CT River</t>
  </si>
  <si>
    <t>CT-E1_024-SB</t>
  </si>
  <si>
    <t>&gt;12000</t>
  </si>
  <si>
    <t>Greenwich Harbor</t>
  </si>
  <si>
    <t>CT-W1 021-SB</t>
  </si>
  <si>
    <t>tntc</t>
  </si>
  <si>
    <t xml:space="preserve">Cos Cob Harbor </t>
  </si>
  <si>
    <t>CT-W2_022</t>
  </si>
  <si>
    <t>Byram Harbor</t>
  </si>
  <si>
    <t>CT-W2_024</t>
  </si>
  <si>
    <t>001957</t>
  </si>
  <si>
    <t>James Brook  Quanduck Brook</t>
  </si>
  <si>
    <t>Oxoboxo Brook</t>
  </si>
  <si>
    <t>DSN002(BB15628)</t>
  </si>
  <si>
    <t>Colt Defense LLC + Colt's Manufacturing Company LLC</t>
  </si>
  <si>
    <t>SW-001</t>
  </si>
  <si>
    <t>SW-002</t>
  </si>
  <si>
    <t>SW-003</t>
  </si>
  <si>
    <t>DA-002</t>
  </si>
  <si>
    <t>DA-002A</t>
  </si>
  <si>
    <t>Unnamed swale to CT River</t>
  </si>
  <si>
    <t>Borough of Naugatuck</t>
  </si>
  <si>
    <t>WWTP</t>
  </si>
  <si>
    <t>CT0100641</t>
  </si>
  <si>
    <t>upstream of outfall</t>
  </si>
  <si>
    <t>Reflexite Corp</t>
  </si>
  <si>
    <t>New Britain</t>
  </si>
  <si>
    <t>000702</t>
  </si>
  <si>
    <t>CB-4 (N-5)</t>
  </si>
  <si>
    <t>CB-5 (N-4)</t>
  </si>
  <si>
    <t>CB-6 (N-3)</t>
  </si>
  <si>
    <t>CB-7 (N-2)</t>
  </si>
  <si>
    <t>CB-8 (N-1)</t>
  </si>
  <si>
    <t>Davenport</t>
  </si>
  <si>
    <t>000591</t>
  </si>
  <si>
    <t>Delta Industries</t>
  </si>
  <si>
    <t>4100-11</t>
  </si>
  <si>
    <t>000269</t>
  </si>
  <si>
    <t>CB-002</t>
  </si>
  <si>
    <t>Emhart Glass Mfg</t>
  </si>
  <si>
    <t>Emhart Glass Research Center</t>
  </si>
  <si>
    <t>Mill Brook</t>
  </si>
  <si>
    <t>002107</t>
  </si>
  <si>
    <t>Marmon Utility LLC</t>
  </si>
  <si>
    <t>CT6919-00-01</t>
  </si>
  <si>
    <t>000474</t>
  </si>
  <si>
    <t>SWD-002</t>
  </si>
  <si>
    <t>SWD-003</t>
  </si>
  <si>
    <t>SWD-007</t>
  </si>
  <si>
    <t>SWD-008</t>
  </si>
  <si>
    <t>SWD-010</t>
  </si>
  <si>
    <t>Faria Ltd. LLC D/B/A</t>
  </si>
  <si>
    <t>002328</t>
  </si>
  <si>
    <t>Specialty Cable Corp</t>
  </si>
  <si>
    <t>5200-11, 5200-10</t>
  </si>
  <si>
    <t>000221</t>
  </si>
  <si>
    <t>Seidel Inc</t>
  </si>
  <si>
    <t>MS4 to Naugatuck River</t>
  </si>
  <si>
    <t>002016</t>
  </si>
  <si>
    <t>Northeast Laser &amp; Electropolish</t>
  </si>
  <si>
    <t>001976</t>
  </si>
  <si>
    <t>CB#4 SW001</t>
  </si>
  <si>
    <t>Bostwick</t>
  </si>
  <si>
    <t>000594</t>
  </si>
  <si>
    <t>Waterbury Plating</t>
  </si>
  <si>
    <t>002122</t>
  </si>
  <si>
    <t>discharge #1</t>
  </si>
  <si>
    <t>Alinabal</t>
  </si>
  <si>
    <t>000627</t>
  </si>
  <si>
    <t>outfall #2 (new plan)</t>
  </si>
  <si>
    <t>outfall #1 (new plan)</t>
  </si>
  <si>
    <t>Ethylene Glycol</t>
  </si>
  <si>
    <t>Propylene Glycol</t>
  </si>
  <si>
    <t>Cr</t>
  </si>
  <si>
    <t>Fe</t>
  </si>
  <si>
    <t>Ni</t>
  </si>
  <si>
    <t>Cd</t>
  </si>
  <si>
    <t>PAHs (ug/L)</t>
  </si>
  <si>
    <t>Suzio York Hill companies</t>
  </si>
  <si>
    <t>Meriden Faciltiy</t>
  </si>
  <si>
    <t>Baldwin Pond/Harbor &amp; Sawmill Brooks</t>
  </si>
  <si>
    <t>002399</t>
  </si>
  <si>
    <t>SM-1</t>
  </si>
  <si>
    <t>SM-2</t>
  </si>
  <si>
    <t>Waterbury Asphalt</t>
  </si>
  <si>
    <t>001566</t>
  </si>
  <si>
    <t>E. coli</t>
  </si>
  <si>
    <t>PAHs ug/L</t>
  </si>
  <si>
    <t>O'Connor Brothers, Inc</t>
  </si>
  <si>
    <t>Blackberry River</t>
  </si>
  <si>
    <t>002282</t>
  </si>
  <si>
    <t>Woodbury Quarry</t>
  </si>
  <si>
    <t>Pomperaug River</t>
  </si>
  <si>
    <t>000590</t>
  </si>
  <si>
    <t>Wheelabrator-Bridgeport</t>
  </si>
  <si>
    <t>Bridgeport</t>
  </si>
  <si>
    <t>storm sewer</t>
  </si>
  <si>
    <t>roadway by cooling tower</t>
  </si>
  <si>
    <t>cedar Creek</t>
  </si>
  <si>
    <t>street by cooling tower</t>
  </si>
  <si>
    <t>overflow</t>
  </si>
  <si>
    <t>United Industrial Services</t>
  </si>
  <si>
    <t>MS4  to Sodom Brook</t>
  </si>
  <si>
    <t>002090</t>
  </si>
  <si>
    <t>outfall #1</t>
  </si>
  <si>
    <t>United Oil Recovery</t>
  </si>
  <si>
    <t>000834</t>
  </si>
  <si>
    <t>Windsor Bloomfield Landfill</t>
  </si>
  <si>
    <t>Goodwin Pond</t>
  </si>
  <si>
    <t>000860</t>
  </si>
  <si>
    <t>outfall 001</t>
  </si>
  <si>
    <t>outfall 002</t>
  </si>
  <si>
    <t xml:space="preserve">Kleeman's Auto Parts </t>
  </si>
  <si>
    <t>Kleeman's Auto Parts LLC</t>
  </si>
  <si>
    <t>114</t>
  </si>
  <si>
    <t>Unnamed Tributary to Shetucket River</t>
  </si>
  <si>
    <t>000923</t>
  </si>
  <si>
    <t>Stream Near Route 165</t>
  </si>
  <si>
    <t>Parker St. Used Auto Parts, Inc.</t>
  </si>
  <si>
    <t>Daddio's Auto Parts</t>
  </si>
  <si>
    <t>124</t>
  </si>
  <si>
    <t>001010</t>
  </si>
  <si>
    <t>Stewart's Auto Parts</t>
  </si>
  <si>
    <t>Stewart's Auto Parts, Inc.</t>
  </si>
  <si>
    <t xml:space="preserve">Morgan Brook, Farmington Regional Basin </t>
  </si>
  <si>
    <t>001058</t>
  </si>
  <si>
    <t xml:space="preserve">Yales Auto Salvage </t>
  </si>
  <si>
    <t>Yales Auto Salvage</t>
  </si>
  <si>
    <t>001162</t>
  </si>
  <si>
    <t>Outfall Location One</t>
  </si>
  <si>
    <t>Auto Parts Depot</t>
  </si>
  <si>
    <t>001169</t>
  </si>
  <si>
    <t>&gt;72 hours</t>
  </si>
  <si>
    <t>Boyd's Used Auto Parts</t>
  </si>
  <si>
    <t>Shetucket River, Shetucket Regional Basin</t>
  </si>
  <si>
    <t>001253</t>
  </si>
  <si>
    <t>Pequabuck River, Farmington Regional Basin</t>
  </si>
  <si>
    <t>Tom's Used Auto Parts, LLC</t>
  </si>
  <si>
    <t>Pequabuck River, Farmington River</t>
  </si>
  <si>
    <t>001783</t>
  </si>
  <si>
    <t>South Windsor Auto Parts, Inc.</t>
  </si>
  <si>
    <t>Sciantic River, Sciantic Regional Basin</t>
  </si>
  <si>
    <t>001980</t>
  </si>
  <si>
    <t xml:space="preserve">M&amp;J Auto Recycling, Inc. </t>
  </si>
  <si>
    <t>M&amp;J Auto Recycling, Inc. &amp; M&amp;J Bus</t>
  </si>
  <si>
    <t>028</t>
  </si>
  <si>
    <t>Deep River, Yantic Regional Basin</t>
  </si>
  <si>
    <t>002079</t>
  </si>
  <si>
    <t>Chuck and Eddies Used Auto Parts</t>
  </si>
  <si>
    <t xml:space="preserve">Tributary Quinnipiac River </t>
  </si>
  <si>
    <t>002157</t>
  </si>
  <si>
    <t>Bishop's Used Auto Parts</t>
  </si>
  <si>
    <t xml:space="preserve">Sawmill Brook, Mattasbasset Regional Basin </t>
  </si>
  <si>
    <t>002171</t>
  </si>
  <si>
    <t xml:space="preserve">CT Used Parts &amp; Auto Wrecking </t>
  </si>
  <si>
    <t xml:space="preserve">Conn. Used Parts &amp; Auto Wrecking </t>
  </si>
  <si>
    <t>Coutu Auto Sales, Inc.</t>
  </si>
  <si>
    <t xml:space="preserve">Willimantic River, Willimantic Regional Basin </t>
  </si>
  <si>
    <t>002475</t>
  </si>
  <si>
    <t>Bill's Auto Parts</t>
  </si>
  <si>
    <t>142</t>
  </si>
  <si>
    <t>Skungamaug River, Willimantic Regional Basin</t>
  </si>
  <si>
    <t>002511</t>
  </si>
  <si>
    <t>George's Auto Parts, Inc.</t>
  </si>
  <si>
    <t>Pequonnock River, Southwest Eastern Regional Complex</t>
  </si>
  <si>
    <t>002516</t>
  </si>
  <si>
    <t>OF#1</t>
  </si>
  <si>
    <t>OF#2</t>
  </si>
  <si>
    <t>OF#3</t>
  </si>
  <si>
    <t>OF#4</t>
  </si>
  <si>
    <t>OF#5</t>
  </si>
  <si>
    <t>OF#6</t>
  </si>
  <si>
    <t>City Auto Parts</t>
  </si>
  <si>
    <t>4000-26</t>
  </si>
  <si>
    <t>002239</t>
  </si>
  <si>
    <t>5015,5093</t>
  </si>
  <si>
    <t>CIT-1 to Frishfry Street</t>
  </si>
  <si>
    <t>Montville Power LLC</t>
  </si>
  <si>
    <t>Montville Station</t>
  </si>
  <si>
    <t>001406</t>
  </si>
  <si>
    <t>Norwalk Power</t>
  </si>
  <si>
    <t>Norwalk Harbor Station</t>
  </si>
  <si>
    <t xml:space="preserve">LIS </t>
  </si>
  <si>
    <t>001472</t>
  </si>
  <si>
    <t>DSN 029</t>
  </si>
  <si>
    <t>DSN 035</t>
  </si>
  <si>
    <t>DSN 036</t>
  </si>
  <si>
    <t>PCBs</t>
  </si>
  <si>
    <t>BFPM, Inc</t>
  </si>
  <si>
    <t>Brewer Ferry Point Marina</t>
  </si>
  <si>
    <t>000271</t>
  </si>
  <si>
    <t>#4</t>
  </si>
  <si>
    <t>#2</t>
  </si>
  <si>
    <t>Harry's Marine</t>
  </si>
  <si>
    <t>000462</t>
  </si>
  <si>
    <t>Shennecossett Yacht Club</t>
  </si>
  <si>
    <t>E1-013</t>
  </si>
  <si>
    <t>002381</t>
  </si>
  <si>
    <t>lift well</t>
  </si>
  <si>
    <t>Semiannual Semi-volatile Hydrocarbons (ug/L)</t>
  </si>
  <si>
    <t>001330</t>
  </si>
  <si>
    <t xml:space="preserve">Mark's Auto Parts, Inc. </t>
  </si>
  <si>
    <t>040</t>
  </si>
  <si>
    <t xml:space="preserve">Stony Brook, Stony Brook Regional Basin </t>
  </si>
  <si>
    <t>001094</t>
  </si>
  <si>
    <t>United Parcel Service</t>
  </si>
  <si>
    <t>UPS- North Haven, CT</t>
  </si>
  <si>
    <t>000236</t>
  </si>
  <si>
    <t>Sample Location #1</t>
  </si>
  <si>
    <t>Sample Location #2</t>
  </si>
  <si>
    <t>UPS-Norwalk, CT</t>
  </si>
  <si>
    <t>Roton Brook, Southwest Shoreline</t>
  </si>
  <si>
    <t>000237</t>
  </si>
  <si>
    <t>Sample Location #3</t>
  </si>
  <si>
    <t>UPS-Orange, CT</t>
  </si>
  <si>
    <t>Oyster River, South Central Shoreline</t>
  </si>
  <si>
    <t>000238</t>
  </si>
  <si>
    <t>UPS-Stratford, CT</t>
  </si>
  <si>
    <t>Startford Great Medows, Southeastern Regional Complex</t>
  </si>
  <si>
    <t>000239</t>
  </si>
  <si>
    <t>UPS-Wallingord, CT</t>
  </si>
  <si>
    <t>Wallingford</t>
  </si>
  <si>
    <t>Padens Brook, Quinnipiac River</t>
  </si>
  <si>
    <t>001085</t>
  </si>
  <si>
    <t>UPS-Brookfield, CT</t>
  </si>
  <si>
    <t>Still River Regional Basin</t>
  </si>
  <si>
    <t>000234</t>
  </si>
  <si>
    <t>UPS-Hartford,CT</t>
  </si>
  <si>
    <t>Hartford</t>
  </si>
  <si>
    <t xml:space="preserve">Folly Brook </t>
  </si>
  <si>
    <t>Connecticut River Basin</t>
  </si>
  <si>
    <t>000235</t>
  </si>
  <si>
    <t>Folly Brook</t>
  </si>
  <si>
    <t>Sample Location #4</t>
  </si>
  <si>
    <t xml:space="preserve">Turkey Brook </t>
  </si>
  <si>
    <t>Naugatuck Regional Basin</t>
  </si>
  <si>
    <t>000240</t>
  </si>
  <si>
    <t>Ahlstrom Nonwovens,LLC</t>
  </si>
  <si>
    <t>Ahlstrom Nonwovens, LLC</t>
  </si>
  <si>
    <t>Connceticut River</t>
  </si>
  <si>
    <t>001384</t>
  </si>
  <si>
    <t>17R</t>
  </si>
  <si>
    <t>C1</t>
  </si>
  <si>
    <t>CA6</t>
  </si>
  <si>
    <t>J1</t>
  </si>
  <si>
    <t>N2</t>
  </si>
  <si>
    <t>E1</t>
  </si>
  <si>
    <t>O1</t>
  </si>
  <si>
    <t>11R</t>
  </si>
  <si>
    <t>CRC Chrome</t>
  </si>
  <si>
    <t>Harbor Brook</t>
  </si>
  <si>
    <t>001921</t>
  </si>
  <si>
    <t>Barnes Group Inc</t>
  </si>
  <si>
    <t>Barnes Aerospace</t>
  </si>
  <si>
    <t>Unamed Tributary of CT River</t>
  </si>
  <si>
    <t>001050</t>
  </si>
  <si>
    <t>Outfall 5</t>
  </si>
  <si>
    <t>Permasteelisa NA Corp</t>
  </si>
  <si>
    <t xml:space="preserve">Storm Sewer </t>
  </si>
  <si>
    <t>Farmington River Basin</t>
  </si>
  <si>
    <t>001865</t>
  </si>
  <si>
    <t>Unamed Wetlands</t>
  </si>
  <si>
    <t>SW4</t>
  </si>
  <si>
    <t>Abbott Ball Company</t>
  </si>
  <si>
    <t>Abbott Ball Co.</t>
  </si>
  <si>
    <t>001079</t>
  </si>
  <si>
    <t>Sprague Operating Resources LLC</t>
  </si>
  <si>
    <t>Sprague-Stamford,CT Terminal</t>
  </si>
  <si>
    <t>Stamford Harbor, West Branch</t>
  </si>
  <si>
    <t>000449</t>
  </si>
  <si>
    <t>Outfall #1 (sp-1)</t>
  </si>
  <si>
    <t>First Student</t>
  </si>
  <si>
    <t>Sikorsky Aircraft Corporation</t>
  </si>
  <si>
    <t>Shelton O&amp;R</t>
  </si>
  <si>
    <t>Burying Ground Brook</t>
  </si>
  <si>
    <t>000769</t>
  </si>
  <si>
    <t>DSN 008</t>
  </si>
  <si>
    <t>UPS-Norwich</t>
  </si>
  <si>
    <t>Yantic River</t>
  </si>
  <si>
    <t>000242</t>
  </si>
  <si>
    <t>Sample Location # 1</t>
  </si>
  <si>
    <t>The Barden Corporation</t>
  </si>
  <si>
    <t xml:space="preserve">Still River, </t>
  </si>
  <si>
    <t>000538</t>
  </si>
  <si>
    <t>Clean Harbors of Connecticut</t>
  </si>
  <si>
    <t>Annmarie Drugonis</t>
  </si>
  <si>
    <t>Unnamed Tributary called Eight Mile River</t>
  </si>
  <si>
    <t>000726</t>
  </si>
  <si>
    <t>Arrow Line Acquisition LLc</t>
  </si>
  <si>
    <t>Peter Pan</t>
  </si>
  <si>
    <t>Mattabesset River</t>
  </si>
  <si>
    <t>002299</t>
  </si>
  <si>
    <t>Alan Rosenblatt</t>
  </si>
  <si>
    <t>Sysco CT,LLC</t>
  </si>
  <si>
    <t>000489</t>
  </si>
  <si>
    <t>SW Outfall 1</t>
  </si>
  <si>
    <t>SW Outfall 2</t>
  </si>
  <si>
    <t>Global Companies LLC</t>
  </si>
  <si>
    <t>Global Companies LLC BC# 158239</t>
  </si>
  <si>
    <t>Johnsons Creek</t>
  </si>
  <si>
    <t>001989</t>
  </si>
  <si>
    <t>1 Eagles Nest Rd Bpt</t>
  </si>
  <si>
    <t>Platt Brothers</t>
  </si>
  <si>
    <t>Waterbury</t>
  </si>
  <si>
    <t>000648</t>
  </si>
  <si>
    <t>2670 South Main Street Waterbury CT</t>
  </si>
  <si>
    <t>Unilever Manufaturing US INC</t>
  </si>
  <si>
    <t>Unilever Clinton Plant</t>
  </si>
  <si>
    <t>Hayden Creek</t>
  </si>
  <si>
    <t>000808</t>
  </si>
  <si>
    <t>Plasma Coatings</t>
  </si>
  <si>
    <t>Hop Brook Basin</t>
  </si>
  <si>
    <t>002194</t>
  </si>
  <si>
    <t>Hydro Honing Laboratories Inc</t>
  </si>
  <si>
    <t>Podunk River</t>
  </si>
  <si>
    <t>002170</t>
  </si>
  <si>
    <t>Outfall #2 HH-2</t>
  </si>
  <si>
    <t>Water Pollution Control Facility</t>
  </si>
  <si>
    <t>001905</t>
  </si>
  <si>
    <t>First Student Inc #11229</t>
  </si>
  <si>
    <t>Town of Stonington MS4</t>
  </si>
  <si>
    <t>000901</t>
  </si>
  <si>
    <t>Doncasters Inc</t>
  </si>
  <si>
    <t>New England Airfoil Products</t>
  </si>
  <si>
    <t>Unnamed Tributary of Scott Swamp Brook/Pequabuck River</t>
  </si>
  <si>
    <t>000243</t>
  </si>
  <si>
    <t>003</t>
  </si>
  <si>
    <t>Cooper-Atkins Corporation</t>
  </si>
  <si>
    <t>Lyman Meadow Brook</t>
  </si>
  <si>
    <t>002190</t>
  </si>
  <si>
    <t>Outfall 2 (CA-OF-2)</t>
  </si>
  <si>
    <t>Jamie Holden</t>
  </si>
  <si>
    <t>Keeney Meg Co.</t>
  </si>
  <si>
    <t>000762</t>
  </si>
  <si>
    <t>DSN02</t>
  </si>
  <si>
    <t>DSN01</t>
  </si>
  <si>
    <t>Federal Express</t>
  </si>
  <si>
    <t>BDRA Norwalk Facility</t>
  </si>
  <si>
    <t>Outer Norwalk Harbor (west)</t>
  </si>
  <si>
    <t>000972</t>
  </si>
  <si>
    <t>Discharge 001</t>
  </si>
  <si>
    <t>Discharge 002</t>
  </si>
  <si>
    <t>(HVNA) North Haven</t>
  </si>
  <si>
    <t>000971</t>
  </si>
  <si>
    <t>(EHTA) Windsor Locks Facility</t>
  </si>
  <si>
    <t>001250</t>
  </si>
  <si>
    <t>Vehicle Maintenance Area</t>
  </si>
  <si>
    <t>(DXRA) Danbury</t>
  </si>
  <si>
    <t>Miry Brook</t>
  </si>
  <si>
    <t>000973</t>
  </si>
  <si>
    <t>(Gona) Norwich</t>
  </si>
  <si>
    <t>000974</t>
  </si>
  <si>
    <t xml:space="preserve">(JSDA) Stamford </t>
  </si>
  <si>
    <t>Rippowam River- West Branch</t>
  </si>
  <si>
    <t>000970</t>
  </si>
  <si>
    <t>(OXCA) Sratford Facility</t>
  </si>
  <si>
    <t>000968</t>
  </si>
  <si>
    <t>(BNHA) Watertown</t>
  </si>
  <si>
    <t>Catch  Basin in East Lot</t>
  </si>
  <si>
    <t>(BDLRT) Windsor Facility</t>
  </si>
  <si>
    <t>001445</t>
  </si>
  <si>
    <t>Outfall</t>
  </si>
  <si>
    <t>Holo Krome</t>
  </si>
  <si>
    <t>5200-10-2RI</t>
  </si>
  <si>
    <t>002387</t>
  </si>
  <si>
    <t>5200-10-2-RI</t>
  </si>
  <si>
    <t>Town of Plainville</t>
  </si>
  <si>
    <t>Norton Park Maintenance Facility</t>
  </si>
  <si>
    <t>Plainville</t>
  </si>
  <si>
    <t>001368</t>
  </si>
  <si>
    <t>Outfall 1 (Norton Park)</t>
  </si>
  <si>
    <t>William Baker</t>
  </si>
  <si>
    <t>Global Turbine Component Tech LLC.</t>
  </si>
  <si>
    <t>Newbury Brook</t>
  </si>
  <si>
    <t>001909</t>
  </si>
  <si>
    <t>Jordan Brook</t>
  </si>
  <si>
    <t>001695</t>
  </si>
  <si>
    <t>SP-1</t>
  </si>
  <si>
    <t>United States Postal Service</t>
  </si>
  <si>
    <t>Waterbury Vehicle Maintenance Facility</t>
  </si>
  <si>
    <t>001075</t>
  </si>
  <si>
    <t>William Bordin</t>
  </si>
  <si>
    <t xml:space="preserve">Firestone Building Products </t>
  </si>
  <si>
    <t>Custcutter Brook</t>
  </si>
  <si>
    <t>001234</t>
  </si>
  <si>
    <t>Storm drain 8</t>
  </si>
  <si>
    <t>Storm drain 1</t>
  </si>
  <si>
    <t>RBC Aircraft Products Inc</t>
  </si>
  <si>
    <t>RBC Airecraft Products Inc</t>
  </si>
  <si>
    <t>002024</t>
  </si>
  <si>
    <t>ITW Graphics</t>
  </si>
  <si>
    <t>Manchester</t>
  </si>
  <si>
    <t>001351</t>
  </si>
  <si>
    <t>The Miller Company</t>
  </si>
  <si>
    <t>001338</t>
  </si>
  <si>
    <t>SW 001</t>
  </si>
  <si>
    <t>Unimetal Surface Finishing</t>
  </si>
  <si>
    <t>Griswold Rubber Company Inc</t>
  </si>
  <si>
    <t>Moosup River</t>
  </si>
  <si>
    <t>000832</t>
  </si>
  <si>
    <t>Blakeslee Prestress, Inc</t>
  </si>
  <si>
    <t>Blakeslee Prestress INC</t>
  </si>
  <si>
    <t>Unnamed Stream; Ward's Millpond</t>
  </si>
  <si>
    <t>001150</t>
  </si>
  <si>
    <t>Metal Finishing Technologies</t>
  </si>
  <si>
    <t>4315-00-4 R2</t>
  </si>
  <si>
    <t>000301</t>
  </si>
  <si>
    <t>Dishcharge 2- Loading dock</t>
  </si>
  <si>
    <t>4315-11-4 R2</t>
  </si>
  <si>
    <t>Discharge 1- Catch Basin</t>
  </si>
  <si>
    <t>Cornell-Carr Company Inc</t>
  </si>
  <si>
    <t>3C Realty</t>
  </si>
  <si>
    <t>Wetlands and West Branch of Pequonnock River</t>
  </si>
  <si>
    <t>001393</t>
  </si>
  <si>
    <t>AC93246 Culvert Loc:SE part of Property</t>
  </si>
  <si>
    <t>Connecticut Tank Removal</t>
  </si>
  <si>
    <t>118 Burr Court LLC</t>
  </si>
  <si>
    <t>Wetlands/waterbody</t>
  </si>
  <si>
    <t>002374</t>
  </si>
  <si>
    <t>Roof Drains</t>
  </si>
  <si>
    <t>Pennant Food Company</t>
  </si>
  <si>
    <t>Pennant Foods Company</t>
  </si>
  <si>
    <t>000203</t>
  </si>
  <si>
    <t>Outfall #001 (PF-1)</t>
  </si>
  <si>
    <t>MacDermid Inc</t>
  </si>
  <si>
    <t>Steele Brook</t>
  </si>
  <si>
    <t>002364</t>
  </si>
  <si>
    <t>Town of Glastonbury</t>
  </si>
  <si>
    <t>Bus Yard</t>
  </si>
  <si>
    <t>Hubbard Brook</t>
  </si>
  <si>
    <t>001867</t>
  </si>
  <si>
    <t>Outfall#1 (BY)</t>
  </si>
  <si>
    <t>000621</t>
  </si>
  <si>
    <t>Outfall #1 (PWG OF-1)</t>
  </si>
  <si>
    <t>Outfall #1 (PWG-OF 2)</t>
  </si>
  <si>
    <t>002133</t>
  </si>
  <si>
    <t>Outfall #1 (WPCF)</t>
  </si>
  <si>
    <t>Hess Corporation</t>
  </si>
  <si>
    <t>Hess Groton Terminal</t>
  </si>
  <si>
    <t>001243</t>
  </si>
  <si>
    <t>Groton Terminal</t>
  </si>
  <si>
    <t xml:space="preserve">Windsor Bloomfield Landfill </t>
  </si>
  <si>
    <t>City of New Britain</t>
  </si>
  <si>
    <t>New Britain Residential Recycling Center</t>
  </si>
  <si>
    <t>Willow Brook to Mattabesset River/CT4602-00 01</t>
  </si>
  <si>
    <t>002427</t>
  </si>
  <si>
    <t>New Britain Bulky Waste Landfill</t>
  </si>
  <si>
    <t>001317</t>
  </si>
  <si>
    <t>Connecticut Resources Recovery Authority</t>
  </si>
  <si>
    <t>Hartford Landfill</t>
  </si>
  <si>
    <t>North Meadow Pond and Pumping Station/ Connecticut River</t>
  </si>
  <si>
    <t>000500</t>
  </si>
  <si>
    <t>Outfall 002A</t>
  </si>
  <si>
    <t>Ellington Transfer Station</t>
  </si>
  <si>
    <t>Creamery Brook</t>
  </si>
  <si>
    <t>000520</t>
  </si>
  <si>
    <t>Mid-CT Resource Recovery Facility</t>
  </si>
  <si>
    <t>Connecticut River, Basin #4000-00-03</t>
  </si>
  <si>
    <t>000118</t>
  </si>
  <si>
    <t>Stratford Intermediate Processing Center</t>
  </si>
  <si>
    <t>Long Island Sound (7000-03 Southwest Shoreline)</t>
  </si>
  <si>
    <t>000812</t>
  </si>
  <si>
    <t>Outfall 003A</t>
  </si>
  <si>
    <t>Outfall 003C</t>
  </si>
  <si>
    <t xml:space="preserve">Public Works Facility </t>
  </si>
  <si>
    <t>000778</t>
  </si>
  <si>
    <t>Outfall 1 (Pipe)</t>
  </si>
  <si>
    <t>Public Works Facility</t>
  </si>
  <si>
    <t>Outfall 2 (Roadway)</t>
  </si>
  <si>
    <t>088</t>
  </si>
  <si>
    <t>Stericycle, Inc.</t>
  </si>
  <si>
    <t>Sawmill Brook</t>
  </si>
  <si>
    <t>001110</t>
  </si>
  <si>
    <t>Town of Killingly</t>
  </si>
  <si>
    <t>Killingly Transfer Station</t>
  </si>
  <si>
    <t>069</t>
  </si>
  <si>
    <t>Quanduck Brook/Thames Basin</t>
  </si>
  <si>
    <t>000684</t>
  </si>
  <si>
    <t>LF-1</t>
  </si>
  <si>
    <t>LF-2</t>
  </si>
  <si>
    <t>Unnamed swale to CT River/CT River Basin</t>
  </si>
  <si>
    <t>Sample Site 5</t>
  </si>
  <si>
    <t>Sample Site 7</t>
  </si>
  <si>
    <t>Sample Site 1</t>
  </si>
  <si>
    <t>Nutmeg Recycling , LLC</t>
  </si>
  <si>
    <t xml:space="preserve">ReCommunity Recycling </t>
  </si>
  <si>
    <t xml:space="preserve">Dry Brook to the Scantic River, Connecticut River </t>
  </si>
  <si>
    <t>001862</t>
  </si>
  <si>
    <t>Outfall A</t>
  </si>
  <si>
    <t>NLR, Inc.</t>
  </si>
  <si>
    <t>047</t>
  </si>
  <si>
    <t>Stormwater Catch Basins</t>
  </si>
  <si>
    <t>000108</t>
  </si>
  <si>
    <t>Outfall #001</t>
  </si>
  <si>
    <t>No Name Brook</t>
  </si>
  <si>
    <t>Outfall #002</t>
  </si>
  <si>
    <t xml:space="preserve">Town of Thompson </t>
  </si>
  <si>
    <t>Transfer Station Drain</t>
  </si>
  <si>
    <t>000525</t>
  </si>
  <si>
    <t>Transfer Station Drain E112E63-1</t>
  </si>
  <si>
    <t>Thompson Town Garage</t>
  </si>
  <si>
    <t>000562</t>
  </si>
  <si>
    <t>Town Garage E112E63-2</t>
  </si>
  <si>
    <t xml:space="preserve">ROS-1 </t>
  </si>
  <si>
    <t>City Auto Parts, Inc.</t>
  </si>
  <si>
    <t xml:space="preserve">Hartford Municipal Storm Sewer System </t>
  </si>
  <si>
    <t>5015, 5093</t>
  </si>
  <si>
    <t>CIT-1 (To Fishfry Street)</t>
  </si>
  <si>
    <t>Wheelabrator Lisbon Inc</t>
  </si>
  <si>
    <t>073</t>
  </si>
  <si>
    <t xml:space="preserve">Tributary to Shetucket River </t>
  </si>
  <si>
    <t>001334</t>
  </si>
  <si>
    <t>North Outfall</t>
  </si>
  <si>
    <t>South Outfall</t>
  </si>
  <si>
    <t>Discharge 026</t>
  </si>
  <si>
    <t>Discharge 028</t>
  </si>
  <si>
    <t>Discharge 033</t>
  </si>
  <si>
    <t>Discharge 054</t>
  </si>
  <si>
    <t>DIS 002</t>
  </si>
  <si>
    <t>Long Island Sound - Jordan Cove</t>
  </si>
  <si>
    <t>&gt;2000</t>
  </si>
  <si>
    <t>Norwalk Power LLC</t>
  </si>
  <si>
    <t>103</t>
  </si>
  <si>
    <t>Long Island Sound</t>
  </si>
  <si>
    <t>DDB 029</t>
  </si>
  <si>
    <t>035</t>
  </si>
  <si>
    <t>036</t>
  </si>
  <si>
    <t>DSN S06</t>
  </si>
  <si>
    <t>FECAL COLIFORM</t>
  </si>
  <si>
    <t>James Hays</t>
  </si>
  <si>
    <t>Hays Haven Marina</t>
  </si>
  <si>
    <t>Connecticut River</t>
  </si>
  <si>
    <t>002155</t>
  </si>
  <si>
    <t>Sea Bound Marine, Inc</t>
  </si>
  <si>
    <t>Essex Island Realty</t>
  </si>
  <si>
    <t>050</t>
  </si>
  <si>
    <t>000189</t>
  </si>
  <si>
    <t>Essex Island Bulk Head Sheet Flow</t>
  </si>
  <si>
    <t>Austin Iodice</t>
  </si>
  <si>
    <t>Norwest</t>
  </si>
  <si>
    <t>Norwalk River</t>
  </si>
  <si>
    <t>001041</t>
  </si>
  <si>
    <t>not listed</t>
  </si>
  <si>
    <t>Brooks/Stormwater</t>
  </si>
  <si>
    <t>Spencer's Marina</t>
  </si>
  <si>
    <t>Milford Harbor</t>
  </si>
  <si>
    <t>001051</t>
  </si>
  <si>
    <t>Outfall #1 (SM-OF-1)</t>
  </si>
  <si>
    <t>Tobey Russ</t>
  </si>
  <si>
    <t>Three Belles Marina</t>
  </si>
  <si>
    <t>045</t>
  </si>
  <si>
    <t>Smith Cove Niantic River</t>
  </si>
  <si>
    <t>001997</t>
  </si>
  <si>
    <t>Mystic Shipyard</t>
  </si>
  <si>
    <t>137</t>
  </si>
  <si>
    <t>Mystic River, Long Island Sound</t>
  </si>
  <si>
    <t>002390</t>
  </si>
  <si>
    <t>Stafford St</t>
  </si>
  <si>
    <t>Rex Marine Center Inc.</t>
  </si>
  <si>
    <t xml:space="preserve">Rex Marine Center </t>
  </si>
  <si>
    <t>Norwalk Harbor-Long Island Sound</t>
  </si>
  <si>
    <t>002465</t>
  </si>
  <si>
    <t>Outfall #5</t>
  </si>
  <si>
    <t>Norwest Marine Inc.</t>
  </si>
  <si>
    <t>Pawcatuck River</t>
  </si>
  <si>
    <t>001078</t>
  </si>
  <si>
    <t>Drainsite</t>
  </si>
  <si>
    <t>BLP Marine</t>
  </si>
  <si>
    <t>Fort Rachel Marina</t>
  </si>
  <si>
    <t>Mystic River</t>
  </si>
  <si>
    <t>000663</t>
  </si>
  <si>
    <t>Marina on Palmer Cove LLC</t>
  </si>
  <si>
    <t>Palmers Cove Marina</t>
  </si>
  <si>
    <t>Palmer Cove</t>
  </si>
  <si>
    <t>001137</t>
  </si>
  <si>
    <t>Ramp</t>
  </si>
  <si>
    <t>Connors and O'Brien Marina</t>
  </si>
  <si>
    <t>002418</t>
  </si>
  <si>
    <t>Outfall 1 (CO OF-1)</t>
  </si>
  <si>
    <t>EBB Tide Boat Rental Inc.</t>
  </si>
  <si>
    <t>002294</t>
  </si>
  <si>
    <t>Guilford Boat Yard Inc</t>
  </si>
  <si>
    <t>Guilford Boat Yards</t>
  </si>
  <si>
    <t>000536</t>
  </si>
  <si>
    <t>Dodson Boatyard, LLC</t>
  </si>
  <si>
    <t>Dodson Boatyard</t>
  </si>
  <si>
    <t>Stonington Harbor</t>
  </si>
  <si>
    <t>001651</t>
  </si>
  <si>
    <t>Outfall 2 (DBY OF-2)</t>
  </si>
  <si>
    <t>Gwenmor Marina</t>
  </si>
  <si>
    <t>Mystic Harbor</t>
  </si>
  <si>
    <t>002313</t>
  </si>
  <si>
    <t>Outfall 1 (GM OF-1)</t>
  </si>
  <si>
    <t>Adam Wronowski</t>
  </si>
  <si>
    <t>Thames Shipyard &amp; Repair Co., Inc.</t>
  </si>
  <si>
    <t>001418</t>
  </si>
  <si>
    <t>Dry Dock #1</t>
  </si>
  <si>
    <t>Electric Boat Corporation</t>
  </si>
  <si>
    <t>000669</t>
  </si>
  <si>
    <t>NWW-2</t>
  </si>
  <si>
    <t>NWW-6</t>
  </si>
  <si>
    <t>NWW-11</t>
  </si>
  <si>
    <t>SD-4</t>
  </si>
  <si>
    <t>SD-10</t>
  </si>
  <si>
    <t>SD-14</t>
  </si>
  <si>
    <t>SD-19</t>
  </si>
  <si>
    <t>SD-25</t>
  </si>
  <si>
    <t>SD-29</t>
  </si>
  <si>
    <t>SWW-1</t>
  </si>
  <si>
    <t>SWW-6</t>
  </si>
  <si>
    <t>SWW-12</t>
  </si>
  <si>
    <t>Hillard Bloom Shellfish</t>
  </si>
  <si>
    <t>Bridgeport Drydock Corporation</t>
  </si>
  <si>
    <t>Long Island Sound Bridgeport Coastal Area</t>
  </si>
  <si>
    <t>001043</t>
  </si>
  <si>
    <t>SF-1 (Sheetflow)</t>
  </si>
  <si>
    <t>DD-1 (Drydock)</t>
  </si>
  <si>
    <t>O'Connor Bros., Inc.</t>
  </si>
  <si>
    <t>100</t>
  </si>
  <si>
    <t xml:space="preserve">Specialty Minerals, Inc. </t>
  </si>
  <si>
    <t>Main Plant (Daisy Hill Road)</t>
  </si>
  <si>
    <t>000550</t>
  </si>
  <si>
    <t>Outfall 1A</t>
  </si>
  <si>
    <t>Lower Road Quarry</t>
  </si>
  <si>
    <t>002305</t>
  </si>
  <si>
    <t>Quarry Maintenance Garage &amp; Stockpile Area</t>
  </si>
  <si>
    <t>002306</t>
  </si>
  <si>
    <t>Outfall 7</t>
  </si>
  <si>
    <t>168</t>
  </si>
  <si>
    <t>RSCC Wire &amp; Cable, LLC</t>
  </si>
  <si>
    <t xml:space="preserve">DeGrayes Brook </t>
  </si>
  <si>
    <t>000365</t>
  </si>
  <si>
    <t>Cray Valley USA, LLC</t>
  </si>
  <si>
    <t>Inland Wetlands Area</t>
  </si>
  <si>
    <t>000498</t>
  </si>
  <si>
    <t>105 Ontario St, Stratford, CT</t>
  </si>
  <si>
    <t>Sikorsky Startford</t>
  </si>
  <si>
    <t>Far Mill and Housatonic Rivers, Housatonic Basin</t>
  </si>
  <si>
    <t>000768</t>
  </si>
  <si>
    <t>Stratford DSN 001/SRN 60</t>
  </si>
  <si>
    <t xml:space="preserve">Stratford DSN 003/SRN 61 </t>
  </si>
  <si>
    <t>Stratford DSN 004/SRN 66</t>
  </si>
  <si>
    <t>Stratford DSN 005/SRN 62</t>
  </si>
  <si>
    <t>Stratford DSN 007/SRN 63</t>
  </si>
  <si>
    <t>Stratford DSN 011/SRN 64</t>
  </si>
  <si>
    <t>Stratford DSN 013/SRN 65</t>
  </si>
  <si>
    <t>Stratford DSN 015/SRN 67</t>
  </si>
  <si>
    <t>Stratford DSN 016/SRN 68</t>
  </si>
  <si>
    <t>Stratford DSN 017/SRN 69</t>
  </si>
  <si>
    <t>Stratford DSN 018/SRN 70</t>
  </si>
  <si>
    <t>Stratford DSN 019/SRN 71</t>
  </si>
  <si>
    <t>Stratford DSN 020/SRN 72</t>
  </si>
  <si>
    <t>Stratford DSN 021/SRN 73</t>
  </si>
  <si>
    <t>Stratford DSN 022/SRN 74</t>
  </si>
  <si>
    <t>Stratford DSN 028/SRN 75</t>
  </si>
  <si>
    <t>Steel Brook</t>
  </si>
  <si>
    <t>001226</t>
  </si>
  <si>
    <t>SW2, Shipping</t>
  </si>
  <si>
    <t>SWI, WWT</t>
  </si>
  <si>
    <t>First Student, Inc. #26000</t>
  </si>
  <si>
    <t>First Student-Bethel</t>
  </si>
  <si>
    <t>001509</t>
  </si>
  <si>
    <t>002113</t>
  </si>
  <si>
    <t>Catch Basin SW Corner</t>
  </si>
  <si>
    <t>Lyme Town Garage Catch Basin</t>
  </si>
  <si>
    <t>Wallingford Landfill</t>
  </si>
  <si>
    <t>000499</t>
  </si>
  <si>
    <t>Shelton Landfill</t>
  </si>
  <si>
    <t>126</t>
  </si>
  <si>
    <t>Housatonic River (Basin #6000)</t>
  </si>
  <si>
    <t>000512</t>
  </si>
  <si>
    <t>Far Mill River (Basin #6025)</t>
  </si>
  <si>
    <t>Five Mile River/ Thames Basin</t>
  </si>
  <si>
    <t>000685</t>
  </si>
  <si>
    <t>TG-1</t>
  </si>
  <si>
    <t>TG-2</t>
  </si>
  <si>
    <t>TG-3</t>
  </si>
  <si>
    <t>Town of Plymouth</t>
  </si>
  <si>
    <t>Plymouth WPCF</t>
  </si>
  <si>
    <t>001812</t>
  </si>
  <si>
    <t/>
  </si>
  <si>
    <t>Captain's Cove Marina of Bridgeport, Inc.</t>
  </si>
  <si>
    <t>Captain's Cove Seaport</t>
  </si>
  <si>
    <t>Long Island Sound/ Black Rock Harbor</t>
  </si>
  <si>
    <t>001734</t>
  </si>
  <si>
    <t>Lift Well</t>
  </si>
  <si>
    <t>#2 Boardwalk</t>
  </si>
  <si>
    <t>Restaurant</t>
  </si>
  <si>
    <t>Milford Boat Works</t>
  </si>
  <si>
    <t>001097</t>
  </si>
  <si>
    <t>MBW Stormdrain</t>
  </si>
  <si>
    <t>Milford Harbor Marina</t>
  </si>
  <si>
    <t>001048</t>
  </si>
  <si>
    <t>MHM Stormdrain</t>
  </si>
  <si>
    <t>Pier 76, Inc.</t>
  </si>
  <si>
    <t>Launch Ramp</t>
  </si>
  <si>
    <t>000496</t>
  </si>
  <si>
    <t>Dept. of Parks and Recreation, Town of Greenwich</t>
  </si>
  <si>
    <t>Cos Cob Marina</t>
  </si>
  <si>
    <t>Mianus River/Long Island Sound</t>
  </si>
  <si>
    <t>001575</t>
  </si>
  <si>
    <t>Outfall Location Two</t>
  </si>
  <si>
    <t>Byram Marina</t>
  </si>
  <si>
    <t>001574</t>
  </si>
  <si>
    <t xml:space="preserve">Outfall Location Three </t>
  </si>
  <si>
    <t>Grass Island Marina</t>
  </si>
  <si>
    <t>002430</t>
  </si>
  <si>
    <t>Greenwich Point</t>
  </si>
  <si>
    <t>001577</t>
  </si>
  <si>
    <t>Byram Harbor (CT-W2-024)</t>
  </si>
  <si>
    <t>Catch Basin J</t>
  </si>
  <si>
    <t>CTL No. 7437</t>
  </si>
  <si>
    <t>CT River CT 4000-00 02</t>
  </si>
  <si>
    <t>CTL No. 7438</t>
  </si>
  <si>
    <t>CT-E1 024-SB (LIS EB Inner - CT River)</t>
  </si>
  <si>
    <t>Outfall 1 (C&amp;O OF-1)</t>
  </si>
  <si>
    <t>Mystic River Marina</t>
  </si>
  <si>
    <t>000348</t>
  </si>
  <si>
    <t>Outfall 1 (MRM-1)</t>
  </si>
  <si>
    <t>Greenwich Harbor (CT-W1 021-SB)</t>
  </si>
  <si>
    <t>Gary H. Reynolds</t>
  </si>
  <si>
    <t>Reynolds' Garage &amp; Marine</t>
  </si>
  <si>
    <t xml:space="preserve">8 Mile River/Hamburg Cove </t>
  </si>
  <si>
    <t>Bruce &amp; Johnson's Marina</t>
  </si>
  <si>
    <t>000647</t>
  </si>
  <si>
    <t>Outfall-Main Yard B-Dock</t>
  </si>
  <si>
    <t>&gt;7 days</t>
  </si>
  <si>
    <t xml:space="preserve">Outfall-Main Yard Lfi Well </t>
  </si>
  <si>
    <t>002061</t>
  </si>
  <si>
    <t>Outfall-West Yard</t>
  </si>
  <si>
    <t>Robert Garbarino</t>
  </si>
  <si>
    <t xml:space="preserve">Mystic Rivershed </t>
  </si>
  <si>
    <t>Mike Stahl</t>
  </si>
  <si>
    <t>037</t>
  </si>
  <si>
    <t>002287</t>
  </si>
  <si>
    <t>Petzold's Marine Center</t>
  </si>
  <si>
    <t>000398</t>
  </si>
  <si>
    <t>Outfall #2 (PMC OF-2)</t>
  </si>
  <si>
    <t>Boats Inc.</t>
  </si>
  <si>
    <t>Niantic River</t>
  </si>
  <si>
    <t>002443</t>
  </si>
  <si>
    <t>CB1</t>
  </si>
  <si>
    <t>Gene Pacapelli</t>
  </si>
  <si>
    <t>West Cove Marina</t>
  </si>
  <si>
    <t>156</t>
  </si>
  <si>
    <t>001013</t>
  </si>
  <si>
    <t>In Middle of Yard Near Travel Lift Well</t>
  </si>
  <si>
    <t>James Lewis</t>
  </si>
  <si>
    <t>Gales Ferry Marina</t>
  </si>
  <si>
    <t>Clark Cove/Thames River</t>
  </si>
  <si>
    <t>000713</t>
  </si>
  <si>
    <t>55 Chapman Lane</t>
  </si>
  <si>
    <t>Myriam Clarkson</t>
  </si>
  <si>
    <t>Niantic Dockominium Association</t>
  </si>
  <si>
    <t>002453</t>
  </si>
  <si>
    <t xml:space="preserve">Harry's Marine Repair </t>
  </si>
  <si>
    <t>Outfall 2 (PMC OF-2)</t>
  </si>
  <si>
    <t>Andy Helbig</t>
  </si>
  <si>
    <t>Noank Village Boatyard</t>
  </si>
  <si>
    <t>001164</t>
  </si>
  <si>
    <t>Outfall #1 Liftwell</t>
  </si>
  <si>
    <t>Outfall #2 Boardwalk</t>
  </si>
  <si>
    <t>Outfall #3 Restaurant</t>
  </si>
  <si>
    <t>001557</t>
  </si>
  <si>
    <t>100 Essex St</t>
  </si>
  <si>
    <t>Norwalk Cove Marina Inc</t>
  </si>
  <si>
    <t>000319</t>
  </si>
  <si>
    <t>Next to flagpole</t>
  </si>
  <si>
    <t>Buchanan Marine, LP</t>
  </si>
  <si>
    <t xml:space="preserve">Quinnipiac River </t>
  </si>
  <si>
    <t>000570</t>
  </si>
  <si>
    <t>SF-1</t>
  </si>
  <si>
    <t>002392</t>
  </si>
  <si>
    <t>000311</t>
  </si>
  <si>
    <t>Front Lot Catch</t>
  </si>
  <si>
    <t>000357</t>
  </si>
  <si>
    <t>Putnam, CT</t>
  </si>
  <si>
    <t>000389</t>
  </si>
  <si>
    <t>001 East Swale</t>
  </si>
  <si>
    <t>000490</t>
  </si>
  <si>
    <t>000653</t>
  </si>
  <si>
    <t>Outfall to Fry Brook</t>
  </si>
  <si>
    <t>000807</t>
  </si>
  <si>
    <t>VCC#1 Drainage Swale</t>
  </si>
  <si>
    <t>000850</t>
  </si>
  <si>
    <t>Location 002</t>
  </si>
  <si>
    <t>000992</t>
  </si>
  <si>
    <t>001296</t>
  </si>
  <si>
    <t>47 Waterbury Rd Bristol, CT</t>
  </si>
  <si>
    <t>001401</t>
  </si>
  <si>
    <t>3462/3463</t>
  </si>
  <si>
    <t>001673</t>
  </si>
  <si>
    <t>002205</t>
  </si>
  <si>
    <t>002213</t>
  </si>
  <si>
    <t>002252</t>
  </si>
  <si>
    <t>002268</t>
  </si>
  <si>
    <t>Aerospace Alloys Inc.</t>
  </si>
  <si>
    <t xml:space="preserve">North Branch Park River </t>
  </si>
  <si>
    <t xml:space="preserve">Barnes Aerospace Aftermarket </t>
  </si>
  <si>
    <t xml:space="preserve">Windsor Airmotive </t>
  </si>
  <si>
    <t>Sheldon's Brook Degravess Brook</t>
  </si>
  <si>
    <t>National Chromium Co. Inc.</t>
  </si>
  <si>
    <t>United Aluminum Corporation</t>
  </si>
  <si>
    <t>The Metropolitan District</t>
  </si>
  <si>
    <t>MDC Vehicle Maintenance Facility</t>
  </si>
  <si>
    <t>Hartford MS4</t>
  </si>
  <si>
    <t>Flemings Transportation</t>
  </si>
  <si>
    <t xml:space="preserve">Thomas C Terjesen </t>
  </si>
  <si>
    <t>BST Systems, Inc.</t>
  </si>
  <si>
    <t xml:space="preserve">Fry Brook/Quinebaug River Basin </t>
  </si>
  <si>
    <t>R.T.Vanderbilt Company, Inc.</t>
  </si>
  <si>
    <t>Vanderbilt Chemical Corporation</t>
  </si>
  <si>
    <t>Sympaug Brook Watershed</t>
  </si>
  <si>
    <t>Superior Plating Co.</t>
  </si>
  <si>
    <t xml:space="preserve">Superior Plating Co. </t>
  </si>
  <si>
    <t>051</t>
  </si>
  <si>
    <t>Mill River</t>
  </si>
  <si>
    <t>Jon Gavin</t>
  </si>
  <si>
    <t>Plant 1</t>
  </si>
  <si>
    <t>Pepin Steel &amp; Iron Works</t>
  </si>
  <si>
    <t>Basin</t>
  </si>
  <si>
    <t xml:space="preserve">Consolidated Industries Acquistion Corp. </t>
  </si>
  <si>
    <t>025</t>
  </si>
  <si>
    <t>Scrantic River, Conneticut RiverBasin</t>
  </si>
  <si>
    <t xml:space="preserve">City of Groton </t>
  </si>
  <si>
    <t>City of Groton WPCF</t>
  </si>
  <si>
    <t xml:space="preserve">Superior Printing Ink Co., Inc. </t>
  </si>
  <si>
    <t>First Student, Inc. #20686</t>
  </si>
  <si>
    <t>Dattco</t>
  </si>
  <si>
    <t xml:space="preserve">Town of Sterling </t>
  </si>
  <si>
    <t>Sterling Town Garage</t>
  </si>
  <si>
    <t>136</t>
  </si>
  <si>
    <t>000156</t>
  </si>
  <si>
    <t>215 Main Street (E209018)</t>
  </si>
  <si>
    <t>REM Chemicals, INC</t>
  </si>
  <si>
    <t>Southington Municipal Storm System/Quinnipiac River</t>
  </si>
  <si>
    <t>000455</t>
  </si>
  <si>
    <t>Drainage Ditch on Winthrop Rd.</t>
  </si>
  <si>
    <t>Uyemura International Corporation</t>
  </si>
  <si>
    <t>UIC Technical Center</t>
  </si>
  <si>
    <t>5200-03</t>
  </si>
  <si>
    <t>001173</t>
  </si>
  <si>
    <t>T.G. Faria Corp</t>
  </si>
  <si>
    <t>URG Graphics Inc.</t>
  </si>
  <si>
    <t>Quinebaug River</t>
  </si>
  <si>
    <t>001781</t>
  </si>
  <si>
    <t>Outfall Front</t>
  </si>
  <si>
    <t>Outfall Back</t>
  </si>
  <si>
    <t>Fusion Paperboard</t>
  </si>
  <si>
    <t>133</t>
  </si>
  <si>
    <t>Unnamed Tributary</t>
  </si>
  <si>
    <t>001911</t>
  </si>
  <si>
    <t>DSN 006</t>
  </si>
  <si>
    <t>Papermill Pond</t>
  </si>
  <si>
    <t>Town of New Milford</t>
  </si>
  <si>
    <t xml:space="preserve">Housatonic River </t>
  </si>
  <si>
    <t>001952</t>
  </si>
  <si>
    <t>3 M Purification Inc.</t>
  </si>
  <si>
    <t>3 M Purification</t>
  </si>
  <si>
    <t>Willow Brook to Bishop's Pond</t>
  </si>
  <si>
    <t>001975</t>
  </si>
  <si>
    <t>002031</t>
  </si>
  <si>
    <t>Avon</t>
  </si>
  <si>
    <t>002081</t>
  </si>
  <si>
    <t>New England Chrome</t>
  </si>
  <si>
    <t>New England Chrome Plating</t>
  </si>
  <si>
    <t>043</t>
  </si>
  <si>
    <t>Roof Drain</t>
  </si>
  <si>
    <t>002098</t>
  </si>
  <si>
    <t>South Drain</t>
  </si>
  <si>
    <t>Frank Davis</t>
  </si>
  <si>
    <t>Wood Group Pratt &amp; Whitney</t>
  </si>
  <si>
    <t>002172</t>
  </si>
  <si>
    <t>SP001</t>
  </si>
  <si>
    <t>SP002</t>
  </si>
  <si>
    <t>I2S, LLC</t>
  </si>
  <si>
    <t>002185</t>
  </si>
  <si>
    <t xml:space="preserve">Jamie Holden </t>
  </si>
  <si>
    <t>Keeney Manufacturing Company</t>
  </si>
  <si>
    <t>Reliable Plating</t>
  </si>
  <si>
    <t>JSDA (Stamford)</t>
  </si>
  <si>
    <t>135</t>
  </si>
  <si>
    <t>Rippowam River-West Branch</t>
  </si>
  <si>
    <t>BDRA (Norwalk 001)</t>
  </si>
  <si>
    <t>Outer Norwalk Harbor (West)</t>
  </si>
  <si>
    <t xml:space="preserve">ITW Graphics </t>
  </si>
  <si>
    <t>Cos Cob Harbor</t>
  </si>
  <si>
    <t>CT-W2 022</t>
  </si>
  <si>
    <t>056</t>
  </si>
  <si>
    <t>Mystic River Watershed</t>
  </si>
  <si>
    <t>Whitey's Marina</t>
  </si>
  <si>
    <t>Enterococci</t>
  </si>
  <si>
    <t>LIS EB Inner-Niantic River (Mouth) Niantic</t>
  </si>
  <si>
    <t>CT-E1-20</t>
  </si>
  <si>
    <t>002166</t>
  </si>
  <si>
    <t>DATTCO</t>
  </si>
  <si>
    <t>5208-00</t>
  </si>
  <si>
    <t>311 Thames Street</t>
  </si>
  <si>
    <t>6912-08</t>
  </si>
  <si>
    <t>United Concrete 494 Main St Plant 2</t>
  </si>
  <si>
    <t>5200-00</t>
  </si>
  <si>
    <t>5302-06</t>
  </si>
  <si>
    <t>Philson Inc</t>
  </si>
  <si>
    <t>WPCA</t>
  </si>
  <si>
    <t>BDRA (Norwalk 002)</t>
  </si>
  <si>
    <t>Foster Corporation</t>
  </si>
  <si>
    <t>002434</t>
  </si>
  <si>
    <t>SHW Casting Technology</t>
  </si>
  <si>
    <t>E Branch Naugatuck River</t>
  </si>
  <si>
    <t>000948</t>
  </si>
  <si>
    <t>North end outfall</t>
  </si>
  <si>
    <t>Metal Improvement Company</t>
  </si>
  <si>
    <t>002373</t>
  </si>
  <si>
    <t>Ansonia Copper &amp; Brass</t>
  </si>
  <si>
    <t>Waterbury facility</t>
  </si>
  <si>
    <t>000531</t>
  </si>
  <si>
    <t>West side of WWTP</t>
  </si>
  <si>
    <t>Pepperidge Farm</t>
  </si>
  <si>
    <t>detention pond to Millbrook Wetland area</t>
  </si>
  <si>
    <t>001626</t>
  </si>
  <si>
    <t>Christopher Jewell</t>
  </si>
  <si>
    <t>Collins &amp; Jewell Co</t>
  </si>
  <si>
    <t>Elisha Brook</t>
  </si>
  <si>
    <t>002370</t>
  </si>
  <si>
    <t>outfall #2</t>
  </si>
  <si>
    <t>Atlantic Inertial Systems</t>
  </si>
  <si>
    <t>Judd Brook</t>
  </si>
  <si>
    <t>001624</t>
  </si>
  <si>
    <t>001</t>
  </si>
  <si>
    <t>Illinois Tool Works</t>
  </si>
  <si>
    <t>ITW Highland</t>
  </si>
  <si>
    <t>Tannery Brook</t>
  </si>
  <si>
    <t>000251</t>
  </si>
  <si>
    <t>roof drains</t>
  </si>
  <si>
    <t>parking lot</t>
  </si>
  <si>
    <t>GKN Aerospace</t>
  </si>
  <si>
    <t>002193</t>
  </si>
  <si>
    <t>outfall 003</t>
  </si>
  <si>
    <t>UniMetal Surface Finish</t>
  </si>
  <si>
    <t>Fulling Mill Brook</t>
  </si>
  <si>
    <t>000704</t>
  </si>
  <si>
    <t>manhole (southwest)</t>
  </si>
  <si>
    <t>Turner &amp; Seymour Mfg.</t>
  </si>
  <si>
    <t>000317</t>
  </si>
  <si>
    <t>DSN00004</t>
  </si>
  <si>
    <t>Thomas G. Faria Corp</t>
  </si>
  <si>
    <t>Oxoboxo River</t>
  </si>
  <si>
    <t>(SF-1) front parking lot</t>
  </si>
  <si>
    <t>(SF-2) shipping parking lot</t>
  </si>
  <si>
    <t>Advanced Adhesive Systems</t>
  </si>
  <si>
    <t>001828</t>
  </si>
  <si>
    <t>SD to Piper Brook</t>
  </si>
  <si>
    <t>Laticrete International Inc</t>
  </si>
  <si>
    <t>Belden Brook</t>
  </si>
  <si>
    <t>001188</t>
  </si>
  <si>
    <t>Hanna Paper Recycling</t>
  </si>
  <si>
    <t>Tech Circuits</t>
  </si>
  <si>
    <t>000335</t>
  </si>
  <si>
    <t>CB #8-1, outfall #8</t>
  </si>
  <si>
    <t>Sikorsky Aircraft Corp</t>
  </si>
  <si>
    <t>Sikorsky Bridgeport</t>
  </si>
  <si>
    <t>Cedar Creek</t>
  </si>
  <si>
    <t>000772</t>
  </si>
  <si>
    <t>Bridgeport I DSN001/SRN 85</t>
  </si>
  <si>
    <t>Bridgeport I DSN002/SRN 86</t>
  </si>
  <si>
    <t>Bridgeport I DSN003/SRN 87</t>
  </si>
  <si>
    <t>Bridgeport I DSN005/SRN 88</t>
  </si>
  <si>
    <t>Integra Cast</t>
  </si>
  <si>
    <t>Mattabassett</t>
  </si>
  <si>
    <t>000306</t>
  </si>
  <si>
    <t>Stanley Black &amp; Decker</t>
  </si>
  <si>
    <t>Stanley Tools</t>
  </si>
  <si>
    <t>001559</t>
  </si>
  <si>
    <t>D-004</t>
  </si>
  <si>
    <t>H&amp;T Waterbury</t>
  </si>
  <si>
    <t>Mack Brook</t>
  </si>
  <si>
    <t>001749</t>
  </si>
  <si>
    <t>CB#002</t>
  </si>
  <si>
    <t>Nuway Tobacco Co</t>
  </si>
  <si>
    <t>002168</t>
  </si>
  <si>
    <t>MS4-ct river</t>
  </si>
  <si>
    <t>Polymer Resources LTD</t>
  </si>
  <si>
    <t>MS4-Farmington Regional Basin</t>
  </si>
  <si>
    <t>000661</t>
  </si>
  <si>
    <t>SW002</t>
  </si>
  <si>
    <t>WPCF</t>
  </si>
  <si>
    <t>Town of Stratford</t>
  </si>
  <si>
    <t>002096</t>
  </si>
  <si>
    <t>138-305 WPC CB</t>
  </si>
  <si>
    <t>Jelliff Corp</t>
  </si>
  <si>
    <t>unnamed brook to LIS</t>
  </si>
  <si>
    <t>000849</t>
  </si>
  <si>
    <t>Giering Metal Finishing</t>
  </si>
  <si>
    <t>000407</t>
  </si>
  <si>
    <t>composite drains</t>
  </si>
  <si>
    <t>outfall#1 reinforced concrete pipe</t>
  </si>
  <si>
    <t>outfall#3 12" corregated metal pipe</t>
  </si>
  <si>
    <t>outfall#4 12" reinforced concrete pipe</t>
  </si>
  <si>
    <t>Prospect</t>
  </si>
  <si>
    <t>Prospect Recycling Center</t>
  </si>
  <si>
    <t>recycling center</t>
  </si>
  <si>
    <t>Mott Corp</t>
  </si>
  <si>
    <t>002191</t>
  </si>
  <si>
    <t>TurboCare</t>
  </si>
  <si>
    <t>Union Pond</t>
  </si>
  <si>
    <t>4500-00-3-L3 01</t>
  </si>
  <si>
    <t>001512</t>
  </si>
  <si>
    <t>U.S. Button Corp</t>
  </si>
  <si>
    <t>000629</t>
  </si>
  <si>
    <t>RR Donnelley</t>
  </si>
  <si>
    <t>001562</t>
  </si>
  <si>
    <t>United Abrassives</t>
  </si>
  <si>
    <t>unnamed brook to Natchaug River</t>
  </si>
  <si>
    <t>000695</t>
  </si>
  <si>
    <t>Light Sources</t>
  </si>
  <si>
    <t>LCD Lighting Inc</t>
  </si>
  <si>
    <t>Oyster river</t>
  </si>
  <si>
    <t>002241</t>
  </si>
  <si>
    <t>CB-F</t>
  </si>
  <si>
    <t>MH-1</t>
  </si>
  <si>
    <t>001168</t>
  </si>
  <si>
    <t>outfall 1</t>
  </si>
  <si>
    <t>New Hartford</t>
  </si>
  <si>
    <t>Nepaug Brook</t>
  </si>
  <si>
    <t>002085</t>
  </si>
  <si>
    <t>Donwell Company</t>
  </si>
  <si>
    <t>000248</t>
  </si>
  <si>
    <t>International Paper</t>
  </si>
  <si>
    <t>Putnam Container</t>
  </si>
  <si>
    <t>trib to Quinebaug River</t>
  </si>
  <si>
    <t>CT3700-00</t>
  </si>
  <si>
    <t>000741</t>
  </si>
  <si>
    <t>outfall #3</t>
  </si>
  <si>
    <t>Budney Overhaul &amp; Repair</t>
  </si>
  <si>
    <t>Silver Lake</t>
  </si>
  <si>
    <t>4601-00</t>
  </si>
  <si>
    <t>001807</t>
  </si>
  <si>
    <t>CB SWPPP-1</t>
  </si>
  <si>
    <t>Thomas G. Faria</t>
  </si>
  <si>
    <t>HP Hood</t>
  </si>
  <si>
    <t>Cannon Pond</t>
  </si>
  <si>
    <t>002221</t>
  </si>
  <si>
    <t>KX Technologies</t>
  </si>
  <si>
    <t>Cove River</t>
  </si>
  <si>
    <t>001920</t>
  </si>
  <si>
    <t>David Pizzo</t>
  </si>
  <si>
    <t>New Britain Transportation</t>
  </si>
  <si>
    <t>000714</t>
  </si>
  <si>
    <t>Mercury</t>
  </si>
  <si>
    <t>Chlordane ug/L</t>
  </si>
  <si>
    <t>Unison Engine Components</t>
  </si>
  <si>
    <t>Dry wells</t>
  </si>
  <si>
    <t>Sikorsky Stratford</t>
  </si>
  <si>
    <t>Far Mill &amp; Housatonic Rivers</t>
  </si>
  <si>
    <t>Stratford DSN 003/SRN 61</t>
  </si>
  <si>
    <t>Town of Cheshire</t>
  </si>
  <si>
    <t>Water Pollution Control Plant</t>
  </si>
  <si>
    <t>Cheshire</t>
  </si>
  <si>
    <t>S-004</t>
  </si>
  <si>
    <t>S-001</t>
  </si>
  <si>
    <t>DPW</t>
  </si>
  <si>
    <t>trib to Ten Mile River</t>
  </si>
  <si>
    <t>Cray Valley, LLC</t>
  </si>
  <si>
    <t>wet lands</t>
  </si>
  <si>
    <t>front sample basin</t>
  </si>
  <si>
    <t>Travel Centers</t>
  </si>
  <si>
    <t>facility # 171</t>
  </si>
  <si>
    <t>Stony Brook/Branford River</t>
  </si>
  <si>
    <t>SW-01/02</t>
  </si>
  <si>
    <t>SW-03</t>
  </si>
  <si>
    <t>Travel Centers of America</t>
  </si>
  <si>
    <t>facility # 154</t>
  </si>
  <si>
    <t>Tenmile River</t>
  </si>
  <si>
    <t>Rolling Frito-Lay Sales</t>
  </si>
  <si>
    <t>S Widsor DC</t>
  </si>
  <si>
    <t>Naugatuck DC</t>
  </si>
  <si>
    <t>trib to Fulling Mill</t>
  </si>
  <si>
    <t>Milford DC</t>
  </si>
  <si>
    <t>trib to Indian River</t>
  </si>
  <si>
    <t>Norwich DC</t>
  </si>
  <si>
    <t>outfall #5</t>
  </si>
  <si>
    <t>Allegheny Ludlum, LLC</t>
  </si>
  <si>
    <t>DSN 007</t>
  </si>
  <si>
    <t>Davis-Standard</t>
  </si>
  <si>
    <t>Anguilla Brook</t>
  </si>
  <si>
    <t>outfall A</t>
  </si>
  <si>
    <t>Colonial Coatings</t>
  </si>
  <si>
    <t>CB #1</t>
  </si>
  <si>
    <t>CB #2</t>
  </si>
  <si>
    <t>Conard corp</t>
  </si>
  <si>
    <t>Hubbard Creek</t>
  </si>
  <si>
    <t>CB#3</t>
  </si>
  <si>
    <t>City of Torrington</t>
  </si>
  <si>
    <t>outfall# 2</t>
  </si>
  <si>
    <t>American Electro Pdts</t>
  </si>
  <si>
    <t>outfall 00</t>
  </si>
  <si>
    <t>CoorsTek</t>
  </si>
  <si>
    <t>DeGrayes Brook</t>
  </si>
  <si>
    <t>Area Cooperative Education Services</t>
  </si>
  <si>
    <t>ACES-Access &amp; Transportation Services</t>
  </si>
  <si>
    <t>MS4 to Quinnipiac River Watershed</t>
  </si>
  <si>
    <t>Petroleum Terminals</t>
  </si>
  <si>
    <t>Gateway Terminal</t>
  </si>
  <si>
    <t>CB</t>
  </si>
  <si>
    <t>Lex Atlantic Corporation</t>
  </si>
  <si>
    <t>Waterfront Enterprises</t>
  </si>
  <si>
    <t>outfall</t>
  </si>
  <si>
    <t>Port Service</t>
  </si>
  <si>
    <t>outfall #7</t>
  </si>
  <si>
    <t>Polymer Resources</t>
  </si>
  <si>
    <t>UTC, Pratt &amp; Whitney Div</t>
  </si>
  <si>
    <t>Main Street</t>
  </si>
  <si>
    <t>Pewterpot Brook</t>
  </si>
  <si>
    <t>SWMP 005B1</t>
  </si>
  <si>
    <t>SWMP 005B2</t>
  </si>
  <si>
    <t>SWMP 017</t>
  </si>
  <si>
    <t>SWMP 018</t>
  </si>
  <si>
    <t>SWMP 020A</t>
  </si>
  <si>
    <t>SWMP 020B</t>
  </si>
  <si>
    <t>Colt Street</t>
  </si>
  <si>
    <t>SWMP 001</t>
  </si>
  <si>
    <t>Andrews Willgoos Turbine Laboratory</t>
  </si>
  <si>
    <t>SWMP 010</t>
  </si>
  <si>
    <t>SWMP 011</t>
  </si>
  <si>
    <t>Nucor Steel CT</t>
  </si>
  <si>
    <t>West Outfall</t>
  </si>
  <si>
    <t>East Outfall</t>
  </si>
  <si>
    <t>Chromatics</t>
  </si>
  <si>
    <t>wetlands</t>
  </si>
  <si>
    <t>CTANG</t>
  </si>
  <si>
    <t>Bradley Air National Guard</t>
  </si>
  <si>
    <t>DSN 0004</t>
  </si>
  <si>
    <t>MDC Hartford Water Treatment</t>
  </si>
  <si>
    <t>Hawley Brook</t>
  </si>
  <si>
    <t>DSN 0003</t>
  </si>
  <si>
    <t>United States Post Office</t>
  </si>
  <si>
    <t>Stamford Vehicle Maintenance</t>
  </si>
  <si>
    <t>New Haven Vehicle Maintenance</t>
  </si>
  <si>
    <t>Redland Brick</t>
  </si>
  <si>
    <t>KF Plant</t>
  </si>
  <si>
    <t>Styron LLC</t>
  </si>
  <si>
    <t>Allyns Point Site</t>
  </si>
  <si>
    <t>Tom Allyn Pond</t>
  </si>
  <si>
    <t>3000-05</t>
  </si>
  <si>
    <t>DSN 010</t>
  </si>
  <si>
    <t>DSN 017</t>
  </si>
  <si>
    <t>New Haven Terminal</t>
  </si>
  <si>
    <t>EHT-East Haven, CT Terminal</t>
  </si>
  <si>
    <t>Tuttle Brook</t>
  </si>
  <si>
    <t>outfall #1 (EHT-1)</t>
  </si>
  <si>
    <t>outfall #2 (EHT-2)</t>
  </si>
  <si>
    <t>outfall #3 (EHT-3)</t>
  </si>
  <si>
    <t>outfall #4 (EHT-4)</t>
  </si>
  <si>
    <t>outfall #6 (EHT-6)</t>
  </si>
  <si>
    <t>NHT-New Haven, CT Terminal</t>
  </si>
  <si>
    <t>outfall #1 (NHT-1)</t>
  </si>
  <si>
    <t>&gt;2419.6</t>
  </si>
  <si>
    <t>NHT-Central Leased Property</t>
  </si>
  <si>
    <t>Outfall 002 (NHT-CL:002)</t>
  </si>
  <si>
    <t>Flanders Rd. Landfill (inactive) &amp; Transfer Station</t>
  </si>
  <si>
    <t>The Lee Company</t>
  </si>
  <si>
    <t>Patchogue River/trout Brook</t>
  </si>
  <si>
    <t>000383</t>
  </si>
  <si>
    <t>outfall #2 pond to Cold Springs</t>
  </si>
  <si>
    <t>outfall #1 wetlands &amp; trout brook</t>
  </si>
  <si>
    <t>MS4 to New Haven Harbor</t>
  </si>
  <si>
    <t>outfall #1 (G-1)</t>
  </si>
  <si>
    <t>Durham Manufcturing Company</t>
  </si>
  <si>
    <t>Ball Brook</t>
  </si>
  <si>
    <t>000855</t>
  </si>
  <si>
    <t>Harborview Terminals</t>
  </si>
  <si>
    <t>Johnson Creek, Bridgeport Harbor</t>
  </si>
  <si>
    <t>000343</t>
  </si>
  <si>
    <t>swale behind loading dock</t>
  </si>
  <si>
    <t>Branson Ultrasonic Corp</t>
  </si>
  <si>
    <t>002023</t>
  </si>
  <si>
    <t>outfall 2</t>
  </si>
  <si>
    <t>outfall 3</t>
  </si>
  <si>
    <t>outfall 4</t>
  </si>
  <si>
    <t>Consolidated Industries Acquisitions Corp</t>
  </si>
  <si>
    <t>3662/3463</t>
  </si>
  <si>
    <t>Legere Group Inc</t>
  </si>
  <si>
    <t>H.Krevit &amp; Co</t>
  </si>
  <si>
    <t>001037</t>
  </si>
  <si>
    <t>CB South</t>
  </si>
  <si>
    <t>CB North</t>
  </si>
  <si>
    <t>Roof Drain South</t>
  </si>
  <si>
    <t xml:space="preserve">FedEx Freight </t>
  </si>
  <si>
    <t>HFD</t>
  </si>
  <si>
    <t>MS4 to Strawberry Meadow Brook</t>
  </si>
  <si>
    <t>001960</t>
  </si>
  <si>
    <t>CT River Main System</t>
  </si>
  <si>
    <t>002012</t>
  </si>
  <si>
    <t>Overhaul Support Services</t>
  </si>
  <si>
    <t>002054</t>
  </si>
  <si>
    <t>002055</t>
  </si>
  <si>
    <t>Hemmingway Creek</t>
  </si>
  <si>
    <t>002329</t>
  </si>
  <si>
    <t>dsn 001</t>
  </si>
  <si>
    <t>Peter Paul Electronics</t>
  </si>
  <si>
    <t>000193</t>
  </si>
  <si>
    <t>front entrance</t>
  </si>
  <si>
    <t>corner of property</t>
  </si>
  <si>
    <t>#20678</t>
  </si>
  <si>
    <t>wetland</t>
  </si>
  <si>
    <t>#11927</t>
  </si>
  <si>
    <t>001838</t>
  </si>
  <si>
    <t>City of Waterbury</t>
  </si>
  <si>
    <t>Refuse Dept &amp; Fleet Main. Garage</t>
  </si>
  <si>
    <t>Beaver Pond Brook</t>
  </si>
  <si>
    <t>6913-00-1</t>
  </si>
  <si>
    <t>002269</t>
  </si>
  <si>
    <t>CB prior to street-001</t>
  </si>
  <si>
    <t>Barnes Aerospace Aftermarket</t>
  </si>
  <si>
    <t>Windsor Airmotive</t>
  </si>
  <si>
    <t>Sheldon's Brook DeGraves Brook</t>
  </si>
  <si>
    <t>front lot CB</t>
  </si>
  <si>
    <t>Spartech Polycast</t>
  </si>
  <si>
    <t>LIS WB Inner-Stamford Harbor (inner)</t>
  </si>
  <si>
    <t>001407</t>
  </si>
  <si>
    <t>Azure Water Services</t>
  </si>
  <si>
    <t>5000-54</t>
  </si>
  <si>
    <t>002056</t>
  </si>
  <si>
    <t>outfall #001</t>
  </si>
  <si>
    <t>Corporate Office</t>
  </si>
  <si>
    <t>002032</t>
  </si>
  <si>
    <t>Christian Lane</t>
  </si>
  <si>
    <t>002109</t>
  </si>
  <si>
    <t>002279</t>
  </si>
  <si>
    <t>Hanson Pipe &amp; Precast</t>
  </si>
  <si>
    <t>001936</t>
  </si>
  <si>
    <t>SW01</t>
  </si>
  <si>
    <t>Rand Whitney Containerboard</t>
  </si>
  <si>
    <t>000723</t>
  </si>
  <si>
    <t>#1 Rip Rap</t>
  </si>
  <si>
    <t>#3 break in curb</t>
  </si>
  <si>
    <t>#6 CB</t>
  </si>
  <si>
    <t>#8 water sed. Tank</t>
  </si>
  <si>
    <t>Honeyspot Brook</t>
  </si>
  <si>
    <t>002419</t>
  </si>
  <si>
    <t>SW-2 (CB-A)</t>
  </si>
  <si>
    <t>#11085</t>
  </si>
  <si>
    <t>Mirror Polishing &amp; Plating</t>
  </si>
  <si>
    <t>Steel Brook, Naugatuck River</t>
  </si>
  <si>
    <t>000635</t>
  </si>
  <si>
    <t>3M Purification</t>
  </si>
  <si>
    <t>DATTCO Durham Branch</t>
  </si>
  <si>
    <t>002379</t>
  </si>
  <si>
    <t>Campion Ambulance Services</t>
  </si>
  <si>
    <t>002141</t>
  </si>
  <si>
    <t>Honeywell Fire Systems</t>
  </si>
  <si>
    <t>Five mile Brook</t>
  </si>
  <si>
    <t>001456</t>
  </si>
  <si>
    <t>S2-roof drain</t>
  </si>
  <si>
    <t>Nelson Heat Treating Co</t>
  </si>
  <si>
    <t>MS4 Great Brook</t>
  </si>
  <si>
    <t>Naugatuck river Basin</t>
  </si>
  <si>
    <t>000165</t>
  </si>
  <si>
    <t>Town of Westport</t>
  </si>
  <si>
    <t>158</t>
  </si>
  <si>
    <t>Saugatuck River</t>
  </si>
  <si>
    <t>001716</t>
  </si>
  <si>
    <t>Anco Eng., Inc</t>
  </si>
  <si>
    <t>trib to Far Mill River</t>
  </si>
  <si>
    <t>001767</t>
  </si>
  <si>
    <t>Town of Hamden</t>
  </si>
  <si>
    <t>DPW VOED Building</t>
  </si>
  <si>
    <t>001721</t>
  </si>
  <si>
    <t>CAAP Company</t>
  </si>
  <si>
    <t>001322</t>
  </si>
  <si>
    <t>The Home Depot Distributio Center #5982</t>
  </si>
  <si>
    <t>North Branch Park River</t>
  </si>
  <si>
    <t>002301</t>
  </si>
  <si>
    <t>BD Medical</t>
  </si>
  <si>
    <t>Robbin's swamp</t>
  </si>
  <si>
    <t>000224</t>
  </si>
  <si>
    <t>3841  3079</t>
  </si>
  <si>
    <t>shipping</t>
  </si>
  <si>
    <t>guard shack</t>
  </si>
  <si>
    <t>Pharmacia &amp; Upjohn</t>
  </si>
  <si>
    <t>000143</t>
  </si>
  <si>
    <t>SWPPP-1</t>
  </si>
  <si>
    <t>SWPPP-2/3</t>
  </si>
  <si>
    <t>SWPPP-4</t>
  </si>
  <si>
    <t>SWPPP-7</t>
  </si>
  <si>
    <t>Canton Village Construction</t>
  </si>
  <si>
    <t>4300-00</t>
  </si>
  <si>
    <t>001908</t>
  </si>
  <si>
    <t>Westinghouse Electric Co, LLC</t>
  </si>
  <si>
    <t>002424</t>
  </si>
  <si>
    <t>City of New Haven</t>
  </si>
  <si>
    <t>PW Garage</t>
  </si>
  <si>
    <t>CT5200-E-01</t>
  </si>
  <si>
    <t>001690</t>
  </si>
  <si>
    <t>Outlet #1</t>
  </si>
  <si>
    <t>Outlet #2</t>
  </si>
  <si>
    <t>Outlet #1 East</t>
  </si>
  <si>
    <t>5200-21</t>
  </si>
  <si>
    <t>002097</t>
  </si>
  <si>
    <t>Outlet #1 west</t>
  </si>
  <si>
    <t>Refuse Vehicle Garage/Washdown</t>
  </si>
  <si>
    <t>000800</t>
  </si>
  <si>
    <t>Har-Conn Chrome</t>
  </si>
  <si>
    <t>000356</t>
  </si>
  <si>
    <t>Cellu Tissue</t>
  </si>
  <si>
    <t>001634</t>
  </si>
  <si>
    <t>DSN-001 (2010 SW)</t>
  </si>
  <si>
    <t>Plasma Technology</t>
  </si>
  <si>
    <t>001511</t>
  </si>
  <si>
    <t>City of Norwalk</t>
  </si>
  <si>
    <t>000965</t>
  </si>
  <si>
    <t>south Smith Street Outfall</t>
  </si>
  <si>
    <t>Town of Middlefield</t>
  </si>
  <si>
    <t>082</t>
  </si>
  <si>
    <t>Coginchaug River</t>
  </si>
  <si>
    <t>002285</t>
  </si>
  <si>
    <t>MD-1</t>
  </si>
  <si>
    <t>MD-2</t>
  </si>
  <si>
    <t>NAES Kleen Energy Systems</t>
  </si>
  <si>
    <t>NAES-KES,LLC</t>
  </si>
  <si>
    <t>002393</t>
  </si>
  <si>
    <t>DSN 004-1</t>
  </si>
  <si>
    <t>DSN 006-1</t>
  </si>
  <si>
    <t>DSN 0018-1A</t>
  </si>
  <si>
    <t>CDECCA</t>
  </si>
  <si>
    <t>000231</t>
  </si>
  <si>
    <t>Fuel Oil Outfall #2 SD</t>
  </si>
  <si>
    <t>West Roof Drain</t>
  </si>
  <si>
    <t>Bridgeport Energy</t>
  </si>
  <si>
    <t>001119</t>
  </si>
  <si>
    <t>SC-1</t>
  </si>
  <si>
    <t>SEMIVOLS</t>
  </si>
  <si>
    <t>Town of North Haven</t>
  </si>
  <si>
    <t>Soild Waste Transfer Station</t>
  </si>
  <si>
    <t>000872</t>
  </si>
  <si>
    <t>T-Sta DSN 001</t>
  </si>
  <si>
    <t>Waterman's Brook</t>
  </si>
  <si>
    <t>000873</t>
  </si>
  <si>
    <t>DPW DSN 002</t>
  </si>
  <si>
    <t>DPW DSN 003</t>
  </si>
  <si>
    <t>DPW DSN 004</t>
  </si>
  <si>
    <t>John's Refuse</t>
  </si>
  <si>
    <t xml:space="preserve">outfall  </t>
  </si>
  <si>
    <t>Town of Wallingford</t>
  </si>
  <si>
    <t>Recycling Center &amp; Compost Center</t>
  </si>
  <si>
    <t>001367</t>
  </si>
  <si>
    <t>RC01</t>
  </si>
  <si>
    <t>Unnamed Brook</t>
  </si>
  <si>
    <t>outfall DSN001</t>
  </si>
  <si>
    <t>NH Solid Waste &amp; Recycling Authority</t>
  </si>
  <si>
    <t>Outfall 1 (pipe)</t>
  </si>
  <si>
    <t>Outfall 2 (roadway)</t>
  </si>
  <si>
    <t>CRRA</t>
  </si>
  <si>
    <t>Watertown Transfer Station</t>
  </si>
  <si>
    <t>000522</t>
  </si>
  <si>
    <t>&gt;600</t>
  </si>
  <si>
    <t>&gt;12,000</t>
  </si>
  <si>
    <t>013</t>
  </si>
  <si>
    <t>001130</t>
  </si>
  <si>
    <t>027</t>
  </si>
  <si>
    <t>085</t>
  </si>
  <si>
    <t>092</t>
  </si>
  <si>
    <t>038</t>
  </si>
  <si>
    <t>061</t>
  </si>
  <si>
    <t>021</t>
  </si>
  <si>
    <t>023</t>
  </si>
  <si>
    <t>Ernest Drenckhahn</t>
  </si>
  <si>
    <t>Drenckhahn Boat Basin</t>
  </si>
  <si>
    <t>Mianus River</t>
  </si>
  <si>
    <t>002441</t>
  </si>
  <si>
    <t>Port Niantic</t>
  </si>
  <si>
    <t>H.W. Maxwell</t>
  </si>
  <si>
    <t>002231</t>
  </si>
  <si>
    <t>Southeast corner of property</t>
  </si>
  <si>
    <t>Birbarie Marine Sales</t>
  </si>
  <si>
    <t>Branford Marine Railway</t>
  </si>
  <si>
    <t>001047</t>
  </si>
  <si>
    <t>Noank Shipyard, Inc</t>
  </si>
  <si>
    <t>Noank Shipyard</t>
  </si>
  <si>
    <t>000986</t>
  </si>
  <si>
    <t>Outfall #4</t>
  </si>
  <si>
    <t>River Properties Inc.</t>
  </si>
  <si>
    <t>Brewer Dauntless Shipyard</t>
  </si>
  <si>
    <t>North Cove, CT River</t>
  </si>
  <si>
    <t>002100</t>
  </si>
  <si>
    <t>Brewer Dauntless Marina</t>
  </si>
  <si>
    <t>002435</t>
  </si>
  <si>
    <t>Marina</t>
  </si>
  <si>
    <t>Mystic River Properties, Inc.</t>
  </si>
  <si>
    <t>DBA Brewer Yacht Yard Mystic</t>
  </si>
  <si>
    <t>000909</t>
  </si>
  <si>
    <t>"C" Dock</t>
  </si>
  <si>
    <t>CTL No. 15658</t>
  </si>
  <si>
    <t>CT River - Long Island Sound EB Inner</t>
  </si>
  <si>
    <t>CT-ET 024-SB</t>
  </si>
  <si>
    <t>The Strand/BRC Group, LLC</t>
  </si>
  <si>
    <t>Harbor Point Marina, South</t>
  </si>
  <si>
    <t>Stamford Harbor</t>
  </si>
  <si>
    <t>002522</t>
  </si>
  <si>
    <t>001576</t>
  </si>
  <si>
    <t>In Middle of Yard</t>
  </si>
  <si>
    <t>Brewer Pilots Point</t>
  </si>
  <si>
    <t>South Yard</t>
  </si>
  <si>
    <t>000907</t>
  </si>
  <si>
    <t>Outfall 026, South Yard</t>
  </si>
  <si>
    <t>Outfall 024, South Yard</t>
  </si>
  <si>
    <t>Outfall 018, South Yard</t>
  </si>
  <si>
    <t>North Yard</t>
  </si>
  <si>
    <t>Menunketesuck River</t>
  </si>
  <si>
    <t>Outfall 007, North Yard</t>
  </si>
  <si>
    <t>Outfall 003, North Yard</t>
  </si>
  <si>
    <t>Outfall 008, South Yard</t>
  </si>
  <si>
    <t>Outfall 011, South Yard</t>
  </si>
  <si>
    <t>Pootatuck Yacht Club</t>
  </si>
  <si>
    <t>002472</t>
  </si>
  <si>
    <t>Outfall 1 (PYC-OF-1)</t>
  </si>
  <si>
    <t>Jeff Marshall</t>
  </si>
  <si>
    <t>002380</t>
  </si>
  <si>
    <t>#2 East Yard - Stafford St</t>
  </si>
  <si>
    <t>#1 West Yard - Essex St</t>
  </si>
  <si>
    <t>Ragged Rock Marina Corporation</t>
  </si>
  <si>
    <t>Ragged Rock Marina</t>
  </si>
  <si>
    <t>Basin-RR#1</t>
  </si>
  <si>
    <t>001270</t>
  </si>
  <si>
    <t>Ragged Rock Marina Basin #1 RR</t>
  </si>
  <si>
    <t>Basin-RR#2</t>
  </si>
  <si>
    <t>Ragged Rock Marina Basin-2 RR</t>
  </si>
  <si>
    <t>Basin #3</t>
  </si>
  <si>
    <t>Ragged Rock Marina Basin 3</t>
  </si>
  <si>
    <t>Rick Kral</t>
  </si>
  <si>
    <t>Beacon Point Marine</t>
  </si>
  <si>
    <t>001158</t>
  </si>
  <si>
    <t>CB2</t>
  </si>
  <si>
    <t>000862</t>
  </si>
  <si>
    <t>Shipyard</t>
  </si>
  <si>
    <t>000856</t>
  </si>
  <si>
    <t>Brewer Deep River Marina</t>
  </si>
  <si>
    <t>000419</t>
  </si>
  <si>
    <t>Parking Lot Catch Basin</t>
  </si>
  <si>
    <t>Victor Matz</t>
  </si>
  <si>
    <t>Chrisholm Marina, Inc.</t>
  </si>
  <si>
    <t>002436</t>
  </si>
  <si>
    <t>Branford Landing Marina, Inc.</t>
  </si>
  <si>
    <t>001981</t>
  </si>
  <si>
    <t>Large Dry Rock (AREA 004)</t>
  </si>
  <si>
    <t>Naval Submarine Base New London</t>
  </si>
  <si>
    <t>000679</t>
  </si>
  <si>
    <t>STORM-B460-A025 (OF-001)</t>
  </si>
  <si>
    <t>Barb Road-A028 (OF-002)</t>
  </si>
  <si>
    <t>SUBSCOL B519-A026 (OF-004)</t>
  </si>
  <si>
    <t>Storm-B89-A024 (OF-005)</t>
  </si>
  <si>
    <t>Storm-B89-A023 (OF-006)</t>
  </si>
  <si>
    <t>Storm-Ballfield-A027 (OF-007)</t>
  </si>
  <si>
    <t>Collins &amp; Jewell Co. Inc.</t>
  </si>
  <si>
    <t>Fecal coliform</t>
  </si>
  <si>
    <t>Aluminum</t>
  </si>
  <si>
    <t>Iron</t>
  </si>
  <si>
    <t>Storm-Yatch-A029 (OF-003)</t>
  </si>
  <si>
    <t>002132</t>
  </si>
  <si>
    <t>y</t>
  </si>
  <si>
    <t>?</t>
  </si>
  <si>
    <t>Smith Cove, Niantic River</t>
  </si>
  <si>
    <t>2012-2013</t>
  </si>
  <si>
    <t>Arite Used Auto Parts</t>
  </si>
  <si>
    <t>CT4603-00_01</t>
  </si>
  <si>
    <t>002551</t>
  </si>
  <si>
    <t>Dunning Ben</t>
  </si>
  <si>
    <t>Dunning Sand/Gravel</t>
  </si>
  <si>
    <t>Dunning Lake</t>
  </si>
  <si>
    <t>002310</t>
  </si>
  <si>
    <t>outfall sed pond #2</t>
  </si>
  <si>
    <t>Waterbury Auto Salvage</t>
  </si>
  <si>
    <t>002528</t>
  </si>
  <si>
    <t>Philson Inc.</t>
  </si>
  <si>
    <t>&gt;300</t>
  </si>
  <si>
    <t>I2S, LLc.</t>
  </si>
  <si>
    <t>Safety-Kleen Systems, Inc.</t>
  </si>
  <si>
    <t>Portland Facility</t>
  </si>
  <si>
    <t>002045</t>
  </si>
  <si>
    <t>Outfall-2</t>
  </si>
  <si>
    <t>Otis Elevator Company</t>
  </si>
  <si>
    <t>Onsite wetlands to Wash Brook</t>
  </si>
  <si>
    <t>002319</t>
  </si>
  <si>
    <t>SWS-001</t>
  </si>
  <si>
    <t>Rogers Corporation</t>
  </si>
  <si>
    <t>Woodstock</t>
  </si>
  <si>
    <t>169</t>
  </si>
  <si>
    <t>000879</t>
  </si>
  <si>
    <t>002114</t>
  </si>
  <si>
    <t>000934</t>
  </si>
  <si>
    <t>Rayco Metal Finishing</t>
  </si>
  <si>
    <t>001211</t>
  </si>
  <si>
    <t>SD-rear</t>
  </si>
  <si>
    <t>The Metroploitan District</t>
  </si>
  <si>
    <t>MDC Goodwin Hydroelectric Facility</t>
  </si>
  <si>
    <t>001691</t>
  </si>
  <si>
    <t>Kimberly-Clark</t>
  </si>
  <si>
    <t>000746</t>
  </si>
  <si>
    <t>D001 SD</t>
  </si>
  <si>
    <t>D003 SD</t>
  </si>
  <si>
    <t>D004 SD</t>
  </si>
  <si>
    <t>Goodrich Corp</t>
  </si>
  <si>
    <t>001432</t>
  </si>
  <si>
    <t>CT Transit</t>
  </si>
  <si>
    <t>CT River Basin</t>
  </si>
  <si>
    <t>000696</t>
  </si>
  <si>
    <t>Aqua Blasting Corp</t>
  </si>
  <si>
    <t>SW basin</t>
  </si>
  <si>
    <t>Stanadyne Corp</t>
  </si>
  <si>
    <t>trib to CT River</t>
  </si>
  <si>
    <t>001A</t>
  </si>
  <si>
    <t>001B</t>
  </si>
  <si>
    <t>ABF Freight</t>
  </si>
  <si>
    <t>Drywell</t>
  </si>
  <si>
    <t>002326</t>
  </si>
  <si>
    <t>000110</t>
  </si>
  <si>
    <t>The Commercial Foundry Company</t>
  </si>
  <si>
    <t>CT4602-00_01</t>
  </si>
  <si>
    <t>000843</t>
  </si>
  <si>
    <t>outfall 3 (2 verticle roof leaders from Bronze Area)</t>
  </si>
  <si>
    <t>Doncasters</t>
  </si>
  <si>
    <t>trib to Scott Swamp Brook</t>
  </si>
  <si>
    <t>Pequabuck</t>
  </si>
  <si>
    <t>002 (CB)</t>
  </si>
  <si>
    <t>003 (pipe)</t>
  </si>
  <si>
    <t>Keystone Paper &amp; Box Co</t>
  </si>
  <si>
    <t>4000-18</t>
  </si>
  <si>
    <t>002426</t>
  </si>
  <si>
    <t>skip</t>
  </si>
  <si>
    <t xml:space="preserve">Thomas C. Terjesen </t>
  </si>
  <si>
    <t>KIMBERLY-CLARK</t>
  </si>
  <si>
    <t>Landfill</t>
  </si>
  <si>
    <t>000745</t>
  </si>
  <si>
    <t>landfill SD</t>
  </si>
  <si>
    <t>State of CT DOT</t>
  </si>
  <si>
    <t>Waterbury-Oxford Airport</t>
  </si>
  <si>
    <t>WO-B (BB37736)</t>
  </si>
  <si>
    <t>WO-B (BB37737)</t>
  </si>
  <si>
    <t>WO-B (BB37738)</t>
  </si>
  <si>
    <t>Groton-NewLondon Airport</t>
  </si>
  <si>
    <t>LIS, SE Shore Regional District</t>
  </si>
  <si>
    <t>DSN001(BC63283)</t>
  </si>
  <si>
    <t>DSN002(BC63284)</t>
  </si>
  <si>
    <t>DSN003(BC63285)</t>
  </si>
  <si>
    <t>DSN004(BC63286)</t>
  </si>
  <si>
    <t>Windham Airport</t>
  </si>
  <si>
    <t>pond</t>
  </si>
  <si>
    <t>Natchaug Regional Basin</t>
  </si>
  <si>
    <t>DSN001(BC63239)</t>
  </si>
  <si>
    <t>Brainard Airport</t>
  </si>
  <si>
    <t>DSN001(BC69760)</t>
  </si>
  <si>
    <t>DSN002(BC69761)</t>
  </si>
  <si>
    <t>DSN003(BC69762)</t>
  </si>
  <si>
    <t>Tweed-New Haven Airport</t>
  </si>
  <si>
    <t>Morris Creek</t>
  </si>
  <si>
    <t>000076</t>
  </si>
  <si>
    <t>DSN001 (BB55188)</t>
  </si>
  <si>
    <t>DSN002 (BB55189)</t>
  </si>
  <si>
    <t>Meriden</t>
  </si>
  <si>
    <t>Spruce Glen Brook</t>
  </si>
  <si>
    <t>000957</t>
  </si>
  <si>
    <t>DSN001 (BB55186)</t>
  </si>
  <si>
    <t>Orange</t>
  </si>
  <si>
    <t>wetland to Wepawaug Reservoir</t>
  </si>
  <si>
    <t>000052</t>
  </si>
  <si>
    <t>DSN001 (BB37734)</t>
  </si>
  <si>
    <t>Thomaston</t>
  </si>
  <si>
    <t>Sutliffe Brook</t>
  </si>
  <si>
    <t>Housatonic</t>
  </si>
  <si>
    <t>000068</t>
  </si>
  <si>
    <t>DSN001 (BB78868)</t>
  </si>
  <si>
    <t>Litchfield</t>
  </si>
  <si>
    <t>Moulthrop Brook</t>
  </si>
  <si>
    <t>Shepaug</t>
  </si>
  <si>
    <t>000034</t>
  </si>
  <si>
    <t>DSN001 (BB78870)</t>
  </si>
  <si>
    <t>074</t>
  </si>
  <si>
    <t>Beacon Point Marina</t>
  </si>
  <si>
    <t>002103</t>
  </si>
  <si>
    <t>behind salt shed 215 Main Street</t>
  </si>
  <si>
    <t>Telefles-CT Devices</t>
  </si>
  <si>
    <t>001658</t>
  </si>
  <si>
    <t>&gt;24,200</t>
  </si>
  <si>
    <t>Arkema, Inc</t>
  </si>
  <si>
    <t>Altuglas</t>
  </si>
  <si>
    <t>unnamed pond to Mattabassett</t>
  </si>
  <si>
    <t>000927</t>
  </si>
  <si>
    <t>Shepards Inc</t>
  </si>
  <si>
    <t>001181</t>
  </si>
  <si>
    <t>SD</t>
  </si>
  <si>
    <t>Triumph Actuation Systems-CT,LLC</t>
  </si>
  <si>
    <t>Pattagansett River</t>
  </si>
  <si>
    <t>001883</t>
  </si>
  <si>
    <t>SWD-1</t>
  </si>
  <si>
    <t>4000-26-1</t>
  </si>
  <si>
    <t>CT River Tributary</t>
  </si>
  <si>
    <t>Transfer Station West</t>
  </si>
  <si>
    <t>Transfer Station East</t>
  </si>
  <si>
    <t>Refuse Vehicle Garage 002</t>
  </si>
  <si>
    <t>Refuse Vehicle Garage 001</t>
  </si>
  <si>
    <t>Gerow Brook</t>
  </si>
  <si>
    <t>Muddy River, Quinnipiac River Basin</t>
  </si>
  <si>
    <t>Town of Stonington</t>
  </si>
  <si>
    <t>Solid Waste Facility</t>
  </si>
  <si>
    <t>Wequetequock River</t>
  </si>
  <si>
    <t>000947</t>
  </si>
  <si>
    <t>Outfall 1 (Ston SWF OF 1)</t>
  </si>
  <si>
    <t>Town of Suffield</t>
  </si>
  <si>
    <t>Town of Suffield Landfill</t>
  </si>
  <si>
    <t>Mountain Brook, Connecticut River Basin</t>
  </si>
  <si>
    <t>000547</t>
  </si>
  <si>
    <t>LBI, Inc</t>
  </si>
  <si>
    <t>001924</t>
  </si>
  <si>
    <t>STORM-B460-B025 (OF-001)</t>
  </si>
  <si>
    <t>Barb Road-B028 (OF-002)</t>
  </si>
  <si>
    <t>Storm-Yacht-B029 (OF-003)</t>
  </si>
  <si>
    <t>SUBSCOL B519-B026 (OF-004)</t>
  </si>
  <si>
    <t>Storm-B89-B024 (OF-005)</t>
  </si>
  <si>
    <t>Storm-B85-B023 (OF-006)</t>
  </si>
  <si>
    <t>Storm-Ballfield-B027 (OF-007)</t>
  </si>
  <si>
    <t>LBI</t>
  </si>
  <si>
    <t>Stonington on the River</t>
  </si>
  <si>
    <t>002288</t>
  </si>
  <si>
    <t>Town Dock</t>
  </si>
  <si>
    <t>000748</t>
  </si>
  <si>
    <t>Outfall 1 (Ston TD-1)</t>
  </si>
  <si>
    <t>CT-EL-20</t>
  </si>
  <si>
    <t>mouth of Niantic River</t>
  </si>
  <si>
    <t>Town of Southington</t>
  </si>
  <si>
    <t>000839</t>
  </si>
  <si>
    <t>Outfall 1 Transfer Station</t>
  </si>
  <si>
    <t>Outfall 2 Transfer Station</t>
  </si>
  <si>
    <t>Town of Stamford</t>
  </si>
  <si>
    <t>Stamford WPCA</t>
  </si>
  <si>
    <t>001017</t>
  </si>
  <si>
    <t>001756</t>
  </si>
  <si>
    <t>Outfall 1 (Ston WPCF OF 1)</t>
  </si>
  <si>
    <t>Outfall 1 (Ston WPCF-1)</t>
  </si>
  <si>
    <t>Water Pollution Control Authority</t>
  </si>
  <si>
    <t>Stony Brook</t>
  </si>
  <si>
    <t>001460</t>
  </si>
  <si>
    <t>WPCA - East Street</t>
  </si>
  <si>
    <t>Muddy Brook</t>
  </si>
  <si>
    <t>001459</t>
  </si>
  <si>
    <t>DPW Maintenance Garage</t>
  </si>
  <si>
    <t>Highway Garage</t>
  </si>
  <si>
    <t>Storm Drain in Parking Area</t>
  </si>
  <si>
    <t>001688</t>
  </si>
  <si>
    <t>Town of Warren</t>
  </si>
  <si>
    <t>Site #1 Public Works Garage</t>
  </si>
  <si>
    <t>149</t>
  </si>
  <si>
    <t>East Aspetuck River Drainage Basin</t>
  </si>
  <si>
    <t xml:space="preserve"> </t>
  </si>
  <si>
    <t>001819</t>
  </si>
  <si>
    <t>Storm Water</t>
  </si>
  <si>
    <t>Storm Drain Near Salt Shed</t>
  </si>
  <si>
    <t>Site #2 Storm Drain Near Skating Pond</t>
  </si>
  <si>
    <t>Storm Drain Near Skating Pond</t>
  </si>
  <si>
    <t>Town of Waterbury</t>
  </si>
  <si>
    <t>Catchbasin prior to street - Outfall 001</t>
  </si>
  <si>
    <t>Town of West Haven</t>
  </si>
  <si>
    <t>West Haven WPCF</t>
  </si>
  <si>
    <t>002116</t>
  </si>
  <si>
    <t>Outfall Location 2</t>
  </si>
  <si>
    <t>Outfall Location 3</t>
  </si>
  <si>
    <t>Outfall Location 1</t>
  </si>
  <si>
    <t>Outfall 1 Garage</t>
  </si>
  <si>
    <t>Suffield DPW Highway Maintenance Garage</t>
  </si>
  <si>
    <t>6913-00-1.6913-01-1</t>
  </si>
  <si>
    <t>Town of Avon</t>
  </si>
  <si>
    <t>DPW Garage</t>
  </si>
  <si>
    <t>001202</t>
  </si>
  <si>
    <t>Outfall No. 1 (DPW OF-1)</t>
  </si>
  <si>
    <t>Transfer Station/Landfill</t>
  </si>
  <si>
    <t>Outfall 6 (LF/TS OF-6)</t>
  </si>
  <si>
    <t>Town of Bolton</t>
  </si>
  <si>
    <t>012</t>
  </si>
  <si>
    <t>Unnamed Wetland - Hop River Watershed</t>
  </si>
  <si>
    <t>002145</t>
  </si>
  <si>
    <t>#1</t>
  </si>
  <si>
    <t>City of Bridgeport - East Side</t>
  </si>
  <si>
    <t>Bridgeport East Side WWTP</t>
  </si>
  <si>
    <t>001900</t>
  </si>
  <si>
    <t>East Plant Catch Basin</t>
  </si>
  <si>
    <t>East Side Catch Basin</t>
  </si>
  <si>
    <t>(PWG) DSN-O1</t>
  </si>
  <si>
    <t>Town of Berlin</t>
  </si>
  <si>
    <t>4600-00-3-R1</t>
  </si>
  <si>
    <t>001790</t>
  </si>
  <si>
    <t>9199/4953</t>
  </si>
  <si>
    <t>S-2</t>
  </si>
  <si>
    <t>S-3</t>
  </si>
  <si>
    <t>City of Bristol</t>
  </si>
  <si>
    <t>City Garage</t>
  </si>
  <si>
    <t>Eight Mile River, Quinnipiac River Basin</t>
  </si>
  <si>
    <t>000098</t>
  </si>
  <si>
    <t>Outfall 1 (CG-OF-1)</t>
  </si>
  <si>
    <t>Town of Bozrah</t>
  </si>
  <si>
    <t>Town of Bozrah Public Works</t>
  </si>
  <si>
    <t>3900-00-4-L1</t>
  </si>
  <si>
    <t>001788</t>
  </si>
  <si>
    <t>Town of Chester</t>
  </si>
  <si>
    <t>Public Works Department</t>
  </si>
  <si>
    <t>Unnamed Tributary to Wetlands of Chester Creek</t>
  </si>
  <si>
    <t>001741</t>
  </si>
  <si>
    <t>Town of Coventry</t>
  </si>
  <si>
    <t>Coventry Dept. of Public Works</t>
  </si>
  <si>
    <t>032</t>
  </si>
  <si>
    <t>Unnamed wetlands - Skunkamaug River</t>
  </si>
  <si>
    <t>002431</t>
  </si>
  <si>
    <t>Town of Columbia</t>
  </si>
  <si>
    <t>Town of Columbia Public Works</t>
  </si>
  <si>
    <t>030</t>
  </si>
  <si>
    <t>3108-00-3-R10</t>
  </si>
  <si>
    <t>001300</t>
  </si>
  <si>
    <t>Town of Deep River</t>
  </si>
  <si>
    <t>Municipal Garage &amp; Transfer Station</t>
  </si>
  <si>
    <t>Unnamed Tributary to Wetlands of Deep River</t>
  </si>
  <si>
    <t>001255</t>
  </si>
  <si>
    <t>#3</t>
  </si>
  <si>
    <t>City of Derby</t>
  </si>
  <si>
    <t>Derby Water Pollution Control</t>
  </si>
  <si>
    <t>001949</t>
  </si>
  <si>
    <t>Catch Basin 1 &amp; 2</t>
  </si>
  <si>
    <t>001387</t>
  </si>
  <si>
    <t>Town of East Hampton</t>
  </si>
  <si>
    <t>042</t>
  </si>
  <si>
    <t>Mine Brook</t>
  </si>
  <si>
    <t>001413</t>
  </si>
  <si>
    <t>Town of East Hartford</t>
  </si>
  <si>
    <t>000106</t>
  </si>
  <si>
    <t>Parks Department</t>
  </si>
  <si>
    <t>Town of East Windsor</t>
  </si>
  <si>
    <t>001469</t>
  </si>
  <si>
    <t>Outfall 1 (EW PWG OF-1)</t>
  </si>
  <si>
    <t>Town of Ellington</t>
  </si>
  <si>
    <t>001466</t>
  </si>
  <si>
    <t>Town of Essex</t>
  </si>
  <si>
    <t>001258</t>
  </si>
  <si>
    <t>Shop #1</t>
  </si>
  <si>
    <t>Shop #2</t>
  </si>
  <si>
    <t>Town of Granby</t>
  </si>
  <si>
    <t>Department of Public Works</t>
  </si>
  <si>
    <t>Salmon Brook, Farmington River Drainage Basin</t>
  </si>
  <si>
    <t>001197</t>
  </si>
  <si>
    <t>Outfall 1 (Granby DPW)</t>
  </si>
  <si>
    <t>City of Groton</t>
  </si>
  <si>
    <t>D-2</t>
  </si>
  <si>
    <t>Town of Haddam</t>
  </si>
  <si>
    <t>Ponset Brook, CT River</t>
  </si>
  <si>
    <t>002104</t>
  </si>
  <si>
    <t>Outfall 1 (Haddam TG OF 1)</t>
  </si>
  <si>
    <t>001682</t>
  </si>
  <si>
    <t>001982</t>
  </si>
  <si>
    <t>Town of Hamden VOED Building</t>
  </si>
  <si>
    <t>Town of Hebron</t>
  </si>
  <si>
    <t>Public Works Garage/Transfer Station</t>
  </si>
  <si>
    <t>067</t>
  </si>
  <si>
    <t>001408</t>
  </si>
  <si>
    <t>Town of Lebanon</t>
  </si>
  <si>
    <t>071</t>
  </si>
  <si>
    <t>Susquetonscut Brook</t>
  </si>
  <si>
    <t>3907-03-1</t>
  </si>
  <si>
    <t>001746</t>
  </si>
  <si>
    <t>Public Works &amp; Transfer Station</t>
  </si>
  <si>
    <t>Town of Marlborough</t>
  </si>
  <si>
    <t>079</t>
  </si>
  <si>
    <t>Unnamed Tributary to Wetlands of Blackledge River</t>
  </si>
  <si>
    <t>4707-13-1</t>
  </si>
  <si>
    <t>000949</t>
  </si>
  <si>
    <t>Unnamed Tributary to Cattle Lot Brook/Dickinson Creek</t>
  </si>
  <si>
    <t>4708-04-01</t>
  </si>
  <si>
    <t>000938</t>
  </si>
  <si>
    <t>TS 1</t>
  </si>
  <si>
    <t>DSN-O1</t>
  </si>
  <si>
    <t>City of Milford</t>
  </si>
  <si>
    <t>Billberry Swamp, Housatonic River Basin</t>
  </si>
  <si>
    <t>000994</t>
  </si>
  <si>
    <t>Outfall 006A</t>
  </si>
  <si>
    <t>Town of Montville</t>
  </si>
  <si>
    <t>Horton Cove/Thames River</t>
  </si>
  <si>
    <t>001968</t>
  </si>
  <si>
    <t>Long Meadow Pond Brook</t>
  </si>
  <si>
    <t>6917-00-2-R3</t>
  </si>
  <si>
    <t>001366</t>
  </si>
  <si>
    <t>S-001, Trans Stn/Pks Dept</t>
  </si>
  <si>
    <t>S-002, Trans Stn/Pks Dept</t>
  </si>
  <si>
    <t>6917-00-2-L4</t>
  </si>
  <si>
    <t>001365</t>
  </si>
  <si>
    <t>DA-001 Pub Wks Garage</t>
  </si>
  <si>
    <t>6900-00-4-R15</t>
  </si>
  <si>
    <t>002422</t>
  </si>
  <si>
    <t>CB-1 Police Dept</t>
  </si>
  <si>
    <t>Salt - Salt Storage Facility</t>
  </si>
  <si>
    <t>CT 5200-E-01</t>
  </si>
  <si>
    <t>Public Works Garage 002</t>
  </si>
  <si>
    <t>Public Works Garage 001</t>
  </si>
  <si>
    <t>Waterman's Brook, Quinnipiac River Basin</t>
  </si>
  <si>
    <t>Outfall 1-DPW</t>
  </si>
  <si>
    <t>Town of Newington</t>
  </si>
  <si>
    <t>Highway Department Garage</t>
  </si>
  <si>
    <t>4402-00-2</t>
  </si>
  <si>
    <t>000133</t>
  </si>
  <si>
    <t>HD-01</t>
  </si>
  <si>
    <t>HD-02</t>
  </si>
  <si>
    <t>Town of Old Lyme</t>
  </si>
  <si>
    <t>Department of Public Works Facility</t>
  </si>
  <si>
    <t>2000-47-1-L1</t>
  </si>
  <si>
    <t>001733</t>
  </si>
  <si>
    <t>Eight Mile Brook</t>
  </si>
  <si>
    <t>6023-09-1</t>
  </si>
  <si>
    <t>DSN-02</t>
  </si>
  <si>
    <t>001251</t>
  </si>
  <si>
    <t>Town of Old Saybrook</t>
  </si>
  <si>
    <t>Unnamed Tributary to Ingham Pond/Oyster River Watershed</t>
  </si>
  <si>
    <t>001349</t>
  </si>
  <si>
    <t>PW1</t>
  </si>
  <si>
    <t>TS2</t>
  </si>
  <si>
    <t>TS3</t>
  </si>
  <si>
    <t>Town of Putnam</t>
  </si>
  <si>
    <t>Fox Road</t>
  </si>
  <si>
    <t>Wetlands Little Dam Tavern Brook</t>
  </si>
  <si>
    <t>3700-13</t>
  </si>
  <si>
    <t>001267</t>
  </si>
  <si>
    <t>Fox Rd</t>
  </si>
  <si>
    <t>001617</t>
  </si>
  <si>
    <t>Outfall 1 North</t>
  </si>
  <si>
    <t>Outfall 2 South</t>
  </si>
  <si>
    <t>Outfall 3 East Garage</t>
  </si>
  <si>
    <t>Outfall 4 East Tertiary</t>
  </si>
  <si>
    <t>Maintenance Facility</t>
  </si>
  <si>
    <t>001917</t>
  </si>
  <si>
    <t>Town of Salem</t>
  </si>
  <si>
    <t>121</t>
  </si>
  <si>
    <t>Unnamed Tributary/East Branch Eight Mile River Watershed</t>
  </si>
  <si>
    <t>001099</t>
  </si>
  <si>
    <t>Harris Brook Drainage Basin</t>
  </si>
  <si>
    <t>002479</t>
  </si>
  <si>
    <t>Town of Seymour</t>
  </si>
  <si>
    <t>Seymour PWG</t>
  </si>
  <si>
    <t>6900-00</t>
  </si>
  <si>
    <t>001490</t>
  </si>
  <si>
    <t>Town of Sharon</t>
  </si>
  <si>
    <t>Storm Drain #1</t>
  </si>
  <si>
    <t>125</t>
  </si>
  <si>
    <t>Webatuck River Drainage Bin</t>
  </si>
  <si>
    <t>001417</t>
  </si>
  <si>
    <t>Swale on South End of Site</t>
  </si>
  <si>
    <t>Town of Stafford</t>
  </si>
  <si>
    <t>Stafford Public Works Garage</t>
  </si>
  <si>
    <t>000280</t>
  </si>
  <si>
    <t>Stafford Transfer Station</t>
  </si>
  <si>
    <t>Alden Brook</t>
  </si>
  <si>
    <t>001584</t>
  </si>
  <si>
    <t>Stamford Highway</t>
  </si>
  <si>
    <t>Inner Stamford Harbor</t>
  </si>
  <si>
    <t>002499</t>
  </si>
  <si>
    <t>000755</t>
  </si>
  <si>
    <t>Outfall 1 (Ston HG-1)</t>
  </si>
  <si>
    <t>Stony Brook, Connecticut River Basin</t>
  </si>
  <si>
    <t>Muddy Brook, Connecticut River Basin</t>
  </si>
  <si>
    <t>000622</t>
  </si>
  <si>
    <t>Town of Tolland</t>
  </si>
  <si>
    <t>Parks &amp; Rec Maintenance Dept</t>
  </si>
  <si>
    <t>Tolland Marsh, Skungamaug River</t>
  </si>
  <si>
    <t>3106-00</t>
  </si>
  <si>
    <t>002376</t>
  </si>
  <si>
    <t>Tolland Highway Department</t>
  </si>
  <si>
    <t>Unnamed tributary of Paulk Hill Brook</t>
  </si>
  <si>
    <t>3106-06</t>
  </si>
  <si>
    <t>002201</t>
  </si>
  <si>
    <t>001972</t>
  </si>
  <si>
    <t>WS-2</t>
  </si>
  <si>
    <t>WS-1</t>
  </si>
  <si>
    <t>Quinnipiac River, South Central Coast</t>
  </si>
  <si>
    <t>001347</t>
  </si>
  <si>
    <t>Outfall CB 19</t>
  </si>
  <si>
    <t>Public Works Highway Garage</t>
  </si>
  <si>
    <t>Public Works HW Garage 002</t>
  </si>
  <si>
    <t>Public Works HW Garage 001</t>
  </si>
  <si>
    <t>Streets</t>
  </si>
  <si>
    <t>6900-00-4-R10</t>
  </si>
  <si>
    <t>001425</t>
  </si>
  <si>
    <t>Back of site - Outfall 001</t>
  </si>
  <si>
    <t>At E. Aurora Street Outfall 002</t>
  </si>
  <si>
    <t>Town of Wethersfield</t>
  </si>
  <si>
    <t>Public Works Department Station</t>
  </si>
  <si>
    <t>Goff Brook</t>
  </si>
  <si>
    <t>4010-00-3-R1</t>
  </si>
  <si>
    <t>001214</t>
  </si>
  <si>
    <t>SW-01</t>
  </si>
  <si>
    <t>Public Works Dept/Transfer Station</t>
  </si>
  <si>
    <t>Town of West Hartford</t>
  </si>
  <si>
    <t>Trout Brook, Park River</t>
  </si>
  <si>
    <t>000978</t>
  </si>
  <si>
    <t>Outfall 2 (WHTFD DPW OF-2)</t>
  </si>
  <si>
    <t>001207</t>
  </si>
  <si>
    <t>Town of Winchester</t>
  </si>
  <si>
    <t>162</t>
  </si>
  <si>
    <t>Still River, Farmington Regional Basin</t>
  </si>
  <si>
    <t>001263</t>
  </si>
  <si>
    <t>Town of Woodbury</t>
  </si>
  <si>
    <t>Ash Swamp Brook to Nonnewaug River to Pomperaug River</t>
  </si>
  <si>
    <t>001337</t>
  </si>
  <si>
    <t>Upper Culvert</t>
  </si>
  <si>
    <t>Town of Woodbridge</t>
  </si>
  <si>
    <t>167</t>
  </si>
  <si>
    <t>Wepawaug River</t>
  </si>
  <si>
    <t>000717</t>
  </si>
  <si>
    <t>outfall 1 Transfer Station</t>
  </si>
  <si>
    <t>001907</t>
  </si>
  <si>
    <t>Outfall 1 (WPCF-OF-1)</t>
  </si>
  <si>
    <t>Brookfield Public Works</t>
  </si>
  <si>
    <t>Corner Drain</t>
  </si>
  <si>
    <t>000757</t>
  </si>
  <si>
    <t>Corner Storm Drain</t>
  </si>
  <si>
    <t>Town of Brookfield</t>
  </si>
  <si>
    <t>Behind Sand Spreaders</t>
  </si>
  <si>
    <t>Town of Colebrook</t>
  </si>
  <si>
    <t>029</t>
  </si>
  <si>
    <t>001640</t>
  </si>
  <si>
    <t>D-003</t>
  </si>
  <si>
    <t>PR-2 Pipe Outfall to Wetlands</t>
  </si>
  <si>
    <t>PW-1 Garage Drainage Area</t>
  </si>
  <si>
    <t>PW-2 Western Drainage Area</t>
  </si>
  <si>
    <t>TS-1 Scale House Area</t>
  </si>
  <si>
    <t>TS-2 Vehicle Storage Area</t>
  </si>
  <si>
    <t>Town of Farmington</t>
  </si>
  <si>
    <t>Town of Farmington WPCP</t>
  </si>
  <si>
    <t>001801</t>
  </si>
  <si>
    <t>Location #001 - Head of Plant</t>
  </si>
  <si>
    <t>Location #002</t>
  </si>
  <si>
    <t>001254</t>
  </si>
  <si>
    <t>Parks Dept/Discharge #002</t>
  </si>
  <si>
    <t>544 New Britain Ave</t>
  </si>
  <si>
    <t>002004</t>
  </si>
  <si>
    <t>Outfall 2 (Granby TS-2)</t>
  </si>
  <si>
    <t>Town of Goshen</t>
  </si>
  <si>
    <t>055</t>
  </si>
  <si>
    <t>001276</t>
  </si>
  <si>
    <t>Town Garage Storm Sewer</t>
  </si>
  <si>
    <t>Killingly Water Pollution Control Facility</t>
  </si>
  <si>
    <t>Quinebaug River/Thames Basin</t>
  </si>
  <si>
    <t>002181</t>
  </si>
  <si>
    <t>WPCA 2 Cl Bld (OF-2)</t>
  </si>
  <si>
    <t>WPCA 1 Cent Bld (OF 1)</t>
  </si>
  <si>
    <t>Town of Kent</t>
  </si>
  <si>
    <t>068</t>
  </si>
  <si>
    <t>Town Garage Outflow</t>
  </si>
  <si>
    <t>000120</t>
  </si>
  <si>
    <t>38 Maple Street</t>
  </si>
  <si>
    <t>Town of Lyme</t>
  </si>
  <si>
    <t>Catch Basin SW Corner/Falls Brook</t>
  </si>
  <si>
    <t>Catch Basin SW Corner, Town Garage</t>
  </si>
  <si>
    <t>Town of Manchester</t>
  </si>
  <si>
    <t>Highway Fleet Maintenance Facility</t>
  </si>
  <si>
    <t>South Fork Hockanum River</t>
  </si>
  <si>
    <t>000523</t>
  </si>
  <si>
    <t>City of Middletown</t>
  </si>
  <si>
    <t>001141</t>
  </si>
  <si>
    <t>Catch Basin 1</t>
  </si>
  <si>
    <t>Catch Basin 2</t>
  </si>
  <si>
    <t>Catch Basin 3</t>
  </si>
  <si>
    <t>Catch Basin 4</t>
  </si>
  <si>
    <t>001140</t>
  </si>
  <si>
    <t>Swale 1</t>
  </si>
  <si>
    <t>City Yard</t>
  </si>
  <si>
    <t>Town of Norfolk</t>
  </si>
  <si>
    <t>098</t>
  </si>
  <si>
    <t>Mad River, Farmington Regional Basin</t>
  </si>
  <si>
    <t>001357</t>
  </si>
  <si>
    <t xml:space="preserve">Town of North Haven </t>
  </si>
  <si>
    <t>Wetlands tributary to Quinnipiac River, Quinnipiac River Basin</t>
  </si>
  <si>
    <t>001959</t>
  </si>
  <si>
    <t>151 Fox Road</t>
  </si>
  <si>
    <t>Wetlands Little Dam Tavern</t>
  </si>
  <si>
    <t>Seymour WWTF</t>
  </si>
  <si>
    <t>001990</t>
  </si>
  <si>
    <t>6900-00-4R29</t>
  </si>
  <si>
    <t>000361</t>
  </si>
  <si>
    <t>Outfall 1 (TS-OF-1)</t>
  </si>
  <si>
    <t>Outfall 2 (TS-OF-2)</t>
  </si>
  <si>
    <t>Outfall 3 (TS-OF-3)</t>
  </si>
  <si>
    <t>Outfall 4 (TS-OF-4)</t>
  </si>
  <si>
    <t>Town of Middletown</t>
  </si>
  <si>
    <t>Landfill/Transfer Station/Recycling Center</t>
  </si>
  <si>
    <t>Wintergreen Brook</t>
  </si>
  <si>
    <t>001681</t>
  </si>
  <si>
    <t>Town of Haddam Transfer Station</t>
  </si>
  <si>
    <t>001487</t>
  </si>
  <si>
    <t>Black Brook</t>
  </si>
  <si>
    <t>000716</t>
  </si>
  <si>
    <t>002482</t>
  </si>
  <si>
    <t>Town of North Canaan</t>
  </si>
  <si>
    <t>Blackberry River, Blackberry Regional Basin</t>
  </si>
  <si>
    <t>001294</t>
  </si>
  <si>
    <t>Whiting River, Blackberry Regional Basin</t>
  </si>
  <si>
    <t>001268</t>
  </si>
  <si>
    <t>outfall 1 (pipe)</t>
  </si>
  <si>
    <t>City of torrington</t>
  </si>
  <si>
    <t>000613</t>
  </si>
  <si>
    <t>Street Department</t>
  </si>
  <si>
    <t>002508</t>
  </si>
  <si>
    <t>DSN002?</t>
  </si>
  <si>
    <t>WPCF DSN 001</t>
  </si>
  <si>
    <t>DPW DSN 005</t>
  </si>
  <si>
    <t>DSN-02 trf sta</t>
  </si>
  <si>
    <t>Hg</t>
  </si>
  <si>
    <t>Al</t>
  </si>
  <si>
    <t>Behind Salt Shed</t>
  </si>
  <si>
    <t>Town of Thompson</t>
  </si>
  <si>
    <t>TWPCA</t>
  </si>
  <si>
    <t>Stormwater Runoff - Outfall</t>
  </si>
  <si>
    <t>001890</t>
  </si>
  <si>
    <t>Storm Water Runoff E210243</t>
  </si>
  <si>
    <t>VOED Building</t>
  </si>
  <si>
    <t>Farmington WPCF</t>
  </si>
  <si>
    <t>1 Waterbury, Location 002</t>
  </si>
  <si>
    <t>1 Waterbury, Location 001</t>
  </si>
  <si>
    <t>Town of Greenwich Dept of Parks and Recreation</t>
  </si>
  <si>
    <t>Arch Street</t>
  </si>
  <si>
    <t>001426</t>
  </si>
  <si>
    <t>Town of Rocky Hill</t>
  </si>
  <si>
    <t>Garage</t>
  </si>
  <si>
    <t>Old Forge Road Rocky Hill</t>
  </si>
  <si>
    <t>001312</t>
  </si>
  <si>
    <t>#1 - By Trucks</t>
  </si>
  <si>
    <t>#2 - By Gas Pump</t>
  </si>
  <si>
    <t>#3 - By Salt Shack</t>
  </si>
  <si>
    <t>Town of Enfield</t>
  </si>
  <si>
    <t>4200-00-1</t>
  </si>
  <si>
    <t>001015</t>
  </si>
  <si>
    <t>Outfall TS-01</t>
  </si>
  <si>
    <t>Buildings and Grounds Dept</t>
  </si>
  <si>
    <t>MS4 - Connecticut River</t>
  </si>
  <si>
    <t>4000-00-3</t>
  </si>
  <si>
    <t>002473</t>
  </si>
  <si>
    <t>B&amp;G-01</t>
  </si>
  <si>
    <t>Greenwich DPW, Sewer Division</t>
  </si>
  <si>
    <t>Grass Island Wastewater Treatment</t>
  </si>
  <si>
    <t>John J. Kennedy Fleet Maintenance and Highway Storage Facility</t>
  </si>
  <si>
    <t>Fleet Facility</t>
  </si>
  <si>
    <t>Indian Harbor/Long Island Sound</t>
  </si>
  <si>
    <t>000786</t>
  </si>
  <si>
    <t>US Cosmetics Corporation</t>
  </si>
  <si>
    <t>000564</t>
  </si>
  <si>
    <t>002417</t>
  </si>
  <si>
    <t>Norwich Public Utilities</t>
  </si>
  <si>
    <t>Falls Ave Wastewater Treatment Plant</t>
  </si>
  <si>
    <t>001705</t>
  </si>
  <si>
    <t>Yantic River West</t>
  </si>
  <si>
    <t>Yantic River East</t>
  </si>
  <si>
    <t>Tech Circuits, Inc.</t>
  </si>
  <si>
    <t>Torrey S. Crane, Co.</t>
  </si>
  <si>
    <t>001369</t>
  </si>
  <si>
    <t>Mohican Valley Concrete</t>
  </si>
  <si>
    <t>195 Ardmore Street</t>
  </si>
  <si>
    <t>002527</t>
  </si>
  <si>
    <t>000660</t>
  </si>
  <si>
    <t>Pape Electroplating Co, Inc.</t>
  </si>
  <si>
    <t>CT-4603-00</t>
  </si>
  <si>
    <t>South eastern corner of facility</t>
  </si>
  <si>
    <t>Algonquin Power Windsor Locks, LLC</t>
  </si>
  <si>
    <t>Agonquin Power Windsor Locks Cogeneration</t>
  </si>
  <si>
    <t>CT-4000-00-03</t>
  </si>
  <si>
    <t>002454</t>
  </si>
  <si>
    <t>Aladdin Manufacturing</t>
  </si>
  <si>
    <t>Alliance Carpet Cushion</t>
  </si>
  <si>
    <t>Municipal Stormwater System</t>
  </si>
  <si>
    <t>002565</t>
  </si>
  <si>
    <t>CT Engineering Assoc. Corp.</t>
  </si>
  <si>
    <t>002498</t>
  </si>
  <si>
    <t>Roof Downspout</t>
  </si>
  <si>
    <t>DW Transport &amp; Leasing, Inc.</t>
  </si>
  <si>
    <t>DW Transport-Franklin</t>
  </si>
  <si>
    <t>053</t>
  </si>
  <si>
    <t>3907-05-1 &amp; 3907-00</t>
  </si>
  <si>
    <t>002517</t>
  </si>
  <si>
    <t>DWT-A (15" Pipe to Swale)</t>
  </si>
  <si>
    <t>DWT-B (Drainage Swale)</t>
  </si>
  <si>
    <t>Advance Mold &amp; Manufacturing, Inc.</t>
  </si>
  <si>
    <t>Lydall River</t>
  </si>
  <si>
    <t>002046</t>
  </si>
  <si>
    <t>Crabtree &amp; Evelyn</t>
  </si>
  <si>
    <t>The Little River</t>
  </si>
  <si>
    <t>000731</t>
  </si>
  <si>
    <t>102 Peake Brook Road</t>
  </si>
  <si>
    <t>Feroleto Steel Company</t>
  </si>
  <si>
    <t>Feroleto Steel Property</t>
  </si>
  <si>
    <t>Ash Creek, Long Island Sound</t>
  </si>
  <si>
    <t>001742</t>
  </si>
  <si>
    <t>Enviro Express, Inc.</t>
  </si>
  <si>
    <t>Fairfield Municipal Transfer Station</t>
  </si>
  <si>
    <t>Pine Creek Tributary</t>
  </si>
  <si>
    <t>002146</t>
  </si>
  <si>
    <t>Wallingford W.P.C.F.</t>
  </si>
  <si>
    <t>WS-2 (BD25340)</t>
  </si>
  <si>
    <t>WS-1 (BD13661)</t>
  </si>
  <si>
    <t>Freshwater Brook to Connecticut River</t>
  </si>
  <si>
    <t>4003-00</t>
  </si>
  <si>
    <t>001206</t>
  </si>
  <si>
    <t>Outfall HW-001</t>
  </si>
  <si>
    <t>Outfall HW-002</t>
  </si>
  <si>
    <t>Town Garage (CTL No. 18799)</t>
  </si>
  <si>
    <t>Town Garage (CTL No. 18800)</t>
  </si>
  <si>
    <t>001286</t>
  </si>
  <si>
    <t>24" RCP (PW-01)</t>
  </si>
  <si>
    <t>001172</t>
  </si>
  <si>
    <t>Town of Morris</t>
  </si>
  <si>
    <t>Morris Town Garage</t>
  </si>
  <si>
    <t>087</t>
  </si>
  <si>
    <t>Bantam River, Snepaug Regional Basin</t>
  </si>
  <si>
    <t>001287</t>
  </si>
  <si>
    <t>Bantam River, Shepaug Regional Basin</t>
  </si>
  <si>
    <t>001288</t>
  </si>
  <si>
    <t>Webster's Auto Sales, Inc.</t>
  </si>
  <si>
    <t>001122</t>
  </si>
  <si>
    <t>Stafford Auto Recyclers, Inc.</t>
  </si>
  <si>
    <t>Unnamed Brook to Baker Brook</t>
  </si>
  <si>
    <t>002546</t>
  </si>
  <si>
    <t>SAR-1</t>
  </si>
  <si>
    <t>Richard Kral</t>
  </si>
  <si>
    <t>ANTARES SHS 860 Limited Partnership</t>
  </si>
  <si>
    <t>Harbour Square Marina</t>
  </si>
  <si>
    <t>East Branch of the Stamford Harbor</t>
  </si>
  <si>
    <t>002513</t>
  </si>
  <si>
    <t>Robert J. Smith</t>
  </si>
  <si>
    <t>G&amp;S Scrap Metal</t>
  </si>
  <si>
    <t>002183</t>
  </si>
  <si>
    <t>Outfall-001</t>
  </si>
  <si>
    <t>Outfall-002</t>
  </si>
  <si>
    <t>Chase Waste Management Corporation</t>
  </si>
  <si>
    <t>5200-21-2-R1</t>
  </si>
  <si>
    <t>002506</t>
  </si>
  <si>
    <t>ROS-1 Quarterly</t>
  </si>
  <si>
    <t>Plymouth Transfer Station</t>
  </si>
  <si>
    <t>Hancock River, Naugatuck Regional Basin</t>
  </si>
  <si>
    <t>001932</t>
  </si>
  <si>
    <t>12"RCP inlet @ end of drainage swale</t>
  </si>
  <si>
    <t>Public Works Facility &amp; Landfill</t>
  </si>
  <si>
    <t>BIC Consumer Product Mfg. Co. Inc</t>
  </si>
  <si>
    <t>Housatonic River via sewer system</t>
  </si>
  <si>
    <t>AGC, Inc</t>
  </si>
  <si>
    <t>000310</t>
  </si>
  <si>
    <t>SD by road</t>
  </si>
  <si>
    <t>discharge to stream</t>
  </si>
  <si>
    <t>002410</t>
  </si>
  <si>
    <t>Russo Brothers, Inc</t>
  </si>
  <si>
    <t>Hartford Facility</t>
  </si>
  <si>
    <t>001572</t>
  </si>
  <si>
    <t>Wallingford Used Auto Parts</t>
  </si>
  <si>
    <t>001698</t>
  </si>
  <si>
    <t>runoff by tunnel</t>
  </si>
  <si>
    <t>Town of Westbrook</t>
  </si>
  <si>
    <t>Westbrook DPW</t>
  </si>
  <si>
    <t>5103-07</t>
  </si>
  <si>
    <t>none yet</t>
  </si>
  <si>
    <t>Land Fill</t>
  </si>
  <si>
    <t>Outfall#1</t>
  </si>
  <si>
    <t>Dainty Rubbish Service</t>
  </si>
  <si>
    <t>000127</t>
  </si>
  <si>
    <t>F &amp; G Recycling, LLC</t>
  </si>
  <si>
    <t>Shoham Road Volume Reduction Facility</t>
  </si>
  <si>
    <t>4000-08-01</t>
  </si>
  <si>
    <t>000109</t>
  </si>
  <si>
    <t>Covanta Southeastern Connecticut Company</t>
  </si>
  <si>
    <t>000148</t>
  </si>
  <si>
    <t>Wheelabrator Lisbon, Inc.</t>
  </si>
  <si>
    <t>tributary to Shetucket River</t>
  </si>
  <si>
    <t>DMIAAB Transfer Station</t>
  </si>
  <si>
    <t>Wetlands/Waterbody</t>
  </si>
  <si>
    <t>002119</t>
  </si>
  <si>
    <t>DSG001</t>
  </si>
  <si>
    <t>000915</t>
  </si>
  <si>
    <t>Street Dept.</t>
  </si>
  <si>
    <t>e. coli</t>
  </si>
  <si>
    <t>Rogers</t>
  </si>
  <si>
    <t>000846</t>
  </si>
  <si>
    <t xml:space="preserve">Rogers </t>
  </si>
  <si>
    <t>SW-08</t>
  </si>
  <si>
    <t>Goodrich Corporation</t>
  </si>
  <si>
    <t>Upper Lot Outfall</t>
  </si>
  <si>
    <t>West Basin</t>
  </si>
  <si>
    <t>First Student Inc.</t>
  </si>
  <si>
    <t>#11842</t>
  </si>
  <si>
    <t>Jennings Pond</t>
  </si>
  <si>
    <t>001597</t>
  </si>
  <si>
    <t>#11843</t>
  </si>
  <si>
    <t>000904</t>
  </si>
  <si>
    <t>#12415</t>
  </si>
  <si>
    <t>Tankerhoosen River</t>
  </si>
  <si>
    <t>001217</t>
  </si>
  <si>
    <t>UTC Power Corporation</t>
  </si>
  <si>
    <t>Tributary of Stoughtons Brook, CT River</t>
  </si>
  <si>
    <t>000200</t>
  </si>
  <si>
    <t>Tributary of Newberry Brook, CT River</t>
  </si>
  <si>
    <t>Drawn Metal Tube Co.</t>
  </si>
  <si>
    <t>000412</t>
  </si>
  <si>
    <t>Constitution Coach, Inc.</t>
  </si>
  <si>
    <t>Warner Swamp to Baker Brook</t>
  </si>
  <si>
    <t>000963</t>
  </si>
  <si>
    <t>Moroso Performance Products, Inc.</t>
  </si>
  <si>
    <t>Guilford, CT Facility</t>
  </si>
  <si>
    <t>Tribtary to LIS</t>
  </si>
  <si>
    <t>000249</t>
  </si>
  <si>
    <t>Boehringer Ingelheim</t>
  </si>
  <si>
    <t>000691</t>
  </si>
  <si>
    <t>Miry Brrok Exit</t>
  </si>
  <si>
    <t>North Pond</t>
  </si>
  <si>
    <t>South Pond</t>
  </si>
  <si>
    <t>Algonquin Industries</t>
  </si>
  <si>
    <t>Guildford Facility</t>
  </si>
  <si>
    <t>000845</t>
  </si>
  <si>
    <t>Outfall-004</t>
  </si>
  <si>
    <t>ASML US Inc.</t>
  </si>
  <si>
    <t>161</t>
  </si>
  <si>
    <t>001534</t>
  </si>
  <si>
    <t>Thompson Rail Business Park</t>
  </si>
  <si>
    <t>002091</t>
  </si>
  <si>
    <t>Phase I Basin</t>
  </si>
  <si>
    <t>L. Suzio Concrete Company, Inc.</t>
  </si>
  <si>
    <t>000940</t>
  </si>
  <si>
    <t>Fabtron Precision</t>
  </si>
  <si>
    <t>001937</t>
  </si>
  <si>
    <t>CB-3</t>
  </si>
  <si>
    <t>EDAC Aero</t>
  </si>
  <si>
    <t>Reflexite Corporation</t>
  </si>
  <si>
    <t>Reflexite-Avon</t>
  </si>
  <si>
    <t>Stub Pond</t>
  </si>
  <si>
    <t>000701</t>
  </si>
  <si>
    <t>Advance Mold &amp; Manufacturing Inc.</t>
  </si>
  <si>
    <t>Thames River Recycling, Inc.</t>
  </si>
  <si>
    <t>001660</t>
  </si>
  <si>
    <t>Laural Petroleum</t>
  </si>
  <si>
    <t>Sodom Brook</t>
  </si>
  <si>
    <t>000495</t>
  </si>
  <si>
    <t>Outfall-1</t>
  </si>
  <si>
    <t>United Industrial services</t>
  </si>
  <si>
    <t>002477</t>
  </si>
  <si>
    <t>Catchbasin</t>
  </si>
  <si>
    <t>Web Industries</t>
  </si>
  <si>
    <t>3700-00-04</t>
  </si>
  <si>
    <t>002208</t>
  </si>
  <si>
    <t>4315-13</t>
  </si>
  <si>
    <t>000183</t>
  </si>
  <si>
    <t>Harco Laboratories Inc.</t>
  </si>
  <si>
    <t>002180</t>
  </si>
  <si>
    <t>Covata fo SE CT</t>
  </si>
  <si>
    <t>SECONN</t>
  </si>
  <si>
    <t>Derby Facility</t>
  </si>
  <si>
    <t>Town of Derby MS4</t>
  </si>
  <si>
    <t>002428</t>
  </si>
  <si>
    <t>Ashcroft Inc.</t>
  </si>
  <si>
    <t>001880</t>
  </si>
  <si>
    <t>Avery Creek</t>
  </si>
  <si>
    <t>#20910</t>
  </si>
  <si>
    <t>Pine Creek</t>
  </si>
  <si>
    <t>002261</t>
  </si>
  <si>
    <t>Tyco Healthcare Group LP</t>
  </si>
  <si>
    <t>United States Surgical</t>
  </si>
  <si>
    <t>001416</t>
  </si>
  <si>
    <t>ST-6</t>
  </si>
  <si>
    <t>ST-11</t>
  </si>
  <si>
    <t>ST-13</t>
  </si>
  <si>
    <t xml:space="preserve">Y </t>
  </si>
  <si>
    <t>Outfall-001 (73/77)</t>
  </si>
  <si>
    <t>Outfall-003(71)</t>
  </si>
  <si>
    <t>Edmunds Manufacturing Company, Inc.</t>
  </si>
  <si>
    <t>United Concrete</t>
  </si>
  <si>
    <t>Plant 2</t>
  </si>
  <si>
    <t xml:space="preserve">Transfer Station </t>
  </si>
  <si>
    <t>065</t>
  </si>
  <si>
    <t>PTI Industries</t>
  </si>
  <si>
    <t>Jawbuck Brook/Freshwater Brook</t>
  </si>
  <si>
    <t>002153</t>
  </si>
  <si>
    <t>Freshwater Brook</t>
  </si>
  <si>
    <t>001868</t>
  </si>
  <si>
    <t>DSG002</t>
  </si>
  <si>
    <t>QTG-Tropicana</t>
  </si>
  <si>
    <t>Cheshire CDSD</t>
  </si>
  <si>
    <t>JUDD Brook</t>
  </si>
  <si>
    <t>002304</t>
  </si>
  <si>
    <t>Bonnie Wallinger</t>
  </si>
  <si>
    <t>A.J. Waste Systems, LLC</t>
  </si>
  <si>
    <t>Unnamed tributary to the Quinnipiac River</t>
  </si>
  <si>
    <t>001588</t>
  </si>
  <si>
    <t>Albreada Refuse &amp; Sweeping, LLC</t>
  </si>
  <si>
    <t>6900-00-3-R5</t>
  </si>
  <si>
    <t>001519</t>
  </si>
  <si>
    <t>Murphy Road Recycling LLC</t>
  </si>
  <si>
    <t>Automated Material Handling</t>
  </si>
  <si>
    <t>4600-00-2-R3</t>
  </si>
  <si>
    <t>001983</t>
  </si>
  <si>
    <t>Babylon Recycling Center LLC</t>
  </si>
  <si>
    <t>Babylon Recycling Center</t>
  </si>
  <si>
    <t>4000-00-4+R2</t>
  </si>
  <si>
    <t>001875</t>
  </si>
  <si>
    <t>Sybil Creek/Branford River</t>
  </si>
  <si>
    <t>000095</t>
  </si>
  <si>
    <t>Town of Branford</t>
  </si>
  <si>
    <t>Branford Landfill</t>
  </si>
  <si>
    <t xml:space="preserve">DSN-002 </t>
  </si>
  <si>
    <t>Branford Transfer Station</t>
  </si>
  <si>
    <t>Unnamed non-tidal freshwater wetland area</t>
  </si>
  <si>
    <t>001879</t>
  </si>
  <si>
    <t>Enviro Express, Inc</t>
  </si>
  <si>
    <t>Bridgeport Transfer Station</t>
  </si>
  <si>
    <t>Long Island Sound/Pequonnock River</t>
  </si>
  <si>
    <t>000097</t>
  </si>
  <si>
    <t>Bridgeport United Recycling Inc</t>
  </si>
  <si>
    <t>Unnamed Watershed</t>
  </si>
  <si>
    <t>7102-00</t>
  </si>
  <si>
    <t>000514</t>
  </si>
  <si>
    <t>Outfall #1 Oil Water separtor discharge</t>
  </si>
  <si>
    <t>Bulky Waste Disposal Facility</t>
  </si>
  <si>
    <t>000606</t>
  </si>
  <si>
    <t>Outfall 1 (GLAS BWD OF-1)</t>
  </si>
  <si>
    <t>C&amp;D/Bulky Waste Volume Reducton Facility</t>
  </si>
  <si>
    <t>4000-05-01</t>
  </si>
  <si>
    <t>001525</t>
  </si>
  <si>
    <t>Capital Recycling Ipc</t>
  </si>
  <si>
    <t>4005-00-1</t>
  </si>
  <si>
    <t>002048</t>
  </si>
  <si>
    <t>002467</t>
  </si>
  <si>
    <t>Willimantic Waste Paper Co Inc</t>
  </si>
  <si>
    <t>Cardboard Recycling Facility</t>
  </si>
  <si>
    <t>3900-00-4-R6</t>
  </si>
  <si>
    <t>001971</t>
  </si>
  <si>
    <t>Central Connecticut Recycling &amp; Transfer</t>
  </si>
  <si>
    <t>002053</t>
  </si>
  <si>
    <t>Ciro Associates, LLc</t>
  </si>
  <si>
    <t>Ciro Associates Transfer Facility</t>
  </si>
  <si>
    <t>Munger Brook</t>
  </si>
  <si>
    <t>001500</t>
  </si>
  <si>
    <t>Upstream of DSN-001</t>
  </si>
  <si>
    <t>Eight Mile River/ Quinnipiac River Basin</t>
  </si>
  <si>
    <t>Outfall 1 (Bristol CG OF-1)</t>
  </si>
  <si>
    <t>City Carting, INC</t>
  </si>
  <si>
    <t>City of Norwalk Transfer Station</t>
  </si>
  <si>
    <t>7300-00</t>
  </si>
  <si>
    <t>Dainty Rubbish Service Inc</t>
  </si>
  <si>
    <t>Mattabasset River/ Connecticut River Basin</t>
  </si>
  <si>
    <t xml:space="preserve">Naugatuck River </t>
  </si>
  <si>
    <t>City Carting &amp; Recycling, Inc</t>
  </si>
  <si>
    <t>Darien Transfer Station</t>
  </si>
  <si>
    <t xml:space="preserve">Wetlands/Waterbody </t>
  </si>
  <si>
    <t>7402-03</t>
  </si>
  <si>
    <t>002144</t>
  </si>
  <si>
    <t>A - Outfall #1</t>
  </si>
  <si>
    <t>Wetlands/Wtarebody</t>
  </si>
  <si>
    <t>4607</t>
  </si>
  <si>
    <t>E. Hampton SW Transf, Stat. &amp; Recycle. CTR</t>
  </si>
  <si>
    <t>Cattle Lot Brook</t>
  </si>
  <si>
    <t>4708-04</t>
  </si>
  <si>
    <t>001170</t>
  </si>
  <si>
    <t>Connecticut Resource Recovery Authority</t>
  </si>
  <si>
    <t>Essex Transfer Station</t>
  </si>
  <si>
    <t>Tributary to Falls River</t>
  </si>
  <si>
    <t>4019-08</t>
  </si>
  <si>
    <t>000595</t>
  </si>
  <si>
    <t>Town of Gluilford</t>
  </si>
  <si>
    <t>Guilford-Madison Transfer Station</t>
  </si>
  <si>
    <t>Spinning Mill Brook</t>
  </si>
  <si>
    <t>Town of Hampton</t>
  </si>
  <si>
    <t>Hampton/Scotland Transfer Station</t>
  </si>
  <si>
    <t>063</t>
  </si>
  <si>
    <t>3805-00-3-R3</t>
  </si>
  <si>
    <t>001157</t>
  </si>
  <si>
    <t>North Meadow Pond and Pumping Station/Connecticut River</t>
  </si>
  <si>
    <t>Kimberly-Clark Corp</t>
  </si>
  <si>
    <t>Land fill</t>
  </si>
  <si>
    <t>Landfill Storm Drain</t>
  </si>
  <si>
    <t>Landfill Sotrm Drain</t>
  </si>
  <si>
    <t>Landfill Transfer Station &amp; Recycling Center</t>
  </si>
  <si>
    <t>Landfill Transfer Station/Recycling Center</t>
  </si>
  <si>
    <t>Outfall 001 (CTL No. 13858)</t>
  </si>
  <si>
    <t>5304</t>
  </si>
  <si>
    <t>Mid-CT Regional Recycling Center</t>
  </si>
  <si>
    <t>Connecticut River, Basin</t>
  </si>
  <si>
    <t>4000-00-03</t>
  </si>
  <si>
    <t>000814</t>
  </si>
  <si>
    <t>Outfall1A</t>
  </si>
  <si>
    <t>Outfall1B</t>
  </si>
  <si>
    <t>Mid-CT Waste Processing Facility</t>
  </si>
  <si>
    <t>Outfall 007</t>
  </si>
  <si>
    <t>Montville Transfer Station</t>
  </si>
  <si>
    <t>Wheeler Pond</t>
  </si>
  <si>
    <t>000433</t>
  </si>
  <si>
    <t>More than 72 hours</t>
  </si>
  <si>
    <t>MR Stratford Bailing LLC</t>
  </si>
  <si>
    <t>Mr Stratford Bailing</t>
  </si>
  <si>
    <t>7101-00-1</t>
  </si>
  <si>
    <t>Municipal Road LLC</t>
  </si>
  <si>
    <t>Municipal Road Transfer Center</t>
  </si>
  <si>
    <t>6900-00-4-R13</t>
  </si>
  <si>
    <t>000177</t>
  </si>
  <si>
    <t>City of Stamford</t>
  </si>
  <si>
    <t>7000-40-1</t>
  </si>
  <si>
    <t>002177</t>
  </si>
  <si>
    <t>DSN-004 Downstream</t>
  </si>
  <si>
    <t>New Britian Bulky Waste Landfill</t>
  </si>
  <si>
    <t>New Britian Residential Recycling Center</t>
  </si>
  <si>
    <t>Webster Brook/ Connecticut River Basin</t>
  </si>
  <si>
    <t>City of New London</t>
  </si>
  <si>
    <t>New London Transfer Station</t>
  </si>
  <si>
    <t>002259</t>
  </si>
  <si>
    <t>New Milford Mill</t>
  </si>
  <si>
    <t>Landfill Strom Drain</t>
  </si>
  <si>
    <t>Landfill  Storm Drain</t>
  </si>
  <si>
    <t>Newtown Transfer Station</t>
  </si>
  <si>
    <t>001055</t>
  </si>
  <si>
    <t>Tipping Floor Ramp</t>
  </si>
  <si>
    <t>North End disposal Area</t>
  </si>
  <si>
    <t>Mad River</t>
  </si>
  <si>
    <t>000454</t>
  </si>
  <si>
    <t>Outfall from transfer station area 001</t>
  </si>
  <si>
    <t>&gt;3days</t>
  </si>
  <si>
    <t>North End Disposal Area</t>
  </si>
  <si>
    <t>6911-00-4-R10</t>
  </si>
  <si>
    <t>&gt;3 days</t>
  </si>
  <si>
    <t>&gt;3 Days</t>
  </si>
  <si>
    <t>Murphy Road Recycling LLC dba Nutmeg Road Recycling LLC</t>
  </si>
  <si>
    <t>Nutmeg Road Recycling LLC Vehicle Maintenance/Storage &amp; Volume Reduction Factility/Transfer Station</t>
  </si>
  <si>
    <t>4000-18-1</t>
  </si>
  <si>
    <t>001984</t>
  </si>
  <si>
    <t>Paper Processing Facility</t>
  </si>
  <si>
    <t>002464</t>
  </si>
  <si>
    <t>Town of Guilford</t>
  </si>
  <si>
    <t>Public Works</t>
  </si>
  <si>
    <t>Stream to East Creek</t>
  </si>
  <si>
    <t>000996</t>
  </si>
  <si>
    <t>Town of Plainvillie</t>
  </si>
  <si>
    <t>5200</t>
  </si>
  <si>
    <t>Regional Recycling Facility</t>
  </si>
  <si>
    <t>7103-00-2-R1</t>
  </si>
  <si>
    <t>002469</t>
  </si>
  <si>
    <t>Murphy Road Recycling LLc</t>
  </si>
  <si>
    <t>Adjacent Marsh Area</t>
  </si>
  <si>
    <t>Tipping Floor (include general site)</t>
  </si>
  <si>
    <t>Roode Road Volume Reduction Facility</t>
  </si>
  <si>
    <t>001935</t>
  </si>
  <si>
    <t>Town of Waterford</t>
  </si>
  <si>
    <t>6900</t>
  </si>
  <si>
    <t>Naugatuck River Catch Basin</t>
  </si>
  <si>
    <t>Town of Salisbury</t>
  </si>
  <si>
    <t>Sharon-Salisbury Transfer Station</t>
  </si>
  <si>
    <t>122</t>
  </si>
  <si>
    <t>6301-02-1</t>
  </si>
  <si>
    <t>001539</t>
  </si>
  <si>
    <t>DSN-002 West</t>
  </si>
  <si>
    <t>DSN-003 to 30" pipe</t>
  </si>
  <si>
    <t>F &amp; G Recycling LLC</t>
  </si>
  <si>
    <t>Shoham Road Volume reduction Facility</t>
  </si>
  <si>
    <t>Outfall (Ston SWF OF-1)</t>
  </si>
  <si>
    <t>Southeastern Connecticut Resource Recovery Favility</t>
  </si>
  <si>
    <t>7000-03</t>
  </si>
  <si>
    <t>Superior Recycling LLC</t>
  </si>
  <si>
    <t>Superior Recycling LLC VRF and Recyclables Transfer Station</t>
  </si>
  <si>
    <t>3900-08-1</t>
  </si>
  <si>
    <t>002138</t>
  </si>
  <si>
    <t>Torrington Transfer Station</t>
  </si>
  <si>
    <t xml:space="preserve">Tributary to East Branch of Naugatuck River </t>
  </si>
  <si>
    <t>6905</t>
  </si>
  <si>
    <t>000521</t>
  </si>
  <si>
    <t>Outfall 001 (North)</t>
  </si>
  <si>
    <t>Outfall 002 (South)</t>
  </si>
  <si>
    <t>Town of Bozrah MSW Transfer Station &amp; Recycling Center</t>
  </si>
  <si>
    <t>3906-00-2-R1</t>
  </si>
  <si>
    <t>001787</t>
  </si>
  <si>
    <t>4000-00-6+R34</t>
  </si>
  <si>
    <t>Town of Lebanon Municipal Transfer</t>
  </si>
  <si>
    <t>3907-00-2-R3-1</t>
  </si>
  <si>
    <t>002463</t>
  </si>
  <si>
    <t xml:space="preserve">DSN 011 Open Channel at Branch Brook </t>
  </si>
  <si>
    <t>Town of Waterford DPW Complex</t>
  </si>
  <si>
    <t>2201-00-01</t>
  </si>
  <si>
    <t>001471</t>
  </si>
  <si>
    <t>Town of Waterford Landfill</t>
  </si>
  <si>
    <t>2000-30-1</t>
  </si>
  <si>
    <t>Town of Waterford, DPW complex</t>
  </si>
  <si>
    <t>Tradebe T&amp;R Northeast,LLC</t>
  </si>
  <si>
    <t>MS4 to Sodom Brook</t>
  </si>
  <si>
    <t>NH Solid Wst &amp; Recycling Auth</t>
  </si>
  <si>
    <t>Transfer Station West #2</t>
  </si>
  <si>
    <t>Town of Orange</t>
  </si>
  <si>
    <t>Indian River/Southcentral Coastal Basin</t>
  </si>
  <si>
    <t>Moodus River, Basin</t>
  </si>
  <si>
    <t>DSN -002</t>
  </si>
  <si>
    <t>2000-4-1-L1</t>
  </si>
  <si>
    <t>001768</t>
  </si>
  <si>
    <t>000607</t>
  </si>
  <si>
    <t>Outfall 1 (GLAST TS OF-1)</t>
  </si>
  <si>
    <t>Outfall 2 (GLAST TS OF-2)</t>
  </si>
  <si>
    <t>Outfall 2 (TS-OD-2)</t>
  </si>
  <si>
    <t>Outfall 4 (Ts-OF-4)</t>
  </si>
  <si>
    <t>Trumbull Municipal Transfer Station</t>
  </si>
  <si>
    <t>Tributary of Pequannock River</t>
  </si>
  <si>
    <t>002140</t>
  </si>
  <si>
    <t>Outfall 1 Drainage swale</t>
  </si>
  <si>
    <t>Winters Bros. Hauling of CT, LLC</t>
  </si>
  <si>
    <t>Vehicle Maintenanc Facility</t>
  </si>
  <si>
    <t>6900-37-1</t>
  </si>
  <si>
    <t>002320</t>
  </si>
  <si>
    <t>Vehicle Maintenance &amp; Bale Storage Facility</t>
  </si>
  <si>
    <t>Murphy Road Recycling LLC dba Danbury Road Recycling</t>
  </si>
  <si>
    <t>Vehicle Maintenance &amp; Transfer Station Facility</t>
  </si>
  <si>
    <t>6600-12-1-L1</t>
  </si>
  <si>
    <t>001987</t>
  </si>
  <si>
    <t>6660-12-1-L1</t>
  </si>
  <si>
    <t>Vehicle Maintenance and Storage Facility</t>
  </si>
  <si>
    <t>6018-05-2-R1</t>
  </si>
  <si>
    <t>002321</t>
  </si>
  <si>
    <t>USA Hauling &amp; Recycling INC dba Torrington Road Transfer Center</t>
  </si>
  <si>
    <t>Vehicle Maintenance/Storage &amp; Transfer Facility</t>
  </si>
  <si>
    <t>4300-00-2-R4</t>
  </si>
  <si>
    <t>Vehicle Maintenance/Storage &amp; Volume Reduction Facility/Transfer Station</t>
  </si>
  <si>
    <t>Vehicle/Equipment Maintenance Facility</t>
  </si>
  <si>
    <t>022</t>
  </si>
  <si>
    <t>001970</t>
  </si>
  <si>
    <t>Vehicle/Equpiment Maintenance Facility</t>
  </si>
  <si>
    <t>Viaduct Maintenance Facility</t>
  </si>
  <si>
    <t>002382</t>
  </si>
  <si>
    <t xml:space="preserve">Murphy Road Recycling, LLC dba Wheeler Street Recycling </t>
  </si>
  <si>
    <t>Volume Reduction Facility</t>
  </si>
  <si>
    <t>5200-00-4-R21</t>
  </si>
  <si>
    <t>AMEC Carting, LLc</t>
  </si>
  <si>
    <t>7300-00-3-R8</t>
  </si>
  <si>
    <t>002151</t>
  </si>
  <si>
    <t>Murphy Road Recycling LLC dba Wheeler Street Recycling</t>
  </si>
  <si>
    <t>001986</t>
  </si>
  <si>
    <t>Murphy Road Recycling LLC dba Wheeler Street recycling</t>
  </si>
  <si>
    <t>CWPM LLC</t>
  </si>
  <si>
    <t>4108-02-1-L1</t>
  </si>
  <si>
    <t>002029</t>
  </si>
  <si>
    <t>Quinnipac River</t>
  </si>
  <si>
    <t>Waste Converstion Technologies Inc</t>
  </si>
  <si>
    <t>Water Converstion Technologies Inc</t>
  </si>
  <si>
    <t>5306-00</t>
  </si>
  <si>
    <t>Outfall 1 (Bristol WPCF OF-1)</t>
  </si>
  <si>
    <t>We Recycle! LLC</t>
  </si>
  <si>
    <t>WeRecycle! LLc</t>
  </si>
  <si>
    <t>Quinnipiac river</t>
  </si>
  <si>
    <t>002014</t>
  </si>
  <si>
    <t>Westport Municipal Transfer Station</t>
  </si>
  <si>
    <t>Mill Creek</t>
  </si>
  <si>
    <t>002142</t>
  </si>
  <si>
    <t>Wheelabrator Bridgeport</t>
  </si>
  <si>
    <t>Bridgeport Storm Sewer</t>
  </si>
  <si>
    <t>Ash House Roof</t>
  </si>
  <si>
    <t>Roadway by Cooling Tower</t>
  </si>
  <si>
    <t>000614</t>
  </si>
  <si>
    <t>Overflow</t>
  </si>
  <si>
    <t>Wheelabrator lisbon Inc</t>
  </si>
  <si>
    <t>Tributary to Shetucket River</t>
  </si>
  <si>
    <t>Willimantic Recycling &amp; Scrap Metals Facilities</t>
  </si>
  <si>
    <t>3100-00-4</t>
  </si>
  <si>
    <t>000516</t>
  </si>
  <si>
    <t>Winters Brothers White Street Solid Waste Facility</t>
  </si>
  <si>
    <t>6000-00-3-R4</t>
  </si>
  <si>
    <t>002327</t>
  </si>
  <si>
    <t>WWP 1590 Volume Reduction Facility</t>
  </si>
  <si>
    <t>001636</t>
  </si>
  <si>
    <t>Town of New Canaan Public Works</t>
  </si>
  <si>
    <t>090</t>
  </si>
  <si>
    <t>Five Mile River</t>
  </si>
  <si>
    <t>Outfall 3 Transfer Station</t>
  </si>
  <si>
    <t>Outfall 4 Transfer Station</t>
  </si>
  <si>
    <t>Ciro Associates, LLC</t>
  </si>
  <si>
    <t>Total Cyanide</t>
  </si>
  <si>
    <t>FJC Services, LLC</t>
  </si>
  <si>
    <t>002395</t>
  </si>
  <si>
    <t>002501</t>
  </si>
  <si>
    <t>001415</t>
  </si>
  <si>
    <t>001409</t>
  </si>
  <si>
    <t>Transfer Station West #1</t>
  </si>
  <si>
    <t>002068</t>
  </si>
  <si>
    <t>002069</t>
  </si>
  <si>
    <t>002070</t>
  </si>
  <si>
    <t>002071</t>
  </si>
  <si>
    <t>002072</t>
  </si>
  <si>
    <t>001979</t>
  </si>
  <si>
    <t>002398</t>
  </si>
  <si>
    <t>001769</t>
  </si>
  <si>
    <t>001792</t>
  </si>
  <si>
    <t>001793</t>
  </si>
  <si>
    <t>001774</t>
  </si>
  <si>
    <t>001823</t>
  </si>
  <si>
    <t>000393</t>
  </si>
  <si>
    <t>002042</t>
  </si>
  <si>
    <t>000291</t>
  </si>
  <si>
    <t>000464</t>
  </si>
  <si>
    <t>002260</t>
  </si>
  <si>
    <t>002188</t>
  </si>
  <si>
    <t>001190</t>
  </si>
  <si>
    <t>001719</t>
  </si>
  <si>
    <t>000656</t>
  </si>
  <si>
    <t>001821</t>
  </si>
  <si>
    <t>000803</t>
  </si>
  <si>
    <t>000804</t>
  </si>
  <si>
    <t>001902</t>
  </si>
  <si>
    <t>000186</t>
  </si>
  <si>
    <t>001693</t>
  </si>
  <si>
    <t>001069</t>
  </si>
  <si>
    <t>001066</t>
  </si>
  <si>
    <t>000545</t>
  </si>
  <si>
    <t>002292</t>
  </si>
  <si>
    <t>000870</t>
  </si>
  <si>
    <t>000863</t>
  </si>
  <si>
    <t>001420</t>
  </si>
  <si>
    <t>000913</t>
  </si>
  <si>
    <t>000995</t>
  </si>
  <si>
    <t>000292</t>
  </si>
  <si>
    <t>Murphy Road Recycling, LLC dba Automated Material Handling</t>
  </si>
  <si>
    <t>Site pond with overflow to Pootatuck River</t>
  </si>
  <si>
    <t>Wheelebrator Bridgeport</t>
  </si>
  <si>
    <t>DSN-004</t>
  </si>
  <si>
    <t>7000-40</t>
  </si>
  <si>
    <t>Outfall 2 to MS4</t>
  </si>
  <si>
    <t>East Coast Auto Salvage</t>
  </si>
  <si>
    <t>Ponset Brook, Connecticut Main Stem Basin</t>
  </si>
  <si>
    <t>000982</t>
  </si>
  <si>
    <t>Pequaback River, Farmington Regional Basin</t>
  </si>
  <si>
    <t>Albert's Used Auto Parts, LLc</t>
  </si>
  <si>
    <t>Albert's Used Auto Parts, LLC</t>
  </si>
  <si>
    <t>Naugatuck River &amp; Naugatuck Regional Drainage Basin</t>
  </si>
  <si>
    <t>002523</t>
  </si>
  <si>
    <t>Naugatuck River, Naugatuck River Basin</t>
  </si>
  <si>
    <t>Stewart's Auto Parts. Inc</t>
  </si>
  <si>
    <t>Seymour Auto Wrecking</t>
  </si>
  <si>
    <t>107 New Haven Rd</t>
  </si>
  <si>
    <t>Bladens Brook</t>
  </si>
  <si>
    <t>002518</t>
  </si>
  <si>
    <t>Loading Dock</t>
  </si>
  <si>
    <t>Manhole</t>
  </si>
  <si>
    <t>Webster Brook, Mattabesset Regional Basin</t>
  </si>
  <si>
    <t>Marvin's Used Auto Parts, Inc.</t>
  </si>
  <si>
    <t>Witch Meadow Brook/ Eightmile River Basin</t>
  </si>
  <si>
    <t>002236</t>
  </si>
  <si>
    <t>CT-W2-013</t>
  </si>
  <si>
    <t>000477</t>
  </si>
  <si>
    <t>1-CB</t>
  </si>
  <si>
    <t>Ding's Auto Sales</t>
  </si>
  <si>
    <t>Ding's Auto Sales &amp; Salvage</t>
  </si>
  <si>
    <t>Tributary of Miry Brook</t>
  </si>
  <si>
    <t>6705-09-1-L2</t>
  </si>
  <si>
    <t>000776</t>
  </si>
  <si>
    <t>Ding's #1 East</t>
  </si>
  <si>
    <t>Ding's #1 West</t>
  </si>
  <si>
    <t>Conn. Used Parts &amp; Auto Wrecking</t>
  </si>
  <si>
    <t>Town of Cromwell</t>
  </si>
  <si>
    <t>Cromwell Creek, Connecticut River</t>
  </si>
  <si>
    <t>001606</t>
  </si>
  <si>
    <t>Town of Salisbury Transfer Station</t>
  </si>
  <si>
    <t>Salisbury-Sharon Transfer Station</t>
  </si>
  <si>
    <t>Beeslick Brook</t>
  </si>
  <si>
    <t>Downstream</t>
  </si>
  <si>
    <t>West</t>
  </si>
  <si>
    <t>United Illuminating Co. Ops. Facility</t>
  </si>
  <si>
    <t>United Illuminating Co.</t>
  </si>
  <si>
    <t>Indian River/South Central Western Complex Regional Basin</t>
  </si>
  <si>
    <t>002514</t>
  </si>
  <si>
    <t>Town fo Groton</t>
  </si>
  <si>
    <t>WPCF Outfall 3</t>
  </si>
  <si>
    <t>Unnamed Swale to CT River, CT River basin</t>
  </si>
  <si>
    <t>Middletown</t>
  </si>
  <si>
    <t>Swamp Brook</t>
  </si>
  <si>
    <t>002108</t>
  </si>
  <si>
    <t>Flabeg Technical Glass, US</t>
  </si>
  <si>
    <t>000192</t>
  </si>
  <si>
    <t>DSN-001N (CB-7)</t>
  </si>
  <si>
    <t>USA Hauling &amp; Recycling Inc</t>
  </si>
  <si>
    <t>Container Maintenance Facility</t>
  </si>
  <si>
    <t>4000-08-1</t>
  </si>
  <si>
    <t>002468</t>
  </si>
  <si>
    <t>USA Hauling &amp; Recycling Vehicle</t>
  </si>
  <si>
    <t>002050</t>
  </si>
  <si>
    <t>Sporting Goods Properties Inc</t>
  </si>
  <si>
    <t>Roadway Brook to Mill Channel</t>
  </si>
  <si>
    <t>Outfall-003</t>
  </si>
  <si>
    <t>Citgo-Rocky hill Terminal</t>
  </si>
  <si>
    <t>TTM Printed Circuit Group Inc.</t>
  </si>
  <si>
    <t>Peter Paul Electronics Co.</t>
  </si>
  <si>
    <t>Northeast Transportation</t>
  </si>
  <si>
    <t>000941</t>
  </si>
  <si>
    <t>Tech Circuits Inc</t>
  </si>
  <si>
    <t>Armoloy of Connecticut</t>
  </si>
  <si>
    <t>000273</t>
  </si>
  <si>
    <t>Parking Lot</t>
  </si>
  <si>
    <t>C. White &amp; Son, Inc.</t>
  </si>
  <si>
    <t>Rocky Hill Facility</t>
  </si>
  <si>
    <t>000460</t>
  </si>
  <si>
    <t>Conrad Corp</t>
  </si>
  <si>
    <t>Kenneth Lynch &amp; Sons</t>
  </si>
  <si>
    <t xml:space="preserve">Little River </t>
  </si>
  <si>
    <t>002488</t>
  </si>
  <si>
    <t>ABS USA</t>
  </si>
  <si>
    <t>000368</t>
  </si>
  <si>
    <t>SD-4A</t>
  </si>
  <si>
    <t>Smiths Medical ASD, Inc</t>
  </si>
  <si>
    <t>Smiths Medical</t>
  </si>
  <si>
    <t>001922</t>
  </si>
  <si>
    <t>Outfall-006</t>
  </si>
  <si>
    <t>Fabtron, Inc</t>
  </si>
  <si>
    <t>000801</t>
  </si>
  <si>
    <t>Gems Sensors &amp; Controls Inc</t>
  </si>
  <si>
    <t>001360</t>
  </si>
  <si>
    <t>#11743</t>
  </si>
  <si>
    <t>Wetland</t>
  </si>
  <si>
    <t>#20684</t>
  </si>
  <si>
    <t>002147</t>
  </si>
  <si>
    <t>Area Cooperative Educational Services</t>
  </si>
  <si>
    <t>Access and Tranportation Facility</t>
  </si>
  <si>
    <t>Magellan Midstream Partners LP</t>
  </si>
  <si>
    <t>001374</t>
  </si>
  <si>
    <t>001371</t>
  </si>
  <si>
    <t>001373</t>
  </si>
  <si>
    <t>001375</t>
  </si>
  <si>
    <t>United Abrasive Inc</t>
  </si>
  <si>
    <t>DXRA Danbury</t>
  </si>
  <si>
    <t>Discharge-002</t>
  </si>
  <si>
    <t xml:space="preserve">CB #4-Outfall-4 </t>
  </si>
  <si>
    <t>CB #8-1 Outfall-8</t>
  </si>
  <si>
    <t>CB#5-6 Outfall-5</t>
  </si>
  <si>
    <t>SWD-3 by front entrance</t>
  </si>
  <si>
    <t>SWD-2 Corner of Property</t>
  </si>
  <si>
    <t>A.J. Tuck Company</t>
  </si>
  <si>
    <t>SD @ end of property</t>
  </si>
  <si>
    <t>Stafford Sand and Gravel</t>
  </si>
  <si>
    <t>3101-00-3-R2</t>
  </si>
  <si>
    <t>002049</t>
  </si>
  <si>
    <t>Haynes Materials Comp</t>
  </si>
  <si>
    <t>Oxford</t>
  </si>
  <si>
    <t>Little River, Naugatuck River Watershed</t>
  </si>
  <si>
    <t>001523</t>
  </si>
  <si>
    <t>Seymour Concrete Plant</t>
  </si>
  <si>
    <t>Nickel Mine Brook</t>
  </si>
  <si>
    <t>001503</t>
  </si>
  <si>
    <t>Seymour</t>
  </si>
  <si>
    <t>Torrington Facility</t>
  </si>
  <si>
    <t>Still Water</t>
  </si>
  <si>
    <t>001653</t>
  </si>
  <si>
    <t>Torrington</t>
  </si>
  <si>
    <t>Naugatuck Facility</t>
  </si>
  <si>
    <t>Straitsville Brook</t>
  </si>
  <si>
    <t>001654</t>
  </si>
  <si>
    <t>Naugatuck</t>
  </si>
  <si>
    <t>Thompson Rail Business Park LLC</t>
  </si>
  <si>
    <t>1429-2951</t>
  </si>
  <si>
    <t>Plainville South DSN 001</t>
  </si>
  <si>
    <t>Plainville South DSN 002</t>
  </si>
  <si>
    <t>Plainville South DSN 003</t>
  </si>
  <si>
    <t>Plainville South DSN 004</t>
  </si>
  <si>
    <t>Plainville South DSN 009</t>
  </si>
  <si>
    <t>North Branford</t>
  </si>
  <si>
    <t>1429-2951-4011</t>
  </si>
  <si>
    <t>Danbury Stone</t>
  </si>
  <si>
    <t>Baldi Stone and Gravel</t>
  </si>
  <si>
    <t>001913</t>
  </si>
  <si>
    <t>Valley Sand and Gravel</t>
  </si>
  <si>
    <t>001635</t>
  </si>
  <si>
    <t>Outfall No. 1</t>
  </si>
  <si>
    <t>Outfall No. 3</t>
  </si>
  <si>
    <t>Outfall No. 4</t>
  </si>
  <si>
    <t>Outfall 8</t>
  </si>
  <si>
    <t>Outfall 9</t>
  </si>
  <si>
    <t>Sodium</t>
  </si>
  <si>
    <t>Metro-North</t>
  </si>
  <si>
    <t>Stamford Rail Yard</t>
  </si>
  <si>
    <t>East Branch Canal to LIS</t>
  </si>
  <si>
    <t>001309</t>
  </si>
  <si>
    <t>serial 2</t>
  </si>
  <si>
    <t>serial 1</t>
  </si>
  <si>
    <t>serial 3</t>
  </si>
  <si>
    <t>serial 4</t>
  </si>
  <si>
    <t>New Haven Rail Yard</t>
  </si>
  <si>
    <t>001356</t>
  </si>
  <si>
    <t>serial 6</t>
  </si>
  <si>
    <t>LaJoie's Auto Wrecking Co Inc</t>
  </si>
  <si>
    <t>Unimetal Surface Finish</t>
  </si>
  <si>
    <t>Outfall #3 Manhole</t>
  </si>
  <si>
    <t>Long Island Sound- Jordan Cove</t>
  </si>
  <si>
    <t>PAHs</t>
  </si>
  <si>
    <t>Northeast Lamp Recycling Inc</t>
  </si>
  <si>
    <t>Lakin Tire East, Inc.</t>
  </si>
  <si>
    <t>Phipps Lake</t>
  </si>
  <si>
    <t>001025</t>
  </si>
  <si>
    <t>Albert Bros Inc</t>
  </si>
  <si>
    <t>001072</t>
  </si>
  <si>
    <t>Yard 1</t>
  </si>
  <si>
    <t>Yard 2</t>
  </si>
  <si>
    <t>Rubino Brothers, Inc.</t>
  </si>
  <si>
    <t>001143</t>
  </si>
  <si>
    <t>OF 003</t>
  </si>
  <si>
    <t>SMM New England Corporation</t>
  </si>
  <si>
    <t>OF 2</t>
  </si>
  <si>
    <t>OF 3</t>
  </si>
  <si>
    <t>Ostrinsky Scrap, LLC</t>
  </si>
  <si>
    <t>Hockanum River Watershed</t>
  </si>
  <si>
    <t>002218</t>
  </si>
  <si>
    <t>MS4 -Hartford Municipal Storm Sewer</t>
  </si>
  <si>
    <t>Sims Metal MGT - Stam Iron</t>
  </si>
  <si>
    <t>Stamford Sanitary Sewer</t>
  </si>
  <si>
    <t>002438</t>
  </si>
  <si>
    <t>Oil water Separator Discharge</t>
  </si>
  <si>
    <t>Simsmetal East, LLC</t>
  </si>
  <si>
    <t>DBA Stamford Iron &amp; Metal</t>
  </si>
  <si>
    <t>Nichols Auto Parts Inc</t>
  </si>
  <si>
    <t>5000-10</t>
  </si>
  <si>
    <t>002503</t>
  </si>
  <si>
    <t>NIC-1 (Overflow To Wetlands)</t>
  </si>
  <si>
    <t>Of #2</t>
  </si>
  <si>
    <t>Of #3</t>
  </si>
  <si>
    <t>Long Island Sound via Cedar Creek</t>
  </si>
  <si>
    <t>Bridgeport DSN 001</t>
  </si>
  <si>
    <t>Danbury Asphalt</t>
  </si>
  <si>
    <t>Limeklin Brook via Danbury Treatment Pit</t>
  </si>
  <si>
    <t>Pine orchard Bock</t>
  </si>
  <si>
    <t>Costal Tidal Waters Long Island Sound</t>
  </si>
  <si>
    <t>4463-4469</t>
  </si>
  <si>
    <t>Branford POD DSN 002</t>
  </si>
  <si>
    <t>Hartford Concrete</t>
  </si>
  <si>
    <t>Unnamed tributary to Connecticut River</t>
  </si>
  <si>
    <t>Hartford Concrete DSN 001</t>
  </si>
  <si>
    <t>Hamden Asphalt</t>
  </si>
  <si>
    <t>Old Saybrook</t>
  </si>
  <si>
    <t>3213-2951</t>
  </si>
  <si>
    <t>Farmington</t>
  </si>
  <si>
    <t>North Haven Asphalt</t>
  </si>
  <si>
    <t>Wilsonville</t>
  </si>
  <si>
    <t>Wilsonville DSN 002</t>
  </si>
  <si>
    <t>Wilsonville DSN 003</t>
  </si>
  <si>
    <t>Groton</t>
  </si>
  <si>
    <t>2951-3273-1429-1442</t>
  </si>
  <si>
    <t>Manchester Asphalt</t>
  </si>
  <si>
    <t>Manchester DSN 005</t>
  </si>
  <si>
    <t>Newington Asphalt</t>
  </si>
  <si>
    <t>2951-1429</t>
  </si>
  <si>
    <t>Newington DSN 004</t>
  </si>
  <si>
    <t>Newington DSN 005</t>
  </si>
  <si>
    <t>Semi-volatile Hydrocarbons</t>
  </si>
  <si>
    <t>Wauregan</t>
  </si>
  <si>
    <t>James Brook or Qudndock Brook</t>
  </si>
  <si>
    <t>2951-4129-1442</t>
  </si>
  <si>
    <t>Southington</t>
  </si>
  <si>
    <t>Eight Mile River</t>
  </si>
  <si>
    <t>000581</t>
  </si>
  <si>
    <t>Southington DSN 001</t>
  </si>
  <si>
    <t>2951-4013-1429</t>
  </si>
  <si>
    <t>Wallingford DSN 002</t>
  </si>
  <si>
    <t>4500-00-04b</t>
  </si>
  <si>
    <t>V-2</t>
  </si>
  <si>
    <t>V-3</t>
  </si>
  <si>
    <t>Town of Somers</t>
  </si>
  <si>
    <t>Department of Public Works Facility &amp; Transfer Station</t>
  </si>
  <si>
    <t>129</t>
  </si>
  <si>
    <t>4204-00-2-R1</t>
  </si>
  <si>
    <t>000151</t>
  </si>
  <si>
    <t>4000-00-02</t>
  </si>
  <si>
    <t>&gt;72hours</t>
  </si>
  <si>
    <t>LIS EB Inner - CT River</t>
  </si>
  <si>
    <t>CT-E1 024-SB</t>
  </si>
  <si>
    <t>S.E. Corner of Property</t>
  </si>
  <si>
    <t>HP Marine</t>
  </si>
  <si>
    <t xml:space="preserve">N </t>
  </si>
  <si>
    <t>Yankee Boat Yard &amp; Marina</t>
  </si>
  <si>
    <t>000423</t>
  </si>
  <si>
    <t>Old Lyme Marina</t>
  </si>
  <si>
    <t>CT-E1029-SB</t>
  </si>
  <si>
    <t>002394</t>
  </si>
  <si>
    <t>OLM-1</t>
  </si>
  <si>
    <t>Essex Island</t>
  </si>
  <si>
    <t>Outfall 1 (SM-OF-1)</t>
  </si>
  <si>
    <t>PYC-OF-1</t>
  </si>
  <si>
    <t>Riverside Yacht Club BC#160034</t>
  </si>
  <si>
    <t>CT-W2-002</t>
  </si>
  <si>
    <t>Riverside Yacht Club BC#160038</t>
  </si>
  <si>
    <t>CT-W2-022</t>
  </si>
  <si>
    <t>The Belle Haven Club BC#160037</t>
  </si>
  <si>
    <t xml:space="preserve">Byram Harbor </t>
  </si>
  <si>
    <t>CT-W2-024</t>
  </si>
  <si>
    <t>Belle Haven</t>
  </si>
  <si>
    <t>Indian Harbor Yacht Club BC#160035</t>
  </si>
  <si>
    <t>IHYC #1</t>
  </si>
  <si>
    <t>Indian Harbor Yacht Club BC#160036</t>
  </si>
  <si>
    <t>CT-W1-021-SB</t>
  </si>
  <si>
    <t>HIYC #2</t>
  </si>
  <si>
    <t>River's End Marina</t>
  </si>
  <si>
    <t>002251</t>
  </si>
  <si>
    <t>Between the Bridges Marina</t>
  </si>
  <si>
    <t>Connecticut River, Connecticut River Regional Basin</t>
  </si>
  <si>
    <t>001381</t>
  </si>
  <si>
    <t>001382</t>
  </si>
  <si>
    <t>Pit 1</t>
  </si>
  <si>
    <t>Robert Drenckhahn</t>
  </si>
  <si>
    <t>City of Shelton</t>
  </si>
  <si>
    <t>000999</t>
  </si>
  <si>
    <t>last CB</t>
  </si>
  <si>
    <t>Litchfield PW Department</t>
  </si>
  <si>
    <t>000875</t>
  </si>
  <si>
    <t>town garage</t>
  </si>
  <si>
    <t>000811</t>
  </si>
  <si>
    <t>Eastern Precast Company</t>
  </si>
  <si>
    <t>001988</t>
  </si>
  <si>
    <t>Freeport-McMoRan</t>
  </si>
  <si>
    <t>000777</t>
  </si>
  <si>
    <t>DSN 014</t>
  </si>
  <si>
    <t>Town of Simsbury</t>
  </si>
  <si>
    <t>WPC</t>
  </si>
  <si>
    <t>001748</t>
  </si>
  <si>
    <t>Munnisunk Brook</t>
  </si>
  <si>
    <t>001083</t>
  </si>
  <si>
    <t>landfill</t>
  </si>
  <si>
    <t>Greater New Haven WPCA</t>
  </si>
  <si>
    <t>001893</t>
  </si>
  <si>
    <t>outfall S-1 (maintenance driveway)</t>
  </si>
  <si>
    <t>outfall S-2 (parking lot)</t>
  </si>
  <si>
    <t>outfall S-4 (Synagro CB)</t>
  </si>
  <si>
    <t>Plainville North DSN 001</t>
  </si>
  <si>
    <t>Plainville North DSN 002</t>
  </si>
  <si>
    <t>Storm-B460-A025 (001)</t>
  </si>
  <si>
    <t>Storm-Subscol B519-A026 (004)</t>
  </si>
  <si>
    <t>Storm-B85-A023 (006)</t>
  </si>
  <si>
    <t>002519</t>
  </si>
  <si>
    <t>Level Spreader</t>
  </si>
  <si>
    <t>Newington</t>
  </si>
  <si>
    <t>Poquonock River</t>
  </si>
  <si>
    <t xml:space="preserve">Wallingford DSN 002 </t>
  </si>
  <si>
    <t>3273-2951</t>
  </si>
  <si>
    <t>Hamden</t>
  </si>
  <si>
    <t>North Haven</t>
  </si>
  <si>
    <t>Outfall No. 1 (T-001)</t>
  </si>
  <si>
    <t>Outfall No. 2 (T-002)</t>
  </si>
  <si>
    <t>Outfall No . 1 (T-001)</t>
  </si>
  <si>
    <t>O&amp;G Industires, Inc.</t>
  </si>
  <si>
    <t>Empire tire of Edgewater 2, LLC</t>
  </si>
  <si>
    <t>Haven Pond, Quinnibaug</t>
  </si>
  <si>
    <t>001380</t>
  </si>
  <si>
    <t>PUC culvert SD E110780</t>
  </si>
  <si>
    <t>128</t>
  </si>
  <si>
    <t>001489</t>
  </si>
  <si>
    <t>Saft America</t>
  </si>
  <si>
    <t>standby Division</t>
  </si>
  <si>
    <t>DSN001-A</t>
  </si>
  <si>
    <t>000657</t>
  </si>
  <si>
    <t>Mill River Channel</t>
  </si>
  <si>
    <t>outfall DSN002</t>
  </si>
  <si>
    <t>000623</t>
  </si>
  <si>
    <t>Superior Product Distributers</t>
  </si>
  <si>
    <t>Rex Precast</t>
  </si>
  <si>
    <t>01</t>
  </si>
  <si>
    <t>Durham</t>
  </si>
  <si>
    <t>001856</t>
  </si>
  <si>
    <t>American Medical Response</t>
  </si>
  <si>
    <t>000680</t>
  </si>
  <si>
    <t>RSA Corporation</t>
  </si>
  <si>
    <t>CB01</t>
  </si>
  <si>
    <t>66606-04</t>
  </si>
  <si>
    <t>000252</t>
  </si>
  <si>
    <t>United Concrete Products</t>
  </si>
  <si>
    <t>Galaso Materials</t>
  </si>
  <si>
    <t>000104</t>
  </si>
  <si>
    <t>D-1</t>
  </si>
  <si>
    <t>D-4</t>
  </si>
  <si>
    <t>MS4 to LIS</t>
  </si>
  <si>
    <t>002137</t>
  </si>
  <si>
    <t>355 CT Ave</t>
  </si>
  <si>
    <t>001855</t>
  </si>
  <si>
    <t>155 Fourth St</t>
  </si>
  <si>
    <t>Norwich Rod Plant</t>
  </si>
  <si>
    <t>Town of New Hartford</t>
  </si>
  <si>
    <t>CTL No. 6275 Town Garage</t>
  </si>
  <si>
    <t>Farmington River, Farmington Regional Basin</t>
  </si>
  <si>
    <t>001324</t>
  </si>
  <si>
    <t>CTL No. 6276 Town Garage</t>
  </si>
  <si>
    <t>4911/4953</t>
  </si>
  <si>
    <t>Stamford Town Yard</t>
  </si>
  <si>
    <t>002509</t>
  </si>
  <si>
    <t>Town of Old Lyme Department of Public Works Facility</t>
  </si>
  <si>
    <t>Catch Basin - Outfall 001</t>
  </si>
  <si>
    <t>River Outfall 002</t>
  </si>
  <si>
    <t>001912</t>
  </si>
  <si>
    <t>Town of North Branford</t>
  </si>
  <si>
    <t>NB PWG/CTL Sample No. 14274</t>
  </si>
  <si>
    <t>Farm River</t>
  </si>
  <si>
    <t>5112-00-2L2</t>
  </si>
  <si>
    <t>001874</t>
  </si>
  <si>
    <t>NB PWG/CTL Sample No. 6224</t>
  </si>
  <si>
    <t>NB PWG/CTL No. 1012030</t>
  </si>
  <si>
    <t>Westbrook Public Works Dept.</t>
  </si>
  <si>
    <t>Town of Windsor</t>
  </si>
  <si>
    <t>Public Works Complex</t>
  </si>
  <si>
    <t>Unnamed Tributary to Mill Brook</t>
  </si>
  <si>
    <t>4321-00-01</t>
  </si>
  <si>
    <t>001508</t>
  </si>
  <si>
    <t>Scantic River, Scantic River Drainage Basin</t>
  </si>
  <si>
    <t>Branch brook</t>
  </si>
  <si>
    <t>Town of Trumbull</t>
  </si>
  <si>
    <t>Trumbull DPW</t>
  </si>
  <si>
    <t>001644</t>
  </si>
  <si>
    <t>SL-1</t>
  </si>
  <si>
    <t>SL-2</t>
  </si>
  <si>
    <t>Westbrook Concrete</t>
  </si>
  <si>
    <t>Concrete Block Plant</t>
  </si>
  <si>
    <t>5000-04-1</t>
  </si>
  <si>
    <t>000666</t>
  </si>
  <si>
    <t>STP</t>
  </si>
  <si>
    <t>002084</t>
  </si>
  <si>
    <t>outfall East</t>
  </si>
  <si>
    <t>outfall West</t>
  </si>
  <si>
    <t>002297</t>
  </si>
  <si>
    <t>outfall DSN 001</t>
  </si>
  <si>
    <t>East outfall</t>
  </si>
  <si>
    <t>Upper lot outfall</t>
  </si>
  <si>
    <t>Rand Whitney</t>
  </si>
  <si>
    <t>001209</t>
  </si>
  <si>
    <t>pkng lot drain</t>
  </si>
  <si>
    <t>Waterbury DC</t>
  </si>
  <si>
    <t>002357</t>
  </si>
  <si>
    <t>outfall #8</t>
  </si>
  <si>
    <t>First Student Inc. #11085</t>
  </si>
  <si>
    <t>Outfall #1 (SP-1)</t>
  </si>
  <si>
    <t>000818</t>
  </si>
  <si>
    <t>outfall D</t>
  </si>
  <si>
    <t>The Berlin Steel Construction Company</t>
  </si>
  <si>
    <t>Mattabassett River</t>
  </si>
  <si>
    <t>Town of Manchester Highway/Fleet Facility</t>
  </si>
  <si>
    <t>Coastwise Boatworks</t>
  </si>
  <si>
    <t>Sono Wharf</t>
  </si>
  <si>
    <t>002415</t>
  </si>
  <si>
    <t>Discharge Point 1</t>
  </si>
  <si>
    <t>Limeklin Brook</t>
  </si>
  <si>
    <t>French river</t>
  </si>
  <si>
    <t>Wilsonville Dsn 002</t>
  </si>
  <si>
    <t>Unnamed Tributary to the Quinnipiac River</t>
  </si>
  <si>
    <t>3900-08</t>
  </si>
  <si>
    <t>Town of Columbia Public Works Garage/Transfer Station</t>
  </si>
  <si>
    <t>Recycling and Compost Center</t>
  </si>
  <si>
    <t xml:space="preserve">DSN-004 </t>
  </si>
  <si>
    <t>Total Iron</t>
  </si>
  <si>
    <t>BOD</t>
  </si>
  <si>
    <t>TSS</t>
  </si>
  <si>
    <t>Ammonia</t>
  </si>
  <si>
    <t>Alpha Terpineol</t>
  </si>
  <si>
    <t>Benzoic Acid</t>
  </si>
  <si>
    <t>p-Cresol</t>
  </si>
  <si>
    <t>Phenol</t>
  </si>
  <si>
    <t>Total Zinc</t>
  </si>
  <si>
    <t>Sample pH</t>
  </si>
  <si>
    <t>Town of Shelton</t>
  </si>
  <si>
    <t>Shelton WPCF</t>
  </si>
  <si>
    <t>002553</t>
  </si>
  <si>
    <t>Dept of Public Works</t>
  </si>
  <si>
    <t>SWF-001</t>
  </si>
  <si>
    <t>Harwinton Town Garage</t>
  </si>
  <si>
    <t>Rock Brook, Naugatuck Regional Basin</t>
  </si>
  <si>
    <t>001265</t>
  </si>
  <si>
    <t>V-1</t>
  </si>
  <si>
    <t>TransWaste Inc</t>
  </si>
  <si>
    <t>Main Catch Basin</t>
  </si>
  <si>
    <t>002237</t>
  </si>
  <si>
    <t>3 Barker Drive</t>
  </si>
  <si>
    <t>Town of Old Lyme Transfer Station</t>
  </si>
  <si>
    <t>000630</t>
  </si>
  <si>
    <t>000370</t>
  </si>
  <si>
    <t>Component Technologies</t>
  </si>
  <si>
    <r>
      <t xml:space="preserve">Total O&amp;G </t>
    </r>
    <r>
      <rPr>
        <sz val="9"/>
        <color indexed="8"/>
        <rFont val="Calibri"/>
        <family val="2"/>
      </rPr>
      <t>(5)</t>
    </r>
  </si>
  <si>
    <r>
      <t xml:space="preserve">Sample pH </t>
    </r>
    <r>
      <rPr>
        <sz val="9"/>
        <color indexed="8"/>
        <rFont val="Calibri"/>
        <family val="2"/>
      </rPr>
      <t>(5-9)</t>
    </r>
  </si>
  <si>
    <r>
      <t xml:space="preserve">Total COD </t>
    </r>
    <r>
      <rPr>
        <sz val="9"/>
        <color indexed="8"/>
        <rFont val="Calibri"/>
        <family val="2"/>
      </rPr>
      <t>(75)</t>
    </r>
  </si>
  <si>
    <r>
      <t xml:space="preserve">Total
Susp. Sol </t>
    </r>
    <r>
      <rPr>
        <sz val="9"/>
        <color indexed="8"/>
        <rFont val="Calibri"/>
        <family val="2"/>
      </rPr>
      <t>(90)</t>
    </r>
  </si>
  <si>
    <r>
      <t xml:space="preserve">Total 
Phos. </t>
    </r>
    <r>
      <rPr>
        <sz val="9"/>
        <color indexed="8"/>
        <rFont val="Calibri"/>
        <family val="2"/>
      </rPr>
      <t>(0.40)</t>
    </r>
  </si>
  <si>
    <r>
      <t xml:space="preserve">Total
KN </t>
    </r>
    <r>
      <rPr>
        <sz val="9"/>
        <color indexed="8"/>
        <rFont val="Calibri"/>
        <family val="2"/>
      </rPr>
      <t>(2.30)</t>
    </r>
  </si>
  <si>
    <r>
      <t xml:space="preserve">Total
NO3 </t>
    </r>
    <r>
      <rPr>
        <sz val="9"/>
        <color indexed="8"/>
        <rFont val="Calibri"/>
        <family val="2"/>
      </rPr>
      <t>(1.10)</t>
    </r>
  </si>
  <si>
    <r>
      <t xml:space="preserve">Total
Cu </t>
    </r>
    <r>
      <rPr>
        <sz val="9"/>
        <color indexed="8"/>
        <rFont val="Calibri"/>
        <family val="2"/>
      </rPr>
      <t>(0.059)</t>
    </r>
  </si>
  <si>
    <r>
      <t xml:space="preserve">Total
Zn </t>
    </r>
    <r>
      <rPr>
        <sz val="9"/>
        <color indexed="8"/>
        <rFont val="Calibri"/>
        <family val="2"/>
      </rPr>
      <t>(0.160)</t>
    </r>
  </si>
  <si>
    <r>
      <t>Total
Pb</t>
    </r>
    <r>
      <rPr>
        <sz val="9"/>
        <color indexed="8"/>
        <rFont val="Calibri"/>
        <family val="2"/>
      </rPr>
      <t xml:space="preserve"> (0.076)</t>
    </r>
  </si>
  <si>
    <r>
      <t xml:space="preserve">Annual O&amp;G </t>
    </r>
    <r>
      <rPr>
        <sz val="9"/>
        <color indexed="8"/>
        <rFont val="Calibri"/>
        <family val="2"/>
      </rPr>
      <t>(15)</t>
    </r>
  </si>
  <si>
    <r>
      <t xml:space="preserve">Annual Sample pH </t>
    </r>
    <r>
      <rPr>
        <sz val="9"/>
        <color indexed="8"/>
        <rFont val="Calibri"/>
        <family val="2"/>
      </rPr>
      <t>(6-9)</t>
    </r>
  </si>
  <si>
    <r>
      <t xml:space="preserve">Annual TSS </t>
    </r>
    <r>
      <rPr>
        <sz val="9"/>
        <color indexed="8"/>
        <rFont val="Calibri"/>
        <family val="2"/>
      </rPr>
      <t>(23)</t>
    </r>
  </si>
  <si>
    <t>Total COD (75)</t>
  </si>
  <si>
    <t>Total
Susp. Sol (90)</t>
  </si>
  <si>
    <t>Total 
Phos. (0.40)</t>
  </si>
  <si>
    <t>Total
KN (2.30)</t>
  </si>
  <si>
    <t>Total
NO3 (1.10)</t>
  </si>
  <si>
    <t>Total O&amp;G (5)</t>
  </si>
  <si>
    <t>Sample pH (5-9)</t>
  </si>
  <si>
    <r>
      <t>Total
Cu</t>
    </r>
    <r>
      <rPr>
        <sz val="9"/>
        <color rgb="FFFF0000"/>
        <rFont val="Calibri"/>
        <family val="2"/>
        <scheme val="minor"/>
      </rPr>
      <t xml:space="preserve"> </t>
    </r>
    <r>
      <rPr>
        <sz val="9"/>
        <color rgb="FFFF0000"/>
        <rFont val="Calibri"/>
        <family val="2"/>
      </rPr>
      <t>(no benchmark)</t>
    </r>
  </si>
  <si>
    <t>Total
Zn (0.160)</t>
  </si>
  <si>
    <t>Total
Pb (0.076)</t>
  </si>
  <si>
    <r>
      <t xml:space="preserve">Total
Cu </t>
    </r>
    <r>
      <rPr>
        <sz val="9"/>
        <color indexed="8"/>
        <rFont val="Calibri"/>
        <family val="2"/>
      </rPr>
      <t>(no benchmark)</t>
    </r>
  </si>
  <si>
    <r>
      <t xml:space="preserve">Semiannual Fe </t>
    </r>
    <r>
      <rPr>
        <sz val="9"/>
        <color indexed="8"/>
        <rFont val="Calibri"/>
        <family val="2"/>
      </rPr>
      <t>(1.0)</t>
    </r>
  </si>
  <si>
    <r>
      <t xml:space="preserve">Semiannual Al </t>
    </r>
    <r>
      <rPr>
        <sz val="9"/>
        <color indexed="8"/>
        <rFont val="Calibri"/>
        <family val="2"/>
      </rPr>
      <t>(0.75)</t>
    </r>
  </si>
  <si>
    <t>Total
Cu (0.059)</t>
  </si>
  <si>
    <t>Quarterly Fe (1.0)</t>
  </si>
  <si>
    <t>Annual Sample pH (6-9)</t>
  </si>
  <si>
    <t>Annual TSS (50)</t>
  </si>
  <si>
    <t>Quarterly Hg (0.0014)</t>
  </si>
  <si>
    <t>Quarterly Al (0.75)</t>
  </si>
  <si>
    <t>Annual BOD (140)</t>
  </si>
  <si>
    <t>Annual TSS (88)</t>
  </si>
  <si>
    <t>Annual Ammonia (10)</t>
  </si>
  <si>
    <t>Annual Total Zinc (0.200)</t>
  </si>
  <si>
    <t>Annual pH (6-9)</t>
  </si>
  <si>
    <r>
      <rPr>
        <u/>
        <sz val="9"/>
        <color theme="1"/>
        <rFont val="Calibri"/>
        <family val="2"/>
        <scheme val="minor"/>
      </rPr>
      <t>Upstream</t>
    </r>
    <r>
      <rPr>
        <sz val="9"/>
        <color theme="1"/>
        <rFont val="Calibri"/>
        <family val="2"/>
        <scheme val="minor"/>
      </rPr>
      <t xml:space="preserve"> of Outfall from transfer station area 001</t>
    </r>
  </si>
  <si>
    <t>Outfall 6 (TS/LF Of-6)</t>
  </si>
  <si>
    <t>Outfall 2 (LF/TS OF-2)</t>
  </si>
  <si>
    <t>Flanders Road Landfill &amp; Transfer Station</t>
  </si>
  <si>
    <t>Tradebe Treatment and Recycling of Bridgeport, LLC</t>
  </si>
  <si>
    <t>City of Bridgeport Storm Water System</t>
  </si>
  <si>
    <t>Oil/Water Separator</t>
  </si>
  <si>
    <t>Town of Manchester Sanitary Landfill</t>
  </si>
  <si>
    <t>4504-00-3</t>
  </si>
  <si>
    <t>000502</t>
  </si>
  <si>
    <t>DSN-008</t>
  </si>
  <si>
    <t>4504-00-4</t>
  </si>
  <si>
    <t>4000-00-6-R34</t>
  </si>
  <si>
    <t>Coles Brook, Mattabessett river</t>
  </si>
  <si>
    <t>001605</t>
  </si>
  <si>
    <t>Southern Connecticut Recycling, Inc.</t>
  </si>
  <si>
    <t>Southern Connecticut Recycling</t>
  </si>
  <si>
    <t>001358</t>
  </si>
  <si>
    <t>City Carting &amp; Recycling, Inc.</t>
  </si>
  <si>
    <t>Outfall 2 (Road)</t>
  </si>
  <si>
    <t>Wheelabrator-Bridgeport L.P.</t>
  </si>
  <si>
    <t>Murphy Road Recycling, LLC</t>
  </si>
  <si>
    <t>Capital Recycling IPC</t>
  </si>
  <si>
    <t>Municipal Road, LLC</t>
  </si>
  <si>
    <t>Municipal Road , LLC</t>
  </si>
  <si>
    <t>Murphy Road Recycling, LLC dba Danbury Road Recycling</t>
  </si>
  <si>
    <t>Vehicle Maintenace/Storage &amp; Volume Reduction Facility/Transfer Station</t>
  </si>
  <si>
    <t>Murphy Road Recycling, LLc</t>
  </si>
  <si>
    <t>USA Hauling &amp; Recycling, Inc.</t>
  </si>
  <si>
    <t>Waste Conversion Technologies, Inc.</t>
  </si>
  <si>
    <t>Covanta Sotheastern Connecticut Company</t>
  </si>
  <si>
    <t>Southern Connecticut Resource Recovery Facility</t>
  </si>
  <si>
    <t>F&amp;G Recycling, LLC</t>
  </si>
  <si>
    <t>Transfer Station East #1</t>
  </si>
  <si>
    <t>Brandford Landfill</t>
  </si>
  <si>
    <t>Murphy Road Recycling, LLC d/b/a Wheeler Street Recycling</t>
  </si>
  <si>
    <t>Public Works Garage/Tran Station</t>
  </si>
  <si>
    <t>Skungamaug River (Tolland Marsh)</t>
  </si>
  <si>
    <t>Redding Health Department</t>
  </si>
  <si>
    <t>Redding Highway Department</t>
  </si>
  <si>
    <t>117</t>
  </si>
  <si>
    <t>000149</t>
  </si>
  <si>
    <t>Redding Highway Department 002</t>
  </si>
  <si>
    <t>Redding Highway Department 001</t>
  </si>
  <si>
    <t>Town of Clinton</t>
  </si>
  <si>
    <t>Unnamed Tributary to Hammonnassett River</t>
  </si>
  <si>
    <t>001486</t>
  </si>
  <si>
    <t>DPW-1</t>
  </si>
  <si>
    <t>TS-1</t>
  </si>
  <si>
    <t>4014-00-3-R2</t>
  </si>
  <si>
    <t>Highways &amp; Bridges Facility</t>
  </si>
  <si>
    <t>Housatonic River / Housatonic River Basin</t>
  </si>
  <si>
    <t>Last CB Facility Outlet</t>
  </si>
  <si>
    <t>Sims Metal Management - Stamford Iron</t>
  </si>
  <si>
    <t>OWS Discharge</t>
  </si>
  <si>
    <t>Unnamed Swale to CT Rriver, CT River Basin</t>
  </si>
  <si>
    <t>OF1</t>
  </si>
  <si>
    <t>Stafford Auto Recyclers</t>
  </si>
  <si>
    <t>Un-named Brook to Baker Brook</t>
  </si>
  <si>
    <t>Ostrinsky Scrap, LLc</t>
  </si>
  <si>
    <t>Unnamed Tributary Cattle Lot Brook</t>
  </si>
  <si>
    <t>Town of Bozrah Public Works Garage</t>
  </si>
  <si>
    <t>Connecticut Department of Transportation</t>
  </si>
  <si>
    <t>Trumbull</t>
  </si>
  <si>
    <t>Success Lake/Southwest Coast Basin</t>
  </si>
  <si>
    <t>000072</t>
  </si>
  <si>
    <t>DSN001 (BD69114)</t>
  </si>
  <si>
    <t>Connecticut River / South Central Coast Basin</t>
  </si>
  <si>
    <t>000051</t>
  </si>
  <si>
    <t>DSN001 (BD85828)</t>
  </si>
  <si>
    <t>DSN002 (BD85829)</t>
  </si>
  <si>
    <t>Kleeman Auto</t>
  </si>
  <si>
    <t>To Shetucket River</t>
  </si>
  <si>
    <t>Shoulder of Silvermine Road above yard</t>
  </si>
  <si>
    <t>Phone Pole</t>
  </si>
  <si>
    <t xml:space="preserve">Willimantic River/ Willimantic Regional Basin </t>
  </si>
  <si>
    <t>Montiville Station</t>
  </si>
  <si>
    <t>Nicolock Paving Stones, N.e.</t>
  </si>
  <si>
    <t>Nicolock of New England</t>
  </si>
  <si>
    <t>001663</t>
  </si>
  <si>
    <t>Nicolock Paving Stones, N.E.</t>
  </si>
  <si>
    <t>National Railroad Passenger Corp. (Amtrak)</t>
  </si>
  <si>
    <t>SLE Facility</t>
  </si>
  <si>
    <t>New Haven MS4, then New Haven Harbor</t>
  </si>
  <si>
    <t>000951</t>
  </si>
  <si>
    <t>Amtrak's New Haven Shore Line East Maintenance Faciltiy- Outfall 01</t>
  </si>
  <si>
    <t>New Haven S&amp;I Facility</t>
  </si>
  <si>
    <t>New Haven Ms4, then New Haven Harbor</t>
  </si>
  <si>
    <t>001453</t>
  </si>
  <si>
    <t>New Haven Service and Inspection Facility - Outfall 01</t>
  </si>
  <si>
    <t>Emhart Glass Mfrg., Inc.</t>
  </si>
  <si>
    <t>Mill Brook; Farmington River Basin</t>
  </si>
  <si>
    <t xml:space="preserve">Enfield Transit Mix, Inc. </t>
  </si>
  <si>
    <t>Concrete Batch Plant</t>
  </si>
  <si>
    <t>4200-00</t>
  </si>
  <si>
    <t>001736</t>
  </si>
  <si>
    <t>All Waste, Inc</t>
  </si>
  <si>
    <t>Vehicle Dispatch &amp; Maintenance facility</t>
  </si>
  <si>
    <t>001518</t>
  </si>
  <si>
    <t>Sterling Superior Services, Inc.</t>
  </si>
  <si>
    <t>Sterling Superior Services Inc.</t>
  </si>
  <si>
    <t>Susquentonscut Brook Basin</t>
  </si>
  <si>
    <t>3907-05-1</t>
  </si>
  <si>
    <t>002106</t>
  </si>
  <si>
    <t>Empire Tire of Edgewater II</t>
  </si>
  <si>
    <t>1414 Norwich Rd.</t>
  </si>
  <si>
    <t>Outfall #3 Transfer Station</t>
  </si>
  <si>
    <t>O.F. Mossberg &amp; Sons</t>
  </si>
  <si>
    <t>000458</t>
  </si>
  <si>
    <t>Back Lot</t>
  </si>
  <si>
    <t>Dock</t>
  </si>
  <si>
    <t>First Student, Inc. #11712</t>
  </si>
  <si>
    <t>Wetlands to North Farrars Brook</t>
  </si>
  <si>
    <t>001147</t>
  </si>
  <si>
    <t>First Student, Inc. #20910</t>
  </si>
  <si>
    <t>Magellan Midstream Partners, LP</t>
  </si>
  <si>
    <t>Waner Swamp to Baker Brook</t>
  </si>
  <si>
    <t>Outlet</t>
  </si>
  <si>
    <t>Whitney's Marina</t>
  </si>
  <si>
    <t>Nantic River</t>
  </si>
  <si>
    <t>Long Island Sound Black Rock Harbor</t>
  </si>
  <si>
    <t>Lift well</t>
  </si>
  <si>
    <t>Wetlands that are tributary to Fort Hill Brook</t>
  </si>
  <si>
    <t>000878</t>
  </si>
  <si>
    <t>Stratford Army Engine Plant</t>
  </si>
  <si>
    <t>Outfall Location One (Sample O-4)</t>
  </si>
  <si>
    <t>Outfall Location Two (Sample O-3)</t>
  </si>
  <si>
    <t>Outfall Location Three (Sample O-2)</t>
  </si>
  <si>
    <t>Outfall Location Four (Sample O-1)</t>
  </si>
  <si>
    <t>Outfall Location Four</t>
  </si>
  <si>
    <t>Catch basin</t>
  </si>
  <si>
    <t>001212</t>
  </si>
  <si>
    <t>CORESLAB STRUCTURES (CONN.) INC.</t>
  </si>
  <si>
    <t>NITRITES</t>
  </si>
  <si>
    <t>Cosmo's Food Products</t>
  </si>
  <si>
    <t>001057</t>
  </si>
  <si>
    <t>Hartford Technologies</t>
  </si>
  <si>
    <t>000297</t>
  </si>
  <si>
    <t>CB DSN 003</t>
  </si>
  <si>
    <t>CB DSN 005A</t>
  </si>
  <si>
    <t>CB DSN 006</t>
  </si>
  <si>
    <t>CB DSN 007</t>
  </si>
  <si>
    <t>CB DSN 010</t>
  </si>
  <si>
    <t>The F&amp;F Concrete</t>
  </si>
  <si>
    <t>000219</t>
  </si>
  <si>
    <t>outfall #4</t>
  </si>
  <si>
    <t>Kohler Mix Specialties</t>
  </si>
  <si>
    <t>001751</t>
  </si>
  <si>
    <t>KM-01</t>
  </si>
  <si>
    <t>KM-04</t>
  </si>
  <si>
    <t>KM-05</t>
  </si>
  <si>
    <t>Hologic Incorporated</t>
  </si>
  <si>
    <t>Building 36</t>
  </si>
  <si>
    <t>Kohanza Brook</t>
  </si>
  <si>
    <t>002178</t>
  </si>
  <si>
    <t>OF-2</t>
  </si>
  <si>
    <t>Building 37</t>
  </si>
  <si>
    <t>002179</t>
  </si>
  <si>
    <t>OF-3</t>
  </si>
  <si>
    <t>Metro-North RR</t>
  </si>
  <si>
    <t>Outfall #6</t>
  </si>
  <si>
    <t>SD-1</t>
  </si>
  <si>
    <t>SD-2</t>
  </si>
  <si>
    <t>SD-3</t>
  </si>
  <si>
    <t>Pratt &amp; Whitney</t>
  </si>
  <si>
    <t xml:space="preserve">D </t>
  </si>
  <si>
    <t>Fuel Oil Outfall #3 SD</t>
  </si>
  <si>
    <t>Guilford Facility</t>
  </si>
  <si>
    <t>Tributary to Long Island Sound</t>
  </si>
  <si>
    <t>Avon Facility</t>
  </si>
  <si>
    <t>Fortune Plastics</t>
  </si>
  <si>
    <t>Oyster River</t>
  </si>
  <si>
    <t>000473</t>
  </si>
  <si>
    <t>Main Bulding South side</t>
  </si>
  <si>
    <t>SWCB-1</t>
  </si>
  <si>
    <t>SWCB-2</t>
  </si>
  <si>
    <t>Mirror Polishing &amp; Plating co., Inc.</t>
  </si>
  <si>
    <t>Albea Metals Americas, Inc.</t>
  </si>
  <si>
    <t>Turkey Brook</t>
  </si>
  <si>
    <t>002537</t>
  </si>
  <si>
    <t>CT Military Department ARNG</t>
  </si>
  <si>
    <t>Hartford Armory</t>
  </si>
  <si>
    <t>000284</t>
  </si>
  <si>
    <t>Stones Ranch</t>
  </si>
  <si>
    <t>000107</t>
  </si>
  <si>
    <t>Army Aviation Support</t>
  </si>
  <si>
    <t>SP-2</t>
  </si>
  <si>
    <t>Branford</t>
  </si>
  <si>
    <t>000287</t>
  </si>
  <si>
    <t>Southington Armory</t>
  </si>
  <si>
    <t>000288</t>
  </si>
  <si>
    <t>Camp Hartell</t>
  </si>
  <si>
    <t>000289</t>
  </si>
  <si>
    <t>AVCRAD (aka TASMG)</t>
  </si>
  <si>
    <t>000290</t>
  </si>
  <si>
    <t>103D Air Control Squadron</t>
  </si>
  <si>
    <t>001590</t>
  </si>
  <si>
    <t>Robbins Swamp</t>
  </si>
  <si>
    <t>Shipping</t>
  </si>
  <si>
    <t>J.J. Ryan Corporation</t>
  </si>
  <si>
    <t>Rex Forge Division</t>
  </si>
  <si>
    <t>000195</t>
  </si>
  <si>
    <t>UTC Pratt &amp; Whitney Div</t>
  </si>
  <si>
    <t>Andrew Willgoos Turnine Lab</t>
  </si>
  <si>
    <t>n</t>
  </si>
  <si>
    <t>DSN-015</t>
  </si>
  <si>
    <t>Collins &amp; Jewell Co.</t>
  </si>
  <si>
    <t>Enfield Transit mix, Inc.</t>
  </si>
  <si>
    <t>Galasso Materials</t>
  </si>
  <si>
    <t>Discharge-1</t>
  </si>
  <si>
    <t>Discharge-4</t>
  </si>
  <si>
    <t>Body Cote</t>
  </si>
  <si>
    <t>000554</t>
  </si>
  <si>
    <t>RA 710 Bridgeport Ave</t>
  </si>
  <si>
    <t>RXR Corporation, Inc.</t>
  </si>
  <si>
    <t>6025-009</t>
  </si>
  <si>
    <t>Stormwater Vault SW-3</t>
  </si>
  <si>
    <t>Rocky Hill Terminal</t>
  </si>
  <si>
    <t>Outfall-1 (CIT-1)</t>
  </si>
  <si>
    <t>Trumpf, Inc.</t>
  </si>
  <si>
    <t>Adjacent Wetlands</t>
  </si>
  <si>
    <t>000452</t>
  </si>
  <si>
    <t>Municiple Storm water</t>
  </si>
  <si>
    <t>Onsite Retention Pond</t>
  </si>
  <si>
    <t>DSN-006</t>
  </si>
  <si>
    <t xml:space="preserve"> Detention pond 2</t>
  </si>
  <si>
    <t>Turbo Care Inc.</t>
  </si>
  <si>
    <t>4500-00-3-L3</t>
  </si>
  <si>
    <t>Schick Manufacturing, Inc</t>
  </si>
  <si>
    <t>Indian River, LIS</t>
  </si>
  <si>
    <t>New Haven</t>
  </si>
  <si>
    <t>R&amp;R Corrugated Packaging Group</t>
  </si>
  <si>
    <t xml:space="preserve">R&amp;R Corrugated Packaging </t>
  </si>
  <si>
    <t>002234</t>
  </si>
  <si>
    <t>CB-5</t>
  </si>
  <si>
    <t>Coreslab Structures (Conn)</t>
  </si>
  <si>
    <t>US Surgical Div of TYCO Healthcare</t>
  </si>
  <si>
    <t>REM Chemicals Inc.</t>
  </si>
  <si>
    <t>Hydro Honing Laboratories</t>
  </si>
  <si>
    <t>General Electric</t>
  </si>
  <si>
    <t>Stillman Pond</t>
  </si>
  <si>
    <t>7103-00</t>
  </si>
  <si>
    <t>000534</t>
  </si>
  <si>
    <t>Outfall-11</t>
  </si>
  <si>
    <t>Bantam Supply Company</t>
  </si>
  <si>
    <t>Bantam River</t>
  </si>
  <si>
    <t>002266</t>
  </si>
  <si>
    <t xml:space="preserve">BNB Manufacturing Company </t>
  </si>
  <si>
    <t>000783</t>
  </si>
  <si>
    <t>Summit Corp</t>
  </si>
  <si>
    <t>DSN CB8</t>
  </si>
  <si>
    <t>Danbury News Times</t>
  </si>
  <si>
    <t>001129</t>
  </si>
  <si>
    <t>Storm Drain  near loading dock</t>
  </si>
  <si>
    <t>O.F. Massberg &amp; Sons</t>
  </si>
  <si>
    <t>000372</t>
  </si>
  <si>
    <t>CB-001</t>
  </si>
  <si>
    <t>&gt;4839</t>
  </si>
  <si>
    <t>Azure Water Services, LLC</t>
  </si>
  <si>
    <t>Jensen Manufacturing</t>
  </si>
  <si>
    <t>000882</t>
  </si>
  <si>
    <t>Storm Drain by gate in Back</t>
  </si>
  <si>
    <t>Conval, Inc.</t>
  </si>
  <si>
    <t>Abby Brook Basin</t>
  </si>
  <si>
    <t>001882</t>
  </si>
  <si>
    <t>Site-006</t>
  </si>
  <si>
    <t>Site-008</t>
  </si>
  <si>
    <t>000475</t>
  </si>
  <si>
    <t>Back Drain</t>
  </si>
  <si>
    <t>Front Cement Drain</t>
  </si>
  <si>
    <t>Birken Manufacturing Co. Inc.</t>
  </si>
  <si>
    <t>Beamans Brook</t>
  </si>
  <si>
    <t>000225</t>
  </si>
  <si>
    <t>Neyra Industries Inc.</t>
  </si>
  <si>
    <t>000485</t>
  </si>
  <si>
    <t>Run off Pit</t>
  </si>
  <si>
    <t>Radio Frequency Systems, Inc.</t>
  </si>
  <si>
    <t>5206-02-L1</t>
  </si>
  <si>
    <t>Superior Product Distributers, Inc.</t>
  </si>
  <si>
    <t>Rex Precast Systems</t>
  </si>
  <si>
    <t>5200-00-04</t>
  </si>
  <si>
    <t>Site-01</t>
  </si>
  <si>
    <t>Wiremold Company</t>
  </si>
  <si>
    <t>4402-00</t>
  </si>
  <si>
    <t>001403</t>
  </si>
  <si>
    <t>Hayden Kerk Motion Solutions</t>
  </si>
  <si>
    <t>002195</t>
  </si>
  <si>
    <t>Ansonia Copper &amp; Brass, Inc</t>
  </si>
  <si>
    <t>Waterbury Facility</t>
  </si>
  <si>
    <t>West Side WWTP</t>
  </si>
  <si>
    <t>C. Cowles &amp; Co</t>
  </si>
  <si>
    <t>000925</t>
  </si>
  <si>
    <t>Roof Top</t>
  </si>
  <si>
    <t>Greater New Haven Transit District</t>
  </si>
  <si>
    <t>GNH Transit District</t>
  </si>
  <si>
    <t>trib to Turners Pond/Shepard Brooks</t>
  </si>
  <si>
    <t>001465</t>
  </si>
  <si>
    <t>6919-00 01</t>
  </si>
  <si>
    <t>Kingswood Kitchen</t>
  </si>
  <si>
    <t>001785</t>
  </si>
  <si>
    <t>MDC Operations Facility</t>
  </si>
  <si>
    <t>001671</t>
  </si>
  <si>
    <t>Level Development Corp</t>
  </si>
  <si>
    <t>Bluestone Quarry</t>
  </si>
  <si>
    <t>Hancock Brook</t>
  </si>
  <si>
    <t>002270</t>
  </si>
  <si>
    <t>Somers Thins Strip</t>
  </si>
  <si>
    <t>Inertia Dynamics</t>
  </si>
  <si>
    <t>002036</t>
  </si>
  <si>
    <t>FedEx Ground Package Systems</t>
  </si>
  <si>
    <t>New Milford CT Farms</t>
  </si>
  <si>
    <t>North Property</t>
  </si>
  <si>
    <t>002026</t>
  </si>
  <si>
    <t>north property</t>
  </si>
  <si>
    <t>South Property</t>
  </si>
  <si>
    <t>south property</t>
  </si>
  <si>
    <t>Praxair Surface Technologies</t>
  </si>
  <si>
    <t>002444</t>
  </si>
  <si>
    <t>CB 001</t>
  </si>
  <si>
    <t>DATTCO Westport Branch</t>
  </si>
  <si>
    <t>002101</t>
  </si>
  <si>
    <t>Town of Stratford WPCF</t>
  </si>
  <si>
    <t>Beacon Industries</t>
  </si>
  <si>
    <t>trib to Piper Brook</t>
  </si>
  <si>
    <t>001481</t>
  </si>
  <si>
    <t>UPS Cartage Services</t>
  </si>
  <si>
    <t>4000-09</t>
  </si>
  <si>
    <t>001839</t>
  </si>
  <si>
    <t>DP#1</t>
  </si>
  <si>
    <t>Canberra Industries</t>
  </si>
  <si>
    <t>Quinnipiac River Basin</t>
  </si>
  <si>
    <t>Mill River Basin</t>
  </si>
  <si>
    <t>41.3647N, -73.08921W, DSN-</t>
  </si>
  <si>
    <t>JH Metal Finishing</t>
  </si>
  <si>
    <t>MS4 to Piper Brook</t>
  </si>
  <si>
    <t>002491</t>
  </si>
  <si>
    <t>Latex Foam International</t>
  </si>
  <si>
    <t>001504</t>
  </si>
  <si>
    <t>East Hartford WPCF</t>
  </si>
  <si>
    <t>001670</t>
  </si>
  <si>
    <t>D-005</t>
  </si>
  <si>
    <t>TRANSFLO Terminal Services</t>
  </si>
  <si>
    <t>North Haven terminal</t>
  </si>
  <si>
    <t>002200</t>
  </si>
  <si>
    <t>Bethel</t>
  </si>
  <si>
    <t>wetlands to Sympaug Brook</t>
  </si>
  <si>
    <t>002494</t>
  </si>
  <si>
    <t>First Student, Inc. #20683</t>
  </si>
  <si>
    <t>wetlands to Comstock Brook</t>
  </si>
  <si>
    <t>002165</t>
  </si>
  <si>
    <t>local pond</t>
  </si>
  <si>
    <t>First Student #20605</t>
  </si>
  <si>
    <t>trib to Greenwich Cove</t>
  </si>
  <si>
    <t>002265</t>
  </si>
  <si>
    <t>Suzio-Derby Facility</t>
  </si>
  <si>
    <t>Veolia Water/City of New London</t>
  </si>
  <si>
    <t>002007</t>
  </si>
  <si>
    <t>sample point #1</t>
  </si>
  <si>
    <t>sample point #2</t>
  </si>
  <si>
    <t>002278</t>
  </si>
  <si>
    <t>SP-1 (formerly called MH-1)</t>
  </si>
  <si>
    <t>Main Office Flag Pole</t>
  </si>
  <si>
    <t>Thomas Caruso</t>
  </si>
  <si>
    <t>Total Marine of Norwalk Inc</t>
  </si>
  <si>
    <t>Norwalk Harbor- Long Island Sound</t>
  </si>
  <si>
    <t>002272</t>
  </si>
  <si>
    <t>Outfall 1 (GM of -1)</t>
  </si>
  <si>
    <t>Captian Cove's Marina of BPT. Inc</t>
  </si>
  <si>
    <t>Captian's Cove Seaport</t>
  </si>
  <si>
    <t>Long Island Sound / Black Rock Harbor</t>
  </si>
  <si>
    <t>Marina on Palmer Cover LLC</t>
  </si>
  <si>
    <t>d/b/a Palmers Cove Marina</t>
  </si>
  <si>
    <t xml:space="preserve">Outfall 1 (CO OF -1) </t>
  </si>
  <si>
    <t>Urstadt Biddle Properties Inc</t>
  </si>
  <si>
    <t>Cedar Island Marina, Inc</t>
  </si>
  <si>
    <t>J Dock</t>
  </si>
  <si>
    <t>Clinton Harbor</t>
  </si>
  <si>
    <t>000401</t>
  </si>
  <si>
    <t>blp marina</t>
  </si>
  <si>
    <t>Wilson Cove Marina, Inc</t>
  </si>
  <si>
    <t>Wilson Cove / LIS</t>
  </si>
  <si>
    <t>001052</t>
  </si>
  <si>
    <t>Stormwater Sample</t>
  </si>
  <si>
    <t>Petzold's Marina Center</t>
  </si>
  <si>
    <t>Outfall 2 (PMC of -2)</t>
  </si>
  <si>
    <t>Duck Pond/ Southwest Shoreline</t>
  </si>
  <si>
    <t>002502</t>
  </si>
  <si>
    <t xml:space="preserve">DISCHARGE PIPE </t>
  </si>
  <si>
    <t>Saugatuck Harbor Yacht Club</t>
  </si>
  <si>
    <t>outfall 2 (WHTFD DPW OF-2)</t>
  </si>
  <si>
    <t>Public Works Facility &amp; Transfer St</t>
  </si>
  <si>
    <t>Unnamed Tributary Ingham Pong/Oyster River Watershed</t>
  </si>
  <si>
    <t>Town of Darien DPW</t>
  </si>
  <si>
    <t>Town Transfer Station &amp; Salt Storage</t>
  </si>
  <si>
    <t>Cummings Brook, Stony Brook River</t>
  </si>
  <si>
    <t>000223</t>
  </si>
  <si>
    <t>Sample 1 Brush Pile</t>
  </si>
  <si>
    <t>Housatonic River/ Housatonic River Basin</t>
  </si>
  <si>
    <t>Last CB @ Facility Outlet</t>
  </si>
  <si>
    <t xml:space="preserve">Town of Avon </t>
  </si>
  <si>
    <t>Outfall No. (DPW of -1)</t>
  </si>
  <si>
    <t>Town of Enfield Highway Garage</t>
  </si>
  <si>
    <t xml:space="preserve">Freshwater Brook </t>
  </si>
  <si>
    <t>H-1</t>
  </si>
  <si>
    <t>Enfield Building and Grounds</t>
  </si>
  <si>
    <t>4000-00</t>
  </si>
  <si>
    <t>BG-1</t>
  </si>
  <si>
    <t>Town of Haddam Public works</t>
  </si>
  <si>
    <t xml:space="preserve">Town of East Windsor </t>
  </si>
  <si>
    <t xml:space="preserve">Town of Stonington </t>
  </si>
  <si>
    <t xml:space="preserve">Town of Watertown </t>
  </si>
  <si>
    <t>Town of South Windsor</t>
  </si>
  <si>
    <t>4000-19-1-L1</t>
  </si>
  <si>
    <t>000176</t>
  </si>
  <si>
    <t xml:space="preserve">G-MF </t>
  </si>
  <si>
    <t>sample 2 dome</t>
  </si>
  <si>
    <t>Outfall 6 (TS OF-6)</t>
  </si>
  <si>
    <t>H-2</t>
  </si>
  <si>
    <t>#3907-03-1</t>
  </si>
  <si>
    <t>Al Chem &amp; Cy US AcquiCo</t>
  </si>
  <si>
    <t>002603</t>
  </si>
  <si>
    <t xml:space="preserve">Outfall#1 </t>
  </si>
  <si>
    <t>Outfall #1 (brook)</t>
  </si>
  <si>
    <t>Outfall #2 pipe/road</t>
  </si>
  <si>
    <t>bulky waste facility</t>
  </si>
  <si>
    <t>Wangunk Meadows</t>
  </si>
  <si>
    <t>DPW&amp;Transfer Station</t>
  </si>
  <si>
    <t>Puplic Works Garage</t>
  </si>
  <si>
    <t>outfall 1 road</t>
  </si>
  <si>
    <t>outfall 2 range</t>
  </si>
  <si>
    <t>confluent</t>
  </si>
  <si>
    <t>Borough of Jewitt City</t>
  </si>
  <si>
    <t>058</t>
  </si>
  <si>
    <t>002066</t>
  </si>
  <si>
    <t>Outfall D</t>
  </si>
  <si>
    <t>Outfall C</t>
  </si>
  <si>
    <t>&gt;2419</t>
  </si>
  <si>
    <t>St. Pierre Oil Company</t>
  </si>
  <si>
    <t>Bullett Hill Brook</t>
  </si>
  <si>
    <t>000266</t>
  </si>
  <si>
    <t>outfall location One</t>
  </si>
  <si>
    <t>outfall location Two</t>
  </si>
  <si>
    <t>outfall location Three</t>
  </si>
  <si>
    <t>outfall location Four</t>
  </si>
  <si>
    <t>Westport</t>
  </si>
  <si>
    <t>SW-1 (outfall-1)</t>
  </si>
  <si>
    <t>Town of Sterling</t>
  </si>
  <si>
    <t>000690</t>
  </si>
  <si>
    <t>002423</t>
  </si>
  <si>
    <t>Dept of Parks &amp; Rec, Town of Greenwich</t>
  </si>
  <si>
    <t>Truss Manufacturing</t>
  </si>
  <si>
    <t>001840</t>
  </si>
  <si>
    <t>JDS Uniphase Corp</t>
  </si>
  <si>
    <t>North Branch of Park River, basin 4404</t>
  </si>
  <si>
    <t>001833</t>
  </si>
  <si>
    <t>Microbest, Inc</t>
  </si>
  <si>
    <t>Beaver Brook Pond</t>
  </si>
  <si>
    <t>6913-00</t>
  </si>
  <si>
    <t>001894</t>
  </si>
  <si>
    <t>Hubert E. Butler</t>
  </si>
  <si>
    <t>East Hampton Aggregate</t>
  </si>
  <si>
    <t>Salmon River</t>
  </si>
  <si>
    <t>4709-04</t>
  </si>
  <si>
    <t>001761</t>
  </si>
  <si>
    <t>Main Facility</t>
  </si>
  <si>
    <t>4000-39</t>
  </si>
  <si>
    <t>001771</t>
  </si>
  <si>
    <t>Norampac</t>
  </si>
  <si>
    <t>Brandy Brook</t>
  </si>
  <si>
    <t>001811</t>
  </si>
  <si>
    <t>MDC West Hartford Water Treatment</t>
  </si>
  <si>
    <t>Rocky Hill WPCF</t>
  </si>
  <si>
    <t>001669</t>
  </si>
  <si>
    <t>RH DSN 001</t>
  </si>
  <si>
    <t>#3907-05-1</t>
  </si>
  <si>
    <t xml:space="preserve">O&amp;G Industries, Inc </t>
  </si>
  <si>
    <t>Hurbert E. Butler Constructions Co. LLC</t>
  </si>
  <si>
    <t>CTL No.9393</t>
  </si>
  <si>
    <t>Pine Brook Watershed</t>
  </si>
  <si>
    <t>1442-5032</t>
  </si>
  <si>
    <t>Municipal Complex</t>
  </si>
  <si>
    <t>Unnamed Wetlands, eventually to Skunkamaug River</t>
  </si>
  <si>
    <t>CB-01</t>
  </si>
  <si>
    <t>41.35278N.-052.80528W, DSN-01</t>
  </si>
  <si>
    <t xml:space="preserve">Little Dam Tavern Brook </t>
  </si>
  <si>
    <t>Pequabuck Rver</t>
  </si>
  <si>
    <t>11</t>
  </si>
  <si>
    <t xml:space="preserve">Town of Granby </t>
  </si>
  <si>
    <t>Kendell Brook, Farmington River Drainage Basin</t>
  </si>
  <si>
    <t>Outfall 1 (Granby TS-1)</t>
  </si>
  <si>
    <t>43.36761 N. -73.08676W DSN-01</t>
  </si>
  <si>
    <t>41.36723N. -7308768, DSN-02</t>
  </si>
  <si>
    <t>Wetlands Waterbody</t>
  </si>
  <si>
    <t>41.44329, -72.9935W (PWG) DSN-01</t>
  </si>
  <si>
    <t>Water Pollution Control Facility (WPCF)</t>
  </si>
  <si>
    <t xml:space="preserve">Mill River </t>
  </si>
  <si>
    <t>Middlebury PWG/ CTL No. 12084</t>
  </si>
  <si>
    <t>N41, 53716 W73.08793 DSN-1</t>
  </si>
  <si>
    <t xml:space="preserve">Town of Lyme </t>
  </si>
  <si>
    <t>Catch Basin SW corner (Falls Brook)</t>
  </si>
  <si>
    <t>Town of Sprague</t>
  </si>
  <si>
    <t>001514</t>
  </si>
  <si>
    <t>Town of Sprague Town Garage</t>
  </si>
  <si>
    <t>Roaring Brook, CT River Basin</t>
  </si>
  <si>
    <t>Outfall No.1</t>
  </si>
  <si>
    <t>Outfall No.2</t>
  </si>
  <si>
    <t>Bulky Waste Facility</t>
  </si>
  <si>
    <t>Wangunk Meadows, CT River Basin</t>
  </si>
  <si>
    <t>Hubbard Brook, CT River Basin</t>
  </si>
  <si>
    <t>Coqinchaug River</t>
  </si>
  <si>
    <t>Outgall 4</t>
  </si>
  <si>
    <t>Public Works Garage / Transfer Station</t>
  </si>
  <si>
    <t>New Milford</t>
  </si>
  <si>
    <t>7538 &amp; 4789</t>
  </si>
  <si>
    <t>DSN001 (BF 14926)</t>
  </si>
  <si>
    <t>J. Catalano &amp; Sons, Inc.</t>
  </si>
  <si>
    <t>J. Catalano &amp; Sons Inc.</t>
  </si>
  <si>
    <t>Byram River - Long Island Sound</t>
  </si>
  <si>
    <t>002247</t>
  </si>
  <si>
    <t>Guilford Boat Yards Inc</t>
  </si>
  <si>
    <t>Guildfor Boat Yards</t>
  </si>
  <si>
    <t>The Shore and Country Club</t>
  </si>
  <si>
    <t>Norwalk Harbor</t>
  </si>
  <si>
    <t>002570</t>
  </si>
  <si>
    <t>Essex Island Reality #WP2223-11</t>
  </si>
  <si>
    <t>Outfall 2 (Ston TD-2)</t>
  </si>
  <si>
    <t>Black Rock Harbor/ Long Island Sound</t>
  </si>
  <si>
    <t>Naphthalene ug/L</t>
  </si>
  <si>
    <t>2-Methyl Naphthalene ug/L</t>
  </si>
  <si>
    <t>Acenaphthylene ug/L</t>
  </si>
  <si>
    <t>Acenaphthene ug/L</t>
  </si>
  <si>
    <t>Fluorene ug/L</t>
  </si>
  <si>
    <t>Phenanthrene ug/L</t>
  </si>
  <si>
    <t>Anthracene ug/L</t>
  </si>
  <si>
    <t>Fluoranthene ug/L</t>
  </si>
  <si>
    <t>Pyrene ug/L</t>
  </si>
  <si>
    <t>Benzo[a]anthrace ug/L</t>
  </si>
  <si>
    <t>Chrysene ug/L</t>
  </si>
  <si>
    <t>Benzo[b]fluoranthene ug/L</t>
  </si>
  <si>
    <t>Benzo[k]fluoranthene ug/L</t>
  </si>
  <si>
    <t>Benzo[a]pyrene ug/L</t>
  </si>
  <si>
    <t>Indeno[1,2,3-cd]pyrene ug/L</t>
  </si>
  <si>
    <t>Dibenz[a,h]anthracene ug/L</t>
  </si>
  <si>
    <t>Benzo[g,h,i]perylene ug/L</t>
  </si>
  <si>
    <t>DSN 001 - SRN76</t>
  </si>
  <si>
    <t>DSN 002 - SRN77</t>
  </si>
  <si>
    <t>DSN 003 - SRN78</t>
  </si>
  <si>
    <t>DSN 004 - SRN79</t>
  </si>
  <si>
    <t>DSN 008 - SRN94</t>
  </si>
  <si>
    <t>Outfall No. 002</t>
  </si>
  <si>
    <t>Outfall No. 005</t>
  </si>
  <si>
    <t xml:space="preserve">General/GT </t>
  </si>
  <si>
    <t>RBC-Heim Bearing Division</t>
  </si>
  <si>
    <t xml:space="preserve">Heim- Fairfield </t>
  </si>
  <si>
    <t>Ash Creek</t>
  </si>
  <si>
    <t>001042</t>
  </si>
  <si>
    <t>Redding Health Dept</t>
  </si>
  <si>
    <t xml:space="preserve">Redding Highway Department </t>
  </si>
  <si>
    <t>Redding Highway Garage 002</t>
  </si>
  <si>
    <t>Unnamed Tributary CT River</t>
  </si>
  <si>
    <t>Plainville North</t>
  </si>
  <si>
    <t>Quinnipac River Storm Drain</t>
  </si>
  <si>
    <t xml:space="preserve">Plainville North DSN 001 </t>
  </si>
  <si>
    <t xml:space="preserve">Farmington  </t>
  </si>
  <si>
    <t>Voluntown Sterling Transfer Station</t>
  </si>
  <si>
    <t>147</t>
  </si>
  <si>
    <t>514 Brown Road (E308864)</t>
  </si>
  <si>
    <t>514 Brown Road (E205597)</t>
  </si>
  <si>
    <t>514 Brown Road (E212639)</t>
  </si>
  <si>
    <t>Redding Highway Garage 001</t>
  </si>
  <si>
    <t>Ross Recycling, Inc</t>
  </si>
  <si>
    <t xml:space="preserve">Ross Recycling Inc, </t>
  </si>
  <si>
    <t xml:space="preserve">Town Drainage System </t>
  </si>
  <si>
    <t>Ros-1 Semi annual</t>
  </si>
  <si>
    <t>City Auto Parts, Inc</t>
  </si>
  <si>
    <t>City Auto Parts Inc</t>
  </si>
  <si>
    <t>MS4- Hartford Municipal Storm Sewer</t>
  </si>
  <si>
    <t>5015/5093</t>
  </si>
  <si>
    <t xml:space="preserve">SMM New England Corporation </t>
  </si>
  <si>
    <t>Willimantic Waste Paper Co. Inc.</t>
  </si>
  <si>
    <t>Willimantic Recycling and Scrap Metals Facilities</t>
  </si>
  <si>
    <t>Dominion Nuclear CT Inc</t>
  </si>
  <si>
    <t>Long-Island Sound - Jordan Cove</t>
  </si>
  <si>
    <t xml:space="preserve">Town of Waterford </t>
  </si>
  <si>
    <t>Middletown Public Works Department</t>
  </si>
  <si>
    <t>Southeast Area Transit</t>
  </si>
  <si>
    <t>trib to Poquetanuck Cove</t>
  </si>
  <si>
    <t>000409</t>
  </si>
  <si>
    <t>DSN 004A</t>
  </si>
  <si>
    <t>POD Branford</t>
  </si>
  <si>
    <t>DSN 0002A</t>
  </si>
  <si>
    <t>DSN 0002B</t>
  </si>
  <si>
    <t>Stamford Facilities</t>
  </si>
  <si>
    <t>WPCA SW Shoreline</t>
  </si>
  <si>
    <t>000775</t>
  </si>
  <si>
    <t>Praxair</t>
  </si>
  <si>
    <t>trib of CT River</t>
  </si>
  <si>
    <t>United Steel</t>
  </si>
  <si>
    <t>Goodwin Brook</t>
  </si>
  <si>
    <t>000955</t>
  </si>
  <si>
    <t>EH1</t>
  </si>
  <si>
    <t>3841,2844</t>
  </si>
  <si>
    <t>Shepard Steel</t>
  </si>
  <si>
    <t>000555</t>
  </si>
  <si>
    <t>CB-12</t>
  </si>
  <si>
    <t>Griswold Rubber Co</t>
  </si>
  <si>
    <t>North building</t>
  </si>
  <si>
    <t>South building</t>
  </si>
  <si>
    <t>Morin Corp</t>
  </si>
  <si>
    <t>000682</t>
  </si>
  <si>
    <t>PGP Architectural Finishes</t>
  </si>
  <si>
    <t>000962</t>
  </si>
  <si>
    <t>outfall #1-oil water separator discharge</t>
  </si>
  <si>
    <t>Scotland Hardwoods</t>
  </si>
  <si>
    <t>Scotland Hardwoods Mill</t>
  </si>
  <si>
    <t>wetlands waterbody</t>
  </si>
  <si>
    <t>000866</t>
  </si>
  <si>
    <t>RockTenn CP, LLC</t>
  </si>
  <si>
    <t>000527</t>
  </si>
  <si>
    <t>Miry Brook Exit</t>
  </si>
  <si>
    <t>M+M Precast</t>
  </si>
  <si>
    <t>000734</t>
  </si>
  <si>
    <t>Frito-Lay</t>
  </si>
  <si>
    <t>000824</t>
  </si>
  <si>
    <t>Outfall Swale A</t>
  </si>
  <si>
    <t>130</t>
  </si>
  <si>
    <t>123</t>
  </si>
  <si>
    <t>North Brandford PWG</t>
  </si>
  <si>
    <t xml:space="preserve"> G-MF </t>
  </si>
  <si>
    <t>Transfer Station/Closed Landfill</t>
  </si>
  <si>
    <t>000322</t>
  </si>
  <si>
    <t>001249</t>
  </si>
  <si>
    <t>Ensign-Bickford &amp; Defense</t>
  </si>
  <si>
    <t>Simsbury Mfg</t>
  </si>
  <si>
    <t>Hop Brook/Farmington River</t>
  </si>
  <si>
    <t>001629</t>
  </si>
  <si>
    <t>East Shore Water Pollution Abatement</t>
  </si>
  <si>
    <t>Mack Brook to Naugatuck</t>
  </si>
  <si>
    <t>manhole 1</t>
  </si>
  <si>
    <t>CB-72.87937W, 41.25408N,DSN-01</t>
  </si>
  <si>
    <t>002411</t>
  </si>
  <si>
    <t>A-1 Chrome &amp; Polishing</t>
  </si>
  <si>
    <t>001802</t>
  </si>
  <si>
    <t xml:space="preserve">Waste Pollution Control Facility </t>
  </si>
  <si>
    <t>Groundwater withiin Hockanum River Watershed</t>
  </si>
  <si>
    <t>001745</t>
  </si>
  <si>
    <t>Tradebe T&amp;R Northeast LLC</t>
  </si>
  <si>
    <t>Discharge to Catch Basin</t>
  </si>
  <si>
    <t>Coles Brook, Mattabessett River</t>
  </si>
  <si>
    <t>National Railroad Passenger Corp. (amtrak)</t>
  </si>
  <si>
    <t>Midway MOW Base</t>
  </si>
  <si>
    <t>Groton MS4 then Poquonock River</t>
  </si>
  <si>
    <t>001455</t>
  </si>
  <si>
    <t>Amtrak's Midway MOW Outfall 1</t>
  </si>
  <si>
    <t>Atlantic Equipment Installer</t>
  </si>
  <si>
    <t>Basin #1</t>
  </si>
  <si>
    <t>000897</t>
  </si>
  <si>
    <t>145 Kenwood Ave</t>
  </si>
  <si>
    <t>002533</t>
  </si>
  <si>
    <t xml:space="preserve">Aqua Blasting Corp </t>
  </si>
  <si>
    <t>North Branch Park River, CT River</t>
  </si>
  <si>
    <t>4404-0001</t>
  </si>
  <si>
    <t>001257</t>
  </si>
  <si>
    <t>International Paper, Putnam Container</t>
  </si>
  <si>
    <t xml:space="preserve">Tributary (unnamed brook) to Quinebaug River </t>
  </si>
  <si>
    <t xml:space="preserve">Quinnipac River </t>
  </si>
  <si>
    <t>Outfall 1 (norton park)</t>
  </si>
  <si>
    <t>ClearEdge Power</t>
  </si>
  <si>
    <t>Tributary of Stoughton's Brook, Connecticut River</t>
  </si>
  <si>
    <t>Tributary of Newberry Brook, Connecticut River</t>
  </si>
  <si>
    <t>Platt Brother</t>
  </si>
  <si>
    <t>OGS Technologies Inc</t>
  </si>
  <si>
    <t>001602</t>
  </si>
  <si>
    <t>DA 001 -Front Lot</t>
  </si>
  <si>
    <t>Triram Connecticut LLC</t>
  </si>
  <si>
    <t>Triram - Portland Facility</t>
  </si>
  <si>
    <t>Outfall No.1 (T-001)</t>
  </si>
  <si>
    <t>Enviro Express Inc</t>
  </si>
  <si>
    <t>Willimantic Waste Paper Co, Inc</t>
  </si>
  <si>
    <t>WWP 1590 Volume Reduction</t>
  </si>
  <si>
    <t>A.J. Waste System, LLC</t>
  </si>
  <si>
    <t>DSG 001</t>
  </si>
  <si>
    <t xml:space="preserve">Town of Cromwell </t>
  </si>
  <si>
    <t>Cromwell Creek, CT River</t>
  </si>
  <si>
    <t>Tradebe T&amp;R Northeast, LLC</t>
  </si>
  <si>
    <t>MS4 to  Sodom Brook</t>
  </si>
  <si>
    <t xml:space="preserve">Outfall #1-Oil-water-seperator discharge </t>
  </si>
  <si>
    <t>Outfall #1 Drainage swale</t>
  </si>
  <si>
    <t>Roode Road Volume Reduction</t>
  </si>
  <si>
    <t>Vehicle/ Equipment Maintenance Facility</t>
  </si>
  <si>
    <t>Cardboard Recyling Facility</t>
  </si>
  <si>
    <t>Arite Used Auto Parts, Inc</t>
  </si>
  <si>
    <t>Bishops Used Auto Parts</t>
  </si>
  <si>
    <t>Sawmill Brook, Mattabesset Regional Basin</t>
  </si>
  <si>
    <t>Sw-1</t>
  </si>
  <si>
    <t>Sid's Auto Sales and Used Parts Co, Inc</t>
  </si>
  <si>
    <t>4801-03</t>
  </si>
  <si>
    <t>002590</t>
  </si>
  <si>
    <t>Simsmetal East LLC</t>
  </si>
  <si>
    <t>&lt;3 day</t>
  </si>
  <si>
    <t>Nutmeg Recycling LLC</t>
  </si>
  <si>
    <t>ReCommunity Recycling</t>
  </si>
  <si>
    <t>Dry Brook to Scantic River, Connecticut</t>
  </si>
  <si>
    <t>Indian River / South Central Western Complex Regional Basin</t>
  </si>
  <si>
    <t>001885</t>
  </si>
  <si>
    <t xml:space="preserve">WPCF </t>
  </si>
  <si>
    <t xml:space="preserve">Town of Enfield </t>
  </si>
  <si>
    <t>Enfield Municipal Transfer Station</t>
  </si>
  <si>
    <t xml:space="preserve">Scantic River </t>
  </si>
  <si>
    <t>TS</t>
  </si>
  <si>
    <t>East Harford</t>
  </si>
  <si>
    <t>Ts-1 Scale House Area</t>
  </si>
  <si>
    <t>TS-3 Compost Area</t>
  </si>
  <si>
    <t>East Hartford</t>
  </si>
  <si>
    <t>PW-2 West Drainage  Area</t>
  </si>
  <si>
    <t>PR-1 Trench Drain Outlet</t>
  </si>
  <si>
    <t>J. Goodison Company Inc.</t>
  </si>
  <si>
    <t>Bridgeport CT</t>
  </si>
  <si>
    <t>Yellow Mil Channel/ Bridgeport Harbor</t>
  </si>
  <si>
    <t>&gt;14 days</t>
  </si>
  <si>
    <t>Ts-2 Vehicle Storage Area</t>
  </si>
  <si>
    <t>none</t>
  </si>
  <si>
    <t>PAH's</t>
  </si>
  <si>
    <t>SW #1</t>
  </si>
  <si>
    <t>SW #2</t>
  </si>
  <si>
    <t>002526</t>
  </si>
  <si>
    <t>Nucor Steel Connection</t>
  </si>
  <si>
    <t>Nucor Steel Connection Inc</t>
  </si>
  <si>
    <t>A. Duie Pyle Companies</t>
  </si>
  <si>
    <t>A. Duie Pyle - Southington Facility</t>
  </si>
  <si>
    <t>001619</t>
  </si>
  <si>
    <t>DSN 3</t>
  </si>
  <si>
    <t>DSN 4</t>
  </si>
  <si>
    <t>DSN 13</t>
  </si>
  <si>
    <t>Richard P. Baldi Jr</t>
  </si>
  <si>
    <t>Meadow Brook Basin</t>
  </si>
  <si>
    <t>Catch Basin #2</t>
  </si>
  <si>
    <t>Helicopter Support Inc</t>
  </si>
  <si>
    <t>Trumbull Municipal Separate Storm Sewer System</t>
  </si>
  <si>
    <t>Bass Plating Company</t>
  </si>
  <si>
    <t>Mill Brook/ Farmington River</t>
  </si>
  <si>
    <t>000698</t>
  </si>
  <si>
    <t>1 (Front)</t>
  </si>
  <si>
    <t>2(back)</t>
  </si>
  <si>
    <t>May Brook</t>
  </si>
  <si>
    <t>HPF-W-SW-6-3-2013 (E306016)</t>
  </si>
  <si>
    <t>Custom Metal Crefters Inc</t>
  </si>
  <si>
    <t>Newington Stormwater System MS4</t>
  </si>
  <si>
    <t>16" Outfall on North Mountain Road</t>
  </si>
  <si>
    <t>Flabeg Technical Glass U.S.</t>
  </si>
  <si>
    <t>DSN001N (CB-7)</t>
  </si>
  <si>
    <t>New Haven Terminal Inc</t>
  </si>
  <si>
    <t>EHT- East Haven CT Terminal</t>
  </si>
  <si>
    <t>NHT-New Haven CT Terminal</t>
  </si>
  <si>
    <t>New Havon Harbor</t>
  </si>
  <si>
    <t>Outfall No. 1 (NHT-1)</t>
  </si>
  <si>
    <t xml:space="preserve">Morin Corporation </t>
  </si>
  <si>
    <t>Morin Corporation</t>
  </si>
  <si>
    <t>Somers Thin Strip</t>
  </si>
  <si>
    <t xml:space="preserve"> Somers Thin Strip</t>
  </si>
  <si>
    <t>Manhole 43 on David Street, Waterbury CT</t>
  </si>
  <si>
    <t>DSG-01</t>
  </si>
  <si>
    <t>Travel Centers of America LLC</t>
  </si>
  <si>
    <t>Stony Brook/ Branford River Basin</t>
  </si>
  <si>
    <t xml:space="preserve">The Metropolitan District </t>
  </si>
  <si>
    <t>RHWPCF DSN 001</t>
  </si>
  <si>
    <t>East Harford WPCF</t>
  </si>
  <si>
    <t>EHWPCF DSN002</t>
  </si>
  <si>
    <t>EHWPCF DSN005</t>
  </si>
  <si>
    <t>Hartford WPCF</t>
  </si>
  <si>
    <t>000597</t>
  </si>
  <si>
    <t>HWPCF DSN 002</t>
  </si>
  <si>
    <t>HWPCF DSN 004</t>
  </si>
  <si>
    <t>HwPCF DSN 006</t>
  </si>
  <si>
    <t>DW Transport &amp; Leasing Inc</t>
  </si>
  <si>
    <t>DW Transport &amp; Franklin</t>
  </si>
  <si>
    <t>Watershed</t>
  </si>
  <si>
    <t>DWT-A (15" Pipe to swale)</t>
  </si>
  <si>
    <t>Legere Group LTD</t>
  </si>
  <si>
    <t xml:space="preserve">Catch Basin </t>
  </si>
  <si>
    <t>Ametek Specialty Metal Product</t>
  </si>
  <si>
    <t>CB-9</t>
  </si>
  <si>
    <t xml:space="preserve">Times Microwave Systems </t>
  </si>
  <si>
    <t>Time Microwave Systems</t>
  </si>
  <si>
    <t xml:space="preserve">American Electro Products </t>
  </si>
  <si>
    <t>American Electro Products</t>
  </si>
  <si>
    <t>Hartford Technologies Inc</t>
  </si>
  <si>
    <t>Mattabasset River Basin</t>
  </si>
  <si>
    <t>Outfall DSN 003</t>
  </si>
  <si>
    <t>Outfall DSN 006</t>
  </si>
  <si>
    <t>Outfall DSN 007</t>
  </si>
  <si>
    <t>Outfall DSN 010</t>
  </si>
  <si>
    <t>TLD Accessory Control Equipment</t>
  </si>
  <si>
    <t xml:space="preserve">Mill Brook </t>
  </si>
  <si>
    <t>CT4321-00-01</t>
  </si>
  <si>
    <t>000400</t>
  </si>
  <si>
    <t>CT4321-00-02</t>
  </si>
  <si>
    <t>SW02</t>
  </si>
  <si>
    <t>Kaman Aerospace Corporation-Aerosystems Division</t>
  </si>
  <si>
    <t>CT 3700-00</t>
  </si>
  <si>
    <t>001410</t>
  </si>
  <si>
    <t>Outfall 1 (Ston WPCF of 1)</t>
  </si>
  <si>
    <t>3499,3562</t>
  </si>
  <si>
    <t>Dept of Parks &amp; Recreation, town of Greenwich</t>
  </si>
  <si>
    <t>FedEx Ground</t>
  </si>
  <si>
    <t>Package System</t>
  </si>
  <si>
    <t>5207-00</t>
  </si>
  <si>
    <t>002244</t>
  </si>
  <si>
    <t>upstream of outfall 001</t>
  </si>
  <si>
    <t>Jacob's Vehicle Systems</t>
  </si>
  <si>
    <t>trib to Mill Brook</t>
  </si>
  <si>
    <t>000465</t>
  </si>
  <si>
    <t>Branford DPW</t>
  </si>
  <si>
    <t>002556</t>
  </si>
  <si>
    <t>Student Transportation</t>
  </si>
  <si>
    <t>STA-Stamford</t>
  </si>
  <si>
    <t>CT7000-42</t>
  </si>
  <si>
    <t>002561</t>
  </si>
  <si>
    <t>Securemark Decal Corp</t>
  </si>
  <si>
    <t>002586</t>
  </si>
  <si>
    <t>storm alternate sample location</t>
  </si>
  <si>
    <t>JF Fredericks Aero</t>
  </si>
  <si>
    <t>002585</t>
  </si>
  <si>
    <t>Devine Brothers</t>
  </si>
  <si>
    <t>Norwalk Inner Harbor/River</t>
  </si>
  <si>
    <t>002538</t>
  </si>
  <si>
    <t>3351 and 6171</t>
  </si>
  <si>
    <t>King Industries</t>
  </si>
  <si>
    <t>Norwalk River/Saugatuck Basin</t>
  </si>
  <si>
    <t>000628</t>
  </si>
  <si>
    <t>SD-11</t>
  </si>
  <si>
    <t>SD-12</t>
  </si>
  <si>
    <t>SD-21</t>
  </si>
  <si>
    <t>Town of Greenwich</t>
  </si>
  <si>
    <t>Holly Hill Resource Recovery Facility</t>
  </si>
  <si>
    <t>000785</t>
  </si>
  <si>
    <t>Outfall location 1</t>
  </si>
  <si>
    <t>Outfall location 2</t>
  </si>
  <si>
    <t>Outfall location 3</t>
  </si>
  <si>
    <t>000917</t>
  </si>
  <si>
    <t>000918</t>
  </si>
  <si>
    <t>001113</t>
  </si>
  <si>
    <t>002539</t>
  </si>
  <si>
    <t>Magnico Energy</t>
  </si>
  <si>
    <t>002162</t>
  </si>
  <si>
    <t>DA-001</t>
  </si>
  <si>
    <t>Colts Plastic Co</t>
  </si>
  <si>
    <t>Whetstone Brook</t>
  </si>
  <si>
    <t>000402</t>
  </si>
  <si>
    <t>DSN-003 Brick</t>
  </si>
  <si>
    <t>DSN-006 Plant</t>
  </si>
  <si>
    <t>B&amp;B Petroleum</t>
  </si>
  <si>
    <t>002051</t>
  </si>
  <si>
    <t>Pkng Lot</t>
  </si>
  <si>
    <t>Thermo-King Northeast</t>
  </si>
  <si>
    <t>Kettle Brook</t>
  </si>
  <si>
    <t>South Windsor</t>
  </si>
  <si>
    <t>Stoughton Brook</t>
  </si>
  <si>
    <t>002616</t>
  </si>
  <si>
    <t>Outfall Location Three (sample O-2)</t>
  </si>
  <si>
    <t>Hamiltion Sundstrand</t>
  </si>
  <si>
    <t>Seymour Hollow Brook/Farmington River Basin</t>
  </si>
  <si>
    <t>Sprague Operating Resources, LLC</t>
  </si>
  <si>
    <t>Sprague-Stamford, CT Terminal</t>
  </si>
  <si>
    <t>Outfall No. 001 (S-1)</t>
  </si>
  <si>
    <t>National Chromium</t>
  </si>
  <si>
    <t>Putnam CT</t>
  </si>
  <si>
    <t xml:space="preserve">Hanson Pipe Precast </t>
  </si>
  <si>
    <t>Yard Catchbasin</t>
  </si>
  <si>
    <t xml:space="preserve">Pape Electroplating Co. Inc. </t>
  </si>
  <si>
    <t>Pape Electroplating co. Inc</t>
  </si>
  <si>
    <t xml:space="preserve">West Brook CT </t>
  </si>
  <si>
    <t xml:space="preserve">South Eastern Corner of Facility </t>
  </si>
  <si>
    <t>Fusion Paper Board CT LLC</t>
  </si>
  <si>
    <t>ABA USA</t>
  </si>
  <si>
    <t>Foster Lake/Quinipac River Water Shed</t>
  </si>
  <si>
    <t>Storm Drain 4A</t>
  </si>
  <si>
    <t xml:space="preserve">Illinois Tool Works </t>
  </si>
  <si>
    <t>Moroso Performance Products Inc</t>
  </si>
  <si>
    <t>Moroso- Guilford CT Facility</t>
  </si>
  <si>
    <t>Outfall 001 (M-1)</t>
  </si>
  <si>
    <t>Edmunds Manufacturing Company Inc</t>
  </si>
  <si>
    <t>Catch Basin #1</t>
  </si>
  <si>
    <t>Catch Basin #4</t>
  </si>
  <si>
    <t>Robert Stiles</t>
  </si>
  <si>
    <t>Erickson Metals Corp</t>
  </si>
  <si>
    <t xml:space="preserve">Ten Mile River </t>
  </si>
  <si>
    <t>5202-08</t>
  </si>
  <si>
    <t>000277</t>
  </si>
  <si>
    <t>3353, 3355-3398</t>
  </si>
  <si>
    <t>Doncasters Inc.</t>
  </si>
  <si>
    <t>002 (pipe)</t>
  </si>
  <si>
    <t>003 (CB)</t>
  </si>
  <si>
    <t>New Haven MS4, New Haven Harbor</t>
  </si>
  <si>
    <t>Amtrak's New Haven shore Line East Maintenance Facility- Outfall 001</t>
  </si>
  <si>
    <t>Trans-Lite</t>
  </si>
  <si>
    <t>000276</t>
  </si>
  <si>
    <t>Rear Storm Drain</t>
  </si>
  <si>
    <t>CB #8-1, Outfall #8</t>
  </si>
  <si>
    <t>CB #4, Outfall #4</t>
  </si>
  <si>
    <t>American Coated Products</t>
  </si>
  <si>
    <t>Southcentral Shoreline, Wetlands Near Mennuketesuck River</t>
  </si>
  <si>
    <t>000308</t>
  </si>
  <si>
    <t>Drainage Channel</t>
  </si>
  <si>
    <t>Catch Basin to Quinnipiac River</t>
  </si>
  <si>
    <t>Supreme Lake Manufacturing</t>
  </si>
  <si>
    <t>000315</t>
  </si>
  <si>
    <t>Outfall 02 (upstream)</t>
  </si>
  <si>
    <t>Outfall 05 (downstream)</t>
  </si>
  <si>
    <t>Norbert E. Mitchell co.</t>
  </si>
  <si>
    <t>Mitchell Fuel</t>
  </si>
  <si>
    <t>000450</t>
  </si>
  <si>
    <t>OF-01</t>
  </si>
  <si>
    <t>120 Wampus Ln Milford CT</t>
  </si>
  <si>
    <t>120 Wampus Lane, Milford CT</t>
  </si>
  <si>
    <t>Winsted Machining</t>
  </si>
  <si>
    <t>Unnamed Stream to Still River</t>
  </si>
  <si>
    <t>000362</t>
  </si>
  <si>
    <t>Integra Cast Inc</t>
  </si>
  <si>
    <t>265 Newington Ave</t>
  </si>
  <si>
    <t>Gulf-Oil -New Haven Terminal</t>
  </si>
  <si>
    <t>000442</t>
  </si>
  <si>
    <t>Con-way Freight</t>
  </si>
  <si>
    <t>Con-way Freight (XHR)</t>
  </si>
  <si>
    <t xml:space="preserve">Sodom Brook </t>
  </si>
  <si>
    <t>CT5205-00 01</t>
  </si>
  <si>
    <t>000330</t>
  </si>
  <si>
    <t>DP #1</t>
  </si>
  <si>
    <t>Location 1</t>
  </si>
  <si>
    <t xml:space="preserve">Town of South Windsor </t>
  </si>
  <si>
    <t>Porce-Len Specrail</t>
  </si>
  <si>
    <t>000210</t>
  </si>
  <si>
    <t>Storm Drain by large garage door</t>
  </si>
  <si>
    <t>Alec Searle</t>
  </si>
  <si>
    <t>Goodrich Pump &amp; Engine Control System</t>
  </si>
  <si>
    <t>36" outfall</t>
  </si>
  <si>
    <t xml:space="preserve">Bridgeport Energy </t>
  </si>
  <si>
    <t>Capital District Energy Center</t>
  </si>
  <si>
    <t>001947</t>
  </si>
  <si>
    <t>Outfall #2 -West Roof Drain</t>
  </si>
  <si>
    <t>Outfall #3 - Fuel Oil UST Area</t>
  </si>
  <si>
    <t>Milford</t>
  </si>
  <si>
    <t>Indian River S Central Western Regional Complex</t>
  </si>
  <si>
    <t>000040</t>
  </si>
  <si>
    <t>DSN001 (BF19106)</t>
  </si>
  <si>
    <t>7539 &amp; 4789</t>
  </si>
  <si>
    <t>DSN002 (BF19107)</t>
  </si>
  <si>
    <t>7540 &amp; 4789</t>
  </si>
  <si>
    <t>DSN003(BF19108)</t>
  </si>
  <si>
    <t>7541 &amp; 4789</t>
  </si>
  <si>
    <t>DSN004(BF19109)</t>
  </si>
  <si>
    <t>Atlantic Coast Polymers</t>
  </si>
  <si>
    <t>001266</t>
  </si>
  <si>
    <t>Triumph Engine Control Systems</t>
  </si>
  <si>
    <t>Pharmacal Research Laboratories</t>
  </si>
  <si>
    <t>001791</t>
  </si>
  <si>
    <t>DSN 004 330 rear swale</t>
  </si>
  <si>
    <t>DSN 003 Rearlot to Swale</t>
  </si>
  <si>
    <t>DSN 001 431 Catchbasin</t>
  </si>
  <si>
    <t>SW-04</t>
  </si>
  <si>
    <t>Howmet Casting Alcoa</t>
  </si>
  <si>
    <t>Outfall No. 01 (G-1)</t>
  </si>
  <si>
    <t>002630</t>
  </si>
  <si>
    <t>002607</t>
  </si>
  <si>
    <t>Domino's Pizza LLC</t>
  </si>
  <si>
    <t>Supply Chain Center</t>
  </si>
  <si>
    <t>002173</t>
  </si>
  <si>
    <t>SB0093-01</t>
  </si>
  <si>
    <t>SB55633-01</t>
  </si>
  <si>
    <t>001854</t>
  </si>
  <si>
    <t>outfall S-1 near maintenance</t>
  </si>
  <si>
    <t>Truelove &amp; Maclean</t>
  </si>
  <si>
    <t>Steel Brook to Naugatuck River</t>
  </si>
  <si>
    <t>001967</t>
  </si>
  <si>
    <t>CB #016</t>
  </si>
  <si>
    <t>Bridgeport East Site</t>
  </si>
  <si>
    <t>East side CB</t>
  </si>
  <si>
    <t>&gt;4000</t>
  </si>
  <si>
    <t>trib to Abby Brook</t>
  </si>
  <si>
    <t>Colt Defense LLC</t>
  </si>
  <si>
    <t>Eugene O.Turner</t>
  </si>
  <si>
    <t>001569</t>
  </si>
  <si>
    <t>DA 001</t>
  </si>
  <si>
    <t>Ecometrics</t>
  </si>
  <si>
    <t>000975</t>
  </si>
  <si>
    <t>001237</t>
  </si>
  <si>
    <t>Ripley Company</t>
  </si>
  <si>
    <t>CT Scrap</t>
  </si>
  <si>
    <t>CTS-quarterly</t>
  </si>
  <si>
    <t>A. Aiudi and Sons</t>
  </si>
  <si>
    <t>001128</t>
  </si>
  <si>
    <t>sed basin #3</t>
  </si>
  <si>
    <t>Aiudi CT</t>
  </si>
  <si>
    <t>001227</t>
  </si>
  <si>
    <t>on-site dry wells</t>
  </si>
  <si>
    <t xml:space="preserve">TDNE </t>
  </si>
  <si>
    <t>002500</t>
  </si>
  <si>
    <t>Unnamed Pond, Natchaug Regional Basin</t>
  </si>
  <si>
    <t>DSN001(BF44314)</t>
  </si>
  <si>
    <t>Wendon Company</t>
  </si>
  <si>
    <t>001483</t>
  </si>
  <si>
    <t>001191</t>
  </si>
  <si>
    <t>Marine Holdings of Stratford</t>
  </si>
  <si>
    <t>Brewer Stratford Marina</t>
  </si>
  <si>
    <t>Plainville South</t>
  </si>
  <si>
    <t>Environmental Services, Inc</t>
  </si>
  <si>
    <t>001327</t>
  </si>
  <si>
    <t>5202-10-1</t>
  </si>
  <si>
    <t>SW-2 (CB-1)</t>
  </si>
  <si>
    <t xml:space="preserve">SW #2 </t>
  </si>
  <si>
    <t>&gt;30000</t>
  </si>
  <si>
    <t>FedEx Ground Package System</t>
  </si>
  <si>
    <t>Culox Technologies</t>
  </si>
  <si>
    <t>000556</t>
  </si>
  <si>
    <t>Dyco Industries</t>
  </si>
  <si>
    <t>001326</t>
  </si>
  <si>
    <t>The Plastic Forming Company</t>
  </si>
  <si>
    <t>5305-00</t>
  </si>
  <si>
    <t>002629</t>
  </si>
  <si>
    <t>Spillway / Sedimentation ponds</t>
  </si>
  <si>
    <t>outfall 1 North</t>
  </si>
  <si>
    <t>outfall 2 South</t>
  </si>
  <si>
    <t>outfall 3 East Garage</t>
  </si>
  <si>
    <t>outfall 4 East Tertiary</t>
  </si>
  <si>
    <t xml:space="preserve"> G-MF</t>
  </si>
  <si>
    <t>Farmington Ready Mix</t>
  </si>
  <si>
    <t>un-named trib</t>
  </si>
  <si>
    <t>000540</t>
  </si>
  <si>
    <t>@ outfall</t>
  </si>
  <si>
    <t>Radio Frequency Systems</t>
  </si>
  <si>
    <t>001743</t>
  </si>
  <si>
    <t>5206-02</t>
  </si>
  <si>
    <t>Ambion Corp</t>
  </si>
  <si>
    <t>000563</t>
  </si>
  <si>
    <t>Mica Corporation</t>
  </si>
  <si>
    <t>Ivy Brook</t>
  </si>
  <si>
    <t>001219</t>
  </si>
  <si>
    <t>CiDRA Corp</t>
  </si>
  <si>
    <t>brook to Quinn</t>
  </si>
  <si>
    <t>001493</t>
  </si>
  <si>
    <t>outfall location 1</t>
  </si>
  <si>
    <t>Sun Products</t>
  </si>
  <si>
    <t>2</t>
  </si>
  <si>
    <t>001-West Basin</t>
  </si>
  <si>
    <t>004-upper lot outfall</t>
  </si>
  <si>
    <t>003-East outfall</t>
  </si>
  <si>
    <t>Main outfall</t>
  </si>
  <si>
    <t>59 Naugatuck Dr</t>
  </si>
  <si>
    <t>37 Naugatuck Dr</t>
  </si>
  <si>
    <t>United Tool &amp; Die SW-4</t>
  </si>
  <si>
    <t>Global Companies</t>
  </si>
  <si>
    <t>001752</t>
  </si>
  <si>
    <t>Whyco Finishing Tech</t>
  </si>
  <si>
    <t>001649</t>
  </si>
  <si>
    <t>#4 EA Depot roof drain</t>
  </si>
  <si>
    <t>#3 Driveway storm drain</t>
  </si>
  <si>
    <t>The Delta Rubber Co</t>
  </si>
  <si>
    <t>Quinnebaug River</t>
  </si>
  <si>
    <t>001616</t>
  </si>
  <si>
    <t>&gt;2050</t>
  </si>
  <si>
    <t>Cooper Crouse-Hinds</t>
  </si>
  <si>
    <t>Crouse Hinds Airport Lighting</t>
  </si>
  <si>
    <t>Wipple Pond</t>
  </si>
  <si>
    <t>001683</t>
  </si>
  <si>
    <t>MCP Metalspecialties</t>
  </si>
  <si>
    <t>001999</t>
  </si>
  <si>
    <t>outfall #1L#65368</t>
  </si>
  <si>
    <t>Silver</t>
  </si>
  <si>
    <t>Arsenic</t>
  </si>
  <si>
    <t>Barium</t>
  </si>
  <si>
    <t>Sn</t>
  </si>
  <si>
    <t>Settleable solids</t>
  </si>
  <si>
    <t>Total CN</t>
  </si>
  <si>
    <t>TTO</t>
  </si>
  <si>
    <t>Gold</t>
  </si>
  <si>
    <t>Riverside A (=outfall 1)</t>
  </si>
  <si>
    <t>Riverside B (=outfall 2)</t>
  </si>
  <si>
    <t>Danbury Municipal Airport</t>
  </si>
  <si>
    <t>001133</t>
  </si>
  <si>
    <t>front drain</t>
  </si>
  <si>
    <t>back drain</t>
  </si>
  <si>
    <t>002609</t>
  </si>
  <si>
    <t>outfall No. 1 SM-1</t>
  </si>
  <si>
    <t>outfall No. 2 SM-2</t>
  </si>
  <si>
    <t>Driveway storm drain</t>
  </si>
  <si>
    <t>roof drain</t>
  </si>
  <si>
    <t>Sodium (mg/L)</t>
  </si>
  <si>
    <t>M2- Loading dock</t>
  </si>
  <si>
    <t>Waterbury -Oxford Airport</t>
  </si>
  <si>
    <t>Little River, Naugatuck Regional Basin</t>
  </si>
  <si>
    <t>WO-B (BF 19066)</t>
  </si>
  <si>
    <t>WO-E (BF 19067)</t>
  </si>
  <si>
    <t>WO-F (BF 19068)</t>
  </si>
  <si>
    <t>Michael Soda</t>
  </si>
  <si>
    <t>Brideport Auto Rescue</t>
  </si>
  <si>
    <t>Storm Basin</t>
  </si>
  <si>
    <t>001962</t>
  </si>
  <si>
    <t>Front of Yard</t>
  </si>
  <si>
    <t>Pipe Brook</t>
  </si>
  <si>
    <t>4404-09</t>
  </si>
  <si>
    <t>Bis(2-ethylhexyl)phthalate (ug/L)</t>
  </si>
  <si>
    <t>Transformer Decommissioning North East</t>
  </si>
  <si>
    <t>TIG HITCO</t>
  </si>
  <si>
    <t>002030</t>
  </si>
  <si>
    <t>front</t>
  </si>
  <si>
    <t>rear</t>
  </si>
  <si>
    <t>Outfall 5-swale</t>
  </si>
  <si>
    <t>Outfall 6-Catch Basin</t>
  </si>
  <si>
    <t>000920</t>
  </si>
  <si>
    <t>Orograin Bakeries Mfg</t>
  </si>
  <si>
    <t>Tom's Brook</t>
  </si>
  <si>
    <t>Armstrong Court</t>
  </si>
  <si>
    <t>First Student, Inc. #12628</t>
  </si>
  <si>
    <t>002545</t>
  </si>
  <si>
    <t>The Home Depot USA</t>
  </si>
  <si>
    <t>The Home Depot Distribution Center #5982</t>
  </si>
  <si>
    <t>Phoenix Soil</t>
  </si>
  <si>
    <t>002613</t>
  </si>
  <si>
    <t>storm sewer outfall</t>
  </si>
  <si>
    <t>Nutmeg Chrome Corp</t>
  </si>
  <si>
    <t>MS4-south branch Park River</t>
  </si>
  <si>
    <t>000396</t>
  </si>
  <si>
    <t>Bridgeport Facility</t>
  </si>
  <si>
    <t>002062</t>
  </si>
  <si>
    <t>&gt;2,000</t>
  </si>
  <si>
    <t>Chester Point Marina</t>
  </si>
  <si>
    <t>002274</t>
  </si>
  <si>
    <t>CB#17</t>
  </si>
  <si>
    <t>John DeGrand &amp; Sons, Inc</t>
  </si>
  <si>
    <t>wetlands &amp; MS4</t>
  </si>
  <si>
    <t>001610</t>
  </si>
  <si>
    <t>IL-01</t>
  </si>
  <si>
    <t>First Student Inc. #55835</t>
  </si>
  <si>
    <t>002131</t>
  </si>
  <si>
    <t>002653</t>
  </si>
  <si>
    <t>000967</t>
  </si>
  <si>
    <t>Catch Basin in East lot</t>
  </si>
  <si>
    <t>002614</t>
  </si>
  <si>
    <t>Steven A. Culmone</t>
  </si>
  <si>
    <t>2841,2844</t>
  </si>
  <si>
    <t>City of Danbury</t>
  </si>
  <si>
    <t>Danbury WPCF</t>
  </si>
  <si>
    <t>Lime Kiln Brook</t>
  </si>
  <si>
    <t>002497</t>
  </si>
  <si>
    <t>SW3</t>
  </si>
  <si>
    <t>Outfall DS-1</t>
  </si>
  <si>
    <t>Outfall DS-6</t>
  </si>
  <si>
    <t>DS-1</t>
  </si>
  <si>
    <t>DS-2</t>
  </si>
  <si>
    <t>DS-3</t>
  </si>
  <si>
    <t>DS-4</t>
  </si>
  <si>
    <t>USPS</t>
  </si>
  <si>
    <t>CT River Main Stem</t>
  </si>
  <si>
    <t>Wallingford Facility</t>
  </si>
  <si>
    <t>Town of North Stonington</t>
  </si>
  <si>
    <t>102</t>
  </si>
  <si>
    <t>Un-named trib to Silex Pond</t>
  </si>
  <si>
    <t>001477</t>
  </si>
  <si>
    <t>outfall pipe to retention pond</t>
  </si>
  <si>
    <t>highway garage</t>
  </si>
  <si>
    <t>Shonock River</t>
  </si>
  <si>
    <t>001476</t>
  </si>
  <si>
    <t>outfall pipe from parking lot</t>
  </si>
  <si>
    <t>D002</t>
  </si>
  <si>
    <t>D003</t>
  </si>
  <si>
    <t>Jolley Precast</t>
  </si>
  <si>
    <t>000440</t>
  </si>
  <si>
    <t>stormwater</t>
  </si>
  <si>
    <t>000827</t>
  </si>
  <si>
    <t>HDB Inc</t>
  </si>
  <si>
    <t>The Homer D Bronson Co.</t>
  </si>
  <si>
    <t>Rear CB</t>
  </si>
  <si>
    <t>Rear CB Manhole</t>
  </si>
  <si>
    <t>Outfall 3 (TS-OD-3)</t>
  </si>
  <si>
    <t>Annual Alpha Terpineol  (0.033 mg/L)</t>
  </si>
  <si>
    <t>Annual Benzoic Acid (0.12 mg/L)</t>
  </si>
  <si>
    <t>Annual p-Cresol  (0.025mg/L)</t>
  </si>
  <si>
    <t>Annual Phenol (0.026 mg/L)</t>
  </si>
  <si>
    <t>000544</t>
  </si>
  <si>
    <t>Loos &amp; Company</t>
  </si>
  <si>
    <t>112</t>
  </si>
  <si>
    <t>Scotland Hardwoods Sawmill</t>
  </si>
  <si>
    <t>000809</t>
  </si>
  <si>
    <t>Burndy LLC</t>
  </si>
  <si>
    <t>3365, 3366</t>
  </si>
  <si>
    <t>Northeast Electronics corp.</t>
  </si>
  <si>
    <t>Beaver Brook</t>
  </si>
  <si>
    <t>002067</t>
  </si>
  <si>
    <t>chemical delivery</t>
  </si>
  <si>
    <t>Richard Plasky</t>
  </si>
  <si>
    <t>lower pad</t>
  </si>
  <si>
    <t>03</t>
  </si>
  <si>
    <t>01 (formerly chemical delivery)</t>
  </si>
  <si>
    <t>Richard Septic Systems</t>
  </si>
  <si>
    <t>4310-00</t>
  </si>
  <si>
    <t>000756</t>
  </si>
  <si>
    <t>002529</t>
  </si>
  <si>
    <t>Industrial Pallet</t>
  </si>
  <si>
    <t>002487</t>
  </si>
  <si>
    <t>039</t>
  </si>
  <si>
    <t>North Pkng Lot DSN 001</t>
  </si>
  <si>
    <t>All Waste Inc</t>
  </si>
  <si>
    <t>4019-10-1</t>
  </si>
  <si>
    <t>3900-08-01</t>
  </si>
  <si>
    <t>outfall F</t>
  </si>
  <si>
    <t>Whelen Aviation</t>
  </si>
  <si>
    <t>000721</t>
  </si>
  <si>
    <t>Airport A</t>
  </si>
  <si>
    <t>Airport B</t>
  </si>
  <si>
    <t>TransWaste</t>
  </si>
  <si>
    <t>Main CB @ 3 Barker Drive</t>
  </si>
  <si>
    <t xml:space="preserve">General/GT  </t>
  </si>
  <si>
    <t>outfall T</t>
  </si>
  <si>
    <t>American Heat Treating</t>
  </si>
  <si>
    <t>Pequonnock River Watershed</t>
  </si>
  <si>
    <t>001849</t>
  </si>
  <si>
    <t>Robbin's Swamp</t>
  </si>
  <si>
    <t>EBM Industries</t>
  </si>
  <si>
    <t>James Swamp Brook</t>
  </si>
  <si>
    <t>001424</t>
  </si>
  <si>
    <t>TNTC</t>
  </si>
  <si>
    <t>O&amp;W Heat Treat</t>
  </si>
  <si>
    <t>Bencroft Brook to CT River</t>
  </si>
  <si>
    <t>001757</t>
  </si>
  <si>
    <t>CB06</t>
  </si>
  <si>
    <t>SWS-002</t>
  </si>
  <si>
    <t>Doncasters Precision Castings</t>
  </si>
  <si>
    <t>Birch Plain Creek</t>
  </si>
  <si>
    <t>001713</t>
  </si>
  <si>
    <t>DSN 006A</t>
  </si>
  <si>
    <t>Norwich Operations</t>
  </si>
  <si>
    <t>&gt;3000</t>
  </si>
  <si>
    <t>TOC mg/L</t>
  </si>
  <si>
    <t>000943</t>
  </si>
  <si>
    <t>Hampford Research</t>
  </si>
  <si>
    <t>main outfall</t>
  </si>
  <si>
    <t>Don Stevens Tire Co., Inc.</t>
  </si>
  <si>
    <t>000152</t>
  </si>
  <si>
    <t>Willowbrook</t>
  </si>
  <si>
    <t>000172</t>
  </si>
  <si>
    <t>Southeastern Connecticut Resource Recovery Facility</t>
  </si>
  <si>
    <t>Chromatics Inc.</t>
  </si>
  <si>
    <t xml:space="preserve">Chromatics Inc. </t>
  </si>
  <si>
    <t>Catch basin #1</t>
  </si>
  <si>
    <t xml:space="preserve"> F&amp;F Concrete</t>
  </si>
  <si>
    <t>Oufall 4</t>
  </si>
  <si>
    <t>Birken Manufacturing Co, Inc.</t>
  </si>
  <si>
    <t>Roto Frank of America, Inc.</t>
  </si>
  <si>
    <t>Pattaconk Brook</t>
  </si>
  <si>
    <t>000279</t>
  </si>
  <si>
    <t>Sippin Bros. oil Company, Inc.</t>
  </si>
  <si>
    <t>Pequonnick Basin</t>
  </si>
  <si>
    <t>000254</t>
  </si>
  <si>
    <t>Outfall 1 (AF03517)</t>
  </si>
  <si>
    <t>Stewart EFI, LLC</t>
  </si>
  <si>
    <t>000413</t>
  </si>
  <si>
    <t>Watershed ID 5200-11</t>
  </si>
  <si>
    <t>000253</t>
  </si>
  <si>
    <t>&gt;2 weeks</t>
  </si>
  <si>
    <t>Guard shack</t>
  </si>
  <si>
    <t>Outflow</t>
  </si>
  <si>
    <t>The Wilson Arms Co.</t>
  </si>
  <si>
    <t>000216</t>
  </si>
  <si>
    <t>&gt;72 hrs</t>
  </si>
  <si>
    <t>Eyelet Crafters, Inc.</t>
  </si>
  <si>
    <t>000275</t>
  </si>
  <si>
    <t>Crest of driveway</t>
  </si>
  <si>
    <t>Unilever</t>
  </si>
  <si>
    <t>Unilever R&amp;D Center</t>
  </si>
  <si>
    <t>Pumpkin Ground Brook; Cook's pond</t>
  </si>
  <si>
    <t>000268</t>
  </si>
  <si>
    <t>SW 4</t>
  </si>
  <si>
    <t>SW 5</t>
  </si>
  <si>
    <t>Economy Spring &amp; Stamping Company</t>
  </si>
  <si>
    <t xml:space="preserve">Economy Spring </t>
  </si>
  <si>
    <t>000380</t>
  </si>
  <si>
    <t>Harbor brook</t>
  </si>
  <si>
    <t>Sterling Engineering Corp</t>
  </si>
  <si>
    <t>Morgan Brook</t>
  </si>
  <si>
    <t>000394</t>
  </si>
  <si>
    <t>Storm drain</t>
  </si>
  <si>
    <t>Yardley technical Products, Inc.</t>
  </si>
  <si>
    <t>000342</t>
  </si>
  <si>
    <t>Front Lot Catch basin</t>
  </si>
  <si>
    <t>AGC, Inc.</t>
  </si>
  <si>
    <t>Outfall 1 (road)</t>
  </si>
  <si>
    <t>Outfall 2 (stream)</t>
  </si>
  <si>
    <t>The Spencer Turbine Company</t>
  </si>
  <si>
    <t>000399</t>
  </si>
  <si>
    <t>Praxair Surface Technologies, Inc.</t>
  </si>
  <si>
    <t>MW Industries, Inc.</t>
  </si>
  <si>
    <t>Runoff pit</t>
  </si>
  <si>
    <t>Adjacent wetlands</t>
  </si>
  <si>
    <t>SL #5</t>
  </si>
  <si>
    <t>SL #2</t>
  </si>
  <si>
    <t>&lt;2</t>
  </si>
  <si>
    <t>Outfall No. 1 (SP-1)</t>
  </si>
  <si>
    <t>Southeast Area Transit District</t>
  </si>
  <si>
    <t>Outfalls 001, 002</t>
  </si>
  <si>
    <t>Ernest Joly &amp; Sons</t>
  </si>
  <si>
    <t>000430</t>
  </si>
  <si>
    <t>Cromwell Concrete Products</t>
  </si>
  <si>
    <t>000471</t>
  </si>
  <si>
    <t>Upper Outflow 1</t>
  </si>
  <si>
    <t>C. White &amp; Son, Inc., Rocky Hill Facility</t>
  </si>
  <si>
    <t>3805-00</t>
  </si>
  <si>
    <t>Storm water</t>
  </si>
  <si>
    <t>&gt;6,000</t>
  </si>
  <si>
    <t>Town of Bloomfield, Stormwater System</t>
  </si>
  <si>
    <t>Lower Outflow 2</t>
  </si>
  <si>
    <t xml:space="preserve">Upper Outflow </t>
  </si>
  <si>
    <t xml:space="preserve">Lower Outflow </t>
  </si>
  <si>
    <t>KMC Music, Inc.</t>
  </si>
  <si>
    <t>000468</t>
  </si>
  <si>
    <t>Quandock Brook</t>
  </si>
  <si>
    <t>32 Beatrice Ave</t>
  </si>
  <si>
    <t>Smith Auto Sales</t>
  </si>
  <si>
    <t>001018</t>
  </si>
  <si>
    <t>Fowler's Auto Wrecking, Inc.</t>
  </si>
  <si>
    <t xml:space="preserve">Fowler's Auto Wrecking, Inc. </t>
  </si>
  <si>
    <t>4709-04-02</t>
  </si>
  <si>
    <t>002554</t>
  </si>
  <si>
    <t>W-72.51637, N 41.55992</t>
  </si>
  <si>
    <t>&gt;1 week</t>
  </si>
  <si>
    <t>Decapua Auto Salvage</t>
  </si>
  <si>
    <t>Naugaruck River</t>
  </si>
  <si>
    <t>001927</t>
  </si>
  <si>
    <t>86 Denver Place</t>
  </si>
  <si>
    <t>Jacobs Vehicle Systems, Inc.</t>
  </si>
  <si>
    <t>Tributary of Mill Brook</t>
  </si>
  <si>
    <t>Town of Bloomfield storm sewer system</t>
  </si>
  <si>
    <t>Kleeman Auto Parts</t>
  </si>
  <si>
    <t>114-017</t>
  </si>
  <si>
    <t>Fusco's Inc.</t>
  </si>
  <si>
    <t>6912-07-1</t>
  </si>
  <si>
    <t>002557</t>
  </si>
  <si>
    <t xml:space="preserve">Mystic Shipyard </t>
  </si>
  <si>
    <t>Mystic Shipyard East</t>
  </si>
  <si>
    <t>100 Essex St East Yard</t>
  </si>
  <si>
    <t>BLP Marine, LLC</t>
  </si>
  <si>
    <t>Crockers Boatyard</t>
  </si>
  <si>
    <t>Shaw Cove (off Thames River)</t>
  </si>
  <si>
    <t>E1014-SB</t>
  </si>
  <si>
    <t>GCE, LLC</t>
  </si>
  <si>
    <t>Niantic Bay Marina</t>
  </si>
  <si>
    <t>002184</t>
  </si>
  <si>
    <t>Handling site</t>
  </si>
  <si>
    <t>Outfall 007, South Yard</t>
  </si>
  <si>
    <t>Outfall 005, South Yard</t>
  </si>
  <si>
    <t>Norwalk Harbor/ Long Island Sound</t>
  </si>
  <si>
    <t>Essex Boat Works</t>
  </si>
  <si>
    <t>001003</t>
  </si>
  <si>
    <t>West End of Yard</t>
  </si>
  <si>
    <t>Seaview Marina</t>
  </si>
  <si>
    <t>Vinny's Dockside Marina</t>
  </si>
  <si>
    <t>Westcott Cove</t>
  </si>
  <si>
    <t>002571</t>
  </si>
  <si>
    <t>Amgraph Packaging</t>
  </si>
  <si>
    <t>Consolidated Industries Acquisitions Corp0</t>
  </si>
  <si>
    <t>Outfall DSN 005A</t>
  </si>
  <si>
    <t>Manchester DSN 004 (formerly called 004B)</t>
  </si>
  <si>
    <t>Roof / DSN #3</t>
  </si>
  <si>
    <t>Shipping / DSN #2</t>
  </si>
  <si>
    <t>OFS Fitel</t>
  </si>
  <si>
    <t>Nod Brook</t>
  </si>
  <si>
    <t>001520</t>
  </si>
  <si>
    <t>001006</t>
  </si>
  <si>
    <t>CB#4</t>
  </si>
  <si>
    <t>Theis Percision Steel Corp</t>
  </si>
  <si>
    <t>000980</t>
  </si>
  <si>
    <t>City Chemical LLC</t>
  </si>
  <si>
    <t>West Haven Storm Sewer</t>
  </si>
  <si>
    <t>South Central Shoreline Basin</t>
  </si>
  <si>
    <t>001193</t>
  </si>
  <si>
    <t>Canton Village Construction Co., Inc</t>
  </si>
  <si>
    <t>CT4300-00</t>
  </si>
  <si>
    <t>2000*47</t>
  </si>
  <si>
    <t>Dunning Sand and Gravel</t>
  </si>
  <si>
    <t>Winter Bros. Transfer Stations of CT, LLC</t>
  </si>
  <si>
    <t>Volume Reduction Facility and Transfer Station</t>
  </si>
  <si>
    <t>6025-08-1</t>
  </si>
  <si>
    <t>002532</t>
  </si>
  <si>
    <t>Solid Water Facility</t>
  </si>
  <si>
    <t>City Carting , Inc.</t>
  </si>
  <si>
    <t>7000-26</t>
  </si>
  <si>
    <t>Crescent</t>
  </si>
  <si>
    <t>002293</t>
  </si>
  <si>
    <t>Simsbury Water Pollution Control</t>
  </si>
  <si>
    <t>128-038 Landfill/Transfer Station</t>
  </si>
  <si>
    <t>Munnisunk Brook (Farmington River)</t>
  </si>
  <si>
    <t>Simsbury landfill</t>
  </si>
  <si>
    <t>Town of Lebanon Municipal Transfer Station</t>
  </si>
  <si>
    <t>Nutmeg Recycling, LLC</t>
  </si>
  <si>
    <t>Dry Brook to the Scantic River, Connecticut River</t>
  </si>
  <si>
    <t>City Carting, Inc.</t>
  </si>
  <si>
    <t>SCR, Stamford</t>
  </si>
  <si>
    <t>Outfall #1 Pacific</t>
  </si>
  <si>
    <t>Outfall #2 - Woodland</t>
  </si>
  <si>
    <t>Meadow Street Transfer Station</t>
  </si>
  <si>
    <t>001974</t>
  </si>
  <si>
    <t>Outfall #1- Mechanic</t>
  </si>
  <si>
    <t>Outfall #2 - TS</t>
  </si>
  <si>
    <t>Wetlands/ Waterbody</t>
  </si>
  <si>
    <t>Outfall #1 - Pipe</t>
  </si>
  <si>
    <t xml:space="preserve">City Carting, Inc. </t>
  </si>
  <si>
    <t>Outfall #2 - Road</t>
  </si>
  <si>
    <t>Town of Southbury</t>
  </si>
  <si>
    <t>Tributary of Bullet Hill Brook</t>
  </si>
  <si>
    <t>001531</t>
  </si>
  <si>
    <t>514 Brown Road (E401155)</t>
  </si>
  <si>
    <t>Town of Montville Transfer Station</t>
  </si>
  <si>
    <t>Transfer Station-Edge of Pavement</t>
  </si>
  <si>
    <t>Transfer Station- Drainage Swale</t>
  </si>
  <si>
    <t>DSN-002-West</t>
  </si>
  <si>
    <t>Sharon-Salisbury transfer Station</t>
  </si>
  <si>
    <t>Unnamed tributary of Ten Mile River, Quinnipiac River</t>
  </si>
  <si>
    <t>001174</t>
  </si>
  <si>
    <t>Dainty Rubbish Service Inc.</t>
  </si>
  <si>
    <t>Outfall # 2</t>
  </si>
  <si>
    <t>80 Industrial Park Middletown</t>
  </si>
  <si>
    <t>Quinnipiac River (5200), South Central Coast</t>
  </si>
  <si>
    <t>Sanitary landfill Outfall 002</t>
  </si>
  <si>
    <t>Naugatuck River basin</t>
  </si>
  <si>
    <t>Wheelabrator of Bridgeport</t>
  </si>
  <si>
    <t>adjacent marsh area</t>
  </si>
  <si>
    <t>Scale</t>
  </si>
  <si>
    <t>Town of Willington</t>
  </si>
  <si>
    <t>Public Works/Transfer</t>
  </si>
  <si>
    <t>000511</t>
  </si>
  <si>
    <t>Public Works (E404636-3)</t>
  </si>
  <si>
    <t>Public Works (E404636-1)</t>
  </si>
  <si>
    <t>Salisbury- Sharon Transfer Station</t>
  </si>
  <si>
    <t>Town of Salisbury - West</t>
  </si>
  <si>
    <t>Town of Salisbury - North</t>
  </si>
  <si>
    <t>Town of Salisbury - 30"</t>
  </si>
  <si>
    <t>Town of Salisbury - Down stream</t>
  </si>
  <si>
    <t>Willow Brook- CT/ Mattabessett River- CT</t>
  </si>
  <si>
    <t>4602-00 01/ 4600-00 04</t>
  </si>
  <si>
    <t>Outfall #1 - RC</t>
  </si>
  <si>
    <t>4321-00 01</t>
  </si>
  <si>
    <t>John Leonard</t>
  </si>
  <si>
    <t>Cover Landing Marine</t>
  </si>
  <si>
    <t>002421</t>
  </si>
  <si>
    <t>CLM- 1</t>
  </si>
  <si>
    <t>CCMCR Harbor Square, LLC</t>
  </si>
  <si>
    <t>Canal Street Harbor Square</t>
  </si>
  <si>
    <t>002635</t>
  </si>
  <si>
    <t>CTL No. 3445</t>
  </si>
  <si>
    <t>SE Corner of property</t>
  </si>
  <si>
    <t>Pit Loc 1</t>
  </si>
  <si>
    <t>Pit outfall #1</t>
  </si>
  <si>
    <t>Town of Fairfield</t>
  </si>
  <si>
    <t>Marina 1</t>
  </si>
  <si>
    <t>002240</t>
  </si>
  <si>
    <t>Marina 3</t>
  </si>
  <si>
    <t>Marina 7</t>
  </si>
  <si>
    <t>Marina 8</t>
  </si>
  <si>
    <t>Rives Potts</t>
  </si>
  <si>
    <t>Brewer Pilots Point Marina</t>
  </si>
  <si>
    <t>Outfall 027, East Yard</t>
  </si>
  <si>
    <t>Outfall 018, South yard</t>
  </si>
  <si>
    <t>Brewer Pilots Point Marina East Yard</t>
  </si>
  <si>
    <t>000903</t>
  </si>
  <si>
    <t>Transfer Station #3</t>
  </si>
  <si>
    <t>Transfer Station #4</t>
  </si>
  <si>
    <t>Outfall #4 Transfer Station</t>
  </si>
  <si>
    <t>Outfall #1 (Ston SWF - 1)</t>
  </si>
  <si>
    <t>Outfall 6 (TS-OF-6)</t>
  </si>
  <si>
    <t>Hockanum River/Naugatuck River Basin</t>
  </si>
  <si>
    <t>Wheelabrator Putnam Inc</t>
  </si>
  <si>
    <t>Putnam Ash Residue Landfill</t>
  </si>
  <si>
    <t>000565</t>
  </si>
  <si>
    <t>Pond-4</t>
  </si>
  <si>
    <t>East Hampton SW Transfer Station &amp; Recycling Center</t>
  </si>
  <si>
    <t>Outfall #1 Drainage Swale</t>
  </si>
  <si>
    <t>Outfall #1 Oil-Water Seperator Discharge</t>
  </si>
  <si>
    <t>Willow Brook/Mattabessett River</t>
  </si>
  <si>
    <t>CT4602-00 01/CT4600-00 04</t>
  </si>
  <si>
    <t>Outfall #1 - LF</t>
  </si>
  <si>
    <t>Outfall #2 - LF</t>
  </si>
  <si>
    <t>Sacntic River</t>
  </si>
  <si>
    <t>Long Meadow Brook</t>
  </si>
  <si>
    <t>S-002</t>
  </si>
  <si>
    <t>DA-001, Public Works</t>
  </si>
  <si>
    <t>Quinnipac River Storm</t>
  </si>
  <si>
    <t xml:space="preserve">QG Printing </t>
  </si>
  <si>
    <t>001063</t>
  </si>
  <si>
    <t>SD in pkng lot</t>
  </si>
  <si>
    <t>Semiannual PCBs (ug/L)</t>
  </si>
  <si>
    <t>Monitoring Loc. For DSN001</t>
  </si>
  <si>
    <t>E.coli (col/100mL)</t>
  </si>
  <si>
    <t>Storm Drain by large garage door (end of building)</t>
  </si>
  <si>
    <t xml:space="preserve">COCA-COLA </t>
  </si>
  <si>
    <t>Barker Steel</t>
  </si>
  <si>
    <t>Newberry Brook MS4</t>
  </si>
  <si>
    <t>002257</t>
  </si>
  <si>
    <t>NW Monitoring Point #1</t>
  </si>
  <si>
    <t>Luvata Waterbury</t>
  </si>
  <si>
    <t>000501</t>
  </si>
  <si>
    <t>UniMetal Surface Finishing</t>
  </si>
  <si>
    <t>&gt;72</t>
  </si>
  <si>
    <t>General/Bulk De-icing SALT</t>
  </si>
  <si>
    <t>Turbine Components Corp.</t>
  </si>
  <si>
    <t>discharge collected from detention pond</t>
  </si>
  <si>
    <t>c</t>
  </si>
  <si>
    <t>Allied Sinterings, Inc.</t>
  </si>
  <si>
    <t>Parking Lot Storm Drain</t>
  </si>
  <si>
    <t>Lake Kenosia Drainage Basin</t>
  </si>
  <si>
    <t>000727</t>
  </si>
  <si>
    <t>Roof Storm Drain</t>
  </si>
  <si>
    <t>The Berlin Steel Construction Co.</t>
  </si>
  <si>
    <t>Outfall A (CB-N)</t>
  </si>
  <si>
    <t>Outfall D (CB-S)</t>
  </si>
  <si>
    <t>Outfall A (CB-1)</t>
  </si>
  <si>
    <t>Outfall D (CB-2)</t>
  </si>
  <si>
    <t>Orafol Americas Inc.</t>
  </si>
  <si>
    <t>Orafol- Avon</t>
  </si>
  <si>
    <t>Outfall 001 (AV-001)</t>
  </si>
  <si>
    <t>Outfall 002 (AV-002)</t>
  </si>
  <si>
    <t>Outfall 001 (A-1)</t>
  </si>
  <si>
    <t>Outfall 002 (A-2)</t>
  </si>
  <si>
    <t>Northeastern Shaped Wire, Inc.</t>
  </si>
  <si>
    <t xml:space="preserve">Northeastern Shaped Wire, Inc. </t>
  </si>
  <si>
    <t>Southington MS4</t>
  </si>
  <si>
    <t>001020</t>
  </si>
  <si>
    <t>CB-1 (Outfall 003)</t>
  </si>
  <si>
    <t>Swale</t>
  </si>
  <si>
    <t>Vehicle Maintenance Facility</t>
  </si>
  <si>
    <t>Natural Country Farms, Inc.</t>
  </si>
  <si>
    <t>Unnamed Tributary to Hockanum River</t>
  </si>
  <si>
    <t>H. Krevit &amp; Co., Inc.</t>
  </si>
  <si>
    <t>CTL No. 6088</t>
  </si>
  <si>
    <t>New Haven storm sewer system</t>
  </si>
  <si>
    <t>Roof Drain- North</t>
  </si>
  <si>
    <t>CTL No. 6089</t>
  </si>
  <si>
    <t>Roof drain- south</t>
  </si>
  <si>
    <t>CTL No. 6090</t>
  </si>
  <si>
    <t>Catch basin south</t>
  </si>
  <si>
    <t>CTL No. 6091</t>
  </si>
  <si>
    <t>Catch basin north</t>
  </si>
  <si>
    <t>Inland Fuel terminals, Inc.</t>
  </si>
  <si>
    <t>Naugatuck River, Naugatuck Regional basin</t>
  </si>
  <si>
    <t>Stamford Vehicle Maintenance Facility</t>
  </si>
  <si>
    <t>RBC- Heim Bearing Division</t>
  </si>
  <si>
    <t>Heim- Fairfield</t>
  </si>
  <si>
    <t>DSN004 330 Rear Swale</t>
  </si>
  <si>
    <t>DSN003 Rear lot to swale</t>
  </si>
  <si>
    <t>UPS- Wallingford, CT</t>
  </si>
  <si>
    <t>Romatic Manufacturing</t>
  </si>
  <si>
    <t>000422</t>
  </si>
  <si>
    <t>Norbert E. Mitchell Company Inc.</t>
  </si>
  <si>
    <t>000451</t>
  </si>
  <si>
    <t>5171/5172</t>
  </si>
  <si>
    <t>Q-S Technologies</t>
  </si>
  <si>
    <t>Little Black Pond</t>
  </si>
  <si>
    <t>000557</t>
  </si>
  <si>
    <t>Ulbrich Stainless Steel</t>
  </si>
  <si>
    <t>Ulbrich Specialty Strip Mill</t>
  </si>
  <si>
    <t>000508</t>
  </si>
  <si>
    <t>3356, 3357</t>
  </si>
  <si>
    <t>CB-2A/ ULB-1</t>
  </si>
  <si>
    <t>Brancroft Brook</t>
  </si>
  <si>
    <t>CB- 12</t>
  </si>
  <si>
    <t>Colt's Manufacturing Company, LLC</t>
  </si>
  <si>
    <t>000546</t>
  </si>
  <si>
    <t>Interim status Haz. Waste Facility</t>
  </si>
  <si>
    <t>Center front</t>
  </si>
  <si>
    <t>Lower Fulling Mill Brook</t>
  </si>
  <si>
    <t>Upper Fulling Mill Brook</t>
  </si>
  <si>
    <t xml:space="preserve">Luvata Waterbury, Inc. </t>
  </si>
  <si>
    <t>Mashamoquet Brook</t>
  </si>
  <si>
    <t>&gt;2420</t>
  </si>
  <si>
    <t>Albea Metal Americas, Inc.</t>
  </si>
  <si>
    <t>000636</t>
  </si>
  <si>
    <t>The Rogers Manufacturing Company</t>
  </si>
  <si>
    <t>000697</t>
  </si>
  <si>
    <t xml:space="preserve">Platt Brothers </t>
  </si>
  <si>
    <t>Cold Spring Brook</t>
  </si>
  <si>
    <t>&gt;5 days</t>
  </si>
  <si>
    <t>2 (Back)</t>
  </si>
  <si>
    <t>DSN 002 (office area)</t>
  </si>
  <si>
    <t>DSN 001 (dock area)</t>
  </si>
  <si>
    <t>&lt;3 days</t>
  </si>
  <si>
    <t>(SF-2) Sheetflow 2</t>
  </si>
  <si>
    <t>(RD-1) Roof drain</t>
  </si>
  <si>
    <t>(SF-1) Sheetflow 1</t>
  </si>
  <si>
    <t>DSN 01</t>
  </si>
  <si>
    <t>U.S. Chrome Corp. of CT</t>
  </si>
  <si>
    <t>Stratford Great Marsh</t>
  </si>
  <si>
    <t>000708</t>
  </si>
  <si>
    <t>Left side of building</t>
  </si>
  <si>
    <t>Roebic Laboratories</t>
  </si>
  <si>
    <t>Oyster Brook</t>
  </si>
  <si>
    <t>000759</t>
  </si>
  <si>
    <t>Outflow pipe</t>
  </si>
  <si>
    <t>Clean Harbors of Connecticut Inc.</t>
  </si>
  <si>
    <t>Sample area</t>
  </si>
  <si>
    <t>Roof storm drain</t>
  </si>
  <si>
    <t>CB- 7 (N-2)</t>
  </si>
  <si>
    <t>CB- 6 (N-3)</t>
  </si>
  <si>
    <t>CB- 5 (N-4)</t>
  </si>
  <si>
    <t>CB- 4 (N-5)</t>
  </si>
  <si>
    <t>Enviro Espress, Inc.</t>
  </si>
  <si>
    <t>Cedar Creek/ Southwest Shoreline</t>
  </si>
  <si>
    <t>000788</t>
  </si>
  <si>
    <t xml:space="preserve">Outfall A </t>
  </si>
  <si>
    <t>Neeltran, Inc.</t>
  </si>
  <si>
    <t>000754</t>
  </si>
  <si>
    <t>Parking lot storm drain</t>
  </si>
  <si>
    <t>102 Peake Brook Road (E208A92)</t>
  </si>
  <si>
    <t>New Britian Transportation</t>
  </si>
  <si>
    <t>Unimetal Surface Finishing, Naugatuck Plant</t>
  </si>
  <si>
    <t>Manhole 1</t>
  </si>
  <si>
    <t>Side roof</t>
  </si>
  <si>
    <t>&gt;90 hrs</t>
  </si>
  <si>
    <t>Town of Guilford MS4</t>
  </si>
  <si>
    <t>3351, 3355</t>
  </si>
  <si>
    <t>4602-00</t>
  </si>
  <si>
    <t>Chemtura Corporation</t>
  </si>
  <si>
    <t>Chemtura Corporation, Naugatuck Facility</t>
  </si>
  <si>
    <t>000864</t>
  </si>
  <si>
    <t>Monitoring point #1</t>
  </si>
  <si>
    <t>Monitoring point #3</t>
  </si>
  <si>
    <t>Enthone, Inc.</t>
  </si>
  <si>
    <t>Long Island Sound Watershed</t>
  </si>
  <si>
    <t>000826</t>
  </si>
  <si>
    <t>UTC, Pratt &amp; Whitney Div, Main Street</t>
  </si>
  <si>
    <t>Andrew Willgoos Turbine Laboratory</t>
  </si>
  <si>
    <t>NHT- New Haven, CT Terminal</t>
  </si>
  <si>
    <t>Roof top</t>
  </si>
  <si>
    <t xml:space="preserve">Parking lot </t>
  </si>
  <si>
    <t>United Concrete, 494 Main St</t>
  </si>
  <si>
    <t>Theis Precision Steel Corporation</t>
  </si>
  <si>
    <t>United Concrete, Plant 1</t>
  </si>
  <si>
    <t>000910</t>
  </si>
  <si>
    <t>Stanchem, Inc.</t>
  </si>
  <si>
    <t>Mattabasset River</t>
  </si>
  <si>
    <t>000977</t>
  </si>
  <si>
    <t>2851, 2821</t>
  </si>
  <si>
    <t>OF- 1</t>
  </si>
  <si>
    <t>Parking lot</t>
  </si>
  <si>
    <t>&gt; 2 weeks</t>
  </si>
  <si>
    <t>Ecometrics, Inc.</t>
  </si>
  <si>
    <t>Topstone Hydraulic</t>
  </si>
  <si>
    <t>Padanaram Brook</t>
  </si>
  <si>
    <t>Front drain</t>
  </si>
  <si>
    <t>Back drain</t>
  </si>
  <si>
    <t>Unnamed stream</t>
  </si>
  <si>
    <t>Sumner Brook</t>
  </si>
  <si>
    <t>Aiudi Concrete, Inc.</t>
  </si>
  <si>
    <t>Patchoque River</t>
  </si>
  <si>
    <t>001152</t>
  </si>
  <si>
    <t>Retention Pond Outflow</t>
  </si>
  <si>
    <t>City Chemical, LLC</t>
  </si>
  <si>
    <t>West Haven storm Sewer South Central Shoreline Basin</t>
  </si>
  <si>
    <t>JJ Mottes Concrete</t>
  </si>
  <si>
    <t>Baker Brook</t>
  </si>
  <si>
    <t>001187</t>
  </si>
  <si>
    <t>Water into stream</t>
  </si>
  <si>
    <t>Stream by pipe</t>
  </si>
  <si>
    <t>Light Sources, Inc.</t>
  </si>
  <si>
    <t>Storm drain rear</t>
  </si>
  <si>
    <t>Greater Bridgeport Transit</t>
  </si>
  <si>
    <t>15</t>
  </si>
  <si>
    <t>Bruce Pond</t>
  </si>
  <si>
    <t>001118</t>
  </si>
  <si>
    <t>Blakesless Prestress, Inc.</t>
  </si>
  <si>
    <t>Unnamed stream; Ward's Millpond</t>
  </si>
  <si>
    <t>Parking lot drain</t>
  </si>
  <si>
    <t>Mitchell Property Group, LLC.</t>
  </si>
  <si>
    <t>Gems Sensors &amp; Controls</t>
  </si>
  <si>
    <t>Last catch basin</t>
  </si>
  <si>
    <t>Eyelet Design Inc.</t>
  </si>
  <si>
    <t>001303</t>
  </si>
  <si>
    <t>Phoenix Soil, LLC</t>
  </si>
  <si>
    <t>001315</t>
  </si>
  <si>
    <t>Storm sewer</t>
  </si>
  <si>
    <t>GNHTD</t>
  </si>
  <si>
    <t>Unnamed brook to Quinnipiac basin</t>
  </si>
  <si>
    <t>JL Seaman LLC</t>
  </si>
  <si>
    <t>001457</t>
  </si>
  <si>
    <t>3 Merritt Street</t>
  </si>
  <si>
    <t>Covidien LP</t>
  </si>
  <si>
    <t>Dominion Nuclear CT, Inc.</t>
  </si>
  <si>
    <t>Jordan Cove</t>
  </si>
  <si>
    <t>3643, 3644</t>
  </si>
  <si>
    <t>CB #4</t>
  </si>
  <si>
    <t>Nufern Inc</t>
  </si>
  <si>
    <t>Nufern, East Granby CT</t>
  </si>
  <si>
    <t>001441</t>
  </si>
  <si>
    <t>Honeywell International, Inc.</t>
  </si>
  <si>
    <t>DSN-002 (Back Pond Outlet)</t>
  </si>
  <si>
    <t>RR Donnelley/ storm</t>
  </si>
  <si>
    <t>001591</t>
  </si>
  <si>
    <t>Plasma Technologies, Inc.</t>
  </si>
  <si>
    <t>OFS Fitel, LLC</t>
  </si>
  <si>
    <t>Dyno-Nobel, Inc.</t>
  </si>
  <si>
    <t>Dyno-Nobel, Inc. Simsbury Location</t>
  </si>
  <si>
    <t>Hop Brook/ Farmington River</t>
  </si>
  <si>
    <t>001643</t>
  </si>
  <si>
    <t>002/001</t>
  </si>
  <si>
    <t>004/005</t>
  </si>
  <si>
    <t>005/006</t>
  </si>
  <si>
    <t>007/008</t>
  </si>
  <si>
    <t>008/011</t>
  </si>
  <si>
    <t>outfall 2 south</t>
  </si>
  <si>
    <t>outfall 3 east garage</t>
  </si>
  <si>
    <t>outfall 4 east tertiary</t>
  </si>
  <si>
    <t xml:space="preserve">Pepperidge Farm, Inc. </t>
  </si>
  <si>
    <t>Pepperidge Farm, Inc. Bloomfield</t>
  </si>
  <si>
    <t>PF-001</t>
  </si>
  <si>
    <t>002 (New 001)</t>
  </si>
  <si>
    <t>005(New 006)</t>
  </si>
  <si>
    <t>008(New 011)</t>
  </si>
  <si>
    <t>Doncasters Precision Castings, Groton</t>
  </si>
  <si>
    <t>DSN 006 A</t>
  </si>
  <si>
    <t>SW-05</t>
  </si>
  <si>
    <t>Hubert E. Butler Construction Co., LLC</t>
  </si>
  <si>
    <t>Hubert E. Butler Construction Co., LLC, Main Facility</t>
  </si>
  <si>
    <t xml:space="preserve">outfall 3 </t>
  </si>
  <si>
    <t>Norwalk Transit District</t>
  </si>
  <si>
    <t>Village Creek</t>
  </si>
  <si>
    <t>001668</t>
  </si>
  <si>
    <t>Storm drains</t>
  </si>
  <si>
    <t>outfall#1 24"reinforced concrete pipe</t>
  </si>
  <si>
    <t>outfall#9  30" reinforced concrete pipe</t>
  </si>
  <si>
    <t>Buckhorn Brook</t>
  </si>
  <si>
    <t>Covanta Energy Corporation</t>
  </si>
  <si>
    <t>Covanta Energy Group</t>
  </si>
  <si>
    <t>Tributary to Eight Mile River</t>
  </si>
  <si>
    <t>001759</t>
  </si>
  <si>
    <t>Stormwater pond overflow discharge</t>
  </si>
  <si>
    <t>Haynes Materials Company</t>
  </si>
  <si>
    <t>Haynes Materials Company, Naugatuck</t>
  </si>
  <si>
    <t>Haynes Materials Company, Torrington</t>
  </si>
  <si>
    <t>Haynes Materials Company, Oxford</t>
  </si>
  <si>
    <t>UTC Aerospace Systems</t>
  </si>
  <si>
    <t>Grillo Services, LLC.</t>
  </si>
  <si>
    <t>001697</t>
  </si>
  <si>
    <t>4000-00-6</t>
  </si>
  <si>
    <t>3104-00</t>
  </si>
  <si>
    <t>6604-00-2</t>
  </si>
  <si>
    <t>Groundwater within Hockanum River Watershed</t>
  </si>
  <si>
    <t>4500-00-3</t>
  </si>
  <si>
    <t xml:space="preserve">Budney Industries, Inc. </t>
  </si>
  <si>
    <t>Belcher Brook</t>
  </si>
  <si>
    <t>001841</t>
  </si>
  <si>
    <t>Storm drain at Front driveway</t>
  </si>
  <si>
    <t>3400-02</t>
  </si>
  <si>
    <t>720 Thompson Road (E311614)</t>
  </si>
  <si>
    <t>335 Connecticut Ave</t>
  </si>
  <si>
    <t>117 East Aurora Street Waterbury</t>
  </si>
  <si>
    <t>001853</t>
  </si>
  <si>
    <t>58 Middletown Ave</t>
  </si>
  <si>
    <t>130 Shield Street</t>
  </si>
  <si>
    <t>5000-47</t>
  </si>
  <si>
    <t>outfall S-1 ( near maintenance)</t>
  </si>
  <si>
    <t>outfall S-2( admin parking lot)</t>
  </si>
  <si>
    <t>outfall S-2 ( admin parking lot)</t>
  </si>
  <si>
    <t>UPS Cartage Services-CTWLO</t>
  </si>
  <si>
    <t>Chlorine (mg/L)</t>
  </si>
  <si>
    <t>002618</t>
  </si>
  <si>
    <t>000478</t>
  </si>
  <si>
    <t>Oldcastle Precast Inc</t>
  </si>
  <si>
    <t>Rotondo Avon Div</t>
  </si>
  <si>
    <t>Dean's Auto Recycling</t>
  </si>
  <si>
    <t>001444</t>
  </si>
  <si>
    <t>Center of yard</t>
  </si>
  <si>
    <t>Fusco's Auto Salvage Inc. CTL No. 16754</t>
  </si>
  <si>
    <t>DSN-01 41.60769N, -73.07514 W Swale</t>
  </si>
  <si>
    <t>Arite Used Auto Parts, Inc.</t>
  </si>
  <si>
    <t>Pequabuck River, Farmington River Basin</t>
  </si>
  <si>
    <t>Fowler's Auto Wrecking, Inc., CTL No. 4050</t>
  </si>
  <si>
    <t xml:space="preserve">4709-04-02-R1 </t>
  </si>
  <si>
    <t>W -72.51637, N 41.55992</t>
  </si>
  <si>
    <t>SW #2 discharge</t>
  </si>
  <si>
    <t>Ike's Autobody Inc.</t>
  </si>
  <si>
    <t>Ike's Auto Body Inc., salvage yard</t>
  </si>
  <si>
    <t>000993</t>
  </si>
  <si>
    <t>s.w. stormbasin</t>
  </si>
  <si>
    <t>ELG UTICA ALLOYS (Hartford), Inc.</t>
  </si>
  <si>
    <t>ELG Utica Alloys</t>
  </si>
  <si>
    <t>Unnamed swale leading to CT river, CT River basin</t>
  </si>
  <si>
    <t>Unnamed swale discharging to CT river, CT River basin</t>
  </si>
  <si>
    <t>ROS-1 Semi- annual</t>
  </si>
  <si>
    <t>Maine Plastics, Inc.</t>
  </si>
  <si>
    <t>002610</t>
  </si>
  <si>
    <t>002622</t>
  </si>
  <si>
    <t>365 Thomaston Ave, Waterbury, CT</t>
  </si>
  <si>
    <t>Metal Management Aerospace, Inc.</t>
  </si>
  <si>
    <t>Town drainage system</t>
  </si>
  <si>
    <t>ROS-1 (quarterly)</t>
  </si>
  <si>
    <t>CTL No. 14083</t>
  </si>
  <si>
    <t>SMM New England Corp.</t>
  </si>
  <si>
    <t>Danbury Resource Management</t>
  </si>
  <si>
    <t>002540</t>
  </si>
  <si>
    <t>Outfall #3- Fuel Oil UST Area</t>
  </si>
  <si>
    <t>Town Garage outflows</t>
  </si>
  <si>
    <t>38 Maple St.</t>
  </si>
  <si>
    <t>D2</t>
  </si>
  <si>
    <t>Public works</t>
  </si>
  <si>
    <t>public works</t>
  </si>
  <si>
    <t>Public works facillity</t>
  </si>
  <si>
    <t>Public works facility</t>
  </si>
  <si>
    <t>002365</t>
  </si>
  <si>
    <t>Town of Harwinton</t>
  </si>
  <si>
    <t>CT Military Department/ CT ARNG</t>
  </si>
  <si>
    <t>AVCRAD (a.k.a TASMG)</t>
  </si>
  <si>
    <t>Town Garage Outfall #1</t>
  </si>
  <si>
    <t>Town Garage Outfall #2</t>
  </si>
  <si>
    <t>Army Aviation Support Facility (AASF)</t>
  </si>
  <si>
    <t>SP-3</t>
  </si>
  <si>
    <t>Montville Public Works Facility</t>
  </si>
  <si>
    <t>002589</t>
  </si>
  <si>
    <t>Outfall 2 (WH DPW-2)</t>
  </si>
  <si>
    <t>Wetlands, Little Dam Tavern Brook</t>
  </si>
  <si>
    <t>DPW-01</t>
  </si>
  <si>
    <t>001448</t>
  </si>
  <si>
    <t>DPW-02</t>
  </si>
  <si>
    <t>Town of Sherman</t>
  </si>
  <si>
    <t>Morissey Brook/ Housatonic Basin</t>
  </si>
  <si>
    <t>002161</t>
  </si>
  <si>
    <t>Unnamed wetland- Hop River Watershed</t>
  </si>
  <si>
    <t>Kendall Brook, Farmington River Drainage Basin</t>
  </si>
  <si>
    <t>Public works HW garage 001</t>
  </si>
  <si>
    <t>Public works HW garage 002</t>
  </si>
  <si>
    <t>Town of Mansfield</t>
  </si>
  <si>
    <t>Mansfield Town Garage</t>
  </si>
  <si>
    <t>078</t>
  </si>
  <si>
    <t>Schoolhouse Brook</t>
  </si>
  <si>
    <t>000558</t>
  </si>
  <si>
    <t>Garage storm discharge- side</t>
  </si>
  <si>
    <t>Garage storm- rear</t>
  </si>
  <si>
    <t>Winchester Public Works Garage</t>
  </si>
  <si>
    <t>41.36723N, -73.08768, DSN-02</t>
  </si>
  <si>
    <t>Town of Rocky Hill Municipal Garage</t>
  </si>
  <si>
    <t>#1 By trucks</t>
  </si>
  <si>
    <t>#2 by gas pumps</t>
  </si>
  <si>
    <t>#3 by salt shack</t>
  </si>
  <si>
    <t>Catch basin #17</t>
  </si>
  <si>
    <t>Neyra Industries Inc</t>
  </si>
  <si>
    <t>Runoff Pit</t>
  </si>
  <si>
    <t>O &amp; G Industries, Inc</t>
  </si>
  <si>
    <t>2000*07</t>
  </si>
  <si>
    <t>Outlet AE83459 Discharge</t>
  </si>
  <si>
    <t>Staitsville Brook</t>
  </si>
  <si>
    <t>Oxford Facility</t>
  </si>
  <si>
    <t>Nickelmine Brook</t>
  </si>
  <si>
    <t>Outfall No.3</t>
  </si>
  <si>
    <t>Town of Roxbury</t>
  </si>
  <si>
    <t>Roxbury Landfill</t>
  </si>
  <si>
    <t>120</t>
  </si>
  <si>
    <t>Shepaug River Basin</t>
  </si>
  <si>
    <t>000868</t>
  </si>
  <si>
    <t>Outfall #1 - Drainage Swale</t>
  </si>
  <si>
    <t>Salmon River, Framington River Drainage Basin</t>
  </si>
  <si>
    <t>City of Stamford's Scofieldtown Transfer Station</t>
  </si>
  <si>
    <t>Rock Rimmon Road</t>
  </si>
  <si>
    <t>002505</t>
  </si>
  <si>
    <t>4.000-08-01</t>
  </si>
  <si>
    <t>6900-00-4-R3</t>
  </si>
  <si>
    <t>6900-004-R13</t>
  </si>
  <si>
    <t>Town of Litchfield</t>
  </si>
  <si>
    <t>Recycling Center (Upper)</t>
  </si>
  <si>
    <t>Bantam River/Shepaug Regional Basin</t>
  </si>
  <si>
    <t>Recycling Center (Lower)</t>
  </si>
  <si>
    <t>Unamed Tributary to Wetlands of Deep River</t>
  </si>
  <si>
    <t>0139</t>
  </si>
  <si>
    <t>Stoney Brook (Connecticut River Basin)</t>
  </si>
  <si>
    <t>Clark Brook, Harbor Brook Basin</t>
  </si>
  <si>
    <t>001088</t>
  </si>
  <si>
    <t>Town of Barkhamsted</t>
  </si>
  <si>
    <t>Barkhamsted DPW (Highway Garage)</t>
  </si>
  <si>
    <t>Unnamed Tributary of W. Branch Farmington River</t>
  </si>
  <si>
    <t>4300-09</t>
  </si>
  <si>
    <t>001609</t>
  </si>
  <si>
    <t>4797-13-1</t>
  </si>
  <si>
    <t>4.708-04-01</t>
  </si>
  <si>
    <t>Departmetn of Public Works</t>
  </si>
  <si>
    <t>Town of Montville WWTP</t>
  </si>
  <si>
    <t>Thames River/Horton's Cove</t>
  </si>
  <si>
    <t>North Brandford PWG/CTL No. 16692</t>
  </si>
  <si>
    <t>Unnamed Tibutary of Paulk Hill Brook</t>
  </si>
  <si>
    <t>Unnamed Tributary of Cattle Lot Brook</t>
  </si>
  <si>
    <t>Public Works Faciltiy</t>
  </si>
  <si>
    <t>Unnamned Tributary to Wetlands of Blackledge River</t>
  </si>
  <si>
    <t>4.707-13-1</t>
  </si>
  <si>
    <t>East Branch Eight Mile River Watershed</t>
  </si>
  <si>
    <t>Public Works Deparment</t>
  </si>
  <si>
    <t>Bethlehem Public Works Department</t>
  </si>
  <si>
    <t>Public Works Lot</t>
  </si>
  <si>
    <t>Catch Basin Near Basketball Court</t>
  </si>
  <si>
    <t>001299</t>
  </si>
  <si>
    <t>Catch Basin Near Ball Fields</t>
  </si>
  <si>
    <t>3206-06</t>
  </si>
  <si>
    <t>Back/Front</t>
  </si>
  <si>
    <t>Front/Back</t>
  </si>
  <si>
    <t>Front/Rear</t>
  </si>
  <si>
    <t>4321-00 1</t>
  </si>
  <si>
    <t>Litchfield Highway Garage</t>
  </si>
  <si>
    <t>Ground Products 1</t>
  </si>
  <si>
    <t>001871</t>
  </si>
  <si>
    <t>Ground Products 2</t>
  </si>
  <si>
    <t>WPCF-03</t>
  </si>
  <si>
    <t>001992</t>
  </si>
  <si>
    <t>DPW-03</t>
  </si>
  <si>
    <t>Site Regraded - No Outfall</t>
  </si>
  <si>
    <t>4315-00</t>
  </si>
  <si>
    <t>&gt;5</t>
  </si>
  <si>
    <t>DSN 02</t>
  </si>
  <si>
    <t>Windted Precision Ball</t>
  </si>
  <si>
    <t>Reservoir Brook</t>
  </si>
  <si>
    <t>002647</t>
  </si>
  <si>
    <t>DPW North</t>
  </si>
  <si>
    <t>DPW South</t>
  </si>
  <si>
    <t>001717</t>
  </si>
  <si>
    <t xml:space="preserve">Bonsal American </t>
  </si>
  <si>
    <t>site #1</t>
  </si>
  <si>
    <t>site #2</t>
  </si>
  <si>
    <t>HP Hood LLC</t>
  </si>
  <si>
    <t>South Windsor, CT</t>
  </si>
  <si>
    <t>Newberry Brook/ MS4</t>
  </si>
  <si>
    <t>NW Monitoring Point No. 1</t>
  </si>
  <si>
    <t>Farmington River Power Company</t>
  </si>
  <si>
    <t>002263</t>
  </si>
  <si>
    <t>D-001 (AEL13001580)</t>
  </si>
  <si>
    <t>D-002 (AEL13001581)</t>
  </si>
  <si>
    <t>CT6919-00 01</t>
  </si>
  <si>
    <t>002254</t>
  </si>
  <si>
    <t>LCD Lighting, Inc</t>
  </si>
  <si>
    <t>Superior Printing InkCo., Inc.</t>
  </si>
  <si>
    <t>002286</t>
  </si>
  <si>
    <t>Bantam Supply Co. Inc.</t>
  </si>
  <si>
    <t xml:space="preserve">99 Lake Rd. </t>
  </si>
  <si>
    <t>Branford WPTF</t>
  </si>
  <si>
    <t>Branford Harbor</t>
  </si>
  <si>
    <t>002238</t>
  </si>
  <si>
    <t>Boudreau's Welding CO Inc</t>
  </si>
  <si>
    <t>002228</t>
  </si>
  <si>
    <t>1029 N. Main St. (E303858)</t>
  </si>
  <si>
    <t>Immediately upstream of Outfall 001</t>
  </si>
  <si>
    <t>DeGrayes Brook, CT River</t>
  </si>
  <si>
    <t>494 Main ST- Plant 2</t>
  </si>
  <si>
    <t>ABF Freight System</t>
  </si>
  <si>
    <t>Stratford</t>
  </si>
  <si>
    <t>D-001 (AEL12005075)</t>
  </si>
  <si>
    <t>D-002 (AEL12005076)</t>
  </si>
  <si>
    <t>Manhole 43 on David Street, Waterbury, CT</t>
  </si>
  <si>
    <t>D-001 (AEL12002561)</t>
  </si>
  <si>
    <t>D-002 (AEL12002562)</t>
  </si>
  <si>
    <t>Stillwater</t>
  </si>
  <si>
    <t>Shepaug Regional Basin</t>
  </si>
  <si>
    <t>LF- 1</t>
  </si>
  <si>
    <t>&gt; 72 hours</t>
  </si>
  <si>
    <t>LF- 2</t>
  </si>
  <si>
    <t>40 Meadow Street</t>
  </si>
  <si>
    <t>Fowler's Auto Wrecking, Inc. CTL No. 8385</t>
  </si>
  <si>
    <t>001247</t>
  </si>
  <si>
    <t>Public Works Center</t>
  </si>
  <si>
    <t>Recycling center</t>
  </si>
  <si>
    <t>001464</t>
  </si>
  <si>
    <t>#1 by trucks</t>
  </si>
  <si>
    <t>Highway garage, DPW</t>
  </si>
  <si>
    <t xml:space="preserve">Freshwater brook </t>
  </si>
  <si>
    <t>East Aspetuck River Drainage basin</t>
  </si>
  <si>
    <t>storm drain near skating pond</t>
  </si>
  <si>
    <t>storm drain near salt shed</t>
  </si>
  <si>
    <t>Town of Pomfret</t>
  </si>
  <si>
    <t>Town garage</t>
  </si>
  <si>
    <t>Lower basin in paved lot</t>
  </si>
  <si>
    <t>000840</t>
  </si>
  <si>
    <t>624 Mashamoquet</t>
  </si>
  <si>
    <t>Colebrook Town Garage</t>
  </si>
  <si>
    <t>002521</t>
  </si>
  <si>
    <t>Chesire Public Works Garage</t>
  </si>
  <si>
    <t>unnamed tributary of Ten Mile River, Quinnipiac River</t>
  </si>
  <si>
    <t>Public works and transfer station</t>
  </si>
  <si>
    <t>Shepaug Regional Basin, Shepaug River</t>
  </si>
  <si>
    <t>001171</t>
  </si>
  <si>
    <t>Menunketesuck River/ Watershed</t>
  </si>
  <si>
    <t>N41.53716, W73.08793</t>
  </si>
  <si>
    <t>Highway #2</t>
  </si>
  <si>
    <t>Catch basin- outfall 001</t>
  </si>
  <si>
    <t>River outfall 002</t>
  </si>
  <si>
    <t>Behind sand spreaders</t>
  </si>
  <si>
    <t>Sand spreaders</t>
  </si>
  <si>
    <t>Corner drain</t>
  </si>
  <si>
    <t>Public works garage</t>
  </si>
  <si>
    <t>Town of Newtown</t>
  </si>
  <si>
    <t>001820</t>
  </si>
  <si>
    <t>Outlet 1</t>
  </si>
  <si>
    <t>Outlet 2</t>
  </si>
  <si>
    <t>Outlet 3</t>
  </si>
  <si>
    <t>Outlet 4</t>
  </si>
  <si>
    <t>Quinebaug River/ Thames Basin</t>
  </si>
  <si>
    <t>WPCA 1 CENT BLD</t>
  </si>
  <si>
    <t>WPCA 2 CI BLD</t>
  </si>
  <si>
    <t xml:space="preserve">Enfield Municipal Transfer Station </t>
  </si>
  <si>
    <t>41.36474N, -73.08921W, DSN-5</t>
  </si>
  <si>
    <t>43.36761 N, -73.08676 W DSN-01</t>
  </si>
  <si>
    <t>DSN-02/TL No. 7998</t>
  </si>
  <si>
    <t>Town of East Windosr</t>
  </si>
  <si>
    <t>Outfall 1 (EW- PWG- 1)</t>
  </si>
  <si>
    <t>Bruce and Johnsons Marina</t>
  </si>
  <si>
    <t>Main Yard 06</t>
  </si>
  <si>
    <t>Main Yard 01</t>
  </si>
  <si>
    <t>West Yard 01</t>
  </si>
  <si>
    <t>Milford Boat Works BC# 160333</t>
  </si>
  <si>
    <t>MBW#2</t>
  </si>
  <si>
    <t>Milford Boat Works BC#160332</t>
  </si>
  <si>
    <t>MBW#1</t>
  </si>
  <si>
    <t>Outfall # 1</t>
  </si>
  <si>
    <t>New Haven Facilities</t>
  </si>
  <si>
    <t>3731 &amp; 3732</t>
  </si>
  <si>
    <t>BLDG 174 CB C759 (Outfall 17)</t>
  </si>
  <si>
    <t>BLDG 88 CB C530 (Outfall 22A)</t>
  </si>
  <si>
    <t>Hocakanum River</t>
  </si>
  <si>
    <t>V-2 Transfer Station</t>
  </si>
  <si>
    <t>R.E.D. Technologies, LLC</t>
  </si>
  <si>
    <t>Yard</t>
  </si>
  <si>
    <t>002581</t>
  </si>
  <si>
    <t>Outfall 01</t>
  </si>
  <si>
    <t>Outfall 02</t>
  </si>
  <si>
    <t>SUBASE New London</t>
  </si>
  <si>
    <t>Naval Base New London</t>
  </si>
  <si>
    <t>Outfall 35</t>
  </si>
  <si>
    <t>Town of East Lyme</t>
  </si>
  <si>
    <t>Transfer Station - Upper Outlet</t>
  </si>
  <si>
    <t>000887</t>
  </si>
  <si>
    <t>Transfer Station - Lower Outlet</t>
  </si>
  <si>
    <t>City of Norwich</t>
  </si>
  <si>
    <t>Norwich Transfer Station</t>
  </si>
  <si>
    <t>3900-00</t>
  </si>
  <si>
    <t>000645</t>
  </si>
  <si>
    <t>Channel</t>
  </si>
  <si>
    <t>Pipe</t>
  </si>
  <si>
    <t>S. Discharge Transfer Station, Drive</t>
  </si>
  <si>
    <t>Corning Road Landfill</t>
  </si>
  <si>
    <t>Poquetanuck Brook</t>
  </si>
  <si>
    <t>3003-03</t>
  </si>
  <si>
    <t>000641</t>
  </si>
  <si>
    <t>Corning Landfill - #2</t>
  </si>
  <si>
    <t>Outfall 5 - Swale</t>
  </si>
  <si>
    <t>Outfall 6 - Catch Basin</t>
  </si>
  <si>
    <t>Thomaston Transfer Station</t>
  </si>
  <si>
    <t>DSN001 Open Channel at Branch Brook</t>
  </si>
  <si>
    <t>001530</t>
  </si>
  <si>
    <t>Town of Monroe</t>
  </si>
  <si>
    <t>Town of Monroe Public Works</t>
  </si>
  <si>
    <t>7105-00</t>
  </si>
  <si>
    <t>001089</t>
  </si>
  <si>
    <t>SITE 1 (BF43545)</t>
  </si>
  <si>
    <t>SITE 2 (BF43546)</t>
  </si>
  <si>
    <t>SITE 3 (BF43547)</t>
  </si>
  <si>
    <t>Town of Burlington</t>
  </si>
  <si>
    <t>020</t>
  </si>
  <si>
    <t>Burlington River, Farmington River Basin</t>
  </si>
  <si>
    <t>001277</t>
  </si>
  <si>
    <t>Town of Westpot</t>
  </si>
  <si>
    <t>DSN-1</t>
  </si>
  <si>
    <t>DSN-2</t>
  </si>
  <si>
    <t>4500-00 4b</t>
  </si>
  <si>
    <t>V-1 DPW Building</t>
  </si>
  <si>
    <t>Outfall 36</t>
  </si>
  <si>
    <t>Town Garage Roxbury Rd</t>
  </si>
  <si>
    <t>Pattagansett River Basin</t>
  </si>
  <si>
    <t>001604</t>
  </si>
  <si>
    <t>001260</t>
  </si>
  <si>
    <t>Public Works HQ</t>
  </si>
  <si>
    <t>Birch Point Creek</t>
  </si>
  <si>
    <t>Wetlands Tributary to Qunnipiac River</t>
  </si>
  <si>
    <t>Thames Rvier</t>
  </si>
  <si>
    <t>CH2M Hill OMI</t>
  </si>
  <si>
    <t>001829</t>
  </si>
  <si>
    <t>Yard Grit Separator</t>
  </si>
  <si>
    <t>Global Companies, LLC</t>
  </si>
  <si>
    <t>5207-00-2</t>
  </si>
  <si>
    <t>Paramount Stone</t>
  </si>
  <si>
    <t>Parking lot basin</t>
  </si>
  <si>
    <t>001996</t>
  </si>
  <si>
    <t>Hatching house brook</t>
  </si>
  <si>
    <t>Town of Fairlfield</t>
  </si>
  <si>
    <t>&gt;72hrs</t>
  </si>
  <si>
    <t>6000-90-1</t>
  </si>
  <si>
    <t>6000-87-1</t>
  </si>
  <si>
    <t>South property</t>
  </si>
  <si>
    <t>4300-00-4</t>
  </si>
  <si>
    <t>Simoniz USA, Inc.</t>
  </si>
  <si>
    <t>4500-11</t>
  </si>
  <si>
    <t>002095</t>
  </si>
  <si>
    <t>Retention Pond</t>
  </si>
  <si>
    <t>GKN Aerospace Newington, LLC</t>
  </si>
  <si>
    <t>Rockhound Brook</t>
  </si>
  <si>
    <t>002033</t>
  </si>
  <si>
    <t>French River Materials</t>
  </si>
  <si>
    <t>Thompson Rail (E308859)</t>
  </si>
  <si>
    <t>C &amp; S Wholesale Grocers, Inc.</t>
  </si>
  <si>
    <t>C &amp; S Wholesale Grocers, Inc. Windsor Locks</t>
  </si>
  <si>
    <t>4100-15-1</t>
  </si>
  <si>
    <t>002060</t>
  </si>
  <si>
    <t>002083</t>
  </si>
  <si>
    <t>J.F. Fredericks Tool Co. Inc.</t>
  </si>
  <si>
    <t>002087</t>
  </si>
  <si>
    <t>Rear parking lot</t>
  </si>
  <si>
    <t>7000-04</t>
  </si>
  <si>
    <t>4004-05-1</t>
  </si>
  <si>
    <t>6900-00-4</t>
  </si>
  <si>
    <t>4200-00-4</t>
  </si>
  <si>
    <t>Pharmco-AAPER</t>
  </si>
  <si>
    <t>Pharmco</t>
  </si>
  <si>
    <t>002143</t>
  </si>
  <si>
    <t>GKN Aerospace Manchester</t>
  </si>
  <si>
    <t>Hunter's Ambulance</t>
  </si>
  <si>
    <t>Hunter's Ambulance, Building #3</t>
  </si>
  <si>
    <t>002124</t>
  </si>
  <si>
    <t>Furthest North basin</t>
  </si>
  <si>
    <t>Hunter's Ambulance, Base 5 Berlin</t>
  </si>
  <si>
    <t>002125</t>
  </si>
  <si>
    <t>0.11/</t>
  </si>
  <si>
    <t>Storm drain/ Stony Brook</t>
  </si>
  <si>
    <t>SB81099-01</t>
  </si>
  <si>
    <t>Airgas Merchant Gases, LLC</t>
  </si>
  <si>
    <t>Yantz River</t>
  </si>
  <si>
    <t>002198</t>
  </si>
  <si>
    <t>4000-21</t>
  </si>
  <si>
    <t>Front monitoring point #1</t>
  </si>
  <si>
    <t>Front monitoring point #2</t>
  </si>
  <si>
    <t>EDAC AERO, Richard Street</t>
  </si>
  <si>
    <t>EDAC Technologies Corporation, Holland Drive</t>
  </si>
  <si>
    <t>Newington MS4 System</t>
  </si>
  <si>
    <t>Marmon Utility, LLC</t>
  </si>
  <si>
    <t>Blandens River</t>
  </si>
  <si>
    <t>Allnex USA, Inc.</t>
  </si>
  <si>
    <t>Allnex USA, Inc. Wallingford Site</t>
  </si>
  <si>
    <t>EBL Products, Inc.</t>
  </si>
  <si>
    <t>East Hartford storm sewer system</t>
  </si>
  <si>
    <t>002391</t>
  </si>
  <si>
    <t>4000-00-4</t>
  </si>
  <si>
    <t>Faria Ltd./ Sheffield Pharmaceuticals</t>
  </si>
  <si>
    <t>Sheffield Pharmaceuticals</t>
  </si>
  <si>
    <t>170 Broad St. (E309A84)</t>
  </si>
  <si>
    <t>CB- 5</t>
  </si>
  <si>
    <t>SW</t>
  </si>
  <si>
    <t>3000-06</t>
  </si>
  <si>
    <t>3000-07</t>
  </si>
  <si>
    <t>3000-08</t>
  </si>
  <si>
    <t>002295</t>
  </si>
  <si>
    <t>076</t>
  </si>
  <si>
    <t>3000-09</t>
  </si>
  <si>
    <t>002296</t>
  </si>
  <si>
    <t>Main catch basin</t>
  </si>
  <si>
    <t>002264</t>
  </si>
  <si>
    <t xml:space="preserve">Boudreau's Welding CO, Inc. </t>
  </si>
  <si>
    <t>Dayville Brook</t>
  </si>
  <si>
    <t>1029 N. Main Street (E311L59)</t>
  </si>
  <si>
    <t>Keystone Paper &amp; Box Co, Inc.</t>
  </si>
  <si>
    <t>4000</t>
  </si>
  <si>
    <t>Poutfall 001</t>
  </si>
  <si>
    <t>4602-00-2</t>
  </si>
  <si>
    <t>Detention Pond #2</t>
  </si>
  <si>
    <t>Onsite retention pond</t>
  </si>
  <si>
    <t>Nutmeg Container Corporation</t>
  </si>
  <si>
    <t>MS4 system</t>
  </si>
  <si>
    <t>002406</t>
  </si>
  <si>
    <t>25</t>
  </si>
  <si>
    <t>002409</t>
  </si>
  <si>
    <t>4004-04</t>
  </si>
  <si>
    <t>&gt; 3 days</t>
  </si>
  <si>
    <t xml:space="preserve">Greenleaf Biofuels, LLC. </t>
  </si>
  <si>
    <t>Greenleaf Biofuels, LLC. ; New Haven Plant</t>
  </si>
  <si>
    <t>002550</t>
  </si>
  <si>
    <t>3110003-01</t>
  </si>
  <si>
    <t>STA- Griswold</t>
  </si>
  <si>
    <t>002563</t>
  </si>
  <si>
    <t>STA- Naugatuck</t>
  </si>
  <si>
    <t>002569</t>
  </si>
  <si>
    <t>STA- Guilford</t>
  </si>
  <si>
    <t>002566</t>
  </si>
  <si>
    <t>STA- Region 17</t>
  </si>
  <si>
    <t xml:space="preserve">Higganum Creek </t>
  </si>
  <si>
    <t>002567</t>
  </si>
  <si>
    <t>STA- Danbury</t>
  </si>
  <si>
    <t>002564</t>
  </si>
  <si>
    <t>STA- Groton</t>
  </si>
  <si>
    <t>2000-26</t>
  </si>
  <si>
    <t>002562</t>
  </si>
  <si>
    <t>STA- Stamford</t>
  </si>
  <si>
    <t>7000-42</t>
  </si>
  <si>
    <t>STA- Ledyard</t>
  </si>
  <si>
    <t>002568</t>
  </si>
  <si>
    <t>STA- Wilton</t>
  </si>
  <si>
    <t>Comstock Brook</t>
  </si>
  <si>
    <t>002558</t>
  </si>
  <si>
    <t>Associated Spring Corporation</t>
  </si>
  <si>
    <t>002549</t>
  </si>
  <si>
    <t>Simoniz USA, Inc., Rocky Hill</t>
  </si>
  <si>
    <t>Dividend Brook</t>
  </si>
  <si>
    <t>002587</t>
  </si>
  <si>
    <t>Post Road Iron Works, Inc.</t>
  </si>
  <si>
    <t xml:space="preserve">Post Road Iron Works, Inc., Greenwich </t>
  </si>
  <si>
    <t>Horseneck Brook</t>
  </si>
  <si>
    <t>002524</t>
  </si>
  <si>
    <t>Habco Industries, LLC.</t>
  </si>
  <si>
    <t>MS</t>
  </si>
  <si>
    <t>4007-00-1</t>
  </si>
  <si>
    <t>002597</t>
  </si>
  <si>
    <t>Outfall #1 yard 2</t>
  </si>
  <si>
    <t xml:space="preserve">Eppendorf Manufacturing Corporation </t>
  </si>
  <si>
    <t>4003-03</t>
  </si>
  <si>
    <t>002555</t>
  </si>
  <si>
    <t>EDAC Technologies Corporation, Knotter Dr</t>
  </si>
  <si>
    <t>002535</t>
  </si>
  <si>
    <t>6912-08-1</t>
  </si>
  <si>
    <t>Depot Place Terminal, Inc.</t>
  </si>
  <si>
    <t>002552</t>
  </si>
  <si>
    <t>Catchbasin #1</t>
  </si>
  <si>
    <t>Catchbasin #2</t>
  </si>
  <si>
    <t>Satin America, LLC.</t>
  </si>
  <si>
    <t>002510</t>
  </si>
  <si>
    <t>Peening Technologies Equipment, LLC.</t>
  </si>
  <si>
    <t>Burnham Brook</t>
  </si>
  <si>
    <t>002640</t>
  </si>
  <si>
    <t>5200-00-4</t>
  </si>
  <si>
    <t>002620</t>
  </si>
  <si>
    <t>Stream storm drain</t>
  </si>
  <si>
    <t>road storm drain</t>
  </si>
  <si>
    <t>Sprague Operating Resources, LLC, Bridgeport</t>
  </si>
  <si>
    <t>002644</t>
  </si>
  <si>
    <t>Canal Street Harbor Square, LLC</t>
  </si>
  <si>
    <t>East branch of Stamford Harbor</t>
  </si>
  <si>
    <t>002623</t>
  </si>
  <si>
    <t>5000-38</t>
  </si>
  <si>
    <t>Portland WPCF</t>
  </si>
  <si>
    <t>WPCF- 3 lower Main St.</t>
  </si>
  <si>
    <t>East branch canal to LIS</t>
  </si>
  <si>
    <t>Outfall DS-2</t>
  </si>
  <si>
    <t>Outfall DS-3</t>
  </si>
  <si>
    <t>Outfall DS-4</t>
  </si>
  <si>
    <t>Republic Foil, Inc.</t>
  </si>
  <si>
    <t>6600-00-4</t>
  </si>
  <si>
    <t>000333</t>
  </si>
  <si>
    <t>RF031002</t>
  </si>
  <si>
    <t>CB-125</t>
  </si>
  <si>
    <t>RD-1</t>
  </si>
  <si>
    <t>4017-01-1</t>
  </si>
  <si>
    <t>PSEG Power Connecticut, LLC.</t>
  </si>
  <si>
    <t>000552</t>
  </si>
  <si>
    <t>Taylor &amp; Fenn Company</t>
  </si>
  <si>
    <t>East Yard</t>
  </si>
  <si>
    <t>&gt;2005</t>
  </si>
  <si>
    <t>&gt;24196</t>
  </si>
  <si>
    <t>3353, 3355, 3398</t>
  </si>
  <si>
    <t>&gt; 1 week</t>
  </si>
  <si>
    <t>&gt; 24196</t>
  </si>
  <si>
    <t>Winter Bros. Transfer Station of CT, LLC</t>
  </si>
  <si>
    <t>002531</t>
  </si>
  <si>
    <t>Bldg 535-CB775 (outfall 006)</t>
  </si>
  <si>
    <t>Bldg 602-CB C774-1 (outfall 007)</t>
  </si>
  <si>
    <t>ARDM-4 CB C764 (Outfall 15)</t>
  </si>
  <si>
    <t>Bldg 174 CB C759 (outfall 17)</t>
  </si>
  <si>
    <t>Bldg 88 CB C530 (Outfall 22A)</t>
  </si>
  <si>
    <t>Wynman- Gordon Investment</t>
  </si>
  <si>
    <t>PCC Structurals</t>
  </si>
  <si>
    <t>2000-26-1</t>
  </si>
  <si>
    <t>000387</t>
  </si>
  <si>
    <t>6900-00-2</t>
  </si>
  <si>
    <t>5208-00-3</t>
  </si>
  <si>
    <t>219 Elm Street Thomaston</t>
  </si>
  <si>
    <t>Location #2</t>
  </si>
  <si>
    <t>Housatonic Area Regional Transit</t>
  </si>
  <si>
    <t>Still River Basin drain</t>
  </si>
  <si>
    <t>001040</t>
  </si>
  <si>
    <t>Beacon Industries, Inc.</t>
  </si>
  <si>
    <t>11-026</t>
  </si>
  <si>
    <t>Gilman Brothers Company</t>
  </si>
  <si>
    <t>001046</t>
  </si>
  <si>
    <t>Storm water outfall south side</t>
  </si>
  <si>
    <t>5206-01</t>
  </si>
  <si>
    <t>CTL/ 17800</t>
  </si>
  <si>
    <t>Roof drain north</t>
  </si>
  <si>
    <t>Roof drain south</t>
  </si>
  <si>
    <t>Cray Valley USA, LLC BC# 159049</t>
  </si>
  <si>
    <t>4321-00-1</t>
  </si>
  <si>
    <t>4600-00-3</t>
  </si>
  <si>
    <t>5901-01</t>
  </si>
  <si>
    <t>Jacobs Vehicle Systems</t>
  </si>
  <si>
    <t>Tributary to Mill Brook</t>
  </si>
  <si>
    <t>National Sintered Alloy</t>
  </si>
  <si>
    <t>Unnamed Stream to LIS</t>
  </si>
  <si>
    <t>000605</t>
  </si>
  <si>
    <t>Amgraph packaging</t>
  </si>
  <si>
    <t>US Button Corp</t>
  </si>
  <si>
    <t>SWD-005</t>
  </si>
  <si>
    <t>6000-75-1</t>
  </si>
  <si>
    <t>4030215-01</t>
  </si>
  <si>
    <t>Styron, LLC</t>
  </si>
  <si>
    <t>Thames RIver</t>
  </si>
  <si>
    <t>7102-00-1</t>
  </si>
  <si>
    <t>Outfall-2 (back parking)</t>
  </si>
  <si>
    <t>UEC- Building #5</t>
  </si>
  <si>
    <t>UEC- Building #2</t>
  </si>
  <si>
    <t>Detention pond outlet (E403L58)</t>
  </si>
  <si>
    <t>5000-48-1</t>
  </si>
  <si>
    <t>3900-00-4</t>
  </si>
  <si>
    <t>5306-04</t>
  </si>
  <si>
    <t>6920-00-1</t>
  </si>
  <si>
    <t>outfall S-2 Admin</t>
  </si>
  <si>
    <t>DATTCO, South Windsor</t>
  </si>
  <si>
    <t>002615</t>
  </si>
  <si>
    <t>DATTCO, Thermo King Northeast</t>
  </si>
  <si>
    <t>4030365-01</t>
  </si>
  <si>
    <t>Kof Kof Feed Mill</t>
  </si>
  <si>
    <t>Susquetsoncut</t>
  </si>
  <si>
    <t>001580</t>
  </si>
  <si>
    <t>Outfall #1 Warehouse</t>
  </si>
  <si>
    <t>Outfall #2 Warehouse</t>
  </si>
  <si>
    <t xml:space="preserve">Orafol Americas Inc. </t>
  </si>
  <si>
    <t>Jawbuck Brook/ Freshwater Brook</t>
  </si>
  <si>
    <t>SF-2</t>
  </si>
  <si>
    <t>004- Upper lot Outfall</t>
  </si>
  <si>
    <t>Bollore Inc.</t>
  </si>
  <si>
    <t>002601</t>
  </si>
  <si>
    <t>Outfall #1 North (E404639-1)</t>
  </si>
  <si>
    <t>Outfall #2 South (E404639-3)</t>
  </si>
  <si>
    <t>First Student-#26000</t>
  </si>
  <si>
    <t>Washington Concrete Products; 4900</t>
  </si>
  <si>
    <t>Washington Concrete Products; 4899</t>
  </si>
  <si>
    <t>Noank Marine Services</t>
  </si>
  <si>
    <t>Beebe Cove</t>
  </si>
  <si>
    <t>002229</t>
  </si>
  <si>
    <t xml:space="preserve">55 Spicer Ave </t>
  </si>
  <si>
    <t xml:space="preserve">Coastwise Boatworks </t>
  </si>
  <si>
    <t>Storm drain #2</t>
  </si>
  <si>
    <t>Ansonia WPCF</t>
  </si>
  <si>
    <t>Ansonia Public Works</t>
  </si>
  <si>
    <t>Naugatuck regional basin</t>
  </si>
  <si>
    <t>001101</t>
  </si>
  <si>
    <t>Hanna Paper Recycling, Inc.</t>
  </si>
  <si>
    <t>5200-13</t>
  </si>
  <si>
    <t>Sulzer Pumps</t>
  </si>
  <si>
    <t>Drain 1</t>
  </si>
  <si>
    <t>Drain 2</t>
  </si>
  <si>
    <t>Hubbard Creek; Connecticut River</t>
  </si>
  <si>
    <t>SWD-3 Front Enterance</t>
  </si>
  <si>
    <t>3700-23</t>
  </si>
  <si>
    <t>Thompson Rail (E311L58)</t>
  </si>
  <si>
    <t>4004-00</t>
  </si>
  <si>
    <t>6600-00-3</t>
  </si>
  <si>
    <t>70 Beaver Street</t>
  </si>
  <si>
    <t>DSN 0001</t>
  </si>
  <si>
    <t>4404-09-1</t>
  </si>
  <si>
    <t>Delta Industries (Delaware) Limited Partnership</t>
  </si>
  <si>
    <t>002649</t>
  </si>
  <si>
    <t>000344</t>
  </si>
  <si>
    <t>000371</t>
  </si>
  <si>
    <t>4004-05</t>
  </si>
  <si>
    <t>4303-01-1</t>
  </si>
  <si>
    <t>002/ 001</t>
  </si>
  <si>
    <t>4500-00</t>
  </si>
  <si>
    <t>CTL/ 5044</t>
  </si>
  <si>
    <t>5111-09-2</t>
  </si>
  <si>
    <t>5000-47-1</t>
  </si>
  <si>
    <t>POTW</t>
  </si>
  <si>
    <t>4100-11-1</t>
  </si>
  <si>
    <t>5306-00-2</t>
  </si>
  <si>
    <t>7000-42-1</t>
  </si>
  <si>
    <t xml:space="preserve">Hugo Neu Recycling, LLC </t>
  </si>
  <si>
    <t>5200-10</t>
  </si>
  <si>
    <t>New Pipe Outfall</t>
  </si>
  <si>
    <t>Viaduct</t>
  </si>
  <si>
    <t>Dioxin (pg/L)</t>
  </si>
  <si>
    <t>Liberty Recycling North, LLC</t>
  </si>
  <si>
    <t>002662</t>
  </si>
  <si>
    <t>SEP 1</t>
  </si>
  <si>
    <t>SEP 2</t>
  </si>
  <si>
    <t>ELG Utica Alloys (Hartford)</t>
  </si>
  <si>
    <t>Unnamed Swale Leading to CT river, CT River basin</t>
  </si>
  <si>
    <t>Yard 1 (out fall 001)</t>
  </si>
  <si>
    <t>Yard 2 (out fall 002)</t>
  </si>
  <si>
    <t xml:space="preserve">Oxoboxo Brook </t>
  </si>
  <si>
    <t>City Auto Parts, INC</t>
  </si>
  <si>
    <t xml:space="preserve">ROS- 1 Quarterly </t>
  </si>
  <si>
    <t>240 Connecticut LLC</t>
  </si>
  <si>
    <t>002619</t>
  </si>
  <si>
    <t>SW-240 (outfall 001)</t>
  </si>
  <si>
    <t>Willimantic Waste Paper Co., Inc</t>
  </si>
  <si>
    <t>Willimantic Waste Paper CO., Inc</t>
  </si>
  <si>
    <t>Yard 1 (Out fall 1)</t>
  </si>
  <si>
    <t>outfall No. 001 SM-1</t>
  </si>
  <si>
    <t>NW monitoring point #1</t>
  </si>
  <si>
    <t>Cray Valley USA, LLC / TPRI</t>
  </si>
  <si>
    <t>back storm drain</t>
  </si>
  <si>
    <t>OMR-1 (immediately upstream of OMR-1)</t>
  </si>
  <si>
    <t>OMR-2 (immediately upstream of OMR-2)</t>
  </si>
  <si>
    <t>OMR-3 (immediately upstream of OMR-3)</t>
  </si>
  <si>
    <t>UR-1 (immediately upstream of UR-1)</t>
  </si>
  <si>
    <t>UR-2 (immediately upstream of UR-2)</t>
  </si>
  <si>
    <t>UR-4 (immediately upstream of UR-4)</t>
  </si>
  <si>
    <t>UR-5 (immediately upstream of UR-5)</t>
  </si>
  <si>
    <t>UR-7 (immediately upstream of UR-7)</t>
  </si>
  <si>
    <t xml:space="preserve">F </t>
  </si>
  <si>
    <t>APS Technology</t>
  </si>
  <si>
    <t>5208</t>
  </si>
  <si>
    <t>Elm-Cap Industries</t>
  </si>
  <si>
    <t>Mikon Products, Inc.</t>
  </si>
  <si>
    <t>6032-02</t>
  </si>
  <si>
    <t>Salter's Express Company</t>
  </si>
  <si>
    <t>Un-named pond, discharges to Hop Brook</t>
  </si>
  <si>
    <t>4318-00-01</t>
  </si>
  <si>
    <t>Wood Group Component Repair, Inc.</t>
  </si>
  <si>
    <t>7300</t>
  </si>
  <si>
    <t>United Concrete, Plant 2</t>
  </si>
  <si>
    <t>Phototronics, Inc.</t>
  </si>
  <si>
    <t>6018-04</t>
  </si>
  <si>
    <t>5000</t>
  </si>
  <si>
    <t>First Student, Inc. #20684</t>
  </si>
  <si>
    <t>5201-00-1</t>
  </si>
  <si>
    <t>5200-00-2</t>
  </si>
  <si>
    <t>6601</t>
  </si>
  <si>
    <t>5202</t>
  </si>
  <si>
    <t>4206-00-1</t>
  </si>
  <si>
    <t>4000-00-5</t>
  </si>
  <si>
    <t>Judd Brook, Quinnipiac River</t>
  </si>
  <si>
    <t>5202-09-1</t>
  </si>
  <si>
    <t>5102-01-1</t>
  </si>
  <si>
    <t xml:space="preserve">North Branch of Park River, basin </t>
  </si>
  <si>
    <t>John B. Hull, Inc.</t>
  </si>
  <si>
    <t>EDAC Spring Lane</t>
  </si>
  <si>
    <t>EDAC, New Britian Ave</t>
  </si>
  <si>
    <t>Hobson &amp; Motzer, Inc.</t>
  </si>
  <si>
    <t>Asum Brook</t>
  </si>
  <si>
    <t>MS 4</t>
  </si>
  <si>
    <t>0..0047</t>
  </si>
  <si>
    <t xml:space="preserve"> N</t>
  </si>
  <si>
    <t>E404F71</t>
  </si>
  <si>
    <t>002021</t>
  </si>
  <si>
    <t>002611</t>
  </si>
  <si>
    <t>Outfall-001 (73-77)</t>
  </si>
  <si>
    <t>000204</t>
  </si>
  <si>
    <t>North 11 South Street</t>
  </si>
  <si>
    <t>000300</t>
  </si>
  <si>
    <t>000145</t>
  </si>
  <si>
    <t>002652</t>
  </si>
  <si>
    <t>DSN-001 (south ditch)</t>
  </si>
  <si>
    <t>DSN-002 (North Ditch)</t>
  </si>
  <si>
    <t>002642</t>
  </si>
  <si>
    <t>001964</t>
  </si>
  <si>
    <t>SW corner of lot</t>
  </si>
  <si>
    <t>S-4</t>
  </si>
  <si>
    <t>S-9 (representative of S-1)</t>
  </si>
  <si>
    <t>North property</t>
  </si>
  <si>
    <t>Roof drains</t>
  </si>
  <si>
    <t>CB #8-1,Outfall #8</t>
  </si>
  <si>
    <t>outfall #1 wetlands and trout brook</t>
  </si>
  <si>
    <t>4050519-01</t>
  </si>
  <si>
    <t>002006</t>
  </si>
  <si>
    <t>DSN 018</t>
  </si>
  <si>
    <t>SB94452-01</t>
  </si>
  <si>
    <t>002660</t>
  </si>
  <si>
    <t>outfall location two</t>
  </si>
  <si>
    <t>outfall location three</t>
  </si>
  <si>
    <t>Stormwater containment</t>
  </si>
  <si>
    <t>Outflow DSN-001</t>
  </si>
  <si>
    <t>Outfall No.2 (T-002)</t>
  </si>
  <si>
    <t>Semi-volatile Hydrocarbons (ug/L)</t>
  </si>
  <si>
    <t>720 Thompson Road</t>
  </si>
  <si>
    <t>Yankee Casting Co. Inc.</t>
  </si>
  <si>
    <t>Farrel Corporation</t>
  </si>
  <si>
    <t>Barnes Aerospace Windsor Divison</t>
  </si>
  <si>
    <t>Saputo Dairy Foods USA, LLC</t>
  </si>
  <si>
    <t>New Milford Block and Supply</t>
  </si>
  <si>
    <t>000209</t>
  </si>
  <si>
    <t>Swales 1-6</t>
  </si>
  <si>
    <t>000358</t>
  </si>
  <si>
    <t>Railroad Tracks</t>
  </si>
  <si>
    <t>SW-04 (02)</t>
  </si>
  <si>
    <t xml:space="preserve"> 001853</t>
  </si>
  <si>
    <t>001106</t>
  </si>
  <si>
    <t>Global Bpt Terminal</t>
  </si>
  <si>
    <t>SWD-3 by front enterance</t>
  </si>
  <si>
    <t>4300-00-5</t>
  </si>
  <si>
    <t>4404-02-1</t>
  </si>
  <si>
    <t>3900</t>
  </si>
  <si>
    <t>4603-02-1</t>
  </si>
  <si>
    <t>4000-27-1</t>
  </si>
  <si>
    <t>7000-04-1</t>
  </si>
  <si>
    <t>6900-22-1</t>
  </si>
  <si>
    <t>3000-00-6</t>
  </si>
  <si>
    <t>6000-88-1</t>
  </si>
  <si>
    <t>4300-57-1</t>
  </si>
  <si>
    <t>7200-00-4</t>
  </si>
  <si>
    <t>3600-00-3</t>
  </si>
  <si>
    <t>5111-00-3</t>
  </si>
  <si>
    <t>7300-00-3</t>
  </si>
  <si>
    <t>4315-00-2</t>
  </si>
  <si>
    <t>4009-00-3</t>
  </si>
  <si>
    <t>4315</t>
  </si>
  <si>
    <t>7000</t>
  </si>
  <si>
    <t>Still River/Farmington</t>
  </si>
  <si>
    <t>7000-03-1</t>
  </si>
  <si>
    <t>6912</t>
  </si>
  <si>
    <t>6912-00-3</t>
  </si>
  <si>
    <t>3708-00-3</t>
  </si>
  <si>
    <t>4315-10-1</t>
  </si>
  <si>
    <t>4606-02</t>
  </si>
  <si>
    <t>upper lot outfall</t>
  </si>
  <si>
    <t>004 (New 005)</t>
  </si>
  <si>
    <t>new outfall</t>
  </si>
  <si>
    <t>Cheshire Public Works Garage/Transfer Station</t>
  </si>
  <si>
    <t>D &amp; 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</si>
</sst>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_(* #,##0.00_);_(* \(#,##0.00\);_(* &quot;-&quot;??_);_(@_)"/>
    <numFmt numFmtId="165" formatCode="0.000"/>
    <numFmt numFmtId="166" formatCode="mm/dd/yy;@"/>
    <numFmt numFmtId="167" formatCode="0.0000"/>
    <numFmt numFmtId="168" formatCode="0.0"/>
    <numFmt numFmtId="169" formatCode="0.0%"/>
    <numFmt numFmtId="170" formatCode="_(* #,##0_);_(* \(#,##0\);_(* &quot;-&quot;??_);_(@_)"/>
    <numFmt numFmtId="171" formatCode="00000\ &quot;/100mls&quot;"/>
  </numFmts>
  <fonts count="30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2"/>
      <name val="Arial"/>
      <family val="2"/>
    </font>
    <font>
      <sz val="10"/>
      <name val="Arial"/>
      <family val="2"/>
    </font>
    <font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indexed="8"/>
      <name val="Calibri"/>
      <family val="2"/>
    </font>
    <font>
      <sz val="11"/>
      <color theme="1"/>
      <name val="Calibri"/>
      <family val="2"/>
      <scheme val="minor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rgb="FF7030A0"/>
      <name val="Calibri"/>
      <family val="2"/>
      <scheme val="minor"/>
    </font>
    <font>
      <sz val="9"/>
      <color indexed="81"/>
      <name val="Calibri"/>
      <family val="2"/>
    </font>
    <font>
      <sz val="9"/>
      <color theme="1"/>
      <name val="Calibri"/>
      <family val="2"/>
      <scheme val="minor"/>
    </font>
    <font>
      <sz val="9"/>
      <color theme="1"/>
      <name val="Calibri"/>
      <family val="2"/>
    </font>
    <font>
      <sz val="9"/>
      <color indexed="8"/>
      <name val="Calibri"/>
      <family val="2"/>
    </font>
    <font>
      <sz val="9"/>
      <name val="Calibri"/>
      <family val="2"/>
      <scheme val="minor"/>
    </font>
    <font>
      <sz val="9"/>
      <color rgb="FF000000"/>
      <name val="Calibri"/>
      <family val="2"/>
      <scheme val="minor"/>
    </font>
    <font>
      <sz val="9"/>
      <name val="Calibri"/>
      <family val="2"/>
    </font>
    <font>
      <b/>
      <sz val="9"/>
      <color theme="1"/>
      <name val="Calibri"/>
      <family val="2"/>
      <scheme val="minor"/>
    </font>
    <font>
      <sz val="9"/>
      <color rgb="FFFF0000"/>
      <name val="Calibri"/>
      <family val="2"/>
      <scheme val="minor"/>
    </font>
    <font>
      <sz val="9"/>
      <color rgb="FFFF0000"/>
      <name val="Calibri"/>
      <family val="2"/>
    </font>
    <font>
      <sz val="9"/>
      <color rgb="FF7030A0"/>
      <name val="Calibri"/>
      <family val="2"/>
      <scheme val="minor"/>
    </font>
    <font>
      <u/>
      <sz val="9"/>
      <color theme="1"/>
      <name val="Calibri"/>
      <family val="2"/>
      <scheme val="minor"/>
    </font>
    <font>
      <b/>
      <sz val="9"/>
      <color indexed="81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2"/>
      <name val="Courier New"/>
      <family val="3"/>
    </font>
    <font>
      <sz val="11"/>
      <color rgb="FF000000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FFF00"/>
        <bgColor indexed="64"/>
      </patternFill>
    </fill>
  </fills>
  <borders count="17">
    <border>
      <left/>
      <right/>
      <top/>
      <bottom/>
      <diagonal/>
    </border>
    <border>
      <left/>
      <right/>
      <top style="medium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 style="medium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 style="medium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</borders>
  <cellStyleXfs count="62">
    <xf numFmtId="0" fontId="0" fillId="0" borderId="0"/>
    <xf numFmtId="0" fontId="2" fillId="0" borderId="0"/>
    <xf numFmtId="3" fontId="3" fillId="0" borderId="0"/>
    <xf numFmtId="9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" fillId="0" borderId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</cellStyleXfs>
  <cellXfs count="428">
    <xf numFmtId="0" fontId="0" fillId="0" borderId="0" xfId="0"/>
    <xf numFmtId="0" fontId="0" fillId="0" borderId="0" xfId="0" applyBorder="1"/>
    <xf numFmtId="0" fontId="0" fillId="0" borderId="4" xfId="0" applyBorder="1"/>
    <xf numFmtId="0" fontId="0" fillId="0" borderId="8" xfId="0" applyBorder="1"/>
    <xf numFmtId="0" fontId="0" fillId="0" borderId="10" xfId="0" applyBorder="1"/>
    <xf numFmtId="0" fontId="0" fillId="0" borderId="2" xfId="0" applyBorder="1"/>
    <xf numFmtId="0" fontId="5" fillId="0" borderId="0" xfId="0" applyFont="1"/>
    <xf numFmtId="0" fontId="5" fillId="0" borderId="2" xfId="0" applyFont="1" applyBorder="1"/>
    <xf numFmtId="2" fontId="5" fillId="0" borderId="0" xfId="0" applyNumberFormat="1" applyFont="1"/>
    <xf numFmtId="2" fontId="5" fillId="0" borderId="2" xfId="0" applyNumberFormat="1" applyFont="1" applyBorder="1"/>
    <xf numFmtId="165" fontId="5" fillId="0" borderId="2" xfId="0" applyNumberFormat="1" applyFont="1" applyBorder="1"/>
    <xf numFmtId="165" fontId="5" fillId="0" borderId="0" xfId="0" applyNumberFormat="1" applyFont="1"/>
    <xf numFmtId="10" fontId="5" fillId="0" borderId="2" xfId="0" applyNumberFormat="1" applyFont="1" applyBorder="1"/>
    <xf numFmtId="10" fontId="5" fillId="0" borderId="0" xfId="0" applyNumberFormat="1" applyFont="1"/>
    <xf numFmtId="49" fontId="5" fillId="0" borderId="2" xfId="0" applyNumberFormat="1" applyFont="1" applyBorder="1"/>
    <xf numFmtId="49" fontId="5" fillId="0" borderId="0" xfId="0" applyNumberFormat="1" applyFont="1" applyBorder="1"/>
    <xf numFmtId="166" fontId="5" fillId="0" borderId="2" xfId="0" applyNumberFormat="1" applyFont="1" applyBorder="1"/>
    <xf numFmtId="166" fontId="5" fillId="0" borderId="0" xfId="0" applyNumberFormat="1" applyFont="1" applyBorder="1"/>
    <xf numFmtId="0" fontId="5" fillId="0" borderId="4" xfId="0" applyFont="1" applyBorder="1"/>
    <xf numFmtId="0" fontId="5" fillId="0" borderId="0" xfId="0" applyFont="1" applyBorder="1"/>
    <xf numFmtId="0" fontId="5" fillId="0" borderId="8" xfId="0" applyFont="1" applyBorder="1"/>
    <xf numFmtId="167" fontId="5" fillId="0" borderId="2" xfId="0" applyNumberFormat="1" applyFont="1" applyBorder="1"/>
    <xf numFmtId="14" fontId="5" fillId="0" borderId="2" xfId="0" applyNumberFormat="1" applyFont="1" applyBorder="1"/>
    <xf numFmtId="0" fontId="0" fillId="0" borderId="2" xfId="0" applyFill="1" applyBorder="1" applyAlignment="1">
      <alignment horizontal="center" vertical="center" wrapText="1"/>
    </xf>
    <xf numFmtId="0" fontId="0" fillId="0" borderId="8" xfId="0" applyFill="1" applyBorder="1" applyAlignment="1">
      <alignment horizontal="center" vertical="center" wrapText="1"/>
    </xf>
    <xf numFmtId="0" fontId="5" fillId="0" borderId="0" xfId="0" applyFont="1" applyFill="1"/>
    <xf numFmtId="0" fontId="0" fillId="0" borderId="0" xfId="0" applyFill="1"/>
    <xf numFmtId="9" fontId="5" fillId="0" borderId="2" xfId="3" applyFont="1" applyBorder="1"/>
    <xf numFmtId="0" fontId="4" fillId="0" borderId="0" xfId="0" applyFont="1"/>
    <xf numFmtId="0" fontId="4" fillId="0" borderId="0" xfId="0" applyFont="1" applyFill="1"/>
    <xf numFmtId="0" fontId="0" fillId="0" borderId="2" xfId="0" applyFont="1" applyBorder="1"/>
    <xf numFmtId="0" fontId="0" fillId="0" borderId="0" xfId="0" quotePrefix="1"/>
    <xf numFmtId="0" fontId="0" fillId="0" borderId="0" xfId="0" applyFont="1"/>
    <xf numFmtId="0" fontId="0" fillId="0" borderId="8" xfId="0" applyFont="1" applyBorder="1"/>
    <xf numFmtId="0" fontId="12" fillId="0" borderId="0" xfId="0" applyFont="1"/>
    <xf numFmtId="0" fontId="4" fillId="0" borderId="9" xfId="0" applyFont="1" applyBorder="1" applyAlignment="1">
      <alignment horizontal="center" vertical="center" wrapText="1"/>
    </xf>
    <xf numFmtId="0" fontId="14" fillId="0" borderId="14" xfId="0" applyFont="1" applyFill="1" applyBorder="1"/>
    <xf numFmtId="0" fontId="14" fillId="0" borderId="6" xfId="0" applyFont="1" applyBorder="1" applyAlignment="1">
      <alignment horizontal="center" vertical="center" wrapText="1"/>
    </xf>
    <xf numFmtId="0" fontId="14" fillId="0" borderId="14" xfId="0" applyFont="1" applyBorder="1" applyAlignment="1">
      <alignment horizontal="center" vertical="center" wrapText="1"/>
    </xf>
    <xf numFmtId="49" fontId="14" fillId="0" borderId="6" xfId="0" applyNumberFormat="1" applyFont="1" applyBorder="1" applyAlignment="1">
      <alignment horizontal="center" vertical="center" wrapText="1"/>
    </xf>
    <xf numFmtId="166" fontId="14" fillId="0" borderId="6" xfId="0" applyNumberFormat="1" applyFont="1" applyBorder="1" applyAlignment="1">
      <alignment horizontal="center" vertical="center" wrapText="1"/>
    </xf>
    <xf numFmtId="0" fontId="14" fillId="0" borderId="0" xfId="0" applyFont="1" applyFill="1"/>
    <xf numFmtId="16" fontId="14" fillId="0" borderId="3" xfId="0" applyNumberFormat="1" applyFont="1" applyBorder="1"/>
    <xf numFmtId="49" fontId="14" fillId="0" borderId="3" xfId="0" applyNumberFormat="1" applyFont="1" applyBorder="1"/>
    <xf numFmtId="0" fontId="14" fillId="0" borderId="1" xfId="0" applyFont="1" applyBorder="1"/>
    <xf numFmtId="0" fontId="14" fillId="0" borderId="3" xfId="0" applyFont="1" applyBorder="1"/>
    <xf numFmtId="166" fontId="14" fillId="0" borderId="3" xfId="0" applyNumberFormat="1" applyFont="1" applyBorder="1"/>
    <xf numFmtId="16" fontId="14" fillId="0" borderId="2" xfId="0" applyNumberFormat="1" applyFont="1" applyBorder="1"/>
    <xf numFmtId="49" fontId="14" fillId="0" borderId="2" xfId="0" applyNumberFormat="1" applyFont="1" applyBorder="1"/>
    <xf numFmtId="0" fontId="14" fillId="0" borderId="0" xfId="0" applyFont="1" applyBorder="1"/>
    <xf numFmtId="0" fontId="14" fillId="0" borderId="2" xfId="0" applyFont="1" applyBorder="1"/>
    <xf numFmtId="166" fontId="14" fillId="0" borderId="2" xfId="0" applyNumberFormat="1" applyFont="1" applyBorder="1"/>
    <xf numFmtId="0" fontId="14" fillId="0" borderId="2" xfId="0" applyFont="1" applyFill="1" applyBorder="1"/>
    <xf numFmtId="0" fontId="15" fillId="0" borderId="0" xfId="0" applyFont="1" applyFill="1"/>
    <xf numFmtId="0" fontId="16" fillId="0" borderId="2" xfId="0" applyFont="1" applyBorder="1"/>
    <xf numFmtId="0" fontId="16" fillId="0" borderId="0" xfId="0" applyFont="1" applyBorder="1"/>
    <xf numFmtId="49" fontId="16" fillId="0" borderId="2" xfId="0" applyNumberFormat="1" applyFont="1" applyBorder="1"/>
    <xf numFmtId="166" fontId="16" fillId="0" borderId="2" xfId="0" applyNumberFormat="1" applyFont="1" applyBorder="1"/>
    <xf numFmtId="0" fontId="14" fillId="3" borderId="0" xfId="0" applyFont="1" applyFill="1" applyBorder="1"/>
    <xf numFmtId="49" fontId="16" fillId="4" borderId="2" xfId="0" applyNumberFormat="1" applyFont="1" applyFill="1" applyBorder="1"/>
    <xf numFmtId="0" fontId="16" fillId="4" borderId="0" xfId="0" applyFont="1" applyFill="1" applyBorder="1"/>
    <xf numFmtId="49" fontId="16" fillId="0" borderId="0" xfId="0" applyNumberFormat="1" applyFont="1" applyBorder="1"/>
    <xf numFmtId="0" fontId="14" fillId="2" borderId="0" xfId="0" applyFont="1" applyFill="1" applyBorder="1"/>
    <xf numFmtId="0" fontId="16" fillId="5" borderId="0" xfId="0" applyFont="1" applyFill="1" applyBorder="1"/>
    <xf numFmtId="0" fontId="16" fillId="0" borderId="2" xfId="0" quotePrefix="1" applyFont="1" applyBorder="1"/>
    <xf numFmtId="166" fontId="16" fillId="0" borderId="2" xfId="0" applyNumberFormat="1" applyFont="1" applyBorder="1" applyAlignment="1">
      <alignment horizontal="right"/>
    </xf>
    <xf numFmtId="0" fontId="14" fillId="0" borderId="10" xfId="0" applyFont="1" applyFill="1" applyBorder="1"/>
    <xf numFmtId="0" fontId="14" fillId="0" borderId="12" xfId="0" applyFont="1" applyBorder="1"/>
    <xf numFmtId="0" fontId="14" fillId="0" borderId="10" xfId="0" applyFont="1" applyBorder="1"/>
    <xf numFmtId="49" fontId="14" fillId="0" borderId="12" xfId="0" applyNumberFormat="1" applyFont="1" applyBorder="1"/>
    <xf numFmtId="166" fontId="14" fillId="0" borderId="12" xfId="0" applyNumberFormat="1" applyFont="1" applyBorder="1"/>
    <xf numFmtId="14" fontId="14" fillId="0" borderId="0" xfId="0" applyNumberFormat="1" applyFont="1" applyBorder="1"/>
    <xf numFmtId="14" fontId="14" fillId="0" borderId="2" xfId="0" applyNumberFormat="1" applyFont="1" applyBorder="1"/>
    <xf numFmtId="0" fontId="14" fillId="0" borderId="0" xfId="0" quotePrefix="1" applyFont="1" applyBorder="1"/>
    <xf numFmtId="0" fontId="14" fillId="0" borderId="0" xfId="0" applyFont="1"/>
    <xf numFmtId="0" fontId="14" fillId="0" borderId="0" xfId="0" applyFont="1" applyFill="1" applyBorder="1"/>
    <xf numFmtId="49" fontId="14" fillId="0" borderId="0" xfId="0" applyNumberFormat="1" applyFont="1" applyBorder="1"/>
    <xf numFmtId="0" fontId="14" fillId="0" borderId="2" xfId="0" quotePrefix="1" applyFont="1" applyBorder="1"/>
    <xf numFmtId="49" fontId="18" fillId="0" borderId="2" xfId="0" applyNumberFormat="1" applyFont="1" applyBorder="1"/>
    <xf numFmtId="0" fontId="18" fillId="0" borderId="4" xfId="0" applyFont="1" applyBorder="1"/>
    <xf numFmtId="49" fontId="18" fillId="0" borderId="0" xfId="0" applyNumberFormat="1" applyFont="1"/>
    <xf numFmtId="0" fontId="18" fillId="0" borderId="0" xfId="0" applyFont="1"/>
    <xf numFmtId="0" fontId="14" fillId="6" borderId="0" xfId="0" applyFont="1" applyFill="1"/>
    <xf numFmtId="49" fontId="14" fillId="0" borderId="4" xfId="0" applyNumberFormat="1" applyFont="1" applyBorder="1"/>
    <xf numFmtId="0" fontId="14" fillId="0" borderId="0" xfId="0" quotePrefix="1" applyFont="1"/>
    <xf numFmtId="0" fontId="14" fillId="0" borderId="2" xfId="0" applyFont="1" applyBorder="1" applyAlignment="1">
      <alignment horizontal="right"/>
    </xf>
    <xf numFmtId="49" fontId="14" fillId="0" borderId="2" xfId="0" applyNumberFormat="1" applyFont="1" applyBorder="1" applyAlignment="1">
      <alignment horizontal="right"/>
    </xf>
    <xf numFmtId="0" fontId="19" fillId="0" borderId="0" xfId="0" applyFont="1" applyFill="1" applyBorder="1"/>
    <xf numFmtId="0" fontId="19" fillId="0" borderId="4" xfId="0" applyFont="1" applyFill="1" applyBorder="1"/>
    <xf numFmtId="0" fontId="20" fillId="0" borderId="0" xfId="0" applyFont="1"/>
    <xf numFmtId="0" fontId="20" fillId="0" borderId="2" xfId="0" applyFont="1" applyBorder="1"/>
    <xf numFmtId="49" fontId="20" fillId="0" borderId="2" xfId="0" applyNumberFormat="1" applyFont="1" applyBorder="1"/>
    <xf numFmtId="166" fontId="20" fillId="0" borderId="2" xfId="0" applyNumberFormat="1" applyFont="1" applyBorder="1"/>
    <xf numFmtId="166" fontId="14" fillId="0" borderId="14" xfId="0" applyNumberFormat="1" applyFont="1" applyBorder="1" applyAlignment="1">
      <alignment horizontal="center" vertical="center" wrapText="1"/>
    </xf>
    <xf numFmtId="0" fontId="14" fillId="0" borderId="9" xfId="0" applyFont="1" applyBorder="1" applyAlignment="1">
      <alignment horizontal="center" vertical="center" wrapText="1"/>
    </xf>
    <xf numFmtId="10" fontId="14" fillId="0" borderId="6" xfId="0" applyNumberFormat="1" applyFont="1" applyBorder="1" applyAlignment="1">
      <alignment horizontal="center" vertical="center" wrapText="1"/>
    </xf>
    <xf numFmtId="0" fontId="14" fillId="0" borderId="2" xfId="0" applyFont="1" applyFill="1" applyBorder="1" applyAlignment="1">
      <alignment horizontal="center" vertical="center" wrapText="1"/>
    </xf>
    <xf numFmtId="0" fontId="14" fillId="0" borderId="8" xfId="0" applyFont="1" applyFill="1" applyBorder="1" applyAlignment="1">
      <alignment horizontal="center" vertical="center" wrapText="1"/>
    </xf>
    <xf numFmtId="0" fontId="14" fillId="3" borderId="8" xfId="0" applyFont="1" applyFill="1" applyBorder="1" applyAlignment="1">
      <alignment horizontal="center" vertical="center" wrapText="1"/>
    </xf>
    <xf numFmtId="0" fontId="14" fillId="0" borderId="0" xfId="0" applyFont="1" applyFill="1" applyBorder="1" applyAlignment="1">
      <alignment horizontal="center" vertical="center" wrapText="1"/>
    </xf>
    <xf numFmtId="166" fontId="14" fillId="0" borderId="1" xfId="0" applyNumberFormat="1" applyFont="1" applyBorder="1"/>
    <xf numFmtId="2" fontId="14" fillId="3" borderId="1" xfId="0" applyNumberFormat="1" applyFont="1" applyFill="1" applyBorder="1" applyAlignment="1">
      <alignment horizontal="right"/>
    </xf>
    <xf numFmtId="2" fontId="14" fillId="0" borderId="3" xfId="0" applyNumberFormat="1" applyFont="1" applyBorder="1"/>
    <xf numFmtId="2" fontId="14" fillId="0" borderId="1" xfId="0" applyNumberFormat="1" applyFont="1" applyBorder="1"/>
    <xf numFmtId="168" fontId="14" fillId="0" borderId="3" xfId="0" applyNumberFormat="1" applyFont="1" applyBorder="1"/>
    <xf numFmtId="168" fontId="14" fillId="0" borderId="1" xfId="0" applyNumberFormat="1" applyFont="1" applyBorder="1"/>
    <xf numFmtId="2" fontId="14" fillId="0" borderId="3" xfId="0" applyNumberFormat="1" applyFont="1" applyBorder="1" applyAlignment="1">
      <alignment horizontal="right"/>
    </xf>
    <xf numFmtId="2" fontId="14" fillId="0" borderId="1" xfId="0" applyNumberFormat="1" applyFont="1" applyBorder="1" applyAlignment="1">
      <alignment horizontal="right"/>
    </xf>
    <xf numFmtId="165" fontId="14" fillId="0" borderId="3" xfId="0" applyNumberFormat="1" applyFont="1" applyBorder="1" applyAlignment="1">
      <alignment horizontal="right"/>
    </xf>
    <xf numFmtId="165" fontId="14" fillId="0" borderId="1" xfId="0" applyNumberFormat="1" applyFont="1" applyBorder="1" applyAlignment="1">
      <alignment horizontal="right"/>
    </xf>
    <xf numFmtId="0" fontId="14" fillId="0" borderId="3" xfId="0" applyFont="1" applyBorder="1" applyAlignment="1">
      <alignment horizontal="right"/>
    </xf>
    <xf numFmtId="10" fontId="14" fillId="0" borderId="3" xfId="0" applyNumberFormat="1" applyFont="1" applyBorder="1" applyAlignment="1">
      <alignment horizontal="right"/>
    </xf>
    <xf numFmtId="10" fontId="14" fillId="0" borderId="1" xfId="0" applyNumberFormat="1" applyFont="1" applyBorder="1" applyAlignment="1">
      <alignment horizontal="right"/>
    </xf>
    <xf numFmtId="0" fontId="14" fillId="0" borderId="4" xfId="0" applyFont="1" applyBorder="1"/>
    <xf numFmtId="0" fontId="14" fillId="0" borderId="8" xfId="0" applyFont="1" applyBorder="1"/>
    <xf numFmtId="166" fontId="14" fillId="0" borderId="0" xfId="0" applyNumberFormat="1" applyFont="1" applyBorder="1"/>
    <xf numFmtId="2" fontId="14" fillId="3" borderId="0" xfId="0" applyNumberFormat="1" applyFont="1" applyFill="1" applyBorder="1"/>
    <xf numFmtId="2" fontId="14" fillId="0" borderId="2" xfId="0" applyNumberFormat="1" applyFont="1" applyBorder="1"/>
    <xf numFmtId="2" fontId="14" fillId="0" borderId="0" xfId="0" applyNumberFormat="1" applyFont="1" applyFill="1" applyBorder="1"/>
    <xf numFmtId="168" fontId="14" fillId="0" borderId="2" xfId="0" applyNumberFormat="1" applyFont="1" applyBorder="1"/>
    <xf numFmtId="168" fontId="14" fillId="0" borderId="0" xfId="0" applyNumberFormat="1" applyFont="1" applyFill="1" applyBorder="1"/>
    <xf numFmtId="2" fontId="14" fillId="0" borderId="2" xfId="0" applyNumberFormat="1" applyFont="1" applyBorder="1" applyAlignment="1">
      <alignment horizontal="right"/>
    </xf>
    <xf numFmtId="2" fontId="14" fillId="0" borderId="0" xfId="0" applyNumberFormat="1" applyFont="1" applyBorder="1" applyAlignment="1">
      <alignment horizontal="right"/>
    </xf>
    <xf numFmtId="165" fontId="14" fillId="0" borderId="2" xfId="0" applyNumberFormat="1" applyFont="1" applyBorder="1" applyAlignment="1">
      <alignment horizontal="right"/>
    </xf>
    <xf numFmtId="165" fontId="14" fillId="0" borderId="0" xfId="0" applyNumberFormat="1" applyFont="1" applyBorder="1" applyAlignment="1">
      <alignment horizontal="right"/>
    </xf>
    <xf numFmtId="10" fontId="14" fillId="0" borderId="2" xfId="0" applyNumberFormat="1" applyFont="1" applyBorder="1" applyAlignment="1">
      <alignment horizontal="right"/>
    </xf>
    <xf numFmtId="2" fontId="14" fillId="0" borderId="0" xfId="0" applyNumberFormat="1" applyFont="1" applyAlignment="1">
      <alignment horizontal="right"/>
    </xf>
    <xf numFmtId="165" fontId="14" fillId="0" borderId="0" xfId="0" applyNumberFormat="1" applyFont="1" applyAlignment="1">
      <alignment horizontal="right"/>
    </xf>
    <xf numFmtId="10" fontId="14" fillId="0" borderId="0" xfId="0" applyNumberFormat="1" applyFont="1" applyAlignment="1">
      <alignment horizontal="right"/>
    </xf>
    <xf numFmtId="0" fontId="14" fillId="0" borderId="2" xfId="0" applyFont="1" applyFill="1" applyBorder="1" applyAlignment="1">
      <alignment horizontal="right"/>
    </xf>
    <xf numFmtId="0" fontId="14" fillId="0" borderId="0" xfId="0" applyFont="1" applyAlignment="1">
      <alignment horizontal="right"/>
    </xf>
    <xf numFmtId="2" fontId="14" fillId="0" borderId="0" xfId="0" applyNumberFormat="1" applyFont="1"/>
    <xf numFmtId="166" fontId="16" fillId="0" borderId="0" xfId="0" applyNumberFormat="1" applyFont="1" applyBorder="1"/>
    <xf numFmtId="2" fontId="16" fillId="4" borderId="0" xfId="0" applyNumberFormat="1" applyFont="1" applyFill="1"/>
    <xf numFmtId="2" fontId="16" fillId="0" borderId="2" xfId="0" applyNumberFormat="1" applyFont="1" applyBorder="1"/>
    <xf numFmtId="2" fontId="16" fillId="0" borderId="0" xfId="0" applyNumberFormat="1" applyFont="1"/>
    <xf numFmtId="168" fontId="16" fillId="0" borderId="2" xfId="0" applyNumberFormat="1" applyFont="1" applyBorder="1"/>
    <xf numFmtId="168" fontId="16" fillId="0" borderId="0" xfId="0" applyNumberFormat="1" applyFont="1"/>
    <xf numFmtId="2" fontId="16" fillId="0" borderId="2" xfId="0" applyNumberFormat="1" applyFont="1" applyBorder="1" applyAlignment="1">
      <alignment horizontal="right"/>
    </xf>
    <xf numFmtId="2" fontId="16" fillId="0" borderId="0" xfId="0" applyNumberFormat="1" applyFont="1" applyAlignment="1">
      <alignment horizontal="right"/>
    </xf>
    <xf numFmtId="165" fontId="16" fillId="0" borderId="2" xfId="0" applyNumberFormat="1" applyFont="1" applyBorder="1" applyAlignment="1">
      <alignment horizontal="right"/>
    </xf>
    <xf numFmtId="165" fontId="16" fillId="0" borderId="0" xfId="0" applyNumberFormat="1" applyFont="1" applyAlignment="1">
      <alignment horizontal="right"/>
    </xf>
    <xf numFmtId="0" fontId="16" fillId="0" borderId="2" xfId="0" applyFont="1" applyBorder="1" applyAlignment="1">
      <alignment horizontal="right"/>
    </xf>
    <xf numFmtId="0" fontId="16" fillId="0" borderId="0" xfId="0" applyFont="1" applyAlignment="1">
      <alignment horizontal="right"/>
    </xf>
    <xf numFmtId="10" fontId="16" fillId="0" borderId="2" xfId="0" applyNumberFormat="1" applyFont="1" applyBorder="1" applyAlignment="1">
      <alignment horizontal="right"/>
    </xf>
    <xf numFmtId="10" fontId="16" fillId="0" borderId="0" xfId="0" applyNumberFormat="1" applyFont="1" applyAlignment="1">
      <alignment horizontal="right"/>
    </xf>
    <xf numFmtId="166" fontId="14" fillId="0" borderId="0" xfId="0" applyNumberFormat="1" applyFont="1" applyBorder="1" applyAlignment="1">
      <alignment horizontal="right"/>
    </xf>
    <xf numFmtId="168" fontId="14" fillId="0" borderId="0" xfId="0" applyNumberFormat="1" applyFont="1"/>
    <xf numFmtId="165" fontId="14" fillId="0" borderId="0" xfId="0" quotePrefix="1" applyNumberFormat="1" applyFont="1" applyAlignment="1">
      <alignment horizontal="right"/>
    </xf>
    <xf numFmtId="0" fontId="16" fillId="0" borderId="4" xfId="0" applyFont="1" applyBorder="1"/>
    <xf numFmtId="2" fontId="16" fillId="4" borderId="0" xfId="0" applyNumberFormat="1" applyFont="1" applyFill="1" applyBorder="1"/>
    <xf numFmtId="0" fontId="16" fillId="0" borderId="2" xfId="0" applyFont="1" applyFill="1" applyBorder="1" applyAlignment="1">
      <alignment horizontal="right"/>
    </xf>
    <xf numFmtId="2" fontId="14" fillId="0" borderId="0" xfId="0" applyNumberFormat="1" applyFont="1" applyBorder="1"/>
    <xf numFmtId="166" fontId="17" fillId="2" borderId="0" xfId="0" applyNumberFormat="1" applyFont="1" applyFill="1" applyBorder="1"/>
    <xf numFmtId="2" fontId="16" fillId="0" borderId="0" xfId="0" applyNumberFormat="1" applyFont="1" applyBorder="1"/>
    <xf numFmtId="0" fontId="16" fillId="0" borderId="0" xfId="0" applyFont="1"/>
    <xf numFmtId="166" fontId="16" fillId="0" borderId="0" xfId="0" applyNumberFormat="1" applyFont="1" applyBorder="1" applyAlignment="1">
      <alignment horizontal="right"/>
    </xf>
    <xf numFmtId="10" fontId="16" fillId="0" borderId="2" xfId="0" applyNumberFormat="1" applyFont="1" applyBorder="1"/>
    <xf numFmtId="10" fontId="16" fillId="0" borderId="0" xfId="0" applyNumberFormat="1" applyFont="1"/>
    <xf numFmtId="168" fontId="16" fillId="0" borderId="0" xfId="0" quotePrefix="1" applyNumberFormat="1" applyFont="1"/>
    <xf numFmtId="0" fontId="14" fillId="0" borderId="8" xfId="0" quotePrefix="1" applyFont="1" applyBorder="1"/>
    <xf numFmtId="1" fontId="16" fillId="0" borderId="2" xfId="0" applyNumberFormat="1" applyFont="1" applyBorder="1"/>
    <xf numFmtId="0" fontId="16" fillId="0" borderId="2" xfId="0" applyNumberFormat="1" applyFont="1" applyBorder="1"/>
    <xf numFmtId="0" fontId="16" fillId="0" borderId="0" xfId="0" applyNumberFormat="1" applyFont="1"/>
    <xf numFmtId="10" fontId="14" fillId="0" borderId="2" xfId="0" applyNumberFormat="1" applyFont="1" applyBorder="1"/>
    <xf numFmtId="10" fontId="14" fillId="0" borderId="0" xfId="0" applyNumberFormat="1" applyFont="1"/>
    <xf numFmtId="10" fontId="14" fillId="0" borderId="2" xfId="3" applyNumberFormat="1" applyFont="1" applyBorder="1"/>
    <xf numFmtId="10" fontId="14" fillId="0" borderId="0" xfId="3" applyNumberFormat="1" applyFont="1"/>
    <xf numFmtId="0" fontId="14" fillId="3" borderId="8" xfId="0" applyFont="1" applyFill="1" applyBorder="1"/>
    <xf numFmtId="166" fontId="14" fillId="0" borderId="10" xfId="0" applyNumberFormat="1" applyFont="1" applyBorder="1"/>
    <xf numFmtId="10" fontId="14" fillId="0" borderId="12" xfId="3" applyNumberFormat="1" applyFont="1" applyBorder="1"/>
    <xf numFmtId="10" fontId="14" fillId="0" borderId="10" xfId="3" applyNumberFormat="1" applyFont="1" applyBorder="1"/>
    <xf numFmtId="0" fontId="14" fillId="0" borderId="13" xfId="0" applyFont="1" applyBorder="1"/>
    <xf numFmtId="166" fontId="14" fillId="0" borderId="0" xfId="0" applyNumberFormat="1" applyFont="1"/>
    <xf numFmtId="9" fontId="14" fillId="0" borderId="2" xfId="3" applyFont="1" applyBorder="1"/>
    <xf numFmtId="170" fontId="14" fillId="0" borderId="0" xfId="4" applyNumberFormat="1" applyFont="1" applyBorder="1"/>
    <xf numFmtId="164" fontId="14" fillId="0" borderId="0" xfId="4" applyFont="1"/>
    <xf numFmtId="2" fontId="14" fillId="0" borderId="0" xfId="0" quotePrefix="1" applyNumberFormat="1" applyFont="1"/>
    <xf numFmtId="9" fontId="14" fillId="0" borderId="0" xfId="0" applyNumberFormat="1" applyFont="1"/>
    <xf numFmtId="166" fontId="20" fillId="0" borderId="0" xfId="0" applyNumberFormat="1" applyFont="1" applyBorder="1"/>
    <xf numFmtId="10" fontId="20" fillId="0" borderId="2" xfId="0" applyNumberFormat="1" applyFont="1" applyBorder="1"/>
    <xf numFmtId="10" fontId="20" fillId="0" borderId="0" xfId="0" applyNumberFormat="1" applyFont="1"/>
    <xf numFmtId="0" fontId="14" fillId="3" borderId="9" xfId="0" applyFont="1" applyFill="1" applyBorder="1"/>
    <xf numFmtId="0" fontId="16" fillId="0" borderId="6" xfId="0" applyFont="1" applyBorder="1" applyAlignment="1">
      <alignment horizontal="center" vertical="center" wrapText="1"/>
    </xf>
    <xf numFmtId="0" fontId="14" fillId="0" borderId="6" xfId="0" applyFont="1" applyFill="1" applyBorder="1" applyAlignment="1">
      <alignment horizontal="center" vertical="center" wrapText="1"/>
    </xf>
    <xf numFmtId="0" fontId="15" fillId="3" borderId="0" xfId="0" applyFont="1" applyFill="1"/>
    <xf numFmtId="16" fontId="16" fillId="0" borderId="3" xfId="0" applyNumberFormat="1" applyFont="1" applyBorder="1"/>
    <xf numFmtId="49" fontId="16" fillId="0" borderId="3" xfId="0" applyNumberFormat="1" applyFont="1" applyBorder="1"/>
    <xf numFmtId="49" fontId="16" fillId="0" borderId="1" xfId="0" applyNumberFormat="1" applyFont="1" applyBorder="1"/>
    <xf numFmtId="0" fontId="16" fillId="0" borderId="3" xfId="0" applyFont="1" applyBorder="1"/>
    <xf numFmtId="0" fontId="16" fillId="0" borderId="1" xfId="0" applyFont="1" applyBorder="1"/>
    <xf numFmtId="166" fontId="16" fillId="0" borderId="3" xfId="0" applyNumberFormat="1" applyFont="1" applyBorder="1"/>
    <xf numFmtId="166" fontId="16" fillId="0" borderId="1" xfId="0" applyNumberFormat="1" applyFont="1" applyBorder="1"/>
    <xf numFmtId="2" fontId="16" fillId="0" borderId="1" xfId="0" applyNumberFormat="1" applyFont="1" applyBorder="1" applyAlignment="1">
      <alignment horizontal="right"/>
    </xf>
    <xf numFmtId="2" fontId="16" fillId="0" borderId="3" xfId="0" applyNumberFormat="1" applyFont="1" applyBorder="1"/>
    <xf numFmtId="2" fontId="16" fillId="0" borderId="1" xfId="0" applyNumberFormat="1" applyFont="1" applyBorder="1"/>
    <xf numFmtId="168" fontId="16" fillId="0" borderId="3" xfId="0" applyNumberFormat="1" applyFont="1" applyBorder="1"/>
    <xf numFmtId="168" fontId="16" fillId="0" borderId="1" xfId="0" applyNumberFormat="1" applyFont="1" applyBorder="1"/>
    <xf numFmtId="165" fontId="16" fillId="0" borderId="3" xfId="0" applyNumberFormat="1" applyFont="1" applyBorder="1"/>
    <xf numFmtId="165" fontId="16" fillId="0" borderId="1" xfId="0" applyNumberFormat="1" applyFont="1" applyBorder="1"/>
    <xf numFmtId="10" fontId="16" fillId="0" borderId="3" xfId="0" applyNumberFormat="1" applyFont="1" applyBorder="1"/>
    <xf numFmtId="0" fontId="16" fillId="0" borderId="2" xfId="0" applyFont="1" applyFill="1" applyBorder="1"/>
    <xf numFmtId="168" fontId="16" fillId="0" borderId="2" xfId="0" applyNumberFormat="1" applyFont="1" applyFill="1" applyBorder="1"/>
    <xf numFmtId="165" fontId="16" fillId="0" borderId="2" xfId="0" applyNumberFormat="1" applyFont="1" applyBorder="1"/>
    <xf numFmtId="165" fontId="16" fillId="0" borderId="0" xfId="0" applyNumberFormat="1" applyFont="1"/>
    <xf numFmtId="9" fontId="16" fillId="0" borderId="2" xfId="0" applyNumberFormat="1" applyFont="1" applyBorder="1"/>
    <xf numFmtId="0" fontId="16" fillId="5" borderId="2" xfId="0" applyFont="1" applyFill="1" applyBorder="1"/>
    <xf numFmtId="0" fontId="14" fillId="3" borderId="0" xfId="0" applyFont="1" applyFill="1"/>
    <xf numFmtId="49" fontId="14" fillId="0" borderId="10" xfId="0" applyNumberFormat="1" applyFont="1" applyBorder="1"/>
    <xf numFmtId="49" fontId="20" fillId="0" borderId="0" xfId="0" applyNumberFormat="1" applyFont="1" applyBorder="1"/>
    <xf numFmtId="0" fontId="20" fillId="0" borderId="0" xfId="0" applyFont="1" applyBorder="1"/>
    <xf numFmtId="2" fontId="20" fillId="0" borderId="2" xfId="0" applyNumberFormat="1" applyFont="1" applyBorder="1"/>
    <xf numFmtId="2" fontId="20" fillId="0" borderId="0" xfId="0" applyNumberFormat="1" applyFont="1"/>
    <xf numFmtId="168" fontId="20" fillId="0" borderId="2" xfId="0" applyNumberFormat="1" applyFont="1" applyBorder="1"/>
    <xf numFmtId="168" fontId="20" fillId="0" borderId="0" xfId="0" applyNumberFormat="1" applyFont="1"/>
    <xf numFmtId="0" fontId="14" fillId="0" borderId="9" xfId="0" applyFont="1" applyBorder="1"/>
    <xf numFmtId="14" fontId="14" fillId="0" borderId="3" xfId="0" applyNumberFormat="1" applyFont="1" applyBorder="1"/>
    <xf numFmtId="14" fontId="14" fillId="0" borderId="1" xfId="0" applyNumberFormat="1" applyFont="1" applyBorder="1"/>
    <xf numFmtId="1" fontId="14" fillId="0" borderId="3" xfId="0" applyNumberFormat="1" applyFont="1" applyBorder="1"/>
    <xf numFmtId="1" fontId="14" fillId="0" borderId="1" xfId="0" applyNumberFormat="1" applyFont="1" applyBorder="1"/>
    <xf numFmtId="165" fontId="14" fillId="0" borderId="3" xfId="0" applyNumberFormat="1" applyFont="1" applyBorder="1"/>
    <xf numFmtId="165" fontId="14" fillId="0" borderId="1" xfId="0" applyNumberFormat="1" applyFont="1" applyBorder="1"/>
    <xf numFmtId="10" fontId="14" fillId="0" borderId="3" xfId="0" applyNumberFormat="1" applyFont="1" applyBorder="1"/>
    <xf numFmtId="10" fontId="14" fillId="0" borderId="1" xfId="0" applyNumberFormat="1" applyFont="1" applyBorder="1"/>
    <xf numFmtId="1" fontId="14" fillId="0" borderId="2" xfId="0" applyNumberFormat="1" applyFont="1" applyBorder="1"/>
    <xf numFmtId="1" fontId="14" fillId="0" borderId="2" xfId="0" applyNumberFormat="1" applyFont="1" applyFill="1" applyBorder="1"/>
    <xf numFmtId="165" fontId="14" fillId="0" borderId="2" xfId="0" applyNumberFormat="1" applyFont="1" applyBorder="1"/>
    <xf numFmtId="165" fontId="14" fillId="0" borderId="0" xfId="0" applyNumberFormat="1" applyFont="1"/>
    <xf numFmtId="0" fontId="14" fillId="0" borderId="4" xfId="0" applyFont="1" applyFill="1" applyBorder="1" applyAlignment="1">
      <alignment horizontal="center" vertical="center" wrapText="1"/>
    </xf>
    <xf numFmtId="10" fontId="14" fillId="0" borderId="2" xfId="0" applyNumberFormat="1" applyFont="1" applyFill="1" applyBorder="1"/>
    <xf numFmtId="49" fontId="14" fillId="0" borderId="2" xfId="0" quotePrefix="1" applyNumberFormat="1" applyFont="1" applyBorder="1"/>
    <xf numFmtId="49" fontId="14" fillId="0" borderId="0" xfId="0" quotePrefix="1" applyNumberFormat="1" applyFont="1" applyFill="1" applyBorder="1"/>
    <xf numFmtId="14" fontId="14" fillId="0" borderId="2" xfId="0" applyNumberFormat="1" applyFont="1" applyFill="1" applyBorder="1"/>
    <xf numFmtId="0" fontId="14" fillId="0" borderId="9" xfId="0" applyFont="1" applyFill="1" applyBorder="1"/>
    <xf numFmtId="10" fontId="14" fillId="0" borderId="6" xfId="3" applyNumberFormat="1" applyFont="1" applyBorder="1" applyAlignment="1">
      <alignment horizontal="center" vertical="center" wrapText="1"/>
    </xf>
    <xf numFmtId="0" fontId="16" fillId="0" borderId="0" xfId="0" applyFont="1" applyFill="1"/>
    <xf numFmtId="10" fontId="16" fillId="0" borderId="2" xfId="3" applyNumberFormat="1" applyFont="1" applyBorder="1" applyAlignment="1">
      <alignment horizontal="right"/>
    </xf>
    <xf numFmtId="10" fontId="16" fillId="0" borderId="0" xfId="3" applyNumberFormat="1" applyFont="1" applyAlignment="1">
      <alignment horizontal="right"/>
    </xf>
    <xf numFmtId="1" fontId="16" fillId="0" borderId="8" xfId="0" applyNumberFormat="1" applyFont="1" applyFill="1" applyBorder="1" applyAlignment="1">
      <alignment horizontal="right"/>
    </xf>
    <xf numFmtId="10" fontId="14" fillId="0" borderId="2" xfId="3" applyNumberFormat="1" applyFont="1" applyBorder="1" applyAlignment="1">
      <alignment horizontal="right"/>
    </xf>
    <xf numFmtId="10" fontId="14" fillId="0" borderId="0" xfId="3" applyNumberFormat="1" applyFont="1" applyAlignment="1">
      <alignment horizontal="right"/>
    </xf>
    <xf numFmtId="0" fontId="14" fillId="0" borderId="13" xfId="0" applyFont="1" applyFill="1" applyBorder="1" applyAlignment="1">
      <alignment horizontal="center" vertical="center" wrapText="1"/>
    </xf>
    <xf numFmtId="49" fontId="14" fillId="0" borderId="0" xfId="0" quotePrefix="1" applyNumberFormat="1" applyFont="1" applyBorder="1"/>
    <xf numFmtId="0" fontId="21" fillId="0" borderId="0" xfId="0" applyFont="1" applyAlignment="1">
      <alignment horizontal="center"/>
    </xf>
    <xf numFmtId="10" fontId="14" fillId="0" borderId="0" xfId="3" applyNumberFormat="1" applyFont="1" applyBorder="1"/>
    <xf numFmtId="0" fontId="15" fillId="0" borderId="0" xfId="0" applyFont="1"/>
    <xf numFmtId="0" fontId="16" fillId="0" borderId="6" xfId="0" applyFont="1" applyFill="1" applyBorder="1" applyAlignment="1">
      <alignment horizontal="center" vertical="center" wrapText="1"/>
    </xf>
    <xf numFmtId="0" fontId="14" fillId="0" borderId="5" xfId="0" applyFont="1" applyBorder="1"/>
    <xf numFmtId="1" fontId="16" fillId="0" borderId="3" xfId="0" applyNumberFormat="1" applyFont="1" applyBorder="1"/>
    <xf numFmtId="1" fontId="16" fillId="0" borderId="1" xfId="0" applyNumberFormat="1" applyFont="1" applyBorder="1"/>
    <xf numFmtId="10" fontId="16" fillId="0" borderId="3" xfId="0" applyNumberFormat="1" applyFont="1" applyBorder="1" applyAlignment="1">
      <alignment horizontal="right"/>
    </xf>
    <xf numFmtId="10" fontId="16" fillId="0" borderId="1" xfId="0" applyNumberFormat="1" applyFont="1" applyBorder="1" applyAlignment="1">
      <alignment horizontal="right"/>
    </xf>
    <xf numFmtId="16" fontId="16" fillId="0" borderId="2" xfId="0" applyNumberFormat="1" applyFont="1" applyBorder="1"/>
    <xf numFmtId="1" fontId="16" fillId="0" borderId="2" xfId="0" applyNumberFormat="1" applyFont="1" applyFill="1" applyBorder="1"/>
    <xf numFmtId="0" fontId="15" fillId="0" borderId="0" xfId="0" applyFont="1" applyFill="1" applyBorder="1"/>
    <xf numFmtId="168" fontId="16" fillId="0" borderId="0" xfId="0" applyNumberFormat="1" applyFont="1" applyBorder="1"/>
    <xf numFmtId="0" fontId="16" fillId="0" borderId="0" xfId="0" applyFont="1" applyBorder="1" applyAlignment="1">
      <alignment horizontal="right"/>
    </xf>
    <xf numFmtId="9" fontId="16" fillId="0" borderId="2" xfId="0" applyNumberFormat="1" applyFont="1" applyBorder="1" applyAlignment="1">
      <alignment horizontal="right"/>
    </xf>
    <xf numFmtId="0" fontId="16" fillId="0" borderId="8" xfId="0" applyFont="1" applyBorder="1"/>
    <xf numFmtId="49" fontId="14" fillId="0" borderId="2" xfId="0" applyNumberFormat="1" applyFont="1" applyFill="1" applyBorder="1"/>
    <xf numFmtId="49" fontId="14" fillId="0" borderId="0" xfId="0" applyNumberFormat="1" applyFont="1" applyFill="1" applyBorder="1"/>
    <xf numFmtId="166" fontId="14" fillId="0" borderId="2" xfId="0" applyNumberFormat="1" applyFont="1" applyFill="1" applyBorder="1"/>
    <xf numFmtId="166" fontId="14" fillId="0" borderId="0" xfId="0" applyNumberFormat="1" applyFont="1" applyFill="1" applyBorder="1"/>
    <xf numFmtId="2" fontId="14" fillId="0" borderId="2" xfId="0" applyNumberFormat="1" applyFont="1" applyFill="1" applyBorder="1"/>
    <xf numFmtId="2" fontId="14" fillId="0" borderId="0" xfId="0" applyNumberFormat="1" applyFont="1" applyFill="1"/>
    <xf numFmtId="0" fontId="14" fillId="0" borderId="4" xfId="0" applyFont="1" applyFill="1" applyBorder="1"/>
    <xf numFmtId="0" fontId="14" fillId="0" borderId="0" xfId="0" quotePrefix="1" applyFont="1" applyFill="1"/>
    <xf numFmtId="49" fontId="14" fillId="0" borderId="1" xfId="0" applyNumberFormat="1" applyFont="1" applyBorder="1"/>
    <xf numFmtId="9" fontId="16" fillId="0" borderId="0" xfId="0" applyNumberFormat="1" applyFont="1" applyAlignment="1">
      <alignment horizontal="right"/>
    </xf>
    <xf numFmtId="10" fontId="14" fillId="0" borderId="0" xfId="0" applyNumberFormat="1" applyFont="1" applyBorder="1"/>
    <xf numFmtId="10" fontId="14" fillId="0" borderId="0" xfId="0" quotePrefix="1" applyNumberFormat="1" applyFont="1"/>
    <xf numFmtId="10" fontId="14" fillId="0" borderId="8" xfId="0" applyNumberFormat="1" applyFont="1" applyBorder="1"/>
    <xf numFmtId="0" fontId="14" fillId="0" borderId="4" xfId="0" quotePrefix="1" applyFont="1" applyBorder="1"/>
    <xf numFmtId="167" fontId="14" fillId="0" borderId="2" xfId="0" applyNumberFormat="1" applyFont="1" applyBorder="1"/>
    <xf numFmtId="0" fontId="14" fillId="0" borderId="6" xfId="0" applyFont="1" applyFill="1" applyBorder="1"/>
    <xf numFmtId="0" fontId="16" fillId="4" borderId="1" xfId="0" applyFont="1" applyFill="1" applyBorder="1"/>
    <xf numFmtId="167" fontId="16" fillId="0" borderId="3" xfId="0" applyNumberFormat="1" applyFont="1" applyBorder="1"/>
    <xf numFmtId="167" fontId="16" fillId="0" borderId="2" xfId="0" applyNumberFormat="1" applyFont="1" applyBorder="1"/>
    <xf numFmtId="3" fontId="14" fillId="0" borderId="2" xfId="0" quotePrefix="1" applyNumberFormat="1" applyFont="1" applyBorder="1"/>
    <xf numFmtId="0" fontId="23" fillId="0" borderId="0" xfId="0" applyFont="1"/>
    <xf numFmtId="165" fontId="14" fillId="0" borderId="0" xfId="0" applyNumberFormat="1" applyFont="1" applyBorder="1"/>
    <xf numFmtId="0" fontId="14" fillId="0" borderId="0" xfId="0" applyNumberFormat="1" applyFont="1"/>
    <xf numFmtId="0" fontId="14" fillId="0" borderId="6" xfId="0" applyFont="1" applyBorder="1"/>
    <xf numFmtId="169" fontId="14" fillId="0" borderId="2" xfId="0" applyNumberFormat="1" applyFont="1" applyFill="1" applyBorder="1"/>
    <xf numFmtId="169" fontId="14" fillId="0" borderId="0" xfId="0" applyNumberFormat="1" applyFont="1" applyFill="1"/>
    <xf numFmtId="167" fontId="14" fillId="0" borderId="2" xfId="0" applyNumberFormat="1" applyFont="1" applyFill="1" applyBorder="1"/>
    <xf numFmtId="169" fontId="14" fillId="0" borderId="0" xfId="0" applyNumberFormat="1" applyFont="1" applyFill="1" applyBorder="1"/>
    <xf numFmtId="0" fontId="14" fillId="0" borderId="2" xfId="0" applyNumberFormat="1" applyFont="1" applyBorder="1"/>
    <xf numFmtId="0" fontId="17" fillId="0" borderId="9" xfId="0" applyFont="1" applyFill="1" applyBorder="1"/>
    <xf numFmtId="0" fontId="14" fillId="0" borderId="15" xfId="0" applyFont="1" applyFill="1" applyBorder="1" applyAlignment="1">
      <alignment horizontal="center" vertical="center" wrapText="1"/>
    </xf>
    <xf numFmtId="0" fontId="17" fillId="0" borderId="0" xfId="0" applyFont="1" applyFill="1" applyBorder="1"/>
    <xf numFmtId="0" fontId="15" fillId="0" borderId="2" xfId="0" applyFont="1" applyBorder="1"/>
    <xf numFmtId="0" fontId="19" fillId="0" borderId="0" xfId="0" applyFont="1" applyFill="1"/>
    <xf numFmtId="0" fontId="17" fillId="0" borderId="0" xfId="0" applyFont="1" applyFill="1"/>
    <xf numFmtId="0" fontId="24" fillId="0" borderId="0" xfId="0" applyFont="1"/>
    <xf numFmtId="0" fontId="21" fillId="0" borderId="0" xfId="0" applyFont="1" applyFill="1"/>
    <xf numFmtId="167" fontId="14" fillId="0" borderId="8" xfId="0" applyNumberFormat="1" applyFont="1" applyBorder="1"/>
    <xf numFmtId="0" fontId="19" fillId="0" borderId="1" xfId="0" applyFont="1" applyFill="1" applyBorder="1"/>
    <xf numFmtId="0" fontId="14" fillId="0" borderId="11" xfId="0" applyFont="1" applyBorder="1"/>
    <xf numFmtId="49" fontId="16" fillId="4" borderId="0" xfId="0" applyNumberFormat="1" applyFont="1" applyFill="1" applyBorder="1"/>
    <xf numFmtId="171" fontId="14" fillId="0" borderId="0" xfId="0" applyNumberFormat="1" applyFont="1" applyBorder="1"/>
    <xf numFmtId="0" fontId="14" fillId="0" borderId="0" xfId="0" applyNumberFormat="1" applyFont="1" applyBorder="1"/>
    <xf numFmtId="1" fontId="16" fillId="0" borderId="0" xfId="0" applyNumberFormat="1" applyFont="1"/>
    <xf numFmtId="1" fontId="16" fillId="0" borderId="0" xfId="0" applyNumberFormat="1" applyFont="1" applyFill="1"/>
    <xf numFmtId="49" fontId="14" fillId="0" borderId="2" xfId="0" applyNumberFormat="1" applyFont="1" applyBorder="1" applyProtection="1"/>
    <xf numFmtId="16" fontId="14" fillId="0" borderId="3" xfId="0" quotePrefix="1" applyNumberFormat="1" applyFont="1" applyBorder="1"/>
    <xf numFmtId="10" fontId="16" fillId="0" borderId="0" xfId="0" applyNumberFormat="1" applyFont="1" applyBorder="1" applyAlignment="1">
      <alignment horizontal="right"/>
    </xf>
    <xf numFmtId="0" fontId="14" fillId="0" borderId="16" xfId="0" applyFont="1" applyBorder="1" applyAlignment="1">
      <alignment horizontal="center" vertical="center" wrapText="1"/>
    </xf>
    <xf numFmtId="10" fontId="5" fillId="0" borderId="2" xfId="3" applyNumberFormat="1" applyFont="1" applyBorder="1"/>
    <xf numFmtId="10" fontId="5" fillId="0" borderId="0" xfId="3" applyNumberFormat="1" applyFont="1"/>
    <xf numFmtId="10" fontId="14" fillId="0" borderId="7" xfId="0" applyNumberFormat="1" applyFont="1" applyBorder="1"/>
    <xf numFmtId="10" fontId="16" fillId="0" borderId="8" xfId="0" applyNumberFormat="1" applyFont="1" applyBorder="1"/>
    <xf numFmtId="10" fontId="16" fillId="0" borderId="8" xfId="0" applyNumberFormat="1" applyFont="1" applyBorder="1" applyAlignment="1">
      <alignment horizontal="right"/>
    </xf>
    <xf numFmtId="10" fontId="14" fillId="0" borderId="8" xfId="0" applyNumberFormat="1" applyFont="1" applyBorder="1" applyAlignment="1">
      <alignment horizontal="right"/>
    </xf>
    <xf numFmtId="10" fontId="14" fillId="0" borderId="8" xfId="3" applyNumberFormat="1" applyFont="1" applyBorder="1"/>
    <xf numFmtId="10" fontId="14" fillId="0" borderId="3" xfId="3" applyNumberFormat="1" applyFont="1" applyBorder="1"/>
    <xf numFmtId="10" fontId="14" fillId="0" borderId="1" xfId="3" applyNumberFormat="1" applyFont="1" applyBorder="1"/>
    <xf numFmtId="10" fontId="14" fillId="0" borderId="2" xfId="3" applyNumberFormat="1" applyFont="1" applyFill="1" applyBorder="1"/>
    <xf numFmtId="10" fontId="14" fillId="0" borderId="0" xfId="0" applyNumberFormat="1" applyFont="1" applyFill="1"/>
    <xf numFmtId="0" fontId="15" fillId="0" borderId="0" xfId="0" applyFont="1" applyBorder="1"/>
    <xf numFmtId="0" fontId="6" fillId="0" borderId="2" xfId="0" applyFont="1" applyBorder="1"/>
    <xf numFmtId="14" fontId="5" fillId="0" borderId="2" xfId="0" quotePrefix="1" applyNumberFormat="1" applyFont="1" applyBorder="1"/>
    <xf numFmtId="168" fontId="5" fillId="0" borderId="2" xfId="0" applyNumberFormat="1" applyFont="1" applyBorder="1"/>
    <xf numFmtId="10" fontId="5" fillId="0" borderId="8" xfId="0" applyNumberFormat="1" applyFont="1" applyBorder="1"/>
    <xf numFmtId="14" fontId="5" fillId="0" borderId="0" xfId="0" applyNumberFormat="1" applyFont="1"/>
    <xf numFmtId="3" fontId="5" fillId="0" borderId="2" xfId="0" applyNumberFormat="1" applyFont="1" applyBorder="1"/>
    <xf numFmtId="0" fontId="5" fillId="0" borderId="0" xfId="0" quotePrefix="1" applyFont="1"/>
    <xf numFmtId="1" fontId="14" fillId="0" borderId="8" xfId="0" applyNumberFormat="1" applyFont="1" applyFill="1" applyBorder="1" applyAlignment="1">
      <alignment horizontal="center" vertical="center" wrapText="1"/>
    </xf>
    <xf numFmtId="1" fontId="14" fillId="0" borderId="0" xfId="0" applyNumberFormat="1" applyFont="1"/>
    <xf numFmtId="1" fontId="14" fillId="0" borderId="10" xfId="0" applyNumberFormat="1" applyFont="1" applyBorder="1"/>
    <xf numFmtId="1" fontId="14" fillId="0" borderId="0" xfId="0" applyNumberFormat="1" applyFont="1" applyBorder="1"/>
    <xf numFmtId="1" fontId="0" fillId="0" borderId="0" xfId="0" applyNumberFormat="1"/>
    <xf numFmtId="0" fontId="5" fillId="0" borderId="6" xfId="0" applyFont="1" applyBorder="1" applyAlignment="1">
      <alignment horizontal="center" vertical="center" wrapText="1"/>
    </xf>
    <xf numFmtId="0" fontId="5" fillId="0" borderId="3" xfId="0" applyFont="1" applyBorder="1"/>
    <xf numFmtId="16" fontId="6" fillId="0" borderId="2" xfId="0" applyNumberFormat="1" applyFont="1" applyBorder="1"/>
    <xf numFmtId="166" fontId="14" fillId="0" borderId="0" xfId="0" quotePrefix="1" applyNumberFormat="1" applyFont="1"/>
    <xf numFmtId="3" fontId="14" fillId="0" borderId="0" xfId="0" applyNumberFormat="1" applyFont="1"/>
    <xf numFmtId="14" fontId="14" fillId="0" borderId="0" xfId="0" quotePrefix="1" applyNumberFormat="1" applyFont="1" applyBorder="1"/>
    <xf numFmtId="3" fontId="14" fillId="0" borderId="0" xfId="0" quotePrefix="1" applyNumberFormat="1" applyFont="1"/>
    <xf numFmtId="49" fontId="14" fillId="0" borderId="0" xfId="0" applyNumberFormat="1" applyFont="1"/>
    <xf numFmtId="165" fontId="16" fillId="0" borderId="2" xfId="0" quotePrefix="1" applyNumberFormat="1" applyFont="1" applyBorder="1" applyAlignment="1">
      <alignment horizontal="right"/>
    </xf>
    <xf numFmtId="168" fontId="14" fillId="0" borderId="0" xfId="0" applyNumberFormat="1" applyFont="1" applyBorder="1"/>
    <xf numFmtId="49" fontId="14" fillId="0" borderId="14" xfId="0" applyNumberFormat="1" applyFont="1" applyBorder="1" applyAlignment="1">
      <alignment horizontal="center" vertical="center" wrapText="1"/>
    </xf>
    <xf numFmtId="49" fontId="14" fillId="0" borderId="0" xfId="0" quotePrefix="1" applyNumberFormat="1" applyFont="1"/>
    <xf numFmtId="49" fontId="5" fillId="0" borderId="0" xfId="0" applyNumberFormat="1" applyFont="1"/>
    <xf numFmtId="18" fontId="14" fillId="0" borderId="2" xfId="0" applyNumberFormat="1" applyFont="1" applyBorder="1"/>
    <xf numFmtId="10" fontId="14" fillId="0" borderId="15" xfId="0" applyNumberFormat="1" applyFont="1" applyBorder="1" applyAlignment="1">
      <alignment horizontal="center" vertical="center" wrapText="1"/>
    </xf>
    <xf numFmtId="10" fontId="14" fillId="0" borderId="7" xfId="0" applyNumberFormat="1" applyFont="1" applyBorder="1" applyAlignment="1">
      <alignment horizontal="right"/>
    </xf>
    <xf numFmtId="9" fontId="14" fillId="0" borderId="8" xfId="3" applyFont="1" applyBorder="1"/>
    <xf numFmtId="169" fontId="14" fillId="0" borderId="8" xfId="0" applyNumberFormat="1" applyFont="1" applyBorder="1"/>
    <xf numFmtId="0" fontId="14" fillId="0" borderId="15" xfId="0" applyFont="1" applyBorder="1" applyAlignment="1">
      <alignment horizontal="center" vertical="center" wrapText="1"/>
    </xf>
    <xf numFmtId="0" fontId="16" fillId="0" borderId="8" xfId="0" applyFont="1" applyBorder="1" applyAlignment="1">
      <alignment horizontal="right"/>
    </xf>
    <xf numFmtId="0" fontId="14" fillId="0" borderId="8" xfId="0" applyFont="1" applyBorder="1" applyAlignment="1">
      <alignment horizontal="right"/>
    </xf>
    <xf numFmtId="0" fontId="14" fillId="0" borderId="7" xfId="0" applyFont="1" applyBorder="1" applyAlignment="1">
      <alignment horizontal="right"/>
    </xf>
    <xf numFmtId="0" fontId="16" fillId="0" borderId="8" xfId="0" applyNumberFormat="1" applyFont="1" applyBorder="1"/>
    <xf numFmtId="10" fontId="14" fillId="0" borderId="8" xfId="0" quotePrefix="1" applyNumberFormat="1" applyFont="1" applyBorder="1"/>
    <xf numFmtId="3" fontId="14" fillId="0" borderId="2" xfId="0" applyNumberFormat="1" applyFont="1" applyBorder="1"/>
    <xf numFmtId="16" fontId="14" fillId="0" borderId="0" xfId="0" applyNumberFormat="1" applyFont="1"/>
    <xf numFmtId="0" fontId="14" fillId="0" borderId="8" xfId="0" applyFont="1" applyFill="1" applyBorder="1"/>
    <xf numFmtId="9" fontId="16" fillId="0" borderId="0" xfId="0" applyNumberFormat="1" applyFont="1" applyFill="1" applyBorder="1" applyAlignment="1">
      <alignment horizontal="right"/>
    </xf>
    <xf numFmtId="49" fontId="14" fillId="0" borderId="9" xfId="0" applyNumberFormat="1" applyFont="1" applyBorder="1" applyAlignment="1">
      <alignment horizontal="center" vertical="center" wrapText="1"/>
    </xf>
    <xf numFmtId="49" fontId="14" fillId="0" borderId="11" xfId="0" applyNumberFormat="1" applyFont="1" applyBorder="1"/>
    <xf numFmtId="49" fontId="16" fillId="0" borderId="4" xfId="0" applyNumberFormat="1" applyFont="1" applyBorder="1"/>
    <xf numFmtId="49" fontId="16" fillId="4" borderId="4" xfId="0" applyNumberFormat="1" applyFont="1" applyFill="1" applyBorder="1"/>
    <xf numFmtId="49" fontId="18" fillId="0" borderId="4" xfId="0" applyNumberFormat="1" applyFont="1" applyBorder="1"/>
    <xf numFmtId="3" fontId="14" fillId="0" borderId="0" xfId="0" applyNumberFormat="1" applyFont="1" applyBorder="1"/>
    <xf numFmtId="166" fontId="14" fillId="0" borderId="4" xfId="0" applyNumberFormat="1" applyFont="1" applyBorder="1"/>
    <xf numFmtId="49" fontId="28" fillId="0" borderId="0" xfId="0" applyNumberFormat="1" applyFont="1" applyAlignment="1" applyProtection="1">
      <alignment horizontal="center" vertical="center"/>
    </xf>
    <xf numFmtId="4" fontId="14" fillId="0" borderId="8" xfId="0" applyNumberFormat="1" applyFont="1" applyBorder="1"/>
    <xf numFmtId="0" fontId="5" fillId="0" borderId="2" xfId="0" applyFont="1" applyBorder="1" applyAlignment="1">
      <alignment horizontal="left"/>
    </xf>
    <xf numFmtId="0" fontId="23" fillId="0" borderId="0" xfId="0" applyFont="1" applyBorder="1"/>
    <xf numFmtId="0" fontId="12" fillId="0" borderId="0" xfId="0" applyFont="1" applyBorder="1"/>
    <xf numFmtId="0" fontId="5" fillId="0" borderId="2" xfId="0" quotePrefix="1" applyFont="1" applyBorder="1"/>
    <xf numFmtId="0" fontId="0" fillId="0" borderId="5" xfId="0" applyBorder="1" applyAlignment="1">
      <alignment horizontal="center" vertical="center"/>
    </xf>
    <xf numFmtId="49" fontId="5" fillId="0" borderId="2" xfId="0" applyNumberFormat="1" applyFont="1" applyBorder="1"/>
    <xf numFmtId="0" fontId="19" fillId="0" borderId="4" xfId="0" applyFont="1" applyFill="1" applyBorder="1"/>
    <xf numFmtId="0" fontId="17" fillId="0" borderId="2" xfId="0" applyFont="1" applyBorder="1"/>
    <xf numFmtId="49" fontId="5" fillId="0" borderId="0" xfId="0" applyNumberFormat="1" applyFont="1" applyBorder="1"/>
    <xf numFmtId="0" fontId="5" fillId="0" borderId="0" xfId="0" applyFont="1" applyBorder="1"/>
    <xf numFmtId="166" fontId="14" fillId="0" borderId="0" xfId="0" applyNumberFormat="1" applyFont="1" applyBorder="1"/>
    <xf numFmtId="2" fontId="14" fillId="0" borderId="2" xfId="0" applyNumberFormat="1" applyFont="1" applyBorder="1"/>
    <xf numFmtId="168" fontId="14" fillId="0" borderId="2" xfId="0" applyNumberFormat="1" applyFont="1" applyBorder="1"/>
    <xf numFmtId="168" fontId="14" fillId="0" borderId="0" xfId="0" applyNumberFormat="1" applyFont="1"/>
    <xf numFmtId="0" fontId="14" fillId="3" borderId="0" xfId="0" applyFont="1" applyFill="1"/>
    <xf numFmtId="0" fontId="5" fillId="0" borderId="0" xfId="0" applyFont="1"/>
    <xf numFmtId="0" fontId="5" fillId="0" borderId="2" xfId="0" applyFont="1" applyBorder="1"/>
    <xf numFmtId="0" fontId="16" fillId="0" borderId="2" xfId="0" applyFont="1" applyBorder="1"/>
    <xf numFmtId="0" fontId="16" fillId="0" borderId="0" xfId="0" applyFont="1" applyBorder="1"/>
    <xf numFmtId="0" fontId="14" fillId="0" borderId="0" xfId="0" quotePrefix="1" applyFont="1"/>
    <xf numFmtId="49" fontId="16" fillId="0" borderId="4" xfId="0" applyNumberFormat="1" applyFont="1" applyBorder="1"/>
    <xf numFmtId="49" fontId="5" fillId="0" borderId="4" xfId="0" applyNumberFormat="1" applyFont="1" applyBorder="1"/>
    <xf numFmtId="0" fontId="14" fillId="0" borderId="0" xfId="0" applyFont="1" applyBorder="1"/>
    <xf numFmtId="49" fontId="16" fillId="0" borderId="0" xfId="0" applyNumberFormat="1" applyFont="1" applyBorder="1"/>
    <xf numFmtId="49" fontId="14" fillId="0" borderId="0" xfId="0" applyNumberFormat="1" applyFont="1" applyBorder="1"/>
    <xf numFmtId="0" fontId="14" fillId="0" borderId="8" xfId="0" applyFont="1" applyBorder="1"/>
    <xf numFmtId="2" fontId="14" fillId="0" borderId="0" xfId="0" applyNumberFormat="1" applyFont="1"/>
    <xf numFmtId="10" fontId="14" fillId="0" borderId="2" xfId="0" applyNumberFormat="1" applyFont="1" applyBorder="1"/>
    <xf numFmtId="10" fontId="14" fillId="0" borderId="0" xfId="0" applyNumberFormat="1" applyFont="1"/>
    <xf numFmtId="166" fontId="14" fillId="0" borderId="0" xfId="0" applyNumberFormat="1" applyFont="1"/>
    <xf numFmtId="10" fontId="14" fillId="0" borderId="8" xfId="0" applyNumberFormat="1" applyFont="1" applyBorder="1"/>
    <xf numFmtId="0" fontId="0" fillId="0" borderId="0" xfId="0"/>
    <xf numFmtId="49" fontId="14" fillId="0" borderId="2" xfId="0" applyNumberFormat="1" applyFont="1" applyBorder="1"/>
    <xf numFmtId="0" fontId="14" fillId="0" borderId="2" xfId="0" applyFont="1" applyBorder="1"/>
    <xf numFmtId="166" fontId="14" fillId="0" borderId="2" xfId="0" applyNumberFormat="1" applyFont="1" applyBorder="1"/>
    <xf numFmtId="0" fontId="14" fillId="0" borderId="0" xfId="0" applyFont="1"/>
    <xf numFmtId="49" fontId="14" fillId="0" borderId="4" xfId="0" applyNumberFormat="1" applyFont="1" applyBorder="1"/>
    <xf numFmtId="49" fontId="14" fillId="0" borderId="0" xfId="0" applyNumberFormat="1" applyFont="1"/>
    <xf numFmtId="49" fontId="20" fillId="0" borderId="0" xfId="0" applyNumberFormat="1" applyFont="1"/>
    <xf numFmtId="1" fontId="14" fillId="0" borderId="0" xfId="0" quotePrefix="1" applyNumberFormat="1" applyFont="1"/>
    <xf numFmtId="0" fontId="29" fillId="0" borderId="4" xfId="0" applyFont="1" applyBorder="1"/>
    <xf numFmtId="49" fontId="18" fillId="0" borderId="0" xfId="0" applyNumberFormat="1" applyFont="1" applyBorder="1"/>
    <xf numFmtId="16" fontId="14" fillId="0" borderId="11" xfId="0" applyNumberFormat="1" applyFont="1" applyBorder="1"/>
    <xf numFmtId="16" fontId="14" fillId="0" borderId="4" xfId="0" applyNumberFormat="1" applyFont="1" applyBorder="1"/>
    <xf numFmtId="0" fontId="18" fillId="0" borderId="2" xfId="0" applyFont="1" applyBorder="1"/>
    <xf numFmtId="49" fontId="14" fillId="3" borderId="4" xfId="0" applyNumberFormat="1" applyFont="1" applyFill="1" applyBorder="1"/>
    <xf numFmtId="49" fontId="17" fillId="0" borderId="4" xfId="0" applyNumberFormat="1" applyFont="1" applyBorder="1"/>
    <xf numFmtId="18" fontId="14" fillId="0" borderId="4" xfId="0" applyNumberFormat="1" applyFont="1" applyBorder="1"/>
    <xf numFmtId="16" fontId="14" fillId="0" borderId="7" xfId="0" applyNumberFormat="1" applyFont="1" applyBorder="1"/>
    <xf numFmtId="16" fontId="14" fillId="0" borderId="8" xfId="0" applyNumberFormat="1" applyFont="1" applyBorder="1"/>
    <xf numFmtId="0" fontId="16" fillId="0" borderId="8" xfId="0" applyFont="1" applyBorder="1" applyAlignment="1"/>
    <xf numFmtId="0" fontId="17" fillId="2" borderId="8" xfId="0" applyFont="1" applyFill="1" applyBorder="1"/>
    <xf numFmtId="0" fontId="16" fillId="5" borderId="8" xfId="0" applyFont="1" applyFill="1" applyBorder="1"/>
    <xf numFmtId="0" fontId="18" fillId="0" borderId="8" xfId="0" applyFont="1" applyBorder="1"/>
    <xf numFmtId="49" fontId="14" fillId="0" borderId="8" xfId="0" applyNumberFormat="1" applyFont="1" applyBorder="1"/>
    <xf numFmtId="14" fontId="14" fillId="0" borderId="2" xfId="0" quotePrefix="1" applyNumberFormat="1" applyFont="1" applyBorder="1"/>
    <xf numFmtId="49" fontId="14" fillId="0" borderId="2" xfId="0" applyNumberFormat="1" applyFont="1" applyBorder="1" applyAlignment="1">
      <alignment horizontal="left"/>
    </xf>
    <xf numFmtId="0" fontId="15" fillId="0" borderId="4" xfId="0" applyFont="1" applyFill="1" applyBorder="1"/>
    <xf numFmtId="0" fontId="18" fillId="0" borderId="0" xfId="0" quotePrefix="1" applyFont="1"/>
  </cellXfs>
  <cellStyles count="62">
    <cellStyle name="Comma" xfId="4" builtinId="3"/>
    <cellStyle name="Comma0" xfId="2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7" builtinId="9" hidden="1"/>
    <cellStyle name="Followed Hyperlink" xfId="59" builtinId="9" hidden="1"/>
    <cellStyle name="Followed Hyperlink" xfId="61" builtinId="9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6" builtinId="8" hidden="1"/>
    <cellStyle name="Hyperlink" xfId="58" builtinId="8" hidden="1"/>
    <cellStyle name="Hyperlink" xfId="60" builtinId="8" hidden="1"/>
    <cellStyle name="Normal" xfId="0" builtinId="0"/>
    <cellStyle name="Normal 2" xfId="1"/>
    <cellStyle name="Normal 5" xfId="55"/>
    <cellStyle name="Percent" xfId="3" builtinId="5"/>
  </cellStyles>
  <dxfs count="3616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ont>
        <color rgb="FFFF0000"/>
      </font>
    </dxf>
    <dxf>
      <fill>
        <patternFill>
          <bgColor theme="0" tint="-0.34998626667073579"/>
        </patternFill>
      </fill>
    </dxf>
    <dxf>
      <font>
        <color rgb="FFFF0000"/>
      </font>
    </dxf>
    <dxf>
      <font>
        <color rgb="FFFF0000"/>
      </font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34998626667073579"/>
        </patternFill>
      </fill>
    </dxf>
    <dxf>
      <font>
        <color rgb="FFFF0000"/>
      </font>
    </dxf>
    <dxf>
      <fill>
        <patternFill>
          <bgColor theme="0" tint="-0.34998626667073579"/>
        </patternFill>
      </fill>
    </dxf>
    <dxf>
      <font>
        <color rgb="FFFF0000"/>
      </font>
    </dxf>
    <dxf>
      <fill>
        <patternFill>
          <bgColor theme="0" tint="-0.34998626667073579"/>
        </patternFill>
      </fill>
    </dxf>
    <dxf>
      <font>
        <color rgb="FFFF0000"/>
      </font>
    </dxf>
    <dxf>
      <fill>
        <patternFill>
          <bgColor theme="0" tint="-0.34998626667073579"/>
        </patternFill>
      </fill>
    </dxf>
    <dxf>
      <font>
        <color rgb="FFFF0000"/>
      </font>
    </dxf>
    <dxf>
      <fill>
        <patternFill>
          <bgColor theme="0" tint="-0.34998626667073579"/>
        </patternFill>
      </fill>
    </dxf>
    <dxf>
      <font>
        <color rgb="FFFF0000"/>
      </font>
    </dxf>
    <dxf>
      <fill>
        <patternFill>
          <bgColor theme="0" tint="-0.34998626667073579"/>
        </patternFill>
      </fill>
    </dxf>
    <dxf>
      <font>
        <color rgb="FFFF0000"/>
      </font>
    </dxf>
    <dxf>
      <fill>
        <patternFill>
          <bgColor theme="0" tint="-0.34998626667073579"/>
        </patternFill>
      </fill>
    </dxf>
    <dxf>
      <font>
        <color rgb="FFFF0000"/>
      </font>
    </dxf>
    <dxf>
      <fill>
        <patternFill>
          <bgColor theme="0" tint="-0.34998626667073579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34998626667073579"/>
        </patternFill>
      </fill>
    </dxf>
    <dxf>
      <font>
        <color rgb="FFFF0000"/>
      </font>
    </dxf>
    <dxf>
      <fill>
        <patternFill>
          <bgColor theme="0" tint="-0.34998626667073579"/>
        </patternFill>
      </fill>
    </dxf>
    <dxf>
      <font>
        <color rgb="FFFF0000"/>
      </font>
    </dxf>
    <dxf>
      <fill>
        <patternFill>
          <bgColor theme="0" tint="-0.34998626667073579"/>
        </patternFill>
      </fill>
    </dxf>
    <dxf>
      <font>
        <color rgb="FFFF0000"/>
      </font>
    </dxf>
    <dxf>
      <fill>
        <patternFill>
          <bgColor theme="0" tint="-0.34998626667073579"/>
        </patternFill>
      </fill>
    </dxf>
    <dxf>
      <font>
        <color rgb="FFFF0000"/>
      </font>
    </dxf>
    <dxf>
      <fill>
        <patternFill>
          <bgColor theme="0" tint="-0.34998626667073579"/>
        </patternFill>
      </fill>
    </dxf>
    <dxf>
      <font>
        <color rgb="FFFF0000"/>
      </font>
    </dxf>
    <dxf>
      <fill>
        <patternFill>
          <bgColor theme="0" tint="-0.34998626667073579"/>
        </patternFill>
      </fill>
    </dxf>
    <dxf>
      <font>
        <color rgb="FFFF0000"/>
      </font>
    </dxf>
    <dxf>
      <fill>
        <patternFill>
          <bgColor theme="0" tint="-0.34998626667073579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  <fill>
        <patternFill patternType="none">
          <bgColor indexed="65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  <fill>
        <patternFill patternType="none">
          <bgColor indexed="65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  <fill>
        <patternFill patternType="none">
          <bgColor indexed="65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theme" Target="theme/theme1.xml"/><Relationship Id="rId14" Type="http://schemas.openxmlformats.org/officeDocument/2006/relationships/styles" Target="styles.xml"/><Relationship Id="rId15" Type="http://schemas.openxmlformats.org/officeDocument/2006/relationships/sharedStrings" Target="sharedStrings.xml"/><Relationship Id="rId16" Type="http://schemas.openxmlformats.org/officeDocument/2006/relationships/calcChain" Target="calcChain.xml"/><Relationship Id="rId1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7.vml"/><Relationship Id="rId2" Type="http://schemas.openxmlformats.org/officeDocument/2006/relationships/comments" Target="../comments7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8.vml"/><Relationship Id="rId2" Type="http://schemas.openxmlformats.org/officeDocument/2006/relationships/comments" Target="../comments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>
    <tabColor theme="0" tint="-4.9989318521683403E-2"/>
  </sheetPr>
  <dimension ref="A1:CA4722"/>
  <sheetViews>
    <sheetView showGridLines="0" zoomScale="98" zoomScaleNormal="98" zoomScalePageLayoutView="98" workbookViewId="0">
      <pane ySplit="1" topLeftCell="A2" activePane="bottomLeft" state="frozen"/>
      <selection activeCell="C174" sqref="C174"/>
      <selection pane="bottomLeft" activeCell="M1" sqref="M1"/>
    </sheetView>
  </sheetViews>
  <sheetFormatPr baseColWidth="10" defaultColWidth="8.83203125" defaultRowHeight="14" x14ac:dyDescent="0"/>
  <cols>
    <col min="1" max="1" width="23" style="41" bestFit="1" customWidth="1"/>
    <col min="2" max="2" width="44.83203125" style="402" bestFit="1" customWidth="1"/>
    <col min="3" max="3" width="17.5" style="113" customWidth="1"/>
    <col min="4" max="4" width="9.5" style="393" bestFit="1" customWidth="1"/>
    <col min="5" max="5" width="53" style="394" customWidth="1"/>
    <col min="6" max="6" width="22.33203125" style="402" customWidth="1"/>
    <col min="7" max="7" width="8.5" style="405" customWidth="1"/>
    <col min="8" max="8" width="9" style="49" bestFit="1" customWidth="1"/>
    <col min="9" max="9" width="8.83203125" style="50"/>
    <col min="10" max="10" width="26.33203125" style="76" customWidth="1"/>
    <col min="11" max="11" width="9" style="51" bestFit="1" customWidth="1"/>
    <col min="12" max="12" width="11.6640625" style="115" customWidth="1"/>
    <col min="13" max="13" width="13.1640625" style="50" customWidth="1"/>
    <col min="14" max="14" width="9.1640625" style="50" customWidth="1"/>
    <col min="15" max="15" width="8.83203125" style="74"/>
    <col min="16" max="16" width="8.83203125" style="50"/>
    <col min="17" max="17" width="8.83203125" style="74"/>
    <col min="18" max="18" width="8.83203125" style="50"/>
    <col min="19" max="19" width="8.83203125" style="74"/>
    <col min="20" max="20" width="8.83203125" style="50"/>
    <col min="21" max="21" width="8.83203125" style="131"/>
    <col min="22" max="22" width="8.83203125" style="50"/>
    <col min="23" max="23" width="8.83203125" style="74"/>
    <col min="24" max="24" width="8.83203125" style="50"/>
    <col min="25" max="25" width="8.83203125" style="74"/>
    <col min="26" max="27" width="8.83203125" style="271"/>
    <col min="28" max="28" width="10" style="114" customWidth="1"/>
    <col min="29" max="29" width="12.5" style="50" customWidth="1"/>
    <col min="30" max="30" width="9.6640625" style="271" customWidth="1"/>
    <col min="31" max="31" width="9.33203125" style="50" customWidth="1"/>
    <col min="32" max="32" width="8.83203125" style="49"/>
    <col min="33" max="35" width="8.83203125" style="114"/>
    <col min="36" max="36" width="13.33203125" style="114" customWidth="1"/>
    <col min="37" max="37" width="8.83203125" style="114"/>
    <col min="38" max="38" width="9.83203125" style="114" customWidth="1"/>
    <col min="39" max="44" width="8.83203125" style="114"/>
    <col min="45" max="45" width="8.83203125" style="50"/>
    <col min="46" max="46" width="8.83203125" style="74"/>
    <col min="47" max="47" width="11.5" style="114" customWidth="1"/>
    <col min="48" max="48" width="14" style="114" customWidth="1"/>
    <col min="49" max="49" width="8.83203125" style="394"/>
    <col min="50" max="50" width="8.83203125" style="5"/>
    <col min="51" max="52" width="10.1640625" style="5" customWidth="1"/>
    <col min="53" max="53" width="12.33203125" style="5" customWidth="1"/>
    <col min="54" max="54" width="11.5" style="5" customWidth="1"/>
    <col min="55" max="55" width="8.83203125" style="5"/>
    <col min="56" max="56" width="11.33203125" style="5" customWidth="1"/>
    <col min="57" max="57" width="8.83203125" style="5"/>
    <col min="58" max="58" width="10.1640625" style="5" customWidth="1"/>
    <col min="59" max="59" width="6.1640625" style="5" bestFit="1" customWidth="1"/>
    <col min="60" max="60" width="7.5" style="5" customWidth="1"/>
    <col min="61" max="61" width="8.83203125" style="5"/>
    <col min="62" max="62" width="10.1640625" style="5" customWidth="1"/>
    <col min="63" max="63" width="9.6640625" style="5" customWidth="1"/>
    <col min="64" max="64" width="7.33203125" style="5" customWidth="1"/>
    <col min="65" max="65" width="9.33203125" style="5" customWidth="1"/>
    <col min="66" max="66" width="8.83203125" style="5"/>
    <col min="67" max="67" width="9.33203125" style="5" customWidth="1"/>
    <col min="68" max="68" width="7.1640625" style="5" bestFit="1" customWidth="1"/>
    <col min="69" max="69" width="7.1640625" style="5" customWidth="1"/>
    <col min="70" max="70" width="6.6640625" style="5" bestFit="1" customWidth="1"/>
    <col min="71" max="71" width="6.5" style="5" bestFit="1" customWidth="1"/>
    <col min="72" max="72" width="5.1640625" style="5" bestFit="1" customWidth="1"/>
    <col min="73" max="73" width="8.5" style="5" customWidth="1"/>
    <col min="74" max="74" width="7.5" style="5" bestFit="1" customWidth="1"/>
    <col min="75" max="75" width="7.1640625" style="5" bestFit="1" customWidth="1"/>
    <col min="76" max="79" width="8.83203125" style="5"/>
  </cols>
  <sheetData>
    <row r="1" spans="1:79" ht="49" thickBot="1">
      <c r="A1" s="36" t="s">
        <v>32</v>
      </c>
      <c r="B1" s="37" t="s">
        <v>3</v>
      </c>
      <c r="C1" s="94" t="s">
        <v>4</v>
      </c>
      <c r="D1" s="342" t="s">
        <v>5</v>
      </c>
      <c r="E1" s="350" t="s">
        <v>6</v>
      </c>
      <c r="F1" s="37" t="s">
        <v>7</v>
      </c>
      <c r="G1" s="360" t="s">
        <v>0</v>
      </c>
      <c r="H1" s="38" t="s">
        <v>20</v>
      </c>
      <c r="I1" s="37" t="s">
        <v>8</v>
      </c>
      <c r="J1" s="342" t="s">
        <v>9</v>
      </c>
      <c r="K1" s="40" t="s">
        <v>10</v>
      </c>
      <c r="L1" s="93" t="s">
        <v>11</v>
      </c>
      <c r="M1" s="37" t="s">
        <v>12</v>
      </c>
      <c r="N1" s="37" t="s">
        <v>13</v>
      </c>
      <c r="O1" s="38" t="s">
        <v>4080</v>
      </c>
      <c r="P1" s="37" t="s">
        <v>14</v>
      </c>
      <c r="Q1" s="38" t="s">
        <v>4081</v>
      </c>
      <c r="R1" s="37" t="s">
        <v>4082</v>
      </c>
      <c r="S1" s="38" t="s">
        <v>4083</v>
      </c>
      <c r="T1" s="37" t="s">
        <v>4084</v>
      </c>
      <c r="U1" s="38" t="s">
        <v>4085</v>
      </c>
      <c r="V1" s="37" t="s">
        <v>4086</v>
      </c>
      <c r="W1" s="38" t="s">
        <v>4087</v>
      </c>
      <c r="X1" s="37" t="s">
        <v>4088</v>
      </c>
      <c r="Y1" s="94" t="s">
        <v>4089</v>
      </c>
      <c r="Z1" s="346" t="s">
        <v>15</v>
      </c>
      <c r="AA1" s="346" t="s">
        <v>16</v>
      </c>
      <c r="AB1" s="350" t="s">
        <v>17</v>
      </c>
      <c r="AC1" s="37" t="s">
        <v>18</v>
      </c>
      <c r="AD1" s="346" t="s">
        <v>19</v>
      </c>
      <c r="AE1" s="96" t="s">
        <v>963</v>
      </c>
      <c r="AF1" s="99" t="s">
        <v>1000</v>
      </c>
      <c r="AG1" s="97" t="s">
        <v>1001</v>
      </c>
      <c r="AH1" s="97" t="s">
        <v>1002</v>
      </c>
      <c r="AI1" s="97" t="s">
        <v>1003</v>
      </c>
      <c r="AJ1" s="97" t="s">
        <v>1004</v>
      </c>
      <c r="AK1" s="98" t="s">
        <v>1086</v>
      </c>
      <c r="AL1" s="98" t="s">
        <v>1087</v>
      </c>
      <c r="AM1" s="97" t="s">
        <v>1088</v>
      </c>
      <c r="AN1" s="97" t="s">
        <v>1089</v>
      </c>
      <c r="AO1" s="97" t="s">
        <v>1090</v>
      </c>
      <c r="AP1" s="97" t="s">
        <v>1091</v>
      </c>
      <c r="AQ1" s="97" t="s">
        <v>1092</v>
      </c>
      <c r="AR1" s="97" t="s">
        <v>30</v>
      </c>
      <c r="AS1" s="96" t="s">
        <v>31</v>
      </c>
      <c r="AT1" s="99" t="s">
        <v>2063</v>
      </c>
      <c r="AU1" s="97" t="s">
        <v>2064</v>
      </c>
      <c r="AV1" s="307" t="s">
        <v>3854</v>
      </c>
      <c r="AW1" s="307" t="s">
        <v>3023</v>
      </c>
      <c r="AX1" s="96" t="s">
        <v>4250</v>
      </c>
      <c r="AY1" s="96" t="s">
        <v>4644</v>
      </c>
      <c r="AZ1" s="96" t="s">
        <v>4645</v>
      </c>
      <c r="BA1" s="96" t="s">
        <v>4646</v>
      </c>
      <c r="BB1" s="96" t="s">
        <v>4647</v>
      </c>
      <c r="BC1" s="96" t="s">
        <v>4648</v>
      </c>
      <c r="BD1" s="96" t="s">
        <v>4649</v>
      </c>
      <c r="BE1" s="96" t="s">
        <v>4650</v>
      </c>
      <c r="BF1" s="96" t="s">
        <v>4651</v>
      </c>
      <c r="BG1" s="96" t="s">
        <v>4652</v>
      </c>
      <c r="BH1" s="96" t="s">
        <v>4653</v>
      </c>
      <c r="BI1" s="96" t="s">
        <v>4654</v>
      </c>
      <c r="BJ1" s="96" t="s">
        <v>4655</v>
      </c>
      <c r="BK1" s="96" t="s">
        <v>4656</v>
      </c>
      <c r="BL1" s="96" t="s">
        <v>4657</v>
      </c>
      <c r="BM1" s="96" t="s">
        <v>4658</v>
      </c>
      <c r="BN1" s="96" t="s">
        <v>4659</v>
      </c>
      <c r="BO1" s="96" t="s">
        <v>4660</v>
      </c>
      <c r="BP1" s="96" t="s">
        <v>5184</v>
      </c>
      <c r="BQ1" s="96" t="s">
        <v>5191</v>
      </c>
      <c r="BR1" s="96" t="s">
        <v>5185</v>
      </c>
      <c r="BS1" s="96" t="s">
        <v>5186</v>
      </c>
      <c r="BT1" s="96" t="s">
        <v>5187</v>
      </c>
      <c r="BU1" s="96" t="s">
        <v>5188</v>
      </c>
      <c r="BV1" s="96" t="s">
        <v>5189</v>
      </c>
      <c r="BW1" s="96" t="s">
        <v>5190</v>
      </c>
      <c r="BX1" s="96" t="s">
        <v>5217</v>
      </c>
      <c r="BY1" s="96" t="s">
        <v>5349</v>
      </c>
      <c r="BZ1" s="96" t="s">
        <v>5877</v>
      </c>
      <c r="CA1" s="373" t="s">
        <v>6487</v>
      </c>
    </row>
    <row r="2" spans="1:79" ht="15" customHeight="1">
      <c r="A2" s="41" t="s">
        <v>183</v>
      </c>
      <c r="B2" s="42" t="s">
        <v>40</v>
      </c>
      <c r="C2" s="411" t="s">
        <v>40</v>
      </c>
      <c r="D2" s="267" t="s">
        <v>41</v>
      </c>
      <c r="E2" s="417" t="s">
        <v>42</v>
      </c>
      <c r="F2" s="42" t="s">
        <v>5216</v>
      </c>
      <c r="G2" s="361" t="s">
        <v>43</v>
      </c>
      <c r="H2" s="44">
        <v>3728</v>
      </c>
      <c r="I2" s="45" t="s">
        <v>2</v>
      </c>
      <c r="J2" s="267" t="s">
        <v>45</v>
      </c>
      <c r="K2" s="46">
        <v>40829</v>
      </c>
      <c r="L2" s="100">
        <v>40820</v>
      </c>
      <c r="M2" s="45">
        <v>9</v>
      </c>
      <c r="N2" s="45" t="s">
        <v>2</v>
      </c>
      <c r="O2" s="101">
        <f>1.4/2</f>
        <v>0.7</v>
      </c>
      <c r="P2" s="102">
        <v>5.97</v>
      </c>
      <c r="Q2" s="103">
        <v>5.86</v>
      </c>
      <c r="R2" s="104">
        <v>17</v>
      </c>
      <c r="S2" s="105">
        <v>5</v>
      </c>
      <c r="T2" s="106">
        <v>0.02</v>
      </c>
      <c r="U2" s="107">
        <v>0.3</v>
      </c>
      <c r="V2" s="108">
        <v>0.09</v>
      </c>
      <c r="W2" s="109">
        <v>5.0000000000000001E-3</v>
      </c>
      <c r="X2" s="108">
        <v>5.7000000000000002E-2</v>
      </c>
      <c r="Y2" s="109">
        <f>0.002/2</f>
        <v>1E-3</v>
      </c>
      <c r="Z2" s="347">
        <v>1</v>
      </c>
      <c r="AA2" s="347">
        <v>1</v>
      </c>
      <c r="AB2" s="353">
        <v>0</v>
      </c>
      <c r="AC2" s="110">
        <v>5</v>
      </c>
      <c r="AD2" s="347">
        <v>0.95</v>
      </c>
    </row>
    <row r="3" spans="1:79" ht="15" customHeight="1">
      <c r="A3" s="404" t="s">
        <v>183</v>
      </c>
      <c r="B3" s="47" t="s">
        <v>40</v>
      </c>
      <c r="C3" s="412" t="s">
        <v>40</v>
      </c>
      <c r="D3" s="393" t="s">
        <v>41</v>
      </c>
      <c r="E3" s="418" t="s">
        <v>42</v>
      </c>
      <c r="F3" s="47" t="s">
        <v>5216</v>
      </c>
      <c r="G3" s="405" t="s">
        <v>43</v>
      </c>
      <c r="H3" s="49">
        <v>3728</v>
      </c>
      <c r="I3" s="50" t="s">
        <v>2</v>
      </c>
      <c r="J3" s="76" t="s">
        <v>46</v>
      </c>
      <c r="K3" s="51">
        <v>40829</v>
      </c>
      <c r="L3" s="115">
        <v>40820</v>
      </c>
      <c r="M3" s="50">
        <v>9</v>
      </c>
      <c r="N3" s="50" t="s">
        <v>2</v>
      </c>
      <c r="O3" s="116">
        <f>1.4/2</f>
        <v>0.7</v>
      </c>
      <c r="P3" s="117">
        <v>5.97</v>
      </c>
      <c r="Q3" s="118">
        <v>6.21</v>
      </c>
      <c r="R3" s="119">
        <v>13</v>
      </c>
      <c r="S3" s="120">
        <f>5/2</f>
        <v>2.5</v>
      </c>
      <c r="T3" s="121">
        <v>0.01</v>
      </c>
      <c r="U3" s="122">
        <v>0.24</v>
      </c>
      <c r="V3" s="123">
        <f>0.05/2</f>
        <v>2.5000000000000001E-2</v>
      </c>
      <c r="W3" s="124">
        <v>2E-3</v>
      </c>
      <c r="X3" s="123">
        <v>7.0000000000000001E-3</v>
      </c>
      <c r="Y3" s="124">
        <f>0.002/2</f>
        <v>1E-3</v>
      </c>
      <c r="Z3" s="313">
        <v>1</v>
      </c>
      <c r="AA3" s="313">
        <v>1</v>
      </c>
      <c r="AB3" s="352">
        <v>0</v>
      </c>
      <c r="AC3" s="85">
        <v>6</v>
      </c>
      <c r="AD3" s="313">
        <v>1</v>
      </c>
    </row>
    <row r="4" spans="1:79" ht="15" customHeight="1">
      <c r="A4" s="41" t="s">
        <v>183</v>
      </c>
      <c r="B4" s="47" t="s">
        <v>40</v>
      </c>
      <c r="C4" s="412" t="s">
        <v>40</v>
      </c>
      <c r="D4" s="393" t="s">
        <v>41</v>
      </c>
      <c r="E4" s="418" t="s">
        <v>42</v>
      </c>
      <c r="F4" s="47" t="s">
        <v>5216</v>
      </c>
      <c r="G4" s="405" t="s">
        <v>43</v>
      </c>
      <c r="H4" s="49">
        <v>3728</v>
      </c>
      <c r="I4" s="50" t="s">
        <v>2</v>
      </c>
      <c r="J4" s="76" t="s">
        <v>47</v>
      </c>
      <c r="K4" s="51">
        <v>40829</v>
      </c>
      <c r="L4" s="115">
        <v>40820</v>
      </c>
      <c r="M4" s="50">
        <v>9</v>
      </c>
      <c r="N4" s="50" t="s">
        <v>2</v>
      </c>
      <c r="O4" s="116">
        <f>1.4/2</f>
        <v>0.7</v>
      </c>
      <c r="P4" s="117">
        <v>5.97</v>
      </c>
      <c r="Q4" s="118">
        <v>6.03</v>
      </c>
      <c r="R4" s="119">
        <v>19</v>
      </c>
      <c r="S4" s="120">
        <f>5/2</f>
        <v>2.5</v>
      </c>
      <c r="T4" s="121">
        <f>0.01/2</f>
        <v>5.0000000000000001E-3</v>
      </c>
      <c r="U4" s="122">
        <v>0.36</v>
      </c>
      <c r="V4" s="123">
        <v>7.0000000000000007E-2</v>
      </c>
      <c r="W4" s="124">
        <v>2E-3</v>
      </c>
      <c r="X4" s="123">
        <v>1.6E-2</v>
      </c>
      <c r="Y4" s="124">
        <f>0.002/2</f>
        <v>1E-3</v>
      </c>
      <c r="Z4" s="313">
        <v>1</v>
      </c>
      <c r="AA4" s="313">
        <v>1</v>
      </c>
      <c r="AB4" s="352">
        <v>2</v>
      </c>
      <c r="AC4" s="85">
        <v>7</v>
      </c>
      <c r="AD4" s="313">
        <v>1</v>
      </c>
    </row>
    <row r="5" spans="1:79" ht="15" customHeight="1">
      <c r="A5" s="41" t="s">
        <v>183</v>
      </c>
      <c r="B5" s="402" t="s">
        <v>48</v>
      </c>
      <c r="C5" s="113" t="s">
        <v>48</v>
      </c>
      <c r="D5" s="393">
        <v>146</v>
      </c>
      <c r="E5" s="394" t="s">
        <v>49</v>
      </c>
      <c r="G5" s="405" t="s">
        <v>50</v>
      </c>
      <c r="H5" s="49">
        <v>3471</v>
      </c>
      <c r="I5" s="52" t="s">
        <v>1</v>
      </c>
      <c r="J5" s="76" t="s">
        <v>52</v>
      </c>
      <c r="K5" s="51">
        <v>40835</v>
      </c>
      <c r="L5" s="115">
        <v>40830</v>
      </c>
      <c r="M5" s="50">
        <v>5</v>
      </c>
      <c r="N5" s="50" t="s">
        <v>2</v>
      </c>
      <c r="O5" s="116">
        <v>2.8</v>
      </c>
      <c r="P5" s="50">
        <v>6.52</v>
      </c>
      <c r="Q5" s="118">
        <v>6.77</v>
      </c>
      <c r="R5" s="119">
        <v>35.299999999999997</v>
      </c>
      <c r="S5" s="120">
        <v>15</v>
      </c>
      <c r="T5" s="121">
        <v>0.31</v>
      </c>
      <c r="U5" s="126">
        <v>1.58</v>
      </c>
      <c r="V5" s="123">
        <v>0.24</v>
      </c>
      <c r="W5" s="127">
        <v>1.2999999999999999E-2</v>
      </c>
      <c r="X5" s="123">
        <v>5.1999999999999998E-2</v>
      </c>
      <c r="Y5" s="127">
        <v>7.0000000000000001E-3</v>
      </c>
      <c r="Z5" s="313"/>
      <c r="AA5" s="313"/>
      <c r="AB5" s="352"/>
      <c r="AC5" s="129"/>
      <c r="AD5" s="313"/>
    </row>
    <row r="6" spans="1:79" ht="15" customHeight="1">
      <c r="A6" s="41" t="s">
        <v>183</v>
      </c>
      <c r="B6" s="402" t="s">
        <v>48</v>
      </c>
      <c r="C6" s="113" t="s">
        <v>48</v>
      </c>
      <c r="D6" s="393">
        <v>146</v>
      </c>
      <c r="E6" s="394" t="s">
        <v>49</v>
      </c>
      <c r="G6" s="405" t="s">
        <v>50</v>
      </c>
      <c r="H6" s="49">
        <v>3471</v>
      </c>
      <c r="I6" s="52" t="s">
        <v>1</v>
      </c>
      <c r="J6" s="76" t="s">
        <v>53</v>
      </c>
      <c r="K6" s="51">
        <v>40835</v>
      </c>
      <c r="L6" s="115">
        <v>40830</v>
      </c>
      <c r="M6" s="50">
        <v>5</v>
      </c>
      <c r="N6" s="50" t="s">
        <v>2</v>
      </c>
      <c r="O6" s="116">
        <v>1.2</v>
      </c>
      <c r="P6" s="50">
        <v>6.52</v>
      </c>
      <c r="Q6" s="118">
        <v>5.32</v>
      </c>
      <c r="R6" s="119">
        <v>47.3</v>
      </c>
      <c r="S6" s="120">
        <v>4</v>
      </c>
      <c r="T6" s="121">
        <f>0.05/2</f>
        <v>2.5000000000000001E-2</v>
      </c>
      <c r="U6" s="126">
        <v>0.72</v>
      </c>
      <c r="V6" s="123">
        <v>1.56</v>
      </c>
      <c r="W6" s="127">
        <v>2.9000000000000001E-2</v>
      </c>
      <c r="X6" s="123">
        <v>4.9000000000000002E-2</v>
      </c>
      <c r="Y6" s="127">
        <v>7.0000000000000001E-3</v>
      </c>
      <c r="Z6" s="313"/>
      <c r="AA6" s="313"/>
      <c r="AB6" s="352"/>
      <c r="AC6" s="129"/>
      <c r="AD6" s="313"/>
    </row>
    <row r="7" spans="1:79" ht="15" customHeight="1">
      <c r="A7" s="41" t="s">
        <v>183</v>
      </c>
      <c r="B7" s="402" t="s">
        <v>48</v>
      </c>
      <c r="C7" s="113" t="s">
        <v>48</v>
      </c>
      <c r="D7" s="393">
        <v>146</v>
      </c>
      <c r="E7" s="394" t="s">
        <v>49</v>
      </c>
      <c r="G7" s="405" t="s">
        <v>50</v>
      </c>
      <c r="H7" s="49">
        <v>3471</v>
      </c>
      <c r="I7" s="52" t="s">
        <v>1</v>
      </c>
      <c r="J7" s="76" t="s">
        <v>54</v>
      </c>
      <c r="K7" s="51">
        <v>40835</v>
      </c>
      <c r="L7" s="115">
        <v>40830</v>
      </c>
      <c r="M7" s="50">
        <v>5</v>
      </c>
      <c r="N7" s="50" t="s">
        <v>2</v>
      </c>
      <c r="O7" s="116">
        <f>1/2</f>
        <v>0.5</v>
      </c>
      <c r="P7" s="50">
        <v>6.52</v>
      </c>
      <c r="Q7" s="118">
        <v>7.09</v>
      </c>
      <c r="R7" s="119">
        <v>25.6</v>
      </c>
      <c r="S7" s="120">
        <v>20</v>
      </c>
      <c r="T7" s="121">
        <v>0.86</v>
      </c>
      <c r="U7" s="126">
        <v>1.88</v>
      </c>
      <c r="V7" s="123">
        <v>0.56000000000000005</v>
      </c>
      <c r="W7" s="127">
        <v>1.4999999999999999E-2</v>
      </c>
      <c r="X7" s="123">
        <v>0.09</v>
      </c>
      <c r="Y7" s="127">
        <v>6.0000000000000001E-3</v>
      </c>
      <c r="Z7" s="313"/>
      <c r="AA7" s="313"/>
      <c r="AB7" s="352"/>
      <c r="AC7" s="129"/>
      <c r="AD7" s="313"/>
    </row>
    <row r="8" spans="1:79" ht="15" customHeight="1">
      <c r="A8" s="41" t="s">
        <v>183</v>
      </c>
      <c r="B8" s="402" t="s">
        <v>55</v>
      </c>
      <c r="C8" s="113" t="s">
        <v>55</v>
      </c>
      <c r="D8" s="393" t="s">
        <v>56</v>
      </c>
      <c r="E8" s="394" t="s">
        <v>57</v>
      </c>
      <c r="G8" s="405" t="s">
        <v>58</v>
      </c>
      <c r="H8" s="49">
        <v>3441</v>
      </c>
      <c r="I8" s="52" t="s">
        <v>1</v>
      </c>
      <c r="J8" s="76" t="s">
        <v>59</v>
      </c>
      <c r="K8" s="51">
        <v>40835</v>
      </c>
      <c r="L8" s="115">
        <v>40830</v>
      </c>
      <c r="M8" s="50">
        <v>5</v>
      </c>
      <c r="N8" s="50" t="s">
        <v>2</v>
      </c>
      <c r="O8" s="116">
        <f>5/2</f>
        <v>2.5</v>
      </c>
      <c r="P8" s="117">
        <v>5.6</v>
      </c>
      <c r="Q8" s="118">
        <v>7.05</v>
      </c>
      <c r="R8" s="119">
        <v>37</v>
      </c>
      <c r="S8" s="120">
        <v>23</v>
      </c>
      <c r="T8" s="121">
        <f>0.1/2</f>
        <v>0.05</v>
      </c>
      <c r="U8" s="126">
        <f>1/2</f>
        <v>0.5</v>
      </c>
      <c r="V8" s="123">
        <v>0.5</v>
      </c>
      <c r="W8" s="127">
        <f>0.04/2</f>
        <v>0.02</v>
      </c>
      <c r="X8" s="123">
        <v>5.8000000000000003E-2</v>
      </c>
      <c r="Y8" s="127">
        <f>0.013/2</f>
        <v>6.4999999999999997E-3</v>
      </c>
      <c r="Z8" s="313">
        <v>1</v>
      </c>
      <c r="AA8" s="313">
        <v>1</v>
      </c>
      <c r="AB8" s="352">
        <v>13</v>
      </c>
      <c r="AC8" s="85">
        <v>109</v>
      </c>
      <c r="AD8" s="313">
        <v>1</v>
      </c>
    </row>
    <row r="9" spans="1:79" ht="15" customHeight="1">
      <c r="A9" s="41" t="s">
        <v>183</v>
      </c>
      <c r="B9" s="402" t="s">
        <v>55</v>
      </c>
      <c r="C9" s="113" t="s">
        <v>55</v>
      </c>
      <c r="D9" s="393" t="s">
        <v>56</v>
      </c>
      <c r="E9" s="394" t="s">
        <v>57</v>
      </c>
      <c r="G9" s="405" t="s">
        <v>58</v>
      </c>
      <c r="H9" s="49">
        <v>3441</v>
      </c>
      <c r="I9" s="52" t="s">
        <v>1</v>
      </c>
      <c r="J9" s="76" t="s">
        <v>60</v>
      </c>
      <c r="K9" s="51">
        <v>40835</v>
      </c>
      <c r="L9" s="115">
        <v>40830</v>
      </c>
      <c r="M9" s="50">
        <v>5</v>
      </c>
      <c r="N9" s="50" t="s">
        <v>2</v>
      </c>
      <c r="O9" s="116">
        <f>5/2</f>
        <v>2.5</v>
      </c>
      <c r="P9" s="117">
        <v>5.6</v>
      </c>
      <c r="Q9" s="118">
        <v>6.25</v>
      </c>
      <c r="R9" s="119">
        <v>37</v>
      </c>
      <c r="S9" s="120">
        <f>5/2</f>
        <v>2.5</v>
      </c>
      <c r="T9" s="121">
        <f>0.1/2</f>
        <v>0.05</v>
      </c>
      <c r="U9" s="126">
        <v>3.7</v>
      </c>
      <c r="V9" s="123">
        <v>0.37</v>
      </c>
      <c r="W9" s="127">
        <v>8.6999999999999994E-2</v>
      </c>
      <c r="X9" s="123">
        <v>0.13</v>
      </c>
      <c r="Y9" s="127">
        <v>2.9000000000000001E-2</v>
      </c>
      <c r="Z9" s="313">
        <v>0.20300000000000001</v>
      </c>
      <c r="AA9" s="313">
        <v>0.13900000000000001</v>
      </c>
      <c r="AB9" s="352">
        <v>5.2</v>
      </c>
      <c r="AC9" s="129">
        <v>79</v>
      </c>
      <c r="AD9" s="313">
        <v>0</v>
      </c>
    </row>
    <row r="10" spans="1:79" ht="15" customHeight="1">
      <c r="A10" s="41" t="s">
        <v>183</v>
      </c>
      <c r="B10" s="402" t="s">
        <v>55</v>
      </c>
      <c r="C10" s="113" t="s">
        <v>55</v>
      </c>
      <c r="D10" s="393" t="s">
        <v>56</v>
      </c>
      <c r="E10" s="394" t="s">
        <v>57</v>
      </c>
      <c r="G10" s="405" t="s">
        <v>58</v>
      </c>
      <c r="H10" s="49">
        <v>3441</v>
      </c>
      <c r="I10" s="52" t="s">
        <v>1</v>
      </c>
      <c r="J10" s="76" t="s">
        <v>61</v>
      </c>
      <c r="K10" s="51">
        <v>40835</v>
      </c>
      <c r="L10" s="115">
        <v>40830</v>
      </c>
      <c r="M10" s="50">
        <v>5</v>
      </c>
      <c r="N10" s="50" t="s">
        <v>2</v>
      </c>
      <c r="O10" s="116">
        <f>5/2</f>
        <v>2.5</v>
      </c>
      <c r="P10" s="117">
        <v>5.6</v>
      </c>
      <c r="Q10" s="118">
        <v>6.27</v>
      </c>
      <c r="R10" s="119">
        <v>20</v>
      </c>
      <c r="S10" s="120">
        <f>5/2</f>
        <v>2.5</v>
      </c>
      <c r="T10" s="121">
        <f>0.1/2</f>
        <v>0.05</v>
      </c>
      <c r="U10" s="126">
        <v>1.8</v>
      </c>
      <c r="V10" s="123">
        <v>0.26</v>
      </c>
      <c r="W10" s="127">
        <f>0.04/2</f>
        <v>0.02</v>
      </c>
      <c r="X10" s="123">
        <v>6.7000000000000004E-2</v>
      </c>
      <c r="Y10" s="127">
        <f>0.013/2</f>
        <v>6.4999999999999997E-3</v>
      </c>
      <c r="Z10" s="313">
        <v>0.70699999999999996</v>
      </c>
      <c r="AA10" s="313">
        <v>0.66</v>
      </c>
      <c r="AB10" s="352">
        <v>3.2</v>
      </c>
      <c r="AC10" s="129">
        <v>26</v>
      </c>
      <c r="AD10" s="313">
        <v>0</v>
      </c>
    </row>
    <row r="11" spans="1:79" ht="15" customHeight="1">
      <c r="A11" s="41" t="s">
        <v>183</v>
      </c>
      <c r="B11" s="402" t="s">
        <v>55</v>
      </c>
      <c r="C11" s="113" t="s">
        <v>55</v>
      </c>
      <c r="D11" s="393" t="s">
        <v>56</v>
      </c>
      <c r="E11" s="394" t="s">
        <v>57</v>
      </c>
      <c r="G11" s="405" t="s">
        <v>58</v>
      </c>
      <c r="H11" s="49">
        <v>3441</v>
      </c>
      <c r="I11" s="52" t="s">
        <v>1</v>
      </c>
      <c r="J11" s="76" t="s">
        <v>62</v>
      </c>
      <c r="K11" s="51">
        <v>40835</v>
      </c>
      <c r="L11" s="115">
        <v>40830</v>
      </c>
      <c r="M11" s="50">
        <v>5</v>
      </c>
      <c r="N11" s="50" t="s">
        <v>2</v>
      </c>
      <c r="O11" s="116">
        <f>5/2</f>
        <v>2.5</v>
      </c>
      <c r="P11" s="117">
        <v>5.6</v>
      </c>
      <c r="Q11" s="118">
        <v>6.22</v>
      </c>
      <c r="R11" s="119">
        <v>19</v>
      </c>
      <c r="S11" s="120">
        <f>5/2</f>
        <v>2.5</v>
      </c>
      <c r="T11" s="121">
        <f>0.1/2</f>
        <v>0.05</v>
      </c>
      <c r="U11" s="126">
        <f>1/2</f>
        <v>0.5</v>
      </c>
      <c r="V11" s="123">
        <v>0.27</v>
      </c>
      <c r="W11" s="127">
        <v>4.2999999999999997E-2</v>
      </c>
      <c r="X11" s="123">
        <v>0.25</v>
      </c>
      <c r="Y11" s="127">
        <f>0.013/2</f>
        <v>6.4999999999999997E-3</v>
      </c>
      <c r="Z11" s="313">
        <v>0.40600000000000003</v>
      </c>
      <c r="AA11" s="313">
        <v>0.35399999999999998</v>
      </c>
      <c r="AB11" s="352">
        <v>2.7</v>
      </c>
      <c r="AC11" s="129">
        <v>91</v>
      </c>
      <c r="AD11" s="313">
        <v>0</v>
      </c>
    </row>
    <row r="12" spans="1:79" ht="15" customHeight="1">
      <c r="A12" s="41" t="s">
        <v>183</v>
      </c>
      <c r="B12" s="386" t="s">
        <v>76</v>
      </c>
      <c r="C12" s="149" t="s">
        <v>77</v>
      </c>
      <c r="D12" s="392" t="s">
        <v>78</v>
      </c>
      <c r="E12" s="258" t="s">
        <v>79</v>
      </c>
      <c r="F12" s="386"/>
      <c r="G12" s="389" t="s">
        <v>80</v>
      </c>
      <c r="H12" s="55">
        <v>3479</v>
      </c>
      <c r="I12" s="50" t="s">
        <v>2</v>
      </c>
      <c r="J12" s="61" t="s">
        <v>81</v>
      </c>
      <c r="K12" s="57">
        <v>40857</v>
      </c>
      <c r="L12" s="132">
        <v>40845</v>
      </c>
      <c r="M12" s="54">
        <v>12</v>
      </c>
      <c r="N12" s="54" t="s">
        <v>2</v>
      </c>
      <c r="O12" s="133">
        <f>1/2</f>
        <v>0.5</v>
      </c>
      <c r="P12" s="134">
        <v>7.2</v>
      </c>
      <c r="Q12" s="135">
        <v>6.26</v>
      </c>
      <c r="R12" s="136">
        <v>66.3</v>
      </c>
      <c r="S12" s="137">
        <v>32</v>
      </c>
      <c r="T12" s="138">
        <v>0.25</v>
      </c>
      <c r="U12" s="139">
        <v>2.2400000000000002</v>
      </c>
      <c r="V12" s="140">
        <f>0.1/2</f>
        <v>0.05</v>
      </c>
      <c r="W12" s="141">
        <v>1.2E-2</v>
      </c>
      <c r="X12" s="140">
        <v>0.14299999999999999</v>
      </c>
      <c r="Y12" s="141">
        <v>4.0000000000000001E-3</v>
      </c>
      <c r="Z12" s="313">
        <v>1</v>
      </c>
      <c r="AA12" s="313">
        <v>1</v>
      </c>
      <c r="AB12" s="351">
        <v>5.15</v>
      </c>
      <c r="AC12" s="142">
        <v>111</v>
      </c>
      <c r="AD12" s="312">
        <v>0.6</v>
      </c>
    </row>
    <row r="13" spans="1:79" ht="15" customHeight="1">
      <c r="A13" s="41" t="s">
        <v>183</v>
      </c>
      <c r="B13" s="402" t="s">
        <v>88</v>
      </c>
      <c r="C13" s="113" t="s">
        <v>88</v>
      </c>
      <c r="D13" s="393" t="s">
        <v>89</v>
      </c>
      <c r="E13" s="394" t="s">
        <v>535</v>
      </c>
      <c r="F13" s="402">
        <v>6600</v>
      </c>
      <c r="G13" s="405" t="s">
        <v>90</v>
      </c>
      <c r="H13" s="49">
        <v>2834</v>
      </c>
      <c r="I13" s="50" t="s">
        <v>1</v>
      </c>
      <c r="J13" s="76" t="s">
        <v>1030</v>
      </c>
      <c r="K13" s="51">
        <v>40829</v>
      </c>
      <c r="L13" s="146"/>
      <c r="M13" s="85" t="s">
        <v>91</v>
      </c>
      <c r="N13" s="50" t="s">
        <v>2</v>
      </c>
      <c r="O13" s="116">
        <v>2.5</v>
      </c>
      <c r="P13" s="117">
        <v>6</v>
      </c>
      <c r="Q13" s="131">
        <v>6.93</v>
      </c>
      <c r="R13" s="119">
        <v>160</v>
      </c>
      <c r="S13" s="147">
        <v>18</v>
      </c>
      <c r="T13" s="121">
        <f t="shared" ref="T13:T18" si="0">0.1/2</f>
        <v>0.05</v>
      </c>
      <c r="U13" s="126">
        <f t="shared" ref="U13:U18" si="1">1/2</f>
        <v>0.5</v>
      </c>
      <c r="V13" s="123">
        <v>0.11</v>
      </c>
      <c r="W13" s="127">
        <f t="shared" ref="W13:W18" si="2">0.04/2</f>
        <v>0.02</v>
      </c>
      <c r="X13" s="123">
        <v>0.04</v>
      </c>
      <c r="Y13" s="127">
        <f t="shared" ref="Y13:Y18" si="3">0.013/2</f>
        <v>6.4999999999999997E-3</v>
      </c>
      <c r="Z13" s="313">
        <v>1</v>
      </c>
      <c r="AA13" s="313">
        <v>1</v>
      </c>
      <c r="AB13" s="352">
        <v>8.3000000000000007</v>
      </c>
      <c r="AC13" s="85">
        <v>26</v>
      </c>
      <c r="AD13" s="313">
        <v>1</v>
      </c>
    </row>
    <row r="14" spans="1:79" ht="15" customHeight="1">
      <c r="A14" s="41" t="s">
        <v>183</v>
      </c>
      <c r="B14" s="402" t="s">
        <v>88</v>
      </c>
      <c r="C14" s="113" t="s">
        <v>88</v>
      </c>
      <c r="D14" s="393" t="s">
        <v>89</v>
      </c>
      <c r="E14" s="394" t="s">
        <v>535</v>
      </c>
      <c r="F14" s="402">
        <v>6600</v>
      </c>
      <c r="G14" s="405" t="s">
        <v>90</v>
      </c>
      <c r="H14" s="49">
        <v>2834</v>
      </c>
      <c r="I14" s="50" t="s">
        <v>1</v>
      </c>
      <c r="J14" s="76" t="s">
        <v>1031</v>
      </c>
      <c r="K14" s="51">
        <v>40829</v>
      </c>
      <c r="L14" s="146"/>
      <c r="M14" s="85" t="s">
        <v>91</v>
      </c>
      <c r="N14" s="50" t="s">
        <v>2</v>
      </c>
      <c r="O14" s="116">
        <v>2.5</v>
      </c>
      <c r="P14" s="117">
        <v>6</v>
      </c>
      <c r="Q14" s="131">
        <v>6.82</v>
      </c>
      <c r="R14" s="119">
        <v>61</v>
      </c>
      <c r="S14" s="147">
        <v>17</v>
      </c>
      <c r="T14" s="121">
        <f t="shared" si="0"/>
        <v>0.05</v>
      </c>
      <c r="U14" s="126">
        <f t="shared" si="1"/>
        <v>0.5</v>
      </c>
      <c r="V14" s="123">
        <f>0.1/2</f>
        <v>0.05</v>
      </c>
      <c r="W14" s="127">
        <f t="shared" si="2"/>
        <v>0.02</v>
      </c>
      <c r="X14" s="123">
        <v>0.02</v>
      </c>
      <c r="Y14" s="127">
        <f t="shared" si="3"/>
        <v>6.4999999999999997E-3</v>
      </c>
      <c r="Z14" s="313">
        <v>1</v>
      </c>
      <c r="AA14" s="313">
        <v>1</v>
      </c>
      <c r="AB14" s="352">
        <v>3.7</v>
      </c>
      <c r="AC14" s="85">
        <v>14</v>
      </c>
      <c r="AD14" s="313">
        <v>1</v>
      </c>
    </row>
    <row r="15" spans="1:79" ht="15" customHeight="1">
      <c r="A15" s="41" t="s">
        <v>183</v>
      </c>
      <c r="B15" s="402" t="s">
        <v>88</v>
      </c>
      <c r="C15" s="113" t="s">
        <v>88</v>
      </c>
      <c r="D15" s="393" t="s">
        <v>89</v>
      </c>
      <c r="E15" s="394" t="s">
        <v>535</v>
      </c>
      <c r="F15" s="402">
        <v>6600</v>
      </c>
      <c r="G15" s="405" t="s">
        <v>90</v>
      </c>
      <c r="H15" s="49">
        <v>2834</v>
      </c>
      <c r="I15" s="50" t="s">
        <v>1</v>
      </c>
      <c r="J15" s="76" t="s">
        <v>1032</v>
      </c>
      <c r="K15" s="51">
        <v>40829</v>
      </c>
      <c r="L15" s="146"/>
      <c r="M15" s="85" t="s">
        <v>91</v>
      </c>
      <c r="N15" s="50" t="s">
        <v>2</v>
      </c>
      <c r="O15" s="116">
        <v>2.5</v>
      </c>
      <c r="P15" s="117">
        <v>6</v>
      </c>
      <c r="Q15" s="131">
        <v>6.9</v>
      </c>
      <c r="R15" s="119">
        <v>35</v>
      </c>
      <c r="S15" s="147">
        <v>11</v>
      </c>
      <c r="T15" s="121">
        <f t="shared" si="0"/>
        <v>0.05</v>
      </c>
      <c r="U15" s="126">
        <f t="shared" si="1"/>
        <v>0.5</v>
      </c>
      <c r="V15" s="123">
        <v>0.22</v>
      </c>
      <c r="W15" s="127">
        <f t="shared" si="2"/>
        <v>0.02</v>
      </c>
      <c r="X15" s="123">
        <v>0.13</v>
      </c>
      <c r="Y15" s="127">
        <f t="shared" si="3"/>
        <v>6.4999999999999997E-3</v>
      </c>
      <c r="Z15" s="313">
        <v>1</v>
      </c>
      <c r="AA15" s="313">
        <v>1</v>
      </c>
      <c r="AB15" s="352">
        <v>11</v>
      </c>
      <c r="AC15" s="85">
        <v>30</v>
      </c>
      <c r="AD15" s="313">
        <v>1</v>
      </c>
    </row>
    <row r="16" spans="1:79" s="32" customFormat="1" ht="15" customHeight="1">
      <c r="A16" s="41" t="s">
        <v>183</v>
      </c>
      <c r="B16" s="402" t="s">
        <v>88</v>
      </c>
      <c r="C16" s="113" t="s">
        <v>88</v>
      </c>
      <c r="D16" s="393" t="s">
        <v>89</v>
      </c>
      <c r="E16" s="394" t="s">
        <v>535</v>
      </c>
      <c r="F16" s="402">
        <v>6600</v>
      </c>
      <c r="G16" s="405" t="s">
        <v>90</v>
      </c>
      <c r="H16" s="49">
        <v>2834</v>
      </c>
      <c r="I16" s="50" t="s">
        <v>1</v>
      </c>
      <c r="J16" s="76" t="s">
        <v>4962</v>
      </c>
      <c r="K16" s="51">
        <v>40829</v>
      </c>
      <c r="L16" s="146"/>
      <c r="M16" s="85" t="s">
        <v>91</v>
      </c>
      <c r="N16" s="50" t="s">
        <v>2</v>
      </c>
      <c r="O16" s="116">
        <v>2.5</v>
      </c>
      <c r="P16" s="121">
        <v>6</v>
      </c>
      <c r="Q16" s="131">
        <v>7.11</v>
      </c>
      <c r="R16" s="119">
        <v>240</v>
      </c>
      <c r="S16" s="147">
        <f>5/2</f>
        <v>2.5</v>
      </c>
      <c r="T16" s="121">
        <f t="shared" si="0"/>
        <v>0.05</v>
      </c>
      <c r="U16" s="126">
        <f t="shared" si="1"/>
        <v>0.5</v>
      </c>
      <c r="V16" s="123">
        <f>0.1/2</f>
        <v>0.05</v>
      </c>
      <c r="W16" s="127">
        <f t="shared" si="2"/>
        <v>0.02</v>
      </c>
      <c r="X16" s="123">
        <v>7.1999999999999995E-2</v>
      </c>
      <c r="Y16" s="127">
        <f t="shared" si="3"/>
        <v>6.4999999999999997E-3</v>
      </c>
      <c r="Z16" s="313">
        <v>1</v>
      </c>
      <c r="AA16" s="313">
        <v>1</v>
      </c>
      <c r="AB16" s="352">
        <v>15</v>
      </c>
      <c r="AC16" s="85">
        <v>29</v>
      </c>
      <c r="AD16" s="313">
        <v>0.75</v>
      </c>
      <c r="AE16" s="50"/>
      <c r="AF16" s="49"/>
      <c r="AG16" s="114"/>
      <c r="AH16" s="114"/>
      <c r="AI16" s="114"/>
      <c r="AJ16" s="114"/>
      <c r="AK16" s="114"/>
      <c r="AL16" s="114"/>
      <c r="AM16" s="114"/>
      <c r="AN16" s="114"/>
      <c r="AO16" s="114"/>
      <c r="AP16" s="114"/>
      <c r="AQ16" s="114"/>
      <c r="AR16" s="114"/>
      <c r="AS16" s="50"/>
      <c r="AT16" s="74"/>
      <c r="AU16" s="114"/>
      <c r="AV16" s="114"/>
      <c r="AW16" s="394"/>
      <c r="AX16" s="30"/>
      <c r="AY16" s="30"/>
      <c r="AZ16" s="30"/>
      <c r="BA16" s="30"/>
      <c r="BB16" s="30"/>
      <c r="BC16" s="30"/>
      <c r="BD16" s="30"/>
      <c r="BE16" s="30"/>
      <c r="BF16" s="30"/>
      <c r="BG16" s="30"/>
      <c r="BH16" s="30"/>
      <c r="BI16" s="30"/>
      <c r="BJ16" s="30"/>
      <c r="BK16" s="30"/>
      <c r="BL16" s="30"/>
      <c r="BM16" s="30"/>
      <c r="BN16" s="30"/>
      <c r="BO16" s="30"/>
      <c r="BP16" s="30"/>
      <c r="BQ16" s="30"/>
      <c r="BR16" s="30"/>
      <c r="BS16" s="30"/>
      <c r="BT16" s="30"/>
      <c r="BU16" s="30"/>
      <c r="BV16" s="30"/>
      <c r="BW16" s="30"/>
      <c r="BX16" s="30"/>
      <c r="BY16" s="30"/>
      <c r="BZ16" s="30"/>
      <c r="CA16" s="30"/>
    </row>
    <row r="17" spans="1:31" ht="15" customHeight="1">
      <c r="A17" s="41" t="s">
        <v>183</v>
      </c>
      <c r="B17" s="402" t="s">
        <v>88</v>
      </c>
      <c r="C17" s="113" t="s">
        <v>88</v>
      </c>
      <c r="D17" s="393" t="s">
        <v>89</v>
      </c>
      <c r="E17" s="394" t="s">
        <v>535</v>
      </c>
      <c r="F17" s="402">
        <v>6600</v>
      </c>
      <c r="G17" s="405" t="s">
        <v>4961</v>
      </c>
      <c r="H17" s="49">
        <v>2834</v>
      </c>
      <c r="I17" s="50" t="s">
        <v>1</v>
      </c>
      <c r="J17" s="76" t="s">
        <v>1033</v>
      </c>
      <c r="K17" s="51">
        <v>40829</v>
      </c>
      <c r="L17" s="146"/>
      <c r="M17" s="85" t="s">
        <v>91</v>
      </c>
      <c r="N17" s="50" t="s">
        <v>2</v>
      </c>
      <c r="O17" s="116">
        <v>2.5</v>
      </c>
      <c r="P17" s="121">
        <v>6</v>
      </c>
      <c r="Q17" s="131">
        <v>6.9</v>
      </c>
      <c r="R17" s="119">
        <v>370</v>
      </c>
      <c r="S17" s="147">
        <f>5/2</f>
        <v>2.5</v>
      </c>
      <c r="T17" s="121">
        <f t="shared" si="0"/>
        <v>0.05</v>
      </c>
      <c r="U17" s="126">
        <f t="shared" si="1"/>
        <v>0.5</v>
      </c>
      <c r="V17" s="123">
        <f>0.1/2</f>
        <v>0.05</v>
      </c>
      <c r="W17" s="127">
        <f t="shared" si="2"/>
        <v>0.02</v>
      </c>
      <c r="X17" s="123">
        <v>0.02</v>
      </c>
      <c r="Y17" s="127">
        <f t="shared" si="3"/>
        <v>6.4999999999999997E-3</v>
      </c>
      <c r="Z17" s="313">
        <v>1</v>
      </c>
      <c r="AA17" s="313">
        <v>1</v>
      </c>
      <c r="AB17" s="352">
        <v>160</v>
      </c>
      <c r="AC17" s="85">
        <v>457</v>
      </c>
      <c r="AD17" s="313">
        <v>1</v>
      </c>
    </row>
    <row r="18" spans="1:31" ht="15" customHeight="1">
      <c r="A18" s="41" t="s">
        <v>183</v>
      </c>
      <c r="B18" s="402" t="s">
        <v>88</v>
      </c>
      <c r="C18" s="113" t="s">
        <v>88</v>
      </c>
      <c r="D18" s="393" t="s">
        <v>89</v>
      </c>
      <c r="E18" s="394" t="s">
        <v>535</v>
      </c>
      <c r="F18" s="402">
        <v>6600</v>
      </c>
      <c r="G18" s="414" t="s">
        <v>4961</v>
      </c>
      <c r="H18" s="58">
        <v>2834</v>
      </c>
      <c r="I18" s="50" t="s">
        <v>1</v>
      </c>
      <c r="J18" s="76" t="s">
        <v>1034</v>
      </c>
      <c r="K18" s="51">
        <v>40829</v>
      </c>
      <c r="L18" s="146"/>
      <c r="M18" s="85" t="s">
        <v>91</v>
      </c>
      <c r="N18" s="50" t="s">
        <v>2</v>
      </c>
      <c r="O18" s="116">
        <v>2.5</v>
      </c>
      <c r="P18" s="121">
        <v>6</v>
      </c>
      <c r="Q18" s="131">
        <v>6.84</v>
      </c>
      <c r="R18" s="119">
        <v>240</v>
      </c>
      <c r="S18" s="147">
        <v>7</v>
      </c>
      <c r="T18" s="121">
        <f t="shared" si="0"/>
        <v>0.05</v>
      </c>
      <c r="U18" s="126">
        <f t="shared" si="1"/>
        <v>0.5</v>
      </c>
      <c r="V18" s="123">
        <f>0.1/2</f>
        <v>0.05</v>
      </c>
      <c r="W18" s="148">
        <f t="shared" si="2"/>
        <v>0.02</v>
      </c>
      <c r="X18" s="123">
        <f>0.02/2</f>
        <v>0.01</v>
      </c>
      <c r="Y18" s="127">
        <f t="shared" si="3"/>
        <v>6.4999999999999997E-3</v>
      </c>
      <c r="Z18" s="313">
        <v>1</v>
      </c>
      <c r="AA18" s="313">
        <v>1</v>
      </c>
      <c r="AB18" s="352">
        <v>90</v>
      </c>
      <c r="AC18" s="85">
        <v>287</v>
      </c>
      <c r="AD18" s="313">
        <v>1</v>
      </c>
    </row>
    <row r="19" spans="1:31" ht="15" customHeight="1">
      <c r="A19" s="41" t="s">
        <v>183</v>
      </c>
      <c r="B19" s="386" t="s">
        <v>954</v>
      </c>
      <c r="C19" s="149" t="s">
        <v>99</v>
      </c>
      <c r="D19" s="392" t="s">
        <v>98</v>
      </c>
      <c r="E19" s="258" t="s">
        <v>44</v>
      </c>
      <c r="F19" s="386"/>
      <c r="G19" s="363" t="s">
        <v>100</v>
      </c>
      <c r="H19" s="60">
        <v>4952</v>
      </c>
      <c r="I19" s="54" t="s">
        <v>2</v>
      </c>
      <c r="J19" s="61" t="s">
        <v>101</v>
      </c>
      <c r="K19" s="57">
        <v>40835</v>
      </c>
      <c r="L19" s="132">
        <v>40830</v>
      </c>
      <c r="M19" s="54">
        <v>5</v>
      </c>
      <c r="N19" s="54" t="s">
        <v>2</v>
      </c>
      <c r="O19" s="133">
        <f>1/2</f>
        <v>0.5</v>
      </c>
      <c r="P19" s="138"/>
      <c r="Q19" s="135">
        <v>7.47</v>
      </c>
      <c r="R19" s="136">
        <v>3.7</v>
      </c>
      <c r="S19" s="137">
        <f>1/2</f>
        <v>0.5</v>
      </c>
      <c r="T19" s="138">
        <f>0.5/2</f>
        <v>0.25</v>
      </c>
      <c r="U19" s="139">
        <v>0.72</v>
      </c>
      <c r="V19" s="140">
        <v>0.18</v>
      </c>
      <c r="W19" s="141">
        <v>8.9999999999999993E-3</v>
      </c>
      <c r="X19" s="140">
        <v>6.2E-2</v>
      </c>
      <c r="Y19" s="141">
        <v>1.0999999999999999E-2</v>
      </c>
      <c r="Z19" s="313">
        <v>1</v>
      </c>
      <c r="AA19" s="313">
        <v>1</v>
      </c>
      <c r="AB19" s="351">
        <v>3.02</v>
      </c>
      <c r="AC19" s="142">
        <v>13</v>
      </c>
      <c r="AD19" s="312">
        <v>0.7</v>
      </c>
      <c r="AE19" s="54"/>
    </row>
    <row r="20" spans="1:31" ht="15" customHeight="1">
      <c r="A20" s="41" t="s">
        <v>183</v>
      </c>
      <c r="B20" s="386" t="s">
        <v>102</v>
      </c>
      <c r="C20" s="149"/>
      <c r="D20" s="392" t="s">
        <v>103</v>
      </c>
      <c r="E20" s="419" t="s">
        <v>104</v>
      </c>
      <c r="F20" s="386"/>
      <c r="G20" s="363" t="s">
        <v>105</v>
      </c>
      <c r="H20" s="60">
        <v>4952</v>
      </c>
      <c r="I20" s="54" t="s">
        <v>2</v>
      </c>
      <c r="J20" s="61" t="s">
        <v>106</v>
      </c>
      <c r="K20" s="57">
        <v>40835</v>
      </c>
      <c r="L20" s="132">
        <v>40830</v>
      </c>
      <c r="M20" s="54">
        <v>5</v>
      </c>
      <c r="N20" s="54" t="s">
        <v>2</v>
      </c>
      <c r="O20" s="133">
        <f>2/2</f>
        <v>1</v>
      </c>
      <c r="P20" s="138">
        <v>5.13</v>
      </c>
      <c r="Q20" s="135">
        <v>7.23</v>
      </c>
      <c r="R20" s="136">
        <v>41</v>
      </c>
      <c r="S20" s="137">
        <v>9</v>
      </c>
      <c r="T20" s="138">
        <v>0.32</v>
      </c>
      <c r="U20" s="139">
        <v>1.08</v>
      </c>
      <c r="V20" s="140">
        <v>0.02</v>
      </c>
      <c r="W20" s="141">
        <v>1.6E-2</v>
      </c>
      <c r="X20" s="140">
        <v>2.1000000000000001E-2</v>
      </c>
      <c r="Y20" s="141">
        <v>2.7E-2</v>
      </c>
      <c r="Z20" s="313">
        <v>1</v>
      </c>
      <c r="AA20" s="313">
        <v>1</v>
      </c>
      <c r="AB20" s="351">
        <v>13</v>
      </c>
      <c r="AC20" s="142">
        <v>169</v>
      </c>
      <c r="AD20" s="312">
        <v>1</v>
      </c>
      <c r="AE20" s="54"/>
    </row>
    <row r="21" spans="1:31" ht="15" customHeight="1">
      <c r="A21" s="41" t="s">
        <v>183</v>
      </c>
      <c r="B21" s="386" t="s">
        <v>102</v>
      </c>
      <c r="C21" s="149"/>
      <c r="D21" s="392" t="s">
        <v>103</v>
      </c>
      <c r="E21" s="419" t="s">
        <v>104</v>
      </c>
      <c r="F21" s="386"/>
      <c r="G21" s="363" t="s">
        <v>105</v>
      </c>
      <c r="H21" s="60">
        <v>4952</v>
      </c>
      <c r="I21" s="54" t="s">
        <v>2</v>
      </c>
      <c r="J21" s="61" t="s">
        <v>107</v>
      </c>
      <c r="K21" s="57">
        <v>40835</v>
      </c>
      <c r="L21" s="132">
        <v>40830</v>
      </c>
      <c r="M21" s="54">
        <v>5</v>
      </c>
      <c r="N21" s="54" t="s">
        <v>2</v>
      </c>
      <c r="O21" s="133">
        <f>2/2</f>
        <v>1</v>
      </c>
      <c r="P21" s="138">
        <v>5.13</v>
      </c>
      <c r="Q21" s="135">
        <v>7.27</v>
      </c>
      <c r="R21" s="136">
        <v>0.05</v>
      </c>
      <c r="S21" s="137">
        <v>4</v>
      </c>
      <c r="T21" s="138">
        <v>0.05</v>
      </c>
      <c r="U21" s="139">
        <v>0.35</v>
      </c>
      <c r="V21" s="140">
        <v>0.02</v>
      </c>
      <c r="W21" s="141">
        <v>1.2999999999999999E-2</v>
      </c>
      <c r="X21" s="140">
        <f>0.02/2</f>
        <v>0.01</v>
      </c>
      <c r="Y21" s="141">
        <v>5.3999999999999999E-2</v>
      </c>
      <c r="Z21" s="313">
        <v>1</v>
      </c>
      <c r="AA21" s="313">
        <v>1</v>
      </c>
      <c r="AB21" s="351">
        <v>10</v>
      </c>
      <c r="AC21" s="142">
        <v>31</v>
      </c>
      <c r="AD21" s="312">
        <v>1</v>
      </c>
      <c r="AE21" s="54"/>
    </row>
    <row r="22" spans="1:31" ht="15" customHeight="1">
      <c r="A22" s="41" t="s">
        <v>183</v>
      </c>
      <c r="B22" s="386" t="s">
        <v>102</v>
      </c>
      <c r="C22" s="149"/>
      <c r="D22" s="392" t="s">
        <v>103</v>
      </c>
      <c r="E22" s="419" t="s">
        <v>104</v>
      </c>
      <c r="F22" s="386"/>
      <c r="G22" s="363" t="s">
        <v>105</v>
      </c>
      <c r="H22" s="60">
        <v>4952</v>
      </c>
      <c r="I22" s="54" t="s">
        <v>2</v>
      </c>
      <c r="J22" s="61" t="s">
        <v>108</v>
      </c>
      <c r="K22" s="57">
        <v>40835</v>
      </c>
      <c r="L22" s="132">
        <v>40830</v>
      </c>
      <c r="M22" s="54">
        <v>5</v>
      </c>
      <c r="N22" s="54" t="s">
        <v>2</v>
      </c>
      <c r="O22" s="133">
        <f>2/2</f>
        <v>1</v>
      </c>
      <c r="P22" s="142">
        <v>5.13</v>
      </c>
      <c r="Q22" s="135">
        <v>6.77</v>
      </c>
      <c r="R22" s="136">
        <f>10/2</f>
        <v>5</v>
      </c>
      <c r="S22" s="137">
        <v>2</v>
      </c>
      <c r="T22" s="138">
        <f>0.05/2</f>
        <v>2.5000000000000001E-2</v>
      </c>
      <c r="U22" s="139">
        <v>0.24</v>
      </c>
      <c r="V22" s="140">
        <v>0.02</v>
      </c>
      <c r="W22" s="141">
        <v>0.125</v>
      </c>
      <c r="X22" s="140">
        <v>2.9000000000000001E-2</v>
      </c>
      <c r="Y22" s="141">
        <v>7.5999999999999998E-2</v>
      </c>
      <c r="Z22" s="313">
        <v>1</v>
      </c>
      <c r="AA22" s="313">
        <v>1</v>
      </c>
      <c r="AB22" s="351">
        <v>6</v>
      </c>
      <c r="AC22" s="142">
        <v>17</v>
      </c>
      <c r="AD22" s="312">
        <v>1</v>
      </c>
      <c r="AE22" s="54"/>
    </row>
    <row r="23" spans="1:31" ht="15" customHeight="1">
      <c r="A23" s="41" t="s">
        <v>183</v>
      </c>
      <c r="B23" s="386" t="s">
        <v>102</v>
      </c>
      <c r="C23" s="149"/>
      <c r="D23" s="392" t="s">
        <v>103</v>
      </c>
      <c r="E23" s="419" t="s">
        <v>104</v>
      </c>
      <c r="F23" s="386"/>
      <c r="G23" s="363" t="s">
        <v>105</v>
      </c>
      <c r="H23" s="60">
        <v>4952</v>
      </c>
      <c r="I23" s="54" t="s">
        <v>2</v>
      </c>
      <c r="J23" s="61" t="s">
        <v>109</v>
      </c>
      <c r="K23" s="57">
        <v>40835</v>
      </c>
      <c r="L23" s="132">
        <v>40830</v>
      </c>
      <c r="M23" s="54">
        <v>5</v>
      </c>
      <c r="N23" s="54" t="s">
        <v>2</v>
      </c>
      <c r="O23" s="133">
        <f>2/2</f>
        <v>1</v>
      </c>
      <c r="P23" s="142">
        <v>5.13</v>
      </c>
      <c r="Q23" s="135">
        <v>7.24</v>
      </c>
      <c r="R23" s="136">
        <f>10/2</f>
        <v>5</v>
      </c>
      <c r="S23" s="137">
        <v>2</v>
      </c>
      <c r="T23" s="138">
        <v>0.06</v>
      </c>
      <c r="U23" s="139">
        <v>0.34</v>
      </c>
      <c r="V23" s="140">
        <v>0.02</v>
      </c>
      <c r="W23" s="141">
        <v>1.4E-2</v>
      </c>
      <c r="X23" s="140">
        <v>2.3E-2</v>
      </c>
      <c r="Y23" s="141">
        <v>3.7999999999999999E-2</v>
      </c>
      <c r="Z23" s="313">
        <v>1</v>
      </c>
      <c r="AA23" s="313">
        <v>1</v>
      </c>
      <c r="AB23" s="351">
        <v>40</v>
      </c>
      <c r="AC23" s="142">
        <v>116</v>
      </c>
      <c r="AD23" s="312">
        <v>1</v>
      </c>
      <c r="AE23" s="54"/>
    </row>
    <row r="24" spans="1:31" ht="15" customHeight="1">
      <c r="A24" s="41" t="s">
        <v>183</v>
      </c>
      <c r="B24" s="386" t="s">
        <v>110</v>
      </c>
      <c r="C24" s="149" t="s">
        <v>110</v>
      </c>
      <c r="D24" s="392" t="s">
        <v>111</v>
      </c>
      <c r="E24" s="258" t="s">
        <v>112</v>
      </c>
      <c r="F24" s="386"/>
      <c r="G24" s="363" t="s">
        <v>113</v>
      </c>
      <c r="H24" s="60">
        <v>3679</v>
      </c>
      <c r="I24" s="54" t="s">
        <v>1</v>
      </c>
      <c r="J24" s="339" t="s">
        <v>1943</v>
      </c>
      <c r="K24" s="57">
        <v>40857</v>
      </c>
      <c r="L24" s="132">
        <v>40846</v>
      </c>
      <c r="M24" s="54">
        <v>11</v>
      </c>
      <c r="N24" s="54" t="s">
        <v>2</v>
      </c>
      <c r="O24" s="150">
        <f>1/2</f>
        <v>0.5</v>
      </c>
      <c r="P24" s="142">
        <v>4.95</v>
      </c>
      <c r="Q24" s="135">
        <v>5.82</v>
      </c>
      <c r="R24" s="136">
        <v>15</v>
      </c>
      <c r="S24" s="137">
        <v>4</v>
      </c>
      <c r="T24" s="138">
        <f>0.05/2</f>
        <v>2.5000000000000001E-2</v>
      </c>
      <c r="U24" s="139">
        <v>1.8</v>
      </c>
      <c r="V24" s="140">
        <f>0.1/2</f>
        <v>0.05</v>
      </c>
      <c r="W24" s="141">
        <v>8.0000000000000002E-3</v>
      </c>
      <c r="X24" s="140">
        <v>4.9000000000000002E-2</v>
      </c>
      <c r="Y24" s="141">
        <v>2E-3</v>
      </c>
      <c r="Z24" s="313">
        <v>1</v>
      </c>
      <c r="AA24" s="312">
        <v>0.78100000000000003</v>
      </c>
      <c r="AB24" s="351">
        <v>1.1000000000000001</v>
      </c>
      <c r="AC24" s="142">
        <v>12</v>
      </c>
      <c r="AD24" s="312">
        <v>0.25</v>
      </c>
      <c r="AE24" s="54"/>
    </row>
    <row r="25" spans="1:31" ht="15" customHeight="1">
      <c r="A25" s="41" t="s">
        <v>183</v>
      </c>
      <c r="B25" s="386" t="s">
        <v>110</v>
      </c>
      <c r="C25" s="149" t="s">
        <v>110</v>
      </c>
      <c r="D25" s="392" t="s">
        <v>111</v>
      </c>
      <c r="E25" s="258" t="s">
        <v>112</v>
      </c>
      <c r="F25" s="386"/>
      <c r="G25" s="389" t="s">
        <v>113</v>
      </c>
      <c r="H25" s="55">
        <v>3679</v>
      </c>
      <c r="I25" s="54" t="s">
        <v>1</v>
      </c>
      <c r="J25" s="339" t="s">
        <v>425</v>
      </c>
      <c r="K25" s="57">
        <v>40857</v>
      </c>
      <c r="L25" s="132">
        <v>40846</v>
      </c>
      <c r="M25" s="54">
        <v>11</v>
      </c>
      <c r="N25" s="54" t="s">
        <v>2</v>
      </c>
      <c r="O25" s="150">
        <f>1/2</f>
        <v>0.5</v>
      </c>
      <c r="P25" s="142">
        <v>4.95</v>
      </c>
      <c r="Q25" s="135">
        <v>5.03</v>
      </c>
      <c r="R25" s="136">
        <v>15</v>
      </c>
      <c r="S25" s="137">
        <v>3</v>
      </c>
      <c r="T25" s="138">
        <f>0.05/2</f>
        <v>2.5000000000000001E-2</v>
      </c>
      <c r="U25" s="139">
        <v>1.48</v>
      </c>
      <c r="V25" s="340">
        <f>0.1/2</f>
        <v>0.05</v>
      </c>
      <c r="W25" s="141">
        <f>0.005/2</f>
        <v>2.5000000000000001E-3</v>
      </c>
      <c r="X25" s="140">
        <v>0.08</v>
      </c>
      <c r="Y25" s="141">
        <v>2E-3</v>
      </c>
      <c r="Z25" s="313">
        <v>1</v>
      </c>
      <c r="AA25" s="312">
        <v>0.82</v>
      </c>
      <c r="AB25" s="351" t="s">
        <v>955</v>
      </c>
      <c r="AC25" s="142">
        <v>10</v>
      </c>
      <c r="AD25" s="312">
        <v>0.3</v>
      </c>
      <c r="AE25" s="54"/>
    </row>
    <row r="26" spans="1:31" ht="15" customHeight="1">
      <c r="A26" s="41" t="s">
        <v>183</v>
      </c>
      <c r="B26" s="386" t="s">
        <v>110</v>
      </c>
      <c r="C26" s="149" t="s">
        <v>110</v>
      </c>
      <c r="D26" s="392" t="s">
        <v>111</v>
      </c>
      <c r="E26" s="258" t="s">
        <v>112</v>
      </c>
      <c r="F26" s="386"/>
      <c r="G26" s="389" t="s">
        <v>113</v>
      </c>
      <c r="H26" s="55">
        <v>3679</v>
      </c>
      <c r="I26" s="54" t="s">
        <v>1</v>
      </c>
      <c r="J26" s="339" t="s">
        <v>1341</v>
      </c>
      <c r="K26" s="57">
        <v>40857</v>
      </c>
      <c r="L26" s="132">
        <v>40846</v>
      </c>
      <c r="M26" s="54">
        <v>11</v>
      </c>
      <c r="N26" s="54" t="s">
        <v>2</v>
      </c>
      <c r="O26" s="150">
        <f>1/2</f>
        <v>0.5</v>
      </c>
      <c r="P26" s="142">
        <v>4.95</v>
      </c>
      <c r="Q26" s="135">
        <v>6.67</v>
      </c>
      <c r="R26" s="136">
        <v>11.3</v>
      </c>
      <c r="S26" s="137">
        <f>1/2</f>
        <v>0.5</v>
      </c>
      <c r="T26" s="138">
        <f>0.05/2</f>
        <v>2.5000000000000001E-2</v>
      </c>
      <c r="U26" s="139">
        <v>1.52</v>
      </c>
      <c r="V26" s="140">
        <v>0.68</v>
      </c>
      <c r="W26" s="141">
        <v>1.2E-2</v>
      </c>
      <c r="X26" s="140">
        <v>4.5999999999999999E-2</v>
      </c>
      <c r="Y26" s="141">
        <f>0.002/2</f>
        <v>1E-3</v>
      </c>
      <c r="Z26" s="313">
        <v>1</v>
      </c>
      <c r="AA26" s="313">
        <v>1</v>
      </c>
      <c r="AB26" s="351">
        <v>19.489999999999998</v>
      </c>
      <c r="AC26" s="142">
        <v>154</v>
      </c>
      <c r="AD26" s="312">
        <v>0.75</v>
      </c>
      <c r="AE26" s="54"/>
    </row>
    <row r="27" spans="1:31" ht="15" customHeight="1">
      <c r="A27" s="41" t="s">
        <v>183</v>
      </c>
      <c r="B27" s="386" t="s">
        <v>956</v>
      </c>
      <c r="C27" s="149" t="s">
        <v>957</v>
      </c>
      <c r="D27" s="392" t="s">
        <v>117</v>
      </c>
      <c r="E27" s="258" t="s">
        <v>116</v>
      </c>
      <c r="F27" s="386"/>
      <c r="G27" s="389" t="s">
        <v>958</v>
      </c>
      <c r="H27" s="55">
        <v>4151</v>
      </c>
      <c r="I27" s="54"/>
      <c r="J27" s="61" t="s">
        <v>118</v>
      </c>
      <c r="K27" s="57">
        <v>40835</v>
      </c>
      <c r="L27" s="132">
        <v>40830</v>
      </c>
      <c r="M27" s="54">
        <v>5</v>
      </c>
      <c r="N27" s="54" t="s">
        <v>2</v>
      </c>
      <c r="O27" s="133">
        <v>2.2000000000000002</v>
      </c>
      <c r="P27" s="138">
        <v>5</v>
      </c>
      <c r="Q27" s="135">
        <v>6.4</v>
      </c>
      <c r="R27" s="136">
        <v>41.4</v>
      </c>
      <c r="S27" s="137">
        <v>1</v>
      </c>
      <c r="T27" s="138">
        <v>0.23</v>
      </c>
      <c r="U27" s="139">
        <v>0.5</v>
      </c>
      <c r="V27" s="140">
        <f>0.2/2</f>
        <v>0.1</v>
      </c>
      <c r="W27" s="141">
        <f>0.01/2</f>
        <v>5.0000000000000001E-3</v>
      </c>
      <c r="X27" s="140">
        <v>0.15</v>
      </c>
      <c r="Y27" s="141">
        <f>0.02/2</f>
        <v>0.01</v>
      </c>
      <c r="Z27" s="312"/>
      <c r="AA27" s="312"/>
      <c r="AB27" s="351"/>
      <c r="AC27" s="151"/>
      <c r="AD27" s="312"/>
      <c r="AE27" s="54"/>
    </row>
    <row r="28" spans="1:31" ht="15" customHeight="1">
      <c r="A28" s="41" t="s">
        <v>183</v>
      </c>
      <c r="B28" s="386" t="s">
        <v>119</v>
      </c>
      <c r="C28" s="149" t="s">
        <v>120</v>
      </c>
      <c r="D28" s="299" t="s">
        <v>397</v>
      </c>
      <c r="E28" s="258" t="s">
        <v>467</v>
      </c>
      <c r="F28" s="386" t="s">
        <v>959</v>
      </c>
      <c r="G28" s="389" t="s">
        <v>121</v>
      </c>
      <c r="H28" s="55">
        <v>2400</v>
      </c>
      <c r="I28" s="54" t="s">
        <v>2</v>
      </c>
      <c r="J28" s="61" t="s">
        <v>122</v>
      </c>
      <c r="K28" s="57">
        <v>40829</v>
      </c>
      <c r="L28" s="132">
        <v>40820</v>
      </c>
      <c r="M28" s="54">
        <v>9</v>
      </c>
      <c r="N28" s="54" t="s">
        <v>2</v>
      </c>
      <c r="O28" s="133">
        <v>4.8</v>
      </c>
      <c r="P28" s="138">
        <v>6</v>
      </c>
      <c r="Q28" s="135">
        <v>7.3</v>
      </c>
      <c r="R28" s="136">
        <v>160</v>
      </c>
      <c r="S28" s="137">
        <v>130</v>
      </c>
      <c r="T28" s="138">
        <v>0.36</v>
      </c>
      <c r="U28" s="139">
        <v>1.4</v>
      </c>
      <c r="V28" s="140">
        <v>0.12</v>
      </c>
      <c r="W28" s="141">
        <v>7.9000000000000001E-2</v>
      </c>
      <c r="X28" s="140">
        <v>0.32</v>
      </c>
      <c r="Y28" s="141">
        <v>0.11</v>
      </c>
      <c r="Z28" s="313">
        <v>1</v>
      </c>
      <c r="AA28" s="313">
        <v>1</v>
      </c>
      <c r="AB28" s="351">
        <v>108</v>
      </c>
      <c r="AC28" s="142">
        <v>428</v>
      </c>
      <c r="AD28" s="312">
        <v>1</v>
      </c>
      <c r="AE28" s="54"/>
    </row>
    <row r="29" spans="1:31" ht="15" customHeight="1">
      <c r="A29" s="41" t="s">
        <v>183</v>
      </c>
      <c r="B29" s="386" t="s">
        <v>123</v>
      </c>
      <c r="C29" s="149" t="s">
        <v>123</v>
      </c>
      <c r="D29" s="392" t="s">
        <v>41</v>
      </c>
      <c r="E29" s="258" t="s">
        <v>960</v>
      </c>
      <c r="F29" s="386" t="s">
        <v>961</v>
      </c>
      <c r="G29" s="363" t="s">
        <v>153</v>
      </c>
      <c r="H29" s="55">
        <v>3471</v>
      </c>
      <c r="I29" s="54" t="s">
        <v>2</v>
      </c>
      <c r="J29" s="61" t="s">
        <v>124</v>
      </c>
      <c r="K29" s="57">
        <v>40835</v>
      </c>
      <c r="L29" s="132">
        <v>40830</v>
      </c>
      <c r="M29" s="54">
        <v>5</v>
      </c>
      <c r="N29" s="54" t="s">
        <v>2</v>
      </c>
      <c r="O29" s="133">
        <f>1.4/2</f>
        <v>0.7</v>
      </c>
      <c r="P29" s="138"/>
      <c r="Q29" s="135">
        <v>6.07</v>
      </c>
      <c r="R29" s="136">
        <f>10/2</f>
        <v>5</v>
      </c>
      <c r="S29" s="137">
        <f>5/2</f>
        <v>2.5</v>
      </c>
      <c r="T29" s="138">
        <v>0.02</v>
      </c>
      <c r="U29" s="139">
        <v>0.16</v>
      </c>
      <c r="V29" s="140">
        <v>0.09</v>
      </c>
      <c r="W29" s="141">
        <f>0.001/2</f>
        <v>5.0000000000000001E-4</v>
      </c>
      <c r="X29" s="140">
        <v>6.6000000000000003E-2</v>
      </c>
      <c r="Y29" s="141">
        <f>0.002/2</f>
        <v>1E-3</v>
      </c>
      <c r="Z29" s="312">
        <v>0.70699999999999996</v>
      </c>
      <c r="AA29" s="312">
        <v>0.68300000000000005</v>
      </c>
      <c r="AB29" s="351">
        <v>2</v>
      </c>
      <c r="AC29" s="142">
        <v>71</v>
      </c>
      <c r="AD29" s="312">
        <v>0</v>
      </c>
      <c r="AE29" s="54"/>
    </row>
    <row r="30" spans="1:31" ht="15" customHeight="1">
      <c r="A30" s="41" t="s">
        <v>183</v>
      </c>
      <c r="B30" s="386" t="s">
        <v>125</v>
      </c>
      <c r="C30" s="149" t="s">
        <v>126</v>
      </c>
      <c r="D30" s="392" t="s">
        <v>127</v>
      </c>
      <c r="E30" s="258" t="s">
        <v>128</v>
      </c>
      <c r="F30" s="386"/>
      <c r="G30" s="389" t="s">
        <v>129</v>
      </c>
      <c r="H30" s="55">
        <v>2841</v>
      </c>
      <c r="I30" s="54" t="s">
        <v>2</v>
      </c>
      <c r="J30" s="61" t="s">
        <v>130</v>
      </c>
      <c r="K30" s="57">
        <v>40835</v>
      </c>
      <c r="L30" s="132">
        <v>40829</v>
      </c>
      <c r="M30" s="54">
        <v>6</v>
      </c>
      <c r="N30" s="54" t="s">
        <v>2</v>
      </c>
      <c r="O30" s="150">
        <f>5/2</f>
        <v>2.5</v>
      </c>
      <c r="P30" s="138">
        <v>5.3</v>
      </c>
      <c r="Q30" s="135">
        <v>6.2</v>
      </c>
      <c r="R30" s="136">
        <v>33</v>
      </c>
      <c r="S30" s="137">
        <v>34</v>
      </c>
      <c r="T30" s="138">
        <f>0.1/2</f>
        <v>0.05</v>
      </c>
      <c r="U30" s="139">
        <f>1/2</f>
        <v>0.5</v>
      </c>
      <c r="V30" s="140">
        <v>0.35</v>
      </c>
      <c r="W30" s="141">
        <f>0.04/2</f>
        <v>0.02</v>
      </c>
      <c r="X30" s="140">
        <v>0.22</v>
      </c>
      <c r="Y30" s="141">
        <f>0.013/2</f>
        <v>6.4999999999999997E-3</v>
      </c>
      <c r="Z30" s="313">
        <v>1</v>
      </c>
      <c r="AA30" s="313">
        <v>1</v>
      </c>
      <c r="AB30" s="351">
        <v>16</v>
      </c>
      <c r="AC30" s="142">
        <v>58</v>
      </c>
      <c r="AD30" s="312">
        <v>1</v>
      </c>
      <c r="AE30" s="54"/>
    </row>
    <row r="31" spans="1:31" ht="15" customHeight="1">
      <c r="A31" s="41" t="s">
        <v>183</v>
      </c>
      <c r="B31" s="386" t="s">
        <v>136</v>
      </c>
      <c r="C31" s="149"/>
      <c r="D31" s="392" t="s">
        <v>133</v>
      </c>
      <c r="E31" s="258" t="s">
        <v>962</v>
      </c>
      <c r="F31" s="386">
        <v>3004</v>
      </c>
      <c r="G31" s="389" t="s">
        <v>137</v>
      </c>
      <c r="H31" s="55">
        <v>3829</v>
      </c>
      <c r="I31" s="54" t="s">
        <v>2</v>
      </c>
      <c r="J31" s="61" t="s">
        <v>74</v>
      </c>
      <c r="K31" s="57">
        <v>40830</v>
      </c>
      <c r="L31" s="132">
        <v>40819</v>
      </c>
      <c r="M31" s="54">
        <v>11</v>
      </c>
      <c r="N31" s="54" t="s">
        <v>2</v>
      </c>
      <c r="O31" s="133">
        <v>2</v>
      </c>
      <c r="P31" s="138">
        <v>6.37</v>
      </c>
      <c r="Q31" s="135">
        <v>5.88</v>
      </c>
      <c r="R31" s="136">
        <v>90</v>
      </c>
      <c r="S31" s="137">
        <v>19</v>
      </c>
      <c r="T31" s="138">
        <v>0.28999999999999998</v>
      </c>
      <c r="U31" s="139">
        <v>1.3</v>
      </c>
      <c r="V31" s="140">
        <v>0.03</v>
      </c>
      <c r="W31" s="141">
        <v>0.04</v>
      </c>
      <c r="X31" s="140">
        <v>0.14499999999999999</v>
      </c>
      <c r="Y31" s="141">
        <v>4.4999999999999998E-2</v>
      </c>
      <c r="Z31" s="313">
        <v>1</v>
      </c>
      <c r="AA31" s="313">
        <v>1</v>
      </c>
      <c r="AB31" s="351">
        <v>6</v>
      </c>
      <c r="AC31" s="142">
        <v>20</v>
      </c>
      <c r="AD31" s="312">
        <v>1</v>
      </c>
      <c r="AE31" s="54">
        <v>140</v>
      </c>
    </row>
    <row r="32" spans="1:31" ht="15" customHeight="1">
      <c r="A32" s="41" t="s">
        <v>183</v>
      </c>
      <c r="B32" s="386" t="s">
        <v>155</v>
      </c>
      <c r="C32" s="149" t="s">
        <v>155</v>
      </c>
      <c r="D32" s="392" t="s">
        <v>156</v>
      </c>
      <c r="E32" s="258" t="s">
        <v>157</v>
      </c>
      <c r="F32" s="386"/>
      <c r="G32" s="389" t="s">
        <v>158</v>
      </c>
      <c r="H32" s="55">
        <v>3429</v>
      </c>
      <c r="I32" s="54" t="s">
        <v>1</v>
      </c>
      <c r="J32" s="61" t="s">
        <v>159</v>
      </c>
      <c r="K32" s="57">
        <v>40835</v>
      </c>
      <c r="L32" s="132">
        <v>40831</v>
      </c>
      <c r="M32" s="54">
        <v>4</v>
      </c>
      <c r="N32" s="54" t="s">
        <v>2</v>
      </c>
      <c r="O32" s="135">
        <f>5/2</f>
        <v>2.5</v>
      </c>
      <c r="P32" s="134">
        <v>5.6</v>
      </c>
      <c r="Q32" s="135">
        <v>7</v>
      </c>
      <c r="R32" s="136">
        <v>14</v>
      </c>
      <c r="S32" s="137">
        <v>10</v>
      </c>
      <c r="T32" s="138">
        <f>0.1/2</f>
        <v>0.05</v>
      </c>
      <c r="U32" s="139">
        <f>1/2</f>
        <v>0.5</v>
      </c>
      <c r="V32" s="140">
        <v>0.98</v>
      </c>
      <c r="W32" s="141">
        <f>0.04/2</f>
        <v>0.02</v>
      </c>
      <c r="X32" s="140">
        <f>0.02/2</f>
        <v>0.01</v>
      </c>
      <c r="Y32" s="141">
        <f>0.013/2</f>
        <v>6.4999999999999997E-3</v>
      </c>
      <c r="Z32" s="312">
        <v>1</v>
      </c>
      <c r="AA32" s="312">
        <v>1</v>
      </c>
      <c r="AB32" s="351">
        <v>210</v>
      </c>
      <c r="AC32" s="142">
        <v>493</v>
      </c>
      <c r="AD32" s="312">
        <v>1</v>
      </c>
      <c r="AE32" s="54"/>
    </row>
    <row r="33" spans="1:31" ht="15" customHeight="1">
      <c r="A33" s="41" t="s">
        <v>183</v>
      </c>
      <c r="B33" s="386" t="s">
        <v>155</v>
      </c>
      <c r="C33" s="149" t="s">
        <v>155</v>
      </c>
      <c r="D33" s="392" t="s">
        <v>156</v>
      </c>
      <c r="E33" s="258" t="s">
        <v>157</v>
      </c>
      <c r="F33" s="386"/>
      <c r="G33" s="389" t="s">
        <v>158</v>
      </c>
      <c r="H33" s="55">
        <v>3429</v>
      </c>
      <c r="I33" s="54" t="s">
        <v>1</v>
      </c>
      <c r="J33" s="61" t="s">
        <v>160</v>
      </c>
      <c r="K33" s="57">
        <v>40835</v>
      </c>
      <c r="L33" s="132">
        <v>40831</v>
      </c>
      <c r="M33" s="54">
        <v>4</v>
      </c>
      <c r="N33" s="54" t="s">
        <v>2</v>
      </c>
      <c r="O33" s="135">
        <f>5/2</f>
        <v>2.5</v>
      </c>
      <c r="P33" s="134">
        <v>5.6</v>
      </c>
      <c r="Q33" s="135">
        <v>7.8</v>
      </c>
      <c r="R33" s="136">
        <v>31</v>
      </c>
      <c r="S33" s="137">
        <v>7</v>
      </c>
      <c r="T33" s="138">
        <f>0.1/2</f>
        <v>0.05</v>
      </c>
      <c r="U33" s="139">
        <f>1/2</f>
        <v>0.5</v>
      </c>
      <c r="V33" s="140">
        <f>0.1/2</f>
        <v>0.05</v>
      </c>
      <c r="W33" s="141">
        <f>0.04/2</f>
        <v>0.02</v>
      </c>
      <c r="X33" s="140">
        <f>0.02/2</f>
        <v>0.01</v>
      </c>
      <c r="Y33" s="141">
        <f>0.013/2</f>
        <v>6.4999999999999997E-3</v>
      </c>
      <c r="Z33" s="312">
        <v>1</v>
      </c>
      <c r="AA33" s="312">
        <v>1</v>
      </c>
      <c r="AB33" s="351">
        <v>160</v>
      </c>
      <c r="AC33" s="142">
        <v>840</v>
      </c>
      <c r="AD33" s="312">
        <v>1</v>
      </c>
      <c r="AE33" s="54"/>
    </row>
    <row r="34" spans="1:31" ht="15" customHeight="1">
      <c r="A34" s="41" t="s">
        <v>183</v>
      </c>
      <c r="B34" s="386" t="s">
        <v>155</v>
      </c>
      <c r="C34" s="149" t="s">
        <v>155</v>
      </c>
      <c r="D34" s="392" t="s">
        <v>156</v>
      </c>
      <c r="E34" s="258" t="s">
        <v>157</v>
      </c>
      <c r="F34" s="386"/>
      <c r="G34" s="389" t="s">
        <v>158</v>
      </c>
      <c r="H34" s="55">
        <v>3429</v>
      </c>
      <c r="I34" s="54" t="s">
        <v>1</v>
      </c>
      <c r="J34" s="61" t="s">
        <v>161</v>
      </c>
      <c r="K34" s="57">
        <v>40835</v>
      </c>
      <c r="L34" s="132">
        <v>40831</v>
      </c>
      <c r="M34" s="54">
        <v>4</v>
      </c>
      <c r="N34" s="54" t="s">
        <v>2</v>
      </c>
      <c r="O34" s="135">
        <f>5/2</f>
        <v>2.5</v>
      </c>
      <c r="P34" s="134">
        <v>5.6</v>
      </c>
      <c r="Q34" s="135">
        <v>7.2</v>
      </c>
      <c r="R34" s="136">
        <v>58</v>
      </c>
      <c r="S34" s="137">
        <v>33</v>
      </c>
      <c r="T34" s="138">
        <f>0.1/2</f>
        <v>0.05</v>
      </c>
      <c r="U34" s="139">
        <f>1/2</f>
        <v>0.5</v>
      </c>
      <c r="V34" s="140">
        <v>1.1000000000000001</v>
      </c>
      <c r="W34" s="141">
        <v>0.35</v>
      </c>
      <c r="X34" s="140">
        <v>0.13</v>
      </c>
      <c r="Y34" s="141">
        <f>0.013/2</f>
        <v>6.4999999999999997E-3</v>
      </c>
      <c r="Z34" s="312">
        <v>1</v>
      </c>
      <c r="AA34" s="312">
        <v>1</v>
      </c>
      <c r="AB34" s="351">
        <v>590</v>
      </c>
      <c r="AC34" s="142">
        <v>1976</v>
      </c>
      <c r="AD34" s="312">
        <v>0.75</v>
      </c>
      <c r="AE34" s="54"/>
    </row>
    <row r="35" spans="1:31" ht="15" customHeight="1">
      <c r="A35" s="41" t="s">
        <v>183</v>
      </c>
      <c r="B35" s="386" t="s">
        <v>155</v>
      </c>
      <c r="C35" s="149" t="s">
        <v>155</v>
      </c>
      <c r="D35" s="392" t="s">
        <v>156</v>
      </c>
      <c r="E35" s="258" t="s">
        <v>157</v>
      </c>
      <c r="F35" s="386"/>
      <c r="G35" s="389" t="s">
        <v>158</v>
      </c>
      <c r="H35" s="55">
        <v>3429</v>
      </c>
      <c r="I35" s="54" t="s">
        <v>1</v>
      </c>
      <c r="J35" s="61" t="s">
        <v>162</v>
      </c>
      <c r="K35" s="57">
        <v>40835</v>
      </c>
      <c r="L35" s="132">
        <v>40831</v>
      </c>
      <c r="M35" s="54">
        <v>4</v>
      </c>
      <c r="N35" s="54" t="s">
        <v>2</v>
      </c>
      <c r="O35" s="135">
        <f>5/2</f>
        <v>2.5</v>
      </c>
      <c r="P35" s="134">
        <v>5.6</v>
      </c>
      <c r="Q35" s="135">
        <v>7.9</v>
      </c>
      <c r="R35" s="136">
        <v>10</v>
      </c>
      <c r="S35" s="137">
        <f>5/2</f>
        <v>2.5</v>
      </c>
      <c r="T35" s="138">
        <f>0.1/2</f>
        <v>0.05</v>
      </c>
      <c r="U35" s="139">
        <f>1/2</f>
        <v>0.5</v>
      </c>
      <c r="V35" s="140">
        <v>0.87</v>
      </c>
      <c r="W35" s="141">
        <f>0.04/2</f>
        <v>0.02</v>
      </c>
      <c r="X35" s="140">
        <f>0.02/2</f>
        <v>0.01</v>
      </c>
      <c r="Y35" s="141">
        <f>0.013/2</f>
        <v>6.4999999999999997E-3</v>
      </c>
      <c r="Z35" s="312">
        <v>1</v>
      </c>
      <c r="AA35" s="312">
        <v>1</v>
      </c>
      <c r="AB35" s="351">
        <v>190</v>
      </c>
      <c r="AC35" s="142">
        <v>499</v>
      </c>
      <c r="AD35" s="312">
        <v>0.9</v>
      </c>
      <c r="AE35" s="54"/>
    </row>
    <row r="36" spans="1:31" ht="15" customHeight="1">
      <c r="A36" s="41" t="s">
        <v>183</v>
      </c>
      <c r="B36" s="386" t="s">
        <v>191</v>
      </c>
      <c r="C36" s="149" t="s">
        <v>191</v>
      </c>
      <c r="D36" s="392" t="s">
        <v>192</v>
      </c>
      <c r="E36" s="258" t="s">
        <v>44</v>
      </c>
      <c r="F36" s="386"/>
      <c r="G36" s="389" t="s">
        <v>193</v>
      </c>
      <c r="H36" s="55">
        <v>4952</v>
      </c>
      <c r="I36" s="54" t="s">
        <v>2</v>
      </c>
      <c r="J36" s="61" t="s">
        <v>194</v>
      </c>
      <c r="K36" s="57">
        <v>40835</v>
      </c>
      <c r="L36" s="132">
        <v>40831</v>
      </c>
      <c r="M36" s="54">
        <v>4</v>
      </c>
      <c r="N36" s="54" t="s">
        <v>2</v>
      </c>
      <c r="O36" s="135">
        <f>1/2</f>
        <v>0.5</v>
      </c>
      <c r="P36" s="134">
        <v>5.04</v>
      </c>
      <c r="Q36" s="135">
        <v>7.49</v>
      </c>
      <c r="R36" s="136">
        <v>32.1</v>
      </c>
      <c r="S36" s="137">
        <v>13</v>
      </c>
      <c r="T36" s="138">
        <f>0.05/2</f>
        <v>2.5000000000000001E-2</v>
      </c>
      <c r="U36" s="139">
        <v>1.3</v>
      </c>
      <c r="V36" s="142">
        <v>0.98</v>
      </c>
      <c r="W36" s="143">
        <v>3.3000000000000002E-2</v>
      </c>
      <c r="X36" s="142">
        <v>7.8E-2</v>
      </c>
      <c r="Y36" s="143">
        <v>3.0000000000000001E-3</v>
      </c>
      <c r="Z36" s="312">
        <v>1</v>
      </c>
      <c r="AA36" s="312">
        <v>1</v>
      </c>
      <c r="AB36" s="351">
        <v>101.2</v>
      </c>
      <c r="AC36" s="142">
        <v>240</v>
      </c>
      <c r="AD36" s="312">
        <v>1</v>
      </c>
      <c r="AE36" s="54"/>
    </row>
    <row r="37" spans="1:31" ht="15" customHeight="1">
      <c r="A37" s="41" t="s">
        <v>183</v>
      </c>
      <c r="B37" s="386" t="s">
        <v>956</v>
      </c>
      <c r="C37" s="149" t="s">
        <v>999</v>
      </c>
      <c r="D37" s="392" t="s">
        <v>195</v>
      </c>
      <c r="E37" s="258" t="s">
        <v>196</v>
      </c>
      <c r="F37" s="386"/>
      <c r="G37" s="389" t="s">
        <v>197</v>
      </c>
      <c r="H37" s="55">
        <v>4151</v>
      </c>
      <c r="I37" s="54" t="s">
        <v>2</v>
      </c>
      <c r="J37" s="61" t="s">
        <v>198</v>
      </c>
      <c r="K37" s="57">
        <v>40835</v>
      </c>
      <c r="L37" s="132">
        <v>40830</v>
      </c>
      <c r="M37" s="54">
        <v>5</v>
      </c>
      <c r="N37" s="54" t="s">
        <v>2</v>
      </c>
      <c r="O37" s="135">
        <v>4.9000000000000004</v>
      </c>
      <c r="P37" s="134">
        <v>5</v>
      </c>
      <c r="Q37" s="135">
        <v>6.54</v>
      </c>
      <c r="R37" s="136">
        <v>7.6</v>
      </c>
      <c r="S37" s="137">
        <v>12</v>
      </c>
      <c r="T37" s="138">
        <f>0.05/2</f>
        <v>2.5000000000000001E-2</v>
      </c>
      <c r="U37" s="139">
        <v>2.58</v>
      </c>
      <c r="V37" s="142">
        <v>0.2</v>
      </c>
      <c r="W37" s="143">
        <f>0.02/2</f>
        <v>0.01</v>
      </c>
      <c r="X37" s="142">
        <v>0.09</v>
      </c>
      <c r="Y37" s="143">
        <f>0.02/2</f>
        <v>0.01</v>
      </c>
      <c r="Z37" s="312"/>
      <c r="AA37" s="312"/>
      <c r="AB37" s="351"/>
      <c r="AC37" s="142"/>
      <c r="AD37" s="312"/>
    </row>
    <row r="38" spans="1:31" ht="15" customHeight="1">
      <c r="A38" s="41" t="s">
        <v>183</v>
      </c>
      <c r="B38" s="386" t="s">
        <v>199</v>
      </c>
      <c r="C38" s="149" t="s">
        <v>199</v>
      </c>
      <c r="D38" s="392" t="s">
        <v>200</v>
      </c>
      <c r="E38" s="258" t="s">
        <v>201</v>
      </c>
      <c r="F38" s="386"/>
      <c r="G38" s="389" t="s">
        <v>202</v>
      </c>
      <c r="H38" s="55">
        <v>33</v>
      </c>
      <c r="I38" s="54" t="s">
        <v>1</v>
      </c>
      <c r="J38" s="61" t="s">
        <v>203</v>
      </c>
      <c r="K38" s="57">
        <v>40835</v>
      </c>
      <c r="L38" s="132">
        <v>40830</v>
      </c>
      <c r="M38" s="54">
        <v>5</v>
      </c>
      <c r="N38" s="54" t="s">
        <v>2</v>
      </c>
      <c r="O38" s="135">
        <f>1/2</f>
        <v>0.5</v>
      </c>
      <c r="P38" s="134">
        <v>5.74</v>
      </c>
      <c r="Q38" s="135">
        <v>5.41</v>
      </c>
      <c r="R38" s="136">
        <f>1/2</f>
        <v>0.5</v>
      </c>
      <c r="S38" s="137">
        <f>1/2</f>
        <v>0.5</v>
      </c>
      <c r="T38" s="138">
        <f>0.05/2</f>
        <v>2.5000000000000001E-2</v>
      </c>
      <c r="U38" s="139">
        <v>1.24</v>
      </c>
      <c r="V38" s="142">
        <f>0.1/2</f>
        <v>0.05</v>
      </c>
      <c r="W38" s="143">
        <v>8.0000000000000002E-3</v>
      </c>
      <c r="X38" s="142">
        <v>5.2999999999999999E-2</v>
      </c>
      <c r="Y38" s="143">
        <v>7.0000000000000001E-3</v>
      </c>
      <c r="Z38" s="312">
        <v>1</v>
      </c>
      <c r="AA38" s="312">
        <v>1</v>
      </c>
      <c r="AB38" s="351">
        <v>1</v>
      </c>
      <c r="AC38" s="142">
        <v>5</v>
      </c>
      <c r="AD38" s="312">
        <v>0.85</v>
      </c>
    </row>
    <row r="39" spans="1:31" ht="15" customHeight="1">
      <c r="A39" s="41" t="s">
        <v>183</v>
      </c>
      <c r="B39" s="386" t="s">
        <v>204</v>
      </c>
      <c r="C39" s="149" t="s">
        <v>204</v>
      </c>
      <c r="D39" s="392" t="s">
        <v>205</v>
      </c>
      <c r="E39" s="258"/>
      <c r="F39" s="386"/>
      <c r="G39" s="389" t="s">
        <v>206</v>
      </c>
      <c r="H39" s="55">
        <v>8744</v>
      </c>
      <c r="I39" s="54" t="s">
        <v>2</v>
      </c>
      <c r="J39" s="61" t="s">
        <v>81</v>
      </c>
      <c r="K39" s="57">
        <v>40829</v>
      </c>
      <c r="L39" s="132">
        <v>40820</v>
      </c>
      <c r="M39" s="54">
        <v>9</v>
      </c>
      <c r="N39" s="54" t="s">
        <v>2</v>
      </c>
      <c r="O39" s="135">
        <f>1.4/2</f>
        <v>0.7</v>
      </c>
      <c r="P39" s="134">
        <v>6.4</v>
      </c>
      <c r="Q39" s="135">
        <v>7.21</v>
      </c>
      <c r="R39" s="136">
        <v>68</v>
      </c>
      <c r="S39" s="137">
        <v>260</v>
      </c>
      <c r="T39" s="138">
        <v>0.57999999999999996</v>
      </c>
      <c r="U39" s="139">
        <v>1.4</v>
      </c>
      <c r="V39" s="142">
        <v>0.04</v>
      </c>
      <c r="W39" s="143">
        <v>0.127</v>
      </c>
      <c r="X39" s="142">
        <v>8.4000000000000005E-2</v>
      </c>
      <c r="Y39" s="143">
        <v>2.5000000000000001E-2</v>
      </c>
      <c r="Z39" s="312">
        <v>1</v>
      </c>
      <c r="AA39" s="312">
        <v>1</v>
      </c>
      <c r="AB39" s="351">
        <v>22</v>
      </c>
      <c r="AC39" s="142">
        <v>67</v>
      </c>
      <c r="AD39" s="312">
        <v>1</v>
      </c>
    </row>
    <row r="40" spans="1:31" ht="15" customHeight="1">
      <c r="A40" s="41" t="s">
        <v>183</v>
      </c>
      <c r="B40" s="386" t="s">
        <v>207</v>
      </c>
      <c r="C40" s="149" t="s">
        <v>208</v>
      </c>
      <c r="D40" s="392" t="s">
        <v>209</v>
      </c>
      <c r="E40" s="258"/>
      <c r="F40" s="386"/>
      <c r="G40" s="389" t="s">
        <v>211</v>
      </c>
      <c r="H40" s="55">
        <v>4212</v>
      </c>
      <c r="I40" s="54" t="s">
        <v>2</v>
      </c>
      <c r="J40" s="61" t="s">
        <v>210</v>
      </c>
      <c r="K40" s="57">
        <v>40835</v>
      </c>
      <c r="L40" s="132">
        <v>40830</v>
      </c>
      <c r="M40" s="54">
        <v>5</v>
      </c>
      <c r="N40" s="54" t="s">
        <v>2</v>
      </c>
      <c r="O40" s="135">
        <f>1/2</f>
        <v>0.5</v>
      </c>
      <c r="P40" s="134">
        <v>6</v>
      </c>
      <c r="Q40" s="135">
        <v>8.6300000000000008</v>
      </c>
      <c r="R40" s="136">
        <v>28.9</v>
      </c>
      <c r="S40" s="137">
        <v>1052</v>
      </c>
      <c r="T40" s="138">
        <f>1/2</f>
        <v>0.5</v>
      </c>
      <c r="U40" s="139">
        <v>1.72</v>
      </c>
      <c r="V40" s="142">
        <v>0.16</v>
      </c>
      <c r="W40" s="143">
        <v>9.6000000000000002E-2</v>
      </c>
      <c r="X40" s="142">
        <v>0.46800000000000003</v>
      </c>
      <c r="Y40" s="143">
        <v>6.9000000000000006E-2</v>
      </c>
      <c r="Z40" s="312">
        <v>1</v>
      </c>
      <c r="AA40" s="312">
        <v>1</v>
      </c>
      <c r="AB40" s="351">
        <v>49.9</v>
      </c>
      <c r="AC40" s="142">
        <v>55</v>
      </c>
      <c r="AD40" s="312">
        <v>1</v>
      </c>
    </row>
    <row r="41" spans="1:31" ht="15" customHeight="1">
      <c r="A41" s="41" t="s">
        <v>183</v>
      </c>
      <c r="B41" s="402" t="s">
        <v>212</v>
      </c>
      <c r="C41" s="113" t="s">
        <v>212</v>
      </c>
      <c r="D41" s="393" t="s">
        <v>213</v>
      </c>
      <c r="E41" s="394" t="s">
        <v>214</v>
      </c>
      <c r="G41" s="405" t="s">
        <v>215</v>
      </c>
      <c r="H41" s="49">
        <v>3442</v>
      </c>
      <c r="I41" s="50" t="s">
        <v>2</v>
      </c>
      <c r="J41" s="76" t="s">
        <v>216</v>
      </c>
      <c r="K41" s="51">
        <v>40835</v>
      </c>
      <c r="L41" s="115">
        <v>40830</v>
      </c>
      <c r="M41" s="50">
        <v>5</v>
      </c>
      <c r="N41" s="50" t="s">
        <v>2</v>
      </c>
      <c r="O41" s="131">
        <f>2.1/2</f>
        <v>1.05</v>
      </c>
      <c r="P41" s="117">
        <v>4.84</v>
      </c>
      <c r="Q41" s="131">
        <v>4.7</v>
      </c>
      <c r="R41" s="119">
        <v>62</v>
      </c>
      <c r="S41" s="147">
        <v>16</v>
      </c>
      <c r="T41" s="121">
        <v>5.8000000000000003E-2</v>
      </c>
      <c r="U41" s="126">
        <v>2.2999999999999998</v>
      </c>
      <c r="V41" s="85">
        <v>1.3</v>
      </c>
      <c r="W41" s="130">
        <v>1.7999999999999999E-2</v>
      </c>
      <c r="X41" s="85">
        <v>1.17</v>
      </c>
      <c r="Y41" s="130">
        <f>0.005/2</f>
        <v>2.5000000000000001E-3</v>
      </c>
      <c r="Z41" s="313">
        <v>0.63700000000000001</v>
      </c>
      <c r="AA41" s="313">
        <v>0.379</v>
      </c>
      <c r="AB41" s="352">
        <v>6</v>
      </c>
      <c r="AC41" s="85">
        <v>39</v>
      </c>
      <c r="AD41" s="313">
        <v>0</v>
      </c>
    </row>
    <row r="42" spans="1:31" ht="15" customHeight="1">
      <c r="A42" s="41" t="s">
        <v>183</v>
      </c>
      <c r="B42" s="402" t="s">
        <v>212</v>
      </c>
      <c r="C42" s="113" t="s">
        <v>212</v>
      </c>
      <c r="D42" s="393" t="s">
        <v>213</v>
      </c>
      <c r="E42" s="394" t="s">
        <v>214</v>
      </c>
      <c r="G42" s="405" t="s">
        <v>215</v>
      </c>
      <c r="H42" s="49">
        <v>3442</v>
      </c>
      <c r="I42" s="50" t="s">
        <v>2</v>
      </c>
      <c r="J42" s="76" t="s">
        <v>217</v>
      </c>
      <c r="K42" s="51">
        <v>40835</v>
      </c>
      <c r="L42" s="115">
        <v>40830</v>
      </c>
      <c r="M42" s="50">
        <v>5</v>
      </c>
      <c r="N42" s="50" t="s">
        <v>2</v>
      </c>
      <c r="O42" s="131">
        <f>1.7/2</f>
        <v>0.85</v>
      </c>
      <c r="P42" s="117">
        <v>4.84</v>
      </c>
      <c r="Q42" s="131">
        <v>5.9</v>
      </c>
      <c r="R42" s="119">
        <v>48</v>
      </c>
      <c r="S42" s="147">
        <v>9</v>
      </c>
      <c r="T42" s="121">
        <v>0.10100000000000001</v>
      </c>
      <c r="U42" s="126">
        <v>1.1000000000000001</v>
      </c>
      <c r="V42" s="85">
        <v>0.66</v>
      </c>
      <c r="W42" s="130">
        <v>6.0000000000000001E-3</v>
      </c>
      <c r="X42" s="85">
        <v>9.1999999999999998E-2</v>
      </c>
      <c r="Y42" s="130">
        <f>0.005/2</f>
        <v>2.5000000000000001E-3</v>
      </c>
      <c r="Z42" s="313">
        <v>1</v>
      </c>
      <c r="AA42" s="313">
        <v>1</v>
      </c>
      <c r="AB42" s="352">
        <v>6</v>
      </c>
      <c r="AC42" s="85">
        <v>27</v>
      </c>
      <c r="AD42" s="313">
        <v>1</v>
      </c>
    </row>
    <row r="43" spans="1:31" ht="15" customHeight="1">
      <c r="A43" s="41" t="s">
        <v>183</v>
      </c>
      <c r="B43" s="402" t="s">
        <v>212</v>
      </c>
      <c r="C43" s="113" t="s">
        <v>212</v>
      </c>
      <c r="D43" s="393" t="s">
        <v>213</v>
      </c>
      <c r="E43" s="394" t="s">
        <v>214</v>
      </c>
      <c r="G43" s="405" t="s">
        <v>215</v>
      </c>
      <c r="H43" s="49">
        <v>3442</v>
      </c>
      <c r="I43" s="50" t="s">
        <v>2</v>
      </c>
      <c r="J43" s="76" t="s">
        <v>218</v>
      </c>
      <c r="K43" s="51">
        <v>40835</v>
      </c>
      <c r="L43" s="115">
        <v>40830</v>
      </c>
      <c r="M43" s="50">
        <v>5</v>
      </c>
      <c r="N43" s="50" t="s">
        <v>2</v>
      </c>
      <c r="O43" s="131">
        <f>1.7/2</f>
        <v>0.85</v>
      </c>
      <c r="P43" s="117">
        <v>4.84</v>
      </c>
      <c r="Q43" s="131">
        <v>7</v>
      </c>
      <c r="R43" s="119">
        <v>190</v>
      </c>
      <c r="S43" s="147">
        <v>60</v>
      </c>
      <c r="T43" s="121">
        <v>0.27300000000000002</v>
      </c>
      <c r="U43" s="126">
        <v>2.7</v>
      </c>
      <c r="V43" s="85">
        <v>0.46</v>
      </c>
      <c r="W43" s="130">
        <v>2.1999999999999999E-2</v>
      </c>
      <c r="X43" s="85">
        <v>0.221</v>
      </c>
      <c r="Y43" s="130">
        <v>5.4000000000000003E-3</v>
      </c>
      <c r="Z43" s="313">
        <v>1</v>
      </c>
      <c r="AA43" s="313">
        <v>1</v>
      </c>
      <c r="AB43" s="352">
        <v>30</v>
      </c>
      <c r="AC43" s="85">
        <v>119</v>
      </c>
      <c r="AD43" s="313">
        <v>1</v>
      </c>
    </row>
    <row r="44" spans="1:31" ht="15" customHeight="1">
      <c r="A44" s="41" t="s">
        <v>183</v>
      </c>
      <c r="B44" s="402" t="s">
        <v>212</v>
      </c>
      <c r="C44" s="113" t="s">
        <v>212</v>
      </c>
      <c r="D44" s="393" t="s">
        <v>213</v>
      </c>
      <c r="E44" s="394" t="s">
        <v>214</v>
      </c>
      <c r="G44" s="405" t="s">
        <v>215</v>
      </c>
      <c r="H44" s="49">
        <v>3442</v>
      </c>
      <c r="I44" s="50" t="s">
        <v>2</v>
      </c>
      <c r="J44" s="76" t="s">
        <v>219</v>
      </c>
      <c r="K44" s="51">
        <v>40835</v>
      </c>
      <c r="L44" s="115">
        <v>40830</v>
      </c>
      <c r="M44" s="50">
        <v>5</v>
      </c>
      <c r="N44" s="50" t="s">
        <v>2</v>
      </c>
      <c r="O44" s="131">
        <f>1.6/2</f>
        <v>0.8</v>
      </c>
      <c r="P44" s="117">
        <v>4.84</v>
      </c>
      <c r="Q44" s="131">
        <v>6.5</v>
      </c>
      <c r="R44" s="119">
        <v>48</v>
      </c>
      <c r="S44" s="147">
        <v>31</v>
      </c>
      <c r="T44" s="121">
        <v>8.3000000000000004E-2</v>
      </c>
      <c r="U44" s="126">
        <v>1.1000000000000001</v>
      </c>
      <c r="V44" s="85">
        <v>0.94</v>
      </c>
      <c r="W44" s="130">
        <v>1.0999999999999999E-2</v>
      </c>
      <c r="X44" s="85">
        <v>0.14000000000000001</v>
      </c>
      <c r="Y44" s="130">
        <f>0.005/2</f>
        <v>2.5000000000000001E-3</v>
      </c>
      <c r="Z44" s="313">
        <v>1</v>
      </c>
      <c r="AA44" s="313">
        <v>1</v>
      </c>
      <c r="AB44" s="352">
        <v>10</v>
      </c>
      <c r="AC44" s="85">
        <v>44</v>
      </c>
      <c r="AD44" s="313">
        <v>1</v>
      </c>
    </row>
    <row r="45" spans="1:31" ht="15" customHeight="1">
      <c r="A45" s="41" t="s">
        <v>183</v>
      </c>
      <c r="B45" s="402" t="s">
        <v>220</v>
      </c>
      <c r="C45" s="113" t="s">
        <v>220</v>
      </c>
      <c r="D45" s="393" t="s">
        <v>41</v>
      </c>
      <c r="E45" s="394" t="s">
        <v>221</v>
      </c>
      <c r="G45" s="405" t="s">
        <v>222</v>
      </c>
      <c r="H45" s="49" t="s">
        <v>223</v>
      </c>
      <c r="I45" s="50" t="s">
        <v>1</v>
      </c>
      <c r="J45" s="76" t="s">
        <v>224</v>
      </c>
      <c r="K45" s="51">
        <v>40857</v>
      </c>
      <c r="L45" s="115">
        <v>40845</v>
      </c>
      <c r="M45" s="50">
        <v>12</v>
      </c>
      <c r="N45" s="50" t="s">
        <v>1</v>
      </c>
      <c r="O45" s="131">
        <f>1.4/2</f>
        <v>0.7</v>
      </c>
      <c r="P45" s="117">
        <v>7.51</v>
      </c>
      <c r="Q45" s="131">
        <v>7.41</v>
      </c>
      <c r="R45" s="119">
        <v>41</v>
      </c>
      <c r="S45" s="147">
        <v>76</v>
      </c>
      <c r="T45" s="121">
        <v>0.31</v>
      </c>
      <c r="U45" s="126">
        <v>1.4</v>
      </c>
      <c r="V45" s="85">
        <v>1</v>
      </c>
      <c r="W45" s="130">
        <v>2.3E-2</v>
      </c>
      <c r="X45" s="85">
        <v>0.11799999999999999</v>
      </c>
      <c r="Y45" s="130">
        <v>1.7000000000000001E-2</v>
      </c>
      <c r="Z45" s="313">
        <v>1</v>
      </c>
      <c r="AA45" s="313">
        <v>1</v>
      </c>
      <c r="AB45" s="352">
        <v>104</v>
      </c>
      <c r="AC45" s="85">
        <v>973</v>
      </c>
      <c r="AD45" s="313">
        <v>1</v>
      </c>
    </row>
    <row r="46" spans="1:31" ht="15" customHeight="1">
      <c r="A46" s="41" t="s">
        <v>183</v>
      </c>
      <c r="B46" s="402" t="s">
        <v>220</v>
      </c>
      <c r="C46" s="113" t="s">
        <v>220</v>
      </c>
      <c r="D46" s="393" t="s">
        <v>41</v>
      </c>
      <c r="E46" s="394" t="s">
        <v>221</v>
      </c>
      <c r="G46" s="405" t="s">
        <v>222</v>
      </c>
      <c r="H46" s="49" t="s">
        <v>223</v>
      </c>
      <c r="I46" s="50" t="s">
        <v>1</v>
      </c>
      <c r="J46" s="76" t="s">
        <v>225</v>
      </c>
      <c r="K46" s="51">
        <v>40857</v>
      </c>
      <c r="L46" s="115">
        <v>40845</v>
      </c>
      <c r="M46" s="50">
        <v>12</v>
      </c>
      <c r="N46" s="50" t="s">
        <v>1</v>
      </c>
      <c r="O46" s="131">
        <v>1.4</v>
      </c>
      <c r="P46" s="117">
        <v>7.51</v>
      </c>
      <c r="Q46" s="131">
        <v>7.98</v>
      </c>
      <c r="R46" s="119">
        <v>28</v>
      </c>
      <c r="S46" s="147">
        <v>15</v>
      </c>
      <c r="T46" s="121">
        <v>0.06</v>
      </c>
      <c r="U46" s="126">
        <v>0.55000000000000004</v>
      </c>
      <c r="V46" s="85">
        <v>0.34</v>
      </c>
      <c r="W46" s="130">
        <v>6.0000000000000001E-3</v>
      </c>
      <c r="X46" s="85">
        <v>0.16300000000000001</v>
      </c>
      <c r="Y46" s="130">
        <v>3.0000000000000001E-3</v>
      </c>
      <c r="Z46" s="313">
        <v>1</v>
      </c>
      <c r="AA46" s="313">
        <v>0.73399999999999999</v>
      </c>
      <c r="AB46" s="352">
        <v>10</v>
      </c>
      <c r="AC46" s="85">
        <v>55</v>
      </c>
      <c r="AD46" s="313">
        <v>0.15</v>
      </c>
    </row>
    <row r="47" spans="1:31" ht="15" customHeight="1">
      <c r="A47" s="41" t="s">
        <v>183</v>
      </c>
      <c r="B47" s="402" t="s">
        <v>220</v>
      </c>
      <c r="C47" s="113" t="s">
        <v>220</v>
      </c>
      <c r="D47" s="393" t="s">
        <v>41</v>
      </c>
      <c r="E47" s="394" t="s">
        <v>221</v>
      </c>
      <c r="G47" s="405" t="s">
        <v>222</v>
      </c>
      <c r="H47" s="49" t="s">
        <v>223</v>
      </c>
      <c r="I47" s="50" t="s">
        <v>1</v>
      </c>
      <c r="J47" s="76" t="s">
        <v>226</v>
      </c>
      <c r="K47" s="51">
        <v>40857</v>
      </c>
      <c r="L47" s="115">
        <v>40845</v>
      </c>
      <c r="M47" s="50">
        <v>12</v>
      </c>
      <c r="N47" s="50" t="s">
        <v>1</v>
      </c>
      <c r="O47" s="131">
        <f>1.4/2</f>
        <v>0.7</v>
      </c>
      <c r="P47" s="117">
        <v>7.51</v>
      </c>
      <c r="Q47" s="131">
        <v>7.01</v>
      </c>
      <c r="R47" s="119">
        <f>10/2</f>
        <v>5</v>
      </c>
      <c r="S47" s="147">
        <v>9</v>
      </c>
      <c r="T47" s="121">
        <v>0.09</v>
      </c>
      <c r="U47" s="126">
        <v>0.78</v>
      </c>
      <c r="V47" s="85">
        <v>7.0000000000000007E-2</v>
      </c>
      <c r="W47" s="130">
        <v>2E-3</v>
      </c>
      <c r="X47" s="85">
        <v>2.1999999999999999E-2</v>
      </c>
      <c r="Y47" s="130">
        <f>0.002/2</f>
        <v>1E-3</v>
      </c>
      <c r="Z47" s="313">
        <v>1</v>
      </c>
      <c r="AA47" s="313">
        <v>1</v>
      </c>
      <c r="AB47" s="352">
        <v>90</v>
      </c>
      <c r="AC47" s="85">
        <v>780</v>
      </c>
      <c r="AD47" s="313">
        <v>1</v>
      </c>
    </row>
    <row r="48" spans="1:31" ht="15" customHeight="1">
      <c r="A48" s="41" t="s">
        <v>183</v>
      </c>
      <c r="B48" s="402" t="s">
        <v>227</v>
      </c>
      <c r="C48" s="113" t="s">
        <v>228</v>
      </c>
      <c r="D48" s="393" t="s">
        <v>192</v>
      </c>
      <c r="E48" s="420"/>
      <c r="G48" s="405" t="s">
        <v>229</v>
      </c>
      <c r="H48" s="62"/>
      <c r="I48" s="50" t="s">
        <v>2</v>
      </c>
      <c r="J48" s="76" t="s">
        <v>230</v>
      </c>
      <c r="K48" s="51">
        <v>40829</v>
      </c>
      <c r="L48" s="115">
        <v>40820</v>
      </c>
      <c r="M48" s="50">
        <v>9</v>
      </c>
      <c r="N48" s="50" t="s">
        <v>2</v>
      </c>
      <c r="O48" s="131">
        <f>1.5/2</f>
        <v>0.75</v>
      </c>
      <c r="P48" s="117">
        <v>6.91</v>
      </c>
      <c r="Q48" s="131">
        <v>6</v>
      </c>
      <c r="R48" s="119">
        <v>30</v>
      </c>
      <c r="S48" s="147">
        <v>6.5</v>
      </c>
      <c r="T48" s="121">
        <v>0.09</v>
      </c>
      <c r="U48" s="126">
        <v>0.35</v>
      </c>
      <c r="V48" s="85">
        <v>0.38</v>
      </c>
      <c r="W48" s="130">
        <v>1E-3</v>
      </c>
      <c r="X48" s="85">
        <v>8.9999999999999993E-3</v>
      </c>
      <c r="Y48" s="130">
        <f>0.002/2</f>
        <v>1E-3</v>
      </c>
      <c r="Z48" s="313">
        <v>1</v>
      </c>
      <c r="AA48" s="313">
        <v>1</v>
      </c>
      <c r="AB48" s="352">
        <v>24</v>
      </c>
      <c r="AC48" s="85">
        <v>150</v>
      </c>
      <c r="AD48" s="313">
        <v>1</v>
      </c>
    </row>
    <row r="49" spans="1:31" ht="15" customHeight="1">
      <c r="A49" s="41" t="s">
        <v>183</v>
      </c>
      <c r="B49" s="402" t="s">
        <v>227</v>
      </c>
      <c r="C49" s="113" t="s">
        <v>228</v>
      </c>
      <c r="D49" s="393" t="s">
        <v>192</v>
      </c>
      <c r="E49" s="420"/>
      <c r="G49" s="405" t="s">
        <v>229</v>
      </c>
      <c r="H49" s="62"/>
      <c r="I49" s="50" t="s">
        <v>2</v>
      </c>
      <c r="J49" s="76" t="s">
        <v>231</v>
      </c>
      <c r="K49" s="51">
        <v>40829</v>
      </c>
      <c r="L49" s="115">
        <v>40820</v>
      </c>
      <c r="M49" s="50">
        <v>9</v>
      </c>
      <c r="N49" s="50" t="s">
        <v>2</v>
      </c>
      <c r="O49" s="131">
        <f>1.5/2</f>
        <v>0.75</v>
      </c>
      <c r="P49" s="117">
        <v>6.95</v>
      </c>
      <c r="Q49" s="131">
        <v>6</v>
      </c>
      <c r="R49" s="119">
        <v>19</v>
      </c>
      <c r="S49" s="147">
        <v>170</v>
      </c>
      <c r="T49" s="121">
        <v>0.04</v>
      </c>
      <c r="U49" s="126">
        <v>0.43</v>
      </c>
      <c r="V49" s="85">
        <v>0.43</v>
      </c>
      <c r="W49" s="130">
        <v>2.1000000000000001E-2</v>
      </c>
      <c r="X49" s="85">
        <v>0.128</v>
      </c>
      <c r="Y49" s="130">
        <v>0.02</v>
      </c>
      <c r="Z49" s="313">
        <v>1</v>
      </c>
      <c r="AA49" s="313">
        <v>1</v>
      </c>
      <c r="AB49" s="352">
        <v>34</v>
      </c>
      <c r="AC49" s="85">
        <v>148</v>
      </c>
      <c r="AD49" s="313">
        <v>0.85</v>
      </c>
    </row>
    <row r="50" spans="1:31" ht="15" customHeight="1">
      <c r="A50" s="41" t="s">
        <v>183</v>
      </c>
      <c r="B50" s="402" t="s">
        <v>232</v>
      </c>
      <c r="C50" s="113" t="s">
        <v>243</v>
      </c>
      <c r="D50" s="393" t="s">
        <v>234</v>
      </c>
      <c r="E50" s="394" t="s">
        <v>240</v>
      </c>
      <c r="G50" s="405" t="s">
        <v>244</v>
      </c>
      <c r="H50" s="49">
        <v>4212</v>
      </c>
      <c r="I50" s="50" t="s">
        <v>1</v>
      </c>
      <c r="J50" s="76" t="s">
        <v>245</v>
      </c>
      <c r="K50" s="51">
        <v>40835</v>
      </c>
      <c r="L50" s="115">
        <v>40830</v>
      </c>
      <c r="M50" s="50">
        <v>5</v>
      </c>
      <c r="N50" s="50" t="s">
        <v>2</v>
      </c>
      <c r="O50" s="49">
        <f>1/2</f>
        <v>0.5</v>
      </c>
      <c r="P50" s="50">
        <v>5.6</v>
      </c>
      <c r="Q50" s="152">
        <v>6.74</v>
      </c>
      <c r="R50" s="119">
        <v>185</v>
      </c>
      <c r="S50" s="147">
        <v>39</v>
      </c>
      <c r="T50" s="121">
        <v>0.83</v>
      </c>
      <c r="U50" s="126">
        <v>7.2</v>
      </c>
      <c r="V50" s="85">
        <v>0.48</v>
      </c>
      <c r="W50" s="130">
        <v>0.04</v>
      </c>
      <c r="X50" s="85">
        <v>0.13</v>
      </c>
      <c r="Y50" s="130">
        <f>0.02/2</f>
        <v>0.01</v>
      </c>
      <c r="Z50" s="313"/>
      <c r="AA50" s="313"/>
      <c r="AB50" s="352"/>
      <c r="AC50" s="85"/>
      <c r="AD50" s="313"/>
    </row>
    <row r="51" spans="1:31" ht="15" customHeight="1">
      <c r="A51" s="41" t="s">
        <v>183</v>
      </c>
      <c r="B51" s="402" t="s">
        <v>246</v>
      </c>
      <c r="D51" s="393" t="s">
        <v>247</v>
      </c>
      <c r="E51" s="394" t="s">
        <v>49</v>
      </c>
      <c r="G51" s="405" t="s">
        <v>248</v>
      </c>
      <c r="H51" s="49">
        <v>2033</v>
      </c>
      <c r="I51" s="50" t="s">
        <v>2</v>
      </c>
      <c r="J51" s="76" t="s">
        <v>249</v>
      </c>
      <c r="K51" s="51">
        <v>40835</v>
      </c>
      <c r="L51" s="115">
        <v>40830</v>
      </c>
      <c r="M51" s="50">
        <v>5</v>
      </c>
      <c r="N51" s="50" t="s">
        <v>2</v>
      </c>
      <c r="O51" s="131">
        <f>1.5/2</f>
        <v>0.75</v>
      </c>
      <c r="P51" s="117">
        <v>6.5</v>
      </c>
      <c r="Q51" s="131">
        <v>6.98</v>
      </c>
      <c r="R51" s="119">
        <v>28</v>
      </c>
      <c r="S51" s="147">
        <v>25</v>
      </c>
      <c r="T51" s="121">
        <v>0.11</v>
      </c>
      <c r="U51" s="126">
        <v>0.86</v>
      </c>
      <c r="V51" s="85">
        <v>0.23</v>
      </c>
      <c r="W51" s="130">
        <v>0.01</v>
      </c>
      <c r="X51" s="85">
        <v>7.2999999999999995E-2</v>
      </c>
      <c r="Y51" s="130">
        <f>0.002/2</f>
        <v>1E-3</v>
      </c>
      <c r="Z51" s="313">
        <v>1</v>
      </c>
      <c r="AA51" s="313">
        <v>1</v>
      </c>
      <c r="AB51" s="352">
        <v>17</v>
      </c>
      <c r="AC51" s="85">
        <v>66</v>
      </c>
      <c r="AD51" s="313">
        <v>1</v>
      </c>
    </row>
    <row r="52" spans="1:31" ht="15" customHeight="1">
      <c r="A52" s="41" t="s">
        <v>183</v>
      </c>
      <c r="B52" s="402" t="s">
        <v>250</v>
      </c>
      <c r="D52" s="393" t="s">
        <v>251</v>
      </c>
      <c r="E52" s="394" t="s">
        <v>252</v>
      </c>
      <c r="G52" s="405" t="s">
        <v>253</v>
      </c>
      <c r="H52" s="49">
        <v>3728</v>
      </c>
      <c r="I52" s="50" t="s">
        <v>2</v>
      </c>
      <c r="J52" s="76" t="s">
        <v>254</v>
      </c>
      <c r="K52" s="51">
        <v>40857</v>
      </c>
      <c r="L52" s="115">
        <v>40845</v>
      </c>
      <c r="M52" s="50">
        <v>12</v>
      </c>
      <c r="N52" s="50" t="s">
        <v>1</v>
      </c>
      <c r="O52" s="131">
        <f>1/2</f>
        <v>0.5</v>
      </c>
      <c r="P52" s="117">
        <v>6.14</v>
      </c>
      <c r="Q52" s="131">
        <v>6.91</v>
      </c>
      <c r="R52" s="119">
        <v>15</v>
      </c>
      <c r="S52" s="147">
        <f>1/2</f>
        <v>0.5</v>
      </c>
      <c r="T52" s="121">
        <v>0.59</v>
      </c>
      <c r="U52" s="126">
        <v>1.81</v>
      </c>
      <c r="V52" s="85">
        <v>0.41</v>
      </c>
      <c r="W52" s="130">
        <v>1.9E-2</v>
      </c>
      <c r="X52" s="85">
        <v>5.3999999999999999E-2</v>
      </c>
      <c r="Y52" s="130">
        <v>7.0000000000000001E-3</v>
      </c>
      <c r="Z52" s="313">
        <v>1</v>
      </c>
      <c r="AA52" s="313">
        <v>1</v>
      </c>
      <c r="AB52" s="352">
        <v>16.2</v>
      </c>
      <c r="AC52" s="85">
        <v>78</v>
      </c>
      <c r="AD52" s="313">
        <v>1</v>
      </c>
    </row>
    <row r="53" spans="1:31" ht="15" customHeight="1">
      <c r="A53" s="41" t="s">
        <v>183</v>
      </c>
      <c r="B53" s="402" t="s">
        <v>250</v>
      </c>
      <c r="D53" s="393" t="s">
        <v>251</v>
      </c>
      <c r="E53" s="394" t="s">
        <v>252</v>
      </c>
      <c r="G53" s="405" t="s">
        <v>253</v>
      </c>
      <c r="H53" s="49">
        <v>3728</v>
      </c>
      <c r="I53" s="50" t="s">
        <v>2</v>
      </c>
      <c r="J53" s="76" t="s">
        <v>96</v>
      </c>
      <c r="K53" s="51">
        <v>40857</v>
      </c>
      <c r="L53" s="115">
        <v>40845</v>
      </c>
      <c r="M53" s="50">
        <v>12</v>
      </c>
      <c r="N53" s="50" t="s">
        <v>1</v>
      </c>
      <c r="O53" s="131">
        <f>1/2</f>
        <v>0.5</v>
      </c>
      <c r="P53" s="117">
        <v>6.14</v>
      </c>
      <c r="Q53" s="131">
        <v>6.67</v>
      </c>
      <c r="R53" s="119">
        <v>32.1</v>
      </c>
      <c r="S53" s="147">
        <v>1</v>
      </c>
      <c r="T53" s="121">
        <v>0.11</v>
      </c>
      <c r="U53" s="126">
        <v>1.6</v>
      </c>
      <c r="V53" s="85">
        <v>0.43</v>
      </c>
      <c r="W53" s="130">
        <v>1.9E-2</v>
      </c>
      <c r="X53" s="85">
        <v>0.34200000000000003</v>
      </c>
      <c r="Y53" s="130">
        <v>4.0000000000000001E-3</v>
      </c>
      <c r="Z53" s="313">
        <v>1</v>
      </c>
      <c r="AA53" s="313">
        <v>0.70199999999999996</v>
      </c>
      <c r="AB53" s="352">
        <v>27.09</v>
      </c>
      <c r="AC53" s="85">
        <v>93</v>
      </c>
      <c r="AD53" s="313">
        <v>0.3</v>
      </c>
    </row>
    <row r="54" spans="1:31" ht="15" customHeight="1">
      <c r="A54" s="41" t="s">
        <v>183</v>
      </c>
      <c r="B54" s="402" t="s">
        <v>250</v>
      </c>
      <c r="D54" s="393" t="s">
        <v>251</v>
      </c>
      <c r="E54" s="394" t="s">
        <v>252</v>
      </c>
      <c r="G54" s="405" t="s">
        <v>253</v>
      </c>
      <c r="H54" s="49">
        <v>3728</v>
      </c>
      <c r="I54" s="50" t="s">
        <v>2</v>
      </c>
      <c r="J54" s="76" t="s">
        <v>255</v>
      </c>
      <c r="K54" s="51">
        <v>40857</v>
      </c>
      <c r="L54" s="115">
        <v>40845</v>
      </c>
      <c r="M54" s="50">
        <v>12</v>
      </c>
      <c r="N54" s="50" t="s">
        <v>1</v>
      </c>
      <c r="O54" s="131">
        <f>1/2</f>
        <v>0.5</v>
      </c>
      <c r="P54" s="117">
        <v>6.14</v>
      </c>
      <c r="Q54" s="131">
        <v>7.05</v>
      </c>
      <c r="R54" s="119">
        <v>62.8</v>
      </c>
      <c r="S54" s="147">
        <v>28</v>
      </c>
      <c r="T54" s="121">
        <v>0.84</v>
      </c>
      <c r="U54" s="126">
        <v>2.2000000000000002</v>
      </c>
      <c r="V54" s="85">
        <v>0.1</v>
      </c>
      <c r="W54" s="130">
        <v>1.9E-2</v>
      </c>
      <c r="X54" s="85">
        <v>3.4000000000000002E-2</v>
      </c>
      <c r="Y54" s="130">
        <v>5.0000000000000001E-3</v>
      </c>
      <c r="Z54" s="313">
        <v>1</v>
      </c>
      <c r="AA54" s="313">
        <v>1</v>
      </c>
      <c r="AB54" s="352">
        <v>69.12</v>
      </c>
      <c r="AC54" s="85">
        <v>214</v>
      </c>
      <c r="AD54" s="313">
        <v>1</v>
      </c>
    </row>
    <row r="55" spans="1:31" ht="15" customHeight="1">
      <c r="A55" s="41" t="s">
        <v>183</v>
      </c>
      <c r="B55" s="402" t="s">
        <v>256</v>
      </c>
      <c r="C55" s="113" t="s">
        <v>256</v>
      </c>
      <c r="D55" s="393" t="s">
        <v>257</v>
      </c>
      <c r="E55" s="394" t="s">
        <v>823</v>
      </c>
      <c r="F55" s="402" t="s">
        <v>951</v>
      </c>
      <c r="G55" s="405" t="s">
        <v>258</v>
      </c>
      <c r="H55" s="49">
        <v>3471</v>
      </c>
      <c r="I55" s="50" t="s">
        <v>2</v>
      </c>
      <c r="J55" s="76" t="s">
        <v>259</v>
      </c>
      <c r="K55" s="51">
        <v>40835</v>
      </c>
      <c r="L55" s="115">
        <v>40830</v>
      </c>
      <c r="M55" s="50">
        <v>5</v>
      </c>
      <c r="N55" s="50" t="s">
        <v>2</v>
      </c>
      <c r="O55" s="131">
        <f>1/2</f>
        <v>0.5</v>
      </c>
      <c r="P55" s="117">
        <v>5.64</v>
      </c>
      <c r="Q55" s="131">
        <v>6.86</v>
      </c>
      <c r="R55" s="119">
        <v>7.5</v>
      </c>
      <c r="S55" s="147">
        <v>17</v>
      </c>
      <c r="T55" s="121">
        <v>0.06</v>
      </c>
      <c r="U55" s="126">
        <v>1.92</v>
      </c>
      <c r="V55" s="85">
        <f>0.1/2</f>
        <v>0.05</v>
      </c>
      <c r="W55" s="130">
        <v>0.01</v>
      </c>
      <c r="X55" s="85">
        <v>5.7000000000000002E-2</v>
      </c>
      <c r="Y55" s="130">
        <f>0.002/2</f>
        <v>1E-3</v>
      </c>
      <c r="Z55" s="313">
        <v>1</v>
      </c>
      <c r="AA55" s="313">
        <v>1</v>
      </c>
      <c r="AB55" s="352">
        <v>8.56</v>
      </c>
      <c r="AC55" s="85">
        <v>24</v>
      </c>
      <c r="AD55" s="313">
        <v>1</v>
      </c>
    </row>
    <row r="56" spans="1:31" ht="15" customHeight="1">
      <c r="A56" s="41" t="s">
        <v>183</v>
      </c>
      <c r="B56" s="402" t="s">
        <v>260</v>
      </c>
      <c r="C56" s="113" t="s">
        <v>261</v>
      </c>
      <c r="D56" s="393" t="s">
        <v>262</v>
      </c>
      <c r="E56" s="394" t="s">
        <v>953</v>
      </c>
      <c r="F56" s="402" t="s">
        <v>952</v>
      </c>
      <c r="G56" s="405" t="s">
        <v>263</v>
      </c>
      <c r="H56" s="49">
        <v>3826</v>
      </c>
      <c r="I56" s="50" t="s">
        <v>2</v>
      </c>
      <c r="J56" s="76" t="s">
        <v>265</v>
      </c>
      <c r="K56" s="51">
        <v>40835</v>
      </c>
      <c r="L56" s="115">
        <v>40830</v>
      </c>
      <c r="M56" s="50">
        <v>5</v>
      </c>
      <c r="N56" s="50" t="s">
        <v>2</v>
      </c>
      <c r="O56" s="131">
        <f>2.5/2</f>
        <v>1.25</v>
      </c>
      <c r="P56" s="117">
        <v>4.8</v>
      </c>
      <c r="Q56" s="131">
        <v>5.77</v>
      </c>
      <c r="R56" s="119">
        <v>14</v>
      </c>
      <c r="S56" s="147">
        <f>5/2</f>
        <v>2.5</v>
      </c>
      <c r="T56" s="121">
        <f>0.1/2</f>
        <v>0.05</v>
      </c>
      <c r="U56" s="126">
        <f>1/2</f>
        <v>0.5</v>
      </c>
      <c r="V56" s="85">
        <v>0.23</v>
      </c>
      <c r="W56" s="130">
        <f>0.04/2</f>
        <v>0.02</v>
      </c>
      <c r="X56" s="85">
        <v>0.02</v>
      </c>
      <c r="Y56" s="130">
        <f>0.013/2</f>
        <v>6.4999999999999997E-3</v>
      </c>
      <c r="Z56" s="313">
        <v>1</v>
      </c>
      <c r="AA56" s="313">
        <v>1</v>
      </c>
      <c r="AB56" s="352">
        <v>3.1</v>
      </c>
      <c r="AC56" s="85">
        <v>20</v>
      </c>
      <c r="AD56" s="313">
        <v>1</v>
      </c>
    </row>
    <row r="57" spans="1:31" ht="15" customHeight="1">
      <c r="A57" s="41" t="s">
        <v>183</v>
      </c>
      <c r="B57" s="402" t="s">
        <v>260</v>
      </c>
      <c r="C57" s="113" t="s">
        <v>261</v>
      </c>
      <c r="D57" s="393" t="s">
        <v>262</v>
      </c>
      <c r="E57" s="394" t="s">
        <v>953</v>
      </c>
      <c r="F57" s="402" t="s">
        <v>952</v>
      </c>
      <c r="G57" s="405" t="s">
        <v>263</v>
      </c>
      <c r="H57" s="49">
        <v>3826</v>
      </c>
      <c r="I57" s="50" t="s">
        <v>2</v>
      </c>
      <c r="J57" s="76" t="s">
        <v>264</v>
      </c>
      <c r="K57" s="51">
        <v>40835</v>
      </c>
      <c r="L57" s="115">
        <v>40830</v>
      </c>
      <c r="M57" s="50">
        <v>5</v>
      </c>
      <c r="N57" s="50" t="s">
        <v>2</v>
      </c>
      <c r="O57" s="131">
        <f>2.5/2</f>
        <v>1.25</v>
      </c>
      <c r="P57" s="117">
        <v>4.8</v>
      </c>
      <c r="Q57" s="131">
        <v>5.22</v>
      </c>
      <c r="R57" s="119">
        <v>92</v>
      </c>
      <c r="S57" s="147">
        <v>48</v>
      </c>
      <c r="T57" s="121">
        <f>0.1/2</f>
        <v>0.05</v>
      </c>
      <c r="U57" s="126">
        <f>1/2</f>
        <v>0.5</v>
      </c>
      <c r="V57" s="85">
        <v>0.13</v>
      </c>
      <c r="W57" s="130">
        <f>0.04/2</f>
        <v>0.02</v>
      </c>
      <c r="X57" s="85">
        <v>0.33</v>
      </c>
      <c r="Y57" s="130">
        <v>3.7999999999999999E-2</v>
      </c>
      <c r="Z57" s="313">
        <v>1</v>
      </c>
      <c r="AA57" s="313">
        <v>0.70699999999999996</v>
      </c>
      <c r="AB57" s="114">
        <v>3.2</v>
      </c>
      <c r="AC57" s="85">
        <v>13</v>
      </c>
      <c r="AD57" s="313">
        <v>0</v>
      </c>
    </row>
    <row r="58" spans="1:31" ht="15" customHeight="1">
      <c r="A58" s="41" t="s">
        <v>183</v>
      </c>
      <c r="B58" s="402" t="s">
        <v>260</v>
      </c>
      <c r="C58" s="113" t="s">
        <v>261</v>
      </c>
      <c r="D58" s="393" t="s">
        <v>262</v>
      </c>
      <c r="E58" s="394" t="s">
        <v>953</v>
      </c>
      <c r="F58" s="402" t="s">
        <v>952</v>
      </c>
      <c r="G58" s="405" t="s">
        <v>263</v>
      </c>
      <c r="H58" s="49">
        <v>3826</v>
      </c>
      <c r="I58" s="50" t="s">
        <v>2</v>
      </c>
      <c r="J58" s="76" t="s">
        <v>266</v>
      </c>
      <c r="K58" s="51">
        <v>40835</v>
      </c>
      <c r="L58" s="115">
        <v>40830</v>
      </c>
      <c r="M58" s="50">
        <v>5</v>
      </c>
      <c r="N58" s="50" t="s">
        <v>2</v>
      </c>
      <c r="O58" s="131">
        <f>2.5/2</f>
        <v>1.25</v>
      </c>
      <c r="P58" s="117">
        <v>4.8</v>
      </c>
      <c r="Q58" s="131">
        <v>5.42</v>
      </c>
      <c r="R58" s="119">
        <v>16</v>
      </c>
      <c r="S58" s="147">
        <f>5/2</f>
        <v>2.5</v>
      </c>
      <c r="T58" s="121">
        <f>0.1/2</f>
        <v>0.05</v>
      </c>
      <c r="U58" s="126">
        <f>1/2</f>
        <v>0.5</v>
      </c>
      <c r="V58" s="85">
        <v>0.14000000000000001</v>
      </c>
      <c r="W58" s="130">
        <f>0.04/2</f>
        <v>0.02</v>
      </c>
      <c r="X58" s="85">
        <v>3.7999999999999999E-2</v>
      </c>
      <c r="Y58" s="130">
        <f>0.013/2</f>
        <v>6.4999999999999997E-3</v>
      </c>
      <c r="Z58" s="313">
        <v>1</v>
      </c>
      <c r="AA58" s="313">
        <v>0.95499999999999996</v>
      </c>
      <c r="AB58" s="352">
        <v>0.94</v>
      </c>
      <c r="AC58" s="85">
        <v>7</v>
      </c>
      <c r="AD58" s="313">
        <v>0.45</v>
      </c>
    </row>
    <row r="59" spans="1:31" ht="15" customHeight="1">
      <c r="A59" s="41" t="s">
        <v>183</v>
      </c>
      <c r="B59" s="402" t="s">
        <v>260</v>
      </c>
      <c r="C59" s="113" t="s">
        <v>261</v>
      </c>
      <c r="D59" s="393" t="s">
        <v>262</v>
      </c>
      <c r="E59" s="394" t="s">
        <v>953</v>
      </c>
      <c r="F59" s="402" t="s">
        <v>952</v>
      </c>
      <c r="G59" s="405" t="s">
        <v>263</v>
      </c>
      <c r="H59" s="49">
        <v>3826</v>
      </c>
      <c r="I59" s="50" t="s">
        <v>2</v>
      </c>
      <c r="J59" s="76" t="s">
        <v>267</v>
      </c>
      <c r="K59" s="51">
        <v>40835</v>
      </c>
      <c r="L59" s="115">
        <v>40830</v>
      </c>
      <c r="M59" s="50">
        <v>5</v>
      </c>
      <c r="N59" s="50" t="s">
        <v>2</v>
      </c>
      <c r="O59" s="131">
        <f>2.5/2</f>
        <v>1.25</v>
      </c>
      <c r="P59" s="117">
        <v>4.8</v>
      </c>
      <c r="Q59" s="131">
        <v>5.72</v>
      </c>
      <c r="R59" s="119">
        <v>25</v>
      </c>
      <c r="S59" s="147">
        <v>10</v>
      </c>
      <c r="T59" s="121">
        <f>0.1/2</f>
        <v>0.05</v>
      </c>
      <c r="U59" s="126">
        <f>1/2</f>
        <v>0.5</v>
      </c>
      <c r="V59" s="85">
        <v>0.15</v>
      </c>
      <c r="W59" s="130">
        <f>0.04/2</f>
        <v>0.02</v>
      </c>
      <c r="X59" s="85">
        <v>9.5000000000000001E-2</v>
      </c>
      <c r="Y59" s="130">
        <f>0.013/2</f>
        <v>6.4999999999999997E-3</v>
      </c>
      <c r="Z59" s="313">
        <v>0.83</v>
      </c>
      <c r="AA59" s="313">
        <v>0.55500000000000005</v>
      </c>
      <c r="AB59" s="352">
        <v>2.6</v>
      </c>
      <c r="AC59" s="85">
        <v>12</v>
      </c>
      <c r="AD59" s="313">
        <v>0</v>
      </c>
    </row>
    <row r="60" spans="1:31" ht="15" customHeight="1">
      <c r="A60" s="41" t="s">
        <v>183</v>
      </c>
      <c r="B60" s="402" t="s">
        <v>1029</v>
      </c>
      <c r="C60" s="113" t="s">
        <v>1029</v>
      </c>
      <c r="D60" s="393" t="s">
        <v>268</v>
      </c>
      <c r="E60" s="394" t="s">
        <v>269</v>
      </c>
      <c r="G60" s="405" t="s">
        <v>274</v>
      </c>
      <c r="H60" s="49">
        <v>3484</v>
      </c>
      <c r="I60" s="50" t="s">
        <v>2</v>
      </c>
      <c r="J60" s="76" t="s">
        <v>271</v>
      </c>
      <c r="K60" s="51">
        <v>40857</v>
      </c>
      <c r="L60" s="153"/>
      <c r="N60" s="50" t="s">
        <v>2</v>
      </c>
      <c r="O60" s="131">
        <v>5.3</v>
      </c>
      <c r="P60" s="117">
        <v>7.89</v>
      </c>
      <c r="Q60" s="131">
        <v>7.67</v>
      </c>
      <c r="R60" s="119">
        <v>75.8</v>
      </c>
      <c r="S60" s="147">
        <v>333</v>
      </c>
      <c r="T60" s="117">
        <v>0.36</v>
      </c>
      <c r="U60" s="131">
        <v>2.04</v>
      </c>
      <c r="V60" s="50">
        <v>0.27</v>
      </c>
      <c r="W60" s="74">
        <v>0.05</v>
      </c>
      <c r="X60" s="50">
        <v>0.27</v>
      </c>
      <c r="Y60" s="74">
        <v>0.09</v>
      </c>
      <c r="Z60" s="313"/>
      <c r="AA60" s="313"/>
      <c r="AB60" s="352"/>
      <c r="AC60" s="85"/>
      <c r="AD60" s="313"/>
    </row>
    <row r="61" spans="1:31" ht="15" customHeight="1">
      <c r="A61" s="41" t="s">
        <v>183</v>
      </c>
      <c r="B61" s="402" t="s">
        <v>1029</v>
      </c>
      <c r="C61" s="113" t="s">
        <v>1029</v>
      </c>
      <c r="D61" s="393" t="s">
        <v>268</v>
      </c>
      <c r="E61" s="394" t="s">
        <v>269</v>
      </c>
      <c r="G61" s="405" t="s">
        <v>274</v>
      </c>
      <c r="H61" s="49">
        <v>3484</v>
      </c>
      <c r="I61" s="50" t="s">
        <v>2</v>
      </c>
      <c r="J61" s="76" t="s">
        <v>272</v>
      </c>
      <c r="K61" s="51">
        <v>40857</v>
      </c>
      <c r="L61" s="153"/>
      <c r="N61" s="50" t="s">
        <v>2</v>
      </c>
      <c r="O61" s="131">
        <v>35.4</v>
      </c>
      <c r="P61" s="117">
        <v>6.85</v>
      </c>
      <c r="Q61" s="131">
        <v>6.87</v>
      </c>
      <c r="R61" s="119">
        <v>87.1</v>
      </c>
      <c r="S61" s="147">
        <v>26</v>
      </c>
      <c r="T61" s="117">
        <f>0.05/2</f>
        <v>2.5000000000000001E-2</v>
      </c>
      <c r="U61" s="131">
        <v>4.5999999999999996</v>
      </c>
      <c r="V61" s="50">
        <v>0.21</v>
      </c>
      <c r="W61" s="74">
        <v>0.02</v>
      </c>
      <c r="X61" s="50">
        <v>0.4</v>
      </c>
      <c r="Y61" s="74">
        <v>0.02</v>
      </c>
      <c r="Z61" s="313"/>
      <c r="AA61" s="313"/>
      <c r="AB61" s="352"/>
      <c r="AC61" s="85"/>
      <c r="AD61" s="313"/>
    </row>
    <row r="62" spans="1:31" ht="15" customHeight="1">
      <c r="A62" s="41" t="s">
        <v>183</v>
      </c>
      <c r="B62" s="402" t="s">
        <v>1029</v>
      </c>
      <c r="C62" s="113" t="s">
        <v>1029</v>
      </c>
      <c r="D62" s="393" t="s">
        <v>268</v>
      </c>
      <c r="E62" s="394" t="s">
        <v>269</v>
      </c>
      <c r="G62" s="405" t="s">
        <v>274</v>
      </c>
      <c r="H62" s="49">
        <v>3484</v>
      </c>
      <c r="I62" s="50" t="s">
        <v>2</v>
      </c>
      <c r="J62" s="76" t="s">
        <v>270</v>
      </c>
      <c r="K62" s="51">
        <v>40857</v>
      </c>
      <c r="L62" s="153"/>
      <c r="N62" s="50" t="s">
        <v>2</v>
      </c>
      <c r="O62" s="131">
        <v>3.8</v>
      </c>
      <c r="P62" s="117">
        <v>6.45</v>
      </c>
      <c r="Q62" s="131">
        <v>6.55</v>
      </c>
      <c r="R62" s="119">
        <v>30.5</v>
      </c>
      <c r="S62" s="147">
        <v>10</v>
      </c>
      <c r="T62" s="117">
        <f>0.05/2</f>
        <v>2.5000000000000001E-2</v>
      </c>
      <c r="U62" s="131">
        <v>1.71</v>
      </c>
      <c r="V62" s="50">
        <v>0.35</v>
      </c>
      <c r="W62" s="74">
        <v>0.11</v>
      </c>
      <c r="X62" s="50">
        <v>0.14000000000000001</v>
      </c>
      <c r="Y62" s="74">
        <v>0.49</v>
      </c>
      <c r="Z62" s="313"/>
      <c r="AA62" s="313"/>
      <c r="AB62" s="352"/>
      <c r="AC62" s="85"/>
      <c r="AD62" s="313"/>
    </row>
    <row r="63" spans="1:31" ht="15" customHeight="1">
      <c r="A63" s="41" t="s">
        <v>183</v>
      </c>
      <c r="B63" s="402" t="s">
        <v>1029</v>
      </c>
      <c r="C63" s="113" t="s">
        <v>1029</v>
      </c>
      <c r="D63" s="393" t="s">
        <v>268</v>
      </c>
      <c r="E63" s="394" t="s">
        <v>269</v>
      </c>
      <c r="G63" s="405" t="s">
        <v>274</v>
      </c>
      <c r="H63" s="49">
        <v>3484</v>
      </c>
      <c r="I63" s="50" t="s">
        <v>2</v>
      </c>
      <c r="J63" s="76" t="s">
        <v>273</v>
      </c>
      <c r="K63" s="51">
        <v>40857</v>
      </c>
      <c r="L63" s="153"/>
      <c r="N63" s="50" t="s">
        <v>2</v>
      </c>
      <c r="O63" s="131">
        <v>4.3</v>
      </c>
      <c r="P63" s="117">
        <v>7.15</v>
      </c>
      <c r="Q63" s="131">
        <v>7.1</v>
      </c>
      <c r="R63" s="119">
        <v>78.2</v>
      </c>
      <c r="S63" s="147">
        <v>170</v>
      </c>
      <c r="T63" s="117">
        <v>0.26</v>
      </c>
      <c r="U63" s="131">
        <v>1.59</v>
      </c>
      <c r="V63" s="50">
        <v>0.27</v>
      </c>
      <c r="W63" s="74">
        <v>0.18</v>
      </c>
      <c r="X63" s="50">
        <v>0.2</v>
      </c>
      <c r="Y63" s="74">
        <v>1.62</v>
      </c>
      <c r="Z63" s="313"/>
      <c r="AA63" s="313"/>
      <c r="AB63" s="352"/>
      <c r="AC63" s="85"/>
      <c r="AD63" s="313"/>
    </row>
    <row r="64" spans="1:31" ht="15" customHeight="1">
      <c r="A64" s="41" t="s">
        <v>183</v>
      </c>
      <c r="B64" s="386" t="s">
        <v>285</v>
      </c>
      <c r="C64" s="149" t="s">
        <v>993</v>
      </c>
      <c r="D64" s="392" t="s">
        <v>286</v>
      </c>
      <c r="E64" s="258" t="s">
        <v>287</v>
      </c>
      <c r="F64" s="386"/>
      <c r="G64" s="389" t="s">
        <v>288</v>
      </c>
      <c r="H64" s="55">
        <v>4151</v>
      </c>
      <c r="I64" s="54" t="s">
        <v>2</v>
      </c>
      <c r="J64" s="61" t="s">
        <v>81</v>
      </c>
      <c r="K64" s="57">
        <v>40863</v>
      </c>
      <c r="L64" s="132">
        <v>40857</v>
      </c>
      <c r="M64" s="54">
        <v>6</v>
      </c>
      <c r="N64" s="54" t="s">
        <v>2</v>
      </c>
      <c r="O64" s="55">
        <v>3.6</v>
      </c>
      <c r="P64" s="54">
        <v>5.6</v>
      </c>
      <c r="Q64" s="154">
        <v>5.6</v>
      </c>
      <c r="R64" s="136">
        <v>178.6</v>
      </c>
      <c r="S64" s="137">
        <v>58</v>
      </c>
      <c r="T64" s="134">
        <v>0.64</v>
      </c>
      <c r="U64" s="135">
        <v>1.19</v>
      </c>
      <c r="V64" s="54">
        <v>0.21</v>
      </c>
      <c r="W64" s="155">
        <v>0.02</v>
      </c>
      <c r="X64" s="54">
        <v>0.31</v>
      </c>
      <c r="Y64" s="155">
        <v>0.02</v>
      </c>
      <c r="Z64" s="312"/>
      <c r="AA64" s="312"/>
      <c r="AB64" s="351"/>
      <c r="AC64" s="142"/>
      <c r="AD64" s="312"/>
      <c r="AE64" s="54"/>
    </row>
    <row r="65" spans="1:34" ht="15" customHeight="1">
      <c r="A65" s="41" t="s">
        <v>183</v>
      </c>
      <c r="B65" s="386" t="s">
        <v>289</v>
      </c>
      <c r="C65" s="149" t="s">
        <v>289</v>
      </c>
      <c r="D65" s="392" t="s">
        <v>290</v>
      </c>
      <c r="E65" s="258" t="s">
        <v>112</v>
      </c>
      <c r="F65" s="386"/>
      <c r="G65" s="389" t="s">
        <v>291</v>
      </c>
      <c r="H65" s="55">
        <v>3356</v>
      </c>
      <c r="I65" s="54" t="s">
        <v>2</v>
      </c>
      <c r="J65" s="61" t="s">
        <v>292</v>
      </c>
      <c r="K65" s="57">
        <v>40857</v>
      </c>
      <c r="L65" s="156"/>
      <c r="M65" s="142" t="s">
        <v>91</v>
      </c>
      <c r="N65" s="54" t="s">
        <v>2</v>
      </c>
      <c r="O65" s="135">
        <f>1.4/2</f>
        <v>0.7</v>
      </c>
      <c r="P65" s="134">
        <v>7.9</v>
      </c>
      <c r="Q65" s="135">
        <v>6.34</v>
      </c>
      <c r="R65" s="136">
        <v>37</v>
      </c>
      <c r="S65" s="137">
        <v>7.5</v>
      </c>
      <c r="T65" s="134">
        <v>0.05</v>
      </c>
      <c r="U65" s="135">
        <v>0.35</v>
      </c>
      <c r="V65" s="54">
        <v>0.14000000000000001</v>
      </c>
      <c r="W65" s="155">
        <v>6.0000000000000001E-3</v>
      </c>
      <c r="X65" s="54">
        <v>2.1999999999999999E-2</v>
      </c>
      <c r="Y65" s="155">
        <v>0.14399999999999999</v>
      </c>
      <c r="Z65" s="312">
        <v>1</v>
      </c>
      <c r="AA65" s="312">
        <v>1</v>
      </c>
      <c r="AB65" s="258">
        <v>6</v>
      </c>
      <c r="AC65" s="54">
        <v>21</v>
      </c>
      <c r="AD65" s="311">
        <v>1</v>
      </c>
      <c r="AE65" s="54"/>
    </row>
    <row r="66" spans="1:34" ht="15" customHeight="1">
      <c r="A66" s="41" t="s">
        <v>183</v>
      </c>
      <c r="B66" s="386" t="s">
        <v>575</v>
      </c>
      <c r="C66" s="149" t="s">
        <v>577</v>
      </c>
      <c r="D66" s="392" t="s">
        <v>56</v>
      </c>
      <c r="E66" s="258" t="s">
        <v>300</v>
      </c>
      <c r="F66" s="386"/>
      <c r="G66" s="389" t="s">
        <v>301</v>
      </c>
      <c r="H66" s="55">
        <v>5171</v>
      </c>
      <c r="I66" s="54" t="s">
        <v>1</v>
      </c>
      <c r="J66" s="61" t="s">
        <v>81</v>
      </c>
      <c r="K66" s="57">
        <v>40863</v>
      </c>
      <c r="L66" s="132">
        <v>40857</v>
      </c>
      <c r="M66" s="54">
        <v>6</v>
      </c>
      <c r="N66" s="54" t="s">
        <v>2</v>
      </c>
      <c r="O66" s="135">
        <f>4/2</f>
        <v>2</v>
      </c>
      <c r="P66" s="134">
        <v>5.94</v>
      </c>
      <c r="Q66" s="135">
        <v>5.52</v>
      </c>
      <c r="R66" s="136">
        <f>20/2</f>
        <v>10</v>
      </c>
      <c r="S66" s="137">
        <f>4/2</f>
        <v>2</v>
      </c>
      <c r="T66" s="134">
        <f>0.2/2</f>
        <v>0.1</v>
      </c>
      <c r="U66" s="135">
        <f>0.3/2</f>
        <v>0.15</v>
      </c>
      <c r="V66" s="54">
        <v>0.15</v>
      </c>
      <c r="W66" s="155">
        <f>0.025/2</f>
        <v>1.2500000000000001E-2</v>
      </c>
      <c r="X66" s="54">
        <f>0.02/2</f>
        <v>0.01</v>
      </c>
      <c r="Y66" s="155">
        <f>0.005/2</f>
        <v>2.5000000000000001E-3</v>
      </c>
      <c r="Z66" s="312">
        <v>1</v>
      </c>
      <c r="AA66" s="312">
        <v>1</v>
      </c>
      <c r="AB66" s="258">
        <v>72</v>
      </c>
      <c r="AC66" s="54">
        <v>225</v>
      </c>
      <c r="AD66" s="311">
        <v>1</v>
      </c>
      <c r="AE66" s="54"/>
    </row>
    <row r="67" spans="1:34" ht="15" customHeight="1">
      <c r="A67" s="41" t="s">
        <v>183</v>
      </c>
      <c r="B67" s="386" t="s">
        <v>575</v>
      </c>
      <c r="C67" s="149" t="s">
        <v>577</v>
      </c>
      <c r="D67" s="392" t="s">
        <v>56</v>
      </c>
      <c r="E67" s="258" t="s">
        <v>300</v>
      </c>
      <c r="F67" s="386"/>
      <c r="G67" s="389" t="s">
        <v>301</v>
      </c>
      <c r="H67" s="55">
        <v>5171</v>
      </c>
      <c r="I67" s="54" t="s">
        <v>1</v>
      </c>
      <c r="J67" s="61" t="s">
        <v>114</v>
      </c>
      <c r="K67" s="57">
        <v>40863</v>
      </c>
      <c r="L67" s="132">
        <v>40857</v>
      </c>
      <c r="M67" s="54">
        <v>6</v>
      </c>
      <c r="N67" s="54" t="s">
        <v>2</v>
      </c>
      <c r="O67" s="135">
        <f>4/2</f>
        <v>2</v>
      </c>
      <c r="P67" s="134">
        <v>5.94</v>
      </c>
      <c r="Q67" s="135">
        <v>5.82</v>
      </c>
      <c r="R67" s="136">
        <f>20/2</f>
        <v>10</v>
      </c>
      <c r="S67" s="137">
        <v>15</v>
      </c>
      <c r="T67" s="134">
        <f>0.2/2</f>
        <v>0.1</v>
      </c>
      <c r="U67" s="135">
        <v>0.39</v>
      </c>
      <c r="V67" s="54">
        <v>2.2000000000000002</v>
      </c>
      <c r="W67" s="155">
        <f>0.025/2</f>
        <v>1.2500000000000001E-2</v>
      </c>
      <c r="X67" s="54">
        <v>4.7E-2</v>
      </c>
      <c r="Y67" s="155">
        <v>8.9999999999999993E-3</v>
      </c>
      <c r="Z67" s="312">
        <v>1</v>
      </c>
      <c r="AA67" s="312">
        <v>1</v>
      </c>
      <c r="AB67" s="258">
        <v>26</v>
      </c>
      <c r="AC67" s="54">
        <v>98</v>
      </c>
      <c r="AD67" s="311">
        <v>1</v>
      </c>
      <c r="AE67" s="54"/>
    </row>
    <row r="68" spans="1:34" ht="15" customHeight="1">
      <c r="A68" s="41" t="s">
        <v>183</v>
      </c>
      <c r="B68" s="386" t="s">
        <v>307</v>
      </c>
      <c r="C68" s="149" t="s">
        <v>307</v>
      </c>
      <c r="D68" s="392" t="s">
        <v>308</v>
      </c>
      <c r="E68" s="258" t="s">
        <v>309</v>
      </c>
      <c r="F68" s="386"/>
      <c r="G68" s="389" t="s">
        <v>310</v>
      </c>
      <c r="H68" s="55">
        <v>3269</v>
      </c>
      <c r="I68" s="54" t="s">
        <v>2</v>
      </c>
      <c r="J68" s="61" t="s">
        <v>311</v>
      </c>
      <c r="K68" s="57">
        <v>40828</v>
      </c>
      <c r="L68" s="132">
        <v>40820</v>
      </c>
      <c r="M68" s="54">
        <v>8</v>
      </c>
      <c r="N68" s="54" t="s">
        <v>2</v>
      </c>
      <c r="O68" s="135">
        <f>1.4/2</f>
        <v>0.7</v>
      </c>
      <c r="P68" s="134">
        <v>6.8</v>
      </c>
      <c r="Q68" s="135">
        <v>6.66</v>
      </c>
      <c r="R68" s="136">
        <v>19</v>
      </c>
      <c r="S68" s="137">
        <f>5/2</f>
        <v>2.5</v>
      </c>
      <c r="T68" s="134">
        <v>0.02</v>
      </c>
      <c r="U68" s="135">
        <v>0.55000000000000004</v>
      </c>
      <c r="V68" s="54">
        <f>0.01/2</f>
        <v>5.0000000000000001E-3</v>
      </c>
      <c r="W68" s="155">
        <f>0.01/2</f>
        <v>5.0000000000000001E-3</v>
      </c>
      <c r="X68" s="54">
        <v>1.0999999999999999E-2</v>
      </c>
      <c r="Y68" s="155">
        <f>0.002/2</f>
        <v>1E-3</v>
      </c>
      <c r="Z68" s="312">
        <v>1</v>
      </c>
      <c r="AA68" s="312">
        <v>1</v>
      </c>
      <c r="AB68" s="258">
        <v>10</v>
      </c>
      <c r="AC68" s="54">
        <v>51</v>
      </c>
      <c r="AD68" s="311">
        <v>1</v>
      </c>
      <c r="AE68" s="54"/>
    </row>
    <row r="69" spans="1:34" ht="15" customHeight="1">
      <c r="A69" s="41" t="s">
        <v>183</v>
      </c>
      <c r="B69" s="386" t="s">
        <v>307</v>
      </c>
      <c r="C69" s="149" t="s">
        <v>307</v>
      </c>
      <c r="D69" s="392" t="s">
        <v>308</v>
      </c>
      <c r="E69" s="258" t="s">
        <v>309</v>
      </c>
      <c r="F69" s="386"/>
      <c r="G69" s="389" t="s">
        <v>310</v>
      </c>
      <c r="H69" s="55">
        <v>3269</v>
      </c>
      <c r="I69" s="54" t="s">
        <v>2</v>
      </c>
      <c r="J69" s="61" t="s">
        <v>312</v>
      </c>
      <c r="K69" s="57">
        <v>40828</v>
      </c>
      <c r="L69" s="132">
        <v>40820</v>
      </c>
      <c r="M69" s="54">
        <v>8</v>
      </c>
      <c r="N69" s="54" t="s">
        <v>2</v>
      </c>
      <c r="O69" s="135">
        <f>1.4/2</f>
        <v>0.7</v>
      </c>
      <c r="P69" s="134">
        <v>6.8</v>
      </c>
      <c r="Q69" s="135">
        <v>6.72</v>
      </c>
      <c r="R69" s="136">
        <v>19</v>
      </c>
      <c r="S69" s="159">
        <f>5/2</f>
        <v>2.5</v>
      </c>
      <c r="T69" s="134">
        <v>0.02</v>
      </c>
      <c r="U69" s="135">
        <v>0.44</v>
      </c>
      <c r="V69" s="54">
        <v>0.01</v>
      </c>
      <c r="W69" s="155">
        <f>0.004/2</f>
        <v>2E-3</v>
      </c>
      <c r="X69" s="54">
        <v>2.1999999999999999E-2</v>
      </c>
      <c r="Y69" s="155">
        <f>0.002/2</f>
        <v>1E-3</v>
      </c>
      <c r="Z69" s="312">
        <v>1</v>
      </c>
      <c r="AA69" s="312">
        <v>1</v>
      </c>
      <c r="AB69" s="258">
        <v>204</v>
      </c>
      <c r="AC69" s="54">
        <v>1180</v>
      </c>
      <c r="AD69" s="311">
        <v>1</v>
      </c>
      <c r="AE69" s="54"/>
    </row>
    <row r="70" spans="1:34" ht="15" customHeight="1">
      <c r="A70" s="41" t="s">
        <v>183</v>
      </c>
      <c r="B70" s="386" t="s">
        <v>313</v>
      </c>
      <c r="C70" s="149" t="s">
        <v>313</v>
      </c>
      <c r="D70" s="392" t="s">
        <v>314</v>
      </c>
      <c r="E70" s="258" t="s">
        <v>315</v>
      </c>
      <c r="F70" s="386"/>
      <c r="G70" s="389" t="s">
        <v>994</v>
      </c>
      <c r="H70" s="55">
        <v>3728</v>
      </c>
      <c r="I70" s="54"/>
      <c r="J70" s="61" t="s">
        <v>81</v>
      </c>
      <c r="K70" s="57">
        <v>40835</v>
      </c>
      <c r="L70" s="132">
        <v>40830</v>
      </c>
      <c r="M70" s="54">
        <v>5</v>
      </c>
      <c r="N70" s="54" t="s">
        <v>2</v>
      </c>
      <c r="O70" s="135">
        <f>1.4/2</f>
        <v>0.7</v>
      </c>
      <c r="P70" s="134">
        <v>4.75</v>
      </c>
      <c r="Q70" s="135">
        <v>4.0199999999999996</v>
      </c>
      <c r="R70" s="136">
        <v>33</v>
      </c>
      <c r="S70" s="137">
        <v>13</v>
      </c>
      <c r="T70" s="134">
        <v>0.08</v>
      </c>
      <c r="U70" s="135">
        <v>0.68</v>
      </c>
      <c r="V70" s="54">
        <v>0.24</v>
      </c>
      <c r="W70" s="155">
        <v>8.0000000000000002E-3</v>
      </c>
      <c r="X70" s="54">
        <v>2.3E-2</v>
      </c>
      <c r="Y70" s="155">
        <v>2E-3</v>
      </c>
      <c r="Z70" s="312">
        <v>1</v>
      </c>
      <c r="AA70" s="312">
        <v>1</v>
      </c>
      <c r="AB70" s="351">
        <v>9</v>
      </c>
      <c r="AC70" s="142">
        <v>29</v>
      </c>
      <c r="AD70" s="312">
        <v>1</v>
      </c>
      <c r="AE70" s="54"/>
    </row>
    <row r="71" spans="1:34" ht="15" customHeight="1">
      <c r="A71" s="41" t="s">
        <v>183</v>
      </c>
      <c r="B71" s="386" t="s">
        <v>316</v>
      </c>
      <c r="C71" s="149" t="s">
        <v>316</v>
      </c>
      <c r="D71" s="392" t="s">
        <v>205</v>
      </c>
      <c r="E71" s="258" t="s">
        <v>317</v>
      </c>
      <c r="F71" s="386"/>
      <c r="G71" s="389" t="s">
        <v>318</v>
      </c>
      <c r="H71" s="55">
        <v>3519</v>
      </c>
      <c r="I71" s="54" t="s">
        <v>1</v>
      </c>
      <c r="J71" s="339" t="s">
        <v>2525</v>
      </c>
      <c r="K71" s="57">
        <v>40835</v>
      </c>
      <c r="L71" s="132">
        <v>40831</v>
      </c>
      <c r="M71" s="54">
        <v>4</v>
      </c>
      <c r="N71" s="54" t="s">
        <v>2</v>
      </c>
      <c r="O71" s="135">
        <v>5.6</v>
      </c>
      <c r="P71" s="134">
        <v>6.62</v>
      </c>
      <c r="Q71" s="135">
        <v>6.41</v>
      </c>
      <c r="R71" s="136">
        <v>59</v>
      </c>
      <c r="S71" s="137">
        <v>95</v>
      </c>
      <c r="T71" s="134">
        <v>0.15</v>
      </c>
      <c r="U71" s="135">
        <v>1</v>
      </c>
      <c r="V71" s="54">
        <v>0.83</v>
      </c>
      <c r="W71" s="155">
        <v>7.8E-2</v>
      </c>
      <c r="X71" s="54">
        <v>0.27600000000000002</v>
      </c>
      <c r="Y71" s="155">
        <v>2.5000000000000001E-2</v>
      </c>
      <c r="Z71" s="312">
        <v>1</v>
      </c>
      <c r="AA71" s="312">
        <v>1</v>
      </c>
      <c r="AB71" s="351">
        <v>6</v>
      </c>
      <c r="AC71" s="142">
        <v>43</v>
      </c>
      <c r="AD71" s="312">
        <v>1</v>
      </c>
      <c r="AE71" s="54">
        <v>10</v>
      </c>
      <c r="AF71" s="73" t="s">
        <v>964</v>
      </c>
      <c r="AG71" s="114">
        <f>0.56/2</f>
        <v>0.28000000000000003</v>
      </c>
    </row>
    <row r="72" spans="1:34" ht="15" customHeight="1">
      <c r="A72" s="41" t="s">
        <v>183</v>
      </c>
      <c r="B72" s="386" t="s">
        <v>316</v>
      </c>
      <c r="C72" s="149" t="s">
        <v>316</v>
      </c>
      <c r="D72" s="392" t="s">
        <v>205</v>
      </c>
      <c r="E72" s="258" t="s">
        <v>317</v>
      </c>
      <c r="F72" s="386"/>
      <c r="G72" s="389" t="s">
        <v>318</v>
      </c>
      <c r="H72" s="55">
        <v>3519</v>
      </c>
      <c r="I72" s="54" t="s">
        <v>1</v>
      </c>
      <c r="J72" s="339" t="s">
        <v>2526</v>
      </c>
      <c r="K72" s="57">
        <v>40835</v>
      </c>
      <c r="L72" s="132">
        <v>40831</v>
      </c>
      <c r="M72" s="54">
        <v>4</v>
      </c>
      <c r="N72" s="54" t="s">
        <v>2</v>
      </c>
      <c r="O72" s="135">
        <f>1.4/2</f>
        <v>0.7</v>
      </c>
      <c r="P72" s="134">
        <v>6.62</v>
      </c>
      <c r="Q72" s="135">
        <v>8.0299999999999994</v>
      </c>
      <c r="R72" s="136">
        <v>21</v>
      </c>
      <c r="S72" s="137">
        <v>8</v>
      </c>
      <c r="T72" s="134">
        <v>0.13</v>
      </c>
      <c r="U72" s="135">
        <v>0.95</v>
      </c>
      <c r="V72" s="54">
        <v>3.6</v>
      </c>
      <c r="W72" s="155">
        <v>2E-3</v>
      </c>
      <c r="X72" s="54">
        <v>4.2000000000000003E-2</v>
      </c>
      <c r="Y72" s="155">
        <f>0.002/2</f>
        <v>1E-3</v>
      </c>
      <c r="Z72" s="312">
        <v>1</v>
      </c>
      <c r="AA72" s="312">
        <v>1</v>
      </c>
      <c r="AB72" s="351">
        <v>150</v>
      </c>
      <c r="AC72" s="142">
        <v>540</v>
      </c>
      <c r="AD72" s="312">
        <v>1</v>
      </c>
      <c r="AE72" s="54">
        <v>80</v>
      </c>
      <c r="AF72" s="49" t="s">
        <v>964</v>
      </c>
      <c r="AG72" s="114">
        <f>0.5/2</f>
        <v>0.25</v>
      </c>
      <c r="AH72" s="114">
        <v>0.15</v>
      </c>
    </row>
    <row r="73" spans="1:34" ht="15" customHeight="1">
      <c r="A73" s="41" t="s">
        <v>183</v>
      </c>
      <c r="B73" s="386" t="s">
        <v>316</v>
      </c>
      <c r="C73" s="149" t="s">
        <v>316</v>
      </c>
      <c r="D73" s="392" t="s">
        <v>205</v>
      </c>
      <c r="E73" s="258" t="s">
        <v>317</v>
      </c>
      <c r="F73" s="386"/>
      <c r="G73" s="389" t="s">
        <v>318</v>
      </c>
      <c r="H73" s="55">
        <v>3519</v>
      </c>
      <c r="I73" s="54" t="s">
        <v>1</v>
      </c>
      <c r="J73" s="343" t="s">
        <v>425</v>
      </c>
      <c r="K73" s="57">
        <v>40835</v>
      </c>
      <c r="L73" s="132">
        <v>40831</v>
      </c>
      <c r="M73" s="54">
        <v>4</v>
      </c>
      <c r="N73" s="54" t="s">
        <v>2</v>
      </c>
      <c r="O73" s="135">
        <f>1.4/2</f>
        <v>0.7</v>
      </c>
      <c r="P73" s="134">
        <v>6.62</v>
      </c>
      <c r="Q73" s="135">
        <v>7.43</v>
      </c>
      <c r="R73" s="136">
        <f>10/2</f>
        <v>5</v>
      </c>
      <c r="S73" s="137">
        <f>5/2</f>
        <v>2.5</v>
      </c>
      <c r="T73" s="134">
        <v>0.08</v>
      </c>
      <c r="U73" s="135">
        <v>0.39</v>
      </c>
      <c r="V73" s="54">
        <v>0.21</v>
      </c>
      <c r="W73" s="155">
        <v>0.08</v>
      </c>
      <c r="X73" s="54">
        <v>0.19800000000000001</v>
      </c>
      <c r="Y73" s="155">
        <v>1.7000000000000001E-2</v>
      </c>
      <c r="Z73" s="312">
        <v>1</v>
      </c>
      <c r="AA73" s="312">
        <v>1</v>
      </c>
      <c r="AB73" s="351">
        <v>240</v>
      </c>
      <c r="AC73" s="142">
        <v>614</v>
      </c>
      <c r="AD73" s="312">
        <v>1</v>
      </c>
      <c r="AE73" s="54">
        <v>5480</v>
      </c>
      <c r="AF73" s="49" t="s">
        <v>964</v>
      </c>
      <c r="AG73" s="114">
        <f>0.5/2</f>
        <v>0.25</v>
      </c>
    </row>
    <row r="74" spans="1:34" ht="15" customHeight="1">
      <c r="A74" s="41" t="s">
        <v>183</v>
      </c>
      <c r="B74" s="386" t="s">
        <v>321</v>
      </c>
      <c r="C74" s="149" t="s">
        <v>321</v>
      </c>
      <c r="D74" s="392" t="s">
        <v>111</v>
      </c>
      <c r="E74" s="258" t="s">
        <v>322</v>
      </c>
      <c r="F74" s="386"/>
      <c r="G74" s="389" t="s">
        <v>323</v>
      </c>
      <c r="H74" s="55">
        <v>2834</v>
      </c>
      <c r="I74" s="54" t="s">
        <v>2</v>
      </c>
      <c r="J74" s="61" t="s">
        <v>324</v>
      </c>
      <c r="K74" s="57">
        <v>40883</v>
      </c>
      <c r="L74" s="156"/>
      <c r="M74" s="142" t="s">
        <v>386</v>
      </c>
      <c r="N74" s="54" t="s">
        <v>2</v>
      </c>
      <c r="O74" s="135">
        <f>1/2</f>
        <v>0.5</v>
      </c>
      <c r="P74" s="134">
        <v>4.4800000000000004</v>
      </c>
      <c r="Q74" s="135">
        <v>6.96</v>
      </c>
      <c r="R74" s="136">
        <v>11.3</v>
      </c>
      <c r="S74" s="137">
        <v>2</v>
      </c>
      <c r="T74" s="134">
        <f>0.05/2</f>
        <v>2.5000000000000001E-2</v>
      </c>
      <c r="U74" s="135">
        <v>1.04</v>
      </c>
      <c r="V74" s="54">
        <v>0.95</v>
      </c>
      <c r="W74" s="155">
        <v>1.4999999999999999E-2</v>
      </c>
      <c r="X74" s="54">
        <v>2.4E-2</v>
      </c>
      <c r="Y74" s="155">
        <v>3.0000000000000001E-3</v>
      </c>
      <c r="Z74" s="312">
        <v>1</v>
      </c>
      <c r="AA74" s="312">
        <v>1</v>
      </c>
      <c r="AB74" s="351">
        <v>81.99</v>
      </c>
      <c r="AC74" s="142">
        <v>200</v>
      </c>
      <c r="AD74" s="312">
        <v>1</v>
      </c>
      <c r="AE74" s="54"/>
    </row>
    <row r="75" spans="1:34" ht="15" customHeight="1">
      <c r="A75" s="41" t="s">
        <v>183</v>
      </c>
      <c r="B75" s="386" t="s">
        <v>325</v>
      </c>
      <c r="C75" s="149" t="s">
        <v>326</v>
      </c>
      <c r="D75" s="392" t="s">
        <v>56</v>
      </c>
      <c r="E75" s="258" t="s">
        <v>95</v>
      </c>
      <c r="F75" s="386"/>
      <c r="G75" s="389" t="s">
        <v>995</v>
      </c>
      <c r="H75" s="55">
        <v>5171</v>
      </c>
      <c r="I75" s="54" t="s">
        <v>1</v>
      </c>
      <c r="J75" s="61" t="s">
        <v>327</v>
      </c>
      <c r="K75" s="57">
        <v>40830</v>
      </c>
      <c r="L75" s="156">
        <v>40820</v>
      </c>
      <c r="M75" s="142">
        <v>10</v>
      </c>
      <c r="N75" s="54" t="s">
        <v>2</v>
      </c>
      <c r="O75" s="135">
        <f>5/2</f>
        <v>2.5</v>
      </c>
      <c r="P75" s="134">
        <v>6.1</v>
      </c>
      <c r="Q75" s="135">
        <v>6.7</v>
      </c>
      <c r="R75" s="136">
        <v>26</v>
      </c>
      <c r="S75" s="137">
        <v>94</v>
      </c>
      <c r="T75" s="134">
        <f>0.1/2</f>
        <v>0.05</v>
      </c>
      <c r="U75" s="135">
        <f>1/2</f>
        <v>0.5</v>
      </c>
      <c r="V75" s="54">
        <v>0.17</v>
      </c>
      <c r="W75" s="155">
        <f>0.04/2</f>
        <v>0.02</v>
      </c>
      <c r="X75" s="54">
        <v>0.4</v>
      </c>
      <c r="Y75" s="155">
        <v>4.7E-2</v>
      </c>
      <c r="Z75" s="312">
        <v>1</v>
      </c>
      <c r="AA75" s="312">
        <v>1</v>
      </c>
      <c r="AB75" s="351">
        <v>73</v>
      </c>
      <c r="AC75" s="142">
        <v>322</v>
      </c>
      <c r="AD75" s="312">
        <v>1</v>
      </c>
      <c r="AE75" s="54"/>
    </row>
    <row r="76" spans="1:34" ht="15" customHeight="1">
      <c r="A76" s="41" t="s">
        <v>183</v>
      </c>
      <c r="B76" s="386" t="s">
        <v>328</v>
      </c>
      <c r="C76" s="149" t="s">
        <v>329</v>
      </c>
      <c r="D76" s="392" t="s">
        <v>56</v>
      </c>
      <c r="E76" s="258" t="s">
        <v>95</v>
      </c>
      <c r="F76" s="386"/>
      <c r="G76" s="389" t="s">
        <v>330</v>
      </c>
      <c r="H76" s="55">
        <v>5171</v>
      </c>
      <c r="I76" s="54"/>
      <c r="J76" s="61" t="s">
        <v>331</v>
      </c>
      <c r="K76" s="57">
        <v>40857</v>
      </c>
      <c r="L76" s="156">
        <v>40845</v>
      </c>
      <c r="M76" s="142">
        <v>12</v>
      </c>
      <c r="N76" s="54" t="s">
        <v>2</v>
      </c>
      <c r="O76" s="135">
        <f>5/2</f>
        <v>2.5</v>
      </c>
      <c r="P76" s="134">
        <v>6.3</v>
      </c>
      <c r="Q76" s="135">
        <v>6.07</v>
      </c>
      <c r="R76" s="136">
        <v>40</v>
      </c>
      <c r="S76" s="137">
        <v>85</v>
      </c>
      <c r="T76" s="134">
        <v>0.25</v>
      </c>
      <c r="U76" s="135">
        <f>1/2</f>
        <v>0.5</v>
      </c>
      <c r="V76" s="54">
        <v>0.19</v>
      </c>
      <c r="W76" s="155">
        <f>0.04/2</f>
        <v>0.02</v>
      </c>
      <c r="X76" s="54">
        <v>0.24</v>
      </c>
      <c r="Y76" s="155">
        <v>3.5999999999999997E-2</v>
      </c>
      <c r="Z76" s="312">
        <v>1</v>
      </c>
      <c r="AA76" s="312">
        <v>1</v>
      </c>
      <c r="AB76" s="351">
        <v>10</v>
      </c>
      <c r="AC76" s="142">
        <v>30</v>
      </c>
      <c r="AD76" s="312">
        <v>0.5</v>
      </c>
      <c r="AE76" s="54"/>
    </row>
    <row r="77" spans="1:34" ht="15" customHeight="1">
      <c r="A77" s="41" t="s">
        <v>183</v>
      </c>
      <c r="B77" s="386" t="s">
        <v>332</v>
      </c>
      <c r="C77" s="149" t="s">
        <v>332</v>
      </c>
      <c r="D77" s="392" t="s">
        <v>333</v>
      </c>
      <c r="E77" s="258" t="s">
        <v>467</v>
      </c>
      <c r="F77" s="386" t="s">
        <v>980</v>
      </c>
      <c r="G77" s="389" t="s">
        <v>334</v>
      </c>
      <c r="H77" s="55">
        <v>3629</v>
      </c>
      <c r="I77" s="54" t="s">
        <v>2</v>
      </c>
      <c r="J77" s="61" t="s">
        <v>335</v>
      </c>
      <c r="K77" s="57">
        <v>40835</v>
      </c>
      <c r="L77" s="156">
        <v>40830</v>
      </c>
      <c r="M77" s="142">
        <v>5</v>
      </c>
      <c r="N77" s="54" t="s">
        <v>2</v>
      </c>
      <c r="O77" s="135">
        <f>2/2</f>
        <v>1</v>
      </c>
      <c r="P77" s="134">
        <v>5.0199999999999996</v>
      </c>
      <c r="Q77" s="135">
        <v>6.5</v>
      </c>
      <c r="R77" s="136">
        <f>10/2</f>
        <v>5</v>
      </c>
      <c r="S77" s="137">
        <v>24</v>
      </c>
      <c r="T77" s="134">
        <v>0.05</v>
      </c>
      <c r="U77" s="135">
        <v>0.6</v>
      </c>
      <c r="V77" s="54">
        <v>0.4</v>
      </c>
      <c r="W77" s="155">
        <v>4.1000000000000002E-2</v>
      </c>
      <c r="X77" s="54">
        <v>0.16200000000000001</v>
      </c>
      <c r="Y77" s="155">
        <f>0.03/2</f>
        <v>1.4999999999999999E-2</v>
      </c>
      <c r="Z77" s="312">
        <v>0.70699999999999996</v>
      </c>
      <c r="AA77" s="312">
        <v>0.63700000000000001</v>
      </c>
      <c r="AB77" s="351">
        <v>5</v>
      </c>
      <c r="AC77" s="142">
        <v>33</v>
      </c>
      <c r="AD77" s="312">
        <v>0</v>
      </c>
      <c r="AE77" s="54"/>
    </row>
    <row r="78" spans="1:34" ht="15" customHeight="1">
      <c r="A78" s="41" t="s">
        <v>183</v>
      </c>
      <c r="B78" s="386" t="s">
        <v>345</v>
      </c>
      <c r="C78" s="149" t="s">
        <v>346</v>
      </c>
      <c r="D78" s="392" t="s">
        <v>347</v>
      </c>
      <c r="E78" s="258" t="s">
        <v>112</v>
      </c>
      <c r="F78" s="386"/>
      <c r="G78" s="389" t="s">
        <v>348</v>
      </c>
      <c r="H78" s="55">
        <v>4952</v>
      </c>
      <c r="I78" s="54" t="s">
        <v>1</v>
      </c>
      <c r="J78" s="61" t="s">
        <v>96</v>
      </c>
      <c r="K78" s="57">
        <v>40843</v>
      </c>
      <c r="L78" s="156">
        <v>40836</v>
      </c>
      <c r="M78" s="142">
        <v>7</v>
      </c>
      <c r="N78" s="54" t="s">
        <v>2</v>
      </c>
      <c r="O78" s="135">
        <f>1.7/2</f>
        <v>0.85</v>
      </c>
      <c r="P78" s="134">
        <v>6.2</v>
      </c>
      <c r="Q78" s="135">
        <v>7.49</v>
      </c>
      <c r="R78" s="136">
        <v>68</v>
      </c>
      <c r="S78" s="137">
        <f t="shared" ref="S78:S83" si="4">5/2</f>
        <v>2.5</v>
      </c>
      <c r="T78" s="134">
        <v>0.21</v>
      </c>
      <c r="U78" s="135">
        <v>3.3</v>
      </c>
      <c r="V78" s="54">
        <v>3.1</v>
      </c>
      <c r="W78" s="155">
        <v>2.1999999999999999E-2</v>
      </c>
      <c r="X78" s="54">
        <v>0.17399999999999999</v>
      </c>
      <c r="Y78" s="155">
        <v>1.0999999999999999E-2</v>
      </c>
      <c r="Z78" s="313">
        <v>1</v>
      </c>
      <c r="AA78" s="313">
        <v>1</v>
      </c>
      <c r="AB78" s="351">
        <v>78</v>
      </c>
      <c r="AC78" s="142">
        <v>242</v>
      </c>
      <c r="AD78" s="312">
        <v>1</v>
      </c>
      <c r="AE78" s="64" t="s">
        <v>964</v>
      </c>
    </row>
    <row r="79" spans="1:34" ht="15" customHeight="1">
      <c r="A79" s="41" t="s">
        <v>183</v>
      </c>
      <c r="B79" s="386" t="s">
        <v>349</v>
      </c>
      <c r="C79" s="149" t="s">
        <v>349</v>
      </c>
      <c r="D79" s="392" t="s">
        <v>350</v>
      </c>
      <c r="E79" s="258"/>
      <c r="F79" s="386"/>
      <c r="G79" s="389" t="s">
        <v>351</v>
      </c>
      <c r="H79" s="55">
        <v>3724</v>
      </c>
      <c r="I79" s="54" t="s">
        <v>2</v>
      </c>
      <c r="J79" s="61" t="s">
        <v>352</v>
      </c>
      <c r="K79" s="57">
        <v>40842</v>
      </c>
      <c r="L79" s="156">
        <v>40835</v>
      </c>
      <c r="M79" s="142">
        <v>7</v>
      </c>
      <c r="N79" s="54" t="s">
        <v>2</v>
      </c>
      <c r="O79" s="135">
        <f>1/2</f>
        <v>0.5</v>
      </c>
      <c r="P79" s="134">
        <v>6.4</v>
      </c>
      <c r="Q79" s="135">
        <v>7.13</v>
      </c>
      <c r="R79" s="136">
        <v>10</v>
      </c>
      <c r="S79" s="137">
        <f t="shared" si="4"/>
        <v>2.5</v>
      </c>
      <c r="T79" s="134">
        <f>0.01/2</f>
        <v>5.0000000000000001E-3</v>
      </c>
      <c r="U79" s="135">
        <v>0.19</v>
      </c>
      <c r="V79" s="54">
        <v>0.32</v>
      </c>
      <c r="W79" s="155">
        <v>2E-3</v>
      </c>
      <c r="X79" s="54">
        <v>1.4999999999999999E-2</v>
      </c>
      <c r="Y79" s="155">
        <f t="shared" ref="Y79:Y84" si="5">0.002/2</f>
        <v>1E-3</v>
      </c>
      <c r="Z79" s="313">
        <v>1</v>
      </c>
      <c r="AA79" s="313">
        <v>1</v>
      </c>
      <c r="AB79" s="351">
        <v>46</v>
      </c>
      <c r="AC79" s="142">
        <v>192</v>
      </c>
      <c r="AD79" s="312">
        <v>1</v>
      </c>
      <c r="AE79" s="54"/>
    </row>
    <row r="80" spans="1:34" ht="15" customHeight="1">
      <c r="A80" s="41" t="s">
        <v>183</v>
      </c>
      <c r="B80" s="386" t="s">
        <v>349</v>
      </c>
      <c r="C80" s="149" t="s">
        <v>349</v>
      </c>
      <c r="D80" s="392" t="s">
        <v>350</v>
      </c>
      <c r="E80" s="258" t="s">
        <v>965</v>
      </c>
      <c r="F80" s="386"/>
      <c r="G80" s="389" t="s">
        <v>351</v>
      </c>
      <c r="H80" s="55">
        <v>3724</v>
      </c>
      <c r="I80" s="54" t="s">
        <v>2</v>
      </c>
      <c r="J80" s="61" t="s">
        <v>353</v>
      </c>
      <c r="K80" s="57">
        <v>40842</v>
      </c>
      <c r="L80" s="156">
        <v>40835</v>
      </c>
      <c r="M80" s="142">
        <v>7</v>
      </c>
      <c r="N80" s="54" t="s">
        <v>2</v>
      </c>
      <c r="O80" s="135">
        <v>1</v>
      </c>
      <c r="P80" s="134">
        <v>6.4</v>
      </c>
      <c r="Q80" s="135">
        <v>6.98</v>
      </c>
      <c r="R80" s="136">
        <v>35</v>
      </c>
      <c r="S80" s="137">
        <f t="shared" si="4"/>
        <v>2.5</v>
      </c>
      <c r="T80" s="134">
        <f>0.01/2</f>
        <v>5.0000000000000001E-3</v>
      </c>
      <c r="U80" s="135">
        <v>0.42</v>
      </c>
      <c r="V80" s="54">
        <v>0.22</v>
      </c>
      <c r="W80" s="155">
        <v>1E-3</v>
      </c>
      <c r="X80" s="54">
        <v>1.6E-2</v>
      </c>
      <c r="Y80" s="155">
        <f t="shared" si="5"/>
        <v>1E-3</v>
      </c>
      <c r="Z80" s="313">
        <v>1</v>
      </c>
      <c r="AA80" s="313">
        <v>1</v>
      </c>
      <c r="AB80" s="351">
        <v>36</v>
      </c>
      <c r="AC80" s="142">
        <v>140</v>
      </c>
      <c r="AD80" s="312">
        <v>1</v>
      </c>
      <c r="AE80" s="54"/>
    </row>
    <row r="81" spans="1:33" ht="15" customHeight="1">
      <c r="A81" s="41" t="s">
        <v>183</v>
      </c>
      <c r="B81" s="386" t="s">
        <v>349</v>
      </c>
      <c r="C81" s="149" t="s">
        <v>349</v>
      </c>
      <c r="D81" s="392" t="s">
        <v>350</v>
      </c>
      <c r="E81" s="258"/>
      <c r="F81" s="386"/>
      <c r="G81" s="389" t="s">
        <v>966</v>
      </c>
      <c r="H81" s="55">
        <v>3724</v>
      </c>
      <c r="I81" s="54" t="s">
        <v>2</v>
      </c>
      <c r="J81" s="61" t="s">
        <v>354</v>
      </c>
      <c r="K81" s="57">
        <v>40842</v>
      </c>
      <c r="L81" s="156">
        <v>40835</v>
      </c>
      <c r="M81" s="142">
        <v>7</v>
      </c>
      <c r="N81" s="54" t="s">
        <v>2</v>
      </c>
      <c r="O81" s="135">
        <f>1/2</f>
        <v>0.5</v>
      </c>
      <c r="P81" s="134">
        <v>6.4</v>
      </c>
      <c r="Q81" s="135">
        <v>7.08</v>
      </c>
      <c r="R81" s="136">
        <f>10/2</f>
        <v>5</v>
      </c>
      <c r="S81" s="137">
        <f t="shared" si="4"/>
        <v>2.5</v>
      </c>
      <c r="T81" s="134">
        <v>0.01</v>
      </c>
      <c r="U81" s="135">
        <v>0.31</v>
      </c>
      <c r="V81" s="54">
        <v>2.15</v>
      </c>
      <c r="W81" s="155">
        <v>1.0999999999999999E-2</v>
      </c>
      <c r="X81" s="54">
        <v>2.1000000000000001E-2</v>
      </c>
      <c r="Y81" s="155">
        <f t="shared" si="5"/>
        <v>1E-3</v>
      </c>
      <c r="Z81" s="313">
        <v>1</v>
      </c>
      <c r="AA81" s="313">
        <v>1</v>
      </c>
      <c r="AB81" s="351">
        <v>80</v>
      </c>
      <c r="AC81" s="142">
        <v>386</v>
      </c>
      <c r="AD81" s="312">
        <v>1</v>
      </c>
      <c r="AE81" s="54"/>
    </row>
    <row r="82" spans="1:33" ht="15" customHeight="1">
      <c r="A82" s="41" t="s">
        <v>183</v>
      </c>
      <c r="B82" s="386" t="s">
        <v>355</v>
      </c>
      <c r="C82" s="149" t="s">
        <v>355</v>
      </c>
      <c r="D82" s="392" t="s">
        <v>356</v>
      </c>
      <c r="E82" s="258" t="s">
        <v>359</v>
      </c>
      <c r="F82" s="386"/>
      <c r="G82" s="389" t="s">
        <v>358</v>
      </c>
      <c r="H82" s="55">
        <v>3479</v>
      </c>
      <c r="I82" s="54" t="s">
        <v>2</v>
      </c>
      <c r="J82" s="61" t="s">
        <v>357</v>
      </c>
      <c r="K82" s="57">
        <v>40835</v>
      </c>
      <c r="L82" s="156">
        <v>40829</v>
      </c>
      <c r="M82" s="142">
        <v>6</v>
      </c>
      <c r="N82" s="54" t="s">
        <v>2</v>
      </c>
      <c r="O82" s="135">
        <f>1.4/2</f>
        <v>0.7</v>
      </c>
      <c r="P82" s="134">
        <v>4.72</v>
      </c>
      <c r="Q82" s="135">
        <v>4.53</v>
      </c>
      <c r="R82" s="136">
        <v>64</v>
      </c>
      <c r="S82" s="137">
        <f t="shared" si="4"/>
        <v>2.5</v>
      </c>
      <c r="T82" s="134">
        <f>0.01/2</f>
        <v>5.0000000000000001E-3</v>
      </c>
      <c r="U82" s="135">
        <v>0.63</v>
      </c>
      <c r="V82" s="54">
        <v>0.35</v>
      </c>
      <c r="W82" s="155">
        <v>6.8000000000000005E-2</v>
      </c>
      <c r="X82" s="54">
        <v>0.13</v>
      </c>
      <c r="Y82" s="155">
        <f t="shared" si="5"/>
        <v>1E-3</v>
      </c>
      <c r="Z82" s="312">
        <v>0.70699999999999996</v>
      </c>
      <c r="AA82" s="312">
        <v>0.70699999999999996</v>
      </c>
      <c r="AB82" s="351">
        <v>2</v>
      </c>
      <c r="AC82" s="142">
        <v>24</v>
      </c>
      <c r="AD82" s="312">
        <v>0</v>
      </c>
      <c r="AE82" s="54"/>
    </row>
    <row r="83" spans="1:33" ht="15" customHeight="1">
      <c r="A83" s="41" t="s">
        <v>183</v>
      </c>
      <c r="B83" s="386" t="s">
        <v>355</v>
      </c>
      <c r="C83" s="149" t="s">
        <v>355</v>
      </c>
      <c r="D83" s="392" t="s">
        <v>356</v>
      </c>
      <c r="E83" s="258" t="s">
        <v>359</v>
      </c>
      <c r="F83" s="386"/>
      <c r="G83" s="389" t="s">
        <v>358</v>
      </c>
      <c r="H83" s="55">
        <v>3479</v>
      </c>
      <c r="I83" s="54" t="s">
        <v>2</v>
      </c>
      <c r="J83" s="61" t="s">
        <v>360</v>
      </c>
      <c r="K83" s="57">
        <v>40835</v>
      </c>
      <c r="L83" s="156">
        <v>40829</v>
      </c>
      <c r="M83" s="142">
        <v>6</v>
      </c>
      <c r="N83" s="54" t="s">
        <v>2</v>
      </c>
      <c r="O83" s="135">
        <v>1.4</v>
      </c>
      <c r="P83" s="134">
        <v>5.16</v>
      </c>
      <c r="Q83" s="135">
        <v>5.18</v>
      </c>
      <c r="R83" s="136">
        <v>10</v>
      </c>
      <c r="S83" s="137">
        <f t="shared" si="4"/>
        <v>2.5</v>
      </c>
      <c r="T83" s="134">
        <f>0.01/2</f>
        <v>5.0000000000000001E-3</v>
      </c>
      <c r="U83" s="135">
        <v>0.23</v>
      </c>
      <c r="V83" s="54">
        <v>0.15</v>
      </c>
      <c r="W83" s="155">
        <v>2E-3</v>
      </c>
      <c r="X83" s="54">
        <v>7.0000000000000001E-3</v>
      </c>
      <c r="Y83" s="155">
        <f t="shared" si="5"/>
        <v>1E-3</v>
      </c>
      <c r="Z83" s="312">
        <v>0.82</v>
      </c>
      <c r="AA83" s="312">
        <v>0.70699999999999996</v>
      </c>
      <c r="AB83" s="351">
        <v>0</v>
      </c>
      <c r="AC83" s="142">
        <v>8</v>
      </c>
      <c r="AD83" s="312">
        <v>0</v>
      </c>
      <c r="AE83" s="54"/>
    </row>
    <row r="84" spans="1:33" ht="15" customHeight="1">
      <c r="A84" s="41" t="s">
        <v>183</v>
      </c>
      <c r="B84" s="386" t="s">
        <v>355</v>
      </c>
      <c r="C84" s="149" t="s">
        <v>355</v>
      </c>
      <c r="D84" s="392" t="s">
        <v>356</v>
      </c>
      <c r="E84" s="258" t="s">
        <v>359</v>
      </c>
      <c r="F84" s="386"/>
      <c r="G84" s="389" t="s">
        <v>358</v>
      </c>
      <c r="H84" s="55">
        <v>3479</v>
      </c>
      <c r="I84" s="54" t="s">
        <v>2</v>
      </c>
      <c r="J84" s="61" t="s">
        <v>361</v>
      </c>
      <c r="K84" s="57">
        <v>40835</v>
      </c>
      <c r="L84" s="156">
        <v>40829</v>
      </c>
      <c r="M84" s="142">
        <v>6</v>
      </c>
      <c r="N84" s="54" t="s">
        <v>2</v>
      </c>
      <c r="O84" s="135">
        <v>1.5</v>
      </c>
      <c r="P84" s="134">
        <v>5.16</v>
      </c>
      <c r="Q84" s="135">
        <v>5.09</v>
      </c>
      <c r="R84" s="136">
        <v>28</v>
      </c>
      <c r="S84" s="137">
        <v>8.5</v>
      </c>
      <c r="T84" s="134">
        <f>0.01/2</f>
        <v>5.0000000000000001E-3</v>
      </c>
      <c r="U84" s="135">
        <v>0.28000000000000003</v>
      </c>
      <c r="V84" s="54">
        <v>0.09</v>
      </c>
      <c r="W84" s="155">
        <f>0.001/2</f>
        <v>5.0000000000000001E-4</v>
      </c>
      <c r="X84" s="54">
        <v>1.6E-2</v>
      </c>
      <c r="Y84" s="155">
        <f t="shared" si="5"/>
        <v>1E-3</v>
      </c>
      <c r="Z84" s="313">
        <v>1</v>
      </c>
      <c r="AA84" s="313">
        <v>1</v>
      </c>
      <c r="AB84" s="351">
        <v>0</v>
      </c>
      <c r="AC84" s="142">
        <v>7</v>
      </c>
      <c r="AD84" s="312">
        <v>1</v>
      </c>
      <c r="AE84" s="54"/>
    </row>
    <row r="85" spans="1:33" ht="15" customHeight="1">
      <c r="A85" s="41" t="s">
        <v>183</v>
      </c>
      <c r="B85" s="386" t="s">
        <v>362</v>
      </c>
      <c r="C85" s="149" t="s">
        <v>363</v>
      </c>
      <c r="D85" s="392" t="s">
        <v>205</v>
      </c>
      <c r="E85" s="258" t="s">
        <v>364</v>
      </c>
      <c r="F85" s="386"/>
      <c r="G85" s="389" t="s">
        <v>365</v>
      </c>
      <c r="H85" s="55">
        <v>4952</v>
      </c>
      <c r="I85" s="54" t="s">
        <v>2</v>
      </c>
      <c r="J85" s="61" t="s">
        <v>366</v>
      </c>
      <c r="K85" s="57">
        <v>40837</v>
      </c>
      <c r="L85" s="156">
        <v>40820</v>
      </c>
      <c r="M85" s="142">
        <v>17</v>
      </c>
      <c r="N85" s="54" t="s">
        <v>2</v>
      </c>
      <c r="O85" s="135">
        <v>1.4</v>
      </c>
      <c r="P85" s="134"/>
      <c r="Q85" s="135">
        <v>8.0500000000000007</v>
      </c>
      <c r="R85" s="136">
        <v>27</v>
      </c>
      <c r="S85" s="137">
        <v>1</v>
      </c>
      <c r="T85" s="134">
        <f>0.05/2</f>
        <v>2.5000000000000001E-2</v>
      </c>
      <c r="U85" s="135">
        <v>0.87</v>
      </c>
      <c r="V85" s="54">
        <v>2.73</v>
      </c>
      <c r="W85" s="155">
        <f>0.005/2</f>
        <v>2.5000000000000001E-3</v>
      </c>
      <c r="X85" s="54">
        <f>0.02/2</f>
        <v>0.01</v>
      </c>
      <c r="Y85" s="155">
        <f>0.003/2</f>
        <v>1.5E-3</v>
      </c>
      <c r="Z85" s="313">
        <v>1</v>
      </c>
      <c r="AA85" s="313">
        <v>1</v>
      </c>
      <c r="AB85" s="351">
        <v>90</v>
      </c>
      <c r="AC85" s="142">
        <v>224</v>
      </c>
      <c r="AD85" s="312">
        <v>1</v>
      </c>
      <c r="AE85" s="54"/>
    </row>
    <row r="86" spans="1:33" ht="15" customHeight="1">
      <c r="A86" s="41" t="s">
        <v>183</v>
      </c>
      <c r="B86" s="386" t="s">
        <v>956</v>
      </c>
      <c r="C86" s="149" t="s">
        <v>367</v>
      </c>
      <c r="D86" s="392" t="s">
        <v>368</v>
      </c>
      <c r="E86" s="258" t="s">
        <v>369</v>
      </c>
      <c r="F86" s="386"/>
      <c r="G86" s="389" t="s">
        <v>370</v>
      </c>
      <c r="H86" s="55">
        <v>4151</v>
      </c>
      <c r="I86" s="54"/>
      <c r="J86" s="61" t="s">
        <v>371</v>
      </c>
      <c r="K86" s="57">
        <v>40835</v>
      </c>
      <c r="L86" s="156">
        <v>40830</v>
      </c>
      <c r="M86" s="142">
        <v>5</v>
      </c>
      <c r="N86" s="54" t="s">
        <v>2</v>
      </c>
      <c r="O86" s="135">
        <v>2.6</v>
      </c>
      <c r="P86" s="134">
        <v>5</v>
      </c>
      <c r="Q86" s="135">
        <v>7.1</v>
      </c>
      <c r="R86" s="136">
        <v>35.200000000000003</v>
      </c>
      <c r="S86" s="137">
        <v>95</v>
      </c>
      <c r="T86" s="134">
        <v>0.28000000000000003</v>
      </c>
      <c r="U86" s="135">
        <v>0.89</v>
      </c>
      <c r="V86" s="54">
        <v>1</v>
      </c>
      <c r="W86" s="155">
        <v>0.01</v>
      </c>
      <c r="X86" s="54">
        <v>0.04</v>
      </c>
      <c r="Y86" s="155">
        <f>0.02/2</f>
        <v>0.01</v>
      </c>
      <c r="Z86" s="312"/>
      <c r="AA86" s="312"/>
      <c r="AB86" s="312"/>
      <c r="AC86" s="144"/>
      <c r="AD86" s="312"/>
      <c r="AE86" s="54"/>
    </row>
    <row r="87" spans="1:33" ht="15" customHeight="1">
      <c r="A87" s="41" t="s">
        <v>183</v>
      </c>
      <c r="B87" s="386" t="s">
        <v>956</v>
      </c>
      <c r="C87" s="149" t="s">
        <v>967</v>
      </c>
      <c r="D87" s="392" t="s">
        <v>372</v>
      </c>
      <c r="E87" s="258" t="s">
        <v>235</v>
      </c>
      <c r="F87" s="386"/>
      <c r="G87" s="389" t="s">
        <v>373</v>
      </c>
      <c r="H87" s="55">
        <v>4151</v>
      </c>
      <c r="I87" s="54"/>
      <c r="J87" s="61" t="s">
        <v>374</v>
      </c>
      <c r="K87" s="57">
        <v>40843</v>
      </c>
      <c r="L87" s="156">
        <v>40835</v>
      </c>
      <c r="M87" s="142">
        <v>8</v>
      </c>
      <c r="N87" s="54" t="s">
        <v>2</v>
      </c>
      <c r="O87" s="135">
        <v>2.4</v>
      </c>
      <c r="P87" s="134">
        <v>5</v>
      </c>
      <c r="Q87" s="135">
        <v>5.83</v>
      </c>
      <c r="R87" s="136">
        <f>2/2</f>
        <v>1</v>
      </c>
      <c r="S87" s="137">
        <f>1/2</f>
        <v>0.5</v>
      </c>
      <c r="T87" s="134">
        <f>0.05/2</f>
        <v>2.5000000000000001E-2</v>
      </c>
      <c r="U87" s="135">
        <v>0.99</v>
      </c>
      <c r="V87" s="54">
        <v>0.45</v>
      </c>
      <c r="W87" s="155">
        <v>0.01</v>
      </c>
      <c r="X87" s="54">
        <v>0.28000000000000003</v>
      </c>
      <c r="Y87" s="155">
        <f>0.02/2</f>
        <v>0.01</v>
      </c>
      <c r="Z87" s="312"/>
      <c r="AA87" s="312"/>
      <c r="AB87" s="312"/>
      <c r="AC87" s="144"/>
      <c r="AD87" s="312"/>
      <c r="AE87" s="54"/>
    </row>
    <row r="88" spans="1:33" ht="15" customHeight="1">
      <c r="A88" s="41" t="s">
        <v>183</v>
      </c>
      <c r="B88" s="386" t="s">
        <v>956</v>
      </c>
      <c r="C88" s="149" t="s">
        <v>378</v>
      </c>
      <c r="D88" s="392" t="s">
        <v>379</v>
      </c>
      <c r="E88" s="258" t="s">
        <v>214</v>
      </c>
      <c r="F88" s="386"/>
      <c r="G88" s="389" t="s">
        <v>380</v>
      </c>
      <c r="H88" s="55">
        <v>4151</v>
      </c>
      <c r="I88" s="54" t="s">
        <v>2</v>
      </c>
      <c r="J88" s="61" t="s">
        <v>81</v>
      </c>
      <c r="K88" s="57">
        <v>40835</v>
      </c>
      <c r="L88" s="156">
        <v>40830</v>
      </c>
      <c r="M88" s="142">
        <v>5</v>
      </c>
      <c r="N88" s="54" t="s">
        <v>2</v>
      </c>
      <c r="O88" s="135">
        <f>2/2</f>
        <v>1</v>
      </c>
      <c r="P88" s="134">
        <v>5.3</v>
      </c>
      <c r="Q88" s="135">
        <v>7.2</v>
      </c>
      <c r="R88" s="136">
        <v>166</v>
      </c>
      <c r="S88" s="137">
        <v>500</v>
      </c>
      <c r="T88" s="134">
        <v>0.4</v>
      </c>
      <c r="U88" s="135">
        <v>1.95</v>
      </c>
      <c r="V88" s="54">
        <f>0.1/2</f>
        <v>0.05</v>
      </c>
      <c r="W88" s="155">
        <v>8.3000000000000004E-2</v>
      </c>
      <c r="X88" s="54">
        <v>0.318</v>
      </c>
      <c r="Y88" s="155">
        <v>0.09</v>
      </c>
      <c r="Z88" s="312"/>
      <c r="AA88" s="312"/>
      <c r="AB88" s="312"/>
      <c r="AC88" s="144"/>
      <c r="AD88" s="312"/>
      <c r="AE88" s="54"/>
    </row>
    <row r="89" spans="1:33" ht="15" customHeight="1">
      <c r="A89" s="41" t="s">
        <v>183</v>
      </c>
      <c r="B89" s="386" t="s">
        <v>956</v>
      </c>
      <c r="C89" s="149" t="s">
        <v>381</v>
      </c>
      <c r="D89" s="392" t="s">
        <v>350</v>
      </c>
      <c r="E89" s="258" t="s">
        <v>382</v>
      </c>
      <c r="F89" s="386"/>
      <c r="G89" s="389" t="s">
        <v>383</v>
      </c>
      <c r="H89" s="55">
        <v>4151</v>
      </c>
      <c r="I89" s="54" t="s">
        <v>2</v>
      </c>
      <c r="J89" s="61" t="s">
        <v>81</v>
      </c>
      <c r="K89" s="57">
        <v>40863</v>
      </c>
      <c r="L89" s="156">
        <v>40857</v>
      </c>
      <c r="M89" s="142">
        <v>6</v>
      </c>
      <c r="N89" s="54" t="s">
        <v>2</v>
      </c>
      <c r="O89" s="135">
        <v>2.5</v>
      </c>
      <c r="P89" s="134">
        <v>6.72</v>
      </c>
      <c r="Q89" s="135">
        <v>6.39</v>
      </c>
      <c r="R89" s="136">
        <v>66.099999999999994</v>
      </c>
      <c r="S89" s="137">
        <v>229</v>
      </c>
      <c r="T89" s="134">
        <v>0.22</v>
      </c>
      <c r="U89" s="135">
        <v>0.79</v>
      </c>
      <c r="V89" s="54">
        <f>0.2/2</f>
        <v>0.1</v>
      </c>
      <c r="W89" s="155">
        <v>0.01</v>
      </c>
      <c r="X89" s="54">
        <v>0.1</v>
      </c>
      <c r="Y89" s="155">
        <v>0.02</v>
      </c>
      <c r="Z89" s="312"/>
      <c r="AA89" s="312"/>
      <c r="AB89" s="312"/>
      <c r="AC89" s="144"/>
      <c r="AD89" s="312"/>
      <c r="AE89" s="54"/>
    </row>
    <row r="90" spans="1:33" ht="15" customHeight="1">
      <c r="A90" s="41" t="s">
        <v>183</v>
      </c>
      <c r="B90" s="386" t="s">
        <v>404</v>
      </c>
      <c r="C90" s="149" t="s">
        <v>405</v>
      </c>
      <c r="D90" s="392" t="s">
        <v>406</v>
      </c>
      <c r="E90" s="258" t="s">
        <v>407</v>
      </c>
      <c r="F90" s="386"/>
      <c r="G90" s="389" t="s">
        <v>408</v>
      </c>
      <c r="H90" s="55">
        <v>4952</v>
      </c>
      <c r="I90" s="54" t="s">
        <v>2</v>
      </c>
      <c r="J90" s="61" t="s">
        <v>409</v>
      </c>
      <c r="K90" s="57">
        <v>40843</v>
      </c>
      <c r="L90" s="132">
        <v>40836</v>
      </c>
      <c r="M90" s="54">
        <v>7</v>
      </c>
      <c r="N90" s="54" t="s">
        <v>2</v>
      </c>
      <c r="O90" s="135">
        <f>2/2</f>
        <v>1</v>
      </c>
      <c r="P90" s="134">
        <v>6.75</v>
      </c>
      <c r="Q90" s="135">
        <v>6.4</v>
      </c>
      <c r="R90" s="136">
        <v>13</v>
      </c>
      <c r="S90" s="137">
        <v>10</v>
      </c>
      <c r="T90" s="134">
        <v>0.05</v>
      </c>
      <c r="U90" s="135">
        <v>1.53</v>
      </c>
      <c r="V90" s="54">
        <v>1.1599999999999999</v>
      </c>
      <c r="W90" s="155">
        <v>3.7999999999999999E-2</v>
      </c>
      <c r="X90" s="54">
        <v>7.4999999999999997E-2</v>
      </c>
      <c r="Y90" s="155">
        <f>0.03/2</f>
        <v>1.4999999999999999E-2</v>
      </c>
      <c r="Z90" s="312">
        <v>0.70699999999999996</v>
      </c>
      <c r="AA90" s="312">
        <v>0.19600000000000001</v>
      </c>
      <c r="AB90" s="351">
        <v>6</v>
      </c>
      <c r="AC90" s="142">
        <v>40</v>
      </c>
      <c r="AD90" s="312">
        <v>0</v>
      </c>
      <c r="AE90" s="54"/>
    </row>
    <row r="91" spans="1:33" ht="15" customHeight="1">
      <c r="A91" s="41" t="s">
        <v>183</v>
      </c>
      <c r="B91" s="386" t="s">
        <v>404</v>
      </c>
      <c r="C91" s="149" t="s">
        <v>405</v>
      </c>
      <c r="D91" s="392" t="s">
        <v>406</v>
      </c>
      <c r="E91" s="258" t="s">
        <v>407</v>
      </c>
      <c r="F91" s="386"/>
      <c r="G91" s="389" t="s">
        <v>408</v>
      </c>
      <c r="H91" s="55">
        <v>4952</v>
      </c>
      <c r="I91" s="54" t="s">
        <v>2</v>
      </c>
      <c r="J91" s="61" t="s">
        <v>410</v>
      </c>
      <c r="K91" s="57">
        <v>40843</v>
      </c>
      <c r="L91" s="132">
        <v>40836</v>
      </c>
      <c r="M91" s="54">
        <v>7</v>
      </c>
      <c r="N91" s="54" t="s">
        <v>2</v>
      </c>
      <c r="O91" s="135">
        <v>7.2</v>
      </c>
      <c r="P91" s="134">
        <v>6.75</v>
      </c>
      <c r="Q91" s="135">
        <v>6.5</v>
      </c>
      <c r="R91" s="136">
        <v>47</v>
      </c>
      <c r="S91" s="137">
        <v>81</v>
      </c>
      <c r="T91" s="134">
        <v>0.23</v>
      </c>
      <c r="U91" s="135">
        <v>1.21</v>
      </c>
      <c r="V91" s="54">
        <v>0.4</v>
      </c>
      <c r="W91" s="155">
        <v>0.106</v>
      </c>
      <c r="X91" s="54">
        <v>0.33</v>
      </c>
      <c r="Y91" s="155">
        <f>0.03/2</f>
        <v>1.4999999999999999E-2</v>
      </c>
      <c r="Z91" s="312">
        <v>1</v>
      </c>
      <c r="AA91" s="312">
        <v>0.70699999999999996</v>
      </c>
      <c r="AB91" s="351">
        <v>6</v>
      </c>
      <c r="AC91" s="142">
        <v>21</v>
      </c>
      <c r="AD91" s="312">
        <v>0</v>
      </c>
      <c r="AE91" s="54"/>
    </row>
    <row r="92" spans="1:33" ht="15" customHeight="1">
      <c r="A92" s="41" t="s">
        <v>183</v>
      </c>
      <c r="B92" s="386" t="s">
        <v>411</v>
      </c>
      <c r="C92" s="149"/>
      <c r="D92" s="392" t="s">
        <v>111</v>
      </c>
      <c r="E92" s="258" t="s">
        <v>982</v>
      </c>
      <c r="F92" s="386"/>
      <c r="G92" s="389" t="s">
        <v>412</v>
      </c>
      <c r="H92" s="55">
        <v>3841</v>
      </c>
      <c r="I92" s="54" t="s">
        <v>2</v>
      </c>
      <c r="J92" s="61" t="s">
        <v>81</v>
      </c>
      <c r="K92" s="57">
        <v>40829</v>
      </c>
      <c r="L92" s="132">
        <v>40819</v>
      </c>
      <c r="M92" s="54">
        <v>10</v>
      </c>
      <c r="N92" s="54" t="s">
        <v>2</v>
      </c>
      <c r="O92" s="135">
        <v>2.4</v>
      </c>
      <c r="P92" s="134">
        <v>6.9</v>
      </c>
      <c r="Q92" s="135">
        <v>6.7</v>
      </c>
      <c r="R92" s="136">
        <v>50</v>
      </c>
      <c r="S92" s="137">
        <v>42</v>
      </c>
      <c r="T92" s="134">
        <v>0.11</v>
      </c>
      <c r="U92" s="135">
        <v>1.04</v>
      </c>
      <c r="V92" s="54">
        <v>0.4</v>
      </c>
      <c r="W92" s="155">
        <v>1.7000000000000001E-2</v>
      </c>
      <c r="X92" s="54">
        <v>6.2E-2</v>
      </c>
      <c r="Y92" s="155">
        <f>0.03/2</f>
        <v>1.4999999999999999E-2</v>
      </c>
      <c r="Z92" s="312">
        <v>1</v>
      </c>
      <c r="AA92" s="313">
        <v>1</v>
      </c>
      <c r="AB92" s="351">
        <v>8</v>
      </c>
      <c r="AC92" s="142">
        <v>39</v>
      </c>
      <c r="AD92" s="312">
        <v>0.9</v>
      </c>
      <c r="AE92" s="54"/>
    </row>
    <row r="93" spans="1:33" ht="15" customHeight="1">
      <c r="A93" s="41" t="s">
        <v>183</v>
      </c>
      <c r="B93" s="386" t="s">
        <v>413</v>
      </c>
      <c r="C93" s="149" t="s">
        <v>413</v>
      </c>
      <c r="D93" s="392" t="s">
        <v>372</v>
      </c>
      <c r="E93" s="258" t="s">
        <v>414</v>
      </c>
      <c r="F93" s="386"/>
      <c r="G93" s="389" t="s">
        <v>415</v>
      </c>
      <c r="H93" s="55">
        <v>3441</v>
      </c>
      <c r="I93" s="54"/>
      <c r="J93" s="61" t="s">
        <v>335</v>
      </c>
      <c r="K93" s="57">
        <v>40876</v>
      </c>
      <c r="L93" s="132">
        <v>40870</v>
      </c>
      <c r="M93" s="54">
        <v>6</v>
      </c>
      <c r="N93" s="54" t="s">
        <v>2</v>
      </c>
      <c r="O93" s="135">
        <v>1.5</v>
      </c>
      <c r="P93" s="134">
        <v>5</v>
      </c>
      <c r="Q93" s="135">
        <v>7.26</v>
      </c>
      <c r="R93" s="136">
        <v>52.3</v>
      </c>
      <c r="S93" s="137">
        <v>35</v>
      </c>
      <c r="T93" s="134">
        <v>0.27</v>
      </c>
      <c r="U93" s="135">
        <v>1.98</v>
      </c>
      <c r="V93" s="54">
        <v>0.45</v>
      </c>
      <c r="W93" s="155">
        <v>0.01</v>
      </c>
      <c r="X93" s="54">
        <v>0.1</v>
      </c>
      <c r="Y93" s="155">
        <f>0.02/2</f>
        <v>0.01</v>
      </c>
      <c r="Z93" s="312">
        <v>1</v>
      </c>
      <c r="AA93" s="313">
        <v>1</v>
      </c>
      <c r="AB93" s="351">
        <v>36.1</v>
      </c>
      <c r="AC93" s="142">
        <v>18.5</v>
      </c>
      <c r="AD93" s="312">
        <v>1</v>
      </c>
      <c r="AE93" s="54"/>
    </row>
    <row r="94" spans="1:33" ht="15" customHeight="1">
      <c r="A94" s="41" t="s">
        <v>183</v>
      </c>
      <c r="B94" s="386" t="s">
        <v>204</v>
      </c>
      <c r="C94" s="149" t="s">
        <v>204</v>
      </c>
      <c r="D94" s="392" t="s">
        <v>205</v>
      </c>
      <c r="E94" s="258"/>
      <c r="F94" s="386"/>
      <c r="G94" s="389" t="s">
        <v>206</v>
      </c>
      <c r="H94" s="55">
        <v>8744</v>
      </c>
      <c r="I94" s="54" t="s">
        <v>2</v>
      </c>
      <c r="J94" s="61" t="s">
        <v>422</v>
      </c>
      <c r="K94" s="57">
        <v>40829</v>
      </c>
      <c r="L94" s="132">
        <v>40820</v>
      </c>
      <c r="M94" s="54">
        <v>9</v>
      </c>
      <c r="N94" s="54" t="s">
        <v>2</v>
      </c>
      <c r="O94" s="135">
        <f>1.4/2</f>
        <v>0.7</v>
      </c>
      <c r="P94" s="138">
        <v>6.6</v>
      </c>
      <c r="Q94" s="135">
        <v>6.77</v>
      </c>
      <c r="R94" s="136">
        <v>24</v>
      </c>
      <c r="S94" s="137">
        <v>63</v>
      </c>
      <c r="T94" s="134">
        <v>0.24</v>
      </c>
      <c r="U94" s="135">
        <v>0.72</v>
      </c>
      <c r="V94" s="54">
        <v>0.09</v>
      </c>
      <c r="W94" s="155">
        <v>6.0000000000000001E-3</v>
      </c>
      <c r="X94" s="54">
        <v>2.9000000000000001E-2</v>
      </c>
      <c r="Y94" s="155">
        <v>8.9999999999999993E-3</v>
      </c>
      <c r="Z94" s="312">
        <v>1</v>
      </c>
      <c r="AA94" s="313">
        <v>1</v>
      </c>
      <c r="AB94" s="351">
        <v>4</v>
      </c>
      <c r="AC94" s="142">
        <v>18</v>
      </c>
      <c r="AD94" s="312">
        <v>1</v>
      </c>
      <c r="AE94" s="54"/>
      <c r="AG94" s="114">
        <f>0.5/2</f>
        <v>0.25</v>
      </c>
    </row>
    <row r="95" spans="1:33" ht="15" customHeight="1">
      <c r="A95" s="41" t="s">
        <v>183</v>
      </c>
      <c r="B95" s="386" t="s">
        <v>423</v>
      </c>
      <c r="C95" s="149" t="s">
        <v>424</v>
      </c>
      <c r="D95" s="392" t="s">
        <v>425</v>
      </c>
      <c r="E95" s="258" t="s">
        <v>235</v>
      </c>
      <c r="F95" s="386"/>
      <c r="G95" s="389" t="s">
        <v>426</v>
      </c>
      <c r="H95" s="55">
        <v>3351</v>
      </c>
      <c r="I95" s="54" t="s">
        <v>1</v>
      </c>
      <c r="J95" s="61" t="s">
        <v>427</v>
      </c>
      <c r="K95" s="57">
        <v>40835</v>
      </c>
      <c r="L95" s="132">
        <v>40830</v>
      </c>
      <c r="M95" s="54">
        <v>5</v>
      </c>
      <c r="N95" s="54" t="s">
        <v>2</v>
      </c>
      <c r="O95" s="135">
        <f>5/2</f>
        <v>2.5</v>
      </c>
      <c r="P95" s="138"/>
      <c r="Q95" s="135">
        <v>7.29</v>
      </c>
      <c r="R95" s="136">
        <v>19</v>
      </c>
      <c r="S95" s="137">
        <v>12</v>
      </c>
      <c r="T95" s="134">
        <v>2</v>
      </c>
      <c r="U95" s="135">
        <f>1/2</f>
        <v>0.5</v>
      </c>
      <c r="V95" s="54">
        <v>0.46</v>
      </c>
      <c r="W95" s="155">
        <v>0.89</v>
      </c>
      <c r="X95" s="54">
        <v>1.2</v>
      </c>
      <c r="Y95" s="155">
        <v>4.4999999999999998E-2</v>
      </c>
      <c r="Z95" s="312">
        <v>6.25E-2</v>
      </c>
      <c r="AA95" s="312">
        <v>6.25E-2</v>
      </c>
      <c r="AB95" s="351">
        <v>16</v>
      </c>
      <c r="AC95" s="142">
        <v>93</v>
      </c>
      <c r="AD95" s="312">
        <v>0</v>
      </c>
      <c r="AE95" s="54"/>
    </row>
    <row r="96" spans="1:33" ht="15" customHeight="1">
      <c r="A96" s="41" t="s">
        <v>183</v>
      </c>
      <c r="B96" s="386" t="s">
        <v>428</v>
      </c>
      <c r="C96" s="149" t="s">
        <v>428</v>
      </c>
      <c r="D96" s="392" t="s">
        <v>111</v>
      </c>
      <c r="E96" s="258" t="s">
        <v>429</v>
      </c>
      <c r="F96" s="386"/>
      <c r="G96" s="389" t="s">
        <v>430</v>
      </c>
      <c r="H96" s="55">
        <v>3356</v>
      </c>
      <c r="I96" s="54" t="s">
        <v>2</v>
      </c>
      <c r="J96" s="61" t="s">
        <v>431</v>
      </c>
      <c r="K96" s="57">
        <v>40869</v>
      </c>
      <c r="L96" s="132">
        <v>40863</v>
      </c>
      <c r="M96" s="54">
        <v>6</v>
      </c>
      <c r="N96" s="54" t="s">
        <v>2</v>
      </c>
      <c r="O96" s="135">
        <f>1/2</f>
        <v>0.5</v>
      </c>
      <c r="P96" s="138">
        <v>6.5</v>
      </c>
      <c r="Q96" s="135">
        <v>6.23</v>
      </c>
      <c r="R96" s="136">
        <v>53</v>
      </c>
      <c r="S96" s="137">
        <v>161</v>
      </c>
      <c r="T96" s="54">
        <v>0.4</v>
      </c>
      <c r="U96" s="135">
        <v>1.52</v>
      </c>
      <c r="V96" s="54">
        <v>0.53</v>
      </c>
      <c r="W96" s="155">
        <v>0.184</v>
      </c>
      <c r="X96" s="54">
        <v>0.17699999999999999</v>
      </c>
      <c r="Y96" s="155">
        <v>1.7999999999999999E-2</v>
      </c>
      <c r="Z96" s="312">
        <v>1</v>
      </c>
      <c r="AA96" s="312">
        <v>0.74299999999999999</v>
      </c>
      <c r="AB96" s="351">
        <v>10.9</v>
      </c>
      <c r="AC96" s="142">
        <v>47</v>
      </c>
      <c r="AD96" s="312">
        <v>0.2</v>
      </c>
      <c r="AE96" s="54"/>
    </row>
    <row r="97" spans="1:31" ht="15" customHeight="1">
      <c r="A97" s="41" t="s">
        <v>183</v>
      </c>
      <c r="B97" s="386" t="s">
        <v>432</v>
      </c>
      <c r="C97" s="149" t="s">
        <v>432</v>
      </c>
      <c r="D97" s="392" t="s">
        <v>434</v>
      </c>
      <c r="E97" s="258" t="s">
        <v>433</v>
      </c>
      <c r="F97" s="386"/>
      <c r="G97" s="389" t="s">
        <v>435</v>
      </c>
      <c r="H97" s="55">
        <v>3644</v>
      </c>
      <c r="I97" s="54" t="s">
        <v>2</v>
      </c>
      <c r="J97" s="61" t="s">
        <v>81</v>
      </c>
      <c r="K97" s="57">
        <v>40863</v>
      </c>
      <c r="L97" s="132">
        <v>40857</v>
      </c>
      <c r="M97" s="54">
        <v>6</v>
      </c>
      <c r="N97" s="54" t="s">
        <v>2</v>
      </c>
      <c r="O97" s="135">
        <f>1/2</f>
        <v>0.5</v>
      </c>
      <c r="P97" s="138">
        <v>6</v>
      </c>
      <c r="Q97" s="135">
        <v>6.11</v>
      </c>
      <c r="R97" s="136">
        <v>15</v>
      </c>
      <c r="S97" s="137">
        <v>6</v>
      </c>
      <c r="T97" s="54">
        <v>7.0000000000000007E-2</v>
      </c>
      <c r="U97" s="135">
        <v>3.6</v>
      </c>
      <c r="V97" s="54">
        <v>0.2</v>
      </c>
      <c r="W97" s="155">
        <v>8.0000000000000002E-3</v>
      </c>
      <c r="X97" s="54">
        <v>0.30099999999999999</v>
      </c>
      <c r="Y97" s="155">
        <v>3.0000000000000001E-3</v>
      </c>
      <c r="Z97" s="312">
        <v>1</v>
      </c>
      <c r="AA97" s="312">
        <v>0.81200000000000006</v>
      </c>
      <c r="AB97" s="351">
        <v>2.9</v>
      </c>
      <c r="AC97" s="142">
        <v>211</v>
      </c>
      <c r="AD97" s="312">
        <v>0.35</v>
      </c>
      <c r="AE97" s="54"/>
    </row>
    <row r="98" spans="1:31" ht="15" customHeight="1">
      <c r="A98" s="41" t="s">
        <v>183</v>
      </c>
      <c r="B98" s="386" t="s">
        <v>438</v>
      </c>
      <c r="C98" s="149" t="s">
        <v>438</v>
      </c>
      <c r="D98" s="392" t="s">
        <v>251</v>
      </c>
      <c r="E98" s="258" t="s">
        <v>439</v>
      </c>
      <c r="F98" s="386">
        <v>4402</v>
      </c>
      <c r="G98" s="389" t="s">
        <v>440</v>
      </c>
      <c r="H98" s="55">
        <v>3471</v>
      </c>
      <c r="I98" s="54" t="s">
        <v>2</v>
      </c>
      <c r="J98" s="61" t="s">
        <v>441</v>
      </c>
      <c r="K98" s="57">
        <v>40829</v>
      </c>
      <c r="L98" s="132">
        <v>40820</v>
      </c>
      <c r="M98" s="54">
        <v>9</v>
      </c>
      <c r="N98" s="54" t="s">
        <v>2</v>
      </c>
      <c r="O98" s="135">
        <f>1.4/2</f>
        <v>0.7</v>
      </c>
      <c r="P98" s="138">
        <v>6.9</v>
      </c>
      <c r="Q98" s="135">
        <v>7.19</v>
      </c>
      <c r="R98" s="136">
        <f>10/2</f>
        <v>5</v>
      </c>
      <c r="S98" s="137">
        <f>5/2</f>
        <v>2.5</v>
      </c>
      <c r="T98" s="54">
        <v>0.04</v>
      </c>
      <c r="U98" s="135">
        <v>0.35</v>
      </c>
      <c r="V98" s="54">
        <v>0.03</v>
      </c>
      <c r="W98" s="155">
        <v>5.1999999999999998E-2</v>
      </c>
      <c r="X98" s="54">
        <v>3.5000000000000003E-2</v>
      </c>
      <c r="Y98" s="155">
        <f>0.002/2</f>
        <v>1E-3</v>
      </c>
      <c r="Z98" s="312">
        <v>0.57399999999999995</v>
      </c>
      <c r="AA98" s="312">
        <v>0.159</v>
      </c>
      <c r="AB98" s="351">
        <v>2</v>
      </c>
      <c r="AC98" s="142">
        <v>6</v>
      </c>
      <c r="AD98" s="312">
        <v>0</v>
      </c>
      <c r="AE98" s="54"/>
    </row>
    <row r="99" spans="1:31" ht="15" customHeight="1">
      <c r="A99" s="41" t="s">
        <v>183</v>
      </c>
      <c r="B99" s="386" t="s">
        <v>442</v>
      </c>
      <c r="C99" s="149" t="s">
        <v>442</v>
      </c>
      <c r="D99" s="392" t="s">
        <v>443</v>
      </c>
      <c r="E99" s="258"/>
      <c r="F99" s="386"/>
      <c r="G99" s="389" t="s">
        <v>444</v>
      </c>
      <c r="H99" s="55">
        <v>2689</v>
      </c>
      <c r="I99" s="54" t="s">
        <v>2</v>
      </c>
      <c r="J99" s="61" t="s">
        <v>445</v>
      </c>
      <c r="K99" s="57">
        <v>40857</v>
      </c>
      <c r="L99" s="132">
        <v>40845</v>
      </c>
      <c r="M99" s="54">
        <v>12</v>
      </c>
      <c r="N99" s="54" t="s">
        <v>2</v>
      </c>
      <c r="O99" s="135">
        <v>4</v>
      </c>
      <c r="P99" s="138">
        <v>7</v>
      </c>
      <c r="Q99" s="135">
        <v>10.5</v>
      </c>
      <c r="R99" s="136">
        <v>72</v>
      </c>
      <c r="S99" s="137">
        <v>181</v>
      </c>
      <c r="T99" s="54">
        <v>0.13</v>
      </c>
      <c r="U99" s="135">
        <v>1.26</v>
      </c>
      <c r="V99" s="54">
        <v>0.1</v>
      </c>
      <c r="W99" s="155">
        <v>2.5999999999999999E-2</v>
      </c>
      <c r="X99" s="54">
        <v>0.13</v>
      </c>
      <c r="Y99" s="155">
        <f>0.03/2</f>
        <v>1.4999999999999999E-2</v>
      </c>
      <c r="Z99" s="312">
        <v>1</v>
      </c>
      <c r="AA99" s="313">
        <v>1</v>
      </c>
      <c r="AB99" s="351">
        <v>16</v>
      </c>
      <c r="AC99" s="142">
        <v>54</v>
      </c>
      <c r="AD99" s="312">
        <v>1</v>
      </c>
      <c r="AE99" s="54"/>
    </row>
    <row r="100" spans="1:31" ht="15" customHeight="1">
      <c r="A100" s="41" t="s">
        <v>183</v>
      </c>
      <c r="B100" s="386" t="s">
        <v>454</v>
      </c>
      <c r="C100" s="149" t="s">
        <v>454</v>
      </c>
      <c r="D100" s="392" t="s">
        <v>303</v>
      </c>
      <c r="E100" s="258" t="s">
        <v>645</v>
      </c>
      <c r="F100" s="386">
        <v>5306</v>
      </c>
      <c r="G100" s="389" t="s">
        <v>455</v>
      </c>
      <c r="H100" s="55">
        <v>3421</v>
      </c>
      <c r="I100" s="54" t="s">
        <v>1</v>
      </c>
      <c r="J100" s="61" t="s">
        <v>130</v>
      </c>
      <c r="K100" s="57">
        <v>40835</v>
      </c>
      <c r="L100" s="156">
        <v>40829</v>
      </c>
      <c r="M100" s="142">
        <v>6</v>
      </c>
      <c r="N100" s="54" t="s">
        <v>2</v>
      </c>
      <c r="O100" s="135">
        <f>5/2</f>
        <v>2.5</v>
      </c>
      <c r="P100" s="138">
        <v>5.4</v>
      </c>
      <c r="Q100" s="135">
        <v>6.4</v>
      </c>
      <c r="R100" s="136">
        <v>18</v>
      </c>
      <c r="S100" s="137">
        <v>34</v>
      </c>
      <c r="T100" s="54">
        <f>0.1/2</f>
        <v>0.05</v>
      </c>
      <c r="U100" s="135">
        <v>1.2</v>
      </c>
      <c r="V100" s="54">
        <v>1.1000000000000001</v>
      </c>
      <c r="W100" s="155">
        <f>0.04/2</f>
        <v>0.02</v>
      </c>
      <c r="X100" s="54">
        <v>0.23</v>
      </c>
      <c r="Y100" s="155">
        <f>0.013/2</f>
        <v>6.4999999999999997E-3</v>
      </c>
      <c r="Z100" s="312">
        <v>1</v>
      </c>
      <c r="AA100" s="313">
        <v>1</v>
      </c>
      <c r="AB100" s="351">
        <v>27</v>
      </c>
      <c r="AC100" s="142">
        <v>118</v>
      </c>
      <c r="AD100" s="312">
        <v>0.8</v>
      </c>
      <c r="AE100" s="54">
        <v>100</v>
      </c>
    </row>
    <row r="101" spans="1:31" ht="15" customHeight="1">
      <c r="A101" s="41" t="s">
        <v>183</v>
      </c>
      <c r="B101" s="386" t="s">
        <v>454</v>
      </c>
      <c r="C101" s="149" t="s">
        <v>454</v>
      </c>
      <c r="D101" s="392" t="s">
        <v>303</v>
      </c>
      <c r="E101" s="258" t="s">
        <v>645</v>
      </c>
      <c r="F101" s="386">
        <v>5306</v>
      </c>
      <c r="G101" s="389" t="s">
        <v>455</v>
      </c>
      <c r="H101" s="55">
        <v>3421</v>
      </c>
      <c r="I101" s="54" t="s">
        <v>1</v>
      </c>
      <c r="J101" s="61" t="s">
        <v>456</v>
      </c>
      <c r="K101" s="57">
        <v>40835</v>
      </c>
      <c r="L101" s="156">
        <v>40829</v>
      </c>
      <c r="M101" s="142">
        <v>6</v>
      </c>
      <c r="N101" s="54" t="s">
        <v>2</v>
      </c>
      <c r="O101" s="135">
        <f>5/2</f>
        <v>2.5</v>
      </c>
      <c r="P101" s="138">
        <v>5.4</v>
      </c>
      <c r="Q101" s="135">
        <v>5.9</v>
      </c>
      <c r="R101" s="136">
        <v>130</v>
      </c>
      <c r="S101" s="137">
        <v>49</v>
      </c>
      <c r="T101" s="54">
        <f>0.1/2</f>
        <v>0.05</v>
      </c>
      <c r="U101" s="135">
        <f>1/2</f>
        <v>0.5</v>
      </c>
      <c r="V101" s="54">
        <v>0.61</v>
      </c>
      <c r="W101" s="155">
        <f>0.04/2</f>
        <v>0.02</v>
      </c>
      <c r="X101" s="54">
        <v>0.11</v>
      </c>
      <c r="Y101" s="155">
        <f>0.013/2</f>
        <v>6.4999999999999997E-3</v>
      </c>
      <c r="Z101" s="312">
        <v>1</v>
      </c>
      <c r="AA101" s="313">
        <v>1</v>
      </c>
      <c r="AB101" s="351">
        <v>7.5</v>
      </c>
      <c r="AC101" s="142">
        <v>33</v>
      </c>
      <c r="AD101" s="312">
        <v>1</v>
      </c>
      <c r="AE101" s="54">
        <v>145</v>
      </c>
    </row>
    <row r="102" spans="1:31" ht="15" customHeight="1">
      <c r="A102" s="41" t="s">
        <v>183</v>
      </c>
      <c r="B102" s="386" t="s">
        <v>461</v>
      </c>
      <c r="C102" s="149" t="s">
        <v>461</v>
      </c>
      <c r="D102" s="392" t="s">
        <v>462</v>
      </c>
      <c r="E102" s="258" t="s">
        <v>463</v>
      </c>
      <c r="F102" s="386"/>
      <c r="G102" s="389" t="s">
        <v>464</v>
      </c>
      <c r="H102" s="55">
        <v>2499</v>
      </c>
      <c r="I102" s="54" t="s">
        <v>2</v>
      </c>
      <c r="J102" s="61" t="s">
        <v>465</v>
      </c>
      <c r="K102" s="57">
        <v>40904</v>
      </c>
      <c r="L102" s="132">
        <v>40900</v>
      </c>
      <c r="M102" s="54">
        <v>4</v>
      </c>
      <c r="N102" s="54" t="s">
        <v>2</v>
      </c>
      <c r="O102" s="135">
        <f>1.6/2</f>
        <v>0.8</v>
      </c>
      <c r="P102" s="138">
        <v>6.5</v>
      </c>
      <c r="Q102" s="135">
        <v>6.23</v>
      </c>
      <c r="R102" s="136">
        <v>34</v>
      </c>
      <c r="S102" s="137">
        <v>12</v>
      </c>
      <c r="T102" s="54">
        <v>0.05</v>
      </c>
      <c r="U102" s="135">
        <v>0.38</v>
      </c>
      <c r="V102" s="54">
        <v>0.04</v>
      </c>
      <c r="W102" s="155">
        <v>4.0000000000000001E-3</v>
      </c>
      <c r="X102" s="54">
        <v>0.05</v>
      </c>
      <c r="Y102" s="155">
        <f>0.002/2</f>
        <v>1E-3</v>
      </c>
      <c r="Z102" s="312"/>
      <c r="AA102" s="312"/>
      <c r="AB102" s="351"/>
      <c r="AC102" s="142"/>
      <c r="AD102" s="312"/>
      <c r="AE102" s="54"/>
    </row>
    <row r="103" spans="1:31" ht="15" customHeight="1">
      <c r="A103" s="41" t="s">
        <v>183</v>
      </c>
      <c r="B103" s="386" t="s">
        <v>466</v>
      </c>
      <c r="C103" s="149" t="s">
        <v>466</v>
      </c>
      <c r="D103" s="392" t="s">
        <v>268</v>
      </c>
      <c r="E103" s="258" t="s">
        <v>467</v>
      </c>
      <c r="F103" s="386">
        <v>4402</v>
      </c>
      <c r="G103" s="389" t="s">
        <v>468</v>
      </c>
      <c r="H103" s="55">
        <v>3724</v>
      </c>
      <c r="I103" s="54" t="s">
        <v>2</v>
      </c>
      <c r="J103" s="61" t="s">
        <v>469</v>
      </c>
      <c r="K103" s="57">
        <v>40863</v>
      </c>
      <c r="L103" s="132">
        <v>40857</v>
      </c>
      <c r="M103" s="54">
        <v>6</v>
      </c>
      <c r="N103" s="54" t="s">
        <v>2</v>
      </c>
      <c r="O103" s="135">
        <f>5/2</f>
        <v>2.5</v>
      </c>
      <c r="P103" s="138">
        <v>5.26</v>
      </c>
      <c r="Q103" s="135">
        <v>5.84</v>
      </c>
      <c r="R103" s="136">
        <v>49</v>
      </c>
      <c r="S103" s="137">
        <v>13</v>
      </c>
      <c r="T103" s="54">
        <f>0.1/2</f>
        <v>0.05</v>
      </c>
      <c r="U103" s="135">
        <f>1/2</f>
        <v>0.5</v>
      </c>
      <c r="V103" s="54">
        <v>0.89</v>
      </c>
      <c r="W103" s="155">
        <f>0.04/2</f>
        <v>0.02</v>
      </c>
      <c r="X103" s="54">
        <v>0.28999999999999998</v>
      </c>
      <c r="Y103" s="155">
        <f>0.013/2</f>
        <v>6.4999999999999997E-3</v>
      </c>
      <c r="Z103" s="312">
        <v>1</v>
      </c>
      <c r="AA103" s="312">
        <v>0.65500000000000003</v>
      </c>
      <c r="AB103" s="351">
        <v>8</v>
      </c>
      <c r="AC103" s="142">
        <v>39</v>
      </c>
      <c r="AD103" s="312">
        <v>0.15</v>
      </c>
      <c r="AE103" s="54"/>
    </row>
    <row r="104" spans="1:31" ht="15" customHeight="1">
      <c r="A104" s="41" t="s">
        <v>183</v>
      </c>
      <c r="B104" s="386" t="s">
        <v>489</v>
      </c>
      <c r="C104" s="149" t="s">
        <v>490</v>
      </c>
      <c r="D104" s="392" t="s">
        <v>480</v>
      </c>
      <c r="E104" s="258" t="s">
        <v>44</v>
      </c>
      <c r="F104" s="386"/>
      <c r="G104" s="389" t="s">
        <v>491</v>
      </c>
      <c r="H104" s="55">
        <v>3724</v>
      </c>
      <c r="I104" s="54" t="s">
        <v>1</v>
      </c>
      <c r="J104" s="61" t="s">
        <v>445</v>
      </c>
      <c r="K104" s="57">
        <v>40876</v>
      </c>
      <c r="L104" s="132">
        <v>40870</v>
      </c>
      <c r="M104" s="54">
        <v>6</v>
      </c>
      <c r="N104" s="54" t="s">
        <v>2</v>
      </c>
      <c r="O104" s="135">
        <f>1.7/2</f>
        <v>0.85</v>
      </c>
      <c r="P104" s="138">
        <v>6.01</v>
      </c>
      <c r="Q104" s="135">
        <v>6.05</v>
      </c>
      <c r="R104" s="136">
        <f>20/2</f>
        <v>10</v>
      </c>
      <c r="S104" s="137">
        <f>1/2</f>
        <v>0.5</v>
      </c>
      <c r="T104" s="54">
        <f>0.01/2</f>
        <v>5.0000000000000001E-3</v>
      </c>
      <c r="U104" s="135">
        <f>1/2</f>
        <v>0.5</v>
      </c>
      <c r="V104" s="54">
        <f>0.46/2</f>
        <v>0.23</v>
      </c>
      <c r="W104" s="155">
        <f>0.005/2</f>
        <v>2.5000000000000001E-3</v>
      </c>
      <c r="X104" s="54">
        <f>0.01/2</f>
        <v>5.0000000000000001E-3</v>
      </c>
      <c r="Y104" s="155">
        <f>0.005/2</f>
        <v>2.5000000000000001E-3</v>
      </c>
      <c r="Z104" s="312">
        <v>1</v>
      </c>
      <c r="AA104" s="312">
        <v>1</v>
      </c>
      <c r="AB104" s="351">
        <v>6</v>
      </c>
      <c r="AC104" s="142">
        <v>30</v>
      </c>
      <c r="AD104" s="312">
        <v>1</v>
      </c>
      <c r="AE104" s="54"/>
    </row>
    <row r="105" spans="1:31" ht="15" customHeight="1">
      <c r="A105" s="41" t="s">
        <v>183</v>
      </c>
      <c r="B105" s="386" t="s">
        <v>489</v>
      </c>
      <c r="C105" s="149" t="s">
        <v>490</v>
      </c>
      <c r="D105" s="392" t="s">
        <v>480</v>
      </c>
      <c r="E105" s="258" t="s">
        <v>44</v>
      </c>
      <c r="F105" s="386"/>
      <c r="G105" s="389" t="s">
        <v>491</v>
      </c>
      <c r="H105" s="55">
        <v>3724</v>
      </c>
      <c r="I105" s="54" t="s">
        <v>1</v>
      </c>
      <c r="J105" s="61" t="s">
        <v>249</v>
      </c>
      <c r="K105" s="57">
        <v>40857</v>
      </c>
      <c r="L105" s="132">
        <v>40847</v>
      </c>
      <c r="M105" s="54">
        <v>10</v>
      </c>
      <c r="N105" s="54" t="s">
        <v>2</v>
      </c>
      <c r="O105" s="135">
        <f>2/2</f>
        <v>1</v>
      </c>
      <c r="P105" s="138">
        <v>4.8600000000000003</v>
      </c>
      <c r="Q105" s="135">
        <v>7.52</v>
      </c>
      <c r="R105" s="136">
        <f>20/2</f>
        <v>10</v>
      </c>
      <c r="S105" s="137">
        <v>4</v>
      </c>
      <c r="T105" s="54">
        <v>0.05</v>
      </c>
      <c r="U105" s="135">
        <f>1/2</f>
        <v>0.5</v>
      </c>
      <c r="V105" s="54">
        <v>0.6</v>
      </c>
      <c r="W105" s="155">
        <v>6.0000000000000001E-3</v>
      </c>
      <c r="X105" s="54">
        <v>1.7999999999999999E-2</v>
      </c>
      <c r="Y105" s="155">
        <f>0.005/2</f>
        <v>2.5000000000000001E-3</v>
      </c>
      <c r="Z105" s="312">
        <v>1</v>
      </c>
      <c r="AA105" s="312">
        <v>1</v>
      </c>
      <c r="AB105" s="351">
        <v>46</v>
      </c>
      <c r="AC105" s="142">
        <v>211</v>
      </c>
      <c r="AD105" s="312">
        <v>1</v>
      </c>
      <c r="AE105" s="54">
        <v>380</v>
      </c>
    </row>
    <row r="106" spans="1:31" ht="15" customHeight="1">
      <c r="A106" s="41" t="s">
        <v>183</v>
      </c>
      <c r="B106" s="386" t="s">
        <v>489</v>
      </c>
      <c r="C106" s="149" t="s">
        <v>490</v>
      </c>
      <c r="D106" s="392" t="s">
        <v>480</v>
      </c>
      <c r="E106" s="258" t="s">
        <v>44</v>
      </c>
      <c r="F106" s="386"/>
      <c r="G106" s="389" t="s">
        <v>491</v>
      </c>
      <c r="H106" s="55">
        <v>3724</v>
      </c>
      <c r="I106" s="54" t="s">
        <v>1</v>
      </c>
      <c r="J106" s="61" t="s">
        <v>492</v>
      </c>
      <c r="K106" s="57">
        <v>40857</v>
      </c>
      <c r="L106" s="132">
        <v>40847</v>
      </c>
      <c r="M106" s="54">
        <v>10</v>
      </c>
      <c r="N106" s="54" t="s">
        <v>2</v>
      </c>
      <c r="O106" s="135">
        <f>1.8/2</f>
        <v>0.9</v>
      </c>
      <c r="P106" s="138">
        <v>4.8600000000000003</v>
      </c>
      <c r="Q106" s="135">
        <v>6.42</v>
      </c>
      <c r="R106" s="136">
        <v>59</v>
      </c>
      <c r="S106" s="137">
        <v>30</v>
      </c>
      <c r="T106" s="54">
        <v>9.5000000000000001E-2</v>
      </c>
      <c r="U106" s="135">
        <v>1.5</v>
      </c>
      <c r="V106" s="54">
        <f>0.46/2</f>
        <v>0.23</v>
      </c>
      <c r="W106" s="155">
        <v>2.9000000000000001E-2</v>
      </c>
      <c r="X106" s="54">
        <v>0.30399999999999999</v>
      </c>
      <c r="Y106" s="155">
        <v>3.8899999999999997E-2</v>
      </c>
      <c r="Z106" s="312">
        <v>1</v>
      </c>
      <c r="AA106" s="312">
        <v>1</v>
      </c>
      <c r="AB106" s="351">
        <v>58</v>
      </c>
      <c r="AC106" s="142">
        <v>1945</v>
      </c>
      <c r="AD106" s="312">
        <v>1</v>
      </c>
      <c r="AE106" s="54">
        <v>160</v>
      </c>
    </row>
    <row r="107" spans="1:31" ht="15" customHeight="1">
      <c r="A107" s="41" t="s">
        <v>183</v>
      </c>
      <c r="B107" s="386" t="s">
        <v>489</v>
      </c>
      <c r="C107" s="149" t="s">
        <v>490</v>
      </c>
      <c r="D107" s="392" t="s">
        <v>480</v>
      </c>
      <c r="E107" s="258" t="s">
        <v>44</v>
      </c>
      <c r="F107" s="386"/>
      <c r="G107" s="389" t="s">
        <v>491</v>
      </c>
      <c r="H107" s="55">
        <v>3724</v>
      </c>
      <c r="I107" s="54" t="s">
        <v>1</v>
      </c>
      <c r="J107" s="61" t="s">
        <v>493</v>
      </c>
      <c r="K107" s="57">
        <v>40857</v>
      </c>
      <c r="L107" s="132">
        <v>40847</v>
      </c>
      <c r="M107" s="54">
        <v>10</v>
      </c>
      <c r="N107" s="54" t="s">
        <v>2</v>
      </c>
      <c r="O107" s="135">
        <f>1.6/2</f>
        <v>0.8</v>
      </c>
      <c r="P107" s="138">
        <v>4.8600000000000003</v>
      </c>
      <c r="Q107" s="135">
        <v>6.69</v>
      </c>
      <c r="R107" s="136">
        <v>66</v>
      </c>
      <c r="S107" s="137">
        <v>48</v>
      </c>
      <c r="T107" s="54">
        <v>0.17100000000000001</v>
      </c>
      <c r="U107" s="135">
        <v>1.1000000000000001</v>
      </c>
      <c r="V107" s="54">
        <f>0.46/2</f>
        <v>0.23</v>
      </c>
      <c r="W107" s="155">
        <v>1.0999999999999999E-2</v>
      </c>
      <c r="X107" s="54">
        <v>4.7E-2</v>
      </c>
      <c r="Y107" s="155">
        <f>0.005/2</f>
        <v>2.5000000000000001E-3</v>
      </c>
      <c r="Z107" s="312">
        <v>1</v>
      </c>
      <c r="AA107" s="312">
        <v>1</v>
      </c>
      <c r="AB107" s="351">
        <v>12</v>
      </c>
      <c r="AC107" s="142">
        <v>477</v>
      </c>
      <c r="AD107" s="312">
        <v>1</v>
      </c>
      <c r="AE107" s="54">
        <v>50</v>
      </c>
    </row>
    <row r="108" spans="1:31" ht="15" customHeight="1">
      <c r="A108" s="41" t="s">
        <v>183</v>
      </c>
      <c r="B108" s="386" t="s">
        <v>489</v>
      </c>
      <c r="C108" s="149" t="s">
        <v>490</v>
      </c>
      <c r="D108" s="392" t="s">
        <v>480</v>
      </c>
      <c r="E108" s="258" t="s">
        <v>44</v>
      </c>
      <c r="F108" s="386"/>
      <c r="G108" s="389" t="s">
        <v>491</v>
      </c>
      <c r="H108" s="55">
        <v>3724</v>
      </c>
      <c r="I108" s="54" t="s">
        <v>1</v>
      </c>
      <c r="J108" s="61" t="s">
        <v>494</v>
      </c>
      <c r="K108" s="57">
        <v>40857</v>
      </c>
      <c r="L108" s="132">
        <v>40847</v>
      </c>
      <c r="M108" s="54">
        <v>10</v>
      </c>
      <c r="N108" s="54" t="s">
        <v>2</v>
      </c>
      <c r="O108" s="135">
        <f>1.6/2</f>
        <v>0.8</v>
      </c>
      <c r="P108" s="138">
        <v>4.8600000000000003</v>
      </c>
      <c r="Q108" s="135">
        <v>6.58</v>
      </c>
      <c r="R108" s="136">
        <f>20/2</f>
        <v>10</v>
      </c>
      <c r="S108" s="137">
        <v>17</v>
      </c>
      <c r="T108" s="54">
        <v>7.2999999999999995E-2</v>
      </c>
      <c r="U108" s="135">
        <f>1/2</f>
        <v>0.5</v>
      </c>
      <c r="V108" s="54">
        <f>0.46/2</f>
        <v>0.23</v>
      </c>
      <c r="W108" s="155">
        <f>0.005/2</f>
        <v>2.5000000000000001E-3</v>
      </c>
      <c r="X108" s="54">
        <v>1.4E-2</v>
      </c>
      <c r="Y108" s="155">
        <f>0.005/2</f>
        <v>2.5000000000000001E-3</v>
      </c>
      <c r="Z108" s="312">
        <v>1</v>
      </c>
      <c r="AA108" s="312">
        <v>1</v>
      </c>
      <c r="AB108" s="351">
        <v>8</v>
      </c>
      <c r="AC108" s="142">
        <v>105</v>
      </c>
      <c r="AD108" s="312">
        <v>1</v>
      </c>
      <c r="AE108" s="54">
        <f>50/2</f>
        <v>25</v>
      </c>
    </row>
    <row r="109" spans="1:31" ht="15" customHeight="1">
      <c r="A109" s="41" t="s">
        <v>183</v>
      </c>
      <c r="B109" s="386" t="s">
        <v>489</v>
      </c>
      <c r="C109" s="149" t="s">
        <v>490</v>
      </c>
      <c r="D109" s="392" t="s">
        <v>480</v>
      </c>
      <c r="E109" s="258" t="s">
        <v>44</v>
      </c>
      <c r="F109" s="386"/>
      <c r="G109" s="389" t="s">
        <v>491</v>
      </c>
      <c r="H109" s="55">
        <v>3724</v>
      </c>
      <c r="I109" s="54" t="s">
        <v>1</v>
      </c>
      <c r="J109" s="61" t="s">
        <v>495</v>
      </c>
      <c r="K109" s="57">
        <v>40857</v>
      </c>
      <c r="L109" s="132">
        <v>40847</v>
      </c>
      <c r="M109" s="54">
        <v>10</v>
      </c>
      <c r="N109" s="54" t="s">
        <v>2</v>
      </c>
      <c r="O109" s="135">
        <f>1.6/2</f>
        <v>0.8</v>
      </c>
      <c r="P109" s="138">
        <v>4.8600000000000003</v>
      </c>
      <c r="Q109" s="135">
        <v>6.92</v>
      </c>
      <c r="R109" s="136">
        <f>20/2</f>
        <v>10</v>
      </c>
      <c r="S109" s="137">
        <v>1.2</v>
      </c>
      <c r="T109" s="54">
        <v>1.6E-2</v>
      </c>
      <c r="U109" s="135">
        <f>1/2</f>
        <v>0.5</v>
      </c>
      <c r="V109" s="54">
        <v>0.48</v>
      </c>
      <c r="W109" s="155">
        <f>0.005/2</f>
        <v>2.5000000000000001E-3</v>
      </c>
      <c r="X109" s="54">
        <f>0.01/2</f>
        <v>5.0000000000000001E-3</v>
      </c>
      <c r="Y109" s="155">
        <f>0.005/2</f>
        <v>2.5000000000000001E-3</v>
      </c>
      <c r="Z109" s="312">
        <v>1</v>
      </c>
      <c r="AA109" s="312">
        <v>1</v>
      </c>
      <c r="AB109" s="351">
        <v>84</v>
      </c>
      <c r="AC109" s="142">
        <v>343</v>
      </c>
      <c r="AD109" s="312">
        <v>1</v>
      </c>
      <c r="AE109" s="54">
        <v>260</v>
      </c>
    </row>
    <row r="110" spans="1:31" ht="15" customHeight="1">
      <c r="A110" s="41" t="s">
        <v>183</v>
      </c>
      <c r="B110" s="386" t="s">
        <v>489</v>
      </c>
      <c r="C110" s="149" t="s">
        <v>490</v>
      </c>
      <c r="D110" s="392" t="s">
        <v>480</v>
      </c>
      <c r="E110" s="258" t="s">
        <v>44</v>
      </c>
      <c r="F110" s="386"/>
      <c r="G110" s="389" t="s">
        <v>491</v>
      </c>
      <c r="H110" s="55">
        <v>3724</v>
      </c>
      <c r="I110" s="54" t="s">
        <v>1</v>
      </c>
      <c r="J110" s="61" t="s">
        <v>496</v>
      </c>
      <c r="K110" s="57">
        <v>40857</v>
      </c>
      <c r="L110" s="132">
        <v>40847</v>
      </c>
      <c r="M110" s="54">
        <v>10</v>
      </c>
      <c r="N110" s="54" t="s">
        <v>2</v>
      </c>
      <c r="O110" s="135">
        <f>1.7/2</f>
        <v>0.85</v>
      </c>
      <c r="P110" s="138">
        <v>4.8600000000000003</v>
      </c>
      <c r="Q110" s="135">
        <v>6.45</v>
      </c>
      <c r="R110" s="136">
        <v>23</v>
      </c>
      <c r="S110" s="137">
        <v>6</v>
      </c>
      <c r="T110" s="54">
        <v>2.1999999999999999E-2</v>
      </c>
      <c r="U110" s="135">
        <f>1/2</f>
        <v>0.5</v>
      </c>
      <c r="V110" s="54">
        <f>0.46/2</f>
        <v>0.23</v>
      </c>
      <c r="W110" s="155">
        <f>0.005/2</f>
        <v>2.5000000000000001E-3</v>
      </c>
      <c r="X110" s="54">
        <v>5.0999999999999997E-2</v>
      </c>
      <c r="Y110" s="155">
        <f>0.005/2</f>
        <v>2.5000000000000001E-3</v>
      </c>
      <c r="Z110" s="312">
        <v>1</v>
      </c>
      <c r="AA110" s="312">
        <v>1</v>
      </c>
      <c r="AB110" s="351">
        <v>14</v>
      </c>
      <c r="AC110" s="142">
        <v>373</v>
      </c>
      <c r="AD110" s="312">
        <v>1</v>
      </c>
      <c r="AE110" s="54">
        <v>500</v>
      </c>
    </row>
    <row r="111" spans="1:31" ht="15" customHeight="1">
      <c r="A111" s="41" t="s">
        <v>183</v>
      </c>
      <c r="B111" s="386" t="s">
        <v>489</v>
      </c>
      <c r="C111" s="149" t="s">
        <v>490</v>
      </c>
      <c r="D111" s="392" t="s">
        <v>480</v>
      </c>
      <c r="E111" s="258" t="s">
        <v>44</v>
      </c>
      <c r="F111" s="386"/>
      <c r="G111" s="389" t="s">
        <v>491</v>
      </c>
      <c r="H111" s="55">
        <v>3724</v>
      </c>
      <c r="I111" s="54" t="s">
        <v>1</v>
      </c>
      <c r="J111" s="61" t="s">
        <v>497</v>
      </c>
      <c r="K111" s="57">
        <v>40857</v>
      </c>
      <c r="L111" s="132">
        <v>40847</v>
      </c>
      <c r="M111" s="54">
        <v>10</v>
      </c>
      <c r="N111" s="54" t="s">
        <v>2</v>
      </c>
      <c r="O111" s="135">
        <f>1.6/2</f>
        <v>0.8</v>
      </c>
      <c r="P111" s="138">
        <v>4.8600000000000003</v>
      </c>
      <c r="Q111" s="135">
        <v>5.87</v>
      </c>
      <c r="R111" s="136">
        <v>71</v>
      </c>
      <c r="S111" s="137">
        <v>51</v>
      </c>
      <c r="T111" s="54">
        <v>0.26300000000000001</v>
      </c>
      <c r="U111" s="135">
        <v>1</v>
      </c>
      <c r="V111" s="54">
        <f>0.46/2</f>
        <v>0.23</v>
      </c>
      <c r="W111" s="155">
        <v>8.9999999999999993E-3</v>
      </c>
      <c r="X111" s="54">
        <v>0.13600000000000001</v>
      </c>
      <c r="Y111" s="155">
        <v>5.1999999999999998E-3</v>
      </c>
      <c r="Z111" s="312">
        <v>1</v>
      </c>
      <c r="AA111" s="312">
        <v>1</v>
      </c>
      <c r="AB111" s="351">
        <v>18</v>
      </c>
      <c r="AC111" s="142">
        <v>1112</v>
      </c>
      <c r="AD111" s="312">
        <v>1</v>
      </c>
      <c r="AE111" s="54">
        <v>43000</v>
      </c>
    </row>
    <row r="112" spans="1:31" ht="15" customHeight="1">
      <c r="A112" s="41" t="s">
        <v>183</v>
      </c>
      <c r="B112" s="386" t="s">
        <v>498</v>
      </c>
      <c r="C112" s="149" t="s">
        <v>498</v>
      </c>
      <c r="D112" s="392" t="s">
        <v>499</v>
      </c>
      <c r="E112" s="258" t="s">
        <v>49</v>
      </c>
      <c r="F112" s="386"/>
      <c r="G112" s="389" t="s">
        <v>500</v>
      </c>
      <c r="H112" s="55">
        <v>2262</v>
      </c>
      <c r="I112" s="54"/>
      <c r="J112" s="61" t="s">
        <v>501</v>
      </c>
      <c r="K112" s="57">
        <v>40898</v>
      </c>
      <c r="L112" s="132">
        <v>40885</v>
      </c>
      <c r="M112" s="54">
        <v>13</v>
      </c>
      <c r="N112" s="54" t="s">
        <v>2</v>
      </c>
      <c r="O112" s="135">
        <v>1</v>
      </c>
      <c r="P112" s="138"/>
      <c r="Q112" s="135">
        <v>5.6</v>
      </c>
      <c r="R112" s="136">
        <v>14.3</v>
      </c>
      <c r="S112" s="137">
        <v>2</v>
      </c>
      <c r="T112" s="54">
        <f>0.05/2</f>
        <v>2.5000000000000001E-2</v>
      </c>
      <c r="U112" s="135">
        <v>0.92</v>
      </c>
      <c r="V112" s="54">
        <v>0.89</v>
      </c>
      <c r="W112" s="155">
        <f>0.01/2</f>
        <v>5.0000000000000001E-3</v>
      </c>
      <c r="X112" s="54">
        <v>0.45</v>
      </c>
      <c r="Y112" s="155">
        <f>0.02/2</f>
        <v>0.01</v>
      </c>
      <c r="Z112" s="312"/>
      <c r="AA112" s="312"/>
      <c r="AB112" s="351"/>
      <c r="AC112" s="142"/>
      <c r="AD112" s="312"/>
      <c r="AE112" s="54"/>
    </row>
    <row r="113" spans="1:31" ht="15" customHeight="1">
      <c r="A113" s="41" t="s">
        <v>183</v>
      </c>
      <c r="B113" s="386" t="s">
        <v>498</v>
      </c>
      <c r="C113" s="149" t="s">
        <v>498</v>
      </c>
      <c r="D113" s="392" t="s">
        <v>499</v>
      </c>
      <c r="E113" s="258" t="s">
        <v>49</v>
      </c>
      <c r="F113" s="386"/>
      <c r="G113" s="389" t="s">
        <v>500</v>
      </c>
      <c r="H113" s="55">
        <v>2262</v>
      </c>
      <c r="I113" s="54"/>
      <c r="J113" s="61" t="s">
        <v>502</v>
      </c>
      <c r="K113" s="57">
        <v>40898</v>
      </c>
      <c r="L113" s="132">
        <v>40885</v>
      </c>
      <c r="M113" s="54">
        <v>13</v>
      </c>
      <c r="N113" s="54" t="s">
        <v>2</v>
      </c>
      <c r="O113" s="135">
        <v>2</v>
      </c>
      <c r="P113" s="138"/>
      <c r="Q113" s="135">
        <v>5.05</v>
      </c>
      <c r="R113" s="136">
        <v>29.5</v>
      </c>
      <c r="S113" s="137">
        <v>16</v>
      </c>
      <c r="T113" s="54">
        <v>0.08</v>
      </c>
      <c r="U113" s="135">
        <v>1.91</v>
      </c>
      <c r="V113" s="54">
        <v>0.78</v>
      </c>
      <c r="W113" s="155">
        <v>0.03</v>
      </c>
      <c r="X113" s="54">
        <v>0.17</v>
      </c>
      <c r="Y113" s="155">
        <f>0.02/2</f>
        <v>0.01</v>
      </c>
      <c r="Z113" s="312"/>
      <c r="AA113" s="312"/>
      <c r="AB113" s="351"/>
      <c r="AC113" s="142"/>
      <c r="AD113" s="312"/>
      <c r="AE113" s="54"/>
    </row>
    <row r="114" spans="1:31" ht="15" customHeight="1">
      <c r="A114" s="41" t="s">
        <v>183</v>
      </c>
      <c r="B114" s="386" t="s">
        <v>498</v>
      </c>
      <c r="C114" s="149" t="s">
        <v>498</v>
      </c>
      <c r="D114" s="392" t="s">
        <v>499</v>
      </c>
      <c r="E114" s="258" t="s">
        <v>49</v>
      </c>
      <c r="F114" s="386"/>
      <c r="G114" s="389" t="s">
        <v>500</v>
      </c>
      <c r="H114" s="55">
        <v>2262</v>
      </c>
      <c r="I114" s="54"/>
      <c r="J114" s="61" t="s">
        <v>503</v>
      </c>
      <c r="K114" s="57">
        <v>40898</v>
      </c>
      <c r="L114" s="132">
        <v>40885</v>
      </c>
      <c r="M114" s="54">
        <v>13</v>
      </c>
      <c r="N114" s="54" t="s">
        <v>2</v>
      </c>
      <c r="O114" s="135">
        <v>5.7</v>
      </c>
      <c r="P114" s="138"/>
      <c r="Q114" s="135">
        <v>6.55</v>
      </c>
      <c r="R114" s="136">
        <v>477.8</v>
      </c>
      <c r="S114" s="137">
        <v>33</v>
      </c>
      <c r="T114" s="54">
        <v>0.27</v>
      </c>
      <c r="U114" s="135">
        <v>3.03</v>
      </c>
      <c r="V114" s="54">
        <f>0.2/2</f>
        <v>0.1</v>
      </c>
      <c r="W114" s="155">
        <v>0.02</v>
      </c>
      <c r="X114" s="54">
        <v>0.12</v>
      </c>
      <c r="Y114" s="155">
        <f>0.02/2</f>
        <v>0.01</v>
      </c>
      <c r="Z114" s="312"/>
      <c r="AA114" s="312"/>
      <c r="AB114" s="351"/>
      <c r="AC114" s="142"/>
      <c r="AD114" s="312"/>
      <c r="AE114" s="54"/>
    </row>
    <row r="115" spans="1:31" ht="15" customHeight="1">
      <c r="A115" s="41" t="s">
        <v>183</v>
      </c>
      <c r="B115" s="386" t="s">
        <v>498</v>
      </c>
      <c r="C115" s="149" t="s">
        <v>498</v>
      </c>
      <c r="D115" s="392" t="s">
        <v>499</v>
      </c>
      <c r="E115" s="258" t="s">
        <v>49</v>
      </c>
      <c r="F115" s="386"/>
      <c r="G115" s="389" t="s">
        <v>500</v>
      </c>
      <c r="H115" s="55">
        <v>2262</v>
      </c>
      <c r="I115" s="54"/>
      <c r="J115" s="61" t="s">
        <v>504</v>
      </c>
      <c r="K115" s="57">
        <v>40898</v>
      </c>
      <c r="L115" s="132">
        <v>40885</v>
      </c>
      <c r="M115" s="54">
        <v>13</v>
      </c>
      <c r="N115" s="54" t="s">
        <v>2</v>
      </c>
      <c r="O115" s="135">
        <v>2.7</v>
      </c>
      <c r="P115" s="138"/>
      <c r="Q115" s="135">
        <v>4.0199999999999996</v>
      </c>
      <c r="R115" s="136">
        <v>127.5</v>
      </c>
      <c r="S115" s="137">
        <v>4</v>
      </c>
      <c r="T115" s="54">
        <v>0.1</v>
      </c>
      <c r="U115" s="135">
        <v>1.41</v>
      </c>
      <c r="V115" s="54">
        <v>0.53</v>
      </c>
      <c r="W115" s="155">
        <f>0.01/2</f>
        <v>5.0000000000000001E-3</v>
      </c>
      <c r="X115" s="54">
        <v>4.91</v>
      </c>
      <c r="Y115" s="155">
        <v>0.02</v>
      </c>
      <c r="Z115" s="312"/>
      <c r="AA115" s="312"/>
      <c r="AB115" s="351"/>
      <c r="AC115" s="142"/>
      <c r="AD115" s="312"/>
      <c r="AE115" s="54"/>
    </row>
    <row r="116" spans="1:31" ht="15" customHeight="1">
      <c r="A116" s="41" t="s">
        <v>183</v>
      </c>
      <c r="B116" s="386" t="s">
        <v>498</v>
      </c>
      <c r="C116" s="149" t="s">
        <v>498</v>
      </c>
      <c r="D116" s="392" t="s">
        <v>499</v>
      </c>
      <c r="E116" s="258" t="s">
        <v>49</v>
      </c>
      <c r="F116" s="386"/>
      <c r="G116" s="389" t="s">
        <v>500</v>
      </c>
      <c r="H116" s="55">
        <v>2262</v>
      </c>
      <c r="I116" s="54"/>
      <c r="J116" s="61" t="s">
        <v>505</v>
      </c>
      <c r="K116" s="57">
        <v>40898</v>
      </c>
      <c r="L116" s="132">
        <v>40885</v>
      </c>
      <c r="M116" s="54">
        <v>13</v>
      </c>
      <c r="N116" s="54" t="s">
        <v>2</v>
      </c>
      <c r="O116" s="135">
        <v>1.3</v>
      </c>
      <c r="P116" s="138"/>
      <c r="Q116" s="135">
        <v>5.46</v>
      </c>
      <c r="R116" s="136">
        <v>12.1</v>
      </c>
      <c r="S116" s="137">
        <f>1/2</f>
        <v>0.5</v>
      </c>
      <c r="T116" s="54">
        <f>0.05/2</f>
        <v>2.5000000000000001E-2</v>
      </c>
      <c r="U116" s="135">
        <v>1.0900000000000001</v>
      </c>
      <c r="V116" s="54">
        <v>0.88</v>
      </c>
      <c r="W116" s="155">
        <f>0.01/2</f>
        <v>5.0000000000000001E-3</v>
      </c>
      <c r="X116" s="54">
        <v>0.49</v>
      </c>
      <c r="Y116" s="155">
        <f>0.02/2</f>
        <v>0.01</v>
      </c>
      <c r="Z116" s="312"/>
      <c r="AA116" s="312"/>
      <c r="AB116" s="351"/>
      <c r="AC116" s="142"/>
      <c r="AD116" s="312"/>
      <c r="AE116" s="54"/>
    </row>
    <row r="117" spans="1:31" ht="15" customHeight="1">
      <c r="A117" s="41" t="s">
        <v>183</v>
      </c>
      <c r="B117" s="386" t="s">
        <v>506</v>
      </c>
      <c r="C117" s="149" t="s">
        <v>506</v>
      </c>
      <c r="D117" s="392" t="s">
        <v>507</v>
      </c>
      <c r="E117" s="258" t="s">
        <v>508</v>
      </c>
      <c r="F117" s="386"/>
      <c r="G117" s="389" t="s">
        <v>509</v>
      </c>
      <c r="H117" s="55">
        <v>4215</v>
      </c>
      <c r="I117" s="54" t="s">
        <v>2</v>
      </c>
      <c r="J117" s="61" t="s">
        <v>510</v>
      </c>
      <c r="K117" s="57">
        <v>40857</v>
      </c>
      <c r="L117" s="132">
        <v>40848</v>
      </c>
      <c r="M117" s="54">
        <v>9</v>
      </c>
      <c r="N117" s="54" t="s">
        <v>2</v>
      </c>
      <c r="O117" s="135">
        <f>1.4/2</f>
        <v>0.7</v>
      </c>
      <c r="P117" s="134">
        <v>6.5</v>
      </c>
      <c r="Q117" s="135">
        <v>6.75</v>
      </c>
      <c r="R117" s="136">
        <v>14</v>
      </c>
      <c r="S117" s="137">
        <f>5/2</f>
        <v>2.5</v>
      </c>
      <c r="T117" s="54">
        <f>0.01/2</f>
        <v>5.0000000000000001E-3</v>
      </c>
      <c r="U117" s="135">
        <v>0.11</v>
      </c>
      <c r="V117" s="54">
        <f>0.01/2</f>
        <v>5.0000000000000001E-3</v>
      </c>
      <c r="W117" s="155">
        <f>0.001/2</f>
        <v>5.0000000000000001E-4</v>
      </c>
      <c r="X117" s="54">
        <v>5.5E-2</v>
      </c>
      <c r="Y117" s="155">
        <f>0.002/2</f>
        <v>1E-3</v>
      </c>
      <c r="Z117" s="312">
        <v>1</v>
      </c>
      <c r="AA117" s="312">
        <v>1</v>
      </c>
      <c r="AB117" s="351">
        <v>42</v>
      </c>
      <c r="AC117" s="142">
        <v>343</v>
      </c>
      <c r="AD117" s="312">
        <v>1</v>
      </c>
      <c r="AE117" s="54"/>
    </row>
    <row r="118" spans="1:31" ht="15" customHeight="1">
      <c r="A118" s="41" t="s">
        <v>183</v>
      </c>
      <c r="B118" s="386" t="s">
        <v>511</v>
      </c>
      <c r="C118" s="149" t="s">
        <v>511</v>
      </c>
      <c r="D118" s="392" t="s">
        <v>156</v>
      </c>
      <c r="E118" s="258" t="s">
        <v>512</v>
      </c>
      <c r="F118" s="386"/>
      <c r="G118" s="389" t="s">
        <v>513</v>
      </c>
      <c r="H118" s="55">
        <v>3398</v>
      </c>
      <c r="I118" s="54" t="s">
        <v>2</v>
      </c>
      <c r="J118" s="61" t="s">
        <v>514</v>
      </c>
      <c r="K118" s="57">
        <v>40835</v>
      </c>
      <c r="L118" s="132">
        <v>40830</v>
      </c>
      <c r="M118" s="54">
        <v>5</v>
      </c>
      <c r="N118" s="54" t="s">
        <v>2</v>
      </c>
      <c r="O118" s="135">
        <f>5/2</f>
        <v>2.5</v>
      </c>
      <c r="P118" s="134">
        <v>6.22</v>
      </c>
      <c r="Q118" s="135">
        <v>6.38</v>
      </c>
      <c r="R118" s="136">
        <v>40</v>
      </c>
      <c r="S118" s="137">
        <v>120</v>
      </c>
      <c r="T118" s="54">
        <v>0.92</v>
      </c>
      <c r="U118" s="135">
        <f>1/2</f>
        <v>0.5</v>
      </c>
      <c r="V118" s="54">
        <v>0.15</v>
      </c>
      <c r="W118" s="155">
        <f>0.04/2</f>
        <v>0.02</v>
      </c>
      <c r="X118" s="54">
        <v>0.25</v>
      </c>
      <c r="Y118" s="155">
        <f>0.013/2</f>
        <v>6.4999999999999997E-3</v>
      </c>
      <c r="Z118" s="312">
        <v>1</v>
      </c>
      <c r="AA118" s="312">
        <v>1</v>
      </c>
      <c r="AB118" s="351">
        <v>10</v>
      </c>
      <c r="AC118" s="142">
        <v>36</v>
      </c>
      <c r="AD118" s="312">
        <v>1</v>
      </c>
      <c r="AE118" s="54"/>
    </row>
    <row r="119" spans="1:31" ht="15" customHeight="1">
      <c r="A119" s="41" t="s">
        <v>183</v>
      </c>
      <c r="B119" s="386" t="s">
        <v>515</v>
      </c>
      <c r="C119" s="149" t="s">
        <v>515</v>
      </c>
      <c r="D119" s="392" t="s">
        <v>516</v>
      </c>
      <c r="E119" s="258" t="s">
        <v>517</v>
      </c>
      <c r="F119" s="386"/>
      <c r="G119" s="389" t="s">
        <v>518</v>
      </c>
      <c r="H119" s="55">
        <v>3357</v>
      </c>
      <c r="I119" s="54"/>
      <c r="J119" s="61" t="s">
        <v>81</v>
      </c>
      <c r="K119" s="57">
        <v>40863</v>
      </c>
      <c r="L119" s="132">
        <v>40857</v>
      </c>
      <c r="M119" s="54">
        <v>6</v>
      </c>
      <c r="N119" s="54" t="s">
        <v>2</v>
      </c>
      <c r="O119" s="135">
        <f>1.4/2</f>
        <v>0.7</v>
      </c>
      <c r="P119" s="134">
        <v>4.9000000000000004</v>
      </c>
      <c r="Q119" s="135">
        <v>7.43</v>
      </c>
      <c r="R119" s="136">
        <v>21</v>
      </c>
      <c r="S119" s="137">
        <v>15</v>
      </c>
      <c r="T119" s="54">
        <v>0.06</v>
      </c>
      <c r="U119" s="135">
        <v>1.2</v>
      </c>
      <c r="V119" s="54">
        <v>0.27</v>
      </c>
      <c r="W119" s="155">
        <v>1.2E-2</v>
      </c>
      <c r="X119" s="54">
        <v>0.10299999999999999</v>
      </c>
      <c r="Y119" s="155">
        <v>4.0000000000000001E-3</v>
      </c>
      <c r="Z119" s="312">
        <v>1</v>
      </c>
      <c r="AA119" s="312">
        <v>0.70699999999999996</v>
      </c>
      <c r="AB119" s="351">
        <v>4</v>
      </c>
      <c r="AC119" s="142">
        <v>19</v>
      </c>
      <c r="AD119" s="312">
        <v>0</v>
      </c>
      <c r="AE119" s="54">
        <v>2100</v>
      </c>
    </row>
    <row r="120" spans="1:31" ht="15" customHeight="1">
      <c r="A120" s="41" t="s">
        <v>183</v>
      </c>
      <c r="B120" s="386" t="s">
        <v>523</v>
      </c>
      <c r="C120" s="149" t="s">
        <v>523</v>
      </c>
      <c r="D120" s="392" t="s">
        <v>350</v>
      </c>
      <c r="E120" s="258" t="s">
        <v>986</v>
      </c>
      <c r="F120" s="386"/>
      <c r="G120" s="389" t="s">
        <v>524</v>
      </c>
      <c r="H120" s="55">
        <v>8734</v>
      </c>
      <c r="I120" s="54" t="s">
        <v>2</v>
      </c>
      <c r="J120" s="61" t="s">
        <v>249</v>
      </c>
      <c r="K120" s="57">
        <v>40863</v>
      </c>
      <c r="L120" s="132">
        <v>40857</v>
      </c>
      <c r="M120" s="54">
        <v>6</v>
      </c>
      <c r="N120" s="54" t="s">
        <v>2</v>
      </c>
      <c r="O120" s="135">
        <f>5/2</f>
        <v>2.5</v>
      </c>
      <c r="P120" s="134">
        <v>5.97</v>
      </c>
      <c r="Q120" s="135">
        <v>6.58</v>
      </c>
      <c r="R120" s="136">
        <v>69</v>
      </c>
      <c r="S120" s="137">
        <v>34</v>
      </c>
      <c r="T120" s="54">
        <f>0.1/2</f>
        <v>0.05</v>
      </c>
      <c r="U120" s="135">
        <v>3.6</v>
      </c>
      <c r="V120" s="54">
        <v>0.79</v>
      </c>
      <c r="W120" s="155">
        <f>0.04/2</f>
        <v>0.02</v>
      </c>
      <c r="X120" s="54">
        <v>0.36</v>
      </c>
      <c r="Y120" s="155">
        <v>1.2999999999999999E-2</v>
      </c>
      <c r="Z120" s="312">
        <v>1</v>
      </c>
      <c r="AA120" s="312">
        <v>1</v>
      </c>
      <c r="AB120" s="351">
        <v>38</v>
      </c>
      <c r="AC120" s="142">
        <v>46</v>
      </c>
      <c r="AD120" s="312">
        <v>0.7</v>
      </c>
      <c r="AE120" s="54"/>
    </row>
    <row r="121" spans="1:31" ht="15" customHeight="1">
      <c r="A121" s="41" t="s">
        <v>183</v>
      </c>
      <c r="B121" s="386" t="s">
        <v>525</v>
      </c>
      <c r="C121" s="149" t="s">
        <v>525</v>
      </c>
      <c r="D121" s="392" t="s">
        <v>89</v>
      </c>
      <c r="E121" s="258" t="s">
        <v>1005</v>
      </c>
      <c r="F121" s="386" t="s">
        <v>1006</v>
      </c>
      <c r="G121" s="389" t="s">
        <v>526</v>
      </c>
      <c r="H121" s="55">
        <v>5983</v>
      </c>
      <c r="I121" s="54" t="s">
        <v>1</v>
      </c>
      <c r="J121" s="61" t="s">
        <v>1007</v>
      </c>
      <c r="K121" s="57">
        <v>40835</v>
      </c>
      <c r="L121" s="132">
        <v>40830</v>
      </c>
      <c r="M121" s="54">
        <v>5</v>
      </c>
      <c r="N121" s="54" t="s">
        <v>2</v>
      </c>
      <c r="O121" s="135">
        <f>5/2</f>
        <v>2.5</v>
      </c>
      <c r="P121" s="134">
        <v>6.04</v>
      </c>
      <c r="Q121" s="135">
        <v>8.2799999999999994</v>
      </c>
      <c r="R121" s="136">
        <v>81</v>
      </c>
      <c r="S121" s="137">
        <v>340</v>
      </c>
      <c r="T121" s="54">
        <v>0.5</v>
      </c>
      <c r="U121" s="135">
        <f>1/2</f>
        <v>0.5</v>
      </c>
      <c r="V121" s="54">
        <v>0.35</v>
      </c>
      <c r="W121" s="155">
        <v>9.6000000000000002E-2</v>
      </c>
      <c r="X121" s="54">
        <v>0.34</v>
      </c>
      <c r="Y121" s="155">
        <v>0.18</v>
      </c>
      <c r="Z121" s="312">
        <v>1</v>
      </c>
      <c r="AA121" s="312">
        <v>1</v>
      </c>
      <c r="AB121" s="351">
        <v>150</v>
      </c>
      <c r="AC121" s="142">
        <v>270</v>
      </c>
      <c r="AD121" s="312">
        <v>1</v>
      </c>
      <c r="AE121" s="54"/>
    </row>
    <row r="122" spans="1:31" ht="15" customHeight="1">
      <c r="A122" s="41" t="s">
        <v>183</v>
      </c>
      <c r="B122" s="386" t="s">
        <v>529</v>
      </c>
      <c r="C122" s="149" t="s">
        <v>529</v>
      </c>
      <c r="D122" s="392" t="s">
        <v>350</v>
      </c>
      <c r="E122" s="258" t="s">
        <v>530</v>
      </c>
      <c r="F122" s="386"/>
      <c r="G122" s="389" t="s">
        <v>531</v>
      </c>
      <c r="H122" s="55">
        <v>4222</v>
      </c>
      <c r="I122" s="54" t="s">
        <v>2</v>
      </c>
      <c r="J122" s="61" t="s">
        <v>194</v>
      </c>
      <c r="K122" s="57">
        <v>40857</v>
      </c>
      <c r="L122" s="132">
        <v>40846</v>
      </c>
      <c r="M122" s="54">
        <v>11</v>
      </c>
      <c r="N122" s="54" t="s">
        <v>2</v>
      </c>
      <c r="O122" s="135">
        <f>1.6/2</f>
        <v>0.8</v>
      </c>
      <c r="P122" s="134">
        <v>6.5</v>
      </c>
      <c r="Q122" s="135">
        <v>7.57</v>
      </c>
      <c r="R122" s="136">
        <v>23</v>
      </c>
      <c r="S122" s="137">
        <v>21</v>
      </c>
      <c r="T122" s="54">
        <v>0.1</v>
      </c>
      <c r="U122" s="135">
        <v>0.79</v>
      </c>
      <c r="V122" s="54">
        <v>4.3</v>
      </c>
      <c r="W122" s="155">
        <v>4.0000000000000001E-3</v>
      </c>
      <c r="X122" s="54">
        <v>1.7000000000000001E-2</v>
      </c>
      <c r="Y122" s="155">
        <v>2E-3</v>
      </c>
      <c r="Z122" s="312">
        <v>1</v>
      </c>
      <c r="AA122" s="312">
        <v>1</v>
      </c>
      <c r="AB122" s="351">
        <v>82</v>
      </c>
      <c r="AC122" s="142">
        <v>266</v>
      </c>
      <c r="AD122" s="312">
        <v>1</v>
      </c>
      <c r="AE122" s="54"/>
    </row>
    <row r="123" spans="1:31" ht="15" customHeight="1">
      <c r="A123" s="41" t="s">
        <v>183</v>
      </c>
      <c r="B123" s="386" t="s">
        <v>537</v>
      </c>
      <c r="C123" s="149" t="s">
        <v>538</v>
      </c>
      <c r="D123" s="392" t="s">
        <v>89</v>
      </c>
      <c r="E123" s="258" t="s">
        <v>116</v>
      </c>
      <c r="F123" s="386"/>
      <c r="G123" s="389" t="s">
        <v>539</v>
      </c>
      <c r="H123" s="55">
        <v>3451</v>
      </c>
      <c r="I123" s="54" t="s">
        <v>1</v>
      </c>
      <c r="J123" s="61" t="s">
        <v>249</v>
      </c>
      <c r="K123" s="57">
        <v>40843</v>
      </c>
      <c r="L123" s="132">
        <v>40835</v>
      </c>
      <c r="M123" s="54">
        <v>8</v>
      </c>
      <c r="N123" s="54" t="s">
        <v>2</v>
      </c>
      <c r="O123" s="135">
        <f>1/2</f>
        <v>0.5</v>
      </c>
      <c r="P123" s="134">
        <v>5.9</v>
      </c>
      <c r="Q123" s="135">
        <v>6.9</v>
      </c>
      <c r="R123" s="54">
        <v>28.9</v>
      </c>
      <c r="S123" s="155">
        <v>90</v>
      </c>
      <c r="T123" s="54">
        <f>0.05/2</f>
        <v>2.5000000000000001E-2</v>
      </c>
      <c r="U123" s="135">
        <v>1.24</v>
      </c>
      <c r="V123" s="54">
        <v>0.81</v>
      </c>
      <c r="W123" s="155">
        <v>4.1000000000000002E-2</v>
      </c>
      <c r="X123" s="54">
        <v>5.8000000000000003E-2</v>
      </c>
      <c r="Y123" s="155">
        <v>1.4E-2</v>
      </c>
      <c r="Z123" s="312">
        <v>1</v>
      </c>
      <c r="AA123" s="312">
        <v>1</v>
      </c>
      <c r="AB123" s="351">
        <v>145.80000000000001</v>
      </c>
      <c r="AC123" s="142">
        <v>343</v>
      </c>
      <c r="AD123" s="312">
        <v>1</v>
      </c>
      <c r="AE123" s="54">
        <v>110</v>
      </c>
    </row>
    <row r="124" spans="1:31" ht="15" customHeight="1">
      <c r="A124" s="41" t="s">
        <v>183</v>
      </c>
      <c r="B124" s="386" t="s">
        <v>540</v>
      </c>
      <c r="C124" s="149" t="s">
        <v>540</v>
      </c>
      <c r="D124" s="392" t="s">
        <v>111</v>
      </c>
      <c r="E124" s="258" t="s">
        <v>112</v>
      </c>
      <c r="F124" s="64" t="s">
        <v>987</v>
      </c>
      <c r="G124" s="389" t="s">
        <v>541</v>
      </c>
      <c r="H124" s="55">
        <v>2821</v>
      </c>
      <c r="I124" s="54" t="s">
        <v>2</v>
      </c>
      <c r="J124" s="61" t="s">
        <v>96</v>
      </c>
      <c r="K124" s="57">
        <v>40835</v>
      </c>
      <c r="L124" s="132">
        <v>40830</v>
      </c>
      <c r="M124" s="54">
        <v>5</v>
      </c>
      <c r="N124" s="54" t="s">
        <v>2</v>
      </c>
      <c r="O124" s="135">
        <v>4.0999999999999996</v>
      </c>
      <c r="P124" s="134">
        <v>7.4</v>
      </c>
      <c r="Q124" s="135">
        <v>6.9</v>
      </c>
      <c r="R124" s="54">
        <v>7</v>
      </c>
      <c r="S124" s="155">
        <f>1/2</f>
        <v>0.5</v>
      </c>
      <c r="T124" s="54">
        <f>0.05/2</f>
        <v>2.5000000000000001E-2</v>
      </c>
      <c r="U124" s="135">
        <v>2.4</v>
      </c>
      <c r="V124" s="54">
        <v>0.88</v>
      </c>
      <c r="W124" s="155">
        <f>0.002/2</f>
        <v>1E-3</v>
      </c>
      <c r="X124" s="54">
        <v>0.02</v>
      </c>
      <c r="Y124" s="155">
        <f>0.005/2</f>
        <v>2.5000000000000001E-3</v>
      </c>
      <c r="Z124" s="312">
        <v>1</v>
      </c>
      <c r="AA124" s="312">
        <v>1</v>
      </c>
      <c r="AB124" s="351">
        <v>110</v>
      </c>
      <c r="AC124" s="142">
        <v>357</v>
      </c>
      <c r="AD124" s="312">
        <v>1</v>
      </c>
      <c r="AE124" s="54"/>
    </row>
    <row r="125" spans="1:31" ht="15" customHeight="1">
      <c r="A125" s="41" t="s">
        <v>183</v>
      </c>
      <c r="B125" s="386" t="s">
        <v>542</v>
      </c>
      <c r="C125" s="149" t="s">
        <v>542</v>
      </c>
      <c r="D125" s="392" t="s">
        <v>41</v>
      </c>
      <c r="E125" s="258" t="s">
        <v>42</v>
      </c>
      <c r="F125" s="64" t="s">
        <v>981</v>
      </c>
      <c r="G125" s="389" t="s">
        <v>544</v>
      </c>
      <c r="H125" s="55">
        <v>3724</v>
      </c>
      <c r="I125" s="54" t="s">
        <v>2</v>
      </c>
      <c r="J125" s="61" t="s">
        <v>543</v>
      </c>
      <c r="K125" s="57">
        <v>40863</v>
      </c>
      <c r="L125" s="132">
        <v>40858</v>
      </c>
      <c r="M125" s="54">
        <v>5</v>
      </c>
      <c r="N125" s="54" t="s">
        <v>2</v>
      </c>
      <c r="O125" s="135">
        <f>1.41/2</f>
        <v>0.70499999999999996</v>
      </c>
      <c r="P125" s="134">
        <v>7.2</v>
      </c>
      <c r="Q125" s="135">
        <v>6.25</v>
      </c>
      <c r="R125" s="54">
        <v>43</v>
      </c>
      <c r="S125" s="155">
        <v>9.5</v>
      </c>
      <c r="T125" s="54">
        <v>0.18</v>
      </c>
      <c r="U125" s="135">
        <v>0.33</v>
      </c>
      <c r="V125" s="54">
        <v>0.04</v>
      </c>
      <c r="W125" s="155">
        <v>5.0000000000000001E-3</v>
      </c>
      <c r="X125" s="54">
        <v>2.8000000000000001E-2</v>
      </c>
      <c r="Y125" s="155">
        <f>0.002/2</f>
        <v>1E-3</v>
      </c>
      <c r="Z125" s="312">
        <v>1</v>
      </c>
      <c r="AA125" s="312">
        <v>1</v>
      </c>
      <c r="AB125" s="258">
        <v>2</v>
      </c>
      <c r="AC125" s="54">
        <v>9</v>
      </c>
      <c r="AD125" s="312">
        <v>1</v>
      </c>
      <c r="AE125" s="54"/>
    </row>
    <row r="126" spans="1:31" ht="15" customHeight="1">
      <c r="A126" s="41" t="s">
        <v>183</v>
      </c>
      <c r="B126" s="386" t="s">
        <v>542</v>
      </c>
      <c r="C126" s="149" t="s">
        <v>542</v>
      </c>
      <c r="D126" s="392" t="s">
        <v>41</v>
      </c>
      <c r="E126" s="258" t="s">
        <v>42</v>
      </c>
      <c r="F126" s="64" t="s">
        <v>981</v>
      </c>
      <c r="G126" s="389" t="s">
        <v>544</v>
      </c>
      <c r="H126" s="55">
        <v>3724</v>
      </c>
      <c r="I126" s="54" t="s">
        <v>2</v>
      </c>
      <c r="J126" s="61" t="s">
        <v>545</v>
      </c>
      <c r="K126" s="57">
        <v>40863</v>
      </c>
      <c r="L126" s="132">
        <v>40858</v>
      </c>
      <c r="M126" s="54">
        <v>5</v>
      </c>
      <c r="N126" s="54" t="s">
        <v>2</v>
      </c>
      <c r="O126" s="135">
        <f>1.41/2</f>
        <v>0.70499999999999996</v>
      </c>
      <c r="P126" s="134">
        <v>7.2</v>
      </c>
      <c r="Q126" s="135">
        <v>5.29</v>
      </c>
      <c r="R126" s="54">
        <f>10/2</f>
        <v>5</v>
      </c>
      <c r="S126" s="155">
        <f>5/2</f>
        <v>2.5</v>
      </c>
      <c r="T126" s="54">
        <f>0.01/2</f>
        <v>5.0000000000000001E-3</v>
      </c>
      <c r="U126" s="135">
        <v>0.28999999999999998</v>
      </c>
      <c r="V126" s="54">
        <v>0.1</v>
      </c>
      <c r="W126" s="155">
        <v>3.0000000000000001E-3</v>
      </c>
      <c r="X126" s="54">
        <v>5.0999999999999997E-2</v>
      </c>
      <c r="Y126" s="155">
        <f>0.002/2</f>
        <v>1E-3</v>
      </c>
      <c r="Z126" s="312">
        <v>0.59499999999999997</v>
      </c>
      <c r="AA126" s="312">
        <v>0.59499999999999997</v>
      </c>
      <c r="AB126" s="258">
        <v>0</v>
      </c>
      <c r="AC126" s="54">
        <v>4</v>
      </c>
      <c r="AD126" s="311">
        <v>0</v>
      </c>
      <c r="AE126" s="54"/>
    </row>
    <row r="127" spans="1:31" ht="15" customHeight="1">
      <c r="A127" s="41" t="s">
        <v>183</v>
      </c>
      <c r="B127" s="386" t="s">
        <v>546</v>
      </c>
      <c r="C127" s="149" t="s">
        <v>547</v>
      </c>
      <c r="D127" s="392" t="s">
        <v>548</v>
      </c>
      <c r="E127" s="258" t="s">
        <v>549</v>
      </c>
      <c r="F127" s="386"/>
      <c r="G127" s="389" t="s">
        <v>550</v>
      </c>
      <c r="H127" s="55">
        <v>4953</v>
      </c>
      <c r="I127" s="54" t="s">
        <v>2</v>
      </c>
      <c r="J127" s="61" t="s">
        <v>551</v>
      </c>
      <c r="K127" s="65">
        <v>40835</v>
      </c>
      <c r="L127" s="156"/>
      <c r="N127" s="54" t="s">
        <v>2</v>
      </c>
      <c r="O127" s="135">
        <f>1.6/2</f>
        <v>0.8</v>
      </c>
      <c r="P127" s="134">
        <v>6.9</v>
      </c>
      <c r="Q127" s="135">
        <v>6.9</v>
      </c>
      <c r="R127" s="54">
        <v>84</v>
      </c>
      <c r="S127" s="155">
        <v>129</v>
      </c>
      <c r="T127" s="54">
        <v>0.2</v>
      </c>
      <c r="U127" s="135">
        <v>1.7</v>
      </c>
      <c r="V127" s="54">
        <f>0.46/2</f>
        <v>0.23</v>
      </c>
      <c r="W127" s="155">
        <v>1.4E-2</v>
      </c>
      <c r="X127" s="54">
        <v>0.09</v>
      </c>
      <c r="Y127" s="155">
        <v>7.3000000000000001E-3</v>
      </c>
      <c r="Z127" s="312">
        <v>1</v>
      </c>
      <c r="AA127" s="312">
        <v>1</v>
      </c>
      <c r="AB127" s="258">
        <v>11</v>
      </c>
      <c r="AC127" s="54">
        <v>47</v>
      </c>
      <c r="AD127" s="312">
        <v>1</v>
      </c>
      <c r="AE127" s="54"/>
    </row>
    <row r="128" spans="1:31" ht="15" customHeight="1">
      <c r="A128" s="41" t="s">
        <v>183</v>
      </c>
      <c r="B128" s="386" t="s">
        <v>546</v>
      </c>
      <c r="C128" s="149" t="s">
        <v>547</v>
      </c>
      <c r="D128" s="392" t="s">
        <v>548</v>
      </c>
      <c r="E128" s="258" t="s">
        <v>549</v>
      </c>
      <c r="F128" s="386"/>
      <c r="G128" s="389" t="s">
        <v>550</v>
      </c>
      <c r="H128" s="55">
        <v>4953</v>
      </c>
      <c r="I128" s="54" t="s">
        <v>2</v>
      </c>
      <c r="J128" s="61" t="s">
        <v>552</v>
      </c>
      <c r="K128" s="65">
        <v>40835</v>
      </c>
      <c r="L128" s="156"/>
      <c r="N128" s="54" t="s">
        <v>2</v>
      </c>
      <c r="O128" s="135">
        <f>1.6/2</f>
        <v>0.8</v>
      </c>
      <c r="P128" s="134">
        <v>6.9</v>
      </c>
      <c r="Q128" s="135">
        <v>7</v>
      </c>
      <c r="R128" s="54">
        <f>20/2</f>
        <v>10</v>
      </c>
      <c r="S128" s="155">
        <v>8.5</v>
      </c>
      <c r="T128" s="54">
        <v>2.7E-2</v>
      </c>
      <c r="U128" s="135">
        <v>1</v>
      </c>
      <c r="V128" s="54">
        <f>0.46/2</f>
        <v>0.23</v>
      </c>
      <c r="W128" s="155">
        <f>0.005/2</f>
        <v>2.5000000000000001E-3</v>
      </c>
      <c r="X128" s="54">
        <v>1.2E-2</v>
      </c>
      <c r="Y128" s="155">
        <f>0.005/2</f>
        <v>2.5000000000000001E-3</v>
      </c>
      <c r="Z128" s="312">
        <v>1</v>
      </c>
      <c r="AA128" s="312">
        <v>1</v>
      </c>
      <c r="AB128" s="258">
        <v>9</v>
      </c>
      <c r="AC128" s="54">
        <v>40</v>
      </c>
      <c r="AD128" s="312">
        <v>1</v>
      </c>
      <c r="AE128" s="54"/>
    </row>
    <row r="129" spans="1:36" ht="15" customHeight="1">
      <c r="A129" s="41" t="s">
        <v>183</v>
      </c>
      <c r="B129" s="386" t="s">
        <v>546</v>
      </c>
      <c r="C129" s="149" t="s">
        <v>547</v>
      </c>
      <c r="D129" s="392" t="s">
        <v>548</v>
      </c>
      <c r="E129" s="258" t="s">
        <v>549</v>
      </c>
      <c r="F129" s="386"/>
      <c r="G129" s="389" t="s">
        <v>550</v>
      </c>
      <c r="H129" s="55">
        <v>4953</v>
      </c>
      <c r="I129" s="54" t="s">
        <v>2</v>
      </c>
      <c r="J129" s="61" t="s">
        <v>553</v>
      </c>
      <c r="K129" s="65">
        <v>40835</v>
      </c>
      <c r="L129" s="156"/>
      <c r="N129" s="54" t="s">
        <v>2</v>
      </c>
      <c r="O129" s="135">
        <f>1.6/2</f>
        <v>0.8</v>
      </c>
      <c r="P129" s="134">
        <v>6.9</v>
      </c>
      <c r="Q129" s="135">
        <v>7</v>
      </c>
      <c r="R129" s="54">
        <v>62</v>
      </c>
      <c r="S129" s="155">
        <v>115</v>
      </c>
      <c r="T129" s="54">
        <v>0.187</v>
      </c>
      <c r="U129" s="135">
        <v>1</v>
      </c>
      <c r="V129" s="54">
        <f>0.46/2</f>
        <v>0.23</v>
      </c>
      <c r="W129" s="155">
        <v>0.02</v>
      </c>
      <c r="X129" s="54">
        <v>0.221</v>
      </c>
      <c r="Y129" s="155">
        <v>1.66E-2</v>
      </c>
      <c r="Z129" s="312">
        <v>1</v>
      </c>
      <c r="AA129" s="312">
        <v>1</v>
      </c>
      <c r="AB129" s="258">
        <v>18</v>
      </c>
      <c r="AC129" s="54">
        <v>88</v>
      </c>
      <c r="AD129" s="312">
        <v>1</v>
      </c>
      <c r="AE129" s="54"/>
    </row>
    <row r="130" spans="1:36" ht="15" customHeight="1">
      <c r="A130" s="41" t="s">
        <v>183</v>
      </c>
      <c r="B130" s="386" t="s">
        <v>542</v>
      </c>
      <c r="C130" s="149" t="s">
        <v>542</v>
      </c>
      <c r="D130" s="392" t="s">
        <v>41</v>
      </c>
      <c r="E130" s="258" t="s">
        <v>42</v>
      </c>
      <c r="F130" s="64" t="s">
        <v>981</v>
      </c>
      <c r="G130" s="389" t="s">
        <v>554</v>
      </c>
      <c r="H130" s="55">
        <v>3724</v>
      </c>
      <c r="I130" s="54" t="s">
        <v>2</v>
      </c>
      <c r="J130" s="61" t="s">
        <v>543</v>
      </c>
      <c r="K130" s="57">
        <v>40863</v>
      </c>
      <c r="L130" s="132">
        <v>40858</v>
      </c>
      <c r="M130" s="54">
        <v>5</v>
      </c>
      <c r="N130" s="54" t="s">
        <v>2</v>
      </c>
      <c r="O130" s="135">
        <v>1.5</v>
      </c>
      <c r="P130" s="134">
        <v>7.2</v>
      </c>
      <c r="Q130" s="135">
        <v>5.88</v>
      </c>
      <c r="R130" s="54">
        <v>130</v>
      </c>
      <c r="S130" s="155">
        <v>12</v>
      </c>
      <c r="T130" s="54">
        <v>0.38</v>
      </c>
      <c r="U130" s="135">
        <v>0.76</v>
      </c>
      <c r="V130" s="54">
        <v>0.1</v>
      </c>
      <c r="W130" s="155">
        <v>6.0000000000000001E-3</v>
      </c>
      <c r="X130" s="54">
        <v>3.2000000000000001E-2</v>
      </c>
      <c r="Y130" s="155">
        <f>0.02/2</f>
        <v>0.01</v>
      </c>
      <c r="Z130" s="312">
        <v>1</v>
      </c>
      <c r="AA130" s="312">
        <v>1</v>
      </c>
      <c r="AB130" s="258">
        <v>4</v>
      </c>
      <c r="AC130" s="54">
        <v>27</v>
      </c>
      <c r="AD130" s="312">
        <v>1</v>
      </c>
      <c r="AE130" s="54"/>
    </row>
    <row r="131" spans="1:36" ht="15" customHeight="1">
      <c r="A131" s="41" t="s">
        <v>183</v>
      </c>
      <c r="B131" s="386" t="s">
        <v>542</v>
      </c>
      <c r="C131" s="149" t="s">
        <v>542</v>
      </c>
      <c r="D131" s="392" t="s">
        <v>41</v>
      </c>
      <c r="E131" s="258" t="s">
        <v>42</v>
      </c>
      <c r="F131" s="64" t="s">
        <v>981</v>
      </c>
      <c r="G131" s="389" t="s">
        <v>554</v>
      </c>
      <c r="H131" s="55">
        <v>3724</v>
      </c>
      <c r="I131" s="54" t="s">
        <v>2</v>
      </c>
      <c r="J131" s="61" t="s">
        <v>545</v>
      </c>
      <c r="K131" s="57">
        <v>40863</v>
      </c>
      <c r="L131" s="132">
        <v>40858</v>
      </c>
      <c r="M131" s="54">
        <v>5</v>
      </c>
      <c r="N131" s="54" t="s">
        <v>2</v>
      </c>
      <c r="O131" s="135">
        <f>1.4/2</f>
        <v>0.7</v>
      </c>
      <c r="P131" s="134">
        <v>7.2</v>
      </c>
      <c r="Q131" s="135">
        <v>5.33</v>
      </c>
      <c r="R131" s="54">
        <v>14</v>
      </c>
      <c r="S131" s="155">
        <v>7.5</v>
      </c>
      <c r="T131" s="54">
        <v>0.02</v>
      </c>
      <c r="U131" s="135">
        <v>0.4</v>
      </c>
      <c r="V131" s="54">
        <v>0.1</v>
      </c>
      <c r="W131" s="155">
        <v>3.0000000000000001E-3</v>
      </c>
      <c r="X131" s="54">
        <v>0.04</v>
      </c>
      <c r="Y131" s="155">
        <f>0.002/2</f>
        <v>1E-3</v>
      </c>
      <c r="Z131" s="312">
        <v>1</v>
      </c>
      <c r="AA131" s="312">
        <v>0.85199999999999998</v>
      </c>
      <c r="AB131" s="258">
        <v>0</v>
      </c>
      <c r="AC131" s="54">
        <v>2</v>
      </c>
      <c r="AD131" s="311">
        <v>0.35</v>
      </c>
      <c r="AE131" s="54"/>
    </row>
    <row r="132" spans="1:36" ht="15" customHeight="1">
      <c r="A132" s="41" t="s">
        <v>183</v>
      </c>
      <c r="B132" s="386" t="s">
        <v>956</v>
      </c>
      <c r="C132" s="149" t="s">
        <v>1008</v>
      </c>
      <c r="D132" s="392" t="s">
        <v>78</v>
      </c>
      <c r="E132" s="258"/>
      <c r="F132" s="386"/>
      <c r="G132" s="389" t="s">
        <v>555</v>
      </c>
      <c r="H132" s="55">
        <v>4151</v>
      </c>
      <c r="I132" s="54" t="s">
        <v>2</v>
      </c>
      <c r="J132" s="61" t="s">
        <v>81</v>
      </c>
      <c r="K132" s="57">
        <v>40843</v>
      </c>
      <c r="L132" s="132">
        <v>40836</v>
      </c>
      <c r="M132" s="54">
        <v>7</v>
      </c>
      <c r="N132" s="54" t="s">
        <v>2</v>
      </c>
      <c r="O132" s="135">
        <f>2/2</f>
        <v>1</v>
      </c>
      <c r="P132" s="134">
        <v>6.4</v>
      </c>
      <c r="Q132" s="135">
        <v>5</v>
      </c>
      <c r="R132" s="54">
        <v>34</v>
      </c>
      <c r="S132" s="155">
        <v>10</v>
      </c>
      <c r="T132" s="54">
        <v>0.38</v>
      </c>
      <c r="U132" s="135">
        <v>1.98</v>
      </c>
      <c r="V132" s="54">
        <v>0.5</v>
      </c>
      <c r="W132" s="155">
        <v>5.5E-2</v>
      </c>
      <c r="X132" s="54">
        <v>7.2999999999999995E-2</v>
      </c>
      <c r="Y132" s="155">
        <f>0.03/2</f>
        <v>1.4999999999999999E-2</v>
      </c>
      <c r="Z132" s="312">
        <v>1</v>
      </c>
      <c r="AA132" s="312">
        <v>1</v>
      </c>
      <c r="AB132" s="258">
        <v>20</v>
      </c>
      <c r="AC132" s="54">
        <v>177</v>
      </c>
      <c r="AD132" s="311">
        <v>1</v>
      </c>
      <c r="AE132" s="54"/>
    </row>
    <row r="133" spans="1:36" ht="15" customHeight="1">
      <c r="A133" s="41" t="s">
        <v>183</v>
      </c>
      <c r="B133" s="386" t="s">
        <v>956</v>
      </c>
      <c r="C133" s="149" t="s">
        <v>1009</v>
      </c>
      <c r="D133" s="392" t="s">
        <v>314</v>
      </c>
      <c r="E133" s="258" t="s">
        <v>382</v>
      </c>
      <c r="F133" s="386"/>
      <c r="G133" s="389" t="s">
        <v>556</v>
      </c>
      <c r="H133" s="55">
        <v>4151</v>
      </c>
      <c r="I133" s="54" t="s">
        <v>2</v>
      </c>
      <c r="J133" s="61" t="s">
        <v>557</v>
      </c>
      <c r="K133" s="57">
        <v>40863</v>
      </c>
      <c r="L133" s="132">
        <v>40857</v>
      </c>
      <c r="M133" s="54">
        <v>6</v>
      </c>
      <c r="N133" s="54" t="s">
        <v>2</v>
      </c>
      <c r="O133" s="135">
        <v>2.8</v>
      </c>
      <c r="P133" s="134">
        <v>5.13</v>
      </c>
      <c r="Q133" s="135">
        <v>6.23</v>
      </c>
      <c r="R133" s="54">
        <v>37.700000000000003</v>
      </c>
      <c r="S133" s="155">
        <v>38</v>
      </c>
      <c r="T133" s="54">
        <v>0.08</v>
      </c>
      <c r="U133" s="135">
        <v>0.53</v>
      </c>
      <c r="V133" s="54">
        <f>0.2/2</f>
        <v>0.1</v>
      </c>
      <c r="W133" s="155">
        <f>0.01/2</f>
        <v>5.0000000000000001E-3</v>
      </c>
      <c r="X133" s="54">
        <f>0.02/2</f>
        <v>0.01</v>
      </c>
      <c r="Y133" s="155">
        <v>0.03</v>
      </c>
      <c r="Z133" s="312"/>
      <c r="AA133" s="312"/>
      <c r="AB133" s="351"/>
      <c r="AC133" s="142"/>
      <c r="AD133" s="312"/>
      <c r="AE133" s="54"/>
    </row>
    <row r="134" spans="1:36" ht="15" customHeight="1">
      <c r="A134" s="41" t="s">
        <v>183</v>
      </c>
      <c r="B134" s="386" t="s">
        <v>575</v>
      </c>
      <c r="C134" s="149" t="s">
        <v>576</v>
      </c>
      <c r="D134" s="392" t="s">
        <v>262</v>
      </c>
      <c r="E134" s="258" t="s">
        <v>578</v>
      </c>
      <c r="F134" s="386" t="s">
        <v>1010</v>
      </c>
      <c r="G134" s="389" t="s">
        <v>579</v>
      </c>
      <c r="H134" s="55">
        <v>5171</v>
      </c>
      <c r="I134" s="54" t="s">
        <v>1</v>
      </c>
      <c r="J134" s="61" t="s">
        <v>81</v>
      </c>
      <c r="K134" s="57">
        <v>40863</v>
      </c>
      <c r="L134" s="132">
        <v>40857</v>
      </c>
      <c r="M134" s="54">
        <v>6</v>
      </c>
      <c r="N134" s="54" t="s">
        <v>2</v>
      </c>
      <c r="O134" s="135">
        <f>4.2/2</f>
        <v>2.1</v>
      </c>
      <c r="P134" s="134">
        <v>5.68</v>
      </c>
      <c r="Q134" s="135">
        <v>5.91</v>
      </c>
      <c r="R134" s="54">
        <f>20/2</f>
        <v>10</v>
      </c>
      <c r="S134" s="155">
        <v>8</v>
      </c>
      <c r="T134" s="54">
        <f>0.2/2</f>
        <v>0.1</v>
      </c>
      <c r="U134" s="135">
        <v>0.72</v>
      </c>
      <c r="V134" s="54">
        <v>0.35</v>
      </c>
      <c r="W134" s="155">
        <f>0.025/2</f>
        <v>1.2500000000000001E-2</v>
      </c>
      <c r="X134" s="54">
        <v>9.9000000000000005E-2</v>
      </c>
      <c r="Y134" s="155">
        <f>0.005/2</f>
        <v>2.5000000000000001E-3</v>
      </c>
      <c r="Z134" s="312">
        <v>1</v>
      </c>
      <c r="AA134" s="312">
        <v>1</v>
      </c>
      <c r="AB134" s="351">
        <v>8</v>
      </c>
      <c r="AC134" s="142">
        <v>67</v>
      </c>
      <c r="AD134" s="312">
        <v>0.9</v>
      </c>
      <c r="AE134" s="54"/>
      <c r="AF134" s="359"/>
      <c r="AI134" s="114">
        <v>2419.6</v>
      </c>
      <c r="AJ134" s="114">
        <v>5475</v>
      </c>
    </row>
    <row r="135" spans="1:36" ht="15" customHeight="1">
      <c r="A135" s="41" t="s">
        <v>183</v>
      </c>
      <c r="B135" s="386" t="s">
        <v>583</v>
      </c>
      <c r="C135" s="149" t="s">
        <v>583</v>
      </c>
      <c r="D135" s="392" t="s">
        <v>290</v>
      </c>
      <c r="E135" s="258" t="s">
        <v>584</v>
      </c>
      <c r="F135" s="386"/>
      <c r="G135" s="389" t="s">
        <v>585</v>
      </c>
      <c r="H135" s="55">
        <v>3471</v>
      </c>
      <c r="I135" s="54" t="s">
        <v>1</v>
      </c>
      <c r="J135" s="61" t="s">
        <v>194</v>
      </c>
      <c r="K135" s="57">
        <v>40883</v>
      </c>
      <c r="L135" s="132">
        <v>40877</v>
      </c>
      <c r="M135" s="54">
        <v>7</v>
      </c>
      <c r="N135" s="54" t="s">
        <v>2</v>
      </c>
      <c r="O135" s="135">
        <f>1/2</f>
        <v>0.5</v>
      </c>
      <c r="P135" s="134">
        <v>6.3</v>
      </c>
      <c r="Q135" s="135">
        <v>6.21</v>
      </c>
      <c r="R135" s="54">
        <v>22.2</v>
      </c>
      <c r="S135" s="155">
        <v>4</v>
      </c>
      <c r="T135" s="54">
        <f>0.05/2</f>
        <v>2.5000000000000001E-2</v>
      </c>
      <c r="U135" s="135">
        <v>0.94</v>
      </c>
      <c r="V135" s="54">
        <v>0.2</v>
      </c>
      <c r="W135" s="155">
        <v>1.0999999999999999E-2</v>
      </c>
      <c r="X135" s="54">
        <v>1.7999999999999999E-2</v>
      </c>
      <c r="Y135" s="155">
        <v>2E-3</v>
      </c>
      <c r="Z135" s="312">
        <v>1</v>
      </c>
      <c r="AA135" s="312">
        <v>1</v>
      </c>
      <c r="AB135" s="258">
        <v>1.55</v>
      </c>
      <c r="AC135" s="54">
        <v>27</v>
      </c>
      <c r="AD135" s="311">
        <v>1</v>
      </c>
      <c r="AE135" s="54"/>
    </row>
    <row r="136" spans="1:36" ht="15" customHeight="1">
      <c r="A136" s="41" t="s">
        <v>183</v>
      </c>
      <c r="B136" s="386" t="s">
        <v>583</v>
      </c>
      <c r="C136" s="149" t="s">
        <v>583</v>
      </c>
      <c r="D136" s="392" t="s">
        <v>290</v>
      </c>
      <c r="E136" s="258" t="s">
        <v>584</v>
      </c>
      <c r="F136" s="386"/>
      <c r="G136" s="389" t="s">
        <v>585</v>
      </c>
      <c r="H136" s="55">
        <v>3471</v>
      </c>
      <c r="I136" s="54" t="s">
        <v>1</v>
      </c>
      <c r="J136" s="61" t="s">
        <v>569</v>
      </c>
      <c r="K136" s="57">
        <v>40883</v>
      </c>
      <c r="L136" s="132">
        <v>40877</v>
      </c>
      <c r="M136" s="54">
        <v>7</v>
      </c>
      <c r="N136" s="54" t="s">
        <v>2</v>
      </c>
      <c r="O136" s="135">
        <f>1/2</f>
        <v>0.5</v>
      </c>
      <c r="P136" s="134">
        <v>6.3</v>
      </c>
      <c r="Q136" s="135">
        <v>6.78</v>
      </c>
      <c r="R136" s="54">
        <v>18.7</v>
      </c>
      <c r="S136" s="155">
        <v>3</v>
      </c>
      <c r="T136" s="54">
        <f>0.05/2</f>
        <v>2.5000000000000001E-2</v>
      </c>
      <c r="U136" s="135">
        <v>0.82</v>
      </c>
      <c r="V136" s="54">
        <v>0.17</v>
      </c>
      <c r="W136" s="155">
        <v>7.0000000000000001E-3</v>
      </c>
      <c r="X136" s="54">
        <v>2.8000000000000001E-2</v>
      </c>
      <c r="Y136" s="155">
        <f>0.002/2</f>
        <v>1E-3</v>
      </c>
      <c r="Z136" s="312">
        <v>1</v>
      </c>
      <c r="AA136" s="312">
        <v>0.82</v>
      </c>
      <c r="AB136" s="258">
        <v>1.44</v>
      </c>
      <c r="AC136" s="54">
        <v>9</v>
      </c>
      <c r="AD136" s="311">
        <v>0.3</v>
      </c>
      <c r="AE136" s="54"/>
    </row>
    <row r="137" spans="1:36" ht="15" customHeight="1">
      <c r="A137" s="41" t="s">
        <v>183</v>
      </c>
      <c r="B137" s="386" t="s">
        <v>583</v>
      </c>
      <c r="C137" s="149" t="s">
        <v>583</v>
      </c>
      <c r="D137" s="392" t="s">
        <v>290</v>
      </c>
      <c r="E137" s="258" t="s">
        <v>584</v>
      </c>
      <c r="F137" s="386"/>
      <c r="G137" s="389" t="s">
        <v>585</v>
      </c>
      <c r="H137" s="55">
        <v>3471</v>
      </c>
      <c r="I137" s="54" t="s">
        <v>1</v>
      </c>
      <c r="J137" s="61" t="s">
        <v>586</v>
      </c>
      <c r="K137" s="57">
        <v>40883</v>
      </c>
      <c r="L137" s="132">
        <v>40877</v>
      </c>
      <c r="M137" s="54">
        <v>7</v>
      </c>
      <c r="N137" s="54" t="s">
        <v>2</v>
      </c>
      <c r="O137" s="135">
        <f>1/2</f>
        <v>0.5</v>
      </c>
      <c r="P137" s="134">
        <v>6.3</v>
      </c>
      <c r="Q137" s="135">
        <v>5.54</v>
      </c>
      <c r="R137" s="54">
        <v>15</v>
      </c>
      <c r="S137" s="155">
        <v>16</v>
      </c>
      <c r="T137" s="54">
        <v>0.25</v>
      </c>
      <c r="U137" s="135">
        <v>0.8</v>
      </c>
      <c r="V137" s="54">
        <v>0.57999999999999996</v>
      </c>
      <c r="W137" s="155">
        <v>1.7999999999999999E-2</v>
      </c>
      <c r="X137" s="54">
        <v>0.126</v>
      </c>
      <c r="Y137" s="155">
        <v>4.0000000000000001E-3</v>
      </c>
      <c r="Z137" s="312">
        <v>0.66</v>
      </c>
      <c r="AA137" s="312">
        <v>0.46700000000000003</v>
      </c>
      <c r="AB137" s="258">
        <v>3.9</v>
      </c>
      <c r="AC137" s="54">
        <v>21</v>
      </c>
      <c r="AD137" s="311">
        <v>0</v>
      </c>
      <c r="AE137" s="54"/>
    </row>
    <row r="138" spans="1:36" ht="15" customHeight="1">
      <c r="A138" s="41" t="s">
        <v>183</v>
      </c>
      <c r="B138" s="386" t="s">
        <v>590</v>
      </c>
      <c r="C138" s="149" t="s">
        <v>591</v>
      </c>
      <c r="D138" s="392" t="s">
        <v>89</v>
      </c>
      <c r="E138" s="258" t="s">
        <v>535</v>
      </c>
      <c r="F138" s="386"/>
      <c r="G138" s="389" t="s">
        <v>592</v>
      </c>
      <c r="H138" s="55">
        <v>3273</v>
      </c>
      <c r="I138" s="54" t="s">
        <v>1</v>
      </c>
      <c r="J138" s="61" t="s">
        <v>366</v>
      </c>
      <c r="K138" s="57">
        <v>40835</v>
      </c>
      <c r="L138" s="132">
        <v>40830</v>
      </c>
      <c r="M138" s="54">
        <v>5</v>
      </c>
      <c r="N138" s="54" t="s">
        <v>2</v>
      </c>
      <c r="O138" s="135">
        <f>1.4/2</f>
        <v>0.7</v>
      </c>
      <c r="P138" s="134">
        <v>6</v>
      </c>
      <c r="Q138" s="135">
        <v>7.75</v>
      </c>
      <c r="R138" s="54">
        <v>39</v>
      </c>
      <c r="S138" s="155">
        <v>88</v>
      </c>
      <c r="T138" s="54">
        <v>0.24</v>
      </c>
      <c r="U138" s="135">
        <v>0.62</v>
      </c>
      <c r="V138" s="54">
        <v>0.11</v>
      </c>
      <c r="W138" s="155">
        <v>7.0000000000000001E-3</v>
      </c>
      <c r="X138" s="54">
        <v>2.5999999999999999E-2</v>
      </c>
      <c r="Y138" s="155">
        <v>3.0000000000000001E-3</v>
      </c>
      <c r="Z138" s="312">
        <v>1</v>
      </c>
      <c r="AA138" s="312">
        <v>1</v>
      </c>
      <c r="AB138" s="258">
        <v>174</v>
      </c>
      <c r="AC138" s="54">
        <v>480</v>
      </c>
      <c r="AD138" s="311">
        <v>1</v>
      </c>
      <c r="AE138" s="54">
        <v>290</v>
      </c>
    </row>
    <row r="139" spans="1:36" ht="15" customHeight="1">
      <c r="A139" s="41" t="s">
        <v>183</v>
      </c>
      <c r="B139" s="386" t="s">
        <v>590</v>
      </c>
      <c r="C139" s="149" t="s">
        <v>591</v>
      </c>
      <c r="D139" s="392" t="s">
        <v>89</v>
      </c>
      <c r="E139" s="258" t="s">
        <v>535</v>
      </c>
      <c r="F139" s="386"/>
      <c r="G139" s="389" t="s">
        <v>592</v>
      </c>
      <c r="H139" s="55">
        <v>3273</v>
      </c>
      <c r="I139" s="54" t="s">
        <v>1</v>
      </c>
      <c r="J139" s="61" t="s">
        <v>593</v>
      </c>
      <c r="K139" s="57">
        <v>40835</v>
      </c>
      <c r="L139" s="132">
        <v>40830</v>
      </c>
      <c r="M139" s="54">
        <v>5</v>
      </c>
      <c r="N139" s="54" t="s">
        <v>2</v>
      </c>
      <c r="O139" s="135">
        <v>1.8</v>
      </c>
      <c r="P139" s="134">
        <v>6</v>
      </c>
      <c r="Q139" s="135">
        <v>8.94</v>
      </c>
      <c r="R139" s="54">
        <v>72</v>
      </c>
      <c r="S139" s="155">
        <v>130</v>
      </c>
      <c r="T139" s="54">
        <v>0.38</v>
      </c>
      <c r="U139" s="135">
        <v>0.71</v>
      </c>
      <c r="V139" s="54">
        <v>0.28999999999999998</v>
      </c>
      <c r="W139" s="155">
        <v>2.7E-2</v>
      </c>
      <c r="X139" s="54">
        <v>8.8999999999999996E-2</v>
      </c>
      <c r="Y139" s="155">
        <v>1.9E-2</v>
      </c>
      <c r="Z139" s="312">
        <v>1</v>
      </c>
      <c r="AA139" s="312">
        <v>1</v>
      </c>
      <c r="AB139" s="258">
        <v>76</v>
      </c>
      <c r="AC139" s="54">
        <v>189</v>
      </c>
      <c r="AD139" s="311">
        <v>1</v>
      </c>
      <c r="AE139" s="54">
        <v>370</v>
      </c>
    </row>
    <row r="140" spans="1:36" ht="15" customHeight="1">
      <c r="A140" s="41" t="s">
        <v>183</v>
      </c>
      <c r="B140" s="386" t="s">
        <v>597</v>
      </c>
      <c r="C140" s="149" t="s">
        <v>598</v>
      </c>
      <c r="D140" s="392" t="s">
        <v>372</v>
      </c>
      <c r="E140" s="258" t="s">
        <v>599</v>
      </c>
      <c r="F140" s="386"/>
      <c r="G140" s="389" t="s">
        <v>600</v>
      </c>
      <c r="H140" s="55">
        <v>3273</v>
      </c>
      <c r="I140" s="54" t="s">
        <v>1</v>
      </c>
      <c r="J140" s="61" t="s">
        <v>366</v>
      </c>
      <c r="K140" s="57">
        <v>40835</v>
      </c>
      <c r="L140" s="132">
        <v>40830</v>
      </c>
      <c r="M140" s="54">
        <v>5</v>
      </c>
      <c r="N140" s="54" t="s">
        <v>2</v>
      </c>
      <c r="O140" s="135">
        <v>2</v>
      </c>
      <c r="P140" s="134">
        <v>6</v>
      </c>
      <c r="Q140" s="135">
        <v>9.09</v>
      </c>
      <c r="R140" s="54">
        <v>55</v>
      </c>
      <c r="S140" s="155">
        <v>180</v>
      </c>
      <c r="T140" s="54">
        <v>0.23</v>
      </c>
      <c r="U140" s="135">
        <v>0.66</v>
      </c>
      <c r="V140" s="54">
        <v>0.09</v>
      </c>
      <c r="W140" s="155">
        <v>9.9000000000000005E-2</v>
      </c>
      <c r="X140" s="54">
        <v>0.16400000000000001</v>
      </c>
      <c r="Y140" s="155">
        <v>3.1E-2</v>
      </c>
      <c r="Z140" s="312">
        <v>1</v>
      </c>
      <c r="AA140" s="312">
        <v>1</v>
      </c>
      <c r="AB140" s="258">
        <v>34</v>
      </c>
      <c r="AC140" s="54">
        <v>64</v>
      </c>
      <c r="AD140" s="311">
        <v>1</v>
      </c>
      <c r="AE140" s="54">
        <v>1790</v>
      </c>
    </row>
    <row r="141" spans="1:36" ht="15" customHeight="1">
      <c r="A141" s="41" t="s">
        <v>183</v>
      </c>
      <c r="B141" s="386" t="s">
        <v>590</v>
      </c>
      <c r="C141" s="149" t="s">
        <v>601</v>
      </c>
      <c r="D141" s="392" t="s">
        <v>389</v>
      </c>
      <c r="E141" s="258" t="s">
        <v>602</v>
      </c>
      <c r="F141" s="386"/>
      <c r="G141" s="389" t="s">
        <v>603</v>
      </c>
      <c r="H141" s="55">
        <v>1429</v>
      </c>
      <c r="I141" s="54" t="s">
        <v>2</v>
      </c>
      <c r="J141" s="61" t="s">
        <v>366</v>
      </c>
      <c r="K141" s="57">
        <v>40835</v>
      </c>
      <c r="L141" s="132">
        <v>40830</v>
      </c>
      <c r="M141" s="54">
        <v>5</v>
      </c>
      <c r="N141" s="54" t="s">
        <v>2</v>
      </c>
      <c r="O141" s="135">
        <f>1.4/2</f>
        <v>0.7</v>
      </c>
      <c r="P141" s="134">
        <v>5</v>
      </c>
      <c r="Q141" s="135">
        <v>6.45</v>
      </c>
      <c r="R141" s="54">
        <v>70</v>
      </c>
      <c r="S141" s="155">
        <v>33</v>
      </c>
      <c r="T141" s="54">
        <v>0.11</v>
      </c>
      <c r="U141" s="135">
        <v>0.4</v>
      </c>
      <c r="V141" s="54">
        <v>0.24</v>
      </c>
      <c r="W141" s="155">
        <v>3.0000000000000001E-3</v>
      </c>
      <c r="X141" s="54">
        <v>2.1999999999999999E-2</v>
      </c>
      <c r="Y141" s="155">
        <f>0.002/2</f>
        <v>1E-3</v>
      </c>
      <c r="Z141" s="312">
        <v>1</v>
      </c>
      <c r="AA141" s="312">
        <v>1</v>
      </c>
      <c r="AB141" s="258">
        <v>14</v>
      </c>
      <c r="AC141" s="54">
        <v>46</v>
      </c>
      <c r="AD141" s="311">
        <v>1</v>
      </c>
      <c r="AE141" s="54"/>
    </row>
    <row r="142" spans="1:36" ht="15" customHeight="1">
      <c r="A142" s="41" t="s">
        <v>183</v>
      </c>
      <c r="B142" s="386" t="s">
        <v>590</v>
      </c>
      <c r="C142" s="149" t="s">
        <v>604</v>
      </c>
      <c r="D142" s="392" t="s">
        <v>308</v>
      </c>
      <c r="E142" s="258" t="s">
        <v>235</v>
      </c>
      <c r="F142" s="386"/>
      <c r="G142" s="389" t="s">
        <v>605</v>
      </c>
      <c r="H142" s="55">
        <v>7538</v>
      </c>
      <c r="I142" s="54" t="s">
        <v>2</v>
      </c>
      <c r="J142" s="61" t="s">
        <v>366</v>
      </c>
      <c r="K142" s="57">
        <v>40835</v>
      </c>
      <c r="L142" s="132">
        <v>40830</v>
      </c>
      <c r="M142" s="54">
        <v>5</v>
      </c>
      <c r="N142" s="54" t="s">
        <v>2</v>
      </c>
      <c r="O142" s="135">
        <v>5.8</v>
      </c>
      <c r="P142" s="134">
        <v>5.3</v>
      </c>
      <c r="Q142" s="135">
        <v>7.1</v>
      </c>
      <c r="R142" s="54">
        <v>120</v>
      </c>
      <c r="S142" s="155">
        <v>100</v>
      </c>
      <c r="T142" s="54">
        <v>0.34</v>
      </c>
      <c r="U142" s="135">
        <v>1.1000000000000001</v>
      </c>
      <c r="V142" s="54">
        <v>0.34</v>
      </c>
      <c r="W142" s="155">
        <v>5.0999999999999997E-2</v>
      </c>
      <c r="X142" s="54">
        <v>0.192</v>
      </c>
      <c r="Y142" s="155">
        <v>2.1999999999999999E-2</v>
      </c>
      <c r="Z142" s="312">
        <v>1</v>
      </c>
      <c r="AA142" s="312">
        <v>1</v>
      </c>
      <c r="AB142" s="258">
        <v>20</v>
      </c>
      <c r="AC142" s="54">
        <v>75</v>
      </c>
      <c r="AD142" s="311">
        <v>1</v>
      </c>
      <c r="AE142" s="54"/>
    </row>
    <row r="143" spans="1:36" ht="15" customHeight="1">
      <c r="A143" s="41" t="s">
        <v>183</v>
      </c>
      <c r="B143" s="386" t="s">
        <v>590</v>
      </c>
      <c r="C143" s="149" t="s">
        <v>604</v>
      </c>
      <c r="D143" s="392" t="s">
        <v>308</v>
      </c>
      <c r="E143" s="258" t="s">
        <v>235</v>
      </c>
      <c r="F143" s="386"/>
      <c r="G143" s="389" t="s">
        <v>605</v>
      </c>
      <c r="H143" s="55">
        <v>7538</v>
      </c>
      <c r="I143" s="54" t="s">
        <v>2</v>
      </c>
      <c r="J143" s="61" t="s">
        <v>593</v>
      </c>
      <c r="K143" s="57">
        <v>40835</v>
      </c>
      <c r="L143" s="132">
        <v>40830</v>
      </c>
      <c r="M143" s="54">
        <v>5</v>
      </c>
      <c r="N143" s="54" t="s">
        <v>2</v>
      </c>
      <c r="O143" s="135">
        <v>2.6</v>
      </c>
      <c r="P143" s="134">
        <v>5.3</v>
      </c>
      <c r="Q143" s="135">
        <v>6.79</v>
      </c>
      <c r="R143" s="54">
        <v>55</v>
      </c>
      <c r="S143" s="155">
        <v>45</v>
      </c>
      <c r="T143" s="54">
        <v>0.16</v>
      </c>
      <c r="U143" s="135">
        <v>1.3</v>
      </c>
      <c r="V143" s="54">
        <v>0.66</v>
      </c>
      <c r="W143" s="155">
        <v>3.4000000000000002E-2</v>
      </c>
      <c r="X143" s="54">
        <v>8.3000000000000004E-2</v>
      </c>
      <c r="Y143" s="155">
        <v>1.0999999999999999E-2</v>
      </c>
      <c r="Z143" s="312">
        <v>1</v>
      </c>
      <c r="AA143" s="312">
        <v>1</v>
      </c>
      <c r="AB143" s="258">
        <v>14</v>
      </c>
      <c r="AC143" s="54">
        <v>64</v>
      </c>
      <c r="AD143" s="311">
        <v>0.95</v>
      </c>
      <c r="AE143" s="54"/>
    </row>
    <row r="144" spans="1:36" ht="15" customHeight="1">
      <c r="A144" s="41" t="s">
        <v>183</v>
      </c>
      <c r="B144" s="386" t="s">
        <v>590</v>
      </c>
      <c r="C144" s="149" t="s">
        <v>604</v>
      </c>
      <c r="D144" s="392" t="s">
        <v>308</v>
      </c>
      <c r="E144" s="258" t="s">
        <v>235</v>
      </c>
      <c r="F144" s="386"/>
      <c r="G144" s="389" t="s">
        <v>605</v>
      </c>
      <c r="H144" s="55">
        <v>7538</v>
      </c>
      <c r="I144" s="54" t="s">
        <v>2</v>
      </c>
      <c r="J144" s="61" t="s">
        <v>477</v>
      </c>
      <c r="K144" s="57">
        <v>40835</v>
      </c>
      <c r="L144" s="132">
        <v>40830</v>
      </c>
      <c r="M144" s="54">
        <v>5</v>
      </c>
      <c r="N144" s="54" t="s">
        <v>2</v>
      </c>
      <c r="O144" s="135">
        <v>1.4</v>
      </c>
      <c r="P144" s="134">
        <v>5.3</v>
      </c>
      <c r="Q144" s="135">
        <v>6.72</v>
      </c>
      <c r="R144" s="54">
        <v>90</v>
      </c>
      <c r="S144" s="155">
        <v>190</v>
      </c>
      <c r="T144" s="54">
        <v>0.22</v>
      </c>
      <c r="U144" s="135">
        <v>0.96</v>
      </c>
      <c r="V144" s="54">
        <v>0.18</v>
      </c>
      <c r="W144" s="155">
        <v>3.7999999999999999E-2</v>
      </c>
      <c r="X144" s="54">
        <v>0.13200000000000001</v>
      </c>
      <c r="Y144" s="155">
        <v>2.3E-2</v>
      </c>
      <c r="Z144" s="312">
        <v>1</v>
      </c>
      <c r="AA144" s="312">
        <v>1</v>
      </c>
      <c r="AB144" s="258">
        <v>10</v>
      </c>
      <c r="AC144" s="54">
        <v>19</v>
      </c>
      <c r="AD144" s="311">
        <v>1</v>
      </c>
      <c r="AE144" s="54"/>
    </row>
    <row r="145" spans="1:36" ht="15" customHeight="1">
      <c r="A145" s="41" t="s">
        <v>183</v>
      </c>
      <c r="B145" s="386" t="s">
        <v>590</v>
      </c>
      <c r="C145" s="149" t="s">
        <v>604</v>
      </c>
      <c r="D145" s="392" t="s">
        <v>308</v>
      </c>
      <c r="E145" s="258" t="s">
        <v>235</v>
      </c>
      <c r="F145" s="386"/>
      <c r="G145" s="389" t="s">
        <v>605</v>
      </c>
      <c r="H145" s="55">
        <v>7538</v>
      </c>
      <c r="I145" s="54" t="s">
        <v>2</v>
      </c>
      <c r="J145" s="61" t="s">
        <v>606</v>
      </c>
      <c r="K145" s="57">
        <v>40835</v>
      </c>
      <c r="L145" s="132">
        <v>40830</v>
      </c>
      <c r="M145" s="54">
        <v>5</v>
      </c>
      <c r="N145" s="54" t="s">
        <v>2</v>
      </c>
      <c r="O145" s="135">
        <f>1.4/2</f>
        <v>0.7</v>
      </c>
      <c r="P145" s="134">
        <v>5.3</v>
      </c>
      <c r="Q145" s="135">
        <v>5.97</v>
      </c>
      <c r="R145" s="54">
        <v>30</v>
      </c>
      <c r="S145" s="155">
        <v>13</v>
      </c>
      <c r="T145" s="54">
        <v>0.03</v>
      </c>
      <c r="U145" s="135">
        <v>0.28000000000000003</v>
      </c>
      <c r="V145" s="54">
        <v>0.05</v>
      </c>
      <c r="W145" s="155">
        <v>7.0000000000000001E-3</v>
      </c>
      <c r="X145" s="54">
        <v>4.3999999999999997E-2</v>
      </c>
      <c r="Y145" s="155">
        <f>0.002/2</f>
        <v>1E-3</v>
      </c>
      <c r="Z145" s="312">
        <v>1</v>
      </c>
      <c r="AA145" s="312">
        <v>0.752</v>
      </c>
      <c r="AB145" s="258">
        <v>2</v>
      </c>
      <c r="AC145" s="54">
        <v>10</v>
      </c>
      <c r="AD145" s="311">
        <v>0.15</v>
      </c>
      <c r="AE145" s="54"/>
    </row>
    <row r="146" spans="1:36" ht="15" customHeight="1">
      <c r="A146" s="41" t="s">
        <v>183</v>
      </c>
      <c r="B146" s="386" t="s">
        <v>597</v>
      </c>
      <c r="C146" s="149" t="s">
        <v>626</v>
      </c>
      <c r="D146" s="392" t="s">
        <v>534</v>
      </c>
      <c r="E146" s="258" t="s">
        <v>627</v>
      </c>
      <c r="F146" s="386"/>
      <c r="G146" s="389" t="s">
        <v>628</v>
      </c>
      <c r="H146" s="55">
        <v>3273</v>
      </c>
      <c r="I146" s="54" t="s">
        <v>1</v>
      </c>
      <c r="J146" s="61" t="s">
        <v>366</v>
      </c>
      <c r="K146" s="57">
        <v>40835</v>
      </c>
      <c r="L146" s="132">
        <v>40830</v>
      </c>
      <c r="M146" s="54">
        <v>5</v>
      </c>
      <c r="N146" s="54" t="s">
        <v>2</v>
      </c>
      <c r="O146" s="135">
        <f>1.4/2</f>
        <v>0.7</v>
      </c>
      <c r="P146" s="134">
        <v>6</v>
      </c>
      <c r="Q146" s="135">
        <v>7.38</v>
      </c>
      <c r="R146" s="54">
        <v>10</v>
      </c>
      <c r="S146" s="155">
        <v>27</v>
      </c>
      <c r="T146" s="54">
        <v>0.02</v>
      </c>
      <c r="U146" s="135">
        <v>0.28000000000000003</v>
      </c>
      <c r="V146" s="54">
        <v>0.05</v>
      </c>
      <c r="W146" s="155">
        <v>2E-3</v>
      </c>
      <c r="X146" s="54">
        <v>2.8000000000000001E-2</v>
      </c>
      <c r="Y146" s="155">
        <f>0.002/2</f>
        <v>1E-3</v>
      </c>
      <c r="Z146" s="312">
        <v>1</v>
      </c>
      <c r="AA146" s="312">
        <v>1</v>
      </c>
      <c r="AB146" s="258">
        <v>8</v>
      </c>
      <c r="AC146" s="54">
        <v>14</v>
      </c>
      <c r="AD146" s="311">
        <v>1</v>
      </c>
      <c r="AE146" s="54">
        <f>10/2</f>
        <v>5</v>
      </c>
    </row>
    <row r="147" spans="1:36" ht="15" customHeight="1">
      <c r="A147" s="41" t="s">
        <v>183</v>
      </c>
      <c r="B147" s="386" t="s">
        <v>597</v>
      </c>
      <c r="C147" s="149" t="s">
        <v>626</v>
      </c>
      <c r="D147" s="392" t="s">
        <v>534</v>
      </c>
      <c r="E147" s="258" t="s">
        <v>627</v>
      </c>
      <c r="F147" s="386"/>
      <c r="G147" s="389" t="s">
        <v>628</v>
      </c>
      <c r="H147" s="55">
        <v>3273</v>
      </c>
      <c r="I147" s="54" t="s">
        <v>1</v>
      </c>
      <c r="J147" s="61" t="s">
        <v>593</v>
      </c>
      <c r="K147" s="57">
        <v>40835</v>
      </c>
      <c r="L147" s="132">
        <v>40830</v>
      </c>
      <c r="M147" s="54">
        <v>5</v>
      </c>
      <c r="N147" s="54" t="s">
        <v>2</v>
      </c>
      <c r="O147" s="135">
        <v>1.7</v>
      </c>
      <c r="P147" s="134">
        <v>6</v>
      </c>
      <c r="Q147" s="135">
        <v>8.5399999999999991</v>
      </c>
      <c r="R147" s="54">
        <v>26</v>
      </c>
      <c r="S147" s="155">
        <v>180</v>
      </c>
      <c r="T147" s="54">
        <v>0.17</v>
      </c>
      <c r="U147" s="135">
        <v>0.56000000000000005</v>
      </c>
      <c r="V147" s="54">
        <v>0.15</v>
      </c>
      <c r="W147" s="155">
        <v>8.0000000000000002E-3</v>
      </c>
      <c r="X147" s="54">
        <v>5.6000000000000001E-2</v>
      </c>
      <c r="Y147" s="155">
        <v>4.0000000000000001E-3</v>
      </c>
      <c r="Z147" s="312">
        <v>1</v>
      </c>
      <c r="AA147" s="312">
        <v>1</v>
      </c>
      <c r="AB147" s="258">
        <v>36</v>
      </c>
      <c r="AC147" s="54">
        <v>100</v>
      </c>
      <c r="AD147" s="311">
        <v>0.95</v>
      </c>
      <c r="AE147" s="54">
        <v>90</v>
      </c>
    </row>
    <row r="148" spans="1:36" ht="15" customHeight="1">
      <c r="A148" s="41" t="s">
        <v>183</v>
      </c>
      <c r="B148" s="386" t="s">
        <v>442</v>
      </c>
      <c r="C148" s="149" t="s">
        <v>629</v>
      </c>
      <c r="D148" s="392" t="s">
        <v>443</v>
      </c>
      <c r="E148" s="258"/>
      <c r="F148" s="386"/>
      <c r="G148" s="389" t="s">
        <v>444</v>
      </c>
      <c r="H148" s="55">
        <v>2689</v>
      </c>
      <c r="I148" s="54" t="s">
        <v>2</v>
      </c>
      <c r="J148" s="61" t="s">
        <v>249</v>
      </c>
      <c r="K148" s="57">
        <v>40857</v>
      </c>
      <c r="L148" s="132">
        <v>40845</v>
      </c>
      <c r="M148" s="54">
        <v>12</v>
      </c>
      <c r="N148" s="54" t="s">
        <v>2</v>
      </c>
      <c r="O148" s="135">
        <v>2.7</v>
      </c>
      <c r="P148" s="134">
        <v>7</v>
      </c>
      <c r="Q148" s="135">
        <v>6.7</v>
      </c>
      <c r="R148" s="54">
        <v>59</v>
      </c>
      <c r="S148" s="155">
        <v>102</v>
      </c>
      <c r="T148" s="54">
        <v>7.0000000000000007E-2</v>
      </c>
      <c r="U148" s="135">
        <v>4.34</v>
      </c>
      <c r="V148" s="54">
        <v>0.3</v>
      </c>
      <c r="W148" s="155">
        <v>1.0999999999999999E-2</v>
      </c>
      <c r="X148" s="54">
        <v>6.4000000000000001E-2</v>
      </c>
      <c r="Y148" s="155">
        <f>0.03/2</f>
        <v>1.4999999999999999E-2</v>
      </c>
      <c r="Z148" s="312">
        <v>1</v>
      </c>
      <c r="AA148" s="312">
        <v>1</v>
      </c>
      <c r="AB148" s="258">
        <v>30</v>
      </c>
      <c r="AC148" s="54">
        <v>88</v>
      </c>
      <c r="AD148" s="311">
        <v>1</v>
      </c>
      <c r="AE148" s="54"/>
    </row>
    <row r="149" spans="1:36" ht="15" customHeight="1">
      <c r="A149" s="41" t="s">
        <v>183</v>
      </c>
      <c r="B149" s="386" t="s">
        <v>630</v>
      </c>
      <c r="C149" s="149" t="s">
        <v>630</v>
      </c>
      <c r="D149" s="392" t="s">
        <v>268</v>
      </c>
      <c r="E149" s="258" t="s">
        <v>269</v>
      </c>
      <c r="F149" s="64" t="s">
        <v>983</v>
      </c>
      <c r="G149" s="389" t="s">
        <v>631</v>
      </c>
      <c r="H149" s="55">
        <v>3724</v>
      </c>
      <c r="I149" s="54" t="s">
        <v>1</v>
      </c>
      <c r="J149" s="61" t="s">
        <v>632</v>
      </c>
      <c r="K149" s="57">
        <v>40863</v>
      </c>
      <c r="L149" s="132">
        <v>40857</v>
      </c>
      <c r="M149" s="54">
        <v>6</v>
      </c>
      <c r="N149" s="54" t="s">
        <v>2</v>
      </c>
      <c r="O149" s="135">
        <v>2.38</v>
      </c>
      <c r="P149" s="134">
        <v>6.6</v>
      </c>
      <c r="Q149" s="135">
        <v>9.64</v>
      </c>
      <c r="R149" s="54">
        <v>52</v>
      </c>
      <c r="S149" s="155">
        <v>66</v>
      </c>
      <c r="T149" s="54">
        <v>8.5999999999999993E-2</v>
      </c>
      <c r="U149" s="135">
        <v>1.78</v>
      </c>
      <c r="V149" s="54">
        <v>0.625</v>
      </c>
      <c r="W149" s="155">
        <v>2.5399999999999999E-2</v>
      </c>
      <c r="X149" s="54">
        <v>0.16</v>
      </c>
      <c r="Y149" s="155">
        <v>0.372</v>
      </c>
      <c r="Z149" s="312">
        <v>1</v>
      </c>
      <c r="AA149" s="312">
        <v>1</v>
      </c>
      <c r="AB149" s="258">
        <v>22</v>
      </c>
      <c r="AC149" s="54">
        <v>113</v>
      </c>
      <c r="AD149" s="311">
        <v>1</v>
      </c>
      <c r="AE149" s="54"/>
    </row>
    <row r="150" spans="1:36" ht="15" customHeight="1">
      <c r="A150" s="41" t="s">
        <v>183</v>
      </c>
      <c r="B150" s="386" t="s">
        <v>633</v>
      </c>
      <c r="C150" s="149" t="s">
        <v>633</v>
      </c>
      <c r="D150" s="392" t="s">
        <v>314</v>
      </c>
      <c r="E150" s="258" t="s">
        <v>634</v>
      </c>
      <c r="F150" s="386"/>
      <c r="G150" s="405" t="s">
        <v>5810</v>
      </c>
      <c r="H150" s="55">
        <v>3087</v>
      </c>
      <c r="I150" s="54"/>
      <c r="J150" s="61" t="s">
        <v>272</v>
      </c>
      <c r="K150" s="57">
        <v>40835</v>
      </c>
      <c r="L150" s="132">
        <v>40830</v>
      </c>
      <c r="M150" s="54">
        <v>5</v>
      </c>
      <c r="N150" s="54" t="s">
        <v>2</v>
      </c>
      <c r="O150" s="135">
        <f>1.4/2</f>
        <v>0.7</v>
      </c>
      <c r="P150" s="134">
        <v>4.75</v>
      </c>
      <c r="Q150" s="135">
        <v>4.3899999999999997</v>
      </c>
      <c r="R150" s="54">
        <v>130</v>
      </c>
      <c r="S150" s="155">
        <v>33</v>
      </c>
      <c r="T150" s="54">
        <v>0.73</v>
      </c>
      <c r="U150" s="135">
        <v>4.4000000000000004</v>
      </c>
      <c r="V150" s="54">
        <v>0.92</v>
      </c>
      <c r="W150" s="155">
        <v>3.1E-2</v>
      </c>
      <c r="X150" s="54">
        <v>0.16700000000000001</v>
      </c>
      <c r="Y150" s="155">
        <v>3.0000000000000001E-3</v>
      </c>
      <c r="Z150" s="312">
        <v>1</v>
      </c>
      <c r="AA150" s="312">
        <v>1</v>
      </c>
      <c r="AB150" s="258">
        <v>14</v>
      </c>
      <c r="AC150" s="54">
        <v>85</v>
      </c>
      <c r="AD150" s="311">
        <v>1</v>
      </c>
      <c r="AE150" s="54"/>
    </row>
    <row r="151" spans="1:36" ht="15" customHeight="1">
      <c r="A151" s="41" t="s">
        <v>183</v>
      </c>
      <c r="B151" s="386" t="s">
        <v>633</v>
      </c>
      <c r="C151" s="149" t="s">
        <v>633</v>
      </c>
      <c r="D151" s="392" t="s">
        <v>314</v>
      </c>
      <c r="E151" s="258" t="s">
        <v>634</v>
      </c>
      <c r="F151" s="386"/>
      <c r="G151" s="405" t="s">
        <v>5810</v>
      </c>
      <c r="H151" s="55">
        <v>3087</v>
      </c>
      <c r="I151" s="54"/>
      <c r="J151" s="61" t="s">
        <v>270</v>
      </c>
      <c r="K151" s="57">
        <v>40835</v>
      </c>
      <c r="L151" s="132">
        <v>40830</v>
      </c>
      <c r="M151" s="54">
        <v>5</v>
      </c>
      <c r="N151" s="54" t="s">
        <v>2</v>
      </c>
      <c r="O151" s="135">
        <v>1.5</v>
      </c>
      <c r="P151" s="134">
        <v>4.75</v>
      </c>
      <c r="Q151" s="135">
        <v>4.07</v>
      </c>
      <c r="R151" s="54">
        <v>120</v>
      </c>
      <c r="S151" s="155">
        <v>63</v>
      </c>
      <c r="T151" s="54">
        <v>0.32</v>
      </c>
      <c r="U151" s="135">
        <v>2.4</v>
      </c>
      <c r="V151" s="54">
        <v>0.49</v>
      </c>
      <c r="W151" s="155">
        <v>1.4999999999999999E-2</v>
      </c>
      <c r="X151" s="54">
        <v>0.23599999999999999</v>
      </c>
      <c r="Y151" s="155">
        <v>2E-3</v>
      </c>
      <c r="Z151" s="312">
        <v>1</v>
      </c>
      <c r="AA151" s="312">
        <v>1</v>
      </c>
      <c r="AB151" s="258">
        <v>6</v>
      </c>
      <c r="AC151" s="54">
        <v>39</v>
      </c>
      <c r="AD151" s="311">
        <v>1</v>
      </c>
      <c r="AE151" s="54"/>
    </row>
    <row r="152" spans="1:36" ht="15" customHeight="1">
      <c r="A152" s="41" t="s">
        <v>183</v>
      </c>
      <c r="B152" s="386" t="s">
        <v>657</v>
      </c>
      <c r="C152" s="149" t="s">
        <v>658</v>
      </c>
      <c r="D152" s="392" t="s">
        <v>659</v>
      </c>
      <c r="E152" s="258" t="s">
        <v>44</v>
      </c>
      <c r="F152" s="386"/>
      <c r="G152" s="389" t="s">
        <v>660</v>
      </c>
      <c r="H152" s="55">
        <v>4226</v>
      </c>
      <c r="I152" s="54" t="s">
        <v>1</v>
      </c>
      <c r="J152" s="61" t="s">
        <v>661</v>
      </c>
      <c r="K152" s="57">
        <v>40863</v>
      </c>
      <c r="L152" s="132">
        <v>40857</v>
      </c>
      <c r="M152" s="54">
        <v>6</v>
      </c>
      <c r="N152" s="54" t="s">
        <v>2</v>
      </c>
      <c r="O152" s="135">
        <f>1.4/2</f>
        <v>0.7</v>
      </c>
      <c r="P152" s="134">
        <v>6.58</v>
      </c>
      <c r="Q152" s="135">
        <v>6.67</v>
      </c>
      <c r="R152" s="54">
        <f>10/2</f>
        <v>5</v>
      </c>
      <c r="S152" s="155">
        <f>5/2</f>
        <v>2.5</v>
      </c>
      <c r="T152" s="54">
        <f>0.01/2</f>
        <v>5.0000000000000001E-3</v>
      </c>
      <c r="U152" s="135">
        <v>0.28000000000000003</v>
      </c>
      <c r="V152" s="54">
        <f>0.01/2</f>
        <v>5.0000000000000001E-3</v>
      </c>
      <c r="W152" s="155">
        <v>1E-3</v>
      </c>
      <c r="X152" s="54">
        <v>8.0000000000000002E-3</v>
      </c>
      <c r="Y152" s="155">
        <f>0.002/2</f>
        <v>1E-3</v>
      </c>
      <c r="Z152" s="312">
        <v>1</v>
      </c>
      <c r="AA152" s="312">
        <v>1</v>
      </c>
      <c r="AB152" s="258">
        <v>8</v>
      </c>
      <c r="AC152" s="54">
        <v>21</v>
      </c>
      <c r="AD152" s="311">
        <v>0.95</v>
      </c>
      <c r="AE152" s="54"/>
      <c r="AJ152" s="114">
        <f>10/2</f>
        <v>5</v>
      </c>
    </row>
    <row r="153" spans="1:36" ht="15" customHeight="1">
      <c r="A153" s="41" t="s">
        <v>183</v>
      </c>
      <c r="B153" s="386" t="s">
        <v>657</v>
      </c>
      <c r="C153" s="149" t="s">
        <v>658</v>
      </c>
      <c r="D153" s="392" t="s">
        <v>659</v>
      </c>
      <c r="E153" s="258" t="s">
        <v>44</v>
      </c>
      <c r="F153" s="386"/>
      <c r="G153" s="389" t="s">
        <v>660</v>
      </c>
      <c r="H153" s="55">
        <v>4226</v>
      </c>
      <c r="I153" s="54" t="s">
        <v>1</v>
      </c>
      <c r="J153" s="61" t="s">
        <v>662</v>
      </c>
      <c r="K153" s="57">
        <v>40863</v>
      </c>
      <c r="L153" s="132">
        <v>40857</v>
      </c>
      <c r="M153" s="54">
        <v>6</v>
      </c>
      <c r="N153" s="54" t="s">
        <v>2</v>
      </c>
      <c r="O153" s="135">
        <f>1.4/2</f>
        <v>0.7</v>
      </c>
      <c r="P153" s="134">
        <v>6.58</v>
      </c>
      <c r="Q153" s="135">
        <v>6.38</v>
      </c>
      <c r="R153" s="54">
        <f>10/2</f>
        <v>5</v>
      </c>
      <c r="S153" s="155">
        <f>5/2</f>
        <v>2.5</v>
      </c>
      <c r="T153" s="54">
        <v>0.03</v>
      </c>
      <c r="U153" s="135">
        <v>0.41</v>
      </c>
      <c r="V153" s="54">
        <v>0.19</v>
      </c>
      <c r="W153" s="155">
        <v>4.0000000000000001E-3</v>
      </c>
      <c r="X153" s="54">
        <v>8.9999999999999993E-3</v>
      </c>
      <c r="Y153" s="155">
        <f>0.002/2</f>
        <v>1E-3</v>
      </c>
      <c r="Z153" s="312">
        <v>1</v>
      </c>
      <c r="AA153" s="312">
        <v>1</v>
      </c>
      <c r="AB153" s="258">
        <v>8</v>
      </c>
      <c r="AC153" s="54">
        <v>21</v>
      </c>
      <c r="AD153" s="311">
        <v>1</v>
      </c>
      <c r="AE153" s="54"/>
      <c r="AJ153" s="114">
        <f>10/2</f>
        <v>5</v>
      </c>
    </row>
    <row r="154" spans="1:36" ht="15" customHeight="1">
      <c r="A154" s="41" t="s">
        <v>183</v>
      </c>
      <c r="B154" s="386" t="s">
        <v>666</v>
      </c>
      <c r="C154" s="149" t="s">
        <v>667</v>
      </c>
      <c r="D154" s="392" t="s">
        <v>251</v>
      </c>
      <c r="E154" s="258" t="s">
        <v>988</v>
      </c>
      <c r="F154" s="386"/>
      <c r="G154" s="389" t="s">
        <v>668</v>
      </c>
      <c r="H154" s="55">
        <v>3724</v>
      </c>
      <c r="I154" s="54" t="s">
        <v>2</v>
      </c>
      <c r="J154" s="61" t="s">
        <v>669</v>
      </c>
      <c r="K154" s="57">
        <v>40857</v>
      </c>
      <c r="L154" s="132">
        <v>40846</v>
      </c>
      <c r="M154" s="54">
        <v>11</v>
      </c>
      <c r="N154" s="54" t="s">
        <v>2</v>
      </c>
      <c r="O154" s="135">
        <f>1/2</f>
        <v>0.5</v>
      </c>
      <c r="P154" s="134">
        <v>6.1</v>
      </c>
      <c r="Q154" s="135">
        <v>5.93</v>
      </c>
      <c r="R154" s="54">
        <v>25.6</v>
      </c>
      <c r="S154" s="155">
        <v>19</v>
      </c>
      <c r="T154" s="54">
        <v>0.18</v>
      </c>
      <c r="U154" s="135">
        <v>1.48</v>
      </c>
      <c r="V154" s="54">
        <f>0.1/2</f>
        <v>0.05</v>
      </c>
      <c r="W154" s="155">
        <v>8.0000000000000002E-3</v>
      </c>
      <c r="X154" s="54">
        <v>3.3000000000000002E-2</v>
      </c>
      <c r="Y154" s="155">
        <f>0.002/2</f>
        <v>1E-3</v>
      </c>
      <c r="Z154" s="312">
        <v>1</v>
      </c>
      <c r="AA154" s="312">
        <v>1</v>
      </c>
      <c r="AB154" s="258">
        <v>4.9800000000000004</v>
      </c>
      <c r="AC154" s="54">
        <v>214</v>
      </c>
      <c r="AD154" s="311">
        <v>1</v>
      </c>
      <c r="AE154" s="54"/>
    </row>
    <row r="155" spans="1:36" ht="15" customHeight="1">
      <c r="A155" s="41" t="s">
        <v>183</v>
      </c>
      <c r="B155" s="386" t="s">
        <v>666</v>
      </c>
      <c r="C155" s="149" t="s">
        <v>670</v>
      </c>
      <c r="D155" s="392" t="s">
        <v>213</v>
      </c>
      <c r="E155" s="258" t="s">
        <v>671</v>
      </c>
      <c r="F155" s="386"/>
      <c r="G155" s="389" t="s">
        <v>672</v>
      </c>
      <c r="H155" s="55">
        <v>3724</v>
      </c>
      <c r="I155" s="54" t="s">
        <v>2</v>
      </c>
      <c r="J155" s="61" t="s">
        <v>669</v>
      </c>
      <c r="K155" s="57">
        <v>40863</v>
      </c>
      <c r="L155" s="132">
        <v>40846</v>
      </c>
      <c r="M155" s="54">
        <v>17</v>
      </c>
      <c r="N155" s="54" t="s">
        <v>2</v>
      </c>
      <c r="O155" s="135">
        <f>1/2</f>
        <v>0.5</v>
      </c>
      <c r="P155" s="134">
        <v>6.43</v>
      </c>
      <c r="Q155" s="135">
        <v>5.84</v>
      </c>
      <c r="R155" s="54">
        <v>96.3</v>
      </c>
      <c r="S155" s="155">
        <v>15</v>
      </c>
      <c r="T155" s="54">
        <v>0.7</v>
      </c>
      <c r="U155" s="135">
        <v>0.2</v>
      </c>
      <c r="V155" s="54">
        <v>0.18</v>
      </c>
      <c r="W155" s="155">
        <v>1.2E-2</v>
      </c>
      <c r="X155" s="54">
        <v>0.107</v>
      </c>
      <c r="Y155" s="155">
        <v>2E-3</v>
      </c>
      <c r="Z155" s="312"/>
      <c r="AA155" s="312"/>
      <c r="AB155" s="258"/>
      <c r="AC155" s="54"/>
      <c r="AD155" s="311"/>
      <c r="AE155" s="54"/>
    </row>
    <row r="156" spans="1:36" ht="15" customHeight="1">
      <c r="A156" s="41" t="s">
        <v>183</v>
      </c>
      <c r="B156" s="386" t="s">
        <v>666</v>
      </c>
      <c r="C156" s="149" t="s">
        <v>673</v>
      </c>
      <c r="D156" s="392" t="s">
        <v>213</v>
      </c>
      <c r="E156" s="258" t="s">
        <v>674</v>
      </c>
      <c r="F156" s="386"/>
      <c r="G156" s="389" t="s">
        <v>675</v>
      </c>
      <c r="H156" s="55">
        <v>3724</v>
      </c>
      <c r="I156" s="54" t="s">
        <v>2</v>
      </c>
      <c r="J156" s="61" t="s">
        <v>669</v>
      </c>
      <c r="K156" s="57">
        <v>40863</v>
      </c>
      <c r="L156" s="132">
        <v>40859</v>
      </c>
      <c r="M156" s="54">
        <v>4</v>
      </c>
      <c r="N156" s="54" t="s">
        <v>2</v>
      </c>
      <c r="O156" s="135">
        <f>1/2</f>
        <v>0.5</v>
      </c>
      <c r="P156" s="134">
        <v>6.43</v>
      </c>
      <c r="Q156" s="135">
        <v>5.23</v>
      </c>
      <c r="R156" s="54">
        <v>98.4</v>
      </c>
      <c r="S156" s="155">
        <v>65</v>
      </c>
      <c r="T156" s="54">
        <v>0.32</v>
      </c>
      <c r="U156" s="135">
        <v>0.3</v>
      </c>
      <c r="V156" s="54">
        <f>0.1/2</f>
        <v>0.05</v>
      </c>
      <c r="W156" s="155">
        <v>3.5999999999999997E-2</v>
      </c>
      <c r="X156" s="54">
        <v>9.8000000000000004E-2</v>
      </c>
      <c r="Y156" s="155">
        <v>4.0000000000000001E-3</v>
      </c>
      <c r="Z156" s="312"/>
      <c r="AA156" s="312"/>
      <c r="AB156" s="258"/>
      <c r="AC156" s="54"/>
      <c r="AD156" s="311"/>
      <c r="AE156" s="54"/>
    </row>
    <row r="157" spans="1:36" ht="15" customHeight="1">
      <c r="A157" s="41" t="s">
        <v>183</v>
      </c>
      <c r="B157" s="386" t="s">
        <v>666</v>
      </c>
      <c r="C157" s="149" t="s">
        <v>673</v>
      </c>
      <c r="D157" s="392" t="s">
        <v>213</v>
      </c>
      <c r="E157" s="258" t="s">
        <v>674</v>
      </c>
      <c r="F157" s="386"/>
      <c r="G157" s="389" t="s">
        <v>675</v>
      </c>
      <c r="H157" s="55">
        <v>3724</v>
      </c>
      <c r="I157" s="54" t="s">
        <v>2</v>
      </c>
      <c r="J157" s="61" t="s">
        <v>676</v>
      </c>
      <c r="K157" s="57">
        <v>40863</v>
      </c>
      <c r="L157" s="132">
        <v>40859</v>
      </c>
      <c r="M157" s="54">
        <v>4</v>
      </c>
      <c r="N157" s="54" t="s">
        <v>2</v>
      </c>
      <c r="O157" s="135">
        <f>1/2</f>
        <v>0.5</v>
      </c>
      <c r="P157" s="134">
        <v>6.43</v>
      </c>
      <c r="Q157" s="135">
        <v>4.6399999999999997</v>
      </c>
      <c r="R157" s="54">
        <v>28.9</v>
      </c>
      <c r="S157" s="155">
        <v>14</v>
      </c>
      <c r="T157" s="54">
        <v>0.08</v>
      </c>
      <c r="U157" s="135">
        <v>0.68</v>
      </c>
      <c r="V157" s="54">
        <v>0.12</v>
      </c>
      <c r="W157" s="155">
        <v>1.2E-2</v>
      </c>
      <c r="X157" s="54">
        <v>0.183</v>
      </c>
      <c r="Y157" s="155">
        <v>3.0000000000000001E-3</v>
      </c>
      <c r="Z157" s="312"/>
      <c r="AA157" s="312"/>
      <c r="AB157" s="351"/>
      <c r="AC157" s="142"/>
      <c r="AD157" s="311"/>
      <c r="AE157" s="54"/>
    </row>
    <row r="158" spans="1:36" ht="15" customHeight="1">
      <c r="A158" s="41" t="s">
        <v>183</v>
      </c>
      <c r="B158" s="386" t="s">
        <v>680</v>
      </c>
      <c r="C158" s="149" t="s">
        <v>680</v>
      </c>
      <c r="D158" s="392" t="s">
        <v>303</v>
      </c>
      <c r="E158" s="258" t="s">
        <v>681</v>
      </c>
      <c r="F158" s="386"/>
      <c r="G158" s="389" t="s">
        <v>682</v>
      </c>
      <c r="H158" s="55">
        <v>3999</v>
      </c>
      <c r="I158" s="54" t="s">
        <v>2</v>
      </c>
      <c r="J158" s="61" t="s">
        <v>81</v>
      </c>
      <c r="K158" s="57">
        <v>40858</v>
      </c>
      <c r="L158" s="132">
        <v>40845</v>
      </c>
      <c r="M158" s="54">
        <v>13</v>
      </c>
      <c r="N158" s="54" t="s">
        <v>2</v>
      </c>
      <c r="O158" s="135">
        <f>5/2</f>
        <v>2.5</v>
      </c>
      <c r="P158" s="134">
        <v>6</v>
      </c>
      <c r="Q158" s="135">
        <v>6.5</v>
      </c>
      <c r="R158" s="54">
        <v>17</v>
      </c>
      <c r="S158" s="155">
        <v>86</v>
      </c>
      <c r="T158" s="54">
        <f>0.1/2</f>
        <v>0.05</v>
      </c>
      <c r="U158" s="135">
        <f>1/2</f>
        <v>0.5</v>
      </c>
      <c r="V158" s="54">
        <v>3.5</v>
      </c>
      <c r="W158" s="155">
        <f>0.04/2</f>
        <v>0.02</v>
      </c>
      <c r="X158" s="54">
        <v>5.1999999999999998E-2</v>
      </c>
      <c r="Y158" s="155">
        <f>0.013/2</f>
        <v>6.4999999999999997E-3</v>
      </c>
      <c r="Z158" s="312"/>
      <c r="AA158" s="312"/>
      <c r="AB158" s="351"/>
      <c r="AC158" s="142"/>
      <c r="AD158" s="311"/>
      <c r="AE158" s="54"/>
    </row>
    <row r="159" spans="1:36" ht="15" customHeight="1">
      <c r="A159" s="41" t="s">
        <v>183</v>
      </c>
      <c r="B159" s="386" t="s">
        <v>688</v>
      </c>
      <c r="C159" s="149" t="s">
        <v>688</v>
      </c>
      <c r="D159" s="392" t="s">
        <v>234</v>
      </c>
      <c r="E159" s="258" t="s">
        <v>235</v>
      </c>
      <c r="F159" s="386"/>
      <c r="G159" s="389" t="s">
        <v>689</v>
      </c>
      <c r="H159" s="55">
        <v>3471</v>
      </c>
      <c r="I159" s="54" t="s">
        <v>1</v>
      </c>
      <c r="J159" s="61" t="s">
        <v>690</v>
      </c>
      <c r="K159" s="57">
        <v>40898</v>
      </c>
      <c r="L159" s="132">
        <v>40892</v>
      </c>
      <c r="M159" s="54">
        <v>6</v>
      </c>
      <c r="N159" s="54" t="s">
        <v>2</v>
      </c>
      <c r="O159" s="135">
        <v>2.8</v>
      </c>
      <c r="P159" s="134">
        <v>6.91</v>
      </c>
      <c r="Q159" s="135">
        <v>7.18</v>
      </c>
      <c r="R159" s="54">
        <v>11.3</v>
      </c>
      <c r="S159" s="155">
        <v>1</v>
      </c>
      <c r="T159" s="54">
        <f>0.05/2</f>
        <v>2.5000000000000001E-2</v>
      </c>
      <c r="U159" s="135">
        <v>1.22</v>
      </c>
      <c r="V159" s="54">
        <v>0.42</v>
      </c>
      <c r="W159" s="155">
        <v>3.5000000000000003E-2</v>
      </c>
      <c r="X159" s="54">
        <v>0.16400000000000001</v>
      </c>
      <c r="Y159" s="155">
        <v>4.0000000000000001E-3</v>
      </c>
      <c r="Z159" s="312">
        <v>0.66</v>
      </c>
      <c r="AA159" s="312">
        <v>0.435</v>
      </c>
      <c r="AB159" s="351">
        <v>8.57</v>
      </c>
      <c r="AC159" s="142">
        <v>75.8</v>
      </c>
      <c r="AD159" s="311">
        <v>0</v>
      </c>
      <c r="AE159" s="54">
        <v>20</v>
      </c>
    </row>
    <row r="160" spans="1:36" ht="15" customHeight="1">
      <c r="A160" s="41" t="s">
        <v>183</v>
      </c>
      <c r="B160" s="386" t="s">
        <v>688</v>
      </c>
      <c r="C160" s="149" t="s">
        <v>688</v>
      </c>
      <c r="D160" s="392" t="s">
        <v>234</v>
      </c>
      <c r="E160" s="258" t="s">
        <v>235</v>
      </c>
      <c r="F160" s="386"/>
      <c r="G160" s="389" t="s">
        <v>689</v>
      </c>
      <c r="H160" s="55">
        <v>3471</v>
      </c>
      <c r="I160" s="54" t="s">
        <v>1</v>
      </c>
      <c r="J160" s="61" t="s">
        <v>691</v>
      </c>
      <c r="K160" s="57">
        <v>40898</v>
      </c>
      <c r="L160" s="132">
        <v>40892</v>
      </c>
      <c r="M160" s="54">
        <v>6</v>
      </c>
      <c r="N160" s="54" t="s">
        <v>2</v>
      </c>
      <c r="O160" s="135">
        <v>3.2</v>
      </c>
      <c r="P160" s="134">
        <v>6.91</v>
      </c>
      <c r="Q160" s="135">
        <v>7.29</v>
      </c>
      <c r="R160" s="54">
        <v>44.4</v>
      </c>
      <c r="S160" s="155">
        <v>48</v>
      </c>
      <c r="T160" s="54">
        <v>0.08</v>
      </c>
      <c r="U160" s="135">
        <v>1.42</v>
      </c>
      <c r="V160" s="54">
        <v>0.93</v>
      </c>
      <c r="W160" s="155">
        <v>0.123</v>
      </c>
      <c r="X160" s="54">
        <v>0.217</v>
      </c>
      <c r="Y160" s="155">
        <v>1.9E-2</v>
      </c>
      <c r="Z160" s="312">
        <v>0.59499999999999997</v>
      </c>
      <c r="AA160" s="312">
        <v>0.308</v>
      </c>
      <c r="AB160" s="351">
        <v>19.75</v>
      </c>
      <c r="AC160" s="142">
        <v>76.099999999999994</v>
      </c>
      <c r="AD160" s="311">
        <v>0</v>
      </c>
      <c r="AE160" s="54">
        <v>96</v>
      </c>
    </row>
    <row r="161" spans="1:35" ht="15" customHeight="1">
      <c r="A161" s="41" t="s">
        <v>183</v>
      </c>
      <c r="B161" s="386" t="s">
        <v>688</v>
      </c>
      <c r="C161" s="149" t="s">
        <v>688</v>
      </c>
      <c r="D161" s="392" t="s">
        <v>234</v>
      </c>
      <c r="E161" s="258" t="s">
        <v>235</v>
      </c>
      <c r="F161" s="386"/>
      <c r="G161" s="389" t="s">
        <v>689</v>
      </c>
      <c r="H161" s="55">
        <v>3471</v>
      </c>
      <c r="I161" s="54" t="s">
        <v>1</v>
      </c>
      <c r="J161" s="61" t="s">
        <v>692</v>
      </c>
      <c r="K161" s="57">
        <v>40898</v>
      </c>
      <c r="L161" s="132">
        <v>40892</v>
      </c>
      <c r="M161" s="54">
        <v>6</v>
      </c>
      <c r="N161" s="54" t="s">
        <v>2</v>
      </c>
      <c r="O161" s="135">
        <v>2</v>
      </c>
      <c r="P161" s="134">
        <v>6.91</v>
      </c>
      <c r="Q161" s="135">
        <v>7.35</v>
      </c>
      <c r="R161" s="54">
        <v>41.4</v>
      </c>
      <c r="S161" s="155">
        <v>58</v>
      </c>
      <c r="T161" s="54">
        <v>7.0000000000000007E-2</v>
      </c>
      <c r="U161" s="135">
        <v>1.1399999999999999</v>
      </c>
      <c r="V161" s="54">
        <v>0.63</v>
      </c>
      <c r="W161" s="155">
        <v>5.0999999999999997E-2</v>
      </c>
      <c r="X161" s="54">
        <v>0.121</v>
      </c>
      <c r="Y161" s="155">
        <v>1.6E-2</v>
      </c>
      <c r="Z161" s="312">
        <v>1</v>
      </c>
      <c r="AA161" s="312">
        <v>0.70699999999999996</v>
      </c>
      <c r="AB161" s="351">
        <v>9.4</v>
      </c>
      <c r="AC161" s="142">
        <v>53.7</v>
      </c>
      <c r="AD161" s="311">
        <v>0</v>
      </c>
      <c r="AE161" s="54">
        <v>24</v>
      </c>
    </row>
    <row r="162" spans="1:35" ht="15" customHeight="1">
      <c r="A162" s="41" t="s">
        <v>183</v>
      </c>
      <c r="B162" s="386" t="s">
        <v>693</v>
      </c>
      <c r="C162" s="149" t="s">
        <v>693</v>
      </c>
      <c r="D162" s="392" t="s">
        <v>262</v>
      </c>
      <c r="E162" s="258" t="s">
        <v>694</v>
      </c>
      <c r="F162" s="386"/>
      <c r="G162" s="389" t="s">
        <v>695</v>
      </c>
      <c r="H162" s="55">
        <v>3471</v>
      </c>
      <c r="I162" s="54" t="s">
        <v>2</v>
      </c>
      <c r="J162" s="61" t="s">
        <v>696</v>
      </c>
      <c r="K162" s="57">
        <v>40863</v>
      </c>
      <c r="L162" s="132">
        <v>40857</v>
      </c>
      <c r="M162" s="54">
        <v>6</v>
      </c>
      <c r="N162" s="54" t="s">
        <v>2</v>
      </c>
      <c r="O162" s="135">
        <f>1/2</f>
        <v>0.5</v>
      </c>
      <c r="P162" s="134">
        <v>6</v>
      </c>
      <c r="Q162" s="135">
        <v>6.8</v>
      </c>
      <c r="R162" s="54">
        <v>110.1</v>
      </c>
      <c r="S162" s="155">
        <v>22</v>
      </c>
      <c r="T162" s="54">
        <v>0.19</v>
      </c>
      <c r="U162" s="135">
        <v>4.5999999999999996</v>
      </c>
      <c r="V162" s="54">
        <v>3.81</v>
      </c>
      <c r="W162" s="155">
        <v>0.433</v>
      </c>
      <c r="X162" s="54">
        <v>0.18</v>
      </c>
      <c r="Y162" s="155">
        <v>3.5000000000000003E-2</v>
      </c>
      <c r="Z162" s="312">
        <v>6.25E-2</v>
      </c>
      <c r="AA162" s="312">
        <v>6.25E-2</v>
      </c>
      <c r="AB162" s="351">
        <v>70.7</v>
      </c>
      <c r="AC162" s="142">
        <v>201</v>
      </c>
      <c r="AD162" s="311">
        <v>0</v>
      </c>
      <c r="AE162" s="54"/>
    </row>
    <row r="163" spans="1:35" ht="15" customHeight="1">
      <c r="A163" s="41" t="s">
        <v>183</v>
      </c>
      <c r="B163" s="386" t="s">
        <v>697</v>
      </c>
      <c r="C163" s="149" t="s">
        <v>697</v>
      </c>
      <c r="D163" s="392" t="s">
        <v>338</v>
      </c>
      <c r="E163" s="258" t="s">
        <v>698</v>
      </c>
      <c r="F163" s="386"/>
      <c r="G163" s="389" t="s">
        <v>699</v>
      </c>
      <c r="H163" s="55">
        <v>3714</v>
      </c>
      <c r="I163" s="54" t="s">
        <v>2</v>
      </c>
      <c r="J163" s="61" t="s">
        <v>700</v>
      </c>
      <c r="K163" s="57">
        <v>40898</v>
      </c>
      <c r="L163" s="132">
        <v>40893</v>
      </c>
      <c r="M163" s="54">
        <v>5</v>
      </c>
      <c r="N163" s="54" t="s">
        <v>2</v>
      </c>
      <c r="O163" s="135">
        <f>1.9/2</f>
        <v>0.95</v>
      </c>
      <c r="P163" s="134">
        <v>6.84</v>
      </c>
      <c r="Q163" s="135">
        <v>8</v>
      </c>
      <c r="R163" s="54">
        <f>20/2</f>
        <v>10</v>
      </c>
      <c r="S163" s="155">
        <v>4.5999999999999996</v>
      </c>
      <c r="T163" s="54">
        <v>3.9E-2</v>
      </c>
      <c r="U163" s="135">
        <v>1.3</v>
      </c>
      <c r="V163" s="54">
        <v>1.3</v>
      </c>
      <c r="W163" s="155">
        <f>0.005/2</f>
        <v>2.5000000000000001E-3</v>
      </c>
      <c r="X163" s="54">
        <v>1.7999999999999999E-2</v>
      </c>
      <c r="Y163" s="155">
        <f>0.005/2</f>
        <v>2.5000000000000001E-3</v>
      </c>
      <c r="Z163" s="312">
        <v>1</v>
      </c>
      <c r="AA163" s="312">
        <v>1</v>
      </c>
      <c r="AB163" s="351">
        <v>80</v>
      </c>
      <c r="AC163" s="142">
        <v>318</v>
      </c>
      <c r="AD163" s="311">
        <v>1</v>
      </c>
      <c r="AE163" s="54"/>
    </row>
    <row r="164" spans="1:35" ht="15" customHeight="1">
      <c r="A164" s="41" t="s">
        <v>183</v>
      </c>
      <c r="B164" s="386" t="s">
        <v>701</v>
      </c>
      <c r="C164" s="149" t="s">
        <v>702</v>
      </c>
      <c r="D164" s="392" t="s">
        <v>209</v>
      </c>
      <c r="E164" s="258" t="s">
        <v>985</v>
      </c>
      <c r="F164" s="386"/>
      <c r="G164" s="389" t="s">
        <v>703</v>
      </c>
      <c r="H164" s="55">
        <v>3052</v>
      </c>
      <c r="I164" s="54"/>
      <c r="J164" s="61" t="s">
        <v>81</v>
      </c>
      <c r="K164" s="57">
        <v>40843</v>
      </c>
      <c r="L164" s="132">
        <v>40836</v>
      </c>
      <c r="M164" s="54">
        <v>7</v>
      </c>
      <c r="N164" s="54" t="s">
        <v>2</v>
      </c>
      <c r="O164" s="135">
        <f>5/2</f>
        <v>2.5</v>
      </c>
      <c r="P164" s="134">
        <v>4.7</v>
      </c>
      <c r="Q164" s="135">
        <v>6.08</v>
      </c>
      <c r="R164" s="54">
        <v>37</v>
      </c>
      <c r="S164" s="155">
        <v>12</v>
      </c>
      <c r="T164" s="54">
        <f>0.1/2</f>
        <v>0.05</v>
      </c>
      <c r="U164" s="135">
        <f>1/2</f>
        <v>0.5</v>
      </c>
      <c r="V164" s="54">
        <v>0.24</v>
      </c>
      <c r="W164" s="155">
        <f>0.04/2</f>
        <v>0.02</v>
      </c>
      <c r="X164" s="54">
        <v>4.2000000000000003E-2</v>
      </c>
      <c r="Y164" s="155">
        <f>0.013/2</f>
        <v>6.4999999999999997E-3</v>
      </c>
      <c r="Z164" s="312">
        <v>1</v>
      </c>
      <c r="AA164" s="312">
        <v>1</v>
      </c>
      <c r="AB164" s="351">
        <v>8</v>
      </c>
      <c r="AC164" s="142">
        <v>61</v>
      </c>
      <c r="AD164" s="311">
        <v>1</v>
      </c>
      <c r="AE164" s="54"/>
    </row>
    <row r="165" spans="1:35" ht="15" customHeight="1">
      <c r="A165" s="41" t="s">
        <v>183</v>
      </c>
      <c r="B165" s="386" t="s">
        <v>701</v>
      </c>
      <c r="C165" s="149" t="s">
        <v>702</v>
      </c>
      <c r="D165" s="392" t="s">
        <v>209</v>
      </c>
      <c r="E165" s="258" t="s">
        <v>985</v>
      </c>
      <c r="F165" s="386"/>
      <c r="G165" s="389" t="s">
        <v>703</v>
      </c>
      <c r="H165" s="55">
        <v>3052</v>
      </c>
      <c r="I165" s="54"/>
      <c r="J165" s="61" t="s">
        <v>114</v>
      </c>
      <c r="K165" s="57">
        <v>40843</v>
      </c>
      <c r="L165" s="132">
        <v>40836</v>
      </c>
      <c r="M165" s="54">
        <v>7</v>
      </c>
      <c r="N165" s="54" t="s">
        <v>2</v>
      </c>
      <c r="O165" s="135">
        <f>5/2</f>
        <v>2.5</v>
      </c>
      <c r="P165" s="134">
        <v>4.7</v>
      </c>
      <c r="Q165" s="135">
        <v>6.27</v>
      </c>
      <c r="R165" s="54">
        <v>19</v>
      </c>
      <c r="S165" s="155">
        <f>5/2</f>
        <v>2.5</v>
      </c>
      <c r="T165" s="54">
        <f>0.1/2</f>
        <v>0.05</v>
      </c>
      <c r="U165" s="135">
        <f>1/2</f>
        <v>0.5</v>
      </c>
      <c r="V165" s="54">
        <v>0.26</v>
      </c>
      <c r="W165" s="155">
        <f>0.04/2</f>
        <v>0.02</v>
      </c>
      <c r="X165" s="54">
        <v>5.1999999999999998E-2</v>
      </c>
      <c r="Y165" s="155">
        <f>0.013/2</f>
        <v>6.4999999999999997E-3</v>
      </c>
      <c r="Z165" s="312">
        <v>1</v>
      </c>
      <c r="AA165" s="312">
        <v>1</v>
      </c>
      <c r="AB165" s="351">
        <v>12</v>
      </c>
      <c r="AC165" s="142">
        <v>67</v>
      </c>
      <c r="AD165" s="311">
        <v>1</v>
      </c>
      <c r="AE165" s="54"/>
    </row>
    <row r="166" spans="1:35" ht="15" customHeight="1">
      <c r="A166" s="41" t="s">
        <v>183</v>
      </c>
      <c r="B166" s="386" t="s">
        <v>801</v>
      </c>
      <c r="C166" s="149"/>
      <c r="D166" s="392" t="s">
        <v>200</v>
      </c>
      <c r="E166" s="258" t="s">
        <v>990</v>
      </c>
      <c r="F166" s="64" t="s">
        <v>989</v>
      </c>
      <c r="G166" s="389" t="s">
        <v>802</v>
      </c>
      <c r="H166" s="55">
        <v>3272</v>
      </c>
      <c r="I166" s="54" t="s">
        <v>2</v>
      </c>
      <c r="J166" s="61" t="s">
        <v>194</v>
      </c>
      <c r="K166" s="57">
        <v>40898</v>
      </c>
      <c r="L166" s="156"/>
      <c r="N166" s="54" t="s">
        <v>2</v>
      </c>
      <c r="O166" s="135">
        <v>2.2999999999999998</v>
      </c>
      <c r="P166" s="134">
        <v>5.5</v>
      </c>
      <c r="Q166" s="135">
        <v>11.6</v>
      </c>
      <c r="R166" s="54">
        <v>58</v>
      </c>
      <c r="S166" s="155">
        <v>310</v>
      </c>
      <c r="T166" s="54">
        <v>0.25</v>
      </c>
      <c r="U166" s="135">
        <v>2.63</v>
      </c>
      <c r="V166" s="54">
        <v>1.6</v>
      </c>
      <c r="W166" s="155">
        <v>2.5000000000000001E-2</v>
      </c>
      <c r="X166" s="54">
        <v>3.3000000000000002E-2</v>
      </c>
      <c r="Y166" s="155">
        <f>0.03/2</f>
        <v>1.4999999999999999E-2</v>
      </c>
      <c r="Z166" s="312">
        <v>0.5</v>
      </c>
      <c r="AA166" s="312">
        <v>0.29499999999999998</v>
      </c>
      <c r="AB166" s="351">
        <v>423</v>
      </c>
      <c r="AC166" s="142">
        <v>1073</v>
      </c>
      <c r="AD166" s="311">
        <v>0</v>
      </c>
      <c r="AE166" s="54"/>
    </row>
    <row r="167" spans="1:35" ht="15" customHeight="1">
      <c r="A167" s="41" t="s">
        <v>183</v>
      </c>
      <c r="B167" s="386" t="s">
        <v>801</v>
      </c>
      <c r="C167" s="149"/>
      <c r="D167" s="392" t="s">
        <v>200</v>
      </c>
      <c r="E167" s="258" t="s">
        <v>990</v>
      </c>
      <c r="F167" s="386" t="s">
        <v>989</v>
      </c>
      <c r="G167" s="389" t="s">
        <v>802</v>
      </c>
      <c r="H167" s="55">
        <v>3272</v>
      </c>
      <c r="I167" s="54" t="s">
        <v>2</v>
      </c>
      <c r="J167" s="61" t="s">
        <v>803</v>
      </c>
      <c r="K167" s="57">
        <v>40898</v>
      </c>
      <c r="L167" s="156"/>
      <c r="N167" s="54" t="s">
        <v>2</v>
      </c>
      <c r="O167" s="135">
        <v>4.5999999999999996</v>
      </c>
      <c r="P167" s="134">
        <v>5.5</v>
      </c>
      <c r="Q167" s="135">
        <v>9.6999999999999993</v>
      </c>
      <c r="R167" s="54">
        <v>111</v>
      </c>
      <c r="S167" s="155">
        <v>616</v>
      </c>
      <c r="T167" s="54">
        <v>1.08</v>
      </c>
      <c r="U167" s="135">
        <v>3.88</v>
      </c>
      <c r="V167" s="54">
        <v>0.9</v>
      </c>
      <c r="W167" s="155">
        <v>7.3999999999999996E-2</v>
      </c>
      <c r="X167" s="54">
        <v>0.214</v>
      </c>
      <c r="Y167" s="155">
        <v>3.1E-2</v>
      </c>
      <c r="Z167" s="312">
        <v>1</v>
      </c>
      <c r="AA167" s="312">
        <v>1</v>
      </c>
      <c r="AB167" s="351">
        <v>315</v>
      </c>
      <c r="AC167" s="142">
        <v>270</v>
      </c>
      <c r="AD167" s="311">
        <v>1</v>
      </c>
      <c r="AE167" s="54"/>
    </row>
    <row r="168" spans="1:35" ht="15" customHeight="1">
      <c r="A168" s="41" t="s">
        <v>183</v>
      </c>
      <c r="B168" s="386" t="s">
        <v>820</v>
      </c>
      <c r="C168" s="149" t="s">
        <v>820</v>
      </c>
      <c r="D168" s="392" t="s">
        <v>818</v>
      </c>
      <c r="E168" s="258"/>
      <c r="F168" s="64" t="s">
        <v>984</v>
      </c>
      <c r="G168" s="389" t="s">
        <v>819</v>
      </c>
      <c r="H168" s="55">
        <v>2759</v>
      </c>
      <c r="I168" s="54" t="s">
        <v>2</v>
      </c>
      <c r="J168" s="61" t="s">
        <v>700</v>
      </c>
      <c r="K168" s="57">
        <v>40876</v>
      </c>
      <c r="L168" s="132">
        <v>40870</v>
      </c>
      <c r="M168" s="54">
        <v>6</v>
      </c>
      <c r="N168" s="54" t="s">
        <v>2</v>
      </c>
      <c r="O168" s="135">
        <f>1.7/2</f>
        <v>0.85</v>
      </c>
      <c r="P168" s="134">
        <v>5.26</v>
      </c>
      <c r="Q168" s="135">
        <v>6.57</v>
      </c>
      <c r="R168" s="54">
        <f>20/2</f>
        <v>10</v>
      </c>
      <c r="S168" s="155">
        <v>9.4</v>
      </c>
      <c r="T168" s="54">
        <v>4.7E-2</v>
      </c>
      <c r="U168" s="135">
        <f>1/2</f>
        <v>0.5</v>
      </c>
      <c r="V168" s="54">
        <v>0.64</v>
      </c>
      <c r="W168" s="155">
        <f>0.005/2</f>
        <v>2.5000000000000001E-3</v>
      </c>
      <c r="X168" s="54">
        <v>3.3000000000000002E-2</v>
      </c>
      <c r="Y168" s="155">
        <f>0.005/2</f>
        <v>2.5000000000000001E-3</v>
      </c>
      <c r="Z168" s="312"/>
      <c r="AA168" s="312"/>
      <c r="AB168" s="351"/>
      <c r="AC168" s="142"/>
      <c r="AD168" s="311"/>
      <c r="AE168" s="54"/>
    </row>
    <row r="169" spans="1:35" ht="15" customHeight="1">
      <c r="A169" s="41" t="s">
        <v>183</v>
      </c>
      <c r="B169" s="386" t="s">
        <v>820</v>
      </c>
      <c r="C169" s="149" t="s">
        <v>820</v>
      </c>
      <c r="D169" s="392" t="s">
        <v>78</v>
      </c>
      <c r="E169" s="258"/>
      <c r="F169" s="386" t="s">
        <v>984</v>
      </c>
      <c r="G169" s="389" t="s">
        <v>821</v>
      </c>
      <c r="H169" s="55">
        <v>2759</v>
      </c>
      <c r="I169" s="54" t="s">
        <v>2</v>
      </c>
      <c r="J169" s="61" t="s">
        <v>700</v>
      </c>
      <c r="K169" s="57">
        <v>40876</v>
      </c>
      <c r="L169" s="132">
        <v>40870</v>
      </c>
      <c r="M169" s="54">
        <v>6</v>
      </c>
      <c r="N169" s="54" t="s">
        <v>2</v>
      </c>
      <c r="O169" s="135">
        <f>1.9/2</f>
        <v>0.95</v>
      </c>
      <c r="P169" s="134">
        <v>5.26</v>
      </c>
      <c r="Q169" s="135">
        <v>6.39</v>
      </c>
      <c r="R169" s="54">
        <f>20/2</f>
        <v>10</v>
      </c>
      <c r="S169" s="155">
        <v>10</v>
      </c>
      <c r="T169" s="54">
        <v>4.2000000000000003E-2</v>
      </c>
      <c r="U169" s="135">
        <f>1/2</f>
        <v>0.5</v>
      </c>
      <c r="V169" s="54">
        <f>0.46/2</f>
        <v>0.23</v>
      </c>
      <c r="W169" s="155">
        <f>0.005/2</f>
        <v>2.5000000000000001E-3</v>
      </c>
      <c r="X169" s="54">
        <v>2.7E-2</v>
      </c>
      <c r="Y169" s="155">
        <f>0.005/2</f>
        <v>2.5000000000000001E-3</v>
      </c>
      <c r="Z169" s="312"/>
      <c r="AA169" s="312"/>
      <c r="AB169" s="351"/>
      <c r="AC169" s="142"/>
      <c r="AD169" s="311"/>
      <c r="AE169" s="54"/>
    </row>
    <row r="170" spans="1:35" ht="15" customHeight="1">
      <c r="A170" s="41" t="s">
        <v>183</v>
      </c>
      <c r="B170" s="386" t="s">
        <v>666</v>
      </c>
      <c r="C170" s="149" t="s">
        <v>822</v>
      </c>
      <c r="D170" s="392" t="s">
        <v>251</v>
      </c>
      <c r="E170" s="258" t="s">
        <v>823</v>
      </c>
      <c r="F170" s="386"/>
      <c r="G170" s="389" t="s">
        <v>824</v>
      </c>
      <c r="H170" s="55">
        <v>3724</v>
      </c>
      <c r="I170" s="54" t="s">
        <v>2</v>
      </c>
      <c r="J170" s="61" t="s">
        <v>669</v>
      </c>
      <c r="K170" s="57">
        <v>40857</v>
      </c>
      <c r="L170" s="132">
        <v>40846</v>
      </c>
      <c r="M170" s="54">
        <v>11</v>
      </c>
      <c r="N170" s="54" t="s">
        <v>2</v>
      </c>
      <c r="O170" s="135">
        <f>1/2</f>
        <v>0.5</v>
      </c>
      <c r="P170" s="134">
        <v>6.1</v>
      </c>
      <c r="Q170" s="135">
        <v>6.99</v>
      </c>
      <c r="R170" s="54">
        <v>35.299999999999997</v>
      </c>
      <c r="S170" s="155">
        <v>20</v>
      </c>
      <c r="T170" s="54">
        <v>0.11</v>
      </c>
      <c r="U170" s="135">
        <v>1.48</v>
      </c>
      <c r="V170" s="54">
        <v>0.2</v>
      </c>
      <c r="W170" s="155">
        <v>8.9999999999999993E-3</v>
      </c>
      <c r="X170" s="54">
        <v>8.8999999999999996E-2</v>
      </c>
      <c r="Y170" s="155">
        <f>0.002/2</f>
        <v>1E-3</v>
      </c>
      <c r="Z170" s="312">
        <v>1</v>
      </c>
      <c r="AA170" s="312">
        <v>1</v>
      </c>
      <c r="AB170" s="351">
        <v>44.5</v>
      </c>
      <c r="AC170" s="142">
        <v>69</v>
      </c>
      <c r="AD170" s="311">
        <v>1</v>
      </c>
      <c r="AE170" s="54"/>
    </row>
    <row r="171" spans="1:35" ht="15" customHeight="1">
      <c r="A171" s="41" t="s">
        <v>183</v>
      </c>
      <c r="B171" s="386" t="s">
        <v>666</v>
      </c>
      <c r="C171" s="149" t="s">
        <v>822</v>
      </c>
      <c r="D171" s="392" t="s">
        <v>251</v>
      </c>
      <c r="E171" s="258" t="s">
        <v>823</v>
      </c>
      <c r="F171" s="386"/>
      <c r="G171" s="389" t="s">
        <v>824</v>
      </c>
      <c r="H171" s="55">
        <v>3724</v>
      </c>
      <c r="I171" s="54" t="s">
        <v>2</v>
      </c>
      <c r="J171" s="61" t="s">
        <v>676</v>
      </c>
      <c r="K171" s="57">
        <v>40857</v>
      </c>
      <c r="L171" s="132">
        <v>40846</v>
      </c>
      <c r="M171" s="54">
        <v>11</v>
      </c>
      <c r="N171" s="54" t="s">
        <v>2</v>
      </c>
      <c r="O171" s="135">
        <v>2.4</v>
      </c>
      <c r="P171" s="134">
        <v>6.1</v>
      </c>
      <c r="Q171" s="135">
        <v>1.99</v>
      </c>
      <c r="R171" s="54">
        <v>22.2</v>
      </c>
      <c r="S171" s="155">
        <v>19</v>
      </c>
      <c r="T171" s="54">
        <v>0.06</v>
      </c>
      <c r="U171" s="135">
        <v>1.5</v>
      </c>
      <c r="V171" s="54">
        <v>0.15</v>
      </c>
      <c r="W171" s="155">
        <v>1.6E-2</v>
      </c>
      <c r="X171" s="54">
        <v>0.126</v>
      </c>
      <c r="Y171" s="155">
        <f>0.002/2</f>
        <v>1E-3</v>
      </c>
      <c r="Z171" s="312">
        <v>6.25E-2</v>
      </c>
      <c r="AA171" s="312">
        <v>6.25E-2</v>
      </c>
      <c r="AB171" s="351">
        <v>60.8</v>
      </c>
      <c r="AC171" s="142">
        <v>8500</v>
      </c>
      <c r="AD171" s="311">
        <v>0</v>
      </c>
      <c r="AE171" s="54"/>
    </row>
    <row r="172" spans="1:35" ht="15" customHeight="1">
      <c r="A172" s="41" t="s">
        <v>183</v>
      </c>
      <c r="B172" s="386" t="s">
        <v>825</v>
      </c>
      <c r="C172" s="149" t="s">
        <v>826</v>
      </c>
      <c r="D172" s="392" t="s">
        <v>827</v>
      </c>
      <c r="E172" s="421"/>
      <c r="F172" s="386"/>
      <c r="G172" s="389" t="s">
        <v>828</v>
      </c>
      <c r="H172" s="55">
        <v>3270</v>
      </c>
      <c r="I172" s="54"/>
      <c r="J172" s="61" t="s">
        <v>829</v>
      </c>
      <c r="K172" s="57">
        <v>40828</v>
      </c>
      <c r="L172" s="132">
        <v>40820</v>
      </c>
      <c r="M172" s="54">
        <v>8</v>
      </c>
      <c r="N172" s="54" t="s">
        <v>2</v>
      </c>
      <c r="O172" s="135">
        <f>2/2</f>
        <v>1</v>
      </c>
      <c r="P172" s="134"/>
      <c r="Q172" s="135">
        <v>9.6</v>
      </c>
      <c r="R172" s="54">
        <v>69</v>
      </c>
      <c r="S172" s="155">
        <v>370</v>
      </c>
      <c r="T172" s="54">
        <v>0.54</v>
      </c>
      <c r="U172" s="135">
        <f>0.5/2</f>
        <v>0.25</v>
      </c>
      <c r="V172" s="54">
        <v>0.56000000000000005</v>
      </c>
      <c r="W172" s="155">
        <v>4.8000000000000001E-2</v>
      </c>
      <c r="X172" s="54">
        <v>0.1</v>
      </c>
      <c r="Y172" s="155">
        <v>5.8999999999999999E-3</v>
      </c>
      <c r="Z172" s="312">
        <v>1</v>
      </c>
      <c r="AA172" s="312">
        <v>1</v>
      </c>
      <c r="AB172" s="351">
        <v>86</v>
      </c>
      <c r="AC172" s="142">
        <v>165</v>
      </c>
      <c r="AD172" s="311">
        <v>1</v>
      </c>
      <c r="AE172" s="54"/>
    </row>
    <row r="173" spans="1:35" ht="15" customHeight="1">
      <c r="A173" s="41" t="s">
        <v>183</v>
      </c>
      <c r="B173" s="386" t="s">
        <v>830</v>
      </c>
      <c r="C173" s="149" t="s">
        <v>831</v>
      </c>
      <c r="D173" s="392" t="s">
        <v>397</v>
      </c>
      <c r="E173" s="258" t="s">
        <v>398</v>
      </c>
      <c r="F173" s="386"/>
      <c r="G173" s="389" t="s">
        <v>832</v>
      </c>
      <c r="H173" s="55">
        <v>4173</v>
      </c>
      <c r="I173" s="54" t="s">
        <v>1</v>
      </c>
      <c r="J173" s="61" t="s">
        <v>833</v>
      </c>
      <c r="K173" s="57">
        <v>40904</v>
      </c>
      <c r="L173" s="132">
        <v>40900</v>
      </c>
      <c r="M173" s="54">
        <v>4</v>
      </c>
      <c r="N173" s="54" t="s">
        <v>2</v>
      </c>
      <c r="O173" s="135">
        <f>2/2</f>
        <v>1</v>
      </c>
      <c r="P173" s="134">
        <v>5.8</v>
      </c>
      <c r="Q173" s="135">
        <v>5.8</v>
      </c>
      <c r="R173" s="54">
        <v>1</v>
      </c>
      <c r="S173" s="155">
        <v>1</v>
      </c>
      <c r="T173" s="54">
        <v>1.2999999999999999E-2</v>
      </c>
      <c r="U173" s="135">
        <f>0.5/2</f>
        <v>0.25</v>
      </c>
      <c r="V173" s="54">
        <v>0.11</v>
      </c>
      <c r="W173" s="155">
        <v>6.1999999999999998E-3</v>
      </c>
      <c r="X173" s="54">
        <v>6.4000000000000001E-2</v>
      </c>
      <c r="Y173" s="155">
        <v>4.1000000000000003E-3</v>
      </c>
      <c r="Z173" s="312">
        <v>1</v>
      </c>
      <c r="AA173" s="312">
        <v>1</v>
      </c>
      <c r="AB173" s="351">
        <v>12</v>
      </c>
      <c r="AC173" s="142">
        <v>67</v>
      </c>
      <c r="AD173" s="311">
        <v>0.95</v>
      </c>
      <c r="AE173" s="54">
        <f>10/2</f>
        <v>5</v>
      </c>
      <c r="AI173" s="114">
        <v>10</v>
      </c>
    </row>
    <row r="174" spans="1:35" ht="15" customHeight="1">
      <c r="A174" s="41" t="s">
        <v>183</v>
      </c>
      <c r="B174" s="386" t="s">
        <v>830</v>
      </c>
      <c r="C174" s="149" t="s">
        <v>831</v>
      </c>
      <c r="D174" s="392" t="s">
        <v>397</v>
      </c>
      <c r="E174" s="258" t="s">
        <v>398</v>
      </c>
      <c r="F174" s="386"/>
      <c r="G174" s="389" t="s">
        <v>832</v>
      </c>
      <c r="H174" s="55">
        <v>4173</v>
      </c>
      <c r="I174" s="54" t="s">
        <v>1</v>
      </c>
      <c r="J174" s="61" t="s">
        <v>834</v>
      </c>
      <c r="K174" s="57">
        <v>40904</v>
      </c>
      <c r="L174" s="132">
        <v>40900</v>
      </c>
      <c r="M174" s="54">
        <v>4</v>
      </c>
      <c r="N174" s="54" t="s">
        <v>2</v>
      </c>
      <c r="O174" s="135">
        <f>2/2</f>
        <v>1</v>
      </c>
      <c r="P174" s="134">
        <v>5.8</v>
      </c>
      <c r="Q174" s="135">
        <v>5.7</v>
      </c>
      <c r="R174" s="54">
        <v>14</v>
      </c>
      <c r="S174" s="155">
        <v>54</v>
      </c>
      <c r="T174" s="54">
        <v>2.1000000000000001E-2</v>
      </c>
      <c r="U174" s="135">
        <f>0.5/2</f>
        <v>0.25</v>
      </c>
      <c r="V174" s="54">
        <f>0.1/2</f>
        <v>0.05</v>
      </c>
      <c r="W174" s="155">
        <v>0.05</v>
      </c>
      <c r="X174" s="54">
        <v>0.34</v>
      </c>
      <c r="Y174" s="155">
        <v>4.2999999999999997E-2</v>
      </c>
      <c r="Z174" s="312">
        <v>1</v>
      </c>
      <c r="AA174" s="312">
        <v>0.752</v>
      </c>
      <c r="AB174" s="351">
        <v>15</v>
      </c>
      <c r="AC174" s="142">
        <v>46</v>
      </c>
      <c r="AD174" s="311">
        <v>0.15</v>
      </c>
      <c r="AE174" s="54">
        <f>10/2</f>
        <v>5</v>
      </c>
      <c r="AI174" s="114">
        <v>40</v>
      </c>
    </row>
    <row r="175" spans="1:35" ht="15" customHeight="1">
      <c r="A175" s="41" t="s">
        <v>183</v>
      </c>
      <c r="B175" s="386" t="s">
        <v>835</v>
      </c>
      <c r="C175" s="149" t="s">
        <v>835</v>
      </c>
      <c r="D175" s="392" t="s">
        <v>836</v>
      </c>
      <c r="E175" s="258" t="s">
        <v>364</v>
      </c>
      <c r="F175" s="386"/>
      <c r="G175" s="389" t="s">
        <v>837</v>
      </c>
      <c r="H175" s="55">
        <v>2541</v>
      </c>
      <c r="I175" s="54" t="s">
        <v>2</v>
      </c>
      <c r="J175" s="61" t="s">
        <v>335</v>
      </c>
      <c r="K175" s="57">
        <v>40883</v>
      </c>
      <c r="L175" s="132">
        <v>40876</v>
      </c>
      <c r="M175" s="54">
        <v>7</v>
      </c>
      <c r="N175" s="54" t="s">
        <v>2</v>
      </c>
      <c r="O175" s="135">
        <f>1.4/2</f>
        <v>0.7</v>
      </c>
      <c r="P175" s="134">
        <v>5.7</v>
      </c>
      <c r="Q175" s="135">
        <v>6.07</v>
      </c>
      <c r="R175" s="54">
        <f>10/2</f>
        <v>5</v>
      </c>
      <c r="S175" s="155">
        <f>5/2</f>
        <v>2.5</v>
      </c>
      <c r="T175" s="54">
        <v>0.03</v>
      </c>
      <c r="U175" s="135">
        <v>0.68</v>
      </c>
      <c r="V175" s="54">
        <v>0.3</v>
      </c>
      <c r="W175" s="155">
        <v>3.0000000000000001E-3</v>
      </c>
      <c r="X175" s="54">
        <v>1.9E-2</v>
      </c>
      <c r="Y175" s="155">
        <f>0.002/2</f>
        <v>1E-3</v>
      </c>
      <c r="Z175" s="312">
        <v>1</v>
      </c>
      <c r="AA175" s="312">
        <v>1</v>
      </c>
      <c r="AB175" s="351">
        <v>4</v>
      </c>
      <c r="AC175" s="142">
        <v>15</v>
      </c>
      <c r="AD175" s="311">
        <v>0.75</v>
      </c>
      <c r="AE175" s="54"/>
    </row>
    <row r="176" spans="1:35" ht="15" customHeight="1">
      <c r="A176" s="41" t="s">
        <v>183</v>
      </c>
      <c r="B176" s="386" t="s">
        <v>511</v>
      </c>
      <c r="C176" s="149" t="s">
        <v>511</v>
      </c>
      <c r="D176" s="392" t="s">
        <v>350</v>
      </c>
      <c r="E176" s="258" t="s">
        <v>838</v>
      </c>
      <c r="F176" s="386"/>
      <c r="G176" s="389" t="s">
        <v>839</v>
      </c>
      <c r="H176" s="55">
        <v>3398</v>
      </c>
      <c r="I176" s="54" t="s">
        <v>2</v>
      </c>
      <c r="J176" s="61" t="s">
        <v>840</v>
      </c>
      <c r="K176" s="57">
        <v>40863</v>
      </c>
      <c r="L176" s="132">
        <v>40857</v>
      </c>
      <c r="M176" s="54">
        <v>6</v>
      </c>
      <c r="N176" s="54" t="s">
        <v>2</v>
      </c>
      <c r="O176" s="135">
        <f>2.5/2</f>
        <v>1.25</v>
      </c>
      <c r="P176" s="134">
        <v>6.45</v>
      </c>
      <c r="Q176" s="135">
        <v>6.62</v>
      </c>
      <c r="R176" s="54">
        <v>70</v>
      </c>
      <c r="S176" s="155">
        <v>120</v>
      </c>
      <c r="T176" s="54">
        <v>0.16</v>
      </c>
      <c r="U176" s="135">
        <f>1/2</f>
        <v>0.5</v>
      </c>
      <c r="V176" s="54">
        <v>0.3</v>
      </c>
      <c r="W176" s="155">
        <f>0.04/2</f>
        <v>0.02</v>
      </c>
      <c r="X176" s="54">
        <v>1.5</v>
      </c>
      <c r="Y176" s="155">
        <f>0.013/2</f>
        <v>6.4999999999999997E-3</v>
      </c>
      <c r="Z176" s="312">
        <v>1</v>
      </c>
      <c r="AA176" s="312">
        <v>0.32100000000000001</v>
      </c>
      <c r="AB176" s="351">
        <v>10</v>
      </c>
      <c r="AC176" s="142">
        <v>470</v>
      </c>
      <c r="AD176" s="311">
        <v>0</v>
      </c>
      <c r="AE176" s="54"/>
    </row>
    <row r="177" spans="1:31" ht="15" customHeight="1">
      <c r="A177" s="41" t="s">
        <v>183</v>
      </c>
      <c r="B177" s="386" t="s">
        <v>841</v>
      </c>
      <c r="C177" s="149" t="s">
        <v>842</v>
      </c>
      <c r="D177" s="392" t="s">
        <v>262</v>
      </c>
      <c r="E177" s="258" t="s">
        <v>843</v>
      </c>
      <c r="F177" s="386"/>
      <c r="G177" s="389" t="s">
        <v>844</v>
      </c>
      <c r="H177" s="55">
        <v>3900</v>
      </c>
      <c r="I177" s="54" t="s">
        <v>2</v>
      </c>
      <c r="J177" s="61" t="s">
        <v>81</v>
      </c>
      <c r="K177" s="57">
        <v>40835</v>
      </c>
      <c r="L177" s="132">
        <v>40830</v>
      </c>
      <c r="M177" s="54">
        <v>5</v>
      </c>
      <c r="N177" s="54" t="s">
        <v>2</v>
      </c>
      <c r="O177" s="135">
        <f>5/2</f>
        <v>2.5</v>
      </c>
      <c r="P177" s="134">
        <v>6</v>
      </c>
      <c r="Q177" s="135">
        <v>6.3</v>
      </c>
      <c r="R177" s="54">
        <f>50/2</f>
        <v>25</v>
      </c>
      <c r="S177" s="155">
        <f>12/2</f>
        <v>6</v>
      </c>
      <c r="T177" s="54">
        <f>0.1/2</f>
        <v>0.05</v>
      </c>
      <c r="U177" s="135">
        <v>1.4</v>
      </c>
      <c r="V177" s="54">
        <v>0.42</v>
      </c>
      <c r="W177" s="155">
        <v>1.4500000000000001E-2</v>
      </c>
      <c r="X177" s="54">
        <v>2.3099999999999999E-2</v>
      </c>
      <c r="Y177" s="155">
        <v>4.4400000000000002E-2</v>
      </c>
      <c r="Z177" s="312">
        <v>1</v>
      </c>
      <c r="AA177" s="312">
        <v>1</v>
      </c>
      <c r="AB177" s="351">
        <v>10</v>
      </c>
      <c r="AC177" s="142">
        <v>41</v>
      </c>
      <c r="AD177" s="311">
        <v>1</v>
      </c>
      <c r="AE177" s="54"/>
    </row>
    <row r="178" spans="1:31" ht="15" customHeight="1">
      <c r="A178" s="41" t="s">
        <v>183</v>
      </c>
      <c r="B178" s="386" t="s">
        <v>841</v>
      </c>
      <c r="C178" s="149" t="s">
        <v>842</v>
      </c>
      <c r="D178" s="392" t="s">
        <v>262</v>
      </c>
      <c r="E178" s="258" t="s">
        <v>845</v>
      </c>
      <c r="F178" s="386"/>
      <c r="G178" s="389" t="s">
        <v>844</v>
      </c>
      <c r="H178" s="55">
        <v>3900</v>
      </c>
      <c r="I178" s="54" t="s">
        <v>2</v>
      </c>
      <c r="J178" s="61" t="s">
        <v>115</v>
      </c>
      <c r="K178" s="57">
        <v>40835</v>
      </c>
      <c r="L178" s="132">
        <v>40830</v>
      </c>
      <c r="M178" s="54">
        <v>5</v>
      </c>
      <c r="N178" s="54" t="s">
        <v>2</v>
      </c>
      <c r="O178" s="135">
        <f>5/2</f>
        <v>2.5</v>
      </c>
      <c r="P178" s="134">
        <v>6</v>
      </c>
      <c r="Q178" s="135">
        <v>7.6</v>
      </c>
      <c r="R178" s="54">
        <f>50/2</f>
        <v>25</v>
      </c>
      <c r="S178" s="155">
        <f>12/2</f>
        <v>6</v>
      </c>
      <c r="T178" s="54">
        <f>0.1/2</f>
        <v>0.05</v>
      </c>
      <c r="U178" s="135">
        <f>1/2</f>
        <v>0.5</v>
      </c>
      <c r="V178" s="54">
        <f>0.1/2</f>
        <v>0.05</v>
      </c>
      <c r="W178" s="155">
        <f>0.01/2</f>
        <v>5.0000000000000001E-3</v>
      </c>
      <c r="X178" s="54">
        <f>0.02/2</f>
        <v>0.01</v>
      </c>
      <c r="Y178" s="155">
        <f>0.001/2</f>
        <v>5.0000000000000001E-4</v>
      </c>
      <c r="Z178" s="312">
        <v>1</v>
      </c>
      <c r="AA178" s="312">
        <v>1</v>
      </c>
      <c r="AB178" s="351">
        <v>172</v>
      </c>
      <c r="AC178" s="142">
        <v>461</v>
      </c>
      <c r="AD178" s="311">
        <v>1</v>
      </c>
      <c r="AE178" s="54"/>
    </row>
    <row r="179" spans="1:31" ht="15" customHeight="1">
      <c r="A179" s="41" t="s">
        <v>183</v>
      </c>
      <c r="B179" s="386" t="s">
        <v>846</v>
      </c>
      <c r="C179" s="149" t="s">
        <v>847</v>
      </c>
      <c r="D179" s="392" t="s">
        <v>684</v>
      </c>
      <c r="E179" s="258" t="s">
        <v>848</v>
      </c>
      <c r="F179" s="386"/>
      <c r="G179" s="389" t="s">
        <v>849</v>
      </c>
      <c r="H179" s="55">
        <v>2653</v>
      </c>
      <c r="I179" s="54" t="s">
        <v>2</v>
      </c>
      <c r="J179" s="61" t="s">
        <v>510</v>
      </c>
      <c r="K179" s="57">
        <v>40857</v>
      </c>
      <c r="L179" s="132">
        <v>40846</v>
      </c>
      <c r="M179" s="54">
        <v>11</v>
      </c>
      <c r="N179" s="54" t="s">
        <v>2</v>
      </c>
      <c r="O179" s="135">
        <f>1/2</f>
        <v>0.5</v>
      </c>
      <c r="P179" s="134">
        <v>6.05</v>
      </c>
      <c r="Q179" s="135">
        <v>9.18</v>
      </c>
      <c r="R179" s="54">
        <v>545</v>
      </c>
      <c r="S179" s="155">
        <v>300</v>
      </c>
      <c r="T179" s="54">
        <v>0.71</v>
      </c>
      <c r="U179" s="135">
        <v>1.6</v>
      </c>
      <c r="V179" s="54">
        <v>2.0299999999999998</v>
      </c>
      <c r="W179" s="155">
        <v>5.3999999999999999E-2</v>
      </c>
      <c r="X179" s="54">
        <v>0.60799999999999998</v>
      </c>
      <c r="Y179" s="155">
        <v>3.3000000000000002E-2</v>
      </c>
      <c r="Z179" s="312">
        <v>1</v>
      </c>
      <c r="AA179" s="312">
        <v>1</v>
      </c>
      <c r="AB179" s="351">
        <v>207</v>
      </c>
      <c r="AC179" s="142">
        <v>546</v>
      </c>
      <c r="AD179" s="311">
        <v>1</v>
      </c>
      <c r="AE179" s="54"/>
    </row>
    <row r="180" spans="1:31" ht="15" customHeight="1">
      <c r="A180" s="41" t="s">
        <v>183</v>
      </c>
      <c r="B180" s="386" t="s">
        <v>850</v>
      </c>
      <c r="C180" s="149" t="s">
        <v>850</v>
      </c>
      <c r="D180" s="392" t="s">
        <v>262</v>
      </c>
      <c r="E180" s="258" t="s">
        <v>851</v>
      </c>
      <c r="F180" s="386"/>
      <c r="G180" s="389" t="s">
        <v>852</v>
      </c>
      <c r="H180" s="55">
        <v>5171</v>
      </c>
      <c r="I180" s="54"/>
      <c r="J180" s="61" t="s">
        <v>853</v>
      </c>
      <c r="K180" s="57">
        <v>40863</v>
      </c>
      <c r="L180" s="132">
        <v>40857</v>
      </c>
      <c r="M180" s="54">
        <v>6</v>
      </c>
      <c r="N180" s="54" t="s">
        <v>2</v>
      </c>
      <c r="O180" s="135">
        <v>1.6</v>
      </c>
      <c r="P180" s="134">
        <v>5.39</v>
      </c>
      <c r="Q180" s="135">
        <v>4.5599999999999996</v>
      </c>
      <c r="R180" s="54">
        <v>20.399999999999999</v>
      </c>
      <c r="S180" s="155">
        <v>15</v>
      </c>
      <c r="T180" s="54">
        <f>0.05/2</f>
        <v>2.5000000000000001E-2</v>
      </c>
      <c r="U180" s="135">
        <v>1.89</v>
      </c>
      <c r="V180" s="54">
        <v>0.28999999999999998</v>
      </c>
      <c r="W180" s="155">
        <v>0.03</v>
      </c>
      <c r="X180" s="54">
        <v>0.17</v>
      </c>
      <c r="Y180" s="155">
        <f>0.02/2</f>
        <v>0.01</v>
      </c>
      <c r="Z180" s="312">
        <v>1</v>
      </c>
      <c r="AA180" s="312">
        <v>1</v>
      </c>
      <c r="AB180" s="351">
        <v>37.9</v>
      </c>
      <c r="AC180" s="142">
        <v>251</v>
      </c>
      <c r="AD180" s="311">
        <v>0.95</v>
      </c>
      <c r="AE180" s="54"/>
    </row>
    <row r="181" spans="1:31" ht="15" customHeight="1">
      <c r="A181" s="41" t="s">
        <v>183</v>
      </c>
      <c r="B181" s="386" t="s">
        <v>854</v>
      </c>
      <c r="C181" s="149" t="s">
        <v>854</v>
      </c>
      <c r="D181" s="392" t="s">
        <v>262</v>
      </c>
      <c r="E181" s="258" t="s">
        <v>851</v>
      </c>
      <c r="F181" s="386"/>
      <c r="G181" s="389" t="s">
        <v>855</v>
      </c>
      <c r="H181" s="55">
        <v>5171</v>
      </c>
      <c r="I181" s="54"/>
      <c r="J181" s="61" t="s">
        <v>856</v>
      </c>
      <c r="K181" s="57">
        <v>40863</v>
      </c>
      <c r="L181" s="132">
        <v>40857</v>
      </c>
      <c r="M181" s="54">
        <v>6</v>
      </c>
      <c r="N181" s="54" t="s">
        <v>2</v>
      </c>
      <c r="O181" s="135">
        <v>4.9000000000000004</v>
      </c>
      <c r="P181" s="134">
        <v>5.46</v>
      </c>
      <c r="Q181" s="135">
        <v>6.98</v>
      </c>
      <c r="R181" s="54">
        <v>47.8</v>
      </c>
      <c r="S181" s="155">
        <v>49</v>
      </c>
      <c r="T181" s="54">
        <v>0.17</v>
      </c>
      <c r="U181" s="135">
        <v>1.51</v>
      </c>
      <c r="V181" s="54">
        <v>0.5</v>
      </c>
      <c r="W181" s="155">
        <v>0.01</v>
      </c>
      <c r="X181" s="54">
        <v>0.14000000000000001</v>
      </c>
      <c r="Y181" s="155">
        <f>0.02/2</f>
        <v>0.01</v>
      </c>
      <c r="Z181" s="312">
        <v>1</v>
      </c>
      <c r="AA181" s="312">
        <v>1</v>
      </c>
      <c r="AB181" s="351">
        <v>49.1</v>
      </c>
      <c r="AC181" s="142">
        <v>131.9</v>
      </c>
      <c r="AD181" s="311">
        <v>0.65</v>
      </c>
      <c r="AE181" s="54"/>
    </row>
    <row r="182" spans="1:31" ht="15" customHeight="1">
      <c r="A182" s="41" t="s">
        <v>183</v>
      </c>
      <c r="B182" s="386" t="s">
        <v>857</v>
      </c>
      <c r="C182" s="149" t="s">
        <v>857</v>
      </c>
      <c r="D182" s="392" t="s">
        <v>268</v>
      </c>
      <c r="E182" s="258" t="s">
        <v>858</v>
      </c>
      <c r="F182" s="386">
        <v>4400</v>
      </c>
      <c r="G182" s="389" t="s">
        <v>859</v>
      </c>
      <c r="H182" s="55">
        <v>3398</v>
      </c>
      <c r="I182" s="54" t="s">
        <v>2</v>
      </c>
      <c r="J182" s="61" t="s">
        <v>81</v>
      </c>
      <c r="K182" s="57">
        <v>40883</v>
      </c>
      <c r="L182" s="132">
        <v>40876</v>
      </c>
      <c r="M182" s="54">
        <v>7</v>
      </c>
      <c r="N182" s="54" t="s">
        <v>2</v>
      </c>
      <c r="O182" s="135">
        <v>2</v>
      </c>
      <c r="P182" s="134">
        <v>5</v>
      </c>
      <c r="Q182" s="135">
        <v>5</v>
      </c>
      <c r="R182" s="54">
        <v>26</v>
      </c>
      <c r="S182" s="155">
        <v>12</v>
      </c>
      <c r="T182" s="54">
        <f>0.05/2</f>
        <v>2.5000000000000001E-2</v>
      </c>
      <c r="U182" s="135">
        <v>0.59</v>
      </c>
      <c r="V182" s="54">
        <v>0.7</v>
      </c>
      <c r="W182" s="155">
        <v>2.7E-2</v>
      </c>
      <c r="X182" s="54">
        <v>0.04</v>
      </c>
      <c r="Y182" s="155">
        <f>0.03/2</f>
        <v>1.4999999999999999E-2</v>
      </c>
      <c r="Z182" s="312"/>
      <c r="AA182" s="312"/>
      <c r="AB182" s="351"/>
      <c r="AC182" s="142"/>
      <c r="AD182" s="311"/>
      <c r="AE182" s="54"/>
    </row>
    <row r="183" spans="1:31" ht="15" customHeight="1">
      <c r="A183" s="41" t="s">
        <v>183</v>
      </c>
      <c r="B183" s="386" t="s">
        <v>860</v>
      </c>
      <c r="C183" s="149" t="s">
        <v>860</v>
      </c>
      <c r="D183" s="392" t="s">
        <v>861</v>
      </c>
      <c r="E183" s="258" t="s">
        <v>862</v>
      </c>
      <c r="F183" s="386"/>
      <c r="G183" s="389" t="s">
        <v>1025</v>
      </c>
      <c r="H183" s="55">
        <v>3672</v>
      </c>
      <c r="I183" s="54"/>
      <c r="J183" s="61" t="s">
        <v>863</v>
      </c>
      <c r="K183" s="57">
        <v>40863</v>
      </c>
      <c r="L183" s="132">
        <v>40857</v>
      </c>
      <c r="M183" s="54">
        <v>6</v>
      </c>
      <c r="N183" s="54" t="s">
        <v>2</v>
      </c>
      <c r="O183" s="135">
        <f t="shared" ref="O183:O188" si="6">1.4/2</f>
        <v>0.7</v>
      </c>
      <c r="P183" s="134">
        <v>5.0999999999999996</v>
      </c>
      <c r="Q183" s="135">
        <v>6.13</v>
      </c>
      <c r="R183" s="54">
        <v>25</v>
      </c>
      <c r="S183" s="155">
        <v>38</v>
      </c>
      <c r="T183" s="54">
        <v>0.13</v>
      </c>
      <c r="U183" s="135">
        <v>0.93</v>
      </c>
      <c r="V183" s="54">
        <v>0.19</v>
      </c>
      <c r="W183" s="155">
        <v>1.9E-2</v>
      </c>
      <c r="X183" s="54">
        <v>4.5999999999999999E-2</v>
      </c>
      <c r="Y183" s="155">
        <f>0.002/2</f>
        <v>1E-3</v>
      </c>
      <c r="Z183" s="312">
        <v>1</v>
      </c>
      <c r="AA183" s="312">
        <v>1</v>
      </c>
      <c r="AB183" s="351">
        <v>0</v>
      </c>
      <c r="AC183" s="142">
        <v>40</v>
      </c>
      <c r="AD183" s="311">
        <v>1</v>
      </c>
      <c r="AE183" s="54"/>
    </row>
    <row r="184" spans="1:31" ht="15" customHeight="1">
      <c r="A184" s="41" t="s">
        <v>183</v>
      </c>
      <c r="B184" s="386" t="s">
        <v>860</v>
      </c>
      <c r="C184" s="149" t="s">
        <v>860</v>
      </c>
      <c r="D184" s="392" t="s">
        <v>861</v>
      </c>
      <c r="E184" s="258" t="s">
        <v>862</v>
      </c>
      <c r="F184" s="386"/>
      <c r="G184" s="389" t="s">
        <v>1025</v>
      </c>
      <c r="H184" s="55">
        <v>3672</v>
      </c>
      <c r="I184" s="54"/>
      <c r="J184" s="61" t="s">
        <v>864</v>
      </c>
      <c r="K184" s="57">
        <v>40863</v>
      </c>
      <c r="L184" s="132">
        <v>40857</v>
      </c>
      <c r="M184" s="54">
        <v>6</v>
      </c>
      <c r="N184" s="54" t="s">
        <v>2</v>
      </c>
      <c r="O184" s="135">
        <f t="shared" si="6"/>
        <v>0.7</v>
      </c>
      <c r="P184" s="134">
        <v>5.0999999999999996</v>
      </c>
      <c r="Q184" s="135">
        <v>6.28</v>
      </c>
      <c r="R184" s="54">
        <v>37</v>
      </c>
      <c r="S184" s="155">
        <f>5/2</f>
        <v>2.5</v>
      </c>
      <c r="T184" s="54">
        <v>0.09</v>
      </c>
      <c r="U184" s="135">
        <v>0.61</v>
      </c>
      <c r="V184" s="54">
        <v>0.72</v>
      </c>
      <c r="W184" s="155">
        <v>9.2999999999999999E-2</v>
      </c>
      <c r="X184" s="54">
        <v>0.14599999999999999</v>
      </c>
      <c r="Y184" s="155">
        <f>0.002/2</f>
        <v>1E-3</v>
      </c>
      <c r="Z184" s="312">
        <v>1</v>
      </c>
      <c r="AA184" s="312">
        <v>1</v>
      </c>
      <c r="AB184" s="351">
        <v>46</v>
      </c>
      <c r="AC184" s="142">
        <v>193</v>
      </c>
      <c r="AD184" s="311">
        <v>0.8</v>
      </c>
      <c r="AE184" s="54"/>
    </row>
    <row r="185" spans="1:31" ht="15" customHeight="1">
      <c r="A185" s="41" t="s">
        <v>183</v>
      </c>
      <c r="B185" s="386" t="s">
        <v>860</v>
      </c>
      <c r="C185" s="149" t="s">
        <v>860</v>
      </c>
      <c r="D185" s="392" t="s">
        <v>861</v>
      </c>
      <c r="E185" s="258" t="s">
        <v>862</v>
      </c>
      <c r="F185" s="386"/>
      <c r="G185" s="389" t="s">
        <v>1025</v>
      </c>
      <c r="H185" s="55">
        <v>3672</v>
      </c>
      <c r="I185" s="54"/>
      <c r="J185" s="61" t="s">
        <v>865</v>
      </c>
      <c r="K185" s="57">
        <v>40863</v>
      </c>
      <c r="L185" s="132">
        <v>40857</v>
      </c>
      <c r="M185" s="54">
        <v>6</v>
      </c>
      <c r="N185" s="54" t="s">
        <v>2</v>
      </c>
      <c r="O185" s="135">
        <f t="shared" si="6"/>
        <v>0.7</v>
      </c>
      <c r="P185" s="134">
        <v>5.0999999999999996</v>
      </c>
      <c r="Q185" s="135">
        <v>6.21</v>
      </c>
      <c r="R185" s="54">
        <v>16</v>
      </c>
      <c r="S185" s="155">
        <v>6</v>
      </c>
      <c r="T185" s="54">
        <v>0.09</v>
      </c>
      <c r="U185" s="135">
        <v>0.68</v>
      </c>
      <c r="V185" s="54">
        <v>0.32</v>
      </c>
      <c r="W185" s="155">
        <v>3.7999999999999999E-2</v>
      </c>
      <c r="X185" s="54">
        <v>5.5E-2</v>
      </c>
      <c r="Y185" s="155">
        <f>0.002/2</f>
        <v>1E-3</v>
      </c>
      <c r="Z185" s="312">
        <v>0.66</v>
      </c>
      <c r="AA185" s="312">
        <v>0.61599999999999999</v>
      </c>
      <c r="AB185" s="351">
        <v>2</v>
      </c>
      <c r="AC185" s="142">
        <v>40</v>
      </c>
      <c r="AD185" s="311">
        <v>0</v>
      </c>
      <c r="AE185" s="54"/>
    </row>
    <row r="186" spans="1:31" ht="15" customHeight="1">
      <c r="A186" s="41" t="s">
        <v>183</v>
      </c>
      <c r="B186" s="386" t="s">
        <v>860</v>
      </c>
      <c r="C186" s="149" t="s">
        <v>860</v>
      </c>
      <c r="D186" s="392" t="s">
        <v>861</v>
      </c>
      <c r="E186" s="258" t="s">
        <v>862</v>
      </c>
      <c r="F186" s="386"/>
      <c r="G186" s="389" t="s">
        <v>1025</v>
      </c>
      <c r="H186" s="55">
        <v>3672</v>
      </c>
      <c r="I186" s="54"/>
      <c r="J186" s="61" t="s">
        <v>866</v>
      </c>
      <c r="K186" s="57">
        <v>40863</v>
      </c>
      <c r="L186" s="132">
        <v>40857</v>
      </c>
      <c r="M186" s="54">
        <v>6</v>
      </c>
      <c r="N186" s="54" t="s">
        <v>2</v>
      </c>
      <c r="O186" s="135">
        <f t="shared" si="6"/>
        <v>0.7</v>
      </c>
      <c r="P186" s="134">
        <v>5.0999999999999996</v>
      </c>
      <c r="Q186" s="135">
        <v>6.12</v>
      </c>
      <c r="R186" s="54">
        <f>10/2</f>
        <v>5</v>
      </c>
      <c r="S186" s="155">
        <v>8</v>
      </c>
      <c r="T186" s="54">
        <v>0.06</v>
      </c>
      <c r="U186" s="135">
        <v>1.5</v>
      </c>
      <c r="V186" s="54">
        <v>0.39</v>
      </c>
      <c r="W186" s="155">
        <v>9.1999999999999998E-2</v>
      </c>
      <c r="X186" s="54">
        <v>0.13700000000000001</v>
      </c>
      <c r="Y186" s="155">
        <f>0.002/2</f>
        <v>1E-3</v>
      </c>
      <c r="Z186" s="312">
        <v>0.155</v>
      </c>
      <c r="AA186" s="312">
        <v>0.10199999999999999</v>
      </c>
      <c r="AB186" s="351">
        <v>10</v>
      </c>
      <c r="AC186" s="142">
        <v>374</v>
      </c>
      <c r="AD186" s="311">
        <v>0</v>
      </c>
      <c r="AE186" s="54"/>
    </row>
    <row r="187" spans="1:31" ht="15" customHeight="1">
      <c r="A187" s="41" t="s">
        <v>183</v>
      </c>
      <c r="B187" s="386" t="s">
        <v>860</v>
      </c>
      <c r="C187" s="149" t="s">
        <v>860</v>
      </c>
      <c r="D187" s="392" t="s">
        <v>861</v>
      </c>
      <c r="E187" s="258" t="s">
        <v>862</v>
      </c>
      <c r="F187" s="386"/>
      <c r="G187" s="389" t="s">
        <v>1025</v>
      </c>
      <c r="H187" s="55">
        <v>3672</v>
      </c>
      <c r="I187" s="54"/>
      <c r="J187" s="61" t="s">
        <v>867</v>
      </c>
      <c r="K187" s="57">
        <v>40863</v>
      </c>
      <c r="L187" s="132">
        <v>40857</v>
      </c>
      <c r="M187" s="54">
        <v>6</v>
      </c>
      <c r="N187" s="54" t="s">
        <v>2</v>
      </c>
      <c r="O187" s="135">
        <f t="shared" si="6"/>
        <v>0.7</v>
      </c>
      <c r="P187" s="134">
        <v>5.0999999999999996</v>
      </c>
      <c r="Q187" s="135">
        <v>5.46</v>
      </c>
      <c r="R187" s="54">
        <v>16</v>
      </c>
      <c r="S187" s="155">
        <v>6.5</v>
      </c>
      <c r="T187" s="54">
        <v>7.0000000000000007E-2</v>
      </c>
      <c r="U187" s="135">
        <v>0.43</v>
      </c>
      <c r="V187" s="54">
        <v>0.17</v>
      </c>
      <c r="W187" s="155">
        <v>8.0000000000000002E-3</v>
      </c>
      <c r="X187" s="54">
        <v>0.26600000000000001</v>
      </c>
      <c r="Y187" s="155">
        <f>0.002/2</f>
        <v>1E-3</v>
      </c>
      <c r="Z187" s="312">
        <v>1</v>
      </c>
      <c r="AA187" s="312">
        <v>0.58399999999999996</v>
      </c>
      <c r="AB187" s="351">
        <v>4</v>
      </c>
      <c r="AC187" s="142">
        <v>16</v>
      </c>
      <c r="AD187" s="311">
        <v>0</v>
      </c>
      <c r="AE187" s="54"/>
    </row>
    <row r="188" spans="1:31" ht="15" customHeight="1">
      <c r="A188" s="41" t="s">
        <v>183</v>
      </c>
      <c r="B188" s="386" t="s">
        <v>860</v>
      </c>
      <c r="C188" s="149" t="s">
        <v>860</v>
      </c>
      <c r="D188" s="392" t="s">
        <v>861</v>
      </c>
      <c r="E188" s="258" t="s">
        <v>862</v>
      </c>
      <c r="F188" s="386"/>
      <c r="G188" s="389" t="s">
        <v>868</v>
      </c>
      <c r="H188" s="55">
        <v>3672</v>
      </c>
      <c r="I188" s="54"/>
      <c r="J188" s="61" t="s">
        <v>869</v>
      </c>
      <c r="K188" s="57">
        <v>40863</v>
      </c>
      <c r="L188" s="132">
        <v>40857</v>
      </c>
      <c r="M188" s="54">
        <v>6</v>
      </c>
      <c r="N188" s="54" t="s">
        <v>2</v>
      </c>
      <c r="O188" s="135">
        <f t="shared" si="6"/>
        <v>0.7</v>
      </c>
      <c r="P188" s="134">
        <v>5.0999999999999996</v>
      </c>
      <c r="Q188" s="135">
        <v>5.87</v>
      </c>
      <c r="R188" s="54">
        <v>28</v>
      </c>
      <c r="S188" s="155">
        <v>21</v>
      </c>
      <c r="T188" s="54">
        <v>0.11</v>
      </c>
      <c r="U188" s="135">
        <v>2</v>
      </c>
      <c r="V188" s="54">
        <v>0.43</v>
      </c>
      <c r="W188" s="155">
        <v>4.2999999999999997E-2</v>
      </c>
      <c r="X188" s="54">
        <v>0.38900000000000001</v>
      </c>
      <c r="Y188" s="155">
        <v>7.0000000000000001E-3</v>
      </c>
      <c r="Z188" s="312">
        <v>1</v>
      </c>
      <c r="AA188" s="312">
        <v>0.70699999999999996</v>
      </c>
      <c r="AB188" s="351">
        <v>8</v>
      </c>
      <c r="AC188" s="142">
        <v>106</v>
      </c>
      <c r="AD188" s="311">
        <v>0</v>
      </c>
      <c r="AE188" s="54"/>
    </row>
    <row r="189" spans="1:31" ht="15" customHeight="1">
      <c r="A189" s="41" t="s">
        <v>183</v>
      </c>
      <c r="B189" s="386" t="s">
        <v>860</v>
      </c>
      <c r="C189" s="149" t="s">
        <v>860</v>
      </c>
      <c r="D189" s="392" t="s">
        <v>861</v>
      </c>
      <c r="E189" s="258" t="s">
        <v>862</v>
      </c>
      <c r="F189" s="386"/>
      <c r="G189" s="389" t="s">
        <v>868</v>
      </c>
      <c r="H189" s="55">
        <v>3672</v>
      </c>
      <c r="I189" s="54"/>
      <c r="J189" s="61" t="s">
        <v>870</v>
      </c>
      <c r="K189" s="57">
        <v>40863</v>
      </c>
      <c r="L189" s="132">
        <v>40857</v>
      </c>
      <c r="M189" s="54">
        <v>6</v>
      </c>
      <c r="N189" s="54" t="s">
        <v>2</v>
      </c>
      <c r="O189" s="135">
        <v>3.2</v>
      </c>
      <c r="P189" s="134">
        <v>5.0999999999999996</v>
      </c>
      <c r="Q189" s="135">
        <v>6.1</v>
      </c>
      <c r="R189" s="54">
        <v>84</v>
      </c>
      <c r="S189" s="155">
        <v>37</v>
      </c>
      <c r="T189" s="54">
        <v>0.18</v>
      </c>
      <c r="U189" s="135">
        <v>1.3</v>
      </c>
      <c r="V189" s="54">
        <v>0.39</v>
      </c>
      <c r="W189" s="155">
        <v>8.1000000000000003E-2</v>
      </c>
      <c r="X189" s="54">
        <v>0.18</v>
      </c>
      <c r="Y189" s="155">
        <v>1.2999999999999999E-2</v>
      </c>
      <c r="Z189" s="312">
        <v>0.77100000000000002</v>
      </c>
      <c r="AA189" s="312">
        <v>0.70699999999999996</v>
      </c>
      <c r="AB189" s="351">
        <v>8</v>
      </c>
      <c r="AC189" s="142">
        <v>153</v>
      </c>
      <c r="AD189" s="311">
        <v>0</v>
      </c>
      <c r="AE189" s="54"/>
    </row>
    <row r="190" spans="1:31" ht="15" customHeight="1">
      <c r="A190" s="41" t="s">
        <v>183</v>
      </c>
      <c r="B190" s="386" t="s">
        <v>860</v>
      </c>
      <c r="C190" s="149" t="s">
        <v>860</v>
      </c>
      <c r="D190" s="392" t="s">
        <v>861</v>
      </c>
      <c r="E190" s="258" t="s">
        <v>862</v>
      </c>
      <c r="F190" s="386"/>
      <c r="G190" s="389" t="s">
        <v>868</v>
      </c>
      <c r="H190" s="55">
        <v>3672</v>
      </c>
      <c r="I190" s="54"/>
      <c r="J190" s="61" t="s">
        <v>871</v>
      </c>
      <c r="K190" s="57">
        <v>40863</v>
      </c>
      <c r="L190" s="132">
        <v>40857</v>
      </c>
      <c r="M190" s="54">
        <v>6</v>
      </c>
      <c r="N190" s="54" t="s">
        <v>2</v>
      </c>
      <c r="O190" s="135">
        <f>1.4/2</f>
        <v>0.7</v>
      </c>
      <c r="P190" s="134">
        <v>5.0999999999999996</v>
      </c>
      <c r="Q190" s="135">
        <v>6.16</v>
      </c>
      <c r="R190" s="54">
        <v>62</v>
      </c>
      <c r="S190" s="155">
        <v>33</v>
      </c>
      <c r="T190" s="54">
        <v>0.18</v>
      </c>
      <c r="U190" s="135">
        <v>1.5</v>
      </c>
      <c r="V190" s="54">
        <v>0.44</v>
      </c>
      <c r="W190" s="155">
        <v>7.4999999999999997E-2</v>
      </c>
      <c r="X190" s="54">
        <v>0.158</v>
      </c>
      <c r="Y190" s="155">
        <v>1.2999999999999999E-2</v>
      </c>
      <c r="Z190" s="311">
        <v>0.77100000000000002</v>
      </c>
      <c r="AA190" s="311">
        <v>0.63900000000000001</v>
      </c>
      <c r="AB190" s="258">
        <v>8</v>
      </c>
      <c r="AC190" s="54">
        <v>59</v>
      </c>
      <c r="AD190" s="311">
        <v>0</v>
      </c>
      <c r="AE190" s="54"/>
    </row>
    <row r="191" spans="1:31" ht="15" customHeight="1">
      <c r="A191" s="41" t="s">
        <v>183</v>
      </c>
      <c r="B191" s="386" t="s">
        <v>860</v>
      </c>
      <c r="C191" s="149" t="s">
        <v>860</v>
      </c>
      <c r="D191" s="392" t="s">
        <v>861</v>
      </c>
      <c r="E191" s="258" t="s">
        <v>862</v>
      </c>
      <c r="F191" s="386"/>
      <c r="G191" s="389" t="s">
        <v>868</v>
      </c>
      <c r="H191" s="55">
        <v>3672</v>
      </c>
      <c r="I191" s="54"/>
      <c r="J191" s="61" t="s">
        <v>872</v>
      </c>
      <c r="K191" s="57">
        <v>40863</v>
      </c>
      <c r="L191" s="132">
        <v>40857</v>
      </c>
      <c r="M191" s="54">
        <v>6</v>
      </c>
      <c r="N191" s="54" t="s">
        <v>2</v>
      </c>
      <c r="O191" s="135">
        <f>1.4/2</f>
        <v>0.7</v>
      </c>
      <c r="P191" s="134">
        <v>5.0999999999999996</v>
      </c>
      <c r="Q191" s="135">
        <v>5.89</v>
      </c>
      <c r="R191" s="54">
        <v>23</v>
      </c>
      <c r="S191" s="155">
        <v>12</v>
      </c>
      <c r="T191" s="54">
        <v>0.01</v>
      </c>
      <c r="U191" s="135">
        <v>2.2000000000000002</v>
      </c>
      <c r="V191" s="54">
        <v>0.3</v>
      </c>
      <c r="W191" s="155">
        <v>1.7999999999999999E-2</v>
      </c>
      <c r="X191" s="54">
        <v>0.10199999999999999</v>
      </c>
      <c r="Y191" s="155">
        <f>0.002/2</f>
        <v>1E-3</v>
      </c>
      <c r="Z191" s="311">
        <v>0.82</v>
      </c>
      <c r="AA191" s="311">
        <v>0.70699999999999996</v>
      </c>
      <c r="AB191" s="258">
        <v>0</v>
      </c>
      <c r="AC191" s="54">
        <v>23</v>
      </c>
      <c r="AD191" s="311">
        <v>0</v>
      </c>
      <c r="AE191" s="54"/>
    </row>
    <row r="192" spans="1:31" ht="15" customHeight="1">
      <c r="A192" s="41" t="s">
        <v>183</v>
      </c>
      <c r="B192" s="386" t="s">
        <v>878</v>
      </c>
      <c r="C192" s="149" t="s">
        <v>879</v>
      </c>
      <c r="D192" s="392" t="s">
        <v>127</v>
      </c>
      <c r="E192" s="258" t="s">
        <v>880</v>
      </c>
      <c r="F192" s="386"/>
      <c r="G192" s="389" t="s">
        <v>881</v>
      </c>
      <c r="H192" s="55">
        <v>3563</v>
      </c>
      <c r="I192" s="54" t="s">
        <v>2</v>
      </c>
      <c r="J192" s="61" t="s">
        <v>510</v>
      </c>
      <c r="K192" s="57">
        <v>40843</v>
      </c>
      <c r="L192" s="132">
        <v>40836</v>
      </c>
      <c r="M192" s="54">
        <v>7</v>
      </c>
      <c r="N192" s="54" t="s">
        <v>2</v>
      </c>
      <c r="O192" s="135">
        <f>5/2</f>
        <v>2.5</v>
      </c>
      <c r="P192" s="134">
        <v>6.5</v>
      </c>
      <c r="Q192" s="135">
        <v>9.25</v>
      </c>
      <c r="R192" s="54">
        <v>27</v>
      </c>
      <c r="S192" s="155">
        <f>5/2</f>
        <v>2.5</v>
      </c>
      <c r="T192" s="54">
        <f>0.1/2</f>
        <v>0.05</v>
      </c>
      <c r="U192" s="135">
        <f>1/2</f>
        <v>0.5</v>
      </c>
      <c r="V192" s="54">
        <v>0.12</v>
      </c>
      <c r="W192" s="155">
        <f>0.04/2</f>
        <v>0.02</v>
      </c>
      <c r="X192" s="54">
        <v>5.6000000000000001E-2</v>
      </c>
      <c r="Y192" s="155">
        <f>0.013/2</f>
        <v>6.4999999999999997E-3</v>
      </c>
      <c r="Z192" s="312"/>
      <c r="AA192" s="312"/>
      <c r="AB192" s="258"/>
      <c r="AC192" s="54"/>
      <c r="AD192" s="311"/>
      <c r="AE192" s="54"/>
    </row>
    <row r="193" spans="1:38" ht="15" customHeight="1">
      <c r="A193" s="41" t="s">
        <v>183</v>
      </c>
      <c r="B193" s="386" t="s">
        <v>882</v>
      </c>
      <c r="C193" s="149" t="s">
        <v>883</v>
      </c>
      <c r="D193" s="392" t="s">
        <v>884</v>
      </c>
      <c r="E193" s="258" t="s">
        <v>235</v>
      </c>
      <c r="F193" s="386"/>
      <c r="G193" s="389" t="s">
        <v>885</v>
      </c>
      <c r="H193" s="63"/>
      <c r="I193" s="54" t="s">
        <v>1</v>
      </c>
      <c r="J193" s="61" t="s">
        <v>886</v>
      </c>
      <c r="K193" s="57">
        <v>40883</v>
      </c>
      <c r="L193" s="132">
        <v>40877</v>
      </c>
      <c r="M193" s="54">
        <v>6</v>
      </c>
      <c r="N193" s="54" t="s">
        <v>2</v>
      </c>
      <c r="O193" s="135">
        <f>1.4/2</f>
        <v>0.7</v>
      </c>
      <c r="P193" s="134">
        <v>7.9</v>
      </c>
      <c r="Q193" s="135">
        <v>7.86</v>
      </c>
      <c r="R193" s="54">
        <v>180</v>
      </c>
      <c r="S193" s="155">
        <v>2.1</v>
      </c>
      <c r="T193" s="54">
        <v>0.57999999999999996</v>
      </c>
      <c r="U193" s="135">
        <v>2.8</v>
      </c>
      <c r="V193" s="54">
        <f>0.05/2</f>
        <v>2.5000000000000001E-2</v>
      </c>
      <c r="W193" s="155">
        <v>4.0000000000000001E-3</v>
      </c>
      <c r="X193" s="54">
        <v>4.0000000000000001E-3</v>
      </c>
      <c r="Y193" s="155">
        <f>0.002/2</f>
        <v>1E-3</v>
      </c>
      <c r="Z193" s="312">
        <v>1</v>
      </c>
      <c r="AA193" s="312">
        <v>1</v>
      </c>
      <c r="AB193" s="258">
        <v>88</v>
      </c>
      <c r="AC193" s="54">
        <v>271</v>
      </c>
      <c r="AD193" s="311">
        <v>1</v>
      </c>
      <c r="AE193" s="54"/>
    </row>
    <row r="194" spans="1:38" ht="15" customHeight="1">
      <c r="A194" s="41" t="s">
        <v>183</v>
      </c>
      <c r="B194" s="386" t="s">
        <v>887</v>
      </c>
      <c r="C194" s="149" t="s">
        <v>887</v>
      </c>
      <c r="D194" s="392" t="s">
        <v>516</v>
      </c>
      <c r="E194" s="258" t="s">
        <v>888</v>
      </c>
      <c r="F194" s="386"/>
      <c r="G194" s="389" t="s">
        <v>889</v>
      </c>
      <c r="H194" s="63"/>
      <c r="I194" s="54"/>
      <c r="J194" s="61" t="s">
        <v>890</v>
      </c>
      <c r="K194" s="57">
        <v>40904</v>
      </c>
      <c r="L194" s="132">
        <v>40899</v>
      </c>
      <c r="M194" s="54">
        <v>5</v>
      </c>
      <c r="N194" s="54" t="s">
        <v>2</v>
      </c>
      <c r="O194" s="135">
        <f>1.4/2</f>
        <v>0.7</v>
      </c>
      <c r="P194" s="134">
        <v>5.78</v>
      </c>
      <c r="Q194" s="135">
        <v>6.9</v>
      </c>
      <c r="R194" s="54">
        <v>39</v>
      </c>
      <c r="S194" s="155">
        <v>280</v>
      </c>
      <c r="T194" s="54">
        <v>0.47</v>
      </c>
      <c r="U194" s="135">
        <v>0.28000000000000003</v>
      </c>
      <c r="V194" s="54">
        <v>0.18</v>
      </c>
      <c r="W194" s="155">
        <v>8.6999999999999994E-2</v>
      </c>
      <c r="X194" s="54">
        <v>4.5999999999999999E-2</v>
      </c>
      <c r="Y194" s="155">
        <v>4.0000000000000001E-3</v>
      </c>
      <c r="Z194" s="312">
        <v>1</v>
      </c>
      <c r="AA194" s="312">
        <v>1</v>
      </c>
      <c r="AB194" s="258">
        <v>10</v>
      </c>
      <c r="AC194" s="54">
        <v>47</v>
      </c>
      <c r="AD194" s="311">
        <v>0.75</v>
      </c>
      <c r="AE194" s="54"/>
    </row>
    <row r="195" spans="1:38" ht="15" customHeight="1">
      <c r="A195" s="41" t="s">
        <v>183</v>
      </c>
      <c r="B195" s="386" t="s">
        <v>897</v>
      </c>
      <c r="C195" s="149" t="s">
        <v>897</v>
      </c>
      <c r="D195" s="392" t="s">
        <v>127</v>
      </c>
      <c r="E195" s="258" t="s">
        <v>898</v>
      </c>
      <c r="F195" s="386"/>
      <c r="G195" s="389" t="s">
        <v>899</v>
      </c>
      <c r="H195" s="55">
        <v>3728</v>
      </c>
      <c r="I195" s="54" t="s">
        <v>2</v>
      </c>
      <c r="J195" s="61" t="s">
        <v>510</v>
      </c>
      <c r="K195" s="57">
        <v>40843</v>
      </c>
      <c r="L195" s="132">
        <v>40836</v>
      </c>
      <c r="M195" s="54">
        <v>7</v>
      </c>
      <c r="N195" s="54" t="s">
        <v>2</v>
      </c>
      <c r="O195" s="135">
        <f>5/2</f>
        <v>2.5</v>
      </c>
      <c r="P195" s="134">
        <v>6.5</v>
      </c>
      <c r="Q195" s="135">
        <v>8.41</v>
      </c>
      <c r="R195" s="54">
        <v>15</v>
      </c>
      <c r="S195" s="155">
        <f>5/2</f>
        <v>2.5</v>
      </c>
      <c r="T195" s="54">
        <f>0.1/2</f>
        <v>0.05</v>
      </c>
      <c r="U195" s="135">
        <f>1/2</f>
        <v>0.5</v>
      </c>
      <c r="V195" s="54">
        <v>0.26</v>
      </c>
      <c r="W195" s="155">
        <f>0.04/2</f>
        <v>0.02</v>
      </c>
      <c r="X195" s="54">
        <f>0.02/2</f>
        <v>0.01</v>
      </c>
      <c r="Y195" s="155">
        <f>0.013/2</f>
        <v>6.4999999999999997E-3</v>
      </c>
      <c r="Z195" s="312"/>
      <c r="AA195" s="312"/>
      <c r="AB195" s="258"/>
      <c r="AC195" s="54"/>
      <c r="AD195" s="311"/>
      <c r="AE195" s="54"/>
    </row>
    <row r="196" spans="1:38" ht="15" customHeight="1">
      <c r="A196" s="41" t="s">
        <v>183</v>
      </c>
      <c r="B196" s="386" t="s">
        <v>900</v>
      </c>
      <c r="C196" s="149" t="s">
        <v>901</v>
      </c>
      <c r="D196" s="392" t="s">
        <v>452</v>
      </c>
      <c r="E196" s="258" t="s">
        <v>398</v>
      </c>
      <c r="F196" s="386"/>
      <c r="G196" s="389" t="s">
        <v>902</v>
      </c>
      <c r="H196" s="55">
        <v>4491</v>
      </c>
      <c r="I196" s="54" t="s">
        <v>1</v>
      </c>
      <c r="J196" s="61" t="s">
        <v>366</v>
      </c>
      <c r="K196" s="57">
        <v>40857</v>
      </c>
      <c r="L196" s="132">
        <v>40846</v>
      </c>
      <c r="M196" s="54">
        <v>11</v>
      </c>
      <c r="N196" s="54" t="s">
        <v>2</v>
      </c>
      <c r="O196" s="135">
        <f>1/2</f>
        <v>0.5</v>
      </c>
      <c r="P196" s="134">
        <v>6.26</v>
      </c>
      <c r="Q196" s="135">
        <v>6.81</v>
      </c>
      <c r="R196" s="54">
        <v>303</v>
      </c>
      <c r="S196" s="155">
        <v>63</v>
      </c>
      <c r="T196" s="54">
        <v>1.59</v>
      </c>
      <c r="U196" s="135">
        <v>16</v>
      </c>
      <c r="V196" s="54">
        <v>1.3</v>
      </c>
      <c r="W196" s="155">
        <v>0.86699999999999999</v>
      </c>
      <c r="X196" s="54">
        <v>0.34200000000000003</v>
      </c>
      <c r="Y196" s="155">
        <v>6.5000000000000002E-2</v>
      </c>
      <c r="Z196" s="312">
        <v>1</v>
      </c>
      <c r="AA196" s="311">
        <v>0.17499999999999999</v>
      </c>
      <c r="AB196" s="258">
        <v>62.6</v>
      </c>
      <c r="AC196" s="54">
        <v>387</v>
      </c>
      <c r="AD196" s="311">
        <v>0.15</v>
      </c>
      <c r="AE196" s="54"/>
      <c r="AJ196" s="114">
        <v>12000</v>
      </c>
    </row>
    <row r="197" spans="1:38" ht="15" customHeight="1">
      <c r="A197" s="41" t="s">
        <v>183</v>
      </c>
      <c r="B197" s="386" t="s">
        <v>900</v>
      </c>
      <c r="C197" s="149" t="s">
        <v>901</v>
      </c>
      <c r="D197" s="392" t="s">
        <v>452</v>
      </c>
      <c r="E197" s="258" t="s">
        <v>398</v>
      </c>
      <c r="F197" s="386"/>
      <c r="G197" s="389" t="s">
        <v>902</v>
      </c>
      <c r="H197" s="55">
        <v>4491</v>
      </c>
      <c r="I197" s="54" t="s">
        <v>1</v>
      </c>
      <c r="J197" s="61" t="s">
        <v>903</v>
      </c>
      <c r="K197" s="57">
        <v>40857</v>
      </c>
      <c r="L197" s="132">
        <v>40846</v>
      </c>
      <c r="M197" s="54">
        <v>11</v>
      </c>
      <c r="N197" s="54" t="s">
        <v>2</v>
      </c>
      <c r="O197" s="135">
        <f>1/2</f>
        <v>0.5</v>
      </c>
      <c r="P197" s="134">
        <v>6.26</v>
      </c>
      <c r="Q197" s="135">
        <v>7.33</v>
      </c>
      <c r="R197" s="54">
        <v>417</v>
      </c>
      <c r="S197" s="155">
        <v>80</v>
      </c>
      <c r="T197" s="54">
        <v>3.68</v>
      </c>
      <c r="U197" s="135">
        <v>35</v>
      </c>
      <c r="V197" s="54">
        <v>0.56000000000000005</v>
      </c>
      <c r="W197" s="155">
        <v>0.16500000000000001</v>
      </c>
      <c r="X197" s="54">
        <v>0.152</v>
      </c>
      <c r="Y197" s="155">
        <v>7.0000000000000001E-3</v>
      </c>
      <c r="Z197" s="312">
        <v>1</v>
      </c>
      <c r="AA197" s="312">
        <v>1</v>
      </c>
      <c r="AB197" s="258">
        <v>34.96</v>
      </c>
      <c r="AC197" s="54">
        <v>190</v>
      </c>
      <c r="AD197" s="311">
        <v>0.7</v>
      </c>
      <c r="AE197" s="54"/>
      <c r="AJ197" s="114">
        <v>9500</v>
      </c>
    </row>
    <row r="198" spans="1:38" ht="15" customHeight="1">
      <c r="A198" s="41" t="s">
        <v>183</v>
      </c>
      <c r="B198" s="386" t="s">
        <v>900</v>
      </c>
      <c r="C198" s="149" t="s">
        <v>901</v>
      </c>
      <c r="D198" s="392" t="s">
        <v>452</v>
      </c>
      <c r="E198" s="258" t="s">
        <v>398</v>
      </c>
      <c r="F198" s="386"/>
      <c r="G198" s="389" t="s">
        <v>902</v>
      </c>
      <c r="H198" s="55">
        <v>4491</v>
      </c>
      <c r="I198" s="54" t="s">
        <v>1</v>
      </c>
      <c r="J198" s="61" t="s">
        <v>904</v>
      </c>
      <c r="K198" s="57">
        <v>40857</v>
      </c>
      <c r="L198" s="132">
        <v>40846</v>
      </c>
      <c r="M198" s="54">
        <v>11</v>
      </c>
      <c r="N198" s="54" t="s">
        <v>2</v>
      </c>
      <c r="O198" s="135">
        <v>3.6</v>
      </c>
      <c r="P198" s="134">
        <v>6.26</v>
      </c>
      <c r="Q198" s="135">
        <v>7.21</v>
      </c>
      <c r="R198" s="54">
        <v>108.2</v>
      </c>
      <c r="S198" s="155">
        <v>128</v>
      </c>
      <c r="T198" s="54">
        <v>7.8</v>
      </c>
      <c r="U198" s="135">
        <v>1.8</v>
      </c>
      <c r="V198" s="54">
        <v>5.65</v>
      </c>
      <c r="W198" s="155">
        <v>0.53300000000000003</v>
      </c>
      <c r="X198" s="54">
        <v>0.60899999999999999</v>
      </c>
      <c r="Y198" s="155">
        <v>4.1000000000000002E-2</v>
      </c>
      <c r="Z198" s="311">
        <v>0.93899999999999995</v>
      </c>
      <c r="AA198" s="311">
        <v>0.57399999999999995</v>
      </c>
      <c r="AB198" s="354">
        <v>180</v>
      </c>
      <c r="AC198" s="162">
        <v>673</v>
      </c>
      <c r="AD198" s="311">
        <v>0</v>
      </c>
      <c r="AE198" s="54"/>
      <c r="AJ198" s="114">
        <v>18000</v>
      </c>
    </row>
    <row r="199" spans="1:38" ht="15" customHeight="1">
      <c r="A199" s="41" t="s">
        <v>183</v>
      </c>
      <c r="B199" s="386" t="s">
        <v>908</v>
      </c>
      <c r="C199" s="149" t="s">
        <v>909</v>
      </c>
      <c r="D199" s="392" t="s">
        <v>910</v>
      </c>
      <c r="E199" s="258" t="s">
        <v>44</v>
      </c>
      <c r="F199" s="386"/>
      <c r="G199" s="389" t="s">
        <v>911</v>
      </c>
      <c r="H199" s="55">
        <v>5171</v>
      </c>
      <c r="I199" s="54" t="s">
        <v>2</v>
      </c>
      <c r="J199" s="61" t="s">
        <v>912</v>
      </c>
      <c r="K199" s="57">
        <v>40835</v>
      </c>
      <c r="L199" s="132">
        <v>40830</v>
      </c>
      <c r="M199" s="54">
        <v>5</v>
      </c>
      <c r="N199" s="54" t="s">
        <v>2</v>
      </c>
      <c r="O199" s="135">
        <f>5/2</f>
        <v>2.5</v>
      </c>
      <c r="P199" s="134">
        <v>7.1</v>
      </c>
      <c r="Q199" s="135">
        <v>6.2</v>
      </c>
      <c r="R199" s="54">
        <v>23</v>
      </c>
      <c r="S199" s="155">
        <v>30</v>
      </c>
      <c r="T199" s="54">
        <f>0.1/2</f>
        <v>0.05</v>
      </c>
      <c r="U199" s="135">
        <f>1/2</f>
        <v>0.5</v>
      </c>
      <c r="V199" s="54">
        <f>0.1/2</f>
        <v>0.05</v>
      </c>
      <c r="W199" s="155">
        <f>0.04/2</f>
        <v>0.02</v>
      </c>
      <c r="X199" s="54">
        <v>0.39</v>
      </c>
      <c r="Y199" s="155">
        <f>0.013/2</f>
        <v>6.4999999999999997E-3</v>
      </c>
      <c r="Z199" s="311">
        <v>0.51700000000000002</v>
      </c>
      <c r="AA199" s="311">
        <v>0.372</v>
      </c>
      <c r="AB199" s="258">
        <v>11</v>
      </c>
      <c r="AC199" s="54">
        <v>56</v>
      </c>
      <c r="AD199" s="311">
        <v>0</v>
      </c>
      <c r="AE199" s="54"/>
    </row>
    <row r="200" spans="1:38" ht="15" customHeight="1">
      <c r="A200" s="41" t="s">
        <v>183</v>
      </c>
      <c r="B200" s="386" t="s">
        <v>913</v>
      </c>
      <c r="C200" s="149" t="s">
        <v>913</v>
      </c>
      <c r="D200" s="392" t="s">
        <v>89</v>
      </c>
      <c r="E200" s="258" t="s">
        <v>914</v>
      </c>
      <c r="F200" s="386"/>
      <c r="G200" s="389" t="s">
        <v>915</v>
      </c>
      <c r="H200" s="55">
        <v>2869</v>
      </c>
      <c r="I200" s="54" t="s">
        <v>2</v>
      </c>
      <c r="J200" s="61" t="s">
        <v>917</v>
      </c>
      <c r="K200" s="57">
        <v>40843</v>
      </c>
      <c r="L200" s="132">
        <v>40836</v>
      </c>
      <c r="M200" s="54">
        <v>7</v>
      </c>
      <c r="N200" s="54" t="s">
        <v>2</v>
      </c>
      <c r="O200" s="135">
        <f>1/2</f>
        <v>0.5</v>
      </c>
      <c r="P200" s="134">
        <v>5</v>
      </c>
      <c r="Q200" s="135">
        <v>6.73</v>
      </c>
      <c r="R200" s="54">
        <v>11</v>
      </c>
      <c r="S200" s="155">
        <v>2</v>
      </c>
      <c r="T200" s="54">
        <v>0.24</v>
      </c>
      <c r="U200" s="135">
        <v>0.21</v>
      </c>
      <c r="V200" s="54">
        <v>0.69</v>
      </c>
      <c r="W200" s="155">
        <f>0.05/2</f>
        <v>2.5000000000000001E-2</v>
      </c>
      <c r="X200" s="54">
        <v>0.03</v>
      </c>
      <c r="Y200" s="155">
        <f>0.05/2</f>
        <v>2.5000000000000001E-2</v>
      </c>
      <c r="Z200" s="312">
        <v>1</v>
      </c>
      <c r="AA200" s="312">
        <v>1</v>
      </c>
      <c r="AB200" s="258">
        <f>1/2</f>
        <v>0.5</v>
      </c>
      <c r="AC200" s="54">
        <v>17</v>
      </c>
      <c r="AD200" s="311">
        <v>1</v>
      </c>
      <c r="AE200" s="54"/>
    </row>
    <row r="201" spans="1:38" ht="15" customHeight="1">
      <c r="A201" s="41" t="s">
        <v>183</v>
      </c>
      <c r="B201" s="386" t="s">
        <v>913</v>
      </c>
      <c r="C201" s="149" t="s">
        <v>913</v>
      </c>
      <c r="D201" s="392" t="s">
        <v>89</v>
      </c>
      <c r="E201" s="258" t="s">
        <v>914</v>
      </c>
      <c r="F201" s="386"/>
      <c r="G201" s="389" t="s">
        <v>915</v>
      </c>
      <c r="H201" s="55">
        <v>2869</v>
      </c>
      <c r="I201" s="54" t="s">
        <v>2</v>
      </c>
      <c r="J201" s="61" t="s">
        <v>916</v>
      </c>
      <c r="K201" s="57">
        <v>40843</v>
      </c>
      <c r="L201" s="132">
        <v>40836</v>
      </c>
      <c r="M201" s="54">
        <v>7</v>
      </c>
      <c r="N201" s="54" t="s">
        <v>2</v>
      </c>
      <c r="O201" s="135">
        <f>1/2</f>
        <v>0.5</v>
      </c>
      <c r="P201" s="134">
        <v>5</v>
      </c>
      <c r="Q201" s="135">
        <v>5.83</v>
      </c>
      <c r="R201" s="54">
        <v>10</v>
      </c>
      <c r="S201" s="155">
        <v>5</v>
      </c>
      <c r="T201" s="54">
        <v>0.1</v>
      </c>
      <c r="U201" s="135">
        <v>0.91</v>
      </c>
      <c r="V201" s="54">
        <v>0.78</v>
      </c>
      <c r="W201" s="155">
        <f>0.05/2</f>
        <v>2.5000000000000001E-2</v>
      </c>
      <c r="X201" s="54">
        <v>0.2</v>
      </c>
      <c r="Y201" s="155">
        <f>0.05/2</f>
        <v>2.5000000000000001E-2</v>
      </c>
      <c r="Z201" s="312">
        <v>1</v>
      </c>
      <c r="AA201" s="312">
        <v>1</v>
      </c>
      <c r="AB201" s="258">
        <v>10</v>
      </c>
      <c r="AC201" s="54">
        <v>15</v>
      </c>
      <c r="AD201" s="311">
        <v>0.6</v>
      </c>
      <c r="AE201" s="54"/>
    </row>
    <row r="202" spans="1:38" ht="15" customHeight="1">
      <c r="A202" s="41" t="s">
        <v>183</v>
      </c>
      <c r="B202" s="386" t="s">
        <v>307</v>
      </c>
      <c r="C202" s="149" t="s">
        <v>918</v>
      </c>
      <c r="D202" s="392" t="s">
        <v>89</v>
      </c>
      <c r="E202" s="258" t="s">
        <v>116</v>
      </c>
      <c r="F202" s="386"/>
      <c r="G202" s="389" t="s">
        <v>919</v>
      </c>
      <c r="H202" s="55">
        <v>3629</v>
      </c>
      <c r="I202" s="54" t="s">
        <v>2</v>
      </c>
      <c r="J202" s="61" t="s">
        <v>920</v>
      </c>
      <c r="K202" s="57">
        <v>40835</v>
      </c>
      <c r="L202" s="132">
        <v>40829</v>
      </c>
      <c r="M202" s="54">
        <v>6</v>
      </c>
      <c r="N202" s="54" t="s">
        <v>2</v>
      </c>
      <c r="O202" s="135">
        <v>1.4</v>
      </c>
      <c r="P202" s="134">
        <v>7.1</v>
      </c>
      <c r="Q202" s="135">
        <v>7.62</v>
      </c>
      <c r="R202" s="54">
        <v>30</v>
      </c>
      <c r="S202" s="155">
        <v>70</v>
      </c>
      <c r="T202" s="54">
        <v>0.17</v>
      </c>
      <c r="U202" s="135">
        <v>1.2</v>
      </c>
      <c r="V202" s="54">
        <v>0.7</v>
      </c>
      <c r="W202" s="155">
        <v>1.4E-2</v>
      </c>
      <c r="X202" s="54">
        <v>0.16200000000000001</v>
      </c>
      <c r="Y202" s="155">
        <v>5.0000000000000001E-3</v>
      </c>
      <c r="Z202" s="312">
        <v>1</v>
      </c>
      <c r="AA202" s="312">
        <v>1</v>
      </c>
      <c r="AB202" s="258">
        <v>6</v>
      </c>
      <c r="AC202" s="54">
        <v>17</v>
      </c>
      <c r="AD202" s="311">
        <v>1</v>
      </c>
      <c r="AE202" s="54"/>
    </row>
    <row r="203" spans="1:38" ht="15" customHeight="1">
      <c r="A203" s="41" t="s">
        <v>183</v>
      </c>
      <c r="B203" s="386" t="s">
        <v>921</v>
      </c>
      <c r="C203" s="149" t="s">
        <v>921</v>
      </c>
      <c r="D203" s="392" t="s">
        <v>192</v>
      </c>
      <c r="E203" s="258" t="s">
        <v>922</v>
      </c>
      <c r="F203" s="386"/>
      <c r="G203" s="389" t="s">
        <v>923</v>
      </c>
      <c r="H203" s="55">
        <v>3728</v>
      </c>
      <c r="I203" s="54" t="s">
        <v>1</v>
      </c>
      <c r="J203" s="61" t="s">
        <v>319</v>
      </c>
      <c r="K203" s="57">
        <v>40835</v>
      </c>
      <c r="L203" s="132">
        <v>40829</v>
      </c>
      <c r="M203" s="54">
        <v>6</v>
      </c>
      <c r="N203" s="54" t="s">
        <v>2</v>
      </c>
      <c r="O203" s="135">
        <f t="shared" ref="O203:O209" si="7">1.4/2</f>
        <v>0.7</v>
      </c>
      <c r="P203" s="134">
        <v>5.5</v>
      </c>
      <c r="Q203" s="135">
        <v>7.1</v>
      </c>
      <c r="R203" s="54">
        <v>48</v>
      </c>
      <c r="S203" s="155">
        <v>19</v>
      </c>
      <c r="T203" s="54">
        <v>0.4</v>
      </c>
      <c r="U203" s="135">
        <v>6.7</v>
      </c>
      <c r="V203" s="54">
        <v>0.43</v>
      </c>
      <c r="W203" s="155">
        <v>2E-3</v>
      </c>
      <c r="X203" s="54">
        <v>2.4E-2</v>
      </c>
      <c r="Y203" s="155">
        <f>0.002/2</f>
        <v>1E-3</v>
      </c>
      <c r="Z203" s="312">
        <v>1</v>
      </c>
      <c r="AA203" s="312">
        <v>1</v>
      </c>
      <c r="AB203" s="258">
        <v>16</v>
      </c>
      <c r="AC203" s="54">
        <v>94</v>
      </c>
      <c r="AD203" s="311">
        <v>1</v>
      </c>
      <c r="AE203" s="54"/>
      <c r="AK203" s="114">
        <f t="shared" ref="AK203:AL209" si="8">10/2</f>
        <v>5</v>
      </c>
      <c r="AL203" s="114">
        <f t="shared" si="8"/>
        <v>5</v>
      </c>
    </row>
    <row r="204" spans="1:38" ht="15" customHeight="1">
      <c r="A204" s="41" t="s">
        <v>183</v>
      </c>
      <c r="B204" s="386" t="s">
        <v>921</v>
      </c>
      <c r="C204" s="149" t="s">
        <v>921</v>
      </c>
      <c r="D204" s="392" t="s">
        <v>192</v>
      </c>
      <c r="E204" s="258" t="s">
        <v>922</v>
      </c>
      <c r="F204" s="386"/>
      <c r="G204" s="389" t="s">
        <v>923</v>
      </c>
      <c r="H204" s="55">
        <v>3728</v>
      </c>
      <c r="I204" s="54" t="s">
        <v>1</v>
      </c>
      <c r="J204" s="61" t="s">
        <v>114</v>
      </c>
      <c r="K204" s="57">
        <v>40835</v>
      </c>
      <c r="L204" s="132">
        <v>40829</v>
      </c>
      <c r="M204" s="54">
        <v>6</v>
      </c>
      <c r="N204" s="54" t="s">
        <v>2</v>
      </c>
      <c r="O204" s="135">
        <f t="shared" si="7"/>
        <v>0.7</v>
      </c>
      <c r="P204" s="134">
        <v>5.5</v>
      </c>
      <c r="Q204" s="135">
        <v>7.32</v>
      </c>
      <c r="R204" s="54">
        <v>19</v>
      </c>
      <c r="S204" s="155">
        <f>5/2</f>
        <v>2.5</v>
      </c>
      <c r="T204" s="54">
        <v>0.04</v>
      </c>
      <c r="U204" s="135">
        <v>0.38</v>
      </c>
      <c r="V204" s="54">
        <v>0.33</v>
      </c>
      <c r="W204" s="155">
        <v>1.2999999999999999E-2</v>
      </c>
      <c r="X204" s="54">
        <v>6.7000000000000004E-2</v>
      </c>
      <c r="Y204" s="155">
        <f>0.002/2</f>
        <v>1E-3</v>
      </c>
      <c r="Z204" s="312">
        <v>1</v>
      </c>
      <c r="AA204" s="312">
        <v>1</v>
      </c>
      <c r="AB204" s="258">
        <v>22</v>
      </c>
      <c r="AC204" s="54">
        <v>60</v>
      </c>
      <c r="AD204" s="311">
        <v>1</v>
      </c>
      <c r="AE204" s="54"/>
      <c r="AK204" s="114">
        <f t="shared" si="8"/>
        <v>5</v>
      </c>
      <c r="AL204" s="114">
        <f t="shared" si="8"/>
        <v>5</v>
      </c>
    </row>
    <row r="205" spans="1:38" ht="15" customHeight="1">
      <c r="A205" s="41" t="s">
        <v>183</v>
      </c>
      <c r="B205" s="386" t="s">
        <v>921</v>
      </c>
      <c r="C205" s="149" t="s">
        <v>921</v>
      </c>
      <c r="D205" s="392" t="s">
        <v>192</v>
      </c>
      <c r="E205" s="258" t="s">
        <v>922</v>
      </c>
      <c r="F205" s="386"/>
      <c r="G205" s="389" t="s">
        <v>923</v>
      </c>
      <c r="H205" s="55">
        <v>3728</v>
      </c>
      <c r="I205" s="54" t="s">
        <v>1</v>
      </c>
      <c r="J205" s="61" t="s">
        <v>115</v>
      </c>
      <c r="K205" s="57">
        <v>40835</v>
      </c>
      <c r="L205" s="132">
        <v>40829</v>
      </c>
      <c r="M205" s="54">
        <v>6</v>
      </c>
      <c r="N205" s="54" t="s">
        <v>2</v>
      </c>
      <c r="O205" s="135">
        <f t="shared" si="7"/>
        <v>0.7</v>
      </c>
      <c r="P205" s="134">
        <v>5.5</v>
      </c>
      <c r="Q205" s="135">
        <v>7.2</v>
      </c>
      <c r="R205" s="54">
        <v>52</v>
      </c>
      <c r="S205" s="155">
        <v>42</v>
      </c>
      <c r="T205" s="54">
        <v>0.11</v>
      </c>
      <c r="U205" s="135">
        <v>1.1000000000000001</v>
      </c>
      <c r="V205" s="54">
        <v>1.1000000000000001</v>
      </c>
      <c r="W205" s="155">
        <v>8.0000000000000002E-3</v>
      </c>
      <c r="X205" s="54">
        <v>0.16700000000000001</v>
      </c>
      <c r="Y205" s="155">
        <v>1.4E-2</v>
      </c>
      <c r="Z205" s="312">
        <v>1</v>
      </c>
      <c r="AA205" s="312">
        <v>1</v>
      </c>
      <c r="AB205" s="258">
        <v>74</v>
      </c>
      <c r="AC205" s="54">
        <v>224</v>
      </c>
      <c r="AD205" s="311">
        <v>1</v>
      </c>
      <c r="AE205" s="54"/>
      <c r="AK205" s="114">
        <f t="shared" si="8"/>
        <v>5</v>
      </c>
      <c r="AL205" s="114">
        <f t="shared" si="8"/>
        <v>5</v>
      </c>
    </row>
    <row r="206" spans="1:38" ht="15" customHeight="1">
      <c r="A206" s="41" t="s">
        <v>183</v>
      </c>
      <c r="B206" s="386" t="s">
        <v>921</v>
      </c>
      <c r="C206" s="149" t="s">
        <v>921</v>
      </c>
      <c r="D206" s="392" t="s">
        <v>192</v>
      </c>
      <c r="E206" s="258" t="s">
        <v>922</v>
      </c>
      <c r="F206" s="386"/>
      <c r="G206" s="389" t="s">
        <v>923</v>
      </c>
      <c r="H206" s="55">
        <v>3728</v>
      </c>
      <c r="I206" s="54" t="s">
        <v>1</v>
      </c>
      <c r="J206" s="61" t="s">
        <v>924</v>
      </c>
      <c r="K206" s="57">
        <v>40835</v>
      </c>
      <c r="L206" s="132">
        <v>40829</v>
      </c>
      <c r="M206" s="54">
        <v>6</v>
      </c>
      <c r="N206" s="54" t="s">
        <v>2</v>
      </c>
      <c r="O206" s="135">
        <f t="shared" si="7"/>
        <v>0.7</v>
      </c>
      <c r="P206" s="134">
        <v>5.5</v>
      </c>
      <c r="Q206" s="135">
        <v>7.24</v>
      </c>
      <c r="R206" s="54">
        <f>10/2</f>
        <v>5</v>
      </c>
      <c r="S206" s="155">
        <v>8</v>
      </c>
      <c r="T206" s="54">
        <v>0.03</v>
      </c>
      <c r="U206" s="135">
        <v>0.88</v>
      </c>
      <c r="V206" s="54">
        <v>0.18</v>
      </c>
      <c r="W206" s="155">
        <v>1.7999999999999999E-2</v>
      </c>
      <c r="X206" s="54">
        <v>6.0999999999999999E-2</v>
      </c>
      <c r="Y206" s="155">
        <v>2E-3</v>
      </c>
      <c r="Z206" s="312">
        <v>1</v>
      </c>
      <c r="AA206" s="312">
        <v>1</v>
      </c>
      <c r="AB206" s="258">
        <v>28</v>
      </c>
      <c r="AC206" s="54">
        <v>72</v>
      </c>
      <c r="AD206" s="311">
        <v>1</v>
      </c>
      <c r="AE206" s="54"/>
      <c r="AK206" s="114">
        <f t="shared" si="8"/>
        <v>5</v>
      </c>
      <c r="AL206" s="114">
        <f t="shared" si="8"/>
        <v>5</v>
      </c>
    </row>
    <row r="207" spans="1:38" ht="15" customHeight="1">
      <c r="A207" s="41" t="s">
        <v>183</v>
      </c>
      <c r="B207" s="386" t="s">
        <v>921</v>
      </c>
      <c r="C207" s="149" t="s">
        <v>921</v>
      </c>
      <c r="D207" s="392" t="s">
        <v>192</v>
      </c>
      <c r="E207" s="258" t="s">
        <v>922</v>
      </c>
      <c r="F207" s="386"/>
      <c r="G207" s="389" t="s">
        <v>923</v>
      </c>
      <c r="H207" s="55">
        <v>3728</v>
      </c>
      <c r="I207" s="54" t="s">
        <v>1</v>
      </c>
      <c r="J207" s="61" t="s">
        <v>925</v>
      </c>
      <c r="K207" s="57">
        <v>40835</v>
      </c>
      <c r="L207" s="132">
        <v>40829</v>
      </c>
      <c r="M207" s="54">
        <v>6</v>
      </c>
      <c r="N207" s="54" t="s">
        <v>2</v>
      </c>
      <c r="O207" s="135">
        <f t="shared" si="7"/>
        <v>0.7</v>
      </c>
      <c r="P207" s="134">
        <v>5.5</v>
      </c>
      <c r="Q207" s="135">
        <v>7.02</v>
      </c>
      <c r="R207" s="54">
        <v>50</v>
      </c>
      <c r="S207" s="155">
        <v>6</v>
      </c>
      <c r="T207" s="54">
        <v>0.04</v>
      </c>
      <c r="U207" s="135">
        <v>1.5</v>
      </c>
      <c r="V207" s="54">
        <v>1.7</v>
      </c>
      <c r="W207" s="155">
        <v>0.01</v>
      </c>
      <c r="X207" s="54">
        <v>8.2000000000000003E-2</v>
      </c>
      <c r="Y207" s="155">
        <v>3.0000000000000001E-3</v>
      </c>
      <c r="Z207" s="312">
        <v>1</v>
      </c>
      <c r="AA207" s="312">
        <v>1</v>
      </c>
      <c r="AB207" s="258">
        <v>27</v>
      </c>
      <c r="AC207" s="54">
        <v>216</v>
      </c>
      <c r="AD207" s="311">
        <v>1</v>
      </c>
      <c r="AE207" s="54"/>
      <c r="AK207" s="114">
        <f t="shared" si="8"/>
        <v>5</v>
      </c>
      <c r="AL207" s="114">
        <f t="shared" si="8"/>
        <v>5</v>
      </c>
    </row>
    <row r="208" spans="1:38" ht="15" customHeight="1">
      <c r="A208" s="41" t="s">
        <v>183</v>
      </c>
      <c r="B208" s="386" t="s">
        <v>921</v>
      </c>
      <c r="C208" s="149" t="s">
        <v>921</v>
      </c>
      <c r="D208" s="392" t="s">
        <v>192</v>
      </c>
      <c r="E208" s="258" t="s">
        <v>922</v>
      </c>
      <c r="F208" s="386"/>
      <c r="G208" s="389" t="s">
        <v>923</v>
      </c>
      <c r="H208" s="55">
        <v>3728</v>
      </c>
      <c r="I208" s="54" t="s">
        <v>1</v>
      </c>
      <c r="J208" s="61" t="s">
        <v>926</v>
      </c>
      <c r="K208" s="57">
        <v>40835</v>
      </c>
      <c r="L208" s="132">
        <v>40829</v>
      </c>
      <c r="M208" s="54">
        <v>6</v>
      </c>
      <c r="N208" s="54" t="s">
        <v>2</v>
      </c>
      <c r="O208" s="135">
        <f t="shared" si="7"/>
        <v>0.7</v>
      </c>
      <c r="P208" s="134">
        <v>5.5</v>
      </c>
      <c r="Q208" s="135">
        <v>6.85</v>
      </c>
      <c r="R208" s="54">
        <v>52</v>
      </c>
      <c r="S208" s="155">
        <v>13</v>
      </c>
      <c r="T208" s="54">
        <v>0.08</v>
      </c>
      <c r="U208" s="135">
        <v>1.7</v>
      </c>
      <c r="V208" s="54">
        <v>1.4</v>
      </c>
      <c r="W208" s="155">
        <v>1.2999999999999999E-2</v>
      </c>
      <c r="X208" s="54">
        <v>4.4999999999999998E-2</v>
      </c>
      <c r="Y208" s="155">
        <v>2E-3</v>
      </c>
      <c r="Z208" s="312">
        <v>1</v>
      </c>
      <c r="AA208" s="312">
        <v>1</v>
      </c>
      <c r="AB208" s="258">
        <v>20</v>
      </c>
      <c r="AC208" s="54">
        <v>92</v>
      </c>
      <c r="AD208" s="311">
        <v>1</v>
      </c>
      <c r="AE208" s="54"/>
      <c r="AK208" s="114">
        <f t="shared" si="8"/>
        <v>5</v>
      </c>
      <c r="AL208" s="114">
        <f t="shared" si="8"/>
        <v>5</v>
      </c>
    </row>
    <row r="209" spans="1:38" ht="15" customHeight="1">
      <c r="A209" s="41" t="s">
        <v>183</v>
      </c>
      <c r="B209" s="386" t="s">
        <v>921</v>
      </c>
      <c r="C209" s="149" t="s">
        <v>921</v>
      </c>
      <c r="D209" s="392" t="s">
        <v>192</v>
      </c>
      <c r="E209" s="258" t="s">
        <v>922</v>
      </c>
      <c r="F209" s="386"/>
      <c r="G209" s="389" t="s">
        <v>923</v>
      </c>
      <c r="H209" s="55">
        <v>3728</v>
      </c>
      <c r="I209" s="54" t="s">
        <v>1</v>
      </c>
      <c r="J209" s="61" t="s">
        <v>422</v>
      </c>
      <c r="K209" s="57">
        <v>40835</v>
      </c>
      <c r="L209" s="132">
        <v>40829</v>
      </c>
      <c r="M209" s="54">
        <v>6</v>
      </c>
      <c r="N209" s="54" t="s">
        <v>2</v>
      </c>
      <c r="O209" s="135">
        <f t="shared" si="7"/>
        <v>0.7</v>
      </c>
      <c r="P209" s="134">
        <v>5.5</v>
      </c>
      <c r="Q209" s="135">
        <v>7.49</v>
      </c>
      <c r="R209" s="54">
        <v>37</v>
      </c>
      <c r="S209" s="155">
        <f>5/2</f>
        <v>2.5</v>
      </c>
      <c r="T209" s="54">
        <v>7.0000000000000007E-2</v>
      </c>
      <c r="U209" s="135">
        <v>1</v>
      </c>
      <c r="V209" s="54">
        <v>0.56999999999999995</v>
      </c>
      <c r="W209" s="155">
        <v>8.0000000000000002E-3</v>
      </c>
      <c r="X209" s="54">
        <v>5.8000000000000003E-2</v>
      </c>
      <c r="Y209" s="155">
        <f>0.002/2</f>
        <v>1E-3</v>
      </c>
      <c r="Z209" s="312">
        <v>1</v>
      </c>
      <c r="AA209" s="312">
        <v>1</v>
      </c>
      <c r="AB209" s="258">
        <v>59</v>
      </c>
      <c r="AC209" s="54">
        <v>530</v>
      </c>
      <c r="AD209" s="311">
        <v>1</v>
      </c>
      <c r="AE209" s="54"/>
      <c r="AK209" s="114">
        <f t="shared" si="8"/>
        <v>5</v>
      </c>
      <c r="AL209" s="114">
        <f t="shared" si="8"/>
        <v>5</v>
      </c>
    </row>
    <row r="210" spans="1:38" ht="15" customHeight="1">
      <c r="A210" s="41" t="s">
        <v>183</v>
      </c>
      <c r="B210" s="386" t="s">
        <v>927</v>
      </c>
      <c r="C210" s="149" t="s">
        <v>927</v>
      </c>
      <c r="D210" s="392" t="s">
        <v>372</v>
      </c>
      <c r="E210" s="258" t="s">
        <v>235</v>
      </c>
      <c r="F210" s="386"/>
      <c r="G210" s="389" t="s">
        <v>932</v>
      </c>
      <c r="H210" s="55" t="s">
        <v>928</v>
      </c>
      <c r="I210" s="54"/>
      <c r="J210" s="61" t="s">
        <v>929</v>
      </c>
      <c r="K210" s="57">
        <v>40883</v>
      </c>
      <c r="L210" s="132">
        <v>40876</v>
      </c>
      <c r="M210" s="54">
        <v>7</v>
      </c>
      <c r="N210" s="54" t="s">
        <v>2</v>
      </c>
      <c r="O210" s="135">
        <f>1/2</f>
        <v>0.5</v>
      </c>
      <c r="P210" s="134">
        <v>5</v>
      </c>
      <c r="Q210" s="135">
        <v>6.12</v>
      </c>
      <c r="R210" s="54">
        <v>11.4</v>
      </c>
      <c r="S210" s="155">
        <v>2</v>
      </c>
      <c r="T210" s="54">
        <f>0.05/2</f>
        <v>2.5000000000000001E-2</v>
      </c>
      <c r="U210" s="135">
        <v>0.88</v>
      </c>
      <c r="V210" s="54">
        <v>0.63</v>
      </c>
      <c r="W210" s="155">
        <v>0.01</v>
      </c>
      <c r="X210" s="54">
        <v>0.82</v>
      </c>
      <c r="Y210" s="155">
        <f>0.02/2</f>
        <v>0.01</v>
      </c>
      <c r="Z210" s="311">
        <v>0.77400000000000002</v>
      </c>
      <c r="AA210" s="311">
        <v>0.435</v>
      </c>
      <c r="AB210" s="258">
        <v>18.2</v>
      </c>
      <c r="AC210" s="54">
        <v>69.2</v>
      </c>
      <c r="AD210" s="311">
        <v>0</v>
      </c>
      <c r="AE210" s="54"/>
    </row>
    <row r="211" spans="1:38" ht="15" customHeight="1">
      <c r="A211" s="41" t="s">
        <v>183</v>
      </c>
      <c r="B211" s="386" t="s">
        <v>935</v>
      </c>
      <c r="C211" s="149" t="s">
        <v>935</v>
      </c>
      <c r="D211" s="392" t="s">
        <v>861</v>
      </c>
      <c r="E211" s="421"/>
      <c r="F211" s="386"/>
      <c r="G211" s="389" t="s">
        <v>936</v>
      </c>
      <c r="H211" s="63"/>
      <c r="I211" s="54"/>
      <c r="J211" s="61" t="s">
        <v>937</v>
      </c>
      <c r="K211" s="57">
        <v>40857</v>
      </c>
      <c r="L211" s="132">
        <v>40846</v>
      </c>
      <c r="M211" s="54">
        <v>11</v>
      </c>
      <c r="N211" s="54" t="s">
        <v>2</v>
      </c>
      <c r="O211" s="135">
        <f>1/2</f>
        <v>0.5</v>
      </c>
      <c r="P211" s="134">
        <v>6.62</v>
      </c>
      <c r="Q211" s="135">
        <v>6.5</v>
      </c>
      <c r="R211" s="54">
        <v>80</v>
      </c>
      <c r="S211" s="155">
        <v>61</v>
      </c>
      <c r="T211" s="54">
        <v>0.15</v>
      </c>
      <c r="U211" s="135">
        <v>1.05</v>
      </c>
      <c r="V211" s="54">
        <v>0.2</v>
      </c>
      <c r="W211" s="155">
        <f>0.05/2</f>
        <v>2.5000000000000001E-2</v>
      </c>
      <c r="X211" s="54">
        <v>0.56000000000000005</v>
      </c>
      <c r="Y211" s="155">
        <f>0.03/2</f>
        <v>1.4999999999999999E-2</v>
      </c>
      <c r="Z211" s="311">
        <v>0.57399999999999995</v>
      </c>
      <c r="AA211" s="311">
        <v>0.35399999999999998</v>
      </c>
      <c r="AB211" s="258">
        <v>144</v>
      </c>
      <c r="AC211" s="54">
        <v>13</v>
      </c>
      <c r="AD211" s="311">
        <v>0</v>
      </c>
      <c r="AE211" s="54"/>
    </row>
    <row r="212" spans="1:38" ht="15" customHeight="1">
      <c r="A212" s="41" t="s">
        <v>183</v>
      </c>
      <c r="B212" s="386" t="s">
        <v>935</v>
      </c>
      <c r="C212" s="149" t="s">
        <v>935</v>
      </c>
      <c r="D212" s="392" t="s">
        <v>861</v>
      </c>
      <c r="E212" s="421"/>
      <c r="F212" s="386"/>
      <c r="G212" s="389" t="s">
        <v>936</v>
      </c>
      <c r="H212" s="63"/>
      <c r="I212" s="54"/>
      <c r="J212" s="61" t="s">
        <v>938</v>
      </c>
      <c r="K212" s="57">
        <v>40857</v>
      </c>
      <c r="L212" s="132">
        <v>40846</v>
      </c>
      <c r="M212" s="54">
        <v>11</v>
      </c>
      <c r="N212" s="54" t="s">
        <v>2</v>
      </c>
      <c r="O212" s="135">
        <f>1/2</f>
        <v>0.5</v>
      </c>
      <c r="P212" s="134">
        <v>6.39</v>
      </c>
      <c r="Q212" s="135">
        <v>6.25</v>
      </c>
      <c r="R212" s="54">
        <v>60</v>
      </c>
      <c r="S212" s="155">
        <v>76</v>
      </c>
      <c r="T212" s="54">
        <v>0.18</v>
      </c>
      <c r="U212" s="135">
        <v>1.21</v>
      </c>
      <c r="V212" s="54">
        <v>0.28000000000000003</v>
      </c>
      <c r="W212" s="155">
        <f>0.05/2</f>
        <v>2.5000000000000001E-2</v>
      </c>
      <c r="X212" s="54">
        <v>0.43</v>
      </c>
      <c r="Y212" s="155">
        <f>0.05/2</f>
        <v>2.5000000000000001E-2</v>
      </c>
      <c r="Z212" s="311">
        <v>0.35399999999999998</v>
      </c>
      <c r="AA212" s="311">
        <v>0.35399999999999998</v>
      </c>
      <c r="AB212" s="258">
        <v>142</v>
      </c>
      <c r="AC212" s="54">
        <v>15</v>
      </c>
      <c r="AD212" s="311">
        <v>0</v>
      </c>
      <c r="AE212" s="54"/>
    </row>
    <row r="213" spans="1:38" ht="15" customHeight="1">
      <c r="A213" s="41" t="s">
        <v>183</v>
      </c>
      <c r="B213" s="386" t="s">
        <v>945</v>
      </c>
      <c r="C213" s="149" t="s">
        <v>945</v>
      </c>
      <c r="D213" s="392" t="s">
        <v>127</v>
      </c>
      <c r="E213" s="258" t="s">
        <v>946</v>
      </c>
      <c r="F213" s="386"/>
      <c r="G213" s="389" t="s">
        <v>947</v>
      </c>
      <c r="H213" s="55">
        <v>3471</v>
      </c>
      <c r="I213" s="54" t="s">
        <v>2</v>
      </c>
      <c r="J213" s="61" t="s">
        <v>366</v>
      </c>
      <c r="K213" s="57">
        <v>40869</v>
      </c>
      <c r="L213" s="132">
        <v>40863</v>
      </c>
      <c r="M213" s="54">
        <v>6</v>
      </c>
      <c r="N213" s="54" t="s">
        <v>2</v>
      </c>
      <c r="O213" s="135">
        <f>5/2</f>
        <v>2.5</v>
      </c>
      <c r="P213" s="134">
        <v>4.6399999999999997</v>
      </c>
      <c r="Q213" s="135">
        <v>5.53</v>
      </c>
      <c r="R213" s="54">
        <v>24</v>
      </c>
      <c r="S213" s="155">
        <v>8</v>
      </c>
      <c r="T213" s="54">
        <f>0.1/2</f>
        <v>0.05</v>
      </c>
      <c r="U213" s="135">
        <f>1/2</f>
        <v>0.5</v>
      </c>
      <c r="V213" s="54">
        <v>0.91</v>
      </c>
      <c r="W213" s="155">
        <f>0.04/2</f>
        <v>0.02</v>
      </c>
      <c r="X213" s="54">
        <v>0.19</v>
      </c>
      <c r="Y213" s="155">
        <f>0.013/2</f>
        <v>6.4999999999999997E-3</v>
      </c>
      <c r="Z213" s="312"/>
      <c r="AA213" s="312"/>
      <c r="AB213" s="258"/>
      <c r="AC213" s="54"/>
      <c r="AD213" s="311"/>
      <c r="AE213" s="54"/>
    </row>
    <row r="214" spans="1:38" ht="15" customHeight="1">
      <c r="A214" s="41" t="s">
        <v>183</v>
      </c>
      <c r="B214" s="386" t="s">
        <v>948</v>
      </c>
      <c r="C214" s="149" t="s">
        <v>948</v>
      </c>
      <c r="D214" s="392" t="s">
        <v>516</v>
      </c>
      <c r="E214" s="258" t="s">
        <v>949</v>
      </c>
      <c r="F214" s="386"/>
      <c r="G214" s="389" t="s">
        <v>950</v>
      </c>
      <c r="H214" s="55">
        <v>3273</v>
      </c>
      <c r="I214" s="54" t="s">
        <v>1</v>
      </c>
      <c r="J214" s="61" t="s">
        <v>510</v>
      </c>
      <c r="K214" s="57">
        <v>40904</v>
      </c>
      <c r="L214" s="132">
        <v>40899</v>
      </c>
      <c r="M214" s="54">
        <v>5</v>
      </c>
      <c r="N214" s="54" t="s">
        <v>2</v>
      </c>
      <c r="O214" s="135">
        <v>3.6</v>
      </c>
      <c r="P214" s="134">
        <v>6.32</v>
      </c>
      <c r="Q214" s="135">
        <v>9.7799999999999994</v>
      </c>
      <c r="R214" s="54">
        <v>32</v>
      </c>
      <c r="S214" s="155">
        <v>160</v>
      </c>
      <c r="T214" s="54">
        <v>0.15</v>
      </c>
      <c r="U214" s="135">
        <v>0.59</v>
      </c>
      <c r="V214" s="54">
        <v>0.41</v>
      </c>
      <c r="W214" s="155">
        <v>0.01</v>
      </c>
      <c r="X214" s="54">
        <v>0.08</v>
      </c>
      <c r="Y214" s="155">
        <f>0.002/2</f>
        <v>1E-3</v>
      </c>
      <c r="Z214" s="312">
        <v>1</v>
      </c>
      <c r="AA214" s="312">
        <v>1</v>
      </c>
      <c r="AB214" s="258">
        <v>72</v>
      </c>
      <c r="AC214" s="54">
        <v>169</v>
      </c>
      <c r="AD214" s="311">
        <v>1</v>
      </c>
      <c r="AE214" s="54">
        <f>10/2</f>
        <v>5</v>
      </c>
    </row>
    <row r="215" spans="1:38" ht="15" customHeight="1">
      <c r="A215" s="41" t="s">
        <v>183</v>
      </c>
      <c r="B215" s="386" t="s">
        <v>948</v>
      </c>
      <c r="C215" s="149" t="s">
        <v>948</v>
      </c>
      <c r="D215" s="392" t="s">
        <v>516</v>
      </c>
      <c r="E215" s="258" t="s">
        <v>949</v>
      </c>
      <c r="F215" s="386"/>
      <c r="G215" s="389" t="s">
        <v>950</v>
      </c>
      <c r="H215" s="55">
        <v>3273</v>
      </c>
      <c r="I215" s="54" t="s">
        <v>1</v>
      </c>
      <c r="J215" s="61" t="s">
        <v>460</v>
      </c>
      <c r="K215" s="57">
        <v>40904</v>
      </c>
      <c r="L215" s="132">
        <v>41265</v>
      </c>
      <c r="M215" s="54">
        <v>5</v>
      </c>
      <c r="N215" s="54" t="s">
        <v>2</v>
      </c>
      <c r="O215" s="135">
        <v>3.2</v>
      </c>
      <c r="P215" s="134">
        <v>6.32</v>
      </c>
      <c r="Q215" s="135">
        <v>7.77</v>
      </c>
      <c r="R215" s="54">
        <v>71</v>
      </c>
      <c r="S215" s="155">
        <v>300</v>
      </c>
      <c r="T215" s="54">
        <v>0.18</v>
      </c>
      <c r="U215" s="135">
        <v>0.56000000000000005</v>
      </c>
      <c r="V215" s="54">
        <v>0.36</v>
      </c>
      <c r="W215" s="155">
        <v>2.5999999999999999E-2</v>
      </c>
      <c r="X215" s="54">
        <v>7.6999999999999999E-2</v>
      </c>
      <c r="Y215" s="155">
        <f>0.002/2</f>
        <v>1E-3</v>
      </c>
      <c r="Z215" s="312">
        <v>1</v>
      </c>
      <c r="AA215" s="312">
        <v>1</v>
      </c>
      <c r="AB215" s="258">
        <v>24</v>
      </c>
      <c r="AC215" s="54">
        <v>73</v>
      </c>
      <c r="AD215" s="311">
        <v>1</v>
      </c>
      <c r="AE215" s="54">
        <v>540</v>
      </c>
    </row>
    <row r="216" spans="1:38" ht="15" customHeight="1">
      <c r="A216" s="41" t="s">
        <v>183</v>
      </c>
      <c r="B216" s="402" t="s">
        <v>1036</v>
      </c>
      <c r="C216" s="113" t="s">
        <v>1037</v>
      </c>
      <c r="D216" s="393" t="s">
        <v>1484</v>
      </c>
      <c r="E216" s="394" t="s">
        <v>235</v>
      </c>
      <c r="G216" s="405" t="s">
        <v>1038</v>
      </c>
      <c r="I216" s="50" t="s">
        <v>2</v>
      </c>
      <c r="J216" s="76" t="s">
        <v>1039</v>
      </c>
      <c r="K216" s="51">
        <v>41136</v>
      </c>
      <c r="L216" s="115">
        <v>41131</v>
      </c>
      <c r="M216" s="50">
        <v>5</v>
      </c>
      <c r="N216" s="50" t="s">
        <v>2</v>
      </c>
      <c r="O216" s="131">
        <f>1.4/2</f>
        <v>0.7</v>
      </c>
      <c r="P216" s="117">
        <v>6.9</v>
      </c>
      <c r="Q216" s="131">
        <v>6.82</v>
      </c>
      <c r="R216" s="50">
        <v>30</v>
      </c>
      <c r="S216" s="74">
        <v>76</v>
      </c>
      <c r="T216" s="50">
        <v>1.81</v>
      </c>
      <c r="U216" s="131">
        <v>0.95</v>
      </c>
      <c r="V216" s="50">
        <v>0.28999999999999998</v>
      </c>
      <c r="W216" s="74">
        <v>7.1999999999999995E-2</v>
      </c>
      <c r="X216" s="50">
        <v>0.20799999999999999</v>
      </c>
      <c r="Y216" s="74">
        <v>2.1999999999999999E-2</v>
      </c>
      <c r="Z216" s="271">
        <v>1</v>
      </c>
      <c r="AA216" s="271">
        <v>1</v>
      </c>
      <c r="AB216" s="114">
        <v>8</v>
      </c>
      <c r="AC216" s="50">
        <v>26</v>
      </c>
      <c r="AD216" s="311">
        <v>1</v>
      </c>
    </row>
    <row r="217" spans="1:38" ht="15" customHeight="1">
      <c r="A217" s="41" t="s">
        <v>183</v>
      </c>
      <c r="B217" s="402" t="s">
        <v>1040</v>
      </c>
      <c r="C217" s="113" t="s">
        <v>1041</v>
      </c>
      <c r="D217" s="393" t="s">
        <v>257</v>
      </c>
      <c r="E217" s="394" t="s">
        <v>512</v>
      </c>
      <c r="G217" s="405" t="s">
        <v>1042</v>
      </c>
      <c r="H217" s="49">
        <v>3089</v>
      </c>
      <c r="I217" s="50" t="s">
        <v>2</v>
      </c>
      <c r="J217" s="76" t="s">
        <v>1043</v>
      </c>
      <c r="K217" s="51">
        <v>40898</v>
      </c>
      <c r="L217" s="115">
        <v>40885</v>
      </c>
      <c r="M217" s="50">
        <f t="shared" ref="M217:M241" si="9">K217-L217</f>
        <v>13</v>
      </c>
      <c r="N217" s="50" t="s">
        <v>2</v>
      </c>
      <c r="O217" s="131">
        <f t="shared" ref="O217:O223" si="10">5/2</f>
        <v>2.5</v>
      </c>
      <c r="P217" s="117">
        <v>5.6</v>
      </c>
      <c r="Q217" s="131">
        <v>7.61</v>
      </c>
      <c r="R217" s="50">
        <v>24</v>
      </c>
      <c r="S217" s="74">
        <f>5/2</f>
        <v>2.5</v>
      </c>
      <c r="T217" s="50">
        <f>0.1/2</f>
        <v>0.05</v>
      </c>
      <c r="U217" s="131">
        <f>1/2</f>
        <v>0.5</v>
      </c>
      <c r="V217" s="50">
        <v>0.62</v>
      </c>
      <c r="W217" s="74">
        <v>7.2999999999999995E-2</v>
      </c>
      <c r="X217" s="50">
        <v>0.25</v>
      </c>
      <c r="Y217" s="74">
        <f>0.013/2</f>
        <v>6.4999999999999997E-3</v>
      </c>
      <c r="Z217" s="271">
        <v>1</v>
      </c>
      <c r="AA217" s="271">
        <v>1</v>
      </c>
      <c r="AB217" s="114">
        <v>97</v>
      </c>
      <c r="AC217" s="50">
        <v>186</v>
      </c>
      <c r="AD217" s="314">
        <v>0.8</v>
      </c>
      <c r="AK217" s="168"/>
      <c r="AL217" s="168"/>
    </row>
    <row r="218" spans="1:38" ht="15" customHeight="1">
      <c r="A218" s="41" t="s">
        <v>183</v>
      </c>
      <c r="B218" s="402" t="s">
        <v>1040</v>
      </c>
      <c r="C218" s="113" t="s">
        <v>1041</v>
      </c>
      <c r="D218" s="393" t="s">
        <v>257</v>
      </c>
      <c r="E218" s="394" t="s">
        <v>512</v>
      </c>
      <c r="G218" s="405" t="s">
        <v>1042</v>
      </c>
      <c r="H218" s="49">
        <v>3089</v>
      </c>
      <c r="I218" s="50" t="s">
        <v>2</v>
      </c>
      <c r="J218" s="76" t="s">
        <v>1044</v>
      </c>
      <c r="K218" s="51">
        <v>40898</v>
      </c>
      <c r="L218" s="115">
        <v>40885</v>
      </c>
      <c r="M218" s="50">
        <f t="shared" si="9"/>
        <v>13</v>
      </c>
      <c r="N218" s="50" t="s">
        <v>2</v>
      </c>
      <c r="O218" s="131">
        <f t="shared" si="10"/>
        <v>2.5</v>
      </c>
      <c r="P218" s="117">
        <v>5.6</v>
      </c>
      <c r="Q218" s="131">
        <v>7.83</v>
      </c>
      <c r="R218" s="50">
        <v>32</v>
      </c>
      <c r="S218" s="74">
        <f>5/2</f>
        <v>2.5</v>
      </c>
      <c r="T218" s="50">
        <f>0.1/2</f>
        <v>0.05</v>
      </c>
      <c r="U218" s="131">
        <f>1/2</f>
        <v>0.5</v>
      </c>
      <c r="V218" s="50">
        <v>0.69</v>
      </c>
      <c r="W218" s="74">
        <f>0.04/2</f>
        <v>0.02</v>
      </c>
      <c r="X218" s="50">
        <v>0.08</v>
      </c>
      <c r="Y218" s="74">
        <f>0.013/2</f>
        <v>6.4999999999999997E-3</v>
      </c>
      <c r="Z218" s="271">
        <v>1</v>
      </c>
      <c r="AA218" s="271">
        <v>1</v>
      </c>
      <c r="AB218" s="114">
        <v>240</v>
      </c>
      <c r="AC218" s="50">
        <v>1050</v>
      </c>
      <c r="AD218" s="314">
        <v>1</v>
      </c>
      <c r="AK218" s="168"/>
      <c r="AL218" s="168"/>
    </row>
    <row r="219" spans="1:38" ht="15" customHeight="1">
      <c r="A219" s="41" t="s">
        <v>183</v>
      </c>
      <c r="B219" s="402" t="s">
        <v>1040</v>
      </c>
      <c r="C219" s="113" t="s">
        <v>1041</v>
      </c>
      <c r="D219" s="393" t="s">
        <v>257</v>
      </c>
      <c r="E219" s="394" t="s">
        <v>512</v>
      </c>
      <c r="G219" s="405" t="s">
        <v>1042</v>
      </c>
      <c r="H219" s="49">
        <v>3089</v>
      </c>
      <c r="I219" s="50" t="s">
        <v>2</v>
      </c>
      <c r="J219" s="76" t="s">
        <v>1045</v>
      </c>
      <c r="K219" s="51">
        <v>40898</v>
      </c>
      <c r="L219" s="115">
        <v>40885</v>
      </c>
      <c r="M219" s="50">
        <f t="shared" si="9"/>
        <v>13</v>
      </c>
      <c r="N219" s="50" t="s">
        <v>2</v>
      </c>
      <c r="O219" s="131">
        <f t="shared" si="10"/>
        <v>2.5</v>
      </c>
      <c r="P219" s="117">
        <v>5.6</v>
      </c>
      <c r="Q219" s="131">
        <v>7.38</v>
      </c>
      <c r="R219" s="50">
        <v>9</v>
      </c>
      <c r="S219" s="74">
        <v>6</v>
      </c>
      <c r="T219" s="50">
        <f>0.1/2</f>
        <v>0.05</v>
      </c>
      <c r="U219" s="131">
        <f>1/2</f>
        <v>0.5</v>
      </c>
      <c r="V219" s="50">
        <v>0.78</v>
      </c>
      <c r="W219" s="74">
        <f>0.04/2</f>
        <v>0.02</v>
      </c>
      <c r="X219" s="50">
        <v>3.9E-2</v>
      </c>
      <c r="Y219" s="74">
        <f>0.013/2</f>
        <v>6.4999999999999997E-3</v>
      </c>
      <c r="Z219" s="271">
        <v>1</v>
      </c>
      <c r="AA219" s="271">
        <v>1</v>
      </c>
      <c r="AB219" s="114">
        <v>39</v>
      </c>
      <c r="AC219" s="50">
        <v>182</v>
      </c>
      <c r="AD219" s="314">
        <v>1</v>
      </c>
      <c r="AK219" s="168"/>
      <c r="AL219" s="168"/>
    </row>
    <row r="220" spans="1:38" ht="15" customHeight="1">
      <c r="A220" s="41" t="s">
        <v>183</v>
      </c>
      <c r="B220" s="402" t="s">
        <v>1040</v>
      </c>
      <c r="C220" s="113" t="s">
        <v>1041</v>
      </c>
      <c r="D220" s="393" t="s">
        <v>257</v>
      </c>
      <c r="E220" s="394" t="s">
        <v>512</v>
      </c>
      <c r="G220" s="405" t="s">
        <v>1042</v>
      </c>
      <c r="H220" s="49">
        <v>3089</v>
      </c>
      <c r="I220" s="50" t="s">
        <v>2</v>
      </c>
      <c r="J220" s="76" t="s">
        <v>1046</v>
      </c>
      <c r="K220" s="51">
        <v>40898</v>
      </c>
      <c r="L220" s="115">
        <v>40885</v>
      </c>
      <c r="M220" s="50">
        <f t="shared" si="9"/>
        <v>13</v>
      </c>
      <c r="N220" s="50" t="s">
        <v>2</v>
      </c>
      <c r="O220" s="131">
        <f t="shared" si="10"/>
        <v>2.5</v>
      </c>
      <c r="P220" s="117">
        <v>5.6</v>
      </c>
      <c r="Q220" s="131">
        <v>7.66</v>
      </c>
      <c r="R220" s="50">
        <v>50</v>
      </c>
      <c r="S220" s="74">
        <v>18</v>
      </c>
      <c r="T220" s="50">
        <f>0.1/2</f>
        <v>0.05</v>
      </c>
      <c r="U220" s="131">
        <v>1.6</v>
      </c>
      <c r="V220" s="50">
        <v>0.56000000000000005</v>
      </c>
      <c r="W220" s="74">
        <f>0.04/2</f>
        <v>0.02</v>
      </c>
      <c r="X220" s="50">
        <v>0.12</v>
      </c>
      <c r="Y220" s="74">
        <f>0.013/2</f>
        <v>6.4999999999999997E-3</v>
      </c>
      <c r="Z220" s="271">
        <v>1</v>
      </c>
      <c r="AA220" s="271">
        <v>1</v>
      </c>
      <c r="AB220" s="114">
        <v>69</v>
      </c>
      <c r="AC220" s="50">
        <v>393</v>
      </c>
      <c r="AD220" s="314">
        <v>1</v>
      </c>
      <c r="AK220" s="168"/>
      <c r="AL220" s="168"/>
    </row>
    <row r="221" spans="1:38" ht="15" customHeight="1">
      <c r="A221" s="41" t="s">
        <v>183</v>
      </c>
      <c r="B221" s="402" t="s">
        <v>1040</v>
      </c>
      <c r="C221" s="113" t="s">
        <v>1041</v>
      </c>
      <c r="D221" s="393" t="s">
        <v>257</v>
      </c>
      <c r="E221" s="394" t="s">
        <v>512</v>
      </c>
      <c r="G221" s="405" t="s">
        <v>1042</v>
      </c>
      <c r="H221" s="49">
        <v>3089</v>
      </c>
      <c r="I221" s="50" t="s">
        <v>2</v>
      </c>
      <c r="J221" s="76" t="s">
        <v>1047</v>
      </c>
      <c r="K221" s="51">
        <v>40898</v>
      </c>
      <c r="L221" s="115">
        <v>40885</v>
      </c>
      <c r="M221" s="50">
        <f t="shared" si="9"/>
        <v>13</v>
      </c>
      <c r="N221" s="50" t="s">
        <v>2</v>
      </c>
      <c r="O221" s="131">
        <f t="shared" si="10"/>
        <v>2.5</v>
      </c>
      <c r="P221" s="117">
        <v>5.6</v>
      </c>
      <c r="Q221" s="131">
        <v>6.63</v>
      </c>
      <c r="R221" s="50">
        <v>84</v>
      </c>
      <c r="S221" s="74">
        <v>91</v>
      </c>
      <c r="T221" s="50">
        <f>0.1/2</f>
        <v>0.05</v>
      </c>
      <c r="U221" s="131">
        <f>1/2</f>
        <v>0.5</v>
      </c>
      <c r="V221" s="50">
        <v>0.93</v>
      </c>
      <c r="W221" s="74">
        <f>0.04/2</f>
        <v>0.02</v>
      </c>
      <c r="X221" s="50">
        <v>0.12</v>
      </c>
      <c r="Y221" s="74">
        <v>2.3E-2</v>
      </c>
      <c r="Z221" s="271">
        <v>1</v>
      </c>
      <c r="AA221" s="271">
        <v>1</v>
      </c>
      <c r="AB221" s="114">
        <v>14</v>
      </c>
      <c r="AC221" s="50">
        <v>111</v>
      </c>
      <c r="AD221" s="314">
        <v>1</v>
      </c>
      <c r="AK221" s="168"/>
      <c r="AL221" s="168"/>
    </row>
    <row r="222" spans="1:38" ht="15" customHeight="1">
      <c r="A222" s="41" t="s">
        <v>183</v>
      </c>
      <c r="B222" s="402" t="s">
        <v>532</v>
      </c>
      <c r="C222" s="113" t="s">
        <v>1048</v>
      </c>
      <c r="D222" s="393" t="s">
        <v>1896</v>
      </c>
      <c r="E222" s="394" t="s">
        <v>664</v>
      </c>
      <c r="G222" s="405" t="s">
        <v>1049</v>
      </c>
      <c r="H222" s="49">
        <v>3273</v>
      </c>
      <c r="I222" s="50" t="s">
        <v>1</v>
      </c>
      <c r="J222" s="76" t="s">
        <v>460</v>
      </c>
      <c r="K222" s="51">
        <v>40835</v>
      </c>
      <c r="L222" s="115">
        <v>40830</v>
      </c>
      <c r="M222" s="50">
        <f t="shared" si="9"/>
        <v>5</v>
      </c>
      <c r="N222" s="50" t="s">
        <v>2</v>
      </c>
      <c r="O222" s="131">
        <f t="shared" si="10"/>
        <v>2.5</v>
      </c>
      <c r="P222" s="117">
        <v>6.5</v>
      </c>
      <c r="Q222" s="131">
        <v>10.83</v>
      </c>
      <c r="R222" s="50">
        <v>150</v>
      </c>
      <c r="S222" s="74">
        <v>740</v>
      </c>
      <c r="T222" s="50">
        <v>0.5</v>
      </c>
      <c r="U222" s="131">
        <f>1/2</f>
        <v>0.5</v>
      </c>
      <c r="V222" s="50">
        <v>1.2</v>
      </c>
      <c r="W222" s="74">
        <v>5.6000000000000001E-2</v>
      </c>
      <c r="X222" s="50">
        <v>0.24</v>
      </c>
      <c r="Y222" s="74">
        <v>4.2999999999999997E-2</v>
      </c>
      <c r="Z222" s="271">
        <v>0.55500000000000005</v>
      </c>
      <c r="AA222" s="271">
        <v>0.159</v>
      </c>
      <c r="AB222" s="114">
        <v>330</v>
      </c>
      <c r="AC222" s="50">
        <v>1088</v>
      </c>
      <c r="AD222" s="314">
        <v>0</v>
      </c>
      <c r="AF222" s="49">
        <f>10/2</f>
        <v>5</v>
      </c>
      <c r="AK222" s="168"/>
      <c r="AL222" s="168"/>
    </row>
    <row r="223" spans="1:38" ht="15" customHeight="1">
      <c r="A223" s="41" t="s">
        <v>183</v>
      </c>
      <c r="B223" s="402" t="s">
        <v>532</v>
      </c>
      <c r="C223" s="113" t="s">
        <v>1048</v>
      </c>
      <c r="D223" s="393" t="s">
        <v>1896</v>
      </c>
      <c r="E223" s="394" t="s">
        <v>664</v>
      </c>
      <c r="G223" s="405" t="s">
        <v>1049</v>
      </c>
      <c r="H223" s="49">
        <v>3273</v>
      </c>
      <c r="I223" s="50" t="s">
        <v>1</v>
      </c>
      <c r="J223" s="76" t="s">
        <v>357</v>
      </c>
      <c r="K223" s="51">
        <v>40835</v>
      </c>
      <c r="L223" s="115">
        <v>40830</v>
      </c>
      <c r="M223" s="50">
        <f t="shared" si="9"/>
        <v>5</v>
      </c>
      <c r="N223" s="50" t="s">
        <v>2</v>
      </c>
      <c r="O223" s="131">
        <f t="shared" si="10"/>
        <v>2.5</v>
      </c>
      <c r="P223" s="117">
        <v>6.5</v>
      </c>
      <c r="Q223" s="131">
        <v>9.24</v>
      </c>
      <c r="R223" s="50">
        <v>43</v>
      </c>
      <c r="S223" s="74">
        <v>210</v>
      </c>
      <c r="T223" s="50">
        <f>0.1/2</f>
        <v>0.05</v>
      </c>
      <c r="U223" s="131">
        <f>1/2</f>
        <v>0.5</v>
      </c>
      <c r="V223" s="50">
        <v>0.27</v>
      </c>
      <c r="W223" s="74">
        <f>0.04/2</f>
        <v>0.02</v>
      </c>
      <c r="X223" s="50">
        <v>0.13</v>
      </c>
      <c r="Y223" s="74">
        <f>0.013/2</f>
        <v>6.4999999999999997E-3</v>
      </c>
      <c r="Z223" s="271">
        <v>1</v>
      </c>
      <c r="AA223" s="271">
        <v>1</v>
      </c>
      <c r="AB223" s="114">
        <v>73</v>
      </c>
      <c r="AC223" s="50">
        <v>95</v>
      </c>
      <c r="AD223" s="314">
        <v>1</v>
      </c>
      <c r="AI223" s="114">
        <v>36</v>
      </c>
      <c r="AK223" s="168"/>
      <c r="AL223" s="168"/>
    </row>
    <row r="224" spans="1:38" ht="15" customHeight="1">
      <c r="A224" s="41" t="s">
        <v>183</v>
      </c>
      <c r="B224" s="402" t="s">
        <v>1050</v>
      </c>
      <c r="D224" s="393" t="s">
        <v>1217</v>
      </c>
      <c r="F224" s="402" t="s">
        <v>1051</v>
      </c>
      <c r="G224" s="405" t="s">
        <v>1052</v>
      </c>
      <c r="H224" s="49">
        <v>3724</v>
      </c>
      <c r="I224" s="50" t="s">
        <v>2</v>
      </c>
      <c r="J224" s="76" t="s">
        <v>1053</v>
      </c>
      <c r="K224" s="51">
        <v>40863</v>
      </c>
      <c r="L224" s="115">
        <v>40858</v>
      </c>
      <c r="M224" s="50">
        <f t="shared" si="9"/>
        <v>5</v>
      </c>
      <c r="N224" s="50" t="s">
        <v>2</v>
      </c>
      <c r="O224" s="131">
        <f>2.1/2</f>
        <v>1.05</v>
      </c>
      <c r="P224" s="117">
        <v>7.2</v>
      </c>
      <c r="Q224" s="131">
        <v>7.65</v>
      </c>
      <c r="R224" s="50">
        <v>91</v>
      </c>
      <c r="S224" s="74">
        <v>338</v>
      </c>
      <c r="T224" s="50">
        <v>0.86499999999999999</v>
      </c>
      <c r="U224" s="131">
        <v>2.7</v>
      </c>
      <c r="V224" s="50">
        <v>1.39</v>
      </c>
      <c r="W224" s="74">
        <v>6.0000000000000001E-3</v>
      </c>
      <c r="X224" s="50">
        <v>4.2000000000000003E-2</v>
      </c>
      <c r="Y224" s="74">
        <f>0.005/2</f>
        <v>2.5000000000000001E-3</v>
      </c>
      <c r="AD224" s="314"/>
      <c r="AK224" s="168"/>
      <c r="AL224" s="168"/>
    </row>
    <row r="225" spans="1:43" ht="15" customHeight="1">
      <c r="A225" s="41" t="s">
        <v>183</v>
      </c>
      <c r="B225" s="402" t="s">
        <v>1054</v>
      </c>
      <c r="C225" s="113" t="s">
        <v>1055</v>
      </c>
      <c r="D225" s="393" t="s">
        <v>205</v>
      </c>
      <c r="E225" s="394" t="s">
        <v>1056</v>
      </c>
      <c r="G225" s="405" t="s">
        <v>1057</v>
      </c>
      <c r="H225" s="49">
        <v>3221</v>
      </c>
      <c r="I225" s="50" t="s">
        <v>1</v>
      </c>
      <c r="J225" s="76" t="s">
        <v>130</v>
      </c>
      <c r="K225" s="51">
        <v>40863</v>
      </c>
      <c r="L225" s="115">
        <v>40857</v>
      </c>
      <c r="M225" s="50">
        <f t="shared" si="9"/>
        <v>6</v>
      </c>
      <c r="N225" s="50" t="s">
        <v>2</v>
      </c>
      <c r="O225" s="131">
        <f>1/2</f>
        <v>0.5</v>
      </c>
      <c r="P225" s="117">
        <v>7.2</v>
      </c>
      <c r="Q225" s="131">
        <v>7.9</v>
      </c>
      <c r="R225" s="50">
        <v>32.1</v>
      </c>
      <c r="S225" s="74">
        <v>22</v>
      </c>
      <c r="T225" s="50">
        <v>0.22</v>
      </c>
      <c r="U225" s="131">
        <v>1.54</v>
      </c>
      <c r="V225" s="50">
        <f>0.1/2</f>
        <v>0.05</v>
      </c>
      <c r="W225" s="74">
        <v>8.0000000000000002E-3</v>
      </c>
      <c r="X225" s="50">
        <v>4.2999999999999997E-2</v>
      </c>
      <c r="Y225" s="74">
        <v>3.0000000000000001E-3</v>
      </c>
      <c r="Z225" s="271">
        <v>1</v>
      </c>
      <c r="AA225" s="271">
        <v>1</v>
      </c>
      <c r="AB225" s="114">
        <v>16.13</v>
      </c>
      <c r="AC225" s="50">
        <v>1275</v>
      </c>
      <c r="AD225" s="314">
        <v>1</v>
      </c>
      <c r="AK225" s="168"/>
      <c r="AL225" s="168"/>
    </row>
    <row r="226" spans="1:43" ht="15" customHeight="1">
      <c r="A226" s="41" t="s">
        <v>183</v>
      </c>
      <c r="B226" s="402" t="s">
        <v>1058</v>
      </c>
      <c r="D226" s="393" t="s">
        <v>1135</v>
      </c>
      <c r="F226" s="402" t="s">
        <v>1059</v>
      </c>
      <c r="G226" s="405" t="s">
        <v>1060</v>
      </c>
      <c r="H226" s="49">
        <v>3357</v>
      </c>
      <c r="I226" s="50" t="s">
        <v>2</v>
      </c>
      <c r="J226" s="76" t="s">
        <v>700</v>
      </c>
      <c r="K226" s="51">
        <v>40898</v>
      </c>
      <c r="L226" s="115">
        <v>40892</v>
      </c>
      <c r="M226" s="50">
        <f t="shared" si="9"/>
        <v>6</v>
      </c>
      <c r="N226" s="50" t="s">
        <v>2</v>
      </c>
      <c r="O226" s="131">
        <f>1.8/2</f>
        <v>0.9</v>
      </c>
      <c r="P226" s="117">
        <v>6.84</v>
      </c>
      <c r="Q226" s="131">
        <v>6.45</v>
      </c>
      <c r="R226" s="50">
        <f>20/2</f>
        <v>10</v>
      </c>
      <c r="S226" s="74">
        <v>16.8</v>
      </c>
      <c r="T226" s="50">
        <v>7.2999999999999995E-2</v>
      </c>
      <c r="U226" s="131">
        <f>1/2</f>
        <v>0.5</v>
      </c>
      <c r="V226" s="50">
        <v>0.71</v>
      </c>
      <c r="W226" s="74">
        <v>3.5000000000000003E-2</v>
      </c>
      <c r="X226" s="50">
        <v>8.5999999999999993E-2</v>
      </c>
      <c r="Y226" s="74">
        <v>2.5100000000000001E-2</v>
      </c>
      <c r="AD226" s="314"/>
      <c r="AK226" s="168"/>
      <c r="AL226" s="168"/>
    </row>
    <row r="227" spans="1:43" ht="15" customHeight="1">
      <c r="A227" s="41" t="s">
        <v>183</v>
      </c>
      <c r="B227" s="402" t="s">
        <v>1058</v>
      </c>
      <c r="D227" s="393" t="s">
        <v>1135</v>
      </c>
      <c r="F227" s="402" t="s">
        <v>1059</v>
      </c>
      <c r="G227" s="405" t="s">
        <v>1060</v>
      </c>
      <c r="H227" s="49">
        <v>3357</v>
      </c>
      <c r="I227" s="50" t="s">
        <v>2</v>
      </c>
      <c r="J227" s="76" t="s">
        <v>1061</v>
      </c>
      <c r="K227" s="51">
        <v>40898</v>
      </c>
      <c r="L227" s="115">
        <v>40892</v>
      </c>
      <c r="M227" s="50">
        <f t="shared" si="9"/>
        <v>6</v>
      </c>
      <c r="N227" s="50" t="s">
        <v>2</v>
      </c>
      <c r="O227" s="131">
        <f>1.7/2</f>
        <v>0.85</v>
      </c>
      <c r="P227" s="117">
        <v>6.84</v>
      </c>
      <c r="Q227" s="131">
        <v>6.75</v>
      </c>
      <c r="R227" s="50">
        <v>25</v>
      </c>
      <c r="S227" s="74">
        <v>29.7</v>
      </c>
      <c r="T227" s="50">
        <v>5.0999999999999997E-2</v>
      </c>
      <c r="U227" s="131">
        <f>1/2</f>
        <v>0.5</v>
      </c>
      <c r="V227" s="50">
        <v>1.4</v>
      </c>
      <c r="W227" s="74">
        <v>2.4E-2</v>
      </c>
      <c r="X227" s="50">
        <v>0.32900000000000001</v>
      </c>
      <c r="Y227" s="74">
        <v>1.46E-2</v>
      </c>
      <c r="AD227" s="314"/>
      <c r="AK227" s="168"/>
      <c r="AL227" s="168"/>
    </row>
    <row r="228" spans="1:43" ht="15" customHeight="1">
      <c r="A228" s="41" t="s">
        <v>183</v>
      </c>
      <c r="B228" s="402" t="s">
        <v>1058</v>
      </c>
      <c r="D228" s="393" t="s">
        <v>1135</v>
      </c>
      <c r="F228" s="402" t="s">
        <v>1059</v>
      </c>
      <c r="G228" s="405" t="s">
        <v>1060</v>
      </c>
      <c r="H228" s="49">
        <v>3357</v>
      </c>
      <c r="I228" s="50" t="s">
        <v>2</v>
      </c>
      <c r="J228" s="76" t="s">
        <v>1062</v>
      </c>
      <c r="K228" s="51">
        <v>40898</v>
      </c>
      <c r="L228" s="115">
        <v>40892</v>
      </c>
      <c r="M228" s="50">
        <f t="shared" si="9"/>
        <v>6</v>
      </c>
      <c r="N228" s="50" t="s">
        <v>2</v>
      </c>
      <c r="O228" s="131">
        <f>1.7/2</f>
        <v>0.85</v>
      </c>
      <c r="P228" s="117">
        <v>6.84</v>
      </c>
      <c r="Q228" s="131">
        <v>7.03</v>
      </c>
      <c r="R228" s="50">
        <v>28</v>
      </c>
      <c r="S228" s="74">
        <v>4</v>
      </c>
      <c r="T228" s="50">
        <v>2.9000000000000001E-2</v>
      </c>
      <c r="U228" s="131">
        <v>1.3</v>
      </c>
      <c r="V228" s="50">
        <f>0.46/2</f>
        <v>0.23</v>
      </c>
      <c r="W228" s="74">
        <v>0.14199999999999999</v>
      </c>
      <c r="X228" s="50">
        <v>0.161</v>
      </c>
      <c r="Y228" s="74">
        <v>0.109</v>
      </c>
      <c r="AD228" s="314"/>
      <c r="AK228" s="168"/>
      <c r="AL228" s="168"/>
    </row>
    <row r="229" spans="1:43" ht="15" customHeight="1">
      <c r="A229" s="41" t="s">
        <v>183</v>
      </c>
      <c r="B229" s="402" t="s">
        <v>1058</v>
      </c>
      <c r="D229" s="393" t="s">
        <v>1135</v>
      </c>
      <c r="F229" s="402" t="s">
        <v>1059</v>
      </c>
      <c r="G229" s="405" t="s">
        <v>1060</v>
      </c>
      <c r="H229" s="49">
        <v>3357</v>
      </c>
      <c r="I229" s="50" t="s">
        <v>2</v>
      </c>
      <c r="J229" s="76" t="s">
        <v>1063</v>
      </c>
      <c r="K229" s="51">
        <v>40898</v>
      </c>
      <c r="L229" s="115">
        <v>40892</v>
      </c>
      <c r="M229" s="50">
        <f t="shared" si="9"/>
        <v>6</v>
      </c>
      <c r="N229" s="50" t="s">
        <v>2</v>
      </c>
      <c r="O229" s="131">
        <f>1.9/2</f>
        <v>0.95</v>
      </c>
      <c r="P229" s="117">
        <v>6.84</v>
      </c>
      <c r="Q229" s="131">
        <v>6.74</v>
      </c>
      <c r="R229" s="50">
        <f>20/2</f>
        <v>10</v>
      </c>
      <c r="S229" s="74">
        <v>7</v>
      </c>
      <c r="T229" s="50">
        <v>1.2E-2</v>
      </c>
      <c r="U229" s="131">
        <f>1/2</f>
        <v>0.5</v>
      </c>
      <c r="V229" s="50">
        <v>2.97</v>
      </c>
      <c r="W229" s="74">
        <v>7.0000000000000001E-3</v>
      </c>
      <c r="X229" s="50">
        <v>1.6E-2</v>
      </c>
      <c r="Y229" s="74">
        <f>0.005/2</f>
        <v>2.5000000000000001E-3</v>
      </c>
      <c r="AD229" s="314"/>
      <c r="AK229" s="168"/>
      <c r="AL229" s="168"/>
    </row>
    <row r="230" spans="1:43" ht="15" customHeight="1">
      <c r="A230" s="41" t="s">
        <v>183</v>
      </c>
      <c r="B230" s="402" t="s">
        <v>1058</v>
      </c>
      <c r="D230" s="393" t="s">
        <v>1135</v>
      </c>
      <c r="F230" s="402" t="s">
        <v>1059</v>
      </c>
      <c r="G230" s="405" t="s">
        <v>1060</v>
      </c>
      <c r="H230" s="49">
        <v>3357</v>
      </c>
      <c r="I230" s="50" t="s">
        <v>2</v>
      </c>
      <c r="J230" s="76" t="s">
        <v>1064</v>
      </c>
      <c r="K230" s="51">
        <v>40898</v>
      </c>
      <c r="L230" s="115">
        <v>40892</v>
      </c>
      <c r="M230" s="50">
        <f t="shared" si="9"/>
        <v>6</v>
      </c>
      <c r="N230" s="50" t="s">
        <v>2</v>
      </c>
      <c r="O230" s="131">
        <f>1.8/2</f>
        <v>0.9</v>
      </c>
      <c r="P230" s="117">
        <v>6.84</v>
      </c>
      <c r="Q230" s="131">
        <v>7.2</v>
      </c>
      <c r="R230" s="50">
        <v>110</v>
      </c>
      <c r="S230" s="74">
        <v>200</v>
      </c>
      <c r="T230" s="50">
        <v>0.16200000000000001</v>
      </c>
      <c r="U230" s="131">
        <v>1.3</v>
      </c>
      <c r="V230" s="50">
        <v>1.5</v>
      </c>
      <c r="W230" s="74">
        <v>0.154</v>
      </c>
      <c r="X230" s="50">
        <v>1.64</v>
      </c>
      <c r="Y230" s="74">
        <v>8.5999999999999993E-2</v>
      </c>
      <c r="AD230" s="314"/>
      <c r="AK230" s="168"/>
      <c r="AL230" s="168"/>
    </row>
    <row r="231" spans="1:43" ht="15" customHeight="1">
      <c r="A231" s="41" t="s">
        <v>183</v>
      </c>
      <c r="B231" s="402" t="s">
        <v>1058</v>
      </c>
      <c r="D231" s="393" t="s">
        <v>1135</v>
      </c>
      <c r="F231" s="402" t="s">
        <v>1059</v>
      </c>
      <c r="G231" s="405" t="s">
        <v>1060</v>
      </c>
      <c r="H231" s="49">
        <v>3357</v>
      </c>
      <c r="I231" s="50" t="s">
        <v>2</v>
      </c>
      <c r="J231" s="76" t="s">
        <v>1065</v>
      </c>
      <c r="K231" s="51">
        <v>40898</v>
      </c>
      <c r="L231" s="115">
        <v>40892</v>
      </c>
      <c r="M231" s="50">
        <f t="shared" si="9"/>
        <v>6</v>
      </c>
      <c r="N231" s="50" t="s">
        <v>2</v>
      </c>
      <c r="O231" s="131">
        <f>1.8/2</f>
        <v>0.9</v>
      </c>
      <c r="P231" s="117">
        <v>6.84</v>
      </c>
      <c r="Q231" s="131">
        <v>7.51</v>
      </c>
      <c r="R231" s="50">
        <v>210</v>
      </c>
      <c r="S231" s="74">
        <v>238</v>
      </c>
      <c r="T231" s="50">
        <v>0.44900000000000001</v>
      </c>
      <c r="U231" s="131">
        <v>3.6</v>
      </c>
      <c r="V231" s="50">
        <v>1.06</v>
      </c>
      <c r="W231" s="74">
        <v>1.67</v>
      </c>
      <c r="X231" s="50">
        <v>0.34499999999999997</v>
      </c>
      <c r="Y231" s="74">
        <v>0.104</v>
      </c>
      <c r="AD231" s="314"/>
      <c r="AK231" s="168"/>
      <c r="AL231" s="168"/>
    </row>
    <row r="232" spans="1:43" ht="15" customHeight="1">
      <c r="A232" s="41" t="s">
        <v>183</v>
      </c>
      <c r="B232" s="402" t="s">
        <v>1066</v>
      </c>
      <c r="D232" s="393" t="s">
        <v>452</v>
      </c>
      <c r="E232" s="394" t="s">
        <v>398</v>
      </c>
      <c r="F232" s="402">
        <v>2000</v>
      </c>
      <c r="G232" s="405" t="s">
        <v>1067</v>
      </c>
      <c r="H232" s="49">
        <v>2844</v>
      </c>
      <c r="I232" s="50" t="s">
        <v>2</v>
      </c>
      <c r="K232" s="51">
        <v>40898</v>
      </c>
      <c r="L232" s="115">
        <v>40892</v>
      </c>
      <c r="M232" s="50">
        <f t="shared" si="9"/>
        <v>6</v>
      </c>
      <c r="N232" s="50" t="s">
        <v>2</v>
      </c>
      <c r="O232" s="131">
        <f>2/2</f>
        <v>1</v>
      </c>
      <c r="P232" s="117">
        <v>5</v>
      </c>
      <c r="Q232" s="131">
        <v>6.3</v>
      </c>
      <c r="R232" s="50">
        <v>190</v>
      </c>
      <c r="S232" s="74">
        <v>99</v>
      </c>
      <c r="T232" s="50">
        <v>0.24</v>
      </c>
      <c r="U232" s="131">
        <v>3.9</v>
      </c>
      <c r="V232" s="50">
        <v>2.2000000000000002</v>
      </c>
      <c r="W232" s="74">
        <v>7.9000000000000001E-2</v>
      </c>
      <c r="X232" s="50">
        <v>0.64</v>
      </c>
      <c r="Y232" s="74">
        <v>0.3</v>
      </c>
      <c r="Z232" s="271">
        <v>1</v>
      </c>
      <c r="AA232" s="271">
        <v>0.79100000000000004</v>
      </c>
      <c r="AB232" s="114">
        <v>46</v>
      </c>
      <c r="AC232" s="50">
        <v>161</v>
      </c>
      <c r="AD232" s="314">
        <v>0.25</v>
      </c>
      <c r="AK232" s="168"/>
      <c r="AL232" s="168"/>
    </row>
    <row r="233" spans="1:43" ht="15" customHeight="1">
      <c r="A233" s="41" t="s">
        <v>183</v>
      </c>
      <c r="B233" s="402" t="s">
        <v>1068</v>
      </c>
      <c r="D233" s="393" t="s">
        <v>111</v>
      </c>
      <c r="F233" s="402" t="s">
        <v>1069</v>
      </c>
      <c r="G233" s="405" t="s">
        <v>1070</v>
      </c>
      <c r="H233" s="49">
        <v>3357</v>
      </c>
      <c r="I233" s="50" t="s">
        <v>2</v>
      </c>
      <c r="J233" s="76" t="s">
        <v>700</v>
      </c>
      <c r="K233" s="51">
        <v>40869</v>
      </c>
      <c r="L233" s="115">
        <v>40863</v>
      </c>
      <c r="M233" s="50">
        <f t="shared" si="9"/>
        <v>6</v>
      </c>
      <c r="N233" s="50" t="s">
        <v>2</v>
      </c>
      <c r="O233" s="131">
        <f>1.9/2</f>
        <v>0.95</v>
      </c>
      <c r="P233" s="117">
        <v>6.7</v>
      </c>
      <c r="Q233" s="131">
        <v>6.7</v>
      </c>
      <c r="R233" s="50">
        <v>48</v>
      </c>
      <c r="S233" s="74">
        <v>12.9</v>
      </c>
      <c r="T233" s="50">
        <v>1.26</v>
      </c>
      <c r="U233" s="131">
        <v>16</v>
      </c>
      <c r="V233" s="50">
        <v>1.82</v>
      </c>
      <c r="W233" s="74">
        <v>2.3E-2</v>
      </c>
      <c r="X233" s="50">
        <v>0.105</v>
      </c>
      <c r="Y233" s="74">
        <v>6.7999999999999996E-3</v>
      </c>
      <c r="AD233" s="314"/>
      <c r="AK233" s="168"/>
      <c r="AL233" s="168"/>
    </row>
    <row r="234" spans="1:43" ht="15" customHeight="1">
      <c r="A234" s="41" t="s">
        <v>183</v>
      </c>
      <c r="B234" s="402" t="s">
        <v>1071</v>
      </c>
      <c r="D234" s="393" t="s">
        <v>372</v>
      </c>
      <c r="E234" s="394" t="s">
        <v>1072</v>
      </c>
      <c r="G234" s="405" t="s">
        <v>1073</v>
      </c>
      <c r="H234" s="49">
        <v>3471</v>
      </c>
      <c r="I234" s="50" t="s">
        <v>2</v>
      </c>
      <c r="J234" s="76" t="s">
        <v>1030</v>
      </c>
      <c r="K234" s="51">
        <v>40920</v>
      </c>
      <c r="L234" s="115">
        <v>40909</v>
      </c>
      <c r="M234" s="50">
        <f t="shared" si="9"/>
        <v>11</v>
      </c>
      <c r="N234" s="50" t="s">
        <v>2</v>
      </c>
      <c r="O234" s="131">
        <f>5/2</f>
        <v>2.5</v>
      </c>
      <c r="P234" s="117">
        <v>5.91</v>
      </c>
      <c r="Q234" s="131">
        <v>5.5</v>
      </c>
      <c r="R234" s="50">
        <v>7</v>
      </c>
      <c r="S234" s="74">
        <v>4</v>
      </c>
      <c r="T234" s="50">
        <f>0.1/2</f>
        <v>0.05</v>
      </c>
      <c r="U234" s="131">
        <f>1/2</f>
        <v>0.5</v>
      </c>
      <c r="V234" s="50">
        <v>1.42</v>
      </c>
      <c r="W234" s="74">
        <f>0.04/2</f>
        <v>0.02</v>
      </c>
      <c r="X234" s="50">
        <v>0.15</v>
      </c>
      <c r="Y234" s="74">
        <f>0.013/2</f>
        <v>6.4999999999999997E-3</v>
      </c>
      <c r="AD234" s="314"/>
      <c r="AK234" s="168"/>
      <c r="AL234" s="168"/>
    </row>
    <row r="235" spans="1:43" ht="15" customHeight="1">
      <c r="A235" s="41" t="s">
        <v>183</v>
      </c>
      <c r="B235" s="402" t="s">
        <v>1074</v>
      </c>
      <c r="D235" s="393" t="s">
        <v>2375</v>
      </c>
      <c r="G235" s="405" t="s">
        <v>1075</v>
      </c>
      <c r="H235" s="49">
        <v>3479</v>
      </c>
      <c r="I235" s="50" t="s">
        <v>2</v>
      </c>
      <c r="J235" s="76" t="s">
        <v>1076</v>
      </c>
      <c r="K235" s="51">
        <v>40898</v>
      </c>
      <c r="L235" s="115">
        <v>40884</v>
      </c>
      <c r="M235" s="50">
        <f t="shared" si="9"/>
        <v>14</v>
      </c>
      <c r="N235" s="50" t="s">
        <v>2</v>
      </c>
      <c r="O235" s="131">
        <f>1.9/2</f>
        <v>0.95</v>
      </c>
      <c r="P235" s="117">
        <v>6.6</v>
      </c>
      <c r="Q235" s="131">
        <v>6.6</v>
      </c>
      <c r="R235" s="50">
        <v>55</v>
      </c>
      <c r="S235" s="74">
        <v>72</v>
      </c>
      <c r="T235" s="50">
        <v>0.246</v>
      </c>
      <c r="U235" s="131">
        <f>1/2</f>
        <v>0.5</v>
      </c>
      <c r="V235" s="50">
        <v>0.66</v>
      </c>
      <c r="W235" s="74">
        <v>0.02</v>
      </c>
      <c r="X235" s="50">
        <v>7.8E-2</v>
      </c>
      <c r="Y235" s="74">
        <v>6.7000000000000002E-3</v>
      </c>
      <c r="Z235" s="271">
        <v>1</v>
      </c>
      <c r="AA235" s="271">
        <v>1</v>
      </c>
      <c r="AB235" s="114">
        <v>4</v>
      </c>
      <c r="AC235" s="50">
        <v>22</v>
      </c>
      <c r="AD235" s="314">
        <v>1</v>
      </c>
      <c r="AK235" s="168"/>
      <c r="AL235" s="168"/>
    </row>
    <row r="236" spans="1:43" ht="15" customHeight="1">
      <c r="A236" s="41" t="s">
        <v>183</v>
      </c>
      <c r="B236" s="402" t="s">
        <v>532</v>
      </c>
      <c r="C236" s="113" t="s">
        <v>1077</v>
      </c>
      <c r="D236" s="393" t="s">
        <v>262</v>
      </c>
      <c r="E236" s="394" t="s">
        <v>664</v>
      </c>
      <c r="G236" s="405" t="s">
        <v>1078</v>
      </c>
      <c r="H236" s="49">
        <v>2951</v>
      </c>
      <c r="I236" s="50" t="s">
        <v>1</v>
      </c>
      <c r="J236" s="76" t="s">
        <v>593</v>
      </c>
      <c r="K236" s="51">
        <v>40835</v>
      </c>
      <c r="L236" s="115">
        <v>40829</v>
      </c>
      <c r="M236" s="50">
        <f t="shared" si="9"/>
        <v>6</v>
      </c>
      <c r="N236" s="50" t="s">
        <v>2</v>
      </c>
      <c r="O236" s="131">
        <f>5/2</f>
        <v>2.5</v>
      </c>
      <c r="P236" s="117">
        <v>5.5</v>
      </c>
      <c r="Q236" s="131">
        <v>9.49</v>
      </c>
      <c r="R236" s="50">
        <v>83</v>
      </c>
      <c r="S236" s="74">
        <v>460</v>
      </c>
      <c r="T236" s="50">
        <v>0.24</v>
      </c>
      <c r="U236" s="131">
        <f>1/2</f>
        <v>0.5</v>
      </c>
      <c r="V236" s="50">
        <v>1.4</v>
      </c>
      <c r="W236" s="74">
        <v>4.2000000000000003E-2</v>
      </c>
      <c r="X236" s="50">
        <v>1.2999999999999999E-2</v>
      </c>
      <c r="Y236" s="74">
        <v>1.7000000000000001E-2</v>
      </c>
      <c r="Z236" s="271">
        <v>1</v>
      </c>
      <c r="AA236" s="271">
        <v>1</v>
      </c>
      <c r="AB236" s="114">
        <v>470</v>
      </c>
      <c r="AC236" s="50">
        <v>2320</v>
      </c>
      <c r="AD236" s="314">
        <v>1</v>
      </c>
      <c r="AI236" s="114">
        <v>200</v>
      </c>
      <c r="AJ236" s="114">
        <v>156</v>
      </c>
      <c r="AK236" s="168"/>
      <c r="AL236" s="168"/>
      <c r="AQ236" s="168">
        <v>0.21</v>
      </c>
    </row>
    <row r="237" spans="1:43" ht="15" customHeight="1">
      <c r="A237" s="41" t="s">
        <v>183</v>
      </c>
      <c r="B237" s="402" t="s">
        <v>532</v>
      </c>
      <c r="C237" s="113" t="s">
        <v>1077</v>
      </c>
      <c r="D237" s="393" t="s">
        <v>262</v>
      </c>
      <c r="E237" s="394" t="s">
        <v>664</v>
      </c>
      <c r="G237" s="405" t="s">
        <v>1078</v>
      </c>
      <c r="H237" s="49">
        <v>2951</v>
      </c>
      <c r="I237" s="50" t="s">
        <v>1</v>
      </c>
      <c r="J237" s="76" t="s">
        <v>504</v>
      </c>
      <c r="K237" s="51">
        <v>40835</v>
      </c>
      <c r="L237" s="115">
        <v>40829</v>
      </c>
      <c r="M237" s="50">
        <f t="shared" si="9"/>
        <v>6</v>
      </c>
      <c r="N237" s="50" t="s">
        <v>2</v>
      </c>
      <c r="O237" s="131">
        <f>5/2</f>
        <v>2.5</v>
      </c>
      <c r="P237" s="117">
        <v>5.5</v>
      </c>
      <c r="Q237" s="131">
        <v>8.14</v>
      </c>
      <c r="R237" s="50">
        <v>30</v>
      </c>
      <c r="S237" s="74">
        <v>50</v>
      </c>
      <c r="T237" s="50">
        <v>0.11</v>
      </c>
      <c r="U237" s="131">
        <f>1/2</f>
        <v>0.5</v>
      </c>
      <c r="V237" s="50">
        <v>0.32</v>
      </c>
      <c r="W237" s="74">
        <f>0.04/2</f>
        <v>0.02</v>
      </c>
      <c r="X237" s="50">
        <v>3.7999999999999999E-2</v>
      </c>
      <c r="Y237" s="74">
        <f>0.013/2</f>
        <v>6.4999999999999997E-3</v>
      </c>
      <c r="Z237" s="271">
        <v>1</v>
      </c>
      <c r="AA237" s="271">
        <v>1</v>
      </c>
      <c r="AB237" s="114">
        <v>29</v>
      </c>
      <c r="AC237" s="50">
        <v>106</v>
      </c>
      <c r="AD237" s="314">
        <v>1</v>
      </c>
      <c r="AI237" s="114">
        <v>427</v>
      </c>
      <c r="AJ237" s="114">
        <v>121</v>
      </c>
      <c r="AK237" s="168"/>
      <c r="AL237" s="168"/>
      <c r="AQ237" s="168">
        <v>0.44</v>
      </c>
    </row>
    <row r="238" spans="1:43" ht="15" customHeight="1">
      <c r="A238" s="41" t="s">
        <v>183</v>
      </c>
      <c r="B238" s="402" t="s">
        <v>532</v>
      </c>
      <c r="C238" s="113" t="s">
        <v>1077</v>
      </c>
      <c r="D238" s="393" t="s">
        <v>262</v>
      </c>
      <c r="E238" s="394" t="s">
        <v>664</v>
      </c>
      <c r="G238" s="405" t="s">
        <v>1078</v>
      </c>
      <c r="H238" s="49">
        <v>2951</v>
      </c>
      <c r="I238" s="50" t="s">
        <v>1</v>
      </c>
      <c r="J238" s="76" t="s">
        <v>593</v>
      </c>
      <c r="K238" s="51">
        <v>40863</v>
      </c>
      <c r="L238" s="115">
        <v>40835</v>
      </c>
      <c r="M238" s="50">
        <f t="shared" si="9"/>
        <v>28</v>
      </c>
      <c r="N238" s="50" t="s">
        <v>2</v>
      </c>
      <c r="O238" s="131"/>
      <c r="P238" s="117"/>
      <c r="Q238" s="131">
        <v>11.08</v>
      </c>
      <c r="S238" s="74">
        <v>30</v>
      </c>
      <c r="AD238" s="314"/>
      <c r="AK238" s="168"/>
      <c r="AL238" s="168"/>
    </row>
    <row r="239" spans="1:43" ht="15" customHeight="1">
      <c r="A239" s="41" t="s">
        <v>183</v>
      </c>
      <c r="B239" s="402" t="s">
        <v>532</v>
      </c>
      <c r="C239" s="113" t="s">
        <v>1077</v>
      </c>
      <c r="D239" s="393" t="s">
        <v>262</v>
      </c>
      <c r="E239" s="394" t="s">
        <v>664</v>
      </c>
      <c r="G239" s="405" t="s">
        <v>1078</v>
      </c>
      <c r="H239" s="49">
        <v>2951</v>
      </c>
      <c r="I239" s="50" t="s">
        <v>1</v>
      </c>
      <c r="J239" s="76" t="s">
        <v>3018</v>
      </c>
      <c r="K239" s="51">
        <v>40863</v>
      </c>
      <c r="L239" s="115">
        <v>40835</v>
      </c>
      <c r="M239" s="50">
        <f t="shared" si="9"/>
        <v>28</v>
      </c>
      <c r="N239" s="50" t="s">
        <v>2</v>
      </c>
      <c r="O239" s="131"/>
      <c r="P239" s="117"/>
      <c r="Q239" s="131">
        <v>7.67</v>
      </c>
      <c r="S239" s="74">
        <v>730</v>
      </c>
      <c r="AK239" s="168"/>
      <c r="AL239" s="168"/>
    </row>
    <row r="240" spans="1:43" ht="15" customHeight="1">
      <c r="A240" s="41" t="s">
        <v>183</v>
      </c>
      <c r="B240" s="402" t="s">
        <v>532</v>
      </c>
      <c r="C240" s="113" t="s">
        <v>1077</v>
      </c>
      <c r="D240" s="393" t="s">
        <v>262</v>
      </c>
      <c r="E240" s="394" t="s">
        <v>664</v>
      </c>
      <c r="G240" s="405" t="s">
        <v>1078</v>
      </c>
      <c r="H240" s="49">
        <v>2951</v>
      </c>
      <c r="I240" s="50" t="s">
        <v>1</v>
      </c>
      <c r="J240" s="76" t="s">
        <v>473</v>
      </c>
      <c r="K240" s="51">
        <v>40863</v>
      </c>
      <c r="L240" s="115">
        <v>40835</v>
      </c>
      <c r="M240" s="50">
        <f t="shared" si="9"/>
        <v>28</v>
      </c>
      <c r="N240" s="50" t="s">
        <v>2</v>
      </c>
      <c r="O240" s="131"/>
      <c r="P240" s="117"/>
      <c r="Q240" s="131">
        <v>7.95</v>
      </c>
      <c r="S240" s="74">
        <v>180</v>
      </c>
      <c r="AK240" s="168"/>
      <c r="AL240" s="168"/>
    </row>
    <row r="241" spans="1:79" ht="15" customHeight="1">
      <c r="A241" s="41" t="s">
        <v>183</v>
      </c>
      <c r="B241" s="402" t="s">
        <v>1079</v>
      </c>
      <c r="D241" s="393" t="s">
        <v>372</v>
      </c>
      <c r="E241" s="394" t="s">
        <v>235</v>
      </c>
      <c r="G241" s="405" t="s">
        <v>1080</v>
      </c>
      <c r="H241" s="49">
        <v>3471</v>
      </c>
      <c r="I241" s="50" t="s">
        <v>1</v>
      </c>
      <c r="J241" s="76" t="s">
        <v>1081</v>
      </c>
      <c r="K241" s="51">
        <v>40863</v>
      </c>
      <c r="L241" s="115">
        <v>40844</v>
      </c>
      <c r="M241" s="50">
        <f t="shared" si="9"/>
        <v>19</v>
      </c>
      <c r="N241" s="50" t="s">
        <v>2</v>
      </c>
      <c r="O241" s="131">
        <f>1/2</f>
        <v>0.5</v>
      </c>
      <c r="P241" s="117">
        <v>5.5</v>
      </c>
      <c r="Q241" s="131">
        <v>5.58</v>
      </c>
      <c r="R241" s="50">
        <v>18.7</v>
      </c>
      <c r="S241" s="74">
        <v>3</v>
      </c>
      <c r="T241" s="50">
        <v>0.11</v>
      </c>
      <c r="U241" s="131">
        <v>0.56000000000000005</v>
      </c>
      <c r="V241" s="50">
        <f>0.1/2</f>
        <v>0.05</v>
      </c>
      <c r="W241" s="74">
        <v>5.2999999999999999E-2</v>
      </c>
      <c r="X241" s="50">
        <v>0.29699999999999999</v>
      </c>
      <c r="Y241" s="74">
        <v>1.2E-2</v>
      </c>
      <c r="Z241" s="271">
        <v>1</v>
      </c>
      <c r="AA241" s="271">
        <v>0.69399999999999995</v>
      </c>
      <c r="AB241" s="114">
        <v>2.87</v>
      </c>
      <c r="AC241" s="50">
        <v>8</v>
      </c>
      <c r="AD241" s="314">
        <v>0.25</v>
      </c>
      <c r="AK241" s="168"/>
      <c r="AL241" s="168"/>
    </row>
    <row r="242" spans="1:79" ht="15" customHeight="1">
      <c r="A242" s="41" t="s">
        <v>183</v>
      </c>
      <c r="B242" s="402" t="s">
        <v>1082</v>
      </c>
      <c r="C242" s="113" t="s">
        <v>645</v>
      </c>
      <c r="D242" s="393" t="s">
        <v>303</v>
      </c>
      <c r="E242" s="394" t="s">
        <v>645</v>
      </c>
      <c r="G242" s="405" t="s">
        <v>1083</v>
      </c>
      <c r="H242" s="49">
        <v>3469</v>
      </c>
      <c r="I242" s="50" t="s">
        <v>2</v>
      </c>
      <c r="J242" s="76" t="s">
        <v>1084</v>
      </c>
      <c r="K242" s="51">
        <v>40883</v>
      </c>
      <c r="N242" s="50" t="s">
        <v>2</v>
      </c>
      <c r="O242" s="131">
        <f>1/2</f>
        <v>0.5</v>
      </c>
      <c r="P242" s="117">
        <v>5.82</v>
      </c>
      <c r="Q242" s="131">
        <v>6.16</v>
      </c>
      <c r="R242" s="50">
        <v>14</v>
      </c>
      <c r="S242" s="74">
        <v>41</v>
      </c>
      <c r="T242" s="50">
        <f>0.1/2</f>
        <v>0.05</v>
      </c>
      <c r="U242" s="131">
        <v>0.98</v>
      </c>
      <c r="V242" s="50">
        <v>1.1000000000000001</v>
      </c>
      <c r="W242" s="74">
        <f>0.05/2</f>
        <v>2.5000000000000001E-2</v>
      </c>
      <c r="X242" s="50">
        <v>0.22</v>
      </c>
      <c r="Y242" s="74">
        <f>0.05/2</f>
        <v>2.5000000000000001E-2</v>
      </c>
      <c r="Z242" s="271">
        <v>1</v>
      </c>
      <c r="AA242" s="271">
        <v>1</v>
      </c>
      <c r="AB242" s="114">
        <f>1/2</f>
        <v>0.5</v>
      </c>
      <c r="AC242" s="50">
        <v>14</v>
      </c>
      <c r="AD242" s="314">
        <v>1</v>
      </c>
      <c r="AK242" s="168"/>
      <c r="AL242" s="168"/>
      <c r="AM242" s="114">
        <f>0.05/2</f>
        <v>2.5000000000000001E-2</v>
      </c>
      <c r="AN242" s="114">
        <v>0.08</v>
      </c>
      <c r="AO242" s="114">
        <f>0.05/2</f>
        <v>2.5000000000000001E-2</v>
      </c>
      <c r="AP242" s="114">
        <f>0.02/2</f>
        <v>0.01</v>
      </c>
    </row>
    <row r="243" spans="1:79" s="1" customFormat="1" ht="15" customHeight="1">
      <c r="A243" s="41" t="s">
        <v>183</v>
      </c>
      <c r="B243" s="402" t="s">
        <v>1082</v>
      </c>
      <c r="C243" s="113" t="s">
        <v>645</v>
      </c>
      <c r="D243" s="393" t="s">
        <v>303</v>
      </c>
      <c r="E243" s="394" t="s">
        <v>645</v>
      </c>
      <c r="F243" s="402"/>
      <c r="G243" s="405" t="s">
        <v>1083</v>
      </c>
      <c r="H243" s="49">
        <v>3469</v>
      </c>
      <c r="I243" s="50" t="s">
        <v>2</v>
      </c>
      <c r="J243" s="76" t="s">
        <v>1085</v>
      </c>
      <c r="K243" s="51">
        <v>40883</v>
      </c>
      <c r="L243" s="115"/>
      <c r="M243" s="50"/>
      <c r="N243" s="50" t="s">
        <v>2</v>
      </c>
      <c r="O243" s="152">
        <v>1.8</v>
      </c>
      <c r="P243" s="117">
        <v>5.82</v>
      </c>
      <c r="Q243" s="152">
        <v>6.22</v>
      </c>
      <c r="R243" s="50">
        <v>13</v>
      </c>
      <c r="S243" s="49">
        <v>18</v>
      </c>
      <c r="T243" s="50">
        <f>0.1/2</f>
        <v>0.05</v>
      </c>
      <c r="U243" s="152">
        <v>1.47</v>
      </c>
      <c r="V243" s="50">
        <v>0.75</v>
      </c>
      <c r="W243" s="49">
        <f>0.05/2</f>
        <v>2.5000000000000001E-2</v>
      </c>
      <c r="X243" s="50">
        <f>0.07</f>
        <v>7.0000000000000007E-2</v>
      </c>
      <c r="Y243" s="49">
        <f>0.05/2</f>
        <v>2.5000000000000001E-2</v>
      </c>
      <c r="Z243" s="271">
        <v>1</v>
      </c>
      <c r="AA243" s="271">
        <v>1</v>
      </c>
      <c r="AB243" s="114">
        <f>1/2</f>
        <v>0.5</v>
      </c>
      <c r="AC243" s="50">
        <v>20</v>
      </c>
      <c r="AD243" s="314">
        <v>1</v>
      </c>
      <c r="AE243" s="50"/>
      <c r="AF243" s="49"/>
      <c r="AG243" s="114"/>
      <c r="AH243" s="114"/>
      <c r="AI243" s="114"/>
      <c r="AJ243" s="114"/>
      <c r="AK243" s="168"/>
      <c r="AL243" s="168"/>
      <c r="AM243" s="114">
        <f>0.05/2</f>
        <v>2.5000000000000001E-2</v>
      </c>
      <c r="AN243" s="114">
        <v>0.97</v>
      </c>
      <c r="AO243" s="114">
        <f>0.05/2</f>
        <v>2.5000000000000001E-2</v>
      </c>
      <c r="AP243" s="114">
        <f>0.02/2</f>
        <v>0.01</v>
      </c>
      <c r="AQ243" s="114"/>
      <c r="AR243" s="114"/>
      <c r="AS243" s="50"/>
      <c r="AT243" s="49"/>
      <c r="AU243" s="114"/>
      <c r="AV243" s="114"/>
      <c r="AW243" s="394"/>
      <c r="AX243" s="5"/>
      <c r="AY243" s="5"/>
      <c r="AZ243" s="5"/>
      <c r="BA243" s="5"/>
      <c r="BB243" s="5"/>
      <c r="BC243" s="5"/>
      <c r="BD243" s="5"/>
      <c r="BE243" s="5"/>
      <c r="BF243" s="5"/>
      <c r="BG243" s="5"/>
      <c r="BH243" s="5"/>
      <c r="BI243" s="5"/>
      <c r="BJ243" s="5"/>
      <c r="BK243" s="5"/>
      <c r="BL243" s="5"/>
      <c r="BM243" s="5"/>
      <c r="BN243" s="5"/>
      <c r="BO243" s="5"/>
      <c r="BP243" s="5"/>
      <c r="BQ243" s="5"/>
      <c r="BR243" s="5"/>
      <c r="BS243" s="5"/>
      <c r="BT243" s="5"/>
      <c r="BU243" s="5"/>
      <c r="BV243" s="5"/>
      <c r="BW243" s="5"/>
      <c r="BX243" s="5"/>
      <c r="BY243" s="5"/>
      <c r="BZ243" s="5"/>
      <c r="CA243" s="5"/>
    </row>
    <row r="244" spans="1:79" ht="15" customHeight="1">
      <c r="A244" s="41" t="s">
        <v>183</v>
      </c>
      <c r="B244" s="402" t="s">
        <v>1220</v>
      </c>
      <c r="C244" s="113" t="s">
        <v>1221</v>
      </c>
      <c r="D244" s="393" t="s">
        <v>684</v>
      </c>
      <c r="E244" s="394" t="s">
        <v>112</v>
      </c>
      <c r="G244" s="405" t="s">
        <v>1222</v>
      </c>
      <c r="H244" s="49">
        <v>4215</v>
      </c>
      <c r="I244" s="50" t="s">
        <v>2</v>
      </c>
      <c r="J244" s="76" t="s">
        <v>1223</v>
      </c>
      <c r="K244" s="51">
        <v>40920</v>
      </c>
      <c r="L244" s="115">
        <v>40909</v>
      </c>
      <c r="M244" s="50">
        <f t="shared" ref="M244:M286" si="11">K244-L244</f>
        <v>11</v>
      </c>
      <c r="N244" s="50" t="s">
        <v>2</v>
      </c>
      <c r="O244" s="131">
        <f>1.4/2</f>
        <v>0.7</v>
      </c>
      <c r="P244" s="117">
        <v>6.9</v>
      </c>
      <c r="Q244" s="131">
        <v>5.98</v>
      </c>
      <c r="R244" s="50">
        <v>66.8</v>
      </c>
      <c r="S244" s="74">
        <v>23.2</v>
      </c>
      <c r="T244" s="50">
        <v>3.4000000000000002E-2</v>
      </c>
      <c r="U244" s="131">
        <v>2.4</v>
      </c>
      <c r="V244" s="50">
        <v>1.2</v>
      </c>
      <c r="W244" s="74">
        <v>3.9E-2</v>
      </c>
      <c r="X244" s="50">
        <v>2</v>
      </c>
      <c r="Y244" s="74">
        <v>4.3E-3</v>
      </c>
      <c r="Z244" s="271">
        <v>1</v>
      </c>
      <c r="AA244" s="271">
        <v>0.45300000000000001</v>
      </c>
      <c r="AB244" s="114">
        <v>72</v>
      </c>
      <c r="AC244" s="50">
        <v>1227</v>
      </c>
      <c r="AD244" s="271">
        <v>0.5</v>
      </c>
    </row>
    <row r="245" spans="1:79" ht="15" customHeight="1">
      <c r="A245" s="41" t="s">
        <v>183</v>
      </c>
      <c r="B245" s="402" t="s">
        <v>1220</v>
      </c>
      <c r="C245" s="113" t="s">
        <v>1221</v>
      </c>
      <c r="D245" s="393" t="s">
        <v>684</v>
      </c>
      <c r="E245" s="394" t="s">
        <v>112</v>
      </c>
      <c r="G245" s="405" t="s">
        <v>1222</v>
      </c>
      <c r="H245" s="49">
        <v>4215</v>
      </c>
      <c r="I245" s="50" t="s">
        <v>2</v>
      </c>
      <c r="J245" s="76" t="s">
        <v>1224</v>
      </c>
      <c r="K245" s="51">
        <v>40920</v>
      </c>
      <c r="L245" s="115">
        <v>40909</v>
      </c>
      <c r="M245" s="50">
        <f t="shared" si="11"/>
        <v>11</v>
      </c>
      <c r="N245" s="50" t="s">
        <v>2</v>
      </c>
      <c r="O245" s="131">
        <v>1.6</v>
      </c>
      <c r="P245" s="117">
        <v>6.9</v>
      </c>
      <c r="Q245" s="131">
        <v>6.16</v>
      </c>
      <c r="R245" s="50">
        <v>93</v>
      </c>
      <c r="S245" s="74">
        <v>32.799999999999997</v>
      </c>
      <c r="T245" s="50">
        <v>0.76</v>
      </c>
      <c r="U245" s="131">
        <v>11.4</v>
      </c>
      <c r="V245" s="50">
        <v>0.72</v>
      </c>
      <c r="W245" s="74">
        <v>1.7000000000000001E-2</v>
      </c>
      <c r="X245" s="50">
        <v>0.23</v>
      </c>
      <c r="Y245" s="74">
        <f>0.003/2</f>
        <v>1.5E-3</v>
      </c>
      <c r="Z245" s="271">
        <v>1</v>
      </c>
      <c r="AA245" s="271">
        <v>1</v>
      </c>
      <c r="AB245" s="114">
        <v>10</v>
      </c>
      <c r="AC245" s="50">
        <v>125</v>
      </c>
      <c r="AD245" s="271">
        <v>1</v>
      </c>
    </row>
    <row r="246" spans="1:79" ht="15" customHeight="1">
      <c r="A246" s="41" t="s">
        <v>183</v>
      </c>
      <c r="B246" s="402" t="s">
        <v>1220</v>
      </c>
      <c r="C246" s="113" t="s">
        <v>1225</v>
      </c>
      <c r="D246" s="393" t="s">
        <v>1537</v>
      </c>
      <c r="E246" s="394" t="s">
        <v>1226</v>
      </c>
      <c r="G246" s="405" t="s">
        <v>1227</v>
      </c>
      <c r="H246" s="49">
        <v>4215</v>
      </c>
      <c r="I246" s="50" t="s">
        <v>2</v>
      </c>
      <c r="J246" s="76" t="s">
        <v>1223</v>
      </c>
      <c r="K246" s="51">
        <v>40920</v>
      </c>
      <c r="L246" s="115">
        <v>40909</v>
      </c>
      <c r="M246" s="50">
        <f t="shared" si="11"/>
        <v>11</v>
      </c>
      <c r="N246" s="50" t="s">
        <v>2</v>
      </c>
      <c r="O246" s="131">
        <v>12.2</v>
      </c>
      <c r="P246" s="117">
        <v>6.9</v>
      </c>
      <c r="Q246" s="131">
        <v>6.1</v>
      </c>
      <c r="R246" s="50">
        <v>44.6</v>
      </c>
      <c r="S246" s="74">
        <v>76.8</v>
      </c>
      <c r="T246" s="50">
        <v>0.11</v>
      </c>
      <c r="U246" s="131">
        <v>0.9</v>
      </c>
      <c r="V246" s="50">
        <v>0.8</v>
      </c>
      <c r="W246" s="74">
        <v>4.4999999999999998E-2</v>
      </c>
      <c r="X246" s="50">
        <v>0.26</v>
      </c>
      <c r="Y246" s="74">
        <v>1.9E-2</v>
      </c>
      <c r="Z246" s="271">
        <v>1</v>
      </c>
      <c r="AA246" s="271">
        <v>1</v>
      </c>
      <c r="AB246" s="114">
        <v>10</v>
      </c>
      <c r="AC246" s="50">
        <v>71</v>
      </c>
      <c r="AD246" s="271">
        <v>1</v>
      </c>
    </row>
    <row r="247" spans="1:79" ht="15" customHeight="1">
      <c r="A247" s="41" t="s">
        <v>183</v>
      </c>
      <c r="B247" s="402" t="s">
        <v>1220</v>
      </c>
      <c r="C247" s="113" t="s">
        <v>1225</v>
      </c>
      <c r="D247" s="393" t="s">
        <v>1537</v>
      </c>
      <c r="E247" s="394" t="s">
        <v>1226</v>
      </c>
      <c r="G247" s="405" t="s">
        <v>1227</v>
      </c>
      <c r="H247" s="49">
        <v>4215</v>
      </c>
      <c r="I247" s="50" t="s">
        <v>2</v>
      </c>
      <c r="J247" s="76" t="s">
        <v>1224</v>
      </c>
      <c r="K247" s="51">
        <v>40920</v>
      </c>
      <c r="L247" s="115">
        <v>40909</v>
      </c>
      <c r="M247" s="50">
        <f t="shared" si="11"/>
        <v>11</v>
      </c>
      <c r="N247" s="50" t="s">
        <v>2</v>
      </c>
      <c r="O247" s="131">
        <v>13.6</v>
      </c>
      <c r="P247" s="117">
        <v>6.9</v>
      </c>
      <c r="Q247" s="131">
        <v>5.86</v>
      </c>
      <c r="R247" s="50">
        <v>48.1</v>
      </c>
      <c r="S247" s="74">
        <v>133</v>
      </c>
      <c r="T247" s="50">
        <v>9.5000000000000001E-2</v>
      </c>
      <c r="U247" s="131">
        <v>3.3</v>
      </c>
      <c r="V247" s="50">
        <v>1</v>
      </c>
      <c r="W247" s="74">
        <v>1.7999999999999999E-2</v>
      </c>
      <c r="X247" s="50">
        <v>0.12</v>
      </c>
      <c r="Y247" s="74">
        <v>6.1000000000000004E-3</v>
      </c>
      <c r="Z247" s="271">
        <v>1</v>
      </c>
      <c r="AA247" s="271">
        <v>1</v>
      </c>
      <c r="AB247" s="114">
        <v>12</v>
      </c>
      <c r="AC247" s="50">
        <v>88</v>
      </c>
      <c r="AD247" s="271">
        <v>1</v>
      </c>
    </row>
    <row r="248" spans="1:79" ht="15" customHeight="1">
      <c r="A248" s="41" t="s">
        <v>183</v>
      </c>
      <c r="B248" s="402" t="s">
        <v>1220</v>
      </c>
      <c r="C248" s="113" t="s">
        <v>1225</v>
      </c>
      <c r="D248" s="393" t="s">
        <v>1537</v>
      </c>
      <c r="E248" s="394" t="s">
        <v>1226</v>
      </c>
      <c r="G248" s="405" t="s">
        <v>1227</v>
      </c>
      <c r="H248" s="49">
        <v>4215</v>
      </c>
      <c r="I248" s="50" t="s">
        <v>2</v>
      </c>
      <c r="J248" s="76" t="s">
        <v>1228</v>
      </c>
      <c r="K248" s="51">
        <v>40920</v>
      </c>
      <c r="L248" s="115">
        <v>40909</v>
      </c>
      <c r="M248" s="50">
        <f t="shared" si="11"/>
        <v>11</v>
      </c>
      <c r="N248" s="50" t="s">
        <v>2</v>
      </c>
      <c r="O248" s="131">
        <f>1.4/2</f>
        <v>0.7</v>
      </c>
      <c r="P248" s="117">
        <v>6.9</v>
      </c>
      <c r="Q248" s="131">
        <v>6.37</v>
      </c>
      <c r="R248" s="50">
        <v>28.2</v>
      </c>
      <c r="S248" s="74">
        <v>25.6</v>
      </c>
      <c r="T248" s="50">
        <v>1.2E-2</v>
      </c>
      <c r="U248" s="131">
        <v>0.98</v>
      </c>
      <c r="V248" s="50">
        <v>0.56000000000000005</v>
      </c>
      <c r="W248" s="74">
        <v>6.7999999999999996E-3</v>
      </c>
      <c r="X248" s="50">
        <v>7.9000000000000001E-2</v>
      </c>
      <c r="Y248" s="74">
        <v>4.4999999999999997E-3</v>
      </c>
      <c r="Z248" s="271">
        <v>1</v>
      </c>
      <c r="AA248" s="271">
        <v>1</v>
      </c>
      <c r="AB248" s="114">
        <v>8</v>
      </c>
      <c r="AC248" s="50">
        <v>60</v>
      </c>
      <c r="AD248" s="271">
        <v>0.95</v>
      </c>
    </row>
    <row r="249" spans="1:79" ht="15" customHeight="1">
      <c r="A249" s="41" t="s">
        <v>183</v>
      </c>
      <c r="B249" s="402" t="s">
        <v>1220</v>
      </c>
      <c r="C249" s="113" t="s">
        <v>1229</v>
      </c>
      <c r="D249" s="393" t="s">
        <v>640</v>
      </c>
      <c r="E249" s="394" t="s">
        <v>1230</v>
      </c>
      <c r="G249" s="405" t="s">
        <v>1231</v>
      </c>
      <c r="H249" s="49">
        <v>4215</v>
      </c>
      <c r="I249" s="50" t="s">
        <v>2</v>
      </c>
      <c r="J249" s="76" t="s">
        <v>1223</v>
      </c>
      <c r="K249" s="51">
        <v>40920</v>
      </c>
      <c r="L249" s="115">
        <v>40909</v>
      </c>
      <c r="M249" s="50">
        <f t="shared" si="11"/>
        <v>11</v>
      </c>
      <c r="N249" s="50" t="s">
        <v>2</v>
      </c>
      <c r="O249" s="131">
        <f>1.4/2</f>
        <v>0.7</v>
      </c>
      <c r="P249" s="117">
        <v>6.7</v>
      </c>
      <c r="Q249" s="131">
        <v>6.55</v>
      </c>
      <c r="R249" s="50">
        <f>5/2</f>
        <v>2.5</v>
      </c>
      <c r="S249" s="74">
        <f>4/2</f>
        <v>2</v>
      </c>
      <c r="T249" s="50">
        <f>0.005/2</f>
        <v>2.5000000000000001E-3</v>
      </c>
      <c r="U249" s="131">
        <f>0.15/2</f>
        <v>7.4999999999999997E-2</v>
      </c>
      <c r="V249" s="50">
        <v>1.1000000000000001</v>
      </c>
      <c r="W249" s="74">
        <v>2.5000000000000001E-3</v>
      </c>
      <c r="X249" s="50">
        <v>1.9</v>
      </c>
      <c r="Y249" s="74">
        <f>0.003/2</f>
        <v>1.5E-3</v>
      </c>
      <c r="Z249" s="271">
        <v>1</v>
      </c>
      <c r="AA249" s="271">
        <v>0.46700000000000003</v>
      </c>
      <c r="AB249" s="114">
        <v>130</v>
      </c>
      <c r="AC249" s="50">
        <v>626</v>
      </c>
      <c r="AD249" s="271">
        <v>0</v>
      </c>
    </row>
    <row r="250" spans="1:79" ht="15" customHeight="1">
      <c r="A250" s="41" t="s">
        <v>183</v>
      </c>
      <c r="B250" s="402" t="s">
        <v>1220</v>
      </c>
      <c r="C250" s="113" t="s">
        <v>1232</v>
      </c>
      <c r="D250" s="393" t="s">
        <v>434</v>
      </c>
      <c r="E250" s="394" t="s">
        <v>1233</v>
      </c>
      <c r="G250" s="405" t="s">
        <v>1234</v>
      </c>
      <c r="H250" s="49">
        <v>4215</v>
      </c>
      <c r="I250" s="50" t="s">
        <v>2</v>
      </c>
      <c r="J250" s="76" t="s">
        <v>1223</v>
      </c>
      <c r="K250" s="51">
        <v>40920</v>
      </c>
      <c r="L250" s="115">
        <v>40909</v>
      </c>
      <c r="M250" s="50">
        <f t="shared" si="11"/>
        <v>11</v>
      </c>
      <c r="N250" s="50" t="s">
        <v>2</v>
      </c>
      <c r="O250" s="131">
        <f>1.4/2</f>
        <v>0.7</v>
      </c>
      <c r="P250" s="117">
        <v>6.24</v>
      </c>
      <c r="Q250" s="131">
        <v>6.51</v>
      </c>
      <c r="R250" s="50">
        <v>71.2</v>
      </c>
      <c r="S250" s="74">
        <v>78.8</v>
      </c>
      <c r="T250" s="50">
        <v>0.25</v>
      </c>
      <c r="U250" s="131">
        <v>3.6</v>
      </c>
      <c r="V250" s="50">
        <v>1.5</v>
      </c>
      <c r="W250" s="74">
        <v>7.5999999999999998E-2</v>
      </c>
      <c r="X250" s="50">
        <v>1</v>
      </c>
      <c r="Y250" s="74">
        <v>3.1E-2</v>
      </c>
      <c r="Z250" s="271">
        <v>1</v>
      </c>
      <c r="AA250" s="271">
        <v>1</v>
      </c>
      <c r="AB250" s="114">
        <v>36</v>
      </c>
      <c r="AC250" s="50">
        <v>520</v>
      </c>
      <c r="AD250" s="271">
        <v>0.75</v>
      </c>
    </row>
    <row r="251" spans="1:79" ht="15" customHeight="1">
      <c r="A251" s="41" t="s">
        <v>183</v>
      </c>
      <c r="B251" s="402" t="s">
        <v>1220</v>
      </c>
      <c r="C251" s="113" t="s">
        <v>1232</v>
      </c>
      <c r="D251" s="393" t="s">
        <v>434</v>
      </c>
      <c r="E251" s="394" t="s">
        <v>1233</v>
      </c>
      <c r="G251" s="405" t="s">
        <v>1234</v>
      </c>
      <c r="H251" s="49">
        <v>4215</v>
      </c>
      <c r="I251" s="50" t="s">
        <v>2</v>
      </c>
      <c r="J251" s="76" t="s">
        <v>1224</v>
      </c>
      <c r="K251" s="51">
        <v>40920</v>
      </c>
      <c r="L251" s="115">
        <v>40909</v>
      </c>
      <c r="M251" s="50">
        <f t="shared" si="11"/>
        <v>11</v>
      </c>
      <c r="N251" s="50" t="s">
        <v>2</v>
      </c>
      <c r="O251" s="131">
        <f>1.4/2</f>
        <v>0.7</v>
      </c>
      <c r="P251" s="117">
        <v>6.24</v>
      </c>
      <c r="Q251" s="131">
        <v>6.76</v>
      </c>
      <c r="R251" s="50">
        <v>26.6</v>
      </c>
      <c r="S251" s="74">
        <v>108</v>
      </c>
      <c r="T251" s="50">
        <v>6.4000000000000001E-2</v>
      </c>
      <c r="U251" s="131">
        <v>1.1000000000000001</v>
      </c>
      <c r="V251" s="50">
        <v>0.49</v>
      </c>
      <c r="W251" s="74">
        <v>3.5000000000000003E-2</v>
      </c>
      <c r="X251" s="50">
        <v>0.54</v>
      </c>
      <c r="Y251" s="74">
        <v>1.6E-2</v>
      </c>
      <c r="Z251" s="271">
        <v>1</v>
      </c>
      <c r="AA251" s="271">
        <v>1</v>
      </c>
      <c r="AB251" s="114">
        <v>16</v>
      </c>
      <c r="AC251" s="50">
        <v>143</v>
      </c>
      <c r="AD251" s="271">
        <v>1</v>
      </c>
    </row>
    <row r="252" spans="1:79" ht="15" customHeight="1">
      <c r="A252" s="41" t="s">
        <v>183</v>
      </c>
      <c r="B252" s="402" t="s">
        <v>1220</v>
      </c>
      <c r="C252" s="113" t="s">
        <v>1235</v>
      </c>
      <c r="D252" s="393" t="s">
        <v>111</v>
      </c>
      <c r="E252" s="394" t="s">
        <v>1237</v>
      </c>
      <c r="G252" s="405" t="s">
        <v>1238</v>
      </c>
      <c r="H252" s="49">
        <v>4215</v>
      </c>
      <c r="I252" s="50" t="s">
        <v>2</v>
      </c>
      <c r="J252" s="76" t="s">
        <v>1223</v>
      </c>
      <c r="K252" s="51">
        <v>40920</v>
      </c>
      <c r="L252" s="115">
        <v>40909</v>
      </c>
      <c r="M252" s="50">
        <f t="shared" si="11"/>
        <v>11</v>
      </c>
      <c r="N252" s="50" t="s">
        <v>2</v>
      </c>
      <c r="O252" s="131">
        <v>1.7</v>
      </c>
      <c r="P252" s="117">
        <v>6.9</v>
      </c>
      <c r="Q252" s="131">
        <v>6.1</v>
      </c>
      <c r="R252" s="50">
        <v>32</v>
      </c>
      <c r="S252" s="74">
        <v>67.2</v>
      </c>
      <c r="T252" s="50">
        <v>0.14000000000000001</v>
      </c>
      <c r="U252" s="131">
        <v>0.74</v>
      </c>
      <c r="V252" s="50">
        <v>0.34</v>
      </c>
      <c r="W252" s="74">
        <v>1.7999999999999999E-2</v>
      </c>
      <c r="X252" s="50">
        <v>0.2</v>
      </c>
      <c r="Y252" s="74">
        <v>0.01</v>
      </c>
      <c r="Z252" s="271">
        <v>1</v>
      </c>
      <c r="AA252" s="271">
        <v>1</v>
      </c>
      <c r="AB252" s="114">
        <v>20</v>
      </c>
      <c r="AC252" s="50">
        <v>117</v>
      </c>
      <c r="AD252" s="271">
        <v>1</v>
      </c>
    </row>
    <row r="253" spans="1:79" ht="15" customHeight="1">
      <c r="A253" s="41" t="s">
        <v>183</v>
      </c>
      <c r="B253" s="402" t="s">
        <v>1220</v>
      </c>
      <c r="C253" s="113" t="s">
        <v>1235</v>
      </c>
      <c r="D253" s="393" t="s">
        <v>111</v>
      </c>
      <c r="E253" s="394" t="s">
        <v>1237</v>
      </c>
      <c r="G253" s="405" t="s">
        <v>1238</v>
      </c>
      <c r="H253" s="49">
        <v>4215</v>
      </c>
      <c r="I253" s="50" t="s">
        <v>2</v>
      </c>
      <c r="J253" s="76" t="s">
        <v>1224</v>
      </c>
      <c r="K253" s="51">
        <v>40920</v>
      </c>
      <c r="L253" s="115">
        <v>40909</v>
      </c>
      <c r="M253" s="50">
        <f t="shared" si="11"/>
        <v>11</v>
      </c>
      <c r="N253" s="50" t="s">
        <v>2</v>
      </c>
      <c r="O253" s="131">
        <v>1.8</v>
      </c>
      <c r="P253" s="117">
        <v>6.9</v>
      </c>
      <c r="Q253" s="131">
        <v>6.34</v>
      </c>
      <c r="R253" s="50">
        <v>131</v>
      </c>
      <c r="S253" s="74">
        <v>30.8</v>
      </c>
      <c r="T253" s="50">
        <v>0.39</v>
      </c>
      <c r="U253" s="131">
        <v>1</v>
      </c>
      <c r="V253" s="50">
        <v>0.42</v>
      </c>
      <c r="W253" s="74">
        <v>4.4999999999999998E-2</v>
      </c>
      <c r="X253" s="50">
        <v>0.5</v>
      </c>
      <c r="Y253" s="74">
        <v>2.9000000000000001E-2</v>
      </c>
      <c r="Z253" s="271">
        <v>1</v>
      </c>
      <c r="AA253" s="271">
        <v>1</v>
      </c>
      <c r="AB253" s="114">
        <v>6</v>
      </c>
      <c r="AC253" s="50">
        <v>79</v>
      </c>
      <c r="AD253" s="271">
        <v>1</v>
      </c>
    </row>
    <row r="254" spans="1:79" ht="15" customHeight="1">
      <c r="A254" s="41" t="s">
        <v>183</v>
      </c>
      <c r="B254" s="402" t="s">
        <v>1220</v>
      </c>
      <c r="C254" s="113" t="s">
        <v>1239</v>
      </c>
      <c r="D254" s="393" t="s">
        <v>806</v>
      </c>
      <c r="E254" s="394" t="s">
        <v>535</v>
      </c>
      <c r="F254" s="402" t="s">
        <v>1240</v>
      </c>
      <c r="G254" s="405" t="s">
        <v>1241</v>
      </c>
      <c r="H254" s="49">
        <v>4215</v>
      </c>
      <c r="I254" s="50" t="s">
        <v>2</v>
      </c>
      <c r="J254" s="76" t="s">
        <v>1223</v>
      </c>
      <c r="K254" s="51">
        <v>40920</v>
      </c>
      <c r="L254" s="115">
        <v>40909</v>
      </c>
      <c r="M254" s="50">
        <f t="shared" si="11"/>
        <v>11</v>
      </c>
      <c r="N254" s="50" t="s">
        <v>2</v>
      </c>
      <c r="O254" s="131">
        <v>1.4</v>
      </c>
      <c r="P254" s="117">
        <v>6.7</v>
      </c>
      <c r="Q254" s="131">
        <v>6.61</v>
      </c>
      <c r="R254" s="50">
        <v>10.5</v>
      </c>
      <c r="S254" s="74">
        <v>14</v>
      </c>
      <c r="T254" s="50">
        <v>7.1999999999999995E-2</v>
      </c>
      <c r="U254" s="131">
        <v>0.44</v>
      </c>
      <c r="V254" s="50">
        <v>0.28999999999999998</v>
      </c>
      <c r="W254" s="74">
        <v>5.0000000000000001E-3</v>
      </c>
      <c r="X254" s="50">
        <v>2.5999999999999999E-2</v>
      </c>
      <c r="Y254" s="74">
        <f>0.003/2</f>
        <v>1.5E-3</v>
      </c>
      <c r="Z254" s="271">
        <v>1</v>
      </c>
      <c r="AA254" s="271">
        <v>1</v>
      </c>
      <c r="AB254" s="114">
        <v>4</v>
      </c>
      <c r="AC254" s="50">
        <v>27</v>
      </c>
      <c r="AD254" s="271">
        <v>1</v>
      </c>
    </row>
    <row r="255" spans="1:79" ht="15" customHeight="1">
      <c r="A255" s="41" t="s">
        <v>183</v>
      </c>
      <c r="B255" s="402" t="s">
        <v>1220</v>
      </c>
      <c r="C255" s="113" t="s">
        <v>1242</v>
      </c>
      <c r="D255" s="393" t="s">
        <v>133</v>
      </c>
      <c r="E255" s="394" t="s">
        <v>1244</v>
      </c>
      <c r="F255" s="402" t="s">
        <v>1245</v>
      </c>
      <c r="G255" s="405" t="s">
        <v>1246</v>
      </c>
      <c r="H255" s="49">
        <v>4215</v>
      </c>
      <c r="I255" s="50" t="s">
        <v>2</v>
      </c>
      <c r="J255" s="76" t="s">
        <v>1223</v>
      </c>
      <c r="K255" s="51">
        <v>40920</v>
      </c>
      <c r="L255" s="115">
        <v>40909</v>
      </c>
      <c r="M255" s="50">
        <f t="shared" si="11"/>
        <v>11</v>
      </c>
      <c r="N255" s="50" t="s">
        <v>2</v>
      </c>
      <c r="O255" s="131">
        <f>1.4/2</f>
        <v>0.7</v>
      </c>
      <c r="P255" s="117">
        <v>6.17</v>
      </c>
      <c r="Q255" s="131">
        <v>6.44</v>
      </c>
      <c r="R255" s="50">
        <v>5.7</v>
      </c>
      <c r="S255" s="74">
        <v>13.6</v>
      </c>
      <c r="T255" s="50">
        <f>0.005/2</f>
        <v>2.5000000000000001E-3</v>
      </c>
      <c r="U255" s="131">
        <v>0.31</v>
      </c>
      <c r="V255" s="50">
        <v>0.11</v>
      </c>
      <c r="W255" s="74">
        <v>3.5999999999999999E-3</v>
      </c>
      <c r="X255" s="50">
        <v>0.1</v>
      </c>
      <c r="Y255" s="74">
        <f>0.003/2</f>
        <v>1.5E-3</v>
      </c>
      <c r="Z255" s="271">
        <v>1</v>
      </c>
      <c r="AA255" s="271">
        <v>1</v>
      </c>
      <c r="AB255" s="114">
        <v>2</v>
      </c>
      <c r="AC255" s="50">
        <v>16</v>
      </c>
      <c r="AD255" s="271">
        <v>0.6</v>
      </c>
    </row>
    <row r="256" spans="1:79" ht="15" customHeight="1">
      <c r="A256" s="41" t="s">
        <v>183</v>
      </c>
      <c r="B256" s="402" t="s">
        <v>1220</v>
      </c>
      <c r="C256" s="113" t="s">
        <v>1242</v>
      </c>
      <c r="D256" s="393" t="s">
        <v>133</v>
      </c>
      <c r="E256" s="394" t="s">
        <v>1244</v>
      </c>
      <c r="F256" s="402" t="s">
        <v>1245</v>
      </c>
      <c r="G256" s="405" t="s">
        <v>1246</v>
      </c>
      <c r="H256" s="49">
        <v>4215</v>
      </c>
      <c r="I256" s="50" t="s">
        <v>2</v>
      </c>
      <c r="J256" s="76" t="s">
        <v>1224</v>
      </c>
      <c r="K256" s="51">
        <v>40920</v>
      </c>
      <c r="L256" s="115">
        <v>40909</v>
      </c>
      <c r="M256" s="50">
        <f t="shared" si="11"/>
        <v>11</v>
      </c>
      <c r="N256" s="50" t="s">
        <v>2</v>
      </c>
      <c r="O256" s="131">
        <f>1.4/2</f>
        <v>0.7</v>
      </c>
      <c r="P256" s="117">
        <v>6.17</v>
      </c>
      <c r="Q256" s="131">
        <v>6.63</v>
      </c>
      <c r="R256" s="50">
        <v>23.1</v>
      </c>
      <c r="S256" s="74">
        <v>142</v>
      </c>
      <c r="T256" s="50">
        <v>0.81</v>
      </c>
      <c r="U256" s="131">
        <v>1.4</v>
      </c>
      <c r="V256" s="50">
        <v>0.14000000000000001</v>
      </c>
      <c r="W256" s="74">
        <v>6.1000000000000004E-3</v>
      </c>
      <c r="X256" s="50">
        <v>7.8E-2</v>
      </c>
      <c r="Y256" s="74">
        <v>3.7000000000000002E-3</v>
      </c>
      <c r="Z256" s="271">
        <v>1</v>
      </c>
      <c r="AA256" s="271">
        <v>1</v>
      </c>
      <c r="AB256" s="114">
        <v>4</v>
      </c>
      <c r="AC256" s="50">
        <v>70</v>
      </c>
      <c r="AD256" s="271">
        <v>1</v>
      </c>
    </row>
    <row r="257" spans="1:30" ht="15" customHeight="1">
      <c r="A257" s="41" t="s">
        <v>183</v>
      </c>
      <c r="B257" s="402" t="s">
        <v>1220</v>
      </c>
      <c r="C257" s="113" t="s">
        <v>1242</v>
      </c>
      <c r="D257" s="393" t="s">
        <v>133</v>
      </c>
      <c r="E257" s="394" t="s">
        <v>1247</v>
      </c>
      <c r="F257" s="402" t="s">
        <v>1245</v>
      </c>
      <c r="G257" s="405" t="s">
        <v>1246</v>
      </c>
      <c r="H257" s="49">
        <v>4215</v>
      </c>
      <c r="I257" s="50" t="s">
        <v>2</v>
      </c>
      <c r="J257" s="76" t="s">
        <v>1228</v>
      </c>
      <c r="K257" s="51">
        <v>40920</v>
      </c>
      <c r="L257" s="115">
        <v>40909</v>
      </c>
      <c r="M257" s="50">
        <f t="shared" si="11"/>
        <v>11</v>
      </c>
      <c r="N257" s="50" t="s">
        <v>2</v>
      </c>
      <c r="O257" s="131">
        <v>12.2</v>
      </c>
      <c r="P257" s="117">
        <v>6.17</v>
      </c>
      <c r="Q257" s="131">
        <v>6.64</v>
      </c>
      <c r="R257" s="50">
        <v>25.3</v>
      </c>
      <c r="S257" s="74">
        <v>27.6</v>
      </c>
      <c r="T257" s="50">
        <v>4.2000000000000003E-2</v>
      </c>
      <c r="U257" s="131">
        <v>1.5</v>
      </c>
      <c r="V257" s="50">
        <v>0.38</v>
      </c>
      <c r="W257" s="74">
        <v>1.2E-2</v>
      </c>
      <c r="X257" s="50">
        <v>0.18</v>
      </c>
      <c r="Y257" s="74">
        <v>4.5999999999999999E-3</v>
      </c>
      <c r="Z257" s="271">
        <v>1</v>
      </c>
      <c r="AA257" s="271">
        <v>1</v>
      </c>
      <c r="AB257" s="114">
        <v>16</v>
      </c>
      <c r="AC257" s="50">
        <v>337</v>
      </c>
      <c r="AD257" s="271">
        <v>1</v>
      </c>
    </row>
    <row r="258" spans="1:30" ht="15" customHeight="1">
      <c r="A258" s="41" t="s">
        <v>183</v>
      </c>
      <c r="B258" s="402" t="s">
        <v>1220</v>
      </c>
      <c r="C258" s="113" t="s">
        <v>1242</v>
      </c>
      <c r="D258" s="393" t="s">
        <v>133</v>
      </c>
      <c r="E258" s="394" t="s">
        <v>1244</v>
      </c>
      <c r="F258" s="402" t="s">
        <v>1245</v>
      </c>
      <c r="G258" s="405" t="s">
        <v>1246</v>
      </c>
      <c r="H258" s="49">
        <v>4215</v>
      </c>
      <c r="I258" s="50" t="s">
        <v>2</v>
      </c>
      <c r="J258" s="76" t="s">
        <v>1248</v>
      </c>
      <c r="K258" s="51">
        <v>40920</v>
      </c>
      <c r="L258" s="115">
        <v>40909</v>
      </c>
      <c r="M258" s="50">
        <f t="shared" si="11"/>
        <v>11</v>
      </c>
      <c r="N258" s="50" t="s">
        <v>2</v>
      </c>
      <c r="O258" s="131">
        <f>1.4/2</f>
        <v>0.7</v>
      </c>
      <c r="P258" s="117">
        <v>6.17</v>
      </c>
      <c r="Q258" s="131">
        <v>6.51</v>
      </c>
      <c r="R258" s="50">
        <v>28.8</v>
      </c>
      <c r="S258" s="74">
        <v>313</v>
      </c>
      <c r="T258" s="50">
        <v>0.11</v>
      </c>
      <c r="U258" s="131">
        <v>0.84</v>
      </c>
      <c r="V258" s="50">
        <v>0.14000000000000001</v>
      </c>
      <c r="W258" s="74">
        <v>3.5999999999999997E-2</v>
      </c>
      <c r="X258" s="50">
        <v>0.28999999999999998</v>
      </c>
      <c r="Y258" s="74">
        <v>8.0000000000000002E-3</v>
      </c>
      <c r="Z258" s="271">
        <v>1</v>
      </c>
      <c r="AA258" s="271">
        <v>1</v>
      </c>
      <c r="AB258" s="114">
        <v>2</v>
      </c>
      <c r="AC258" s="50">
        <v>57</v>
      </c>
      <c r="AD258" s="355">
        <v>1</v>
      </c>
    </row>
    <row r="259" spans="1:30" ht="15" customHeight="1">
      <c r="A259" s="41" t="s">
        <v>183</v>
      </c>
      <c r="B259" s="402" t="s">
        <v>1220</v>
      </c>
      <c r="C259" s="113" t="s">
        <v>1229</v>
      </c>
      <c r="D259" s="393" t="s">
        <v>338</v>
      </c>
      <c r="E259" s="394" t="s">
        <v>1249</v>
      </c>
      <c r="F259" s="402" t="s">
        <v>1250</v>
      </c>
      <c r="G259" s="405" t="s">
        <v>1251</v>
      </c>
      <c r="H259" s="49">
        <v>4215</v>
      </c>
      <c r="I259" s="50" t="s">
        <v>2</v>
      </c>
      <c r="J259" s="76" t="s">
        <v>1223</v>
      </c>
      <c r="K259" s="51">
        <v>40920</v>
      </c>
      <c r="L259" s="115">
        <v>40909</v>
      </c>
      <c r="M259" s="50">
        <f t="shared" si="11"/>
        <v>11</v>
      </c>
      <c r="N259" s="50" t="s">
        <v>2</v>
      </c>
      <c r="O259" s="131">
        <v>2</v>
      </c>
      <c r="P259" s="117">
        <v>7.18</v>
      </c>
      <c r="Q259" s="131">
        <v>6.97</v>
      </c>
      <c r="R259" s="50">
        <v>10.5</v>
      </c>
      <c r="S259" s="74">
        <v>61.6</v>
      </c>
      <c r="T259" s="50">
        <v>0.02</v>
      </c>
      <c r="U259" s="131">
        <v>0.21</v>
      </c>
      <c r="V259" s="50">
        <v>0.14000000000000001</v>
      </c>
      <c r="W259" s="74">
        <v>7.3000000000000001E-3</v>
      </c>
      <c r="X259" s="50">
        <v>0.05</v>
      </c>
      <c r="Y259" s="74">
        <v>4.3E-3</v>
      </c>
      <c r="Z259" s="271">
        <v>1</v>
      </c>
      <c r="AA259" s="271">
        <v>1</v>
      </c>
      <c r="AB259" s="114">
        <v>8</v>
      </c>
      <c r="AC259" s="50">
        <v>51</v>
      </c>
      <c r="AD259" s="271">
        <v>1</v>
      </c>
    </row>
    <row r="260" spans="1:30" ht="15" customHeight="1">
      <c r="A260" s="41" t="s">
        <v>183</v>
      </c>
      <c r="B260" s="402" t="s">
        <v>1252</v>
      </c>
      <c r="C260" s="113" t="s">
        <v>1253</v>
      </c>
      <c r="D260" s="393" t="s">
        <v>192</v>
      </c>
      <c r="E260" s="394" t="s">
        <v>1254</v>
      </c>
      <c r="G260" s="405" t="s">
        <v>1255</v>
      </c>
      <c r="H260" s="49">
        <v>2621</v>
      </c>
      <c r="I260" s="72" t="s">
        <v>1</v>
      </c>
      <c r="J260" s="76" t="s">
        <v>1256</v>
      </c>
      <c r="K260" s="51">
        <v>40898</v>
      </c>
      <c r="L260" s="115">
        <v>40885</v>
      </c>
      <c r="M260" s="50">
        <f t="shared" si="11"/>
        <v>13</v>
      </c>
      <c r="N260" s="50" t="s">
        <v>2</v>
      </c>
      <c r="O260" s="131">
        <v>1.4</v>
      </c>
      <c r="P260" s="117">
        <v>6.3</v>
      </c>
      <c r="Q260" s="131">
        <v>6.49</v>
      </c>
      <c r="R260" s="50">
        <v>4.5</v>
      </c>
      <c r="S260" s="74">
        <f>1/2</f>
        <v>0.5</v>
      </c>
      <c r="T260" s="50">
        <f>0.05/2</f>
        <v>2.5000000000000001E-2</v>
      </c>
      <c r="U260" s="131">
        <v>1.3</v>
      </c>
      <c r="V260" s="50">
        <v>0.24</v>
      </c>
      <c r="W260" s="74">
        <f>0.01/2</f>
        <v>5.0000000000000001E-3</v>
      </c>
      <c r="X260" s="50">
        <v>0.04</v>
      </c>
      <c r="Y260" s="74">
        <f>0.02/2</f>
        <v>0.01</v>
      </c>
    </row>
    <row r="261" spans="1:30" ht="15" customHeight="1">
      <c r="A261" s="41" t="s">
        <v>183</v>
      </c>
      <c r="B261" s="402" t="s">
        <v>1252</v>
      </c>
      <c r="C261" s="113" t="s">
        <v>1253</v>
      </c>
      <c r="D261" s="393" t="s">
        <v>192</v>
      </c>
      <c r="E261" s="394" t="s">
        <v>1254</v>
      </c>
      <c r="G261" s="405" t="s">
        <v>1255</v>
      </c>
      <c r="H261" s="49">
        <v>2621</v>
      </c>
      <c r="I261" s="50" t="s">
        <v>1</v>
      </c>
      <c r="J261" s="76" t="s">
        <v>1257</v>
      </c>
      <c r="K261" s="51">
        <v>40898</v>
      </c>
      <c r="L261" s="115">
        <v>40885</v>
      </c>
      <c r="M261" s="50">
        <f t="shared" si="11"/>
        <v>13</v>
      </c>
      <c r="N261" s="50" t="s">
        <v>2</v>
      </c>
      <c r="O261" s="131">
        <v>4.9000000000000004</v>
      </c>
      <c r="P261" s="117">
        <v>6.3</v>
      </c>
      <c r="Q261" s="131">
        <v>7.2</v>
      </c>
      <c r="R261" s="50">
        <v>109.2</v>
      </c>
      <c r="S261" s="74">
        <v>71</v>
      </c>
      <c r="T261" s="50">
        <v>0.16</v>
      </c>
      <c r="U261" s="131">
        <v>1.36</v>
      </c>
      <c r="V261" s="50">
        <v>0.56000000000000005</v>
      </c>
      <c r="W261" s="74">
        <v>0.02</v>
      </c>
      <c r="X261" s="50">
        <v>0.45</v>
      </c>
      <c r="Y261" s="74">
        <f>0.02/2</f>
        <v>0.01</v>
      </c>
    </row>
    <row r="262" spans="1:30" ht="15" customHeight="1">
      <c r="A262" s="41" t="s">
        <v>183</v>
      </c>
      <c r="B262" s="402" t="s">
        <v>1252</v>
      </c>
      <c r="C262" s="113" t="s">
        <v>1253</v>
      </c>
      <c r="D262" s="393" t="s">
        <v>192</v>
      </c>
      <c r="E262" s="394" t="s">
        <v>1254</v>
      </c>
      <c r="G262" s="405" t="s">
        <v>1255</v>
      </c>
      <c r="H262" s="49">
        <v>2621</v>
      </c>
      <c r="I262" s="50" t="s">
        <v>1</v>
      </c>
      <c r="J262" s="76" t="s">
        <v>1258</v>
      </c>
      <c r="K262" s="51">
        <v>40898</v>
      </c>
      <c r="L262" s="115">
        <v>40885</v>
      </c>
      <c r="M262" s="50">
        <f t="shared" si="11"/>
        <v>13</v>
      </c>
      <c r="N262" s="50" t="s">
        <v>2</v>
      </c>
      <c r="O262" s="131">
        <v>7.6</v>
      </c>
      <c r="P262" s="117">
        <v>6.3</v>
      </c>
      <c r="Q262" s="131">
        <v>6.87</v>
      </c>
      <c r="R262" s="50">
        <v>72.5</v>
      </c>
      <c r="S262" s="74">
        <v>203</v>
      </c>
      <c r="T262" s="50">
        <v>0.16</v>
      </c>
      <c r="U262" s="131">
        <v>1.18</v>
      </c>
      <c r="V262" s="50">
        <v>0.48</v>
      </c>
      <c r="W262" s="74">
        <v>0.03</v>
      </c>
      <c r="X262" s="50">
        <v>0.31</v>
      </c>
      <c r="Y262" s="74">
        <v>0.02</v>
      </c>
    </row>
    <row r="263" spans="1:30" ht="15" customHeight="1">
      <c r="A263" s="41" t="s">
        <v>183</v>
      </c>
      <c r="B263" s="402" t="s">
        <v>1252</v>
      </c>
      <c r="C263" s="113" t="s">
        <v>1253</v>
      </c>
      <c r="D263" s="393" t="s">
        <v>192</v>
      </c>
      <c r="E263" s="394" t="s">
        <v>1254</v>
      </c>
      <c r="G263" s="405" t="s">
        <v>1255</v>
      </c>
      <c r="H263" s="49">
        <v>2621</v>
      </c>
      <c r="I263" s="50" t="s">
        <v>1</v>
      </c>
      <c r="J263" s="76" t="s">
        <v>1259</v>
      </c>
      <c r="K263" s="51">
        <v>40898</v>
      </c>
      <c r="L263" s="115">
        <v>40885</v>
      </c>
      <c r="M263" s="50">
        <f t="shared" si="11"/>
        <v>13</v>
      </c>
      <c r="N263" s="50" t="s">
        <v>2</v>
      </c>
      <c r="O263" s="131">
        <v>1.4</v>
      </c>
      <c r="P263" s="117">
        <v>6.3</v>
      </c>
      <c r="Q263" s="131">
        <v>6.74</v>
      </c>
      <c r="R263" s="50">
        <v>29.5</v>
      </c>
      <c r="S263" s="74">
        <v>27</v>
      </c>
      <c r="T263" s="50">
        <f>0.05/2</f>
        <v>2.5000000000000001E-2</v>
      </c>
      <c r="U263" s="131">
        <v>1.42</v>
      </c>
      <c r="V263" s="50">
        <v>0.7</v>
      </c>
      <c r="W263" s="74">
        <v>0.02</v>
      </c>
      <c r="X263" s="50">
        <v>0.56000000000000005</v>
      </c>
      <c r="Y263" s="74">
        <f>0.02/2</f>
        <v>0.01</v>
      </c>
    </row>
    <row r="264" spans="1:30" ht="15" customHeight="1">
      <c r="A264" s="41" t="s">
        <v>183</v>
      </c>
      <c r="B264" s="402" t="s">
        <v>1252</v>
      </c>
      <c r="C264" s="113" t="s">
        <v>1253</v>
      </c>
      <c r="D264" s="393" t="s">
        <v>192</v>
      </c>
      <c r="E264" s="394" t="s">
        <v>1254</v>
      </c>
      <c r="G264" s="405" t="s">
        <v>1255</v>
      </c>
      <c r="H264" s="49">
        <v>2621</v>
      </c>
      <c r="I264" s="50" t="s">
        <v>1</v>
      </c>
      <c r="J264" s="76" t="s">
        <v>1260</v>
      </c>
      <c r="K264" s="51">
        <v>40898</v>
      </c>
      <c r="L264" s="115">
        <v>40885</v>
      </c>
      <c r="M264" s="50">
        <f t="shared" si="11"/>
        <v>13</v>
      </c>
      <c r="N264" s="50" t="s">
        <v>2</v>
      </c>
      <c r="O264" s="131">
        <v>3.5</v>
      </c>
      <c r="P264" s="117">
        <v>6.3</v>
      </c>
      <c r="Q264" s="131">
        <v>7.62</v>
      </c>
      <c r="R264" s="50">
        <v>37.700000000000003</v>
      </c>
      <c r="S264" s="74">
        <v>7</v>
      </c>
      <c r="T264" s="50">
        <f>0.05/2</f>
        <v>2.5000000000000001E-2</v>
      </c>
      <c r="U264" s="131">
        <v>0.81</v>
      </c>
      <c r="V264" s="50">
        <v>0.48</v>
      </c>
      <c r="W264" s="74">
        <v>0.01</v>
      </c>
      <c r="X264" s="50">
        <v>7.0000000000000007E-2</v>
      </c>
      <c r="Y264" s="74">
        <f>0.02/2</f>
        <v>0.01</v>
      </c>
    </row>
    <row r="265" spans="1:30" ht="15" customHeight="1">
      <c r="A265" s="41" t="s">
        <v>183</v>
      </c>
      <c r="B265" s="402" t="s">
        <v>1252</v>
      </c>
      <c r="C265" s="113" t="s">
        <v>1253</v>
      </c>
      <c r="D265" s="393" t="s">
        <v>192</v>
      </c>
      <c r="E265" s="394" t="s">
        <v>1254</v>
      </c>
      <c r="G265" s="405" t="s">
        <v>1255</v>
      </c>
      <c r="H265" s="49">
        <v>2621</v>
      </c>
      <c r="I265" s="50" t="s">
        <v>1</v>
      </c>
      <c r="J265" s="76" t="s">
        <v>1261</v>
      </c>
      <c r="K265" s="51">
        <v>40898</v>
      </c>
      <c r="L265" s="115">
        <v>40885</v>
      </c>
      <c r="M265" s="50">
        <f t="shared" si="11"/>
        <v>13</v>
      </c>
      <c r="N265" s="50" t="s">
        <v>2</v>
      </c>
      <c r="O265" s="131">
        <v>1.1000000000000001</v>
      </c>
      <c r="P265" s="117">
        <v>6.3</v>
      </c>
      <c r="Q265" s="131">
        <v>7.14</v>
      </c>
      <c r="R265" s="50">
        <v>3.8</v>
      </c>
      <c r="S265" s="74">
        <v>19</v>
      </c>
      <c r="T265" s="50">
        <f>0.05/2</f>
        <v>2.5000000000000001E-2</v>
      </c>
      <c r="U265" s="131">
        <v>0.52</v>
      </c>
      <c r="V265" s="50">
        <v>0.63</v>
      </c>
      <c r="W265" s="74">
        <f>0.01/2</f>
        <v>5.0000000000000001E-3</v>
      </c>
      <c r="X265" s="50">
        <v>0.02</v>
      </c>
      <c r="Y265" s="74">
        <f>0.02/2</f>
        <v>0.01</v>
      </c>
    </row>
    <row r="266" spans="1:30" ht="15" customHeight="1">
      <c r="A266" s="41" t="s">
        <v>183</v>
      </c>
      <c r="B266" s="402" t="s">
        <v>1252</v>
      </c>
      <c r="C266" s="113" t="s">
        <v>1253</v>
      </c>
      <c r="D266" s="393" t="s">
        <v>192</v>
      </c>
      <c r="E266" s="394" t="s">
        <v>1254</v>
      </c>
      <c r="G266" s="405" t="s">
        <v>1255</v>
      </c>
      <c r="H266" s="49">
        <v>2621</v>
      </c>
      <c r="I266" s="50" t="s">
        <v>1</v>
      </c>
      <c r="J266" s="76" t="s">
        <v>1262</v>
      </c>
      <c r="K266" s="51">
        <v>40898</v>
      </c>
      <c r="L266" s="115">
        <v>40885</v>
      </c>
      <c r="M266" s="50">
        <f t="shared" si="11"/>
        <v>13</v>
      </c>
      <c r="N266" s="50" t="s">
        <v>2</v>
      </c>
      <c r="O266" s="131">
        <v>4.4000000000000004</v>
      </c>
      <c r="P266" s="117">
        <v>6.3</v>
      </c>
      <c r="Q266" s="131">
        <v>7.49</v>
      </c>
      <c r="R266" s="50">
        <v>8.4</v>
      </c>
      <c r="S266" s="74">
        <v>11</v>
      </c>
      <c r="T266" s="50">
        <v>0.11</v>
      </c>
      <c r="U266" s="131">
        <v>0.53</v>
      </c>
      <c r="V266" s="50">
        <f>0.2/2</f>
        <v>0.1</v>
      </c>
      <c r="W266" s="74">
        <v>0.03</v>
      </c>
      <c r="X266" s="50">
        <v>0.31</v>
      </c>
      <c r="Y266" s="74">
        <f>0.02/2</f>
        <v>0.01</v>
      </c>
    </row>
    <row r="267" spans="1:30" ht="15" customHeight="1">
      <c r="A267" s="41" t="s">
        <v>183</v>
      </c>
      <c r="B267" s="402" t="s">
        <v>1252</v>
      </c>
      <c r="C267" s="113" t="s">
        <v>1253</v>
      </c>
      <c r="D267" s="393" t="s">
        <v>192</v>
      </c>
      <c r="E267" s="394" t="s">
        <v>1254</v>
      </c>
      <c r="G267" s="405" t="s">
        <v>1255</v>
      </c>
      <c r="H267" s="49">
        <v>2621</v>
      </c>
      <c r="I267" s="50" t="s">
        <v>1</v>
      </c>
      <c r="J267" s="76" t="s">
        <v>1263</v>
      </c>
      <c r="K267" s="51">
        <v>40898</v>
      </c>
      <c r="L267" s="115">
        <v>40885</v>
      </c>
      <c r="M267" s="50">
        <f t="shared" si="11"/>
        <v>13</v>
      </c>
      <c r="N267" s="50" t="s">
        <v>2</v>
      </c>
      <c r="O267" s="131">
        <v>1.8</v>
      </c>
      <c r="P267" s="117">
        <v>6.3</v>
      </c>
      <c r="Q267" s="131">
        <v>6.05</v>
      </c>
      <c r="R267" s="50">
        <v>8.4</v>
      </c>
      <c r="S267" s="74">
        <v>1</v>
      </c>
      <c r="T267" s="50">
        <f>0.05/2</f>
        <v>2.5000000000000001E-2</v>
      </c>
      <c r="U267" s="131">
        <v>1.5</v>
      </c>
      <c r="V267" s="50">
        <v>0.54</v>
      </c>
      <c r="W267" s="74">
        <v>7.0000000000000007E-2</v>
      </c>
      <c r="X267" s="50">
        <v>0.48</v>
      </c>
      <c r="Y267" s="74">
        <f>0.02/2</f>
        <v>0.01</v>
      </c>
    </row>
    <row r="268" spans="1:30" ht="15" customHeight="1">
      <c r="A268" s="41" t="s">
        <v>183</v>
      </c>
      <c r="B268" s="402" t="s">
        <v>1264</v>
      </c>
      <c r="C268" s="113" t="s">
        <v>1264</v>
      </c>
      <c r="D268" s="393" t="s">
        <v>347</v>
      </c>
      <c r="E268" s="394" t="s">
        <v>1265</v>
      </c>
      <c r="G268" s="405" t="s">
        <v>1266</v>
      </c>
      <c r="H268" s="49">
        <v>3471</v>
      </c>
      <c r="I268" s="50" t="s">
        <v>1</v>
      </c>
      <c r="J268" s="76" t="s">
        <v>74</v>
      </c>
      <c r="K268" s="51">
        <v>40843</v>
      </c>
      <c r="L268" s="115">
        <v>40836</v>
      </c>
      <c r="M268" s="50">
        <f t="shared" si="11"/>
        <v>7</v>
      </c>
      <c r="N268" s="50" t="s">
        <v>2</v>
      </c>
      <c r="O268" s="131">
        <f>1.4/2</f>
        <v>0.7</v>
      </c>
      <c r="P268" s="117">
        <v>6.1</v>
      </c>
      <c r="Q268" s="131">
        <v>5.5</v>
      </c>
      <c r="R268" s="50">
        <v>23</v>
      </c>
      <c r="S268" s="74">
        <f>5/2</f>
        <v>2.5</v>
      </c>
      <c r="T268" s="50">
        <f>0.01/2</f>
        <v>5.0000000000000001E-3</v>
      </c>
      <c r="U268" s="131">
        <v>0.84</v>
      </c>
      <c r="V268" s="50">
        <v>0.56000000000000005</v>
      </c>
      <c r="W268" s="74">
        <v>0.01</v>
      </c>
      <c r="X268" s="50">
        <v>0.14199999999999999</v>
      </c>
      <c r="Y268" s="74">
        <v>3.0000000000000001E-3</v>
      </c>
      <c r="Z268" s="271">
        <v>0.70699999999999996</v>
      </c>
      <c r="AA268" s="271">
        <v>0.70699999999999996</v>
      </c>
      <c r="AB268" s="114">
        <v>4</v>
      </c>
      <c r="AC268" s="50">
        <v>22</v>
      </c>
      <c r="AD268" s="271">
        <v>0.5</v>
      </c>
    </row>
    <row r="269" spans="1:30" ht="15" customHeight="1">
      <c r="A269" s="41" t="s">
        <v>183</v>
      </c>
      <c r="B269" s="402" t="s">
        <v>1264</v>
      </c>
      <c r="C269" s="113" t="s">
        <v>1264</v>
      </c>
      <c r="D269" s="393" t="s">
        <v>347</v>
      </c>
      <c r="E269" s="394" t="s">
        <v>1265</v>
      </c>
      <c r="G269" s="405" t="s">
        <v>1266</v>
      </c>
      <c r="H269" s="49">
        <v>3471</v>
      </c>
      <c r="I269" s="50" t="s">
        <v>1</v>
      </c>
      <c r="J269" s="76" t="s">
        <v>75</v>
      </c>
      <c r="K269" s="51">
        <v>40843</v>
      </c>
      <c r="L269" s="115">
        <v>40836</v>
      </c>
      <c r="M269" s="50">
        <f t="shared" si="11"/>
        <v>7</v>
      </c>
      <c r="N269" s="50" t="s">
        <v>2</v>
      </c>
      <c r="O269" s="131">
        <f>1.5/2</f>
        <v>0.75</v>
      </c>
      <c r="P269" s="117">
        <v>6.1</v>
      </c>
      <c r="Q269" s="131">
        <v>4.74</v>
      </c>
      <c r="R269" s="50">
        <v>46</v>
      </c>
      <c r="S269" s="74">
        <f>5/2</f>
        <v>2.5</v>
      </c>
      <c r="T269" s="50">
        <f>0.01/2</f>
        <v>5.0000000000000001E-3</v>
      </c>
      <c r="U269" s="131">
        <v>1</v>
      </c>
      <c r="V269" s="50">
        <v>0.77</v>
      </c>
      <c r="W269" s="74">
        <v>7.0000000000000001E-3</v>
      </c>
      <c r="X269" s="50">
        <v>5.0999999999999997E-2</v>
      </c>
      <c r="Y269" s="74">
        <v>4.0000000000000001E-3</v>
      </c>
      <c r="Z269" s="271">
        <v>0.73499999999999999</v>
      </c>
      <c r="AA269" s="271">
        <v>0.70699999999999996</v>
      </c>
      <c r="AB269" s="114">
        <v>6</v>
      </c>
      <c r="AC269" s="50">
        <v>30</v>
      </c>
      <c r="AD269" s="271">
        <v>0</v>
      </c>
    </row>
    <row r="270" spans="1:30" ht="15" customHeight="1">
      <c r="A270" s="41" t="s">
        <v>183</v>
      </c>
      <c r="B270" s="402" t="s">
        <v>1267</v>
      </c>
      <c r="C270" s="113" t="s">
        <v>1268</v>
      </c>
      <c r="D270" s="393" t="s">
        <v>205</v>
      </c>
      <c r="E270" s="394" t="s">
        <v>1269</v>
      </c>
      <c r="G270" s="405" t="s">
        <v>1270</v>
      </c>
      <c r="H270" s="49">
        <v>3724</v>
      </c>
      <c r="I270" s="50" t="s">
        <v>2</v>
      </c>
      <c r="J270" s="76" t="s">
        <v>687</v>
      </c>
      <c r="K270" s="51">
        <v>40857</v>
      </c>
      <c r="L270" s="115">
        <v>40845</v>
      </c>
      <c r="M270" s="50">
        <f t="shared" si="11"/>
        <v>12</v>
      </c>
      <c r="N270" s="50" t="s">
        <v>2</v>
      </c>
      <c r="O270" s="131">
        <v>0.05</v>
      </c>
      <c r="P270" s="117">
        <v>5.8</v>
      </c>
      <c r="Q270" s="131">
        <v>6.42</v>
      </c>
      <c r="R270" s="50">
        <v>137</v>
      </c>
      <c r="S270" s="74">
        <v>30</v>
      </c>
      <c r="T270" s="50">
        <v>0.22</v>
      </c>
      <c r="U270" s="131">
        <v>2.8</v>
      </c>
      <c r="V270" s="50">
        <v>3.9</v>
      </c>
      <c r="W270" s="74">
        <v>4.8500000000000001E-2</v>
      </c>
      <c r="X270" s="50">
        <v>0.106</v>
      </c>
      <c r="Y270" s="74">
        <v>1.12E-2</v>
      </c>
      <c r="Z270" s="271">
        <v>1</v>
      </c>
      <c r="AA270" s="271">
        <v>1</v>
      </c>
      <c r="AB270" s="114">
        <v>14</v>
      </c>
      <c r="AC270" s="50">
        <v>98</v>
      </c>
      <c r="AD270" s="271">
        <v>1</v>
      </c>
    </row>
    <row r="271" spans="1:30" ht="15" customHeight="1">
      <c r="A271" s="41" t="s">
        <v>183</v>
      </c>
      <c r="B271" s="402" t="s">
        <v>1267</v>
      </c>
      <c r="C271" s="113" t="s">
        <v>1268</v>
      </c>
      <c r="D271" s="393" t="s">
        <v>205</v>
      </c>
      <c r="E271" s="394" t="s">
        <v>1269</v>
      </c>
      <c r="G271" s="405" t="s">
        <v>1270</v>
      </c>
      <c r="H271" s="49">
        <v>3724</v>
      </c>
      <c r="I271" s="50" t="s">
        <v>2</v>
      </c>
      <c r="J271" s="76" t="s">
        <v>1271</v>
      </c>
      <c r="K271" s="51">
        <v>40857</v>
      </c>
      <c r="L271" s="115">
        <v>40845</v>
      </c>
      <c r="M271" s="50">
        <f t="shared" si="11"/>
        <v>12</v>
      </c>
      <c r="N271" s="50" t="s">
        <v>2</v>
      </c>
      <c r="O271" s="131">
        <v>0.05</v>
      </c>
      <c r="P271" s="117">
        <v>5.8</v>
      </c>
      <c r="Q271" s="131">
        <v>6.49</v>
      </c>
      <c r="R271" s="50">
        <v>34.700000000000003</v>
      </c>
      <c r="S271" s="74">
        <v>72</v>
      </c>
      <c r="T271" s="50">
        <v>4.6199999999999998E-2</v>
      </c>
      <c r="U271" s="131">
        <v>0.98</v>
      </c>
      <c r="V271" s="50">
        <v>0.05</v>
      </c>
      <c r="W271" s="74">
        <v>2.1499999999999998E-2</v>
      </c>
      <c r="X271" s="50">
        <v>8.0399999999999999E-2</v>
      </c>
      <c r="Y271" s="74">
        <v>3.7499999999999999E-3</v>
      </c>
      <c r="Z271" s="271">
        <v>1</v>
      </c>
      <c r="AA271" s="271">
        <v>0.89100000000000001</v>
      </c>
      <c r="AB271" s="114">
        <v>10</v>
      </c>
      <c r="AC271" s="50">
        <v>55</v>
      </c>
      <c r="AD271" s="271">
        <v>0.4</v>
      </c>
    </row>
    <row r="272" spans="1:30" ht="15" customHeight="1">
      <c r="A272" s="41" t="s">
        <v>183</v>
      </c>
      <c r="B272" s="402" t="s">
        <v>1272</v>
      </c>
      <c r="C272" s="113" t="s">
        <v>1272</v>
      </c>
      <c r="D272" s="393" t="s">
        <v>205</v>
      </c>
      <c r="E272" s="394" t="s">
        <v>1273</v>
      </c>
      <c r="F272" s="402" t="s">
        <v>1274</v>
      </c>
      <c r="G272" s="405" t="s">
        <v>1275</v>
      </c>
      <c r="H272" s="49">
        <v>3446</v>
      </c>
      <c r="I272" s="50" t="s">
        <v>1</v>
      </c>
      <c r="J272" s="76" t="s">
        <v>130</v>
      </c>
      <c r="K272" s="51">
        <v>40925</v>
      </c>
      <c r="L272" s="115">
        <v>40920</v>
      </c>
      <c r="M272" s="50">
        <f t="shared" si="11"/>
        <v>5</v>
      </c>
      <c r="N272" s="50" t="s">
        <v>1</v>
      </c>
      <c r="O272" s="131">
        <v>1.6</v>
      </c>
      <c r="P272" s="117">
        <v>6.8</v>
      </c>
      <c r="Q272" s="131">
        <v>6.7</v>
      </c>
      <c r="R272" s="50">
        <v>32.1</v>
      </c>
      <c r="S272" s="74">
        <v>24</v>
      </c>
      <c r="T272" s="50">
        <f>0.05/2</f>
        <v>2.5000000000000001E-2</v>
      </c>
      <c r="U272" s="131">
        <v>1.4</v>
      </c>
      <c r="V272" s="50">
        <v>0.43</v>
      </c>
      <c r="W272" s="74">
        <v>1.0999999999999999E-2</v>
      </c>
      <c r="X272" s="50">
        <v>0.187</v>
      </c>
      <c r="Y272" s="74">
        <v>8.9999999999999993E-3</v>
      </c>
      <c r="Z272" s="271">
        <v>1</v>
      </c>
      <c r="AA272" s="271">
        <v>1</v>
      </c>
      <c r="AB272" s="114">
        <v>38.29</v>
      </c>
      <c r="AC272" s="50">
        <v>2560</v>
      </c>
      <c r="AD272" s="271">
        <v>1</v>
      </c>
    </row>
    <row r="273" spans="1:30" ht="15" customHeight="1">
      <c r="A273" s="41" t="s">
        <v>183</v>
      </c>
      <c r="B273" s="402" t="s">
        <v>1272</v>
      </c>
      <c r="C273" s="113" t="s">
        <v>1272</v>
      </c>
      <c r="D273" s="393" t="s">
        <v>205</v>
      </c>
      <c r="E273" s="394" t="s">
        <v>1276</v>
      </c>
      <c r="F273" s="402" t="s">
        <v>1274</v>
      </c>
      <c r="G273" s="405" t="s">
        <v>1275</v>
      </c>
      <c r="H273" s="49">
        <v>3446</v>
      </c>
      <c r="I273" s="50" t="s">
        <v>2</v>
      </c>
      <c r="J273" s="76" t="s">
        <v>1277</v>
      </c>
      <c r="K273" s="51">
        <v>40925</v>
      </c>
      <c r="L273" s="115">
        <v>40920</v>
      </c>
      <c r="M273" s="50">
        <f t="shared" si="11"/>
        <v>5</v>
      </c>
      <c r="N273" s="50" t="s">
        <v>1</v>
      </c>
      <c r="O273" s="131">
        <v>2.4</v>
      </c>
      <c r="P273" s="117">
        <v>6.6</v>
      </c>
      <c r="Q273" s="131">
        <v>6.7</v>
      </c>
      <c r="R273" s="50">
        <v>47.3</v>
      </c>
      <c r="S273" s="74">
        <v>86</v>
      </c>
      <c r="T273" s="50">
        <v>0.06</v>
      </c>
      <c r="U273" s="131">
        <v>1.68</v>
      </c>
      <c r="V273" s="50">
        <v>0.35</v>
      </c>
      <c r="W273" s="74">
        <v>6.0000000000000001E-3</v>
      </c>
      <c r="X273" s="50">
        <v>0.52200000000000002</v>
      </c>
      <c r="Y273" s="74">
        <v>8.0000000000000002E-3</v>
      </c>
      <c r="Z273" s="271">
        <v>1</v>
      </c>
      <c r="AA273" s="271">
        <v>1</v>
      </c>
      <c r="AB273" s="114">
        <v>81.53</v>
      </c>
      <c r="AC273" s="50">
        <v>7.28</v>
      </c>
      <c r="AD273" s="271">
        <v>0.9</v>
      </c>
    </row>
    <row r="274" spans="1:30" ht="15" customHeight="1">
      <c r="A274" s="41" t="s">
        <v>183</v>
      </c>
      <c r="B274" s="402" t="s">
        <v>1278</v>
      </c>
      <c r="C274" s="113" t="s">
        <v>1279</v>
      </c>
      <c r="D274" s="393" t="s">
        <v>268</v>
      </c>
      <c r="E274" s="394" t="s">
        <v>252</v>
      </c>
      <c r="F274" s="402">
        <v>4402</v>
      </c>
      <c r="G274" s="405" t="s">
        <v>1280</v>
      </c>
      <c r="H274" s="49">
        <v>3562</v>
      </c>
      <c r="I274" s="50" t="s">
        <v>2</v>
      </c>
      <c r="J274" s="76" t="s">
        <v>81</v>
      </c>
      <c r="K274" s="51">
        <v>40889</v>
      </c>
      <c r="L274" s="115">
        <v>40884</v>
      </c>
      <c r="M274" s="50">
        <f t="shared" si="11"/>
        <v>5</v>
      </c>
      <c r="N274" s="50" t="s">
        <v>2</v>
      </c>
      <c r="O274" s="131">
        <v>2</v>
      </c>
      <c r="P274" s="117">
        <v>6</v>
      </c>
      <c r="Q274" s="131">
        <v>6.3</v>
      </c>
      <c r="R274" s="50">
        <v>35</v>
      </c>
      <c r="S274" s="74">
        <v>82</v>
      </c>
      <c r="T274" s="50">
        <v>0.32</v>
      </c>
      <c r="U274" s="131">
        <v>1.46</v>
      </c>
      <c r="V274" s="50">
        <v>0.4</v>
      </c>
      <c r="W274" s="74">
        <v>0.245</v>
      </c>
      <c r="X274" s="50">
        <v>0.48099999999999998</v>
      </c>
      <c r="Y274" s="74">
        <f>0.03/2</f>
        <v>1.4999999999999999E-2</v>
      </c>
      <c r="Z274" s="271">
        <v>1</v>
      </c>
      <c r="AA274" s="271">
        <v>1</v>
      </c>
      <c r="AB274" s="114">
        <v>270</v>
      </c>
      <c r="AC274" s="50">
        <v>744</v>
      </c>
      <c r="AD274" s="271">
        <v>1</v>
      </c>
    </row>
    <row r="275" spans="1:30" ht="15" customHeight="1">
      <c r="A275" s="41" t="s">
        <v>183</v>
      </c>
      <c r="B275" s="402" t="s">
        <v>1281</v>
      </c>
      <c r="C275" s="113" t="s">
        <v>1282</v>
      </c>
      <c r="D275" s="393" t="s">
        <v>1896</v>
      </c>
      <c r="E275" s="394" t="s">
        <v>1283</v>
      </c>
      <c r="G275" s="405" t="s">
        <v>1284</v>
      </c>
      <c r="H275" s="49">
        <v>5171</v>
      </c>
      <c r="I275" s="50" t="s">
        <v>2</v>
      </c>
      <c r="J275" s="76" t="s">
        <v>1285</v>
      </c>
      <c r="K275" s="51">
        <v>40899</v>
      </c>
      <c r="L275" s="115">
        <v>40885</v>
      </c>
      <c r="M275" s="50">
        <f t="shared" si="11"/>
        <v>14</v>
      </c>
      <c r="N275" s="50" t="s">
        <v>2</v>
      </c>
      <c r="O275" s="131">
        <f t="shared" ref="O275:O280" si="12">5/2</f>
        <v>2.5</v>
      </c>
      <c r="P275" s="117">
        <v>6.3</v>
      </c>
      <c r="Q275" s="131">
        <v>7.38</v>
      </c>
      <c r="R275" s="50">
        <v>25</v>
      </c>
      <c r="S275" s="74">
        <v>12</v>
      </c>
      <c r="T275" s="50">
        <f>0.1/2</f>
        <v>0.05</v>
      </c>
      <c r="U275" s="131">
        <v>3.4</v>
      </c>
      <c r="V275" s="50">
        <v>1</v>
      </c>
      <c r="W275" s="74">
        <f>0.04/2</f>
        <v>0.02</v>
      </c>
      <c r="X275" s="50">
        <v>8.6999999999999994E-2</v>
      </c>
      <c r="Y275" s="74">
        <f>0.013/2</f>
        <v>6.4999999999999997E-3</v>
      </c>
      <c r="Z275" s="271">
        <v>1</v>
      </c>
      <c r="AA275" s="271">
        <v>1</v>
      </c>
      <c r="AB275" s="114">
        <v>73</v>
      </c>
      <c r="AC275" s="50">
        <v>207</v>
      </c>
      <c r="AD275" s="271">
        <v>0.8</v>
      </c>
    </row>
    <row r="276" spans="1:30" ht="15" customHeight="1">
      <c r="A276" s="41" t="s">
        <v>183</v>
      </c>
      <c r="B276" s="402" t="s">
        <v>1287</v>
      </c>
      <c r="C276" s="113" t="s">
        <v>1288</v>
      </c>
      <c r="D276" s="393" t="s">
        <v>434</v>
      </c>
      <c r="E276" s="394" t="s">
        <v>1289</v>
      </c>
      <c r="G276" s="405" t="s">
        <v>1290</v>
      </c>
      <c r="H276" s="49">
        <v>3728</v>
      </c>
      <c r="I276" s="50" t="s">
        <v>2</v>
      </c>
      <c r="J276" s="76" t="s">
        <v>1291</v>
      </c>
      <c r="K276" s="51">
        <v>40955</v>
      </c>
      <c r="L276" s="115">
        <v>40951</v>
      </c>
      <c r="M276" s="50">
        <f t="shared" si="11"/>
        <v>4</v>
      </c>
      <c r="N276" s="50" t="s">
        <v>2</v>
      </c>
      <c r="O276" s="131">
        <f t="shared" si="12"/>
        <v>2.5</v>
      </c>
      <c r="P276" s="117">
        <v>6.4</v>
      </c>
      <c r="Q276" s="131">
        <v>8.3000000000000007</v>
      </c>
      <c r="R276" s="50">
        <v>220</v>
      </c>
      <c r="S276" s="74">
        <v>350</v>
      </c>
      <c r="T276" s="50">
        <v>0.16</v>
      </c>
      <c r="U276" s="131">
        <v>1.2</v>
      </c>
      <c r="V276" s="50">
        <v>0.98</v>
      </c>
      <c r="W276" s="74">
        <v>5.7000000000000002E-2</v>
      </c>
      <c r="X276" s="50">
        <v>0.31</v>
      </c>
      <c r="Y276" s="74">
        <v>1.6E-2</v>
      </c>
      <c r="Z276" s="271">
        <v>1</v>
      </c>
      <c r="AA276" s="271">
        <v>1</v>
      </c>
      <c r="AB276" s="114">
        <v>930</v>
      </c>
      <c r="AC276" s="50">
        <v>3000</v>
      </c>
      <c r="AD276" s="271">
        <v>1</v>
      </c>
    </row>
    <row r="277" spans="1:30" ht="15" customHeight="1">
      <c r="A277" s="41" t="s">
        <v>183</v>
      </c>
      <c r="B277" s="402" t="s">
        <v>1287</v>
      </c>
      <c r="C277" s="113" t="s">
        <v>1288</v>
      </c>
      <c r="D277" s="393" t="s">
        <v>434</v>
      </c>
      <c r="E277" s="394" t="s">
        <v>1289</v>
      </c>
      <c r="G277" s="405" t="s">
        <v>1290</v>
      </c>
      <c r="H277" s="49">
        <v>3728</v>
      </c>
      <c r="I277" s="50" t="s">
        <v>2</v>
      </c>
      <c r="J277" s="76" t="s">
        <v>254</v>
      </c>
      <c r="K277" s="51">
        <v>40955</v>
      </c>
      <c r="L277" s="115">
        <v>40951</v>
      </c>
      <c r="M277" s="50">
        <f t="shared" si="11"/>
        <v>4</v>
      </c>
      <c r="N277" s="50" t="s">
        <v>2</v>
      </c>
      <c r="O277" s="131">
        <f t="shared" si="12"/>
        <v>2.5</v>
      </c>
      <c r="P277" s="117">
        <v>6.4</v>
      </c>
      <c r="Q277" s="131">
        <v>6.3</v>
      </c>
      <c r="R277" s="50">
        <v>63</v>
      </c>
      <c r="S277" s="74">
        <v>12</v>
      </c>
      <c r="T277" s="50">
        <f>0.1/2</f>
        <v>0.05</v>
      </c>
      <c r="U277" s="131">
        <v>1.3</v>
      </c>
      <c r="V277" s="50">
        <v>1.3</v>
      </c>
      <c r="W277" s="74">
        <f>0.04/2</f>
        <v>0.02</v>
      </c>
      <c r="X277" s="50">
        <v>9.0999999999999998E-2</v>
      </c>
      <c r="Y277" s="74">
        <v>0.14000000000000001</v>
      </c>
      <c r="Z277" s="271">
        <v>0.77100000000000002</v>
      </c>
      <c r="AA277" s="271">
        <v>0.77100000000000002</v>
      </c>
      <c r="AB277" s="114">
        <v>8.9</v>
      </c>
      <c r="AC277" s="50">
        <v>60</v>
      </c>
      <c r="AD277" s="271">
        <v>0.3</v>
      </c>
    </row>
    <row r="278" spans="1:30" ht="15" customHeight="1">
      <c r="A278" s="41" t="s">
        <v>183</v>
      </c>
      <c r="B278" s="402" t="s">
        <v>1287</v>
      </c>
      <c r="C278" s="113" t="s">
        <v>1288</v>
      </c>
      <c r="D278" s="393" t="s">
        <v>434</v>
      </c>
      <c r="E278" s="394" t="s">
        <v>1289</v>
      </c>
      <c r="G278" s="405" t="s">
        <v>1290</v>
      </c>
      <c r="H278" s="49">
        <v>3728</v>
      </c>
      <c r="I278" s="50" t="s">
        <v>2</v>
      </c>
      <c r="J278" s="76" t="s">
        <v>690</v>
      </c>
      <c r="K278" s="51">
        <v>40955</v>
      </c>
      <c r="L278" s="115">
        <v>40951</v>
      </c>
      <c r="M278" s="50">
        <f t="shared" si="11"/>
        <v>4</v>
      </c>
      <c r="N278" s="50" t="s">
        <v>2</v>
      </c>
      <c r="O278" s="131">
        <f t="shared" si="12"/>
        <v>2.5</v>
      </c>
      <c r="P278" s="117">
        <v>6.4</v>
      </c>
      <c r="Q278" s="131">
        <v>8.1999999999999993</v>
      </c>
      <c r="R278" s="50">
        <v>210</v>
      </c>
      <c r="S278" s="74">
        <v>180</v>
      </c>
      <c r="T278" s="50">
        <f>0.1/2</f>
        <v>0.05</v>
      </c>
      <c r="U278" s="131">
        <v>1.3</v>
      </c>
      <c r="V278" s="50">
        <v>0.66</v>
      </c>
      <c r="W278" s="74">
        <f>0.04/2</f>
        <v>0.02</v>
      </c>
      <c r="X278" s="50">
        <v>0.32</v>
      </c>
      <c r="Y278" s="74">
        <f>0.013/2</f>
        <v>6.4999999999999997E-3</v>
      </c>
      <c r="Z278" s="271">
        <v>1</v>
      </c>
      <c r="AA278" s="271">
        <v>1</v>
      </c>
      <c r="AB278" s="114">
        <v>440</v>
      </c>
      <c r="AC278" s="50">
        <v>1694</v>
      </c>
      <c r="AD278" s="271">
        <v>1</v>
      </c>
    </row>
    <row r="279" spans="1:30" ht="15" customHeight="1">
      <c r="A279" s="41" t="s">
        <v>183</v>
      </c>
      <c r="B279" s="402" t="s">
        <v>1287</v>
      </c>
      <c r="C279" s="113" t="s">
        <v>1288</v>
      </c>
      <c r="D279" s="393" t="s">
        <v>434</v>
      </c>
      <c r="E279" s="394" t="s">
        <v>1289</v>
      </c>
      <c r="G279" s="405" t="s">
        <v>1290</v>
      </c>
      <c r="H279" s="49">
        <v>3728</v>
      </c>
      <c r="I279" s="50" t="s">
        <v>2</v>
      </c>
      <c r="J279" s="76" t="s">
        <v>96</v>
      </c>
      <c r="K279" s="51">
        <v>40955</v>
      </c>
      <c r="L279" s="115">
        <v>40951</v>
      </c>
      <c r="M279" s="50">
        <f t="shared" si="11"/>
        <v>4</v>
      </c>
      <c r="N279" s="50" t="s">
        <v>2</v>
      </c>
      <c r="O279" s="131">
        <f t="shared" si="12"/>
        <v>2.5</v>
      </c>
      <c r="P279" s="117">
        <v>6.4</v>
      </c>
      <c r="Q279" s="131">
        <v>6.3</v>
      </c>
      <c r="R279" s="50">
        <v>300</v>
      </c>
      <c r="S279" s="74">
        <v>410</v>
      </c>
      <c r="T279" s="50">
        <v>0.72</v>
      </c>
      <c r="U279" s="131">
        <v>1.4</v>
      </c>
      <c r="V279" s="50">
        <v>1.2</v>
      </c>
      <c r="W279" s="74">
        <v>0.09</v>
      </c>
      <c r="X279" s="50">
        <v>0.5</v>
      </c>
      <c r="Y279" s="74">
        <v>0.02</v>
      </c>
      <c r="Z279" s="271">
        <v>1</v>
      </c>
      <c r="AA279" s="271">
        <v>0.91700000000000004</v>
      </c>
      <c r="AB279" s="114">
        <v>550</v>
      </c>
      <c r="AC279" s="50">
        <v>7870</v>
      </c>
      <c r="AD279" s="271">
        <v>0.4</v>
      </c>
    </row>
    <row r="280" spans="1:30" ht="15" customHeight="1">
      <c r="A280" s="41" t="s">
        <v>183</v>
      </c>
      <c r="B280" s="402" t="s">
        <v>1287</v>
      </c>
      <c r="C280" s="113" t="s">
        <v>1288</v>
      </c>
      <c r="D280" s="393" t="s">
        <v>434</v>
      </c>
      <c r="E280" s="394" t="s">
        <v>1289</v>
      </c>
      <c r="G280" s="405" t="s">
        <v>1290</v>
      </c>
      <c r="H280" s="49">
        <v>3728</v>
      </c>
      <c r="I280" s="50" t="s">
        <v>2</v>
      </c>
      <c r="J280" s="76" t="s">
        <v>255</v>
      </c>
      <c r="K280" s="51">
        <v>40955</v>
      </c>
      <c r="L280" s="115">
        <v>40951</v>
      </c>
      <c r="M280" s="50">
        <f t="shared" si="11"/>
        <v>4</v>
      </c>
      <c r="N280" s="50" t="s">
        <v>2</v>
      </c>
      <c r="O280" s="131">
        <f t="shared" si="12"/>
        <v>2.5</v>
      </c>
      <c r="P280" s="117">
        <v>6.4</v>
      </c>
      <c r="Q280" s="131">
        <v>6.7</v>
      </c>
      <c r="R280" s="50">
        <v>24</v>
      </c>
      <c r="S280" s="74">
        <v>22</v>
      </c>
      <c r="T280" s="50">
        <f>0.1/2</f>
        <v>0.05</v>
      </c>
      <c r="U280" s="131">
        <f>1/2</f>
        <v>0.5</v>
      </c>
      <c r="V280" s="50">
        <v>1.6</v>
      </c>
      <c r="W280" s="74">
        <f>0.04/2</f>
        <v>0.02</v>
      </c>
      <c r="X280" s="50">
        <v>0.17</v>
      </c>
      <c r="Y280" s="74">
        <v>1.4999999999999999E-2</v>
      </c>
      <c r="Z280" s="271">
        <v>1</v>
      </c>
      <c r="AA280" s="271">
        <v>1</v>
      </c>
      <c r="AB280" s="114">
        <v>58</v>
      </c>
      <c r="AC280" s="50">
        <v>702</v>
      </c>
      <c r="AD280" s="271">
        <v>0.9</v>
      </c>
    </row>
    <row r="281" spans="1:30" ht="15" customHeight="1">
      <c r="A281" s="41" t="s">
        <v>183</v>
      </c>
      <c r="B281" s="402" t="s">
        <v>1220</v>
      </c>
      <c r="C281" s="113" t="s">
        <v>1292</v>
      </c>
      <c r="D281" s="393" t="s">
        <v>2372</v>
      </c>
      <c r="E281" s="394" t="s">
        <v>1293</v>
      </c>
      <c r="G281" s="405" t="s">
        <v>1294</v>
      </c>
      <c r="H281" s="49">
        <v>4215</v>
      </c>
      <c r="I281" s="50" t="s">
        <v>2</v>
      </c>
      <c r="J281" s="76" t="s">
        <v>1295</v>
      </c>
      <c r="K281" s="51">
        <v>40977</v>
      </c>
      <c r="L281" s="115">
        <v>40971</v>
      </c>
      <c r="M281" s="50">
        <f t="shared" si="11"/>
        <v>6</v>
      </c>
      <c r="N281" s="50" t="s">
        <v>2</v>
      </c>
      <c r="O281" s="131">
        <f>1.4/2</f>
        <v>0.7</v>
      </c>
      <c r="P281" s="117">
        <v>6.64</v>
      </c>
      <c r="Q281" s="131">
        <v>6.42</v>
      </c>
      <c r="R281" s="50">
        <v>24.9</v>
      </c>
      <c r="S281" s="74">
        <v>34.799999999999997</v>
      </c>
      <c r="T281" s="50">
        <v>9.9000000000000005E-2</v>
      </c>
      <c r="U281" s="131">
        <v>0.52</v>
      </c>
      <c r="V281" s="50">
        <v>0.35</v>
      </c>
      <c r="W281" s="74">
        <v>1.0999999999999999E-2</v>
      </c>
      <c r="X281" s="50">
        <v>7.0999999999999994E-2</v>
      </c>
      <c r="Y281" s="74">
        <f>0.003/2</f>
        <v>1.5E-3</v>
      </c>
      <c r="Z281" s="271">
        <v>1</v>
      </c>
      <c r="AA281" s="271">
        <v>1</v>
      </c>
      <c r="AB281" s="114">
        <v>8</v>
      </c>
      <c r="AC281" s="50">
        <v>74</v>
      </c>
      <c r="AD281" s="271">
        <v>1</v>
      </c>
    </row>
    <row r="282" spans="1:30" ht="15" customHeight="1">
      <c r="A282" s="41" t="s">
        <v>183</v>
      </c>
      <c r="B282" s="402" t="s">
        <v>1220</v>
      </c>
      <c r="C282" s="113" t="s">
        <v>1292</v>
      </c>
      <c r="D282" s="393" t="s">
        <v>2372</v>
      </c>
      <c r="E282" s="394" t="s">
        <v>1293</v>
      </c>
      <c r="G282" s="405" t="s">
        <v>1294</v>
      </c>
      <c r="H282" s="49">
        <v>4215</v>
      </c>
      <c r="I282" s="50" t="s">
        <v>2</v>
      </c>
      <c r="J282" s="76" t="s">
        <v>1224</v>
      </c>
      <c r="K282" s="51">
        <v>40977</v>
      </c>
      <c r="L282" s="115">
        <v>40971</v>
      </c>
      <c r="M282" s="50">
        <f t="shared" si="11"/>
        <v>6</v>
      </c>
      <c r="N282" s="50" t="s">
        <v>2</v>
      </c>
      <c r="O282" s="131">
        <f>1.4/2</f>
        <v>0.7</v>
      </c>
      <c r="P282" s="117">
        <v>6.64</v>
      </c>
      <c r="Q282" s="131">
        <v>6.51</v>
      </c>
      <c r="R282" s="50">
        <v>24.9</v>
      </c>
      <c r="S282" s="74">
        <v>16.8</v>
      </c>
      <c r="T282" s="50">
        <v>0.1</v>
      </c>
      <c r="U282" s="131">
        <v>0.67</v>
      </c>
      <c r="V282" s="50">
        <v>0.38</v>
      </c>
      <c r="W282" s="74">
        <v>3.8E-3</v>
      </c>
      <c r="X282" s="50">
        <v>2.1000000000000001E-2</v>
      </c>
      <c r="Y282" s="74">
        <f>0.003/2</f>
        <v>1.5E-3</v>
      </c>
      <c r="Z282" s="271">
        <v>1</v>
      </c>
      <c r="AA282" s="271">
        <v>1</v>
      </c>
      <c r="AB282" s="114">
        <v>22</v>
      </c>
      <c r="AC282" s="50">
        <v>137</v>
      </c>
      <c r="AD282" s="271">
        <v>0.9</v>
      </c>
    </row>
    <row r="283" spans="1:30" ht="15" customHeight="1">
      <c r="A283" s="41" t="s">
        <v>183</v>
      </c>
      <c r="B283" s="402" t="s">
        <v>1296</v>
      </c>
      <c r="C283" s="113" t="s">
        <v>1296</v>
      </c>
      <c r="D283" s="393" t="s">
        <v>89</v>
      </c>
      <c r="E283" s="394" t="s">
        <v>1297</v>
      </c>
      <c r="G283" s="405" t="s">
        <v>1298</v>
      </c>
      <c r="H283" s="49">
        <v>3562</v>
      </c>
      <c r="I283" s="50" t="s">
        <v>2</v>
      </c>
      <c r="K283" s="51">
        <v>40996</v>
      </c>
      <c r="L283" s="115">
        <v>40993</v>
      </c>
      <c r="M283" s="50">
        <f t="shared" si="11"/>
        <v>3</v>
      </c>
      <c r="N283" s="50" t="s">
        <v>2</v>
      </c>
      <c r="O283" s="131">
        <f>5/2</f>
        <v>2.5</v>
      </c>
      <c r="P283" s="117">
        <v>6.67</v>
      </c>
      <c r="Q283" s="131">
        <v>6.76</v>
      </c>
      <c r="R283" s="50">
        <v>230</v>
      </c>
      <c r="S283" s="74">
        <v>390</v>
      </c>
      <c r="T283" s="50">
        <v>0.15</v>
      </c>
      <c r="U283" s="131">
        <v>2.1</v>
      </c>
      <c r="V283" s="50">
        <v>0.75</v>
      </c>
      <c r="W283" s="74">
        <v>6.6000000000000003E-2</v>
      </c>
      <c r="X283" s="50">
        <v>0.42</v>
      </c>
      <c r="Y283" s="74">
        <v>2.7E-2</v>
      </c>
      <c r="Z283" s="271">
        <v>1</v>
      </c>
      <c r="AA283" s="271">
        <v>1</v>
      </c>
      <c r="AB283" s="114">
        <v>90</v>
      </c>
      <c r="AC283" s="50">
        <v>1356</v>
      </c>
      <c r="AD283" s="271">
        <v>1</v>
      </c>
    </row>
    <row r="284" spans="1:30" ht="15" customHeight="1">
      <c r="A284" s="41" t="s">
        <v>183</v>
      </c>
      <c r="B284" s="402" t="s">
        <v>1303</v>
      </c>
      <c r="C284" s="113" t="s">
        <v>1304</v>
      </c>
      <c r="D284" s="393" t="s">
        <v>910</v>
      </c>
      <c r="E284" s="394" t="s">
        <v>1305</v>
      </c>
      <c r="F284" s="402">
        <v>4600</v>
      </c>
      <c r="G284" s="405" t="s">
        <v>1306</v>
      </c>
      <c r="H284" s="49">
        <v>4173</v>
      </c>
      <c r="I284" s="50" t="s">
        <v>2</v>
      </c>
      <c r="J284" s="76" t="s">
        <v>510</v>
      </c>
      <c r="K284" s="51">
        <v>40996</v>
      </c>
      <c r="L284" s="115">
        <v>40994</v>
      </c>
      <c r="M284" s="50">
        <f t="shared" si="11"/>
        <v>2</v>
      </c>
      <c r="N284" s="50" t="s">
        <v>2</v>
      </c>
      <c r="O284" s="131">
        <f>5/2</f>
        <v>2.5</v>
      </c>
      <c r="P284" s="117">
        <v>5.45</v>
      </c>
      <c r="Q284" s="131">
        <v>6.43</v>
      </c>
      <c r="R284" s="50">
        <v>130</v>
      </c>
      <c r="S284" s="74">
        <v>140</v>
      </c>
      <c r="T284" s="50">
        <f>0.1/2</f>
        <v>0.05</v>
      </c>
      <c r="U284" s="131">
        <f>1/2</f>
        <v>0.5</v>
      </c>
      <c r="V284" s="50">
        <v>0.28000000000000003</v>
      </c>
      <c r="W284" s="74">
        <f>0.04/2</f>
        <v>0.02</v>
      </c>
      <c r="X284" s="50">
        <v>0.1</v>
      </c>
      <c r="Y284" s="74">
        <f>0.013/2</f>
        <v>6.4999999999999997E-3</v>
      </c>
    </row>
    <row r="285" spans="1:30" ht="15" customHeight="1">
      <c r="A285" s="41" t="s">
        <v>183</v>
      </c>
      <c r="B285" s="402" t="s">
        <v>1307</v>
      </c>
      <c r="C285" s="113" t="s">
        <v>1308</v>
      </c>
      <c r="D285" s="393" t="s">
        <v>910</v>
      </c>
      <c r="E285" s="394" t="s">
        <v>1254</v>
      </c>
      <c r="G285" s="405" t="s">
        <v>1309</v>
      </c>
      <c r="H285" s="49">
        <v>5141</v>
      </c>
      <c r="I285" s="50" t="s">
        <v>2</v>
      </c>
      <c r="J285" s="76" t="s">
        <v>1310</v>
      </c>
      <c r="K285" s="51">
        <v>40996</v>
      </c>
      <c r="L285" s="115">
        <v>40963</v>
      </c>
      <c r="M285" s="50">
        <f t="shared" si="11"/>
        <v>33</v>
      </c>
      <c r="N285" s="50" t="s">
        <v>2</v>
      </c>
      <c r="O285" s="131">
        <v>2</v>
      </c>
      <c r="P285" s="117">
        <v>6.67</v>
      </c>
      <c r="Q285" s="131">
        <v>5.65</v>
      </c>
      <c r="R285" s="50">
        <v>124.5</v>
      </c>
      <c r="S285" s="74">
        <v>111</v>
      </c>
      <c r="T285" s="50">
        <v>0.4</v>
      </c>
      <c r="U285" s="131">
        <v>1.66</v>
      </c>
      <c r="V285" s="50">
        <v>0.41</v>
      </c>
      <c r="W285" s="74">
        <v>1.9E-2</v>
      </c>
      <c r="X285" s="50">
        <v>0.20100000000000001</v>
      </c>
      <c r="Y285" s="74">
        <v>6.0000000000000001E-3</v>
      </c>
      <c r="Z285" s="271">
        <v>1</v>
      </c>
      <c r="AA285" s="271">
        <v>1</v>
      </c>
      <c r="AB285" s="114">
        <v>12.65</v>
      </c>
      <c r="AC285" s="50">
        <v>68</v>
      </c>
      <c r="AD285" s="271">
        <v>1</v>
      </c>
    </row>
    <row r="286" spans="1:30" ht="15" customHeight="1">
      <c r="A286" s="41" t="s">
        <v>183</v>
      </c>
      <c r="B286" s="402" t="s">
        <v>1307</v>
      </c>
      <c r="C286" s="113" t="s">
        <v>1308</v>
      </c>
      <c r="D286" s="393" t="s">
        <v>910</v>
      </c>
      <c r="E286" s="394" t="s">
        <v>1254</v>
      </c>
      <c r="G286" s="405" t="s">
        <v>1309</v>
      </c>
      <c r="H286" s="49">
        <v>5141</v>
      </c>
      <c r="I286" s="50" t="s">
        <v>2</v>
      </c>
      <c r="J286" s="76" t="s">
        <v>1311</v>
      </c>
      <c r="K286" s="51">
        <v>40996</v>
      </c>
      <c r="L286" s="115">
        <v>40963</v>
      </c>
      <c r="M286" s="50">
        <f t="shared" si="11"/>
        <v>33</v>
      </c>
      <c r="N286" s="50" t="s">
        <v>2</v>
      </c>
      <c r="O286" s="131">
        <v>2.4</v>
      </c>
      <c r="P286" s="117">
        <v>6.35</v>
      </c>
      <c r="Q286" s="131">
        <v>5.65</v>
      </c>
      <c r="R286" s="50">
        <v>100.4</v>
      </c>
      <c r="S286" s="74">
        <v>79</v>
      </c>
      <c r="T286" s="50">
        <v>0.85</v>
      </c>
      <c r="U286" s="131">
        <v>2.16</v>
      </c>
      <c r="V286" s="50">
        <v>0.62</v>
      </c>
      <c r="W286" s="74">
        <v>2.8000000000000001E-2</v>
      </c>
      <c r="X286" s="50">
        <v>0.313</v>
      </c>
      <c r="Y286" s="74">
        <v>6.0000000000000001E-3</v>
      </c>
      <c r="Z286" s="271">
        <v>1</v>
      </c>
      <c r="AA286" s="271">
        <v>1</v>
      </c>
      <c r="AB286" s="114">
        <v>14.7</v>
      </c>
      <c r="AC286" s="50">
        <v>78</v>
      </c>
      <c r="AD286" s="271">
        <v>0.9</v>
      </c>
    </row>
    <row r="287" spans="1:30" ht="15" customHeight="1">
      <c r="A287" s="41" t="s">
        <v>183</v>
      </c>
      <c r="B287" s="402" t="s">
        <v>1312</v>
      </c>
      <c r="C287" s="113" t="s">
        <v>1313</v>
      </c>
      <c r="D287" s="393" t="s">
        <v>262</v>
      </c>
      <c r="E287" s="394" t="s">
        <v>1314</v>
      </c>
      <c r="G287" s="405" t="s">
        <v>1315</v>
      </c>
      <c r="H287" s="49">
        <v>5171</v>
      </c>
      <c r="I287" s="50" t="s">
        <v>2</v>
      </c>
      <c r="J287" s="76" t="s">
        <v>1316</v>
      </c>
      <c r="K287" s="51">
        <v>40980</v>
      </c>
      <c r="N287" s="50" t="s">
        <v>2</v>
      </c>
      <c r="O287" s="131">
        <f>1/2</f>
        <v>0.5</v>
      </c>
      <c r="P287" s="117">
        <v>6.58</v>
      </c>
      <c r="Q287" s="131">
        <v>6.55</v>
      </c>
      <c r="R287" s="50">
        <v>49</v>
      </c>
      <c r="S287" s="74">
        <v>86</v>
      </c>
      <c r="T287" s="50">
        <f>0.1/2</f>
        <v>0.05</v>
      </c>
      <c r="U287" s="131">
        <v>1.33</v>
      </c>
      <c r="V287" s="50">
        <v>0.66</v>
      </c>
      <c r="W287" s="74">
        <f>0.05/2</f>
        <v>2.5000000000000001E-2</v>
      </c>
      <c r="X287" s="50">
        <v>0.41</v>
      </c>
      <c r="Y287" s="74">
        <f>0.05/2</f>
        <v>2.5000000000000001E-2</v>
      </c>
      <c r="Z287" s="271">
        <v>1</v>
      </c>
      <c r="AA287" s="271">
        <v>1</v>
      </c>
      <c r="AB287" s="114">
        <v>72</v>
      </c>
      <c r="AC287" s="50">
        <v>170</v>
      </c>
      <c r="AD287" s="271">
        <v>1</v>
      </c>
    </row>
    <row r="288" spans="1:30" ht="15" customHeight="1">
      <c r="A288" s="41" t="s">
        <v>183</v>
      </c>
      <c r="B288" s="402" t="s">
        <v>1317</v>
      </c>
      <c r="C288" s="113" t="s">
        <v>1317</v>
      </c>
      <c r="D288" s="393" t="s">
        <v>372</v>
      </c>
      <c r="E288" s="394" t="s">
        <v>235</v>
      </c>
      <c r="F288" s="402">
        <v>6900</v>
      </c>
      <c r="G288" s="405" t="s">
        <v>1319</v>
      </c>
      <c r="H288" s="49">
        <v>3356</v>
      </c>
      <c r="I288" s="50" t="s">
        <v>2</v>
      </c>
      <c r="J288" s="76" t="s">
        <v>1320</v>
      </c>
      <c r="K288" s="51">
        <v>41011</v>
      </c>
      <c r="L288" s="115">
        <v>41000</v>
      </c>
      <c r="M288" s="50">
        <f t="shared" ref="M288:M318" si="13">K288-L288</f>
        <v>11</v>
      </c>
      <c r="N288" s="50" t="s">
        <v>2</v>
      </c>
      <c r="O288" s="131">
        <v>4.5</v>
      </c>
      <c r="P288" s="117"/>
      <c r="Q288" s="131">
        <v>4.74</v>
      </c>
      <c r="R288" s="50">
        <v>142.6</v>
      </c>
      <c r="S288" s="74">
        <v>9</v>
      </c>
      <c r="T288" s="50">
        <v>1.38</v>
      </c>
      <c r="U288" s="131">
        <v>3.1</v>
      </c>
      <c r="V288" s="50">
        <v>0.64</v>
      </c>
      <c r="W288" s="74">
        <v>0.05</v>
      </c>
      <c r="X288" s="50">
        <v>4.68</v>
      </c>
      <c r="Y288" s="74">
        <f>0.02/2</f>
        <v>0.01</v>
      </c>
    </row>
    <row r="289" spans="1:30" ht="15" customHeight="1">
      <c r="A289" s="41" t="s">
        <v>183</v>
      </c>
      <c r="B289" s="402" t="s">
        <v>1321</v>
      </c>
      <c r="C289" s="113" t="s">
        <v>1322</v>
      </c>
      <c r="D289" s="393" t="s">
        <v>2374</v>
      </c>
      <c r="E289" s="394" t="s">
        <v>1323</v>
      </c>
      <c r="G289" s="405" t="s">
        <v>1324</v>
      </c>
      <c r="H289" s="49">
        <v>2844</v>
      </c>
      <c r="I289" s="50" t="s">
        <v>2</v>
      </c>
      <c r="J289" s="76" t="s">
        <v>510</v>
      </c>
      <c r="K289" s="51">
        <v>40920</v>
      </c>
      <c r="L289" s="115">
        <v>40904</v>
      </c>
      <c r="M289" s="50">
        <f t="shared" si="13"/>
        <v>16</v>
      </c>
      <c r="N289" s="50" t="s">
        <v>2</v>
      </c>
      <c r="O289" s="131">
        <f>5/2</f>
        <v>2.5</v>
      </c>
      <c r="P289" s="117">
        <v>6.46</v>
      </c>
      <c r="Q289" s="131">
        <v>6</v>
      </c>
      <c r="R289" s="50">
        <v>38.299999999999997</v>
      </c>
      <c r="S289" s="74">
        <v>64</v>
      </c>
      <c r="T289" s="50">
        <f>0.02/2</f>
        <v>0.01</v>
      </c>
      <c r="U289" s="131">
        <f>0.5/2</f>
        <v>0.25</v>
      </c>
      <c r="V289" s="50">
        <v>0.69</v>
      </c>
      <c r="W289" s="74">
        <v>0.01</v>
      </c>
      <c r="X289" s="50">
        <v>0.03</v>
      </c>
      <c r="Y289" s="74">
        <v>8.9999999999999993E-3</v>
      </c>
      <c r="Z289" s="271">
        <v>1</v>
      </c>
      <c r="AA289" s="271">
        <v>1</v>
      </c>
      <c r="AB289" s="114">
        <v>12.1</v>
      </c>
      <c r="AC289" s="50">
        <v>44</v>
      </c>
      <c r="AD289" s="271">
        <v>0.85</v>
      </c>
    </row>
    <row r="290" spans="1:30" ht="15" customHeight="1">
      <c r="A290" s="41" t="s">
        <v>183</v>
      </c>
      <c r="B290" s="402" t="s">
        <v>1325</v>
      </c>
      <c r="C290" s="113" t="s">
        <v>1325</v>
      </c>
      <c r="D290" s="393" t="s">
        <v>372</v>
      </c>
      <c r="E290" s="394" t="s">
        <v>1326</v>
      </c>
      <c r="G290" s="405" t="s">
        <v>1327</v>
      </c>
      <c r="H290" s="49">
        <v>3479</v>
      </c>
      <c r="J290" s="76" t="s">
        <v>194</v>
      </c>
      <c r="K290" s="51">
        <v>40996</v>
      </c>
      <c r="L290" s="115">
        <v>40992</v>
      </c>
      <c r="M290" s="50">
        <f t="shared" si="13"/>
        <v>4</v>
      </c>
      <c r="N290" s="50" t="s">
        <v>2</v>
      </c>
      <c r="O290" s="131">
        <f>1/2</f>
        <v>0.5</v>
      </c>
      <c r="P290" s="117">
        <v>6</v>
      </c>
      <c r="Q290" s="131">
        <v>6.01</v>
      </c>
      <c r="R290" s="50">
        <v>47.5</v>
      </c>
      <c r="S290" s="74">
        <v>605</v>
      </c>
      <c r="T290" s="50">
        <v>0.24</v>
      </c>
      <c r="U290" s="131">
        <v>1.91</v>
      </c>
      <c r="V290" s="50">
        <v>0.54</v>
      </c>
      <c r="W290" s="74">
        <v>0.03</v>
      </c>
      <c r="X290" s="50">
        <v>0.23</v>
      </c>
      <c r="Y290" s="74">
        <v>0.02</v>
      </c>
      <c r="Z290" s="271">
        <v>1</v>
      </c>
      <c r="AA290" s="271">
        <v>1</v>
      </c>
      <c r="AB290" s="114">
        <v>27.5</v>
      </c>
      <c r="AC290" s="50">
        <v>30.7</v>
      </c>
      <c r="AD290" s="271">
        <v>0.75</v>
      </c>
    </row>
    <row r="291" spans="1:30" ht="15" customHeight="1">
      <c r="A291" s="41" t="s">
        <v>183</v>
      </c>
      <c r="B291" s="402" t="s">
        <v>1328</v>
      </c>
      <c r="C291" s="113" t="s">
        <v>1328</v>
      </c>
      <c r="D291" s="393" t="s">
        <v>1881</v>
      </c>
      <c r="E291" s="394" t="s">
        <v>1329</v>
      </c>
      <c r="G291" s="405" t="s">
        <v>1330</v>
      </c>
      <c r="H291" s="49">
        <v>3398</v>
      </c>
      <c r="I291" s="50" t="s">
        <v>2</v>
      </c>
      <c r="J291" s="76" t="s">
        <v>1331</v>
      </c>
      <c r="K291" s="51">
        <v>40920</v>
      </c>
      <c r="L291" s="115">
        <v>40909</v>
      </c>
      <c r="M291" s="50">
        <f t="shared" si="13"/>
        <v>11</v>
      </c>
      <c r="N291" s="50" t="s">
        <v>2</v>
      </c>
      <c r="O291" s="131">
        <v>1.8</v>
      </c>
      <c r="P291" s="117">
        <v>5.89</v>
      </c>
      <c r="Q291" s="131">
        <v>6.47</v>
      </c>
      <c r="R291" s="50">
        <v>64</v>
      </c>
      <c r="S291" s="74">
        <v>140</v>
      </c>
      <c r="T291" s="50">
        <v>0.21</v>
      </c>
      <c r="U291" s="131">
        <v>0.69</v>
      </c>
      <c r="V291" s="50">
        <v>0.12</v>
      </c>
      <c r="W291" s="74">
        <v>4.8000000000000001E-2</v>
      </c>
      <c r="X291" s="50">
        <v>0.11799999999999999</v>
      </c>
      <c r="Y291" s="74">
        <v>8.9999999999999993E-3</v>
      </c>
      <c r="Z291" s="271">
        <v>1</v>
      </c>
      <c r="AA291" s="271">
        <v>1</v>
      </c>
      <c r="AB291" s="114">
        <v>4</v>
      </c>
      <c r="AC291" s="50">
        <v>13</v>
      </c>
      <c r="AD291" s="271">
        <v>1</v>
      </c>
    </row>
    <row r="292" spans="1:30" ht="15" customHeight="1">
      <c r="A292" s="41" t="s">
        <v>183</v>
      </c>
      <c r="B292" s="402" t="s">
        <v>519</v>
      </c>
      <c r="C292" s="113" t="s">
        <v>1332</v>
      </c>
      <c r="D292" s="393" t="s">
        <v>499</v>
      </c>
      <c r="E292" s="394" t="s">
        <v>49</v>
      </c>
      <c r="G292" s="405" t="s">
        <v>1333</v>
      </c>
      <c r="H292" s="49">
        <v>4952</v>
      </c>
      <c r="I292" s="50" t="s">
        <v>2</v>
      </c>
      <c r="J292" s="76" t="s">
        <v>81</v>
      </c>
      <c r="K292" s="51">
        <v>40996</v>
      </c>
      <c r="L292" s="115">
        <v>40971</v>
      </c>
      <c r="M292" s="50">
        <f t="shared" si="13"/>
        <v>25</v>
      </c>
      <c r="N292" s="50" t="s">
        <v>2</v>
      </c>
      <c r="O292" s="131">
        <f>1.4/2</f>
        <v>0.7</v>
      </c>
      <c r="P292" s="117">
        <v>5.01</v>
      </c>
      <c r="Q292" s="131">
        <v>6.75</v>
      </c>
      <c r="R292" s="50">
        <v>81</v>
      </c>
      <c r="S292" s="74">
        <v>81</v>
      </c>
      <c r="T292" s="50">
        <v>0.41</v>
      </c>
      <c r="U292" s="131">
        <v>2.64</v>
      </c>
      <c r="V292" s="50">
        <v>1.1299999999999999</v>
      </c>
      <c r="W292" s="74">
        <v>3.9E-2</v>
      </c>
      <c r="X292" s="50">
        <v>0.13700000000000001</v>
      </c>
      <c r="Y292" s="74">
        <v>1.7999999999999999E-2</v>
      </c>
    </row>
    <row r="293" spans="1:30" ht="15" customHeight="1">
      <c r="A293" s="41" t="s">
        <v>183</v>
      </c>
      <c r="B293" s="402" t="s">
        <v>1286</v>
      </c>
      <c r="C293" s="113" t="s">
        <v>1334</v>
      </c>
      <c r="D293" s="393" t="s">
        <v>1569</v>
      </c>
      <c r="E293" s="394" t="s">
        <v>1335</v>
      </c>
      <c r="G293" s="405" t="s">
        <v>1336</v>
      </c>
      <c r="H293" s="49">
        <v>4151</v>
      </c>
      <c r="I293" s="50" t="s">
        <v>2</v>
      </c>
      <c r="J293" s="76" t="s">
        <v>81</v>
      </c>
      <c r="K293" s="51">
        <v>40920</v>
      </c>
      <c r="L293" s="115">
        <v>40904</v>
      </c>
      <c r="M293" s="50">
        <f t="shared" si="13"/>
        <v>16</v>
      </c>
      <c r="N293" s="50" t="s">
        <v>2</v>
      </c>
      <c r="O293" s="131">
        <v>1.2</v>
      </c>
      <c r="P293" s="117">
        <v>6.43</v>
      </c>
      <c r="Q293" s="131">
        <v>7.27</v>
      </c>
      <c r="R293" s="50">
        <v>31.4</v>
      </c>
      <c r="S293" s="74">
        <v>176</v>
      </c>
      <c r="T293" s="50">
        <v>0.2</v>
      </c>
      <c r="U293" s="131">
        <v>0.97</v>
      </c>
      <c r="V293" s="50">
        <f>0.2/2</f>
        <v>0.1</v>
      </c>
      <c r="W293" s="74">
        <v>0.01</v>
      </c>
      <c r="X293" s="50">
        <v>0.16</v>
      </c>
      <c r="Y293" s="74">
        <v>0.04</v>
      </c>
    </row>
    <row r="294" spans="1:30" ht="15" customHeight="1">
      <c r="A294" s="41" t="s">
        <v>183</v>
      </c>
      <c r="B294" s="402" t="s">
        <v>1337</v>
      </c>
      <c r="C294" s="113" t="s">
        <v>1338</v>
      </c>
      <c r="D294" s="393" t="s">
        <v>213</v>
      </c>
      <c r="E294" s="394" t="s">
        <v>1339</v>
      </c>
      <c r="G294" s="405" t="s">
        <v>1340</v>
      </c>
      <c r="H294" s="49">
        <v>3724</v>
      </c>
      <c r="I294" s="50" t="s">
        <v>2</v>
      </c>
      <c r="J294" s="242" t="s">
        <v>1341</v>
      </c>
      <c r="K294" s="51">
        <v>40971</v>
      </c>
      <c r="L294" s="115">
        <v>40964</v>
      </c>
      <c r="M294" s="50">
        <f t="shared" si="13"/>
        <v>7</v>
      </c>
      <c r="N294" s="50" t="s">
        <v>1</v>
      </c>
      <c r="O294" s="131">
        <v>3.8</v>
      </c>
      <c r="P294" s="117">
        <v>6.1</v>
      </c>
      <c r="Q294" s="131">
        <v>5</v>
      </c>
      <c r="R294" s="50">
        <v>17</v>
      </c>
      <c r="S294" s="74">
        <v>201</v>
      </c>
      <c r="T294" s="50">
        <v>0.88</v>
      </c>
      <c r="U294" s="131">
        <v>2.88</v>
      </c>
      <c r="V294" s="50">
        <v>0.24</v>
      </c>
      <c r="W294" s="74">
        <v>0.01</v>
      </c>
      <c r="X294" s="50">
        <v>4.9000000000000002E-2</v>
      </c>
      <c r="Y294" s="74">
        <f>0.03/3</f>
        <v>0.01</v>
      </c>
    </row>
    <row r="295" spans="1:30" ht="15" customHeight="1">
      <c r="A295" s="41" t="s">
        <v>183</v>
      </c>
      <c r="B295" s="402" t="s">
        <v>1337</v>
      </c>
      <c r="C295" s="113" t="s">
        <v>1338</v>
      </c>
      <c r="D295" s="393" t="s">
        <v>213</v>
      </c>
      <c r="E295" s="394" t="s">
        <v>1339</v>
      </c>
      <c r="G295" s="405" t="s">
        <v>1340</v>
      </c>
      <c r="H295" s="49">
        <v>3724</v>
      </c>
      <c r="I295" s="50" t="s">
        <v>2</v>
      </c>
      <c r="J295" s="242" t="s">
        <v>425</v>
      </c>
      <c r="K295" s="51">
        <v>40971</v>
      </c>
      <c r="L295" s="115">
        <v>40964</v>
      </c>
      <c r="M295" s="50">
        <f t="shared" si="13"/>
        <v>7</v>
      </c>
      <c r="N295" s="50" t="s">
        <v>1</v>
      </c>
      <c r="O295" s="131">
        <v>2.1</v>
      </c>
      <c r="P295" s="117">
        <v>6.1</v>
      </c>
      <c r="Q295" s="131">
        <v>4.5</v>
      </c>
      <c r="R295" s="50">
        <f>10/2</f>
        <v>5</v>
      </c>
      <c r="S295" s="74">
        <v>3</v>
      </c>
      <c r="T295" s="50">
        <f>0.05/2</f>
        <v>2.5000000000000001E-2</v>
      </c>
      <c r="U295" s="131">
        <v>0.19</v>
      </c>
      <c r="V295" s="50">
        <v>0.25</v>
      </c>
      <c r="W295" s="74">
        <f>0.01/2</f>
        <v>5.0000000000000001E-3</v>
      </c>
      <c r="X295" s="50">
        <v>5.2999999999999999E-2</v>
      </c>
      <c r="Y295" s="74">
        <f>0.03/2</f>
        <v>1.4999999999999999E-2</v>
      </c>
    </row>
    <row r="296" spans="1:30" ht="15" customHeight="1">
      <c r="A296" s="41" t="s">
        <v>183</v>
      </c>
      <c r="B296" s="402" t="s">
        <v>1342</v>
      </c>
      <c r="C296" s="113" t="s">
        <v>1342</v>
      </c>
      <c r="D296" s="393" t="s">
        <v>2328</v>
      </c>
      <c r="E296" s="394" t="s">
        <v>1343</v>
      </c>
      <c r="G296" s="405" t="s">
        <v>1344</v>
      </c>
      <c r="H296" s="49">
        <v>3829</v>
      </c>
      <c r="I296" s="50" t="s">
        <v>2</v>
      </c>
      <c r="J296" s="76" t="s">
        <v>1345</v>
      </c>
      <c r="K296" s="51">
        <v>40920</v>
      </c>
      <c r="L296" s="115">
        <v>40909</v>
      </c>
      <c r="M296" s="50">
        <f t="shared" si="13"/>
        <v>11</v>
      </c>
      <c r="N296" s="50" t="s">
        <v>2</v>
      </c>
      <c r="O296" s="131">
        <f>1.4/2</f>
        <v>0.7</v>
      </c>
      <c r="P296" s="117">
        <v>5.89</v>
      </c>
      <c r="Q296" s="131">
        <v>6.53</v>
      </c>
      <c r="R296" s="50">
        <f>10/2</f>
        <v>5</v>
      </c>
      <c r="S296" s="74">
        <f>5/2</f>
        <v>2.5</v>
      </c>
      <c r="T296" s="50">
        <v>0.03</v>
      </c>
      <c r="U296" s="131">
        <v>0.18</v>
      </c>
      <c r="V296" s="50">
        <v>0.03</v>
      </c>
      <c r="W296" s="74">
        <v>2E-3</v>
      </c>
      <c r="X296" s="50">
        <v>6.0000000000000001E-3</v>
      </c>
      <c r="Y296" s="74">
        <f>0.002/2</f>
        <v>1E-3</v>
      </c>
      <c r="Z296" s="271">
        <v>1</v>
      </c>
      <c r="AA296" s="271">
        <v>1</v>
      </c>
      <c r="AB296" s="114">
        <v>2</v>
      </c>
      <c r="AC296" s="50">
        <v>4</v>
      </c>
      <c r="AD296" s="271">
        <v>1</v>
      </c>
    </row>
    <row r="297" spans="1:30" ht="15" customHeight="1">
      <c r="A297" s="41" t="s">
        <v>183</v>
      </c>
      <c r="B297" s="402" t="s">
        <v>1346</v>
      </c>
      <c r="C297" s="113" t="s">
        <v>1347</v>
      </c>
      <c r="D297" s="393" t="s">
        <v>251</v>
      </c>
      <c r="E297" s="394" t="s">
        <v>252</v>
      </c>
      <c r="F297" s="402">
        <v>4402</v>
      </c>
      <c r="G297" s="405" t="s">
        <v>1348</v>
      </c>
      <c r="H297" s="49">
        <v>3432</v>
      </c>
      <c r="I297" s="50" t="s">
        <v>2</v>
      </c>
      <c r="J297" s="76" t="s">
        <v>1349</v>
      </c>
      <c r="K297" s="51">
        <v>40969</v>
      </c>
      <c r="L297" s="115">
        <v>40963</v>
      </c>
      <c r="M297" s="50">
        <f t="shared" si="13"/>
        <v>6</v>
      </c>
      <c r="N297" s="50" t="s">
        <v>1</v>
      </c>
      <c r="O297" s="131">
        <v>1.9</v>
      </c>
      <c r="P297" s="117">
        <v>6.81</v>
      </c>
      <c r="Q297" s="131">
        <v>6.99</v>
      </c>
      <c r="R297" s="50">
        <v>10</v>
      </c>
      <c r="S297" s="74">
        <f>5/2</f>
        <v>2.5</v>
      </c>
      <c r="T297" s="50">
        <v>0.02</v>
      </c>
      <c r="U297" s="131">
        <v>0.31</v>
      </c>
      <c r="V297" s="50">
        <v>0.27</v>
      </c>
      <c r="W297" s="74">
        <v>0.02</v>
      </c>
      <c r="X297" s="50">
        <v>6.7000000000000004E-2</v>
      </c>
      <c r="Y297" s="74">
        <v>3.0000000000000001E-3</v>
      </c>
      <c r="Z297" s="271">
        <v>0.45100000000000001</v>
      </c>
      <c r="AA297" s="271">
        <v>0.35399999999999998</v>
      </c>
      <c r="AB297" s="114">
        <v>4</v>
      </c>
      <c r="AC297" s="50">
        <v>27</v>
      </c>
      <c r="AD297" s="271">
        <v>0</v>
      </c>
    </row>
    <row r="298" spans="1:30" ht="15" customHeight="1">
      <c r="A298" s="41" t="s">
        <v>183</v>
      </c>
      <c r="B298" s="402" t="s">
        <v>1346</v>
      </c>
      <c r="C298" s="113" t="s">
        <v>1347</v>
      </c>
      <c r="D298" s="393" t="s">
        <v>251</v>
      </c>
      <c r="E298" s="394" t="s">
        <v>252</v>
      </c>
      <c r="F298" s="402">
        <v>4402</v>
      </c>
      <c r="G298" s="405" t="s">
        <v>1348</v>
      </c>
      <c r="H298" s="49">
        <v>3432</v>
      </c>
      <c r="I298" s="50" t="s">
        <v>2</v>
      </c>
      <c r="J298" s="76" t="s">
        <v>1350</v>
      </c>
      <c r="K298" s="51">
        <v>40969</v>
      </c>
      <c r="L298" s="115">
        <v>40963</v>
      </c>
      <c r="M298" s="50">
        <f t="shared" si="13"/>
        <v>6</v>
      </c>
      <c r="N298" s="50" t="s">
        <v>1</v>
      </c>
      <c r="O298" s="131">
        <v>2</v>
      </c>
      <c r="P298" s="117">
        <v>6.81</v>
      </c>
      <c r="Q298" s="131">
        <v>7.18</v>
      </c>
      <c r="R298" s="50">
        <f>10/2</f>
        <v>5</v>
      </c>
      <c r="S298" s="74">
        <f>5/2</f>
        <v>2.5</v>
      </c>
      <c r="T298" s="50">
        <v>0.03</v>
      </c>
      <c r="U298" s="131">
        <v>0.34</v>
      </c>
      <c r="V298" s="50">
        <v>0.2</v>
      </c>
      <c r="W298" s="74">
        <v>3.5000000000000003E-2</v>
      </c>
      <c r="X298" s="50">
        <v>0.14199999999999999</v>
      </c>
      <c r="Y298" s="74">
        <f>0.002/2</f>
        <v>1E-3</v>
      </c>
      <c r="Z298" s="271">
        <v>0.35399999999999998</v>
      </c>
      <c r="AA298" s="271">
        <v>0.25900000000000001</v>
      </c>
      <c r="AB298" s="114">
        <v>6</v>
      </c>
      <c r="AC298" s="50">
        <v>45</v>
      </c>
      <c r="AD298" s="271">
        <v>0</v>
      </c>
    </row>
    <row r="299" spans="1:30" ht="15" customHeight="1">
      <c r="A299" s="41" t="s">
        <v>183</v>
      </c>
      <c r="B299" s="402" t="s">
        <v>1351</v>
      </c>
      <c r="C299" s="113" t="s">
        <v>1352</v>
      </c>
      <c r="D299" s="393" t="s">
        <v>1537</v>
      </c>
      <c r="E299" s="394" t="s">
        <v>1353</v>
      </c>
      <c r="G299" s="405" t="s">
        <v>1354</v>
      </c>
      <c r="H299" s="49">
        <v>4513</v>
      </c>
      <c r="I299" s="50" t="s">
        <v>1</v>
      </c>
      <c r="J299" s="76" t="s">
        <v>1355</v>
      </c>
      <c r="K299" s="51">
        <v>40955</v>
      </c>
      <c r="L299" s="115">
        <v>40935</v>
      </c>
      <c r="M299" s="50">
        <f t="shared" si="13"/>
        <v>20</v>
      </c>
      <c r="N299" s="50" t="s">
        <v>2</v>
      </c>
      <c r="O299" s="131">
        <v>36</v>
      </c>
      <c r="P299" s="117">
        <v>6</v>
      </c>
      <c r="Q299" s="131">
        <v>6</v>
      </c>
      <c r="R299" s="50">
        <v>400</v>
      </c>
      <c r="S299" s="74">
        <v>430</v>
      </c>
      <c r="T299" s="50">
        <v>0.62</v>
      </c>
      <c r="U299" s="131">
        <v>2.8</v>
      </c>
      <c r="V299" s="50">
        <v>4.3</v>
      </c>
      <c r="W299" s="74">
        <v>8.3000000000000004E-2</v>
      </c>
      <c r="X299" s="50">
        <v>1.6</v>
      </c>
      <c r="Y299" s="74">
        <v>7.5999999999999998E-2</v>
      </c>
    </row>
    <row r="300" spans="1:30" ht="15" customHeight="1">
      <c r="A300" s="41" t="s">
        <v>183</v>
      </c>
      <c r="B300" s="402" t="s">
        <v>1351</v>
      </c>
      <c r="C300" s="113" t="s">
        <v>1352</v>
      </c>
      <c r="D300" s="393" t="s">
        <v>1537</v>
      </c>
      <c r="E300" s="394" t="s">
        <v>1353</v>
      </c>
      <c r="G300" s="405" t="s">
        <v>1354</v>
      </c>
      <c r="H300" s="49">
        <v>4513</v>
      </c>
      <c r="I300" s="50" t="s">
        <v>1</v>
      </c>
      <c r="J300" s="76" t="s">
        <v>1356</v>
      </c>
      <c r="K300" s="51">
        <v>40955</v>
      </c>
      <c r="L300" s="115">
        <v>40935</v>
      </c>
      <c r="M300" s="50">
        <f t="shared" si="13"/>
        <v>20</v>
      </c>
      <c r="N300" s="50" t="s">
        <v>2</v>
      </c>
      <c r="O300" s="131">
        <v>9.6</v>
      </c>
      <c r="P300" s="117">
        <v>6</v>
      </c>
      <c r="Q300" s="131">
        <v>6</v>
      </c>
      <c r="R300" s="50">
        <v>140</v>
      </c>
      <c r="S300" s="74">
        <v>120</v>
      </c>
      <c r="T300" s="50">
        <v>0.16</v>
      </c>
      <c r="U300" s="131">
        <v>1.1000000000000001</v>
      </c>
      <c r="V300" s="50">
        <v>1.1000000000000001</v>
      </c>
      <c r="W300" s="74">
        <v>4.1000000000000002E-2</v>
      </c>
      <c r="X300" s="50">
        <v>0.41</v>
      </c>
      <c r="Y300" s="74">
        <v>3.3000000000000002E-2</v>
      </c>
    </row>
    <row r="301" spans="1:30" ht="15" customHeight="1">
      <c r="A301" s="41" t="s">
        <v>183</v>
      </c>
      <c r="B301" s="402" t="s">
        <v>1351</v>
      </c>
      <c r="C301" s="113" t="s">
        <v>1357</v>
      </c>
      <c r="D301" s="393" t="s">
        <v>684</v>
      </c>
      <c r="E301" s="394" t="s">
        <v>112</v>
      </c>
      <c r="G301" s="405" t="s">
        <v>1358</v>
      </c>
      <c r="H301" s="49">
        <v>4513</v>
      </c>
      <c r="I301" s="50" t="s">
        <v>1</v>
      </c>
      <c r="J301" s="76" t="s">
        <v>1355</v>
      </c>
      <c r="K301" s="51">
        <v>40955</v>
      </c>
      <c r="L301" s="115">
        <v>40935</v>
      </c>
      <c r="M301" s="50">
        <f t="shared" si="13"/>
        <v>20</v>
      </c>
      <c r="N301" s="50" t="s">
        <v>2</v>
      </c>
      <c r="O301" s="131">
        <v>7.6</v>
      </c>
      <c r="P301" s="117">
        <v>6</v>
      </c>
      <c r="Q301" s="131">
        <v>6</v>
      </c>
      <c r="R301" s="50">
        <v>300</v>
      </c>
      <c r="S301" s="74">
        <v>210</v>
      </c>
      <c r="T301" s="50">
        <v>0.28000000000000003</v>
      </c>
      <c r="U301" s="131">
        <v>6.6</v>
      </c>
      <c r="V301" s="50">
        <v>1.5</v>
      </c>
      <c r="W301" s="74">
        <v>3.5000000000000003E-2</v>
      </c>
      <c r="X301" s="50">
        <v>0.12</v>
      </c>
      <c r="Y301" s="74">
        <f>0.01/2</f>
        <v>5.0000000000000001E-3</v>
      </c>
    </row>
    <row r="302" spans="1:30" ht="15" customHeight="1">
      <c r="A302" s="41" t="s">
        <v>183</v>
      </c>
      <c r="B302" s="402" t="s">
        <v>1351</v>
      </c>
      <c r="C302" s="113" t="s">
        <v>1357</v>
      </c>
      <c r="D302" s="393" t="s">
        <v>684</v>
      </c>
      <c r="E302" s="394" t="s">
        <v>112</v>
      </c>
      <c r="G302" s="405" t="s">
        <v>1358</v>
      </c>
      <c r="H302" s="49">
        <v>4513</v>
      </c>
      <c r="I302" s="50" t="s">
        <v>1</v>
      </c>
      <c r="J302" s="76" t="s">
        <v>1356</v>
      </c>
      <c r="K302" s="51">
        <v>40955</v>
      </c>
      <c r="L302" s="115">
        <v>40935</v>
      </c>
      <c r="M302" s="50">
        <f t="shared" si="13"/>
        <v>20</v>
      </c>
      <c r="N302" s="50" t="s">
        <v>2</v>
      </c>
      <c r="O302" s="131">
        <v>8.6999999999999993</v>
      </c>
      <c r="P302" s="117">
        <v>6</v>
      </c>
      <c r="Q302" s="131">
        <v>6</v>
      </c>
      <c r="R302" s="50">
        <v>190</v>
      </c>
      <c r="S302" s="74">
        <v>110</v>
      </c>
      <c r="T302" s="50">
        <v>0.17</v>
      </c>
      <c r="U302" s="131">
        <v>3</v>
      </c>
      <c r="V302" s="50">
        <v>3.4</v>
      </c>
      <c r="W302" s="74">
        <v>4.2999999999999997E-2</v>
      </c>
      <c r="X302" s="50">
        <v>0.26</v>
      </c>
      <c r="Y302" s="74">
        <f>0.01/2</f>
        <v>5.0000000000000001E-3</v>
      </c>
    </row>
    <row r="303" spans="1:30" ht="15" customHeight="1">
      <c r="A303" s="41" t="s">
        <v>183</v>
      </c>
      <c r="B303" s="402" t="s">
        <v>1351</v>
      </c>
      <c r="C303" s="113" t="s">
        <v>1359</v>
      </c>
      <c r="D303" s="393" t="s">
        <v>192</v>
      </c>
      <c r="E303" s="394" t="s">
        <v>1254</v>
      </c>
      <c r="G303" s="405" t="s">
        <v>1360</v>
      </c>
      <c r="H303" s="49">
        <v>4512</v>
      </c>
      <c r="I303" s="50" t="s">
        <v>2</v>
      </c>
      <c r="J303" s="76" t="s">
        <v>1361</v>
      </c>
      <c r="K303" s="51">
        <v>40955</v>
      </c>
      <c r="L303" s="115">
        <v>40935</v>
      </c>
      <c r="M303" s="50">
        <f t="shared" si="13"/>
        <v>20</v>
      </c>
      <c r="N303" s="50" t="s">
        <v>2</v>
      </c>
      <c r="O303" s="131">
        <f>5/2</f>
        <v>2.5</v>
      </c>
      <c r="P303" s="117">
        <v>6</v>
      </c>
      <c r="Q303" s="131">
        <v>6</v>
      </c>
      <c r="R303" s="50">
        <v>140</v>
      </c>
      <c r="S303" s="74">
        <v>160</v>
      </c>
      <c r="T303" s="50">
        <v>0.33</v>
      </c>
      <c r="U303" s="131">
        <v>3.6</v>
      </c>
      <c r="V303" s="50">
        <f>1/2</f>
        <v>0.5</v>
      </c>
      <c r="W303" s="74">
        <v>0.11</v>
      </c>
      <c r="X303" s="50">
        <v>0.55000000000000004</v>
      </c>
      <c r="Y303" s="74">
        <v>1.9E-2</v>
      </c>
    </row>
    <row r="304" spans="1:30" ht="15" customHeight="1">
      <c r="A304" s="41" t="s">
        <v>183</v>
      </c>
      <c r="B304" s="402" t="s">
        <v>1351</v>
      </c>
      <c r="C304" s="113" t="s">
        <v>1359</v>
      </c>
      <c r="D304" s="393" t="s">
        <v>192</v>
      </c>
      <c r="E304" s="394" t="s">
        <v>1254</v>
      </c>
      <c r="G304" s="405" t="s">
        <v>1360</v>
      </c>
      <c r="H304" s="49">
        <v>4513</v>
      </c>
      <c r="I304" s="50" t="s">
        <v>2</v>
      </c>
      <c r="J304" s="76" t="s">
        <v>335</v>
      </c>
      <c r="K304" s="51">
        <v>40955</v>
      </c>
      <c r="L304" s="115">
        <v>40935</v>
      </c>
      <c r="M304" s="50">
        <f t="shared" si="13"/>
        <v>20</v>
      </c>
      <c r="N304" s="50" t="s">
        <v>2</v>
      </c>
      <c r="O304" s="131">
        <f>5/2</f>
        <v>2.5</v>
      </c>
      <c r="P304" s="117">
        <v>6</v>
      </c>
      <c r="Q304" s="131">
        <v>6</v>
      </c>
      <c r="R304" s="50">
        <v>360</v>
      </c>
      <c r="S304" s="74">
        <v>140</v>
      </c>
      <c r="T304" s="50">
        <v>0.25</v>
      </c>
      <c r="U304" s="131">
        <v>6.3</v>
      </c>
      <c r="V304" s="50">
        <v>1.7</v>
      </c>
      <c r="W304" s="74">
        <v>9.4E-2</v>
      </c>
      <c r="X304" s="50">
        <v>0.98</v>
      </c>
      <c r="Y304" s="74">
        <v>1.4E-2</v>
      </c>
    </row>
    <row r="305" spans="1:33" ht="15" customHeight="1">
      <c r="A305" s="41" t="s">
        <v>183</v>
      </c>
      <c r="B305" s="402" t="s">
        <v>1351</v>
      </c>
      <c r="C305" s="113" t="s">
        <v>1362</v>
      </c>
      <c r="D305" s="393" t="s">
        <v>89</v>
      </c>
      <c r="E305" s="394" t="s">
        <v>1363</v>
      </c>
      <c r="G305" s="405" t="s">
        <v>1364</v>
      </c>
      <c r="H305" s="49">
        <v>4513</v>
      </c>
      <c r="I305" s="50" t="s">
        <v>1</v>
      </c>
      <c r="J305" s="76" t="s">
        <v>1356</v>
      </c>
      <c r="K305" s="51">
        <v>40955</v>
      </c>
      <c r="L305" s="115">
        <v>40935</v>
      </c>
      <c r="M305" s="50">
        <f t="shared" si="13"/>
        <v>20</v>
      </c>
      <c r="N305" s="50" t="s">
        <v>2</v>
      </c>
      <c r="O305" s="131">
        <f>5/2</f>
        <v>2.5</v>
      </c>
      <c r="P305" s="117">
        <v>6</v>
      </c>
      <c r="Q305" s="131">
        <v>6</v>
      </c>
      <c r="R305" s="50">
        <v>270</v>
      </c>
      <c r="S305" s="74">
        <v>180</v>
      </c>
      <c r="T305" s="50">
        <v>0.13</v>
      </c>
      <c r="U305" s="131">
        <v>2.1</v>
      </c>
      <c r="V305" s="50">
        <v>2.9</v>
      </c>
      <c r="W305" s="74">
        <v>3.5999999999999997E-2</v>
      </c>
      <c r="X305" s="50">
        <v>0.23</v>
      </c>
      <c r="Y305" s="74">
        <f>0.01/2</f>
        <v>5.0000000000000001E-3</v>
      </c>
      <c r="Z305" s="271">
        <v>1</v>
      </c>
      <c r="AA305" s="271">
        <v>1</v>
      </c>
      <c r="AB305" s="114">
        <v>20</v>
      </c>
      <c r="AC305" s="50">
        <v>188</v>
      </c>
      <c r="AD305" s="271">
        <v>1</v>
      </c>
    </row>
    <row r="306" spans="1:33" ht="15" customHeight="1">
      <c r="A306" s="41" t="s">
        <v>183</v>
      </c>
      <c r="B306" s="402" t="s">
        <v>1351</v>
      </c>
      <c r="C306" s="113" t="s">
        <v>1365</v>
      </c>
      <c r="D306" s="393" t="s">
        <v>735</v>
      </c>
      <c r="G306" s="405" t="s">
        <v>1366</v>
      </c>
      <c r="H306" s="49">
        <v>4513</v>
      </c>
      <c r="I306" s="50" t="s">
        <v>2</v>
      </c>
      <c r="J306" s="76" t="s">
        <v>1355</v>
      </c>
      <c r="K306" s="51">
        <v>40955</v>
      </c>
      <c r="L306" s="115">
        <v>40935</v>
      </c>
      <c r="M306" s="50">
        <f t="shared" si="13"/>
        <v>20</v>
      </c>
      <c r="N306" s="50" t="s">
        <v>2</v>
      </c>
      <c r="O306" s="131">
        <f>6/2</f>
        <v>3</v>
      </c>
      <c r="P306" s="117">
        <v>6</v>
      </c>
      <c r="Q306" s="131">
        <v>6</v>
      </c>
      <c r="R306" s="50">
        <v>9.3000000000000007</v>
      </c>
      <c r="S306" s="74">
        <v>6</v>
      </c>
      <c r="T306" s="50">
        <f>0.1/2</f>
        <v>0.05</v>
      </c>
      <c r="U306" s="131">
        <v>0.82</v>
      </c>
      <c r="V306" s="50">
        <v>1.4</v>
      </c>
      <c r="W306" s="74">
        <f>0.01/2</f>
        <v>5.0000000000000001E-3</v>
      </c>
      <c r="X306" s="50">
        <v>3.5999999999999997E-2</v>
      </c>
      <c r="Y306" s="74">
        <f>0.01/2</f>
        <v>5.0000000000000001E-3</v>
      </c>
      <c r="Z306" s="271">
        <v>1</v>
      </c>
      <c r="AA306" s="271">
        <v>1</v>
      </c>
      <c r="AB306" s="114">
        <v>12</v>
      </c>
      <c r="AC306" s="50">
        <v>149</v>
      </c>
      <c r="AD306" s="271">
        <v>1</v>
      </c>
    </row>
    <row r="307" spans="1:33" ht="15" customHeight="1">
      <c r="A307" s="41" t="s">
        <v>183</v>
      </c>
      <c r="B307" s="402" t="s">
        <v>1351</v>
      </c>
      <c r="C307" s="113" t="s">
        <v>1367</v>
      </c>
      <c r="D307" s="393" t="s">
        <v>1896</v>
      </c>
      <c r="E307" s="394" t="s">
        <v>1368</v>
      </c>
      <c r="G307" s="405" t="s">
        <v>1369</v>
      </c>
      <c r="H307" s="49">
        <v>4513</v>
      </c>
      <c r="I307" s="50" t="s">
        <v>1</v>
      </c>
      <c r="J307" s="76" t="s">
        <v>1355</v>
      </c>
      <c r="K307" s="51">
        <v>40955</v>
      </c>
      <c r="L307" s="115">
        <v>40935</v>
      </c>
      <c r="M307" s="50">
        <f t="shared" si="13"/>
        <v>20</v>
      </c>
      <c r="N307" s="50" t="s">
        <v>2</v>
      </c>
      <c r="O307" s="131">
        <f>5/2</f>
        <v>2.5</v>
      </c>
      <c r="P307" s="117">
        <v>6</v>
      </c>
      <c r="Q307" s="131">
        <v>6</v>
      </c>
      <c r="R307" s="50">
        <v>110</v>
      </c>
      <c r="S307" s="74">
        <v>44</v>
      </c>
      <c r="T307" s="50">
        <v>0.2</v>
      </c>
      <c r="U307" s="131">
        <v>1.8</v>
      </c>
      <c r="V307" s="50">
        <v>0.91</v>
      </c>
      <c r="W307" s="74">
        <v>2.4E-2</v>
      </c>
      <c r="X307" s="50">
        <v>0.14000000000000001</v>
      </c>
      <c r="Y307" s="74">
        <f>0.01/2</f>
        <v>5.0000000000000001E-3</v>
      </c>
    </row>
    <row r="308" spans="1:33" ht="15" customHeight="1">
      <c r="A308" s="41" t="s">
        <v>183</v>
      </c>
      <c r="B308" s="402" t="s">
        <v>1351</v>
      </c>
      <c r="C308" s="113" t="s">
        <v>1370</v>
      </c>
      <c r="D308" s="393" t="s">
        <v>434</v>
      </c>
      <c r="E308" s="394" t="s">
        <v>874</v>
      </c>
      <c r="G308" s="405" t="s">
        <v>1371</v>
      </c>
      <c r="H308" s="49">
        <v>4513</v>
      </c>
      <c r="I308" s="50" t="s">
        <v>1</v>
      </c>
      <c r="J308" s="76" t="s">
        <v>335</v>
      </c>
      <c r="K308" s="51">
        <v>40955</v>
      </c>
      <c r="L308" s="115">
        <v>40935</v>
      </c>
      <c r="M308" s="50">
        <f t="shared" si="13"/>
        <v>20</v>
      </c>
      <c r="N308" s="50" t="s">
        <v>2</v>
      </c>
      <c r="O308" s="131">
        <v>16</v>
      </c>
      <c r="P308" s="117">
        <v>6</v>
      </c>
      <c r="Q308" s="131">
        <v>6</v>
      </c>
      <c r="R308" s="50">
        <v>240</v>
      </c>
      <c r="S308" s="74">
        <v>240</v>
      </c>
      <c r="T308" s="50">
        <v>0.39</v>
      </c>
      <c r="U308" s="131">
        <v>6.4</v>
      </c>
      <c r="V308" s="50">
        <v>2</v>
      </c>
      <c r="W308" s="74">
        <v>6.5000000000000002E-2</v>
      </c>
      <c r="X308" s="50">
        <v>0.32</v>
      </c>
      <c r="Y308" s="74">
        <v>0.03</v>
      </c>
    </row>
    <row r="309" spans="1:33" ht="15" customHeight="1">
      <c r="A309" s="41" t="s">
        <v>183</v>
      </c>
      <c r="B309" s="402" t="s">
        <v>1351</v>
      </c>
      <c r="C309" s="113" t="s">
        <v>1372</v>
      </c>
      <c r="D309" s="393" t="s">
        <v>338</v>
      </c>
      <c r="E309" s="394" t="s">
        <v>235</v>
      </c>
      <c r="G309" s="405" t="s">
        <v>5252</v>
      </c>
      <c r="H309" s="49">
        <v>4513</v>
      </c>
      <c r="I309" s="50" t="s">
        <v>1</v>
      </c>
      <c r="J309" s="76" t="s">
        <v>1373</v>
      </c>
      <c r="K309" s="51">
        <v>40955</v>
      </c>
      <c r="L309" s="115">
        <v>40934</v>
      </c>
      <c r="M309" s="50">
        <f t="shared" si="13"/>
        <v>21</v>
      </c>
      <c r="N309" s="50" t="s">
        <v>2</v>
      </c>
      <c r="O309" s="131">
        <v>9.1999999999999993</v>
      </c>
      <c r="P309" s="117">
        <v>6</v>
      </c>
      <c r="Q309" s="131">
        <v>6</v>
      </c>
      <c r="R309" s="50">
        <v>140</v>
      </c>
      <c r="S309" s="74">
        <v>250</v>
      </c>
      <c r="T309" s="50">
        <v>0.55000000000000004</v>
      </c>
      <c r="U309" s="131">
        <v>1.9</v>
      </c>
      <c r="V309" s="50">
        <v>1.3</v>
      </c>
      <c r="W309" s="74">
        <v>0.06</v>
      </c>
      <c r="X309" s="50">
        <v>0.24</v>
      </c>
      <c r="Y309" s="74">
        <f>0.01/2</f>
        <v>5.0000000000000001E-3</v>
      </c>
      <c r="Z309" s="271">
        <v>1</v>
      </c>
      <c r="AA309" s="271">
        <v>1</v>
      </c>
      <c r="AB309" s="114">
        <v>4</v>
      </c>
      <c r="AC309" s="50">
        <v>320</v>
      </c>
      <c r="AD309" s="271">
        <v>1</v>
      </c>
    </row>
    <row r="310" spans="1:33" ht="15" customHeight="1">
      <c r="A310" s="41" t="s">
        <v>183</v>
      </c>
      <c r="B310" s="402" t="s">
        <v>1351</v>
      </c>
      <c r="C310" s="113" t="s">
        <v>1374</v>
      </c>
      <c r="D310" s="393" t="s">
        <v>205</v>
      </c>
      <c r="E310" s="394" t="s">
        <v>364</v>
      </c>
      <c r="G310" s="405" t="s">
        <v>1375</v>
      </c>
      <c r="H310" s="49">
        <v>4513</v>
      </c>
      <c r="I310" s="50" t="s">
        <v>2</v>
      </c>
      <c r="J310" s="76" t="s">
        <v>1376</v>
      </c>
      <c r="K310" s="51">
        <v>40955</v>
      </c>
      <c r="L310" s="115">
        <v>40935</v>
      </c>
      <c r="M310" s="50">
        <f t="shared" si="13"/>
        <v>20</v>
      </c>
      <c r="N310" s="50" t="s">
        <v>2</v>
      </c>
      <c r="O310" s="131">
        <v>10</v>
      </c>
      <c r="P310" s="117">
        <v>6</v>
      </c>
      <c r="Q310" s="131">
        <v>6</v>
      </c>
      <c r="R310" s="50">
        <v>200</v>
      </c>
      <c r="S310" s="74">
        <v>480</v>
      </c>
      <c r="T310" s="50">
        <v>0.49</v>
      </c>
      <c r="U310" s="131">
        <v>3.9</v>
      </c>
      <c r="V310" s="50">
        <v>0.81</v>
      </c>
      <c r="W310" s="74">
        <v>3.2000000000000001E-2</v>
      </c>
      <c r="X310" s="50">
        <v>0.2</v>
      </c>
      <c r="Y310" s="74">
        <v>0.01</v>
      </c>
    </row>
    <row r="311" spans="1:33" ht="15" customHeight="1">
      <c r="A311" s="41" t="s">
        <v>183</v>
      </c>
      <c r="B311" s="402" t="s">
        <v>1377</v>
      </c>
      <c r="C311" s="113" t="s">
        <v>1377</v>
      </c>
      <c r="D311" s="393" t="s">
        <v>111</v>
      </c>
      <c r="F311" s="402" t="s">
        <v>1378</v>
      </c>
      <c r="G311" s="405" t="s">
        <v>1379</v>
      </c>
      <c r="H311" s="49">
        <v>3452</v>
      </c>
      <c r="I311" s="50" t="s">
        <v>2</v>
      </c>
      <c r="J311" s="76" t="s">
        <v>1030</v>
      </c>
      <c r="K311" s="51">
        <v>40869</v>
      </c>
      <c r="L311" s="115">
        <v>40863</v>
      </c>
      <c r="M311" s="50">
        <f t="shared" si="13"/>
        <v>6</v>
      </c>
      <c r="N311" s="50" t="s">
        <v>2</v>
      </c>
      <c r="O311" s="131">
        <f>1.9/2</f>
        <v>0.95</v>
      </c>
      <c r="P311" s="117">
        <v>6.7</v>
      </c>
      <c r="Q311" s="131">
        <v>6.7</v>
      </c>
      <c r="R311" s="50">
        <v>23</v>
      </c>
      <c r="S311" s="74">
        <v>11.4</v>
      </c>
      <c r="T311" s="50">
        <v>3.3000000000000002E-2</v>
      </c>
      <c r="U311" s="131">
        <f>1/2</f>
        <v>0.5</v>
      </c>
      <c r="V311" s="50">
        <v>1.06</v>
      </c>
      <c r="W311" s="74">
        <v>6.0000000000000001E-3</v>
      </c>
      <c r="X311" s="50">
        <v>0.20599999999999999</v>
      </c>
      <c r="Y311" s="74">
        <f>0.005/2</f>
        <v>2.5000000000000001E-3</v>
      </c>
    </row>
    <row r="312" spans="1:33" ht="15" customHeight="1">
      <c r="A312" s="41" t="s">
        <v>183</v>
      </c>
      <c r="B312" s="402" t="s">
        <v>1377</v>
      </c>
      <c r="C312" s="113" t="s">
        <v>1377</v>
      </c>
      <c r="D312" s="393" t="s">
        <v>111</v>
      </c>
      <c r="F312" s="402" t="s">
        <v>1378</v>
      </c>
      <c r="G312" s="405" t="s">
        <v>1379</v>
      </c>
      <c r="H312" s="49">
        <v>3452</v>
      </c>
      <c r="J312" s="76" t="s">
        <v>1031</v>
      </c>
      <c r="K312" s="51">
        <v>40869</v>
      </c>
      <c r="L312" s="115">
        <v>40863</v>
      </c>
      <c r="M312" s="50">
        <f t="shared" si="13"/>
        <v>6</v>
      </c>
      <c r="N312" s="50" t="s">
        <v>2</v>
      </c>
      <c r="O312" s="131">
        <f>1.7/2</f>
        <v>0.85</v>
      </c>
      <c r="P312" s="117">
        <v>6.7</v>
      </c>
      <c r="Q312" s="131">
        <v>6.7</v>
      </c>
      <c r="R312" s="50">
        <f>20/2</f>
        <v>10</v>
      </c>
      <c r="S312" s="74">
        <v>3.8</v>
      </c>
      <c r="T312" s="50">
        <v>1.2E-2</v>
      </c>
      <c r="U312" s="131">
        <f>1/2</f>
        <v>0.5</v>
      </c>
      <c r="V312" s="50">
        <v>0.59</v>
      </c>
      <c r="W312" s="74">
        <f>0.005/2</f>
        <v>2.5000000000000001E-3</v>
      </c>
      <c r="X312" s="50">
        <v>0.151</v>
      </c>
      <c r="Y312" s="74">
        <f>0.005/2</f>
        <v>2.5000000000000001E-3</v>
      </c>
    </row>
    <row r="313" spans="1:33" ht="15" customHeight="1">
      <c r="A313" s="41" t="s">
        <v>183</v>
      </c>
      <c r="B313" s="402" t="s">
        <v>1377</v>
      </c>
      <c r="C313" s="113" t="s">
        <v>1377</v>
      </c>
      <c r="D313" s="393" t="s">
        <v>111</v>
      </c>
      <c r="F313" s="402" t="s">
        <v>1380</v>
      </c>
      <c r="G313" s="405" t="s">
        <v>1379</v>
      </c>
      <c r="H313" s="49">
        <v>3452</v>
      </c>
      <c r="J313" s="76" t="s">
        <v>1032</v>
      </c>
      <c r="K313" s="51">
        <v>40869</v>
      </c>
      <c r="L313" s="115">
        <v>40863</v>
      </c>
      <c r="M313" s="50">
        <f t="shared" si="13"/>
        <v>6</v>
      </c>
      <c r="N313" s="50" t="s">
        <v>2</v>
      </c>
      <c r="O313" s="131">
        <f>1.9/2</f>
        <v>0.95</v>
      </c>
      <c r="P313" s="117">
        <v>6.7</v>
      </c>
      <c r="Q313" s="131">
        <v>6.7</v>
      </c>
      <c r="R313" s="50">
        <f>20/2</f>
        <v>10</v>
      </c>
      <c r="S313" s="74">
        <v>27.8</v>
      </c>
      <c r="T313" s="50">
        <v>4.3999999999999997E-2</v>
      </c>
      <c r="U313" s="131">
        <f>1/2</f>
        <v>0.5</v>
      </c>
      <c r="V313" s="50">
        <f>0.46/2</f>
        <v>0.23</v>
      </c>
      <c r="W313" s="74">
        <v>5.0000000000000001E-3</v>
      </c>
      <c r="X313" s="50">
        <v>5.6000000000000001E-2</v>
      </c>
      <c r="Y313" s="74">
        <v>8.2000000000000007E-3</v>
      </c>
    </row>
    <row r="314" spans="1:33" ht="15" customHeight="1">
      <c r="A314" s="41" t="s">
        <v>183</v>
      </c>
      <c r="B314" s="402" t="s">
        <v>1381</v>
      </c>
      <c r="C314" s="113" t="s">
        <v>1382</v>
      </c>
      <c r="D314" s="393" t="s">
        <v>200</v>
      </c>
      <c r="E314" s="394" t="s">
        <v>112</v>
      </c>
      <c r="G314" s="405" t="s">
        <v>1384</v>
      </c>
      <c r="H314" s="49">
        <v>9199</v>
      </c>
      <c r="I314" s="50" t="s">
        <v>1</v>
      </c>
      <c r="J314" s="76" t="s">
        <v>1385</v>
      </c>
      <c r="K314" s="51">
        <v>40984</v>
      </c>
      <c r="L314" s="115">
        <v>40981</v>
      </c>
      <c r="M314" s="50">
        <f t="shared" si="13"/>
        <v>3</v>
      </c>
      <c r="N314" s="50" t="s">
        <v>2</v>
      </c>
      <c r="O314" s="131">
        <f>1.5/2</f>
        <v>0.75</v>
      </c>
      <c r="P314" s="117">
        <v>6.27</v>
      </c>
      <c r="Q314" s="131">
        <v>6.92</v>
      </c>
      <c r="R314" s="50">
        <f>10/2</f>
        <v>5</v>
      </c>
      <c r="S314" s="74">
        <f>5/2</f>
        <v>2.5</v>
      </c>
      <c r="T314" s="50">
        <f>0.01/2</f>
        <v>5.0000000000000001E-3</v>
      </c>
      <c r="U314" s="131">
        <v>0.51</v>
      </c>
      <c r="V314" s="50">
        <v>4.37</v>
      </c>
      <c r="W314" s="74">
        <f>0.005/2</f>
        <v>2.5000000000000001E-3</v>
      </c>
      <c r="X314" s="50">
        <v>3.0000000000000001E-3</v>
      </c>
      <c r="Y314" s="74">
        <f>0.002/2</f>
        <v>1E-3</v>
      </c>
      <c r="Z314" s="271">
        <v>1</v>
      </c>
      <c r="AA314" s="271">
        <v>1</v>
      </c>
      <c r="AB314" s="114">
        <v>38</v>
      </c>
      <c r="AC314" s="50">
        <v>137</v>
      </c>
      <c r="AD314" s="271">
        <v>1</v>
      </c>
      <c r="AE314" s="50">
        <f>10/2</f>
        <v>5</v>
      </c>
      <c r="AG314" s="114">
        <f>0.5/2</f>
        <v>0.25</v>
      </c>
    </row>
    <row r="315" spans="1:33" ht="15" customHeight="1">
      <c r="A315" s="41" t="s">
        <v>183</v>
      </c>
      <c r="B315" s="402" t="s">
        <v>1386</v>
      </c>
      <c r="C315" s="113" t="s">
        <v>1387</v>
      </c>
      <c r="D315" s="393" t="s">
        <v>350</v>
      </c>
      <c r="E315" s="394" t="s">
        <v>1388</v>
      </c>
      <c r="G315" s="405" t="s">
        <v>1389</v>
      </c>
      <c r="H315" s="49">
        <v>3724</v>
      </c>
      <c r="I315" s="50" t="s">
        <v>2</v>
      </c>
      <c r="J315" s="76" t="s">
        <v>335</v>
      </c>
      <c r="K315" s="51">
        <v>40996</v>
      </c>
      <c r="L315" s="115">
        <v>40973</v>
      </c>
      <c r="M315" s="50">
        <f t="shared" si="13"/>
        <v>23</v>
      </c>
      <c r="N315" s="50" t="s">
        <v>2</v>
      </c>
      <c r="O315" s="131">
        <v>2.2999999999999998</v>
      </c>
      <c r="P315" s="117"/>
      <c r="Q315" s="131">
        <v>5.69</v>
      </c>
      <c r="R315" s="50">
        <v>158</v>
      </c>
      <c r="S315" s="74">
        <v>154</v>
      </c>
      <c r="T315" s="50">
        <v>0.44</v>
      </c>
      <c r="U315" s="131">
        <v>2.73</v>
      </c>
      <c r="V315" s="50">
        <v>1.4</v>
      </c>
      <c r="W315" s="74">
        <v>0.56000000000000005</v>
      </c>
      <c r="X315" s="50">
        <v>0.24</v>
      </c>
      <c r="Y315" s="74">
        <v>2.52E-2</v>
      </c>
    </row>
    <row r="316" spans="1:33" ht="15" customHeight="1">
      <c r="A316" s="41" t="s">
        <v>183</v>
      </c>
      <c r="B316" s="402" t="s">
        <v>1303</v>
      </c>
      <c r="C316" s="113" t="s">
        <v>1304</v>
      </c>
      <c r="D316" s="393" t="s">
        <v>165</v>
      </c>
      <c r="E316" s="394" t="s">
        <v>1390</v>
      </c>
      <c r="F316" s="402">
        <v>2201</v>
      </c>
      <c r="G316" s="405" t="s">
        <v>1391</v>
      </c>
      <c r="H316" s="49">
        <v>4173</v>
      </c>
      <c r="I316" s="50" t="s">
        <v>2</v>
      </c>
      <c r="J316" s="76" t="s">
        <v>1392</v>
      </c>
      <c r="K316" s="51">
        <v>40996</v>
      </c>
      <c r="L316" s="115">
        <v>40992</v>
      </c>
      <c r="M316" s="50">
        <f t="shared" si="13"/>
        <v>4</v>
      </c>
      <c r="N316" s="50" t="s">
        <v>2</v>
      </c>
      <c r="O316" s="131">
        <f>5/2</f>
        <v>2.5</v>
      </c>
      <c r="P316" s="117">
        <v>5.25</v>
      </c>
      <c r="Q316" s="131">
        <v>5.58</v>
      </c>
      <c r="R316" s="50">
        <f>5/2</f>
        <v>2.5</v>
      </c>
      <c r="S316" s="74">
        <v>8</v>
      </c>
      <c r="T316" s="50">
        <f>0.1/2</f>
        <v>0.05</v>
      </c>
      <c r="U316" s="131">
        <f>1/2</f>
        <v>0.5</v>
      </c>
      <c r="V316" s="50">
        <v>0.18</v>
      </c>
      <c r="W316" s="74">
        <f>0.04/2</f>
        <v>0.02</v>
      </c>
      <c r="X316" s="50">
        <v>7.2999999999999995E-2</v>
      </c>
      <c r="Y316" s="74">
        <f>0.013/2</f>
        <v>6.4999999999999997E-3</v>
      </c>
    </row>
    <row r="317" spans="1:33" ht="15" customHeight="1">
      <c r="A317" s="41" t="s">
        <v>183</v>
      </c>
      <c r="B317" s="402" t="s">
        <v>1393</v>
      </c>
      <c r="C317" s="113" t="s">
        <v>1394</v>
      </c>
      <c r="D317" s="393" t="s">
        <v>372</v>
      </c>
      <c r="E317" s="394" t="s">
        <v>235</v>
      </c>
      <c r="F317" s="402" t="s">
        <v>1250</v>
      </c>
      <c r="G317" s="405" t="s">
        <v>1395</v>
      </c>
      <c r="H317" s="49">
        <v>4311</v>
      </c>
      <c r="J317" s="76" t="s">
        <v>255</v>
      </c>
      <c r="K317" s="51">
        <v>40984</v>
      </c>
      <c r="L317" s="115">
        <v>40970</v>
      </c>
      <c r="M317" s="50">
        <f t="shared" si="13"/>
        <v>14</v>
      </c>
      <c r="N317" s="50" t="s">
        <v>2</v>
      </c>
      <c r="O317" s="131">
        <v>2.9</v>
      </c>
      <c r="P317" s="117">
        <v>5.8</v>
      </c>
      <c r="Q317" s="131">
        <v>6.84</v>
      </c>
      <c r="R317" s="50">
        <v>56</v>
      </c>
      <c r="S317" s="74">
        <v>49</v>
      </c>
      <c r="T317" s="50">
        <v>0.84</v>
      </c>
      <c r="U317" s="131">
        <v>4.42</v>
      </c>
      <c r="V317" s="50">
        <v>1.67</v>
      </c>
      <c r="W317" s="74">
        <v>6.2E-2</v>
      </c>
      <c r="X317" s="50">
        <v>0.40600000000000003</v>
      </c>
      <c r="Y317" s="74">
        <v>0.14699999999999999</v>
      </c>
      <c r="Z317" s="271">
        <v>1</v>
      </c>
      <c r="AA317" s="271">
        <v>1</v>
      </c>
      <c r="AB317" s="114">
        <v>22</v>
      </c>
      <c r="AC317" s="50">
        <v>111</v>
      </c>
      <c r="AD317" s="271">
        <v>1</v>
      </c>
    </row>
    <row r="318" spans="1:33" ht="15" customHeight="1">
      <c r="A318" s="41" t="s">
        <v>183</v>
      </c>
      <c r="B318" s="402" t="s">
        <v>1393</v>
      </c>
      <c r="C318" s="113" t="s">
        <v>1394</v>
      </c>
      <c r="D318" s="393" t="s">
        <v>372</v>
      </c>
      <c r="E318" s="394" t="s">
        <v>235</v>
      </c>
      <c r="F318" s="402" t="s">
        <v>1250</v>
      </c>
      <c r="G318" s="405" t="s">
        <v>1395</v>
      </c>
      <c r="H318" s="49">
        <v>4311</v>
      </c>
      <c r="J318" s="76" t="s">
        <v>96</v>
      </c>
      <c r="K318" s="51">
        <v>40984</v>
      </c>
      <c r="L318" s="115">
        <v>40970</v>
      </c>
      <c r="M318" s="50">
        <f t="shared" si="13"/>
        <v>14</v>
      </c>
      <c r="N318" s="50" t="s">
        <v>2</v>
      </c>
      <c r="O318" s="131">
        <f>1.4/2</f>
        <v>0.7</v>
      </c>
      <c r="P318" s="117">
        <v>6.8</v>
      </c>
      <c r="Q318" s="131">
        <v>7.46</v>
      </c>
      <c r="R318" s="50">
        <v>18</v>
      </c>
      <c r="S318" s="74">
        <v>190</v>
      </c>
      <c r="T318" s="50">
        <v>0.48</v>
      </c>
      <c r="U318" s="131">
        <v>4.5999999999999996</v>
      </c>
      <c r="V318" s="50">
        <v>0.5</v>
      </c>
      <c r="W318" s="74">
        <v>3.3000000000000002E-2</v>
      </c>
      <c r="X318" s="50">
        <v>0.20899999999999999</v>
      </c>
      <c r="Y318" s="74">
        <v>3.5999999999999997E-2</v>
      </c>
      <c r="Z318" s="271">
        <v>1</v>
      </c>
      <c r="AA318" s="271">
        <v>1</v>
      </c>
      <c r="AB318" s="114">
        <v>22</v>
      </c>
      <c r="AC318" s="50">
        <v>111</v>
      </c>
      <c r="AD318" s="271">
        <v>1</v>
      </c>
    </row>
    <row r="319" spans="1:33" ht="15" customHeight="1">
      <c r="A319" s="41" t="s">
        <v>183</v>
      </c>
      <c r="B319" s="402" t="s">
        <v>1396</v>
      </c>
      <c r="C319" s="113" t="s">
        <v>1397</v>
      </c>
      <c r="D319" s="393" t="s">
        <v>379</v>
      </c>
      <c r="E319" s="394" t="s">
        <v>1398</v>
      </c>
      <c r="G319" s="405" t="s">
        <v>1399</v>
      </c>
      <c r="H319" s="49">
        <v>3086</v>
      </c>
      <c r="I319" s="50" t="s">
        <v>2</v>
      </c>
      <c r="J319" s="76" t="s">
        <v>1400</v>
      </c>
      <c r="K319" s="51">
        <v>40984</v>
      </c>
      <c r="N319" s="50" t="s">
        <v>2</v>
      </c>
      <c r="O319" s="131">
        <v>6.9</v>
      </c>
      <c r="P319" s="117">
        <v>4.54</v>
      </c>
      <c r="Q319" s="131">
        <v>6.91</v>
      </c>
      <c r="R319" s="50">
        <v>310</v>
      </c>
      <c r="S319" s="74">
        <v>180</v>
      </c>
      <c r="T319" s="50">
        <v>0.33</v>
      </c>
      <c r="U319" s="131">
        <v>5.94</v>
      </c>
      <c r="V319" s="50">
        <v>3.42</v>
      </c>
      <c r="W319" s="74">
        <v>8.8999999999999996E-2</v>
      </c>
      <c r="X319" s="50">
        <v>0.624</v>
      </c>
      <c r="Y319" s="74">
        <v>1.4999999999999999E-2</v>
      </c>
      <c r="Z319" s="271">
        <v>1</v>
      </c>
      <c r="AA319" s="271">
        <v>1</v>
      </c>
      <c r="AB319" s="114">
        <v>130</v>
      </c>
      <c r="AC319" s="50">
        <v>1197</v>
      </c>
      <c r="AD319" s="271">
        <v>1</v>
      </c>
    </row>
    <row r="320" spans="1:33" ht="15" customHeight="1">
      <c r="A320" s="41" t="s">
        <v>183</v>
      </c>
      <c r="B320" s="402" t="s">
        <v>1396</v>
      </c>
      <c r="C320" s="113" t="s">
        <v>1397</v>
      </c>
      <c r="D320" s="393" t="s">
        <v>379</v>
      </c>
      <c r="E320" s="394" t="s">
        <v>1398</v>
      </c>
      <c r="G320" s="405" t="s">
        <v>1399</v>
      </c>
      <c r="H320" s="49">
        <v>3086</v>
      </c>
      <c r="I320" s="50" t="s">
        <v>2</v>
      </c>
      <c r="J320" s="76" t="s">
        <v>1401</v>
      </c>
      <c r="K320" s="51">
        <v>40984</v>
      </c>
      <c r="N320" s="50" t="s">
        <v>2</v>
      </c>
      <c r="O320" s="131">
        <v>5</v>
      </c>
      <c r="P320" s="117">
        <v>4.54</v>
      </c>
      <c r="Q320" s="131">
        <v>7.09</v>
      </c>
      <c r="R320" s="50">
        <v>190</v>
      </c>
      <c r="S320" s="74">
        <v>140</v>
      </c>
      <c r="T320" s="50">
        <v>0.52</v>
      </c>
      <c r="U320" s="131">
        <v>6.14</v>
      </c>
      <c r="V320" s="50">
        <v>2.3199999999999998</v>
      </c>
      <c r="W320" s="74">
        <v>8.1000000000000003E-2</v>
      </c>
      <c r="X320" s="50">
        <v>0.66</v>
      </c>
      <c r="Y320" s="74">
        <v>2.5999999999999999E-2</v>
      </c>
      <c r="Z320" s="271">
        <v>1</v>
      </c>
      <c r="AA320" s="271">
        <v>1</v>
      </c>
      <c r="AB320" s="114">
        <v>12</v>
      </c>
      <c r="AC320" s="50">
        <v>260</v>
      </c>
      <c r="AD320" s="271">
        <v>0.95</v>
      </c>
    </row>
    <row r="321" spans="1:36" ht="15" customHeight="1">
      <c r="A321" s="41" t="s">
        <v>183</v>
      </c>
      <c r="B321" s="402" t="s">
        <v>1402</v>
      </c>
      <c r="C321" s="113" t="s">
        <v>1403</v>
      </c>
      <c r="D321" s="393" t="s">
        <v>308</v>
      </c>
      <c r="E321" s="394" t="s">
        <v>535</v>
      </c>
      <c r="G321" s="405" t="s">
        <v>1404</v>
      </c>
      <c r="H321" s="49">
        <v>3562</v>
      </c>
      <c r="I321" s="50" t="s">
        <v>1</v>
      </c>
      <c r="J321" s="76" t="s">
        <v>1355</v>
      </c>
      <c r="K321" s="51">
        <v>40996</v>
      </c>
      <c r="L321" s="115">
        <v>40971</v>
      </c>
      <c r="M321" s="50">
        <f t="shared" ref="M321:M337" si="14">K321-L321</f>
        <v>25</v>
      </c>
      <c r="N321" s="50" t="s">
        <v>2</v>
      </c>
      <c r="O321" s="131">
        <f>5/2</f>
        <v>2.5</v>
      </c>
      <c r="P321" s="117">
        <v>9</v>
      </c>
      <c r="Q321" s="131">
        <v>5.74</v>
      </c>
      <c r="R321" s="50">
        <v>99</v>
      </c>
      <c r="S321" s="74">
        <v>44</v>
      </c>
      <c r="T321" s="50">
        <f>0.1/2</f>
        <v>0.05</v>
      </c>
      <c r="U321" s="131">
        <v>2.7</v>
      </c>
      <c r="V321" s="50">
        <v>1.1000000000000001</v>
      </c>
      <c r="W321" s="74">
        <f>0.04/2</f>
        <v>0.02</v>
      </c>
      <c r="X321" s="50">
        <v>0.46</v>
      </c>
      <c r="Y321" s="74">
        <f>0.013/2</f>
        <v>6.4999999999999997E-3</v>
      </c>
      <c r="Z321" s="271">
        <v>1</v>
      </c>
      <c r="AA321" s="271">
        <v>0.80600000000000005</v>
      </c>
      <c r="AB321" s="114">
        <v>8.9</v>
      </c>
      <c r="AC321" s="50">
        <v>106</v>
      </c>
      <c r="AD321" s="271">
        <v>0.2</v>
      </c>
      <c r="AE321" s="50">
        <f>1/2</f>
        <v>0.5</v>
      </c>
    </row>
    <row r="322" spans="1:36" ht="15" customHeight="1">
      <c r="A322" s="41" t="s">
        <v>183</v>
      </c>
      <c r="B322" s="402" t="s">
        <v>1402</v>
      </c>
      <c r="C322" s="113" t="s">
        <v>1403</v>
      </c>
      <c r="D322" s="393" t="s">
        <v>308</v>
      </c>
      <c r="E322" s="394" t="s">
        <v>535</v>
      </c>
      <c r="G322" s="405" t="s">
        <v>1404</v>
      </c>
      <c r="H322" s="49">
        <v>3562</v>
      </c>
      <c r="I322" s="50" t="s">
        <v>1</v>
      </c>
      <c r="J322" s="76" t="s">
        <v>1356</v>
      </c>
      <c r="K322" s="51">
        <v>40996</v>
      </c>
      <c r="L322" s="115">
        <v>40971</v>
      </c>
      <c r="M322" s="50">
        <f t="shared" si="14"/>
        <v>25</v>
      </c>
      <c r="N322" s="50" t="s">
        <v>2</v>
      </c>
      <c r="O322" s="131">
        <f>5/2</f>
        <v>2.5</v>
      </c>
      <c r="P322" s="117">
        <v>9</v>
      </c>
      <c r="Q322" s="131">
        <v>5.9</v>
      </c>
      <c r="R322" s="50">
        <v>72</v>
      </c>
      <c r="S322" s="74">
        <v>40</v>
      </c>
      <c r="T322" s="50">
        <f>0.1/2</f>
        <v>0.05</v>
      </c>
      <c r="U322" s="131">
        <v>2.2999999999999998</v>
      </c>
      <c r="V322" s="50">
        <v>0.8</v>
      </c>
      <c r="W322" s="74">
        <f>0.04/2</f>
        <v>0.02</v>
      </c>
      <c r="X322" s="50">
        <v>0.39</v>
      </c>
      <c r="Y322" s="74">
        <f>0.013/2</f>
        <v>6.4999999999999997E-3</v>
      </c>
      <c r="Z322" s="271">
        <v>1</v>
      </c>
      <c r="AA322" s="271">
        <v>1</v>
      </c>
      <c r="AB322" s="114">
        <v>21</v>
      </c>
      <c r="AC322" s="50">
        <v>331</v>
      </c>
      <c r="AD322" s="271">
        <v>0.8</v>
      </c>
      <c r="AE322" s="50">
        <f>3.1/2</f>
        <v>1.55</v>
      </c>
    </row>
    <row r="323" spans="1:36" ht="15" customHeight="1">
      <c r="A323" s="41" t="s">
        <v>183</v>
      </c>
      <c r="B323" s="402" t="s">
        <v>1405</v>
      </c>
      <c r="C323" s="113" t="s">
        <v>1405</v>
      </c>
      <c r="D323" s="393" t="s">
        <v>314</v>
      </c>
      <c r="E323" s="394" t="s">
        <v>49</v>
      </c>
      <c r="G323" s="405" t="s">
        <v>1407</v>
      </c>
      <c r="H323" s="49">
        <v>2759</v>
      </c>
      <c r="I323" s="50" t="s">
        <v>1</v>
      </c>
      <c r="J323" s="76" t="s">
        <v>81</v>
      </c>
      <c r="K323" s="51">
        <v>40977</v>
      </c>
      <c r="L323" s="115">
        <v>40971</v>
      </c>
      <c r="M323" s="50">
        <f t="shared" si="14"/>
        <v>6</v>
      </c>
      <c r="N323" s="50" t="s">
        <v>2</v>
      </c>
      <c r="O323" s="131">
        <f>1.4/2</f>
        <v>0.7</v>
      </c>
      <c r="P323" s="117">
        <v>4.41</v>
      </c>
      <c r="Q323" s="131">
        <v>5.64</v>
      </c>
      <c r="R323" s="50">
        <v>26</v>
      </c>
      <c r="S323" s="74">
        <v>7.5</v>
      </c>
      <c r="T323" s="50">
        <v>0.03</v>
      </c>
      <c r="U323" s="131">
        <v>0.97</v>
      </c>
      <c r="V323" s="50">
        <v>0.71</v>
      </c>
      <c r="W323" s="74">
        <f>0.005/2</f>
        <v>2.5000000000000001E-3</v>
      </c>
      <c r="X323" s="50">
        <v>0.13200000000000001</v>
      </c>
      <c r="Y323" s="74">
        <f>0.002/2</f>
        <v>1E-3</v>
      </c>
    </row>
    <row r="324" spans="1:36" ht="15" customHeight="1">
      <c r="A324" s="41" t="s">
        <v>183</v>
      </c>
      <c r="B324" s="402" t="s">
        <v>1408</v>
      </c>
      <c r="C324" s="113" t="s">
        <v>1408</v>
      </c>
      <c r="D324" s="393" t="s">
        <v>347</v>
      </c>
      <c r="E324" s="394" t="s">
        <v>1265</v>
      </c>
      <c r="G324" s="405" t="s">
        <v>1409</v>
      </c>
      <c r="H324" s="49">
        <v>3351</v>
      </c>
      <c r="I324" s="50" t="s">
        <v>2</v>
      </c>
      <c r="J324" s="76" t="s">
        <v>1410</v>
      </c>
      <c r="K324" s="51">
        <v>40934</v>
      </c>
      <c r="L324" s="115">
        <v>40931</v>
      </c>
      <c r="M324" s="50">
        <f t="shared" si="14"/>
        <v>3</v>
      </c>
      <c r="N324" s="50" t="s">
        <v>2</v>
      </c>
      <c r="O324" s="131">
        <v>1.2</v>
      </c>
      <c r="P324" s="117">
        <v>6.53</v>
      </c>
      <c r="Q324" s="131">
        <v>5.68</v>
      </c>
      <c r="R324" s="50">
        <v>47.3</v>
      </c>
      <c r="S324" s="74">
        <v>21</v>
      </c>
      <c r="T324" s="50">
        <v>0.09</v>
      </c>
      <c r="U324" s="131">
        <v>1.36</v>
      </c>
      <c r="V324" s="50">
        <v>0.38</v>
      </c>
      <c r="W324" s="74">
        <v>0.38300000000000001</v>
      </c>
      <c r="X324" s="50">
        <v>0.74099999999999999</v>
      </c>
      <c r="Y324" s="74">
        <v>1.4E-2</v>
      </c>
    </row>
    <row r="325" spans="1:36" ht="15" customHeight="1">
      <c r="A325" s="41" t="s">
        <v>183</v>
      </c>
      <c r="B325" s="402" t="s">
        <v>1411</v>
      </c>
      <c r="C325" s="113" t="s">
        <v>1411</v>
      </c>
      <c r="D325" s="393" t="s">
        <v>234</v>
      </c>
      <c r="E325" s="394" t="s">
        <v>235</v>
      </c>
      <c r="G325" s="405" t="s">
        <v>3161</v>
      </c>
      <c r="H325" s="49">
        <v>3471</v>
      </c>
      <c r="I325" s="50" t="s">
        <v>1</v>
      </c>
      <c r="J325" s="76" t="s">
        <v>96</v>
      </c>
      <c r="K325" s="51">
        <v>40996</v>
      </c>
      <c r="L325" s="115">
        <v>40993</v>
      </c>
      <c r="M325" s="50">
        <f t="shared" si="14"/>
        <v>3</v>
      </c>
      <c r="N325" s="50" t="s">
        <v>2</v>
      </c>
      <c r="O325" s="131">
        <v>2.4</v>
      </c>
      <c r="P325" s="117">
        <v>5.26</v>
      </c>
      <c r="Q325" s="131">
        <v>5.29</v>
      </c>
      <c r="R325" s="50">
        <v>65</v>
      </c>
      <c r="S325" s="74">
        <v>84</v>
      </c>
      <c r="T325" s="50">
        <v>0.27</v>
      </c>
      <c r="U325" s="131">
        <v>4.0999999999999996</v>
      </c>
      <c r="V325" s="50">
        <v>1.86</v>
      </c>
      <c r="W325" s="74">
        <v>0.14799999999999999</v>
      </c>
      <c r="X325" s="50">
        <v>0.61499999999999999</v>
      </c>
      <c r="Y325" s="74">
        <v>6.6000000000000003E-2</v>
      </c>
      <c r="Z325" s="271">
        <v>8.8400000000000006E-2</v>
      </c>
      <c r="AA325" s="271">
        <v>7.6200000000000004E-2</v>
      </c>
      <c r="AB325" s="114">
        <v>20</v>
      </c>
      <c r="AC325" s="50">
        <v>69</v>
      </c>
      <c r="AD325" s="271">
        <v>0</v>
      </c>
    </row>
    <row r="326" spans="1:36" ht="15" customHeight="1">
      <c r="A326" s="41" t="s">
        <v>183</v>
      </c>
      <c r="B326" s="402" t="s">
        <v>1412</v>
      </c>
      <c r="D326" s="393" t="s">
        <v>827</v>
      </c>
      <c r="E326" s="394" t="s">
        <v>1413</v>
      </c>
      <c r="G326" s="405" t="s">
        <v>1414</v>
      </c>
      <c r="H326" s="49">
        <v>3069</v>
      </c>
      <c r="I326" s="50" t="s">
        <v>2</v>
      </c>
      <c r="J326" s="406" t="s">
        <v>4724</v>
      </c>
      <c r="K326" s="51">
        <v>40969</v>
      </c>
      <c r="L326" s="115">
        <v>40963</v>
      </c>
      <c r="M326" s="50">
        <f t="shared" si="14"/>
        <v>6</v>
      </c>
      <c r="N326" s="50" t="s">
        <v>1</v>
      </c>
      <c r="O326" s="131">
        <f>2/2</f>
        <v>1</v>
      </c>
      <c r="P326" s="117">
        <v>6</v>
      </c>
      <c r="Q326" s="131">
        <v>6.6</v>
      </c>
      <c r="R326" s="50">
        <v>26</v>
      </c>
      <c r="S326" s="74">
        <v>13</v>
      </c>
      <c r="T326" s="50">
        <v>2.5999999999999999E-2</v>
      </c>
      <c r="U326" s="131">
        <f>0.5/2</f>
        <v>0.25</v>
      </c>
      <c r="V326" s="50">
        <v>0.39</v>
      </c>
      <c r="W326" s="74">
        <v>9.1999999999999998E-3</v>
      </c>
      <c r="X326" s="50">
        <v>3.5000000000000003E-2</v>
      </c>
      <c r="Y326" s="74">
        <v>1.4999999999999999E-2</v>
      </c>
    </row>
    <row r="327" spans="1:36" ht="15" customHeight="1">
      <c r="A327" s="41" t="s">
        <v>183</v>
      </c>
      <c r="B327" s="402" t="s">
        <v>1412</v>
      </c>
      <c r="D327" s="393" t="s">
        <v>827</v>
      </c>
      <c r="E327" s="394" t="s">
        <v>1413</v>
      </c>
      <c r="G327" s="405" t="s">
        <v>1414</v>
      </c>
      <c r="H327" s="49">
        <v>3069</v>
      </c>
      <c r="I327" s="50" t="s">
        <v>2</v>
      </c>
      <c r="J327" s="406" t="s">
        <v>4723</v>
      </c>
      <c r="K327" s="51">
        <v>40969</v>
      </c>
      <c r="L327" s="115">
        <v>40963</v>
      </c>
      <c r="M327" s="50">
        <f t="shared" si="14"/>
        <v>6</v>
      </c>
      <c r="N327" s="50" t="s">
        <v>1</v>
      </c>
      <c r="O327" s="131">
        <f>2/2</f>
        <v>1</v>
      </c>
      <c r="P327" s="117">
        <v>6</v>
      </c>
      <c r="Q327" s="131">
        <v>6.6</v>
      </c>
      <c r="R327" s="50">
        <v>13</v>
      </c>
      <c r="S327" s="74">
        <v>11</v>
      </c>
      <c r="T327" s="50">
        <v>5.1999999999999998E-2</v>
      </c>
      <c r="U327" s="131">
        <f>0.5/2</f>
        <v>0.25</v>
      </c>
      <c r="V327" s="50">
        <v>0.3</v>
      </c>
      <c r="W327" s="74">
        <f>0.002/2</f>
        <v>1E-3</v>
      </c>
      <c r="X327" s="50">
        <v>6.8000000000000005E-2</v>
      </c>
      <c r="Y327" s="74">
        <f>0.002/2</f>
        <v>1E-3</v>
      </c>
    </row>
    <row r="328" spans="1:36" ht="15" customHeight="1">
      <c r="A328" s="41" t="s">
        <v>183</v>
      </c>
      <c r="B328" s="402" t="s">
        <v>1415</v>
      </c>
      <c r="C328" s="113" t="s">
        <v>1416</v>
      </c>
      <c r="D328" s="393" t="s">
        <v>78</v>
      </c>
      <c r="E328" s="394" t="s">
        <v>1417</v>
      </c>
      <c r="G328" s="405" t="s">
        <v>1418</v>
      </c>
      <c r="H328" s="49">
        <v>3272</v>
      </c>
      <c r="I328" s="50" t="s">
        <v>2</v>
      </c>
      <c r="J328" s="76" t="s">
        <v>130</v>
      </c>
      <c r="K328" s="51">
        <v>40981</v>
      </c>
      <c r="L328" s="115">
        <v>40971</v>
      </c>
      <c r="M328" s="50">
        <f t="shared" si="14"/>
        <v>10</v>
      </c>
      <c r="N328" s="50" t="s">
        <v>2</v>
      </c>
      <c r="O328" s="131">
        <f>1/2</f>
        <v>0.5</v>
      </c>
      <c r="P328" s="117">
        <v>6.5</v>
      </c>
      <c r="Q328" s="131">
        <v>7.7</v>
      </c>
      <c r="R328" s="50">
        <v>7.5</v>
      </c>
      <c r="S328" s="74">
        <v>5</v>
      </c>
      <c r="T328" s="50">
        <v>0.05</v>
      </c>
      <c r="U328" s="131">
        <v>1.6</v>
      </c>
      <c r="V328" s="50">
        <v>1.75</v>
      </c>
      <c r="W328" s="74">
        <v>1.2E-2</v>
      </c>
      <c r="X328" s="50">
        <f>0.002/2</f>
        <v>1E-3</v>
      </c>
      <c r="Y328" s="74">
        <v>2.1999999999999999E-2</v>
      </c>
      <c r="Z328" s="271">
        <v>1</v>
      </c>
      <c r="AA328" s="271">
        <v>1</v>
      </c>
      <c r="AB328" s="114">
        <v>191.8</v>
      </c>
      <c r="AC328" s="50">
        <v>450</v>
      </c>
      <c r="AD328" s="271">
        <v>0.9</v>
      </c>
    </row>
    <row r="329" spans="1:36" ht="15" customHeight="1">
      <c r="A329" s="41" t="s">
        <v>183</v>
      </c>
      <c r="B329" s="402" t="s">
        <v>1419</v>
      </c>
      <c r="C329" s="113" t="s">
        <v>1419</v>
      </c>
      <c r="D329" s="393" t="s">
        <v>379</v>
      </c>
      <c r="E329" s="394" t="s">
        <v>214</v>
      </c>
      <c r="F329" s="402" t="s">
        <v>1420</v>
      </c>
      <c r="G329" s="405" t="s">
        <v>1421</v>
      </c>
      <c r="H329" s="49">
        <v>3471</v>
      </c>
      <c r="I329" s="50" t="s">
        <v>1</v>
      </c>
      <c r="J329" s="76" t="s">
        <v>1422</v>
      </c>
      <c r="K329" s="51">
        <v>40869</v>
      </c>
      <c r="L329" s="115">
        <v>40863</v>
      </c>
      <c r="M329" s="50">
        <f t="shared" si="14"/>
        <v>6</v>
      </c>
      <c r="N329" s="50" t="s">
        <v>2</v>
      </c>
      <c r="O329" s="131">
        <v>1.4</v>
      </c>
      <c r="P329" s="117">
        <v>6.53</v>
      </c>
      <c r="Q329" s="131">
        <v>5.67</v>
      </c>
      <c r="R329" s="50">
        <v>32</v>
      </c>
      <c r="S329" s="74">
        <v>81</v>
      </c>
      <c r="T329" s="50">
        <v>7.0000000000000007E-2</v>
      </c>
      <c r="U329" s="131">
        <v>0.73</v>
      </c>
      <c r="V329" s="50">
        <v>0.72</v>
      </c>
      <c r="W329" s="74">
        <v>2.5999999999999999E-2</v>
      </c>
      <c r="X329" s="50">
        <v>0.124</v>
      </c>
      <c r="Y329" s="74">
        <v>5.0000000000000001E-3</v>
      </c>
      <c r="Z329" s="271">
        <v>0.82</v>
      </c>
      <c r="AA329" s="271">
        <v>0.76500000000000001</v>
      </c>
      <c r="AB329" s="114">
        <v>4</v>
      </c>
      <c r="AC329" s="50">
        <v>24</v>
      </c>
      <c r="AD329" s="271">
        <v>0.15</v>
      </c>
    </row>
    <row r="330" spans="1:36" ht="15" customHeight="1">
      <c r="A330" s="41" t="s">
        <v>183</v>
      </c>
      <c r="B330" s="402" t="s">
        <v>1419</v>
      </c>
      <c r="C330" s="113" t="s">
        <v>1419</v>
      </c>
      <c r="D330" s="393" t="s">
        <v>379</v>
      </c>
      <c r="E330" s="394" t="s">
        <v>214</v>
      </c>
      <c r="F330" s="402" t="s">
        <v>1423</v>
      </c>
      <c r="G330" s="405" t="s">
        <v>1421</v>
      </c>
      <c r="H330" s="49">
        <v>3471</v>
      </c>
      <c r="I330" s="50" t="s">
        <v>1</v>
      </c>
      <c r="J330" s="76" t="s">
        <v>1424</v>
      </c>
      <c r="K330" s="51">
        <v>40869</v>
      </c>
      <c r="L330" s="115">
        <v>40863</v>
      </c>
      <c r="M330" s="50">
        <f t="shared" si="14"/>
        <v>6</v>
      </c>
      <c r="N330" s="50" t="s">
        <v>2</v>
      </c>
      <c r="O330" s="131">
        <v>1.5</v>
      </c>
      <c r="P330" s="117">
        <v>6.53</v>
      </c>
      <c r="Q330" s="131">
        <v>6.98</v>
      </c>
      <c r="R330" s="50">
        <v>52</v>
      </c>
      <c r="S330" s="74">
        <v>93</v>
      </c>
      <c r="T330" s="50">
        <v>0.17</v>
      </c>
      <c r="U330" s="131">
        <v>1.1000000000000001</v>
      </c>
      <c r="V330" s="50">
        <v>0.75</v>
      </c>
      <c r="W330" s="74">
        <v>5.8999999999999997E-2</v>
      </c>
      <c r="X330" s="50">
        <v>0.219</v>
      </c>
      <c r="Y330" s="74">
        <v>1.2E-2</v>
      </c>
      <c r="Z330" s="271">
        <v>1</v>
      </c>
      <c r="AA330" s="271">
        <v>1</v>
      </c>
      <c r="AB330" s="114">
        <v>38</v>
      </c>
      <c r="AC330" s="50">
        <v>117</v>
      </c>
      <c r="AD330" s="271">
        <v>1</v>
      </c>
    </row>
    <row r="331" spans="1:36" ht="15" customHeight="1">
      <c r="A331" s="41" t="s">
        <v>183</v>
      </c>
      <c r="B331" s="402" t="s">
        <v>1425</v>
      </c>
      <c r="C331" s="113" t="s">
        <v>1426</v>
      </c>
      <c r="D331" s="393" t="s">
        <v>2375</v>
      </c>
      <c r="E331" s="394" t="s">
        <v>1427</v>
      </c>
      <c r="G331" s="405" t="s">
        <v>1428</v>
      </c>
      <c r="H331" s="49">
        <v>3442</v>
      </c>
      <c r="I331" s="50" t="s">
        <v>2</v>
      </c>
      <c r="J331" s="76" t="s">
        <v>1429</v>
      </c>
      <c r="K331" s="51">
        <v>40920</v>
      </c>
      <c r="L331" s="115">
        <v>40885</v>
      </c>
      <c r="M331" s="50">
        <f t="shared" si="14"/>
        <v>35</v>
      </c>
      <c r="N331" s="50" t="s">
        <v>2</v>
      </c>
      <c r="O331" s="131">
        <f>5/2</f>
        <v>2.5</v>
      </c>
      <c r="P331" s="117">
        <v>5.43</v>
      </c>
      <c r="Q331" s="131">
        <v>7.96</v>
      </c>
      <c r="R331" s="50">
        <f>5/2</f>
        <v>2.5</v>
      </c>
      <c r="S331" s="74">
        <f>5/2</f>
        <v>2.5</v>
      </c>
      <c r="T331" s="50">
        <f>0.1/2</f>
        <v>0.05</v>
      </c>
      <c r="U331" s="131">
        <f>1/2</f>
        <v>0.5</v>
      </c>
      <c r="V331" s="50">
        <v>3.9</v>
      </c>
      <c r="W331" s="74">
        <f>0.04/2</f>
        <v>0.02</v>
      </c>
      <c r="X331" s="50">
        <v>0.03</v>
      </c>
      <c r="Y331" s="74">
        <f>0.013/2</f>
        <v>6.4999999999999997E-3</v>
      </c>
      <c r="Z331" s="271">
        <v>1</v>
      </c>
      <c r="AA331" s="271">
        <v>1</v>
      </c>
      <c r="AB331" s="114">
        <f>5/2</f>
        <v>2.5</v>
      </c>
      <c r="AC331" s="50">
        <v>2</v>
      </c>
      <c r="AD331" s="271">
        <v>1</v>
      </c>
    </row>
    <row r="332" spans="1:36" ht="15" customHeight="1">
      <c r="A332" s="41" t="s">
        <v>183</v>
      </c>
      <c r="B332" s="402" t="s">
        <v>1430</v>
      </c>
      <c r="C332" s="113" t="s">
        <v>1431</v>
      </c>
      <c r="D332" s="393" t="s">
        <v>262</v>
      </c>
      <c r="E332" s="394" t="s">
        <v>1432</v>
      </c>
      <c r="G332" s="405" t="s">
        <v>1433</v>
      </c>
      <c r="H332" s="49">
        <v>4959</v>
      </c>
      <c r="I332" s="50" t="s">
        <v>2</v>
      </c>
      <c r="J332" s="76" t="s">
        <v>1434</v>
      </c>
      <c r="K332" s="51">
        <v>40934</v>
      </c>
      <c r="L332" s="115">
        <v>40929</v>
      </c>
      <c r="M332" s="50">
        <f t="shared" si="14"/>
        <v>5</v>
      </c>
      <c r="N332" s="50" t="s">
        <v>2</v>
      </c>
      <c r="O332" s="131">
        <f>5/2</f>
        <v>2.5</v>
      </c>
      <c r="P332" s="117">
        <v>6.08</v>
      </c>
      <c r="Q332" s="131">
        <v>6.16</v>
      </c>
      <c r="R332" s="50">
        <f>5/2</f>
        <v>2.5</v>
      </c>
      <c r="S332" s="74">
        <f>5/2</f>
        <v>2.5</v>
      </c>
      <c r="T332" s="50">
        <f>0.1/2</f>
        <v>0.05</v>
      </c>
      <c r="U332" s="131">
        <f>1/2</f>
        <v>0.5</v>
      </c>
      <c r="V332" s="50">
        <v>0.3</v>
      </c>
      <c r="W332" s="74">
        <f>0.04/2</f>
        <v>0.02</v>
      </c>
      <c r="X332" s="50">
        <v>8.4000000000000005E-2</v>
      </c>
      <c r="Y332" s="74">
        <v>1.9E-2</v>
      </c>
      <c r="Z332" s="271">
        <v>1</v>
      </c>
      <c r="AA332" s="271">
        <v>1</v>
      </c>
      <c r="AB332" s="114">
        <v>3.2</v>
      </c>
      <c r="AC332" s="50">
        <v>17</v>
      </c>
      <c r="AD332" s="271">
        <v>1</v>
      </c>
    </row>
    <row r="333" spans="1:36" ht="15" customHeight="1">
      <c r="A333" s="41" t="s">
        <v>183</v>
      </c>
      <c r="B333" s="402" t="s">
        <v>1435</v>
      </c>
      <c r="C333" s="113" t="s">
        <v>1436</v>
      </c>
      <c r="D333" s="393" t="s">
        <v>684</v>
      </c>
      <c r="E333" s="394" t="s">
        <v>112</v>
      </c>
      <c r="G333" s="405" t="s">
        <v>1437</v>
      </c>
      <c r="H333" s="49">
        <v>2051</v>
      </c>
      <c r="I333" s="50" t="s">
        <v>1</v>
      </c>
      <c r="J333" s="76" t="s">
        <v>1438</v>
      </c>
      <c r="K333" s="51">
        <v>40956</v>
      </c>
      <c r="L333" s="115">
        <v>40940</v>
      </c>
      <c r="M333" s="50">
        <f t="shared" si="14"/>
        <v>16</v>
      </c>
      <c r="N333" s="50" t="s">
        <v>2</v>
      </c>
      <c r="O333" s="131">
        <f>5/2</f>
        <v>2.5</v>
      </c>
      <c r="P333" s="117">
        <v>6.1</v>
      </c>
      <c r="Q333" s="131">
        <v>7.04</v>
      </c>
      <c r="R333" s="50">
        <v>170</v>
      </c>
      <c r="S333" s="74">
        <v>47</v>
      </c>
      <c r="T333" s="50">
        <v>0.41</v>
      </c>
      <c r="U333" s="131">
        <v>2.2999999999999998</v>
      </c>
      <c r="V333" s="50">
        <v>0.89</v>
      </c>
      <c r="W333" s="74">
        <v>0.11</v>
      </c>
      <c r="X333" s="50">
        <v>0.53</v>
      </c>
      <c r="Y333" s="74">
        <f>0.013/2</f>
        <v>6.4999999999999997E-3</v>
      </c>
      <c r="Z333" s="271">
        <v>1</v>
      </c>
      <c r="AA333" s="271">
        <v>1</v>
      </c>
      <c r="AB333" s="114">
        <v>61</v>
      </c>
      <c r="AC333" s="50">
        <v>538</v>
      </c>
      <c r="AD333" s="271">
        <v>0.55000000000000004</v>
      </c>
      <c r="AJ333" s="114">
        <v>145</v>
      </c>
    </row>
    <row r="334" spans="1:36" ht="15" customHeight="1">
      <c r="A334" s="41" t="s">
        <v>183</v>
      </c>
      <c r="B334" s="402" t="s">
        <v>1439</v>
      </c>
      <c r="C334" s="113" t="s">
        <v>1439</v>
      </c>
      <c r="D334" s="393" t="s">
        <v>372</v>
      </c>
      <c r="E334" s="394" t="s">
        <v>1440</v>
      </c>
      <c r="G334" s="405" t="s">
        <v>1441</v>
      </c>
      <c r="H334" s="49">
        <v>2899</v>
      </c>
      <c r="I334" s="50" t="s">
        <v>2</v>
      </c>
      <c r="J334" s="76" t="s">
        <v>114</v>
      </c>
      <c r="K334" s="51">
        <v>40920</v>
      </c>
      <c r="L334" s="115">
        <v>40904</v>
      </c>
      <c r="M334" s="50">
        <f t="shared" si="14"/>
        <v>16</v>
      </c>
      <c r="N334" s="50" t="s">
        <v>2</v>
      </c>
      <c r="O334" s="131">
        <v>1.1000000000000001</v>
      </c>
      <c r="P334" s="117">
        <v>5.74</v>
      </c>
      <c r="Q334" s="131">
        <v>5.98</v>
      </c>
      <c r="R334" s="50">
        <v>3.8</v>
      </c>
      <c r="S334" s="74">
        <v>12</v>
      </c>
      <c r="T334" s="50">
        <f>0.05</f>
        <v>0.05</v>
      </c>
      <c r="U334" s="131">
        <v>0.39</v>
      </c>
      <c r="V334" s="50">
        <f>0.2/2</f>
        <v>0.1</v>
      </c>
      <c r="W334" s="74">
        <v>0.01</v>
      </c>
      <c r="X334" s="50">
        <v>0.06</v>
      </c>
      <c r="Y334" s="74">
        <f>0.02/2</f>
        <v>0.01</v>
      </c>
    </row>
    <row r="335" spans="1:36" ht="15" customHeight="1">
      <c r="A335" s="41" t="s">
        <v>183</v>
      </c>
      <c r="B335" s="402" t="s">
        <v>1442</v>
      </c>
      <c r="C335" s="113" t="s">
        <v>1443</v>
      </c>
      <c r="D335" s="393" t="s">
        <v>356</v>
      </c>
      <c r="E335" s="394" t="s">
        <v>1444</v>
      </c>
      <c r="F335" s="402">
        <v>4007</v>
      </c>
      <c r="G335" s="405" t="s">
        <v>1445</v>
      </c>
      <c r="H335" s="49">
        <v>4151</v>
      </c>
      <c r="I335" s="50" t="s">
        <v>2</v>
      </c>
      <c r="J335" s="76" t="s">
        <v>1446</v>
      </c>
      <c r="K335" s="51">
        <v>40843</v>
      </c>
      <c r="L335" s="115">
        <v>40835</v>
      </c>
      <c r="M335" s="50">
        <f t="shared" si="14"/>
        <v>8</v>
      </c>
      <c r="N335" s="50" t="s">
        <v>2</v>
      </c>
      <c r="O335" s="131">
        <f>1.4/2</f>
        <v>0.7</v>
      </c>
      <c r="P335" s="117"/>
      <c r="Q335" s="131">
        <v>6.59</v>
      </c>
      <c r="R335" s="50">
        <v>50</v>
      </c>
      <c r="S335" s="74">
        <v>12</v>
      </c>
      <c r="T335" s="50">
        <v>0.15</v>
      </c>
      <c r="U335" s="131">
        <v>0.93</v>
      </c>
      <c r="V335" s="50">
        <v>0.8</v>
      </c>
      <c r="W335" s="74">
        <v>5.0000000000000001E-3</v>
      </c>
      <c r="X335" s="50">
        <v>0.14599999999999999</v>
      </c>
      <c r="Y335" s="74">
        <f>0.002/2</f>
        <v>1E-3</v>
      </c>
      <c r="Z335" s="271">
        <v>1</v>
      </c>
      <c r="AA335" s="271">
        <v>1</v>
      </c>
      <c r="AB335" s="114">
        <v>10</v>
      </c>
      <c r="AC335" s="50">
        <v>33</v>
      </c>
      <c r="AD335" s="271">
        <v>0.75</v>
      </c>
    </row>
    <row r="336" spans="1:36" ht="15" customHeight="1">
      <c r="A336" s="41" t="s">
        <v>183</v>
      </c>
      <c r="B336" s="402" t="s">
        <v>1442</v>
      </c>
      <c r="C336" s="113" t="s">
        <v>1332</v>
      </c>
      <c r="D336" s="393" t="s">
        <v>356</v>
      </c>
      <c r="E336" s="394" t="s">
        <v>1444</v>
      </c>
      <c r="F336" s="402">
        <v>4007</v>
      </c>
      <c r="G336" s="405" t="s">
        <v>1450</v>
      </c>
      <c r="H336" s="49">
        <v>4952</v>
      </c>
      <c r="I336" s="50" t="s">
        <v>2</v>
      </c>
      <c r="J336" s="76" t="s">
        <v>1451</v>
      </c>
      <c r="K336" s="51">
        <v>40843</v>
      </c>
      <c r="L336" s="115">
        <v>40835</v>
      </c>
      <c r="M336" s="50">
        <f t="shared" si="14"/>
        <v>8</v>
      </c>
      <c r="N336" s="50" t="s">
        <v>2</v>
      </c>
      <c r="O336" s="131">
        <f>1.4/2</f>
        <v>0.7</v>
      </c>
      <c r="P336" s="117"/>
      <c r="Q336" s="131">
        <v>6.85</v>
      </c>
      <c r="R336" s="50">
        <v>46</v>
      </c>
      <c r="S336" s="74">
        <f>5/2</f>
        <v>2.5</v>
      </c>
      <c r="T336" s="50">
        <v>0.08</v>
      </c>
      <c r="U336" s="131">
        <v>0.74</v>
      </c>
      <c r="V336" s="50">
        <v>2.4</v>
      </c>
      <c r="W336" s="74">
        <v>2E-3</v>
      </c>
      <c r="X336" s="50">
        <v>1.7000000000000001E-2</v>
      </c>
      <c r="Y336" s="74">
        <f>0.002/2</f>
        <v>1E-3</v>
      </c>
      <c r="Z336" s="271">
        <v>1</v>
      </c>
      <c r="AA336" s="271">
        <v>1</v>
      </c>
      <c r="AB336" s="114">
        <v>40</v>
      </c>
      <c r="AC336" s="50">
        <v>154</v>
      </c>
      <c r="AD336" s="271">
        <v>1</v>
      </c>
    </row>
    <row r="337" spans="1:50" ht="15" customHeight="1">
      <c r="A337" s="41" t="s">
        <v>183</v>
      </c>
      <c r="B337" s="402" t="s">
        <v>1452</v>
      </c>
      <c r="C337" s="113" t="s">
        <v>1453</v>
      </c>
      <c r="D337" s="393" t="s">
        <v>406</v>
      </c>
      <c r="E337" s="394" t="s">
        <v>398</v>
      </c>
      <c r="G337" s="405" t="s">
        <v>1454</v>
      </c>
      <c r="H337" s="49">
        <v>5171</v>
      </c>
      <c r="I337" s="50" t="s">
        <v>2</v>
      </c>
      <c r="J337" s="76" t="s">
        <v>1455</v>
      </c>
      <c r="K337" s="51">
        <v>40969</v>
      </c>
      <c r="L337" s="115">
        <v>40963</v>
      </c>
      <c r="M337" s="50">
        <f t="shared" si="14"/>
        <v>6</v>
      </c>
      <c r="N337" s="50" t="s">
        <v>2</v>
      </c>
      <c r="O337" s="131">
        <f>5/2</f>
        <v>2.5</v>
      </c>
      <c r="P337" s="117">
        <v>6</v>
      </c>
      <c r="Q337" s="131">
        <v>7.2</v>
      </c>
      <c r="R337" s="50">
        <v>16.600000000000001</v>
      </c>
      <c r="S337" s="74">
        <v>1</v>
      </c>
      <c r="T337" s="50">
        <f>0.02/2</f>
        <v>0.01</v>
      </c>
      <c r="U337" s="152">
        <f>0.5/2</f>
        <v>0.25</v>
      </c>
      <c r="V337" s="50">
        <v>1.66</v>
      </c>
      <c r="W337" s="49">
        <f>0.002/2</f>
        <v>1E-3</v>
      </c>
      <c r="X337" s="50">
        <f>0.02/2</f>
        <v>0.01</v>
      </c>
      <c r="Y337" s="113">
        <f>0.001/2</f>
        <v>5.0000000000000001E-4</v>
      </c>
      <c r="Z337" s="271">
        <v>1</v>
      </c>
      <c r="AA337" s="271">
        <v>1</v>
      </c>
      <c r="AB337" s="114">
        <v>63.6</v>
      </c>
      <c r="AC337" s="50">
        <v>655</v>
      </c>
      <c r="AD337" s="271">
        <v>1</v>
      </c>
    </row>
    <row r="338" spans="1:50" ht="15" customHeight="1">
      <c r="A338" s="41" t="s">
        <v>183</v>
      </c>
      <c r="B338" s="402" t="s">
        <v>1647</v>
      </c>
      <c r="C338" s="113" t="s">
        <v>1647</v>
      </c>
      <c r="D338" s="393" t="s">
        <v>434</v>
      </c>
      <c r="E338" s="394" t="s">
        <v>1648</v>
      </c>
      <c r="G338" s="405" t="s">
        <v>1649</v>
      </c>
      <c r="H338" s="49">
        <v>2869</v>
      </c>
      <c r="I338" s="50" t="s">
        <v>2</v>
      </c>
      <c r="J338" s="76" t="s">
        <v>1650</v>
      </c>
      <c r="K338" s="51">
        <v>41136</v>
      </c>
      <c r="L338" s="115">
        <v>41133</v>
      </c>
      <c r="M338" s="50">
        <v>3</v>
      </c>
      <c r="N338" s="50" t="s">
        <v>2</v>
      </c>
      <c r="O338" s="131">
        <f>1/2</f>
        <v>0.5</v>
      </c>
      <c r="P338" s="117">
        <v>4.96</v>
      </c>
      <c r="Q338" s="131">
        <v>4.88</v>
      </c>
      <c r="R338" s="50">
        <v>22</v>
      </c>
      <c r="S338" s="74">
        <f>1/2</f>
        <v>0.5</v>
      </c>
      <c r="T338" s="50">
        <f t="shared" ref="T338:T347" si="15">0.1/2</f>
        <v>0.05</v>
      </c>
      <c r="U338" s="131">
        <v>0.77</v>
      </c>
      <c r="V338" s="50">
        <v>0.41</v>
      </c>
      <c r="W338" s="74">
        <f>0.05/2</f>
        <v>2.5000000000000001E-2</v>
      </c>
      <c r="X338" s="50">
        <v>0.51</v>
      </c>
      <c r="Y338" s="74">
        <f>0.05/2</f>
        <v>2.5000000000000001E-2</v>
      </c>
      <c r="Z338" s="271">
        <v>0.79400000000000004</v>
      </c>
      <c r="AA338" s="271">
        <v>0.53600000000000003</v>
      </c>
      <c r="AB338" s="114">
        <f>1/2</f>
        <v>0.5</v>
      </c>
      <c r="AC338" s="50">
        <v>19</v>
      </c>
      <c r="AD338" s="271">
        <v>0</v>
      </c>
    </row>
    <row r="339" spans="1:50" ht="15" customHeight="1">
      <c r="A339" s="41" t="s">
        <v>183</v>
      </c>
      <c r="B339" s="402" t="s">
        <v>1287</v>
      </c>
      <c r="C339" s="113" t="s">
        <v>1651</v>
      </c>
      <c r="D339" s="393" t="s">
        <v>434</v>
      </c>
      <c r="E339" s="394" t="s">
        <v>1652</v>
      </c>
      <c r="G339" s="405" t="s">
        <v>1653</v>
      </c>
      <c r="H339" s="49">
        <v>3721</v>
      </c>
      <c r="I339" s="50" t="s">
        <v>1</v>
      </c>
      <c r="J339" s="76" t="s">
        <v>1654</v>
      </c>
      <c r="K339" s="51">
        <v>41072</v>
      </c>
      <c r="L339" s="115">
        <v>41067</v>
      </c>
      <c r="M339" s="50">
        <v>5</v>
      </c>
      <c r="N339" s="50" t="s">
        <v>2</v>
      </c>
      <c r="O339" s="131">
        <f>1/2</f>
        <v>0.5</v>
      </c>
      <c r="P339" s="117">
        <v>6.41</v>
      </c>
      <c r="Q339" s="131">
        <v>6.38</v>
      </c>
      <c r="R339" s="50">
        <v>59</v>
      </c>
      <c r="S339" s="74">
        <v>12</v>
      </c>
      <c r="T339" s="50">
        <f t="shared" si="15"/>
        <v>0.05</v>
      </c>
      <c r="U339" s="131">
        <v>2</v>
      </c>
      <c r="V339" s="50">
        <v>2.2000000000000002</v>
      </c>
      <c r="W339" s="74">
        <v>3.6999999999999998E-2</v>
      </c>
      <c r="X339" s="50">
        <v>0.17</v>
      </c>
      <c r="Y339" s="74">
        <v>2.7E-2</v>
      </c>
      <c r="Z339" s="271">
        <v>1</v>
      </c>
      <c r="AA339" s="271">
        <v>1</v>
      </c>
      <c r="AB339" s="114">
        <v>25</v>
      </c>
      <c r="AC339" s="50">
        <v>226</v>
      </c>
      <c r="AD339" s="271">
        <v>0.85</v>
      </c>
      <c r="AI339" s="114">
        <f>100/2</f>
        <v>50</v>
      </c>
      <c r="AX339" s="5">
        <f t="shared" ref="AX339:AX354" si="16">0.1/2</f>
        <v>0.05</v>
      </c>
    </row>
    <row r="340" spans="1:50" ht="15" customHeight="1">
      <c r="A340" s="41" t="s">
        <v>183</v>
      </c>
      <c r="B340" s="402" t="s">
        <v>1287</v>
      </c>
      <c r="C340" s="113" t="s">
        <v>1651</v>
      </c>
      <c r="D340" s="393" t="s">
        <v>434</v>
      </c>
      <c r="E340" s="394" t="s">
        <v>1652</v>
      </c>
      <c r="G340" s="405" t="s">
        <v>1653</v>
      </c>
      <c r="H340" s="49">
        <v>3721</v>
      </c>
      <c r="I340" s="50" t="s">
        <v>1</v>
      </c>
      <c r="J340" s="76" t="s">
        <v>1655</v>
      </c>
      <c r="K340" s="51">
        <v>41072</v>
      </c>
      <c r="L340" s="115">
        <v>41067</v>
      </c>
      <c r="M340" s="50">
        <v>5</v>
      </c>
      <c r="N340" s="50" t="s">
        <v>2</v>
      </c>
      <c r="O340" s="131">
        <f>1/2</f>
        <v>0.5</v>
      </c>
      <c r="P340" s="117">
        <v>6.41</v>
      </c>
      <c r="Q340" s="131">
        <v>6.64</v>
      </c>
      <c r="R340" s="50">
        <v>57</v>
      </c>
      <c r="S340" s="74">
        <v>9</v>
      </c>
      <c r="T340" s="50">
        <f t="shared" si="15"/>
        <v>0.05</v>
      </c>
      <c r="U340" s="131">
        <v>1.6</v>
      </c>
      <c r="V340" s="50">
        <v>0.82</v>
      </c>
      <c r="W340" s="74">
        <v>1.7999999999999999E-2</v>
      </c>
      <c r="X340" s="50">
        <v>9.7000000000000003E-2</v>
      </c>
      <c r="Y340" s="74">
        <v>1.6E-2</v>
      </c>
      <c r="Z340" s="271">
        <v>1</v>
      </c>
      <c r="AA340" s="271">
        <v>1</v>
      </c>
      <c r="AB340" s="114">
        <v>10</v>
      </c>
      <c r="AC340" s="50">
        <v>48</v>
      </c>
      <c r="AD340" s="271">
        <v>0.65</v>
      </c>
      <c r="AI340" s="114">
        <v>100</v>
      </c>
      <c r="AX340" s="5">
        <f t="shared" si="16"/>
        <v>0.05</v>
      </c>
    </row>
    <row r="341" spans="1:50" ht="15" customHeight="1">
      <c r="A341" s="41" t="s">
        <v>183</v>
      </c>
      <c r="B341" s="402" t="s">
        <v>1287</v>
      </c>
      <c r="C341" s="113" t="s">
        <v>1651</v>
      </c>
      <c r="D341" s="393" t="s">
        <v>434</v>
      </c>
      <c r="E341" s="394" t="s">
        <v>1652</v>
      </c>
      <c r="G341" s="405" t="s">
        <v>1653</v>
      </c>
      <c r="H341" s="49">
        <v>3721</v>
      </c>
      <c r="I341" s="50" t="s">
        <v>1</v>
      </c>
      <c r="J341" s="76" t="s">
        <v>1656</v>
      </c>
      <c r="K341" s="51">
        <v>41072</v>
      </c>
      <c r="L341" s="115">
        <v>41067</v>
      </c>
      <c r="M341" s="50">
        <v>5</v>
      </c>
      <c r="N341" s="50" t="s">
        <v>2</v>
      </c>
      <c r="O341" s="131">
        <v>1</v>
      </c>
      <c r="P341" s="117">
        <v>6.41</v>
      </c>
      <c r="Q341" s="131">
        <v>6.74</v>
      </c>
      <c r="R341" s="50">
        <v>88</v>
      </c>
      <c r="S341" s="74">
        <v>10</v>
      </c>
      <c r="T341" s="50">
        <f t="shared" si="15"/>
        <v>0.05</v>
      </c>
      <c r="U341" s="131">
        <v>3</v>
      </c>
      <c r="V341" s="50">
        <v>1.2</v>
      </c>
      <c r="W341" s="74">
        <v>2.8000000000000001E-2</v>
      </c>
      <c r="X341" s="50">
        <v>0.2</v>
      </c>
      <c r="Y341" s="74">
        <v>1.4999999999999999E-2</v>
      </c>
      <c r="Z341" s="271">
        <v>1</v>
      </c>
      <c r="AA341" s="271">
        <v>1</v>
      </c>
      <c r="AB341" s="114">
        <v>20</v>
      </c>
      <c r="AC341" s="50">
        <v>84</v>
      </c>
      <c r="AD341" s="271">
        <v>0.65</v>
      </c>
      <c r="AI341" s="114">
        <v>100</v>
      </c>
      <c r="AX341" s="5">
        <f t="shared" si="16"/>
        <v>0.05</v>
      </c>
    </row>
    <row r="342" spans="1:50" ht="15" customHeight="1">
      <c r="A342" s="41" t="s">
        <v>183</v>
      </c>
      <c r="B342" s="402" t="s">
        <v>1287</v>
      </c>
      <c r="C342" s="113" t="s">
        <v>1651</v>
      </c>
      <c r="D342" s="393" t="s">
        <v>434</v>
      </c>
      <c r="E342" s="394" t="s">
        <v>1652</v>
      </c>
      <c r="G342" s="405" t="s">
        <v>1653</v>
      </c>
      <c r="H342" s="49">
        <v>3721</v>
      </c>
      <c r="I342" s="50" t="s">
        <v>1</v>
      </c>
      <c r="J342" s="76" t="s">
        <v>1657</v>
      </c>
      <c r="K342" s="51">
        <v>41072</v>
      </c>
      <c r="L342" s="115">
        <v>41067</v>
      </c>
      <c r="M342" s="50">
        <v>5</v>
      </c>
      <c r="N342" s="50" t="s">
        <v>2</v>
      </c>
      <c r="O342" s="131">
        <v>1.2</v>
      </c>
      <c r="P342" s="117">
        <v>6.41</v>
      </c>
      <c r="Q342" s="131">
        <v>6.35</v>
      </c>
      <c r="R342" s="50">
        <v>92</v>
      </c>
      <c r="S342" s="74">
        <v>23</v>
      </c>
      <c r="T342" s="50">
        <f t="shared" si="15"/>
        <v>0.05</v>
      </c>
      <c r="U342" s="131">
        <v>1.7</v>
      </c>
      <c r="V342" s="50">
        <v>0.75</v>
      </c>
      <c r="W342" s="74">
        <v>1.2999999999999999E-2</v>
      </c>
      <c r="X342" s="50">
        <v>0.25</v>
      </c>
      <c r="Y342" s="74">
        <v>1.2999999999999999E-2</v>
      </c>
      <c r="Z342" s="271">
        <v>1</v>
      </c>
      <c r="AA342" s="271">
        <v>1</v>
      </c>
      <c r="AB342" s="114">
        <v>35</v>
      </c>
      <c r="AC342" s="50">
        <v>148</v>
      </c>
      <c r="AD342" s="271">
        <v>1</v>
      </c>
      <c r="AI342" s="114">
        <v>500</v>
      </c>
      <c r="AX342" s="5">
        <f t="shared" si="16"/>
        <v>0.05</v>
      </c>
    </row>
    <row r="343" spans="1:50" ht="15" customHeight="1">
      <c r="A343" s="41" t="s">
        <v>183</v>
      </c>
      <c r="B343" s="402" t="s">
        <v>1287</v>
      </c>
      <c r="C343" s="113" t="s">
        <v>1651</v>
      </c>
      <c r="D343" s="393" t="s">
        <v>434</v>
      </c>
      <c r="E343" s="394" t="s">
        <v>1652</v>
      </c>
      <c r="G343" s="405" t="s">
        <v>1653</v>
      </c>
      <c r="H343" s="49">
        <v>3721</v>
      </c>
      <c r="I343" s="50" t="s">
        <v>1</v>
      </c>
      <c r="J343" s="76" t="s">
        <v>1658</v>
      </c>
      <c r="K343" s="51">
        <v>41072</v>
      </c>
      <c r="L343" s="115">
        <v>41067</v>
      </c>
      <c r="M343" s="50">
        <v>5</v>
      </c>
      <c r="N343" s="50" t="s">
        <v>2</v>
      </c>
      <c r="O343" s="131">
        <v>1.8</v>
      </c>
      <c r="P343" s="117">
        <v>6.41</v>
      </c>
      <c r="Q343" s="131">
        <v>6.86</v>
      </c>
      <c r="R343" s="50">
        <v>100</v>
      </c>
      <c r="S343" s="74">
        <v>16</v>
      </c>
      <c r="T343" s="50">
        <f t="shared" si="15"/>
        <v>0.05</v>
      </c>
      <c r="U343" s="131">
        <v>2.5</v>
      </c>
      <c r="V343" s="50">
        <v>2.2000000000000002</v>
      </c>
      <c r="W343" s="74">
        <v>3.5000000000000003E-2</v>
      </c>
      <c r="X343" s="50">
        <v>0.16</v>
      </c>
      <c r="Y343" s="74">
        <f>0.013/2</f>
        <v>6.4999999999999997E-3</v>
      </c>
      <c r="Z343" s="271">
        <v>1</v>
      </c>
      <c r="AA343" s="271">
        <v>1</v>
      </c>
      <c r="AB343" s="114">
        <v>48</v>
      </c>
      <c r="AC343" s="50">
        <v>276</v>
      </c>
      <c r="AD343" s="271">
        <v>1</v>
      </c>
      <c r="AI343" s="114">
        <v>200</v>
      </c>
      <c r="AX343" s="5">
        <f t="shared" si="16"/>
        <v>0.05</v>
      </c>
    </row>
    <row r="344" spans="1:50" ht="15" customHeight="1">
      <c r="A344" s="41" t="s">
        <v>183</v>
      </c>
      <c r="B344" s="402" t="s">
        <v>1287</v>
      </c>
      <c r="C344" s="113" t="s">
        <v>1651</v>
      </c>
      <c r="D344" s="393" t="s">
        <v>434</v>
      </c>
      <c r="E344" s="394" t="s">
        <v>1652</v>
      </c>
      <c r="G344" s="405" t="s">
        <v>1653</v>
      </c>
      <c r="H344" s="49">
        <v>3721</v>
      </c>
      <c r="I344" s="50" t="s">
        <v>1</v>
      </c>
      <c r="J344" s="76" t="s">
        <v>1659</v>
      </c>
      <c r="K344" s="51">
        <v>41072</v>
      </c>
      <c r="L344" s="115">
        <v>41067</v>
      </c>
      <c r="M344" s="50">
        <v>5</v>
      </c>
      <c r="N344" s="50" t="s">
        <v>2</v>
      </c>
      <c r="O344" s="131">
        <v>2.2000000000000002</v>
      </c>
      <c r="P344" s="117">
        <v>6.41</v>
      </c>
      <c r="Q344" s="131">
        <v>6.8</v>
      </c>
      <c r="R344" s="50">
        <v>120</v>
      </c>
      <c r="S344" s="74">
        <v>98</v>
      </c>
      <c r="T344" s="50">
        <f t="shared" si="15"/>
        <v>0.05</v>
      </c>
      <c r="U344" s="131">
        <v>1.3</v>
      </c>
      <c r="V344" s="50">
        <v>0.46</v>
      </c>
      <c r="W344" s="74">
        <v>4.2999999999999997E-2</v>
      </c>
      <c r="X344" s="50">
        <v>0.36</v>
      </c>
      <c r="Y344" s="74">
        <v>1.4E-2</v>
      </c>
      <c r="Z344" s="271">
        <v>1</v>
      </c>
      <c r="AA344" s="271">
        <v>1</v>
      </c>
      <c r="AB344" s="114">
        <v>28</v>
      </c>
      <c r="AC344" s="50">
        <v>56</v>
      </c>
      <c r="AD344" s="271">
        <v>1</v>
      </c>
      <c r="AI344" s="114">
        <v>400</v>
      </c>
      <c r="AX344" s="5">
        <f t="shared" si="16"/>
        <v>0.05</v>
      </c>
    </row>
    <row r="345" spans="1:50" ht="15" customHeight="1">
      <c r="A345" s="41" t="s">
        <v>183</v>
      </c>
      <c r="B345" s="402" t="s">
        <v>1287</v>
      </c>
      <c r="C345" s="113" t="s">
        <v>1651</v>
      </c>
      <c r="D345" s="393" t="s">
        <v>434</v>
      </c>
      <c r="E345" s="394" t="s">
        <v>1652</v>
      </c>
      <c r="G345" s="405" t="s">
        <v>1653</v>
      </c>
      <c r="H345" s="49">
        <v>3721</v>
      </c>
      <c r="I345" s="50" t="s">
        <v>1</v>
      </c>
      <c r="J345" s="76" t="s">
        <v>1660</v>
      </c>
      <c r="K345" s="51">
        <v>41072</v>
      </c>
      <c r="L345" s="115">
        <v>41067</v>
      </c>
      <c r="M345" s="50">
        <v>5</v>
      </c>
      <c r="N345" s="50" t="s">
        <v>2</v>
      </c>
      <c r="O345" s="131">
        <v>1.5</v>
      </c>
      <c r="P345" s="117">
        <v>6.41</v>
      </c>
      <c r="Q345" s="131">
        <v>6.52</v>
      </c>
      <c r="R345" s="50">
        <v>80</v>
      </c>
      <c r="S345" s="74">
        <v>12</v>
      </c>
      <c r="T345" s="50">
        <f t="shared" si="15"/>
        <v>0.05</v>
      </c>
      <c r="U345" s="131">
        <v>2.2000000000000002</v>
      </c>
      <c r="V345" s="50">
        <v>1.2</v>
      </c>
      <c r="W345" s="74">
        <v>2.4E-2</v>
      </c>
      <c r="X345" s="50">
        <v>0.32</v>
      </c>
      <c r="Y345" s="74">
        <f>0.013/2</f>
        <v>6.4999999999999997E-3</v>
      </c>
      <c r="Z345" s="271">
        <v>1</v>
      </c>
      <c r="AA345" s="271">
        <v>0.95499999999999996</v>
      </c>
      <c r="AB345" s="114">
        <v>19</v>
      </c>
      <c r="AC345" s="50">
        <v>91</v>
      </c>
      <c r="AD345" s="271">
        <v>0.45</v>
      </c>
      <c r="AI345" s="114">
        <f>100/2</f>
        <v>50</v>
      </c>
      <c r="AX345" s="5">
        <f t="shared" si="16"/>
        <v>0.05</v>
      </c>
    </row>
    <row r="346" spans="1:50" ht="15" customHeight="1">
      <c r="A346" s="41" t="s">
        <v>183</v>
      </c>
      <c r="B346" s="402" t="s">
        <v>1287</v>
      </c>
      <c r="C346" s="113" t="s">
        <v>1651</v>
      </c>
      <c r="D346" s="393" t="s">
        <v>434</v>
      </c>
      <c r="E346" s="394" t="s">
        <v>1652</v>
      </c>
      <c r="G346" s="405" t="s">
        <v>1653</v>
      </c>
      <c r="H346" s="49">
        <v>3721</v>
      </c>
      <c r="I346" s="50" t="s">
        <v>1</v>
      </c>
      <c r="J346" s="76" t="s">
        <v>1661</v>
      </c>
      <c r="K346" s="51">
        <v>41072</v>
      </c>
      <c r="L346" s="115">
        <v>41067</v>
      </c>
      <c r="M346" s="50">
        <v>5</v>
      </c>
      <c r="N346" s="50" t="s">
        <v>2</v>
      </c>
      <c r="O346" s="131">
        <v>2</v>
      </c>
      <c r="P346" s="117">
        <v>6.41</v>
      </c>
      <c r="Q346" s="131">
        <v>5.72</v>
      </c>
      <c r="R346" s="50">
        <v>94</v>
      </c>
      <c r="S346" s="74">
        <v>5</v>
      </c>
      <c r="T346" s="50">
        <f t="shared" si="15"/>
        <v>0.05</v>
      </c>
      <c r="U346" s="131">
        <v>1.7</v>
      </c>
      <c r="V346" s="50">
        <v>0.71</v>
      </c>
      <c r="W346" s="74">
        <v>1.2E-2</v>
      </c>
      <c r="X346" s="50">
        <v>3.4000000000000002E-2</v>
      </c>
      <c r="Y346" s="74">
        <f>0.013/2</f>
        <v>6.4999999999999997E-3</v>
      </c>
      <c r="Z346" s="271">
        <v>1</v>
      </c>
      <c r="AA346" s="271">
        <v>1</v>
      </c>
      <c r="AB346" s="114">
        <v>10</v>
      </c>
      <c r="AC346" s="50">
        <v>34</v>
      </c>
      <c r="AD346" s="271">
        <v>1</v>
      </c>
      <c r="AI346" s="114">
        <v>600</v>
      </c>
      <c r="AX346" s="5">
        <f t="shared" si="16"/>
        <v>0.05</v>
      </c>
    </row>
    <row r="347" spans="1:50" ht="15" customHeight="1">
      <c r="A347" s="41" t="s">
        <v>183</v>
      </c>
      <c r="B347" s="402" t="s">
        <v>1287</v>
      </c>
      <c r="C347" s="113" t="s">
        <v>1651</v>
      </c>
      <c r="D347" s="393" t="s">
        <v>434</v>
      </c>
      <c r="E347" s="394" t="s">
        <v>1652</v>
      </c>
      <c r="G347" s="405" t="s">
        <v>1653</v>
      </c>
      <c r="H347" s="49">
        <v>3721</v>
      </c>
      <c r="I347" s="50" t="s">
        <v>1</v>
      </c>
      <c r="J347" s="76" t="s">
        <v>1662</v>
      </c>
      <c r="K347" s="51">
        <v>41072</v>
      </c>
      <c r="L347" s="115">
        <v>41067</v>
      </c>
      <c r="M347" s="50">
        <v>5</v>
      </c>
      <c r="N347" s="50" t="s">
        <v>2</v>
      </c>
      <c r="O347" s="131">
        <f>1/2</f>
        <v>0.5</v>
      </c>
      <c r="P347" s="117">
        <v>6.41</v>
      </c>
      <c r="Q347" s="131">
        <v>6.39</v>
      </c>
      <c r="R347" s="50">
        <v>59</v>
      </c>
      <c r="S347" s="74">
        <v>41</v>
      </c>
      <c r="T347" s="50">
        <f t="shared" si="15"/>
        <v>0.05</v>
      </c>
      <c r="U347" s="131">
        <v>1.3</v>
      </c>
      <c r="V347" s="50">
        <v>0.73</v>
      </c>
      <c r="W347" s="74">
        <f>0.01/2</f>
        <v>5.0000000000000001E-3</v>
      </c>
      <c r="X347" s="50">
        <v>2.1000000000000001E-2</v>
      </c>
      <c r="Y347" s="74">
        <f>0.013/2</f>
        <v>6.4999999999999997E-3</v>
      </c>
      <c r="Z347" s="271">
        <v>1</v>
      </c>
      <c r="AA347" s="271">
        <v>1</v>
      </c>
      <c r="AB347" s="114">
        <v>10</v>
      </c>
      <c r="AC347" s="50">
        <v>61</v>
      </c>
      <c r="AD347" s="271">
        <v>1</v>
      </c>
      <c r="AI347" s="114">
        <v>400</v>
      </c>
      <c r="AX347" s="5">
        <f t="shared" si="16"/>
        <v>0.05</v>
      </c>
    </row>
    <row r="348" spans="1:50" ht="15" customHeight="1">
      <c r="A348" s="41" t="s">
        <v>183</v>
      </c>
      <c r="B348" s="402" t="s">
        <v>1287</v>
      </c>
      <c r="C348" s="113" t="s">
        <v>1651</v>
      </c>
      <c r="D348" s="393" t="s">
        <v>434</v>
      </c>
      <c r="E348" s="394" t="s">
        <v>1652</v>
      </c>
      <c r="G348" s="405" t="s">
        <v>1653</v>
      </c>
      <c r="H348" s="49">
        <v>3721</v>
      </c>
      <c r="I348" s="50" t="s">
        <v>1</v>
      </c>
      <c r="J348" s="76" t="s">
        <v>1663</v>
      </c>
      <c r="K348" s="51">
        <v>41072</v>
      </c>
      <c r="L348" s="115">
        <v>41067</v>
      </c>
      <c r="M348" s="50">
        <v>5</v>
      </c>
      <c r="N348" s="50" t="s">
        <v>2</v>
      </c>
      <c r="O348" s="131">
        <v>6.9</v>
      </c>
      <c r="P348" s="117">
        <v>6.41</v>
      </c>
      <c r="Q348" s="131">
        <v>6.58</v>
      </c>
      <c r="R348" s="50">
        <v>280</v>
      </c>
      <c r="S348" s="74">
        <v>880</v>
      </c>
      <c r="T348" s="50">
        <v>0.57999999999999996</v>
      </c>
      <c r="U348" s="131">
        <v>1.2</v>
      </c>
      <c r="V348" s="50">
        <v>0.73</v>
      </c>
      <c r="W348" s="74">
        <v>0.22</v>
      </c>
      <c r="X348" s="50">
        <v>1.3</v>
      </c>
      <c r="Y348" s="74">
        <v>0.2</v>
      </c>
      <c r="Z348" s="271">
        <v>0.35399999999999998</v>
      </c>
      <c r="AA348" s="271">
        <v>0.27700000000000002</v>
      </c>
      <c r="AB348" s="114">
        <v>47</v>
      </c>
      <c r="AC348" s="50">
        <v>436</v>
      </c>
      <c r="AD348" s="271">
        <v>0</v>
      </c>
      <c r="AI348" s="114">
        <v>100</v>
      </c>
      <c r="AX348" s="5">
        <f t="shared" si="16"/>
        <v>0.05</v>
      </c>
    </row>
    <row r="349" spans="1:50" ht="15" customHeight="1">
      <c r="A349" s="41" t="s">
        <v>183</v>
      </c>
      <c r="B349" s="402" t="s">
        <v>1287</v>
      </c>
      <c r="C349" s="113" t="s">
        <v>1651</v>
      </c>
      <c r="D349" s="393" t="s">
        <v>434</v>
      </c>
      <c r="E349" s="394" t="s">
        <v>1652</v>
      </c>
      <c r="G349" s="405" t="s">
        <v>1653</v>
      </c>
      <c r="H349" s="49">
        <v>3721</v>
      </c>
      <c r="I349" s="50" t="s">
        <v>1</v>
      </c>
      <c r="J349" s="76" t="s">
        <v>1664</v>
      </c>
      <c r="K349" s="51">
        <v>41072</v>
      </c>
      <c r="L349" s="115">
        <v>41067</v>
      </c>
      <c r="M349" s="50">
        <v>5</v>
      </c>
      <c r="N349" s="50" t="s">
        <v>2</v>
      </c>
      <c r="O349" s="131">
        <v>2</v>
      </c>
      <c r="P349" s="117">
        <v>6.41</v>
      </c>
      <c r="Q349" s="131">
        <v>6.68</v>
      </c>
      <c r="R349" s="50">
        <v>210</v>
      </c>
      <c r="S349" s="74">
        <v>200</v>
      </c>
      <c r="T349" s="50">
        <v>0.33</v>
      </c>
      <c r="U349" s="131">
        <v>2.2999999999999998</v>
      </c>
      <c r="V349" s="50">
        <v>0.87</v>
      </c>
      <c r="W349" s="74">
        <v>7.3999999999999996E-2</v>
      </c>
      <c r="X349" s="50">
        <v>0.3</v>
      </c>
      <c r="Y349" s="74">
        <v>2.7E-2</v>
      </c>
      <c r="Z349" s="271">
        <v>1</v>
      </c>
      <c r="AA349" s="271">
        <v>1</v>
      </c>
      <c r="AB349" s="114">
        <v>34</v>
      </c>
      <c r="AC349" s="50">
        <v>196</v>
      </c>
      <c r="AD349" s="271">
        <v>1</v>
      </c>
      <c r="AI349" s="114">
        <v>100</v>
      </c>
      <c r="AX349" s="5">
        <f t="shared" si="16"/>
        <v>0.05</v>
      </c>
    </row>
    <row r="350" spans="1:50" ht="15" customHeight="1">
      <c r="A350" s="41" t="s">
        <v>183</v>
      </c>
      <c r="B350" s="402" t="s">
        <v>1287</v>
      </c>
      <c r="C350" s="113" t="s">
        <v>1651</v>
      </c>
      <c r="D350" s="393" t="s">
        <v>434</v>
      </c>
      <c r="E350" s="394" t="s">
        <v>1652</v>
      </c>
      <c r="G350" s="405" t="s">
        <v>1653</v>
      </c>
      <c r="H350" s="49">
        <v>3721</v>
      </c>
      <c r="I350" s="50" t="s">
        <v>1</v>
      </c>
      <c r="J350" s="76" t="s">
        <v>1665</v>
      </c>
      <c r="K350" s="51">
        <v>41072</v>
      </c>
      <c r="L350" s="115">
        <v>41067</v>
      </c>
      <c r="M350" s="50">
        <v>5</v>
      </c>
      <c r="N350" s="50" t="s">
        <v>2</v>
      </c>
      <c r="O350" s="131">
        <v>2.5</v>
      </c>
      <c r="P350" s="117">
        <v>6.41</v>
      </c>
      <c r="Q350" s="131">
        <v>7.22</v>
      </c>
      <c r="R350" s="50">
        <v>98</v>
      </c>
      <c r="S350" s="74">
        <v>32</v>
      </c>
      <c r="T350" s="50">
        <f>0.1/2</f>
        <v>0.05</v>
      </c>
      <c r="U350" s="131">
        <v>1.5</v>
      </c>
      <c r="V350" s="50">
        <v>0.67</v>
      </c>
      <c r="W350" s="74">
        <v>2.9000000000000001E-2</v>
      </c>
      <c r="X350" s="50">
        <v>0.11</v>
      </c>
      <c r="Y350" s="74">
        <f>0.013/2</f>
        <v>6.4999999999999997E-3</v>
      </c>
      <c r="Z350" s="271">
        <v>1</v>
      </c>
      <c r="AA350" s="271">
        <v>1</v>
      </c>
      <c r="AB350" s="114">
        <v>13</v>
      </c>
      <c r="AC350" s="50">
        <v>73</v>
      </c>
      <c r="AD350" s="271">
        <v>1</v>
      </c>
      <c r="AI350" s="114">
        <v>4500</v>
      </c>
      <c r="AX350" s="5">
        <f t="shared" si="16"/>
        <v>0.05</v>
      </c>
    </row>
    <row r="351" spans="1:50" ht="15" customHeight="1">
      <c r="A351" s="41" t="s">
        <v>183</v>
      </c>
      <c r="B351" s="402" t="s">
        <v>1287</v>
      </c>
      <c r="C351" s="113" t="s">
        <v>1651</v>
      </c>
      <c r="D351" s="393" t="s">
        <v>434</v>
      </c>
      <c r="E351" s="394" t="s">
        <v>1652</v>
      </c>
      <c r="G351" s="405" t="s">
        <v>1653</v>
      </c>
      <c r="H351" s="49">
        <v>3721</v>
      </c>
      <c r="I351" s="50" t="s">
        <v>1</v>
      </c>
      <c r="J351" s="76" t="s">
        <v>1666</v>
      </c>
      <c r="K351" s="51">
        <v>41072</v>
      </c>
      <c r="L351" s="115">
        <v>41067</v>
      </c>
      <c r="M351" s="50">
        <v>5</v>
      </c>
      <c r="N351" s="50" t="s">
        <v>2</v>
      </c>
      <c r="O351" s="131">
        <v>1</v>
      </c>
      <c r="P351" s="117">
        <v>6.41</v>
      </c>
      <c r="Q351" s="131">
        <v>7.48</v>
      </c>
      <c r="R351" s="50">
        <v>35</v>
      </c>
      <c r="S351" s="74">
        <v>8</v>
      </c>
      <c r="T351" s="50">
        <f>0.1/2</f>
        <v>0.05</v>
      </c>
      <c r="U351" s="131">
        <f>1/2</f>
        <v>0.5</v>
      </c>
      <c r="V351" s="50">
        <v>3.6</v>
      </c>
      <c r="W351" s="74">
        <f>0.01/2</f>
        <v>5.0000000000000001E-3</v>
      </c>
      <c r="X351" s="50">
        <f>0.02/2</f>
        <v>0.01</v>
      </c>
      <c r="Y351" s="74">
        <f>0.013/2</f>
        <v>6.4999999999999997E-3</v>
      </c>
      <c r="Z351" s="271">
        <v>1</v>
      </c>
      <c r="AA351" s="271">
        <v>1</v>
      </c>
      <c r="AB351" s="114">
        <v>66</v>
      </c>
      <c r="AC351" s="50">
        <v>35</v>
      </c>
      <c r="AD351" s="271">
        <v>1</v>
      </c>
      <c r="AI351" s="114">
        <v>900</v>
      </c>
      <c r="AX351" s="5">
        <f t="shared" si="16"/>
        <v>0.05</v>
      </c>
    </row>
    <row r="352" spans="1:50" ht="15" customHeight="1">
      <c r="A352" s="41" t="s">
        <v>183</v>
      </c>
      <c r="B352" s="402" t="s">
        <v>1287</v>
      </c>
      <c r="C352" s="113" t="s">
        <v>1651</v>
      </c>
      <c r="D352" s="393" t="s">
        <v>434</v>
      </c>
      <c r="E352" s="394" t="s">
        <v>1652</v>
      </c>
      <c r="G352" s="405" t="s">
        <v>1653</v>
      </c>
      <c r="H352" s="49">
        <v>3721</v>
      </c>
      <c r="I352" s="50" t="s">
        <v>1</v>
      </c>
      <c r="J352" s="76" t="s">
        <v>1667</v>
      </c>
      <c r="K352" s="51">
        <v>41072</v>
      </c>
      <c r="L352" s="115">
        <v>41067</v>
      </c>
      <c r="M352" s="50">
        <v>5</v>
      </c>
      <c r="N352" s="50" t="s">
        <v>2</v>
      </c>
      <c r="O352" s="131">
        <v>1.3</v>
      </c>
      <c r="P352" s="117">
        <v>6.41</v>
      </c>
      <c r="Q352" s="131">
        <v>6.75</v>
      </c>
      <c r="R352" s="50">
        <v>120</v>
      </c>
      <c r="S352" s="74">
        <v>58</v>
      </c>
      <c r="T352" s="50">
        <f>0.1/2</f>
        <v>0.05</v>
      </c>
      <c r="U352" s="131">
        <v>2.4</v>
      </c>
      <c r="V352" s="50">
        <v>1.2</v>
      </c>
      <c r="W352" s="74">
        <v>2.3E-2</v>
      </c>
      <c r="X352" s="50">
        <v>0.2</v>
      </c>
      <c r="Y352" s="74">
        <f>0.013/2</f>
        <v>6.4999999999999997E-3</v>
      </c>
      <c r="Z352" s="271">
        <v>1</v>
      </c>
      <c r="AA352" s="271">
        <v>1</v>
      </c>
      <c r="AB352" s="114">
        <v>24</v>
      </c>
      <c r="AC352" s="50">
        <v>90</v>
      </c>
      <c r="AD352" s="271">
        <v>1</v>
      </c>
      <c r="AI352" s="114">
        <v>300</v>
      </c>
      <c r="AX352" s="5">
        <f t="shared" si="16"/>
        <v>0.05</v>
      </c>
    </row>
    <row r="353" spans="1:50" ht="15" customHeight="1">
      <c r="A353" s="41" t="s">
        <v>183</v>
      </c>
      <c r="B353" s="402" t="s">
        <v>1287</v>
      </c>
      <c r="C353" s="113" t="s">
        <v>1651</v>
      </c>
      <c r="D353" s="393" t="s">
        <v>434</v>
      </c>
      <c r="E353" s="394" t="s">
        <v>1652</v>
      </c>
      <c r="G353" s="405" t="s">
        <v>1653</v>
      </c>
      <c r="H353" s="49">
        <v>3721</v>
      </c>
      <c r="I353" s="50" t="s">
        <v>1</v>
      </c>
      <c r="J353" s="76" t="s">
        <v>1668</v>
      </c>
      <c r="K353" s="51">
        <v>41072</v>
      </c>
      <c r="L353" s="115">
        <v>41067</v>
      </c>
      <c r="M353" s="50">
        <v>5</v>
      </c>
      <c r="N353" s="50" t="s">
        <v>2</v>
      </c>
      <c r="O353" s="131">
        <f>1/2</f>
        <v>0.5</v>
      </c>
      <c r="P353" s="117">
        <v>6.41</v>
      </c>
      <c r="Q353" s="131">
        <v>6.68</v>
      </c>
      <c r="R353" s="50">
        <v>86</v>
      </c>
      <c r="S353" s="74">
        <v>14</v>
      </c>
      <c r="T353" s="50">
        <f>0.1/2</f>
        <v>0.05</v>
      </c>
      <c r="U353" s="131">
        <v>1.4</v>
      </c>
      <c r="V353" s="50">
        <v>0.57999999999999996</v>
      </c>
      <c r="W353" s="74">
        <v>1.4E-2</v>
      </c>
      <c r="X353" s="50">
        <v>6.2E-2</v>
      </c>
      <c r="Y353" s="74">
        <f>0.013/2</f>
        <v>6.4999999999999997E-3</v>
      </c>
      <c r="Z353" s="271">
        <v>1</v>
      </c>
      <c r="AA353" s="271">
        <v>1</v>
      </c>
      <c r="AB353" s="114">
        <v>14</v>
      </c>
      <c r="AC353" s="50">
        <v>51</v>
      </c>
      <c r="AD353" s="271">
        <v>1</v>
      </c>
      <c r="AI353" s="114" t="s">
        <v>1020</v>
      </c>
      <c r="AX353" s="5">
        <f t="shared" si="16"/>
        <v>0.05</v>
      </c>
    </row>
    <row r="354" spans="1:50" ht="15" customHeight="1">
      <c r="A354" s="41" t="s">
        <v>183</v>
      </c>
      <c r="B354" s="402" t="s">
        <v>1287</v>
      </c>
      <c r="C354" s="113" t="s">
        <v>1651</v>
      </c>
      <c r="D354" s="393" t="s">
        <v>434</v>
      </c>
      <c r="E354" s="394" t="s">
        <v>1652</v>
      </c>
      <c r="G354" s="405" t="s">
        <v>1653</v>
      </c>
      <c r="H354" s="49">
        <v>3721</v>
      </c>
      <c r="I354" s="50" t="s">
        <v>1</v>
      </c>
      <c r="J354" s="76" t="s">
        <v>1669</v>
      </c>
      <c r="K354" s="51">
        <v>41072</v>
      </c>
      <c r="L354" s="115">
        <v>41067</v>
      </c>
      <c r="M354" s="50">
        <v>5</v>
      </c>
      <c r="N354" s="50" t="s">
        <v>2</v>
      </c>
      <c r="O354" s="131">
        <f>1/2</f>
        <v>0.5</v>
      </c>
      <c r="P354" s="117">
        <v>6.41</v>
      </c>
      <c r="Q354" s="131">
        <v>6.28</v>
      </c>
      <c r="R354" s="50">
        <v>47</v>
      </c>
      <c r="S354" s="74">
        <v>8</v>
      </c>
      <c r="T354" s="50">
        <f>0.1/2</f>
        <v>0.05</v>
      </c>
      <c r="U354" s="131">
        <v>1</v>
      </c>
      <c r="V354" s="50">
        <v>0.7</v>
      </c>
      <c r="W354" s="74">
        <f>0.01/2</f>
        <v>5.0000000000000001E-3</v>
      </c>
      <c r="X354" s="50">
        <v>0.39</v>
      </c>
      <c r="Y354" s="74">
        <f>0.013/2</f>
        <v>6.4999999999999997E-3</v>
      </c>
      <c r="Z354" s="271">
        <v>1</v>
      </c>
      <c r="AA354" s="271">
        <v>0.59499999999999997</v>
      </c>
      <c r="AB354" s="114">
        <v>12</v>
      </c>
      <c r="AC354" s="50">
        <v>51</v>
      </c>
      <c r="AD354" s="271">
        <v>0</v>
      </c>
      <c r="AI354" s="114">
        <f>100/2</f>
        <v>50</v>
      </c>
      <c r="AX354" s="5">
        <f t="shared" si="16"/>
        <v>0.05</v>
      </c>
    </row>
    <row r="355" spans="1:50" ht="15" customHeight="1">
      <c r="A355" s="41" t="s">
        <v>183</v>
      </c>
      <c r="B355" s="402" t="s">
        <v>1917</v>
      </c>
      <c r="D355" s="393" t="s">
        <v>338</v>
      </c>
      <c r="E355" s="394" t="s">
        <v>1670</v>
      </c>
      <c r="G355" s="405" t="s">
        <v>1671</v>
      </c>
      <c r="H355" s="49">
        <v>3471</v>
      </c>
      <c r="I355" s="50" t="s">
        <v>1</v>
      </c>
      <c r="J355" s="76" t="s">
        <v>1672</v>
      </c>
      <c r="K355" s="51">
        <v>41113</v>
      </c>
      <c r="L355" s="115">
        <v>41108</v>
      </c>
      <c r="M355" s="50">
        <v>5</v>
      </c>
      <c r="N355" s="50" t="s">
        <v>2</v>
      </c>
      <c r="O355" s="131">
        <v>1.1000000000000001</v>
      </c>
      <c r="P355" s="117">
        <v>4.4400000000000004</v>
      </c>
      <c r="Q355" s="131">
        <v>5.71</v>
      </c>
      <c r="R355" s="50">
        <v>27</v>
      </c>
      <c r="S355" s="74">
        <v>4</v>
      </c>
      <c r="T355" s="50">
        <v>0.37</v>
      </c>
      <c r="U355" s="131">
        <v>1.1200000000000001</v>
      </c>
      <c r="V355" s="50">
        <v>0.43</v>
      </c>
      <c r="W355" s="74">
        <v>0.05</v>
      </c>
      <c r="X355" s="50">
        <v>0.05</v>
      </c>
      <c r="Y355" s="74">
        <f>0.05/2</f>
        <v>2.5000000000000001E-2</v>
      </c>
      <c r="AB355" s="114">
        <f>1/2</f>
        <v>0.5</v>
      </c>
      <c r="AN355" s="114">
        <v>1.17</v>
      </c>
    </row>
    <row r="356" spans="1:50" ht="15" customHeight="1">
      <c r="A356" s="41" t="s">
        <v>183</v>
      </c>
      <c r="B356" s="402" t="s">
        <v>1917</v>
      </c>
      <c r="D356" s="393" t="s">
        <v>338</v>
      </c>
      <c r="E356" s="394" t="s">
        <v>1670</v>
      </c>
      <c r="G356" s="405" t="s">
        <v>1671</v>
      </c>
      <c r="H356" s="49">
        <v>3471</v>
      </c>
      <c r="I356" s="50" t="s">
        <v>1</v>
      </c>
      <c r="J356" s="76" t="s">
        <v>1673</v>
      </c>
      <c r="K356" s="51">
        <v>41113</v>
      </c>
      <c r="L356" s="115">
        <v>41108</v>
      </c>
      <c r="M356" s="50">
        <v>5</v>
      </c>
      <c r="N356" s="50" t="s">
        <v>2</v>
      </c>
      <c r="O356" s="131">
        <f>1/2</f>
        <v>0.5</v>
      </c>
      <c r="P356" s="117">
        <v>3.8</v>
      </c>
      <c r="Q356" s="131">
        <v>6.25</v>
      </c>
      <c r="R356" s="50">
        <v>10</v>
      </c>
      <c r="S356" s="74">
        <v>7</v>
      </c>
      <c r="T356" s="50">
        <v>0.12</v>
      </c>
      <c r="U356" s="131">
        <v>0.49</v>
      </c>
      <c r="V356" s="50">
        <v>0.34</v>
      </c>
      <c r="W356" s="74">
        <f>0.05/2</f>
        <v>2.5000000000000001E-2</v>
      </c>
      <c r="X356" s="50">
        <v>0.04</v>
      </c>
      <c r="Y356" s="74">
        <f>0.05/2</f>
        <v>2.5000000000000001E-2</v>
      </c>
      <c r="AB356" s="114">
        <f>1/2</f>
        <v>0.5</v>
      </c>
      <c r="AN356" s="114">
        <v>0.22</v>
      </c>
    </row>
    <row r="357" spans="1:50" ht="15" customHeight="1">
      <c r="A357" s="41" t="s">
        <v>183</v>
      </c>
      <c r="B357" s="402" t="s">
        <v>1674</v>
      </c>
      <c r="C357" s="113" t="s">
        <v>1675</v>
      </c>
      <c r="D357" s="393" t="s">
        <v>117</v>
      </c>
      <c r="E357" s="394" t="s">
        <v>116</v>
      </c>
      <c r="G357" s="405" t="s">
        <v>1676</v>
      </c>
      <c r="H357" s="49">
        <v>4151</v>
      </c>
      <c r="I357" s="50" t="s">
        <v>2</v>
      </c>
      <c r="J357" s="76" t="s">
        <v>118</v>
      </c>
      <c r="K357" s="51">
        <v>40835</v>
      </c>
      <c r="L357" s="115">
        <v>40830</v>
      </c>
      <c r="M357" s="50">
        <v>5</v>
      </c>
      <c r="N357" s="50" t="s">
        <v>2</v>
      </c>
      <c r="O357" s="131">
        <v>2.2000000000000002</v>
      </c>
      <c r="P357" s="117">
        <v>5</v>
      </c>
      <c r="Q357" s="131">
        <v>6.4</v>
      </c>
      <c r="R357" s="50">
        <v>41.4</v>
      </c>
      <c r="S357" s="74">
        <v>1</v>
      </c>
      <c r="T357" s="50">
        <v>0.23</v>
      </c>
      <c r="U357" s="131">
        <v>0.5</v>
      </c>
      <c r="V357" s="50">
        <f>0.2/2</f>
        <v>0.1</v>
      </c>
      <c r="W357" s="74">
        <f>0.01/2</f>
        <v>5.0000000000000001E-3</v>
      </c>
      <c r="X357" s="50">
        <v>0.15</v>
      </c>
      <c r="Y357" s="74">
        <f>0.02/2</f>
        <v>0.01</v>
      </c>
    </row>
    <row r="358" spans="1:50" ht="15" customHeight="1">
      <c r="A358" s="41" t="s">
        <v>183</v>
      </c>
      <c r="B358" s="402" t="s">
        <v>436</v>
      </c>
      <c r="C358" s="113" t="s">
        <v>436</v>
      </c>
      <c r="D358" s="393" t="s">
        <v>347</v>
      </c>
      <c r="E358" s="394" t="s">
        <v>437</v>
      </c>
      <c r="G358" s="405" t="s">
        <v>1677</v>
      </c>
      <c r="H358" s="49">
        <v>3829</v>
      </c>
      <c r="I358" s="50" t="s">
        <v>2</v>
      </c>
      <c r="J358" s="76" t="s">
        <v>366</v>
      </c>
      <c r="K358" s="51">
        <v>40857</v>
      </c>
      <c r="L358" s="115">
        <v>40846</v>
      </c>
      <c r="M358" s="50">
        <v>11</v>
      </c>
      <c r="N358" s="50" t="s">
        <v>2</v>
      </c>
      <c r="O358" s="131">
        <f>1/2</f>
        <v>0.5</v>
      </c>
      <c r="P358" s="117">
        <v>6.4</v>
      </c>
      <c r="Q358" s="131">
        <v>7.66</v>
      </c>
      <c r="R358" s="50">
        <v>104.3</v>
      </c>
      <c r="S358" s="74">
        <v>56</v>
      </c>
      <c r="T358" s="50">
        <v>0.32</v>
      </c>
      <c r="U358" s="131">
        <v>1.88</v>
      </c>
      <c r="V358" s="50">
        <v>0.89</v>
      </c>
      <c r="W358" s="74">
        <v>4.3999999999999997E-2</v>
      </c>
      <c r="X358" s="50">
        <v>8.5999999999999993E-2</v>
      </c>
      <c r="Y358" s="74">
        <v>1.2999999999999999E-2</v>
      </c>
      <c r="Z358" s="271">
        <v>1</v>
      </c>
      <c r="AA358" s="271">
        <v>1</v>
      </c>
      <c r="AB358" s="114">
        <v>13.8</v>
      </c>
      <c r="AC358" s="50">
        <v>240</v>
      </c>
      <c r="AD358" s="271">
        <v>1</v>
      </c>
    </row>
    <row r="359" spans="1:50" ht="15" customHeight="1">
      <c r="A359" s="41" t="s">
        <v>183</v>
      </c>
      <c r="B359" s="402" t="s">
        <v>184</v>
      </c>
      <c r="C359" s="113" t="s">
        <v>185</v>
      </c>
      <c r="D359" s="393" t="s">
        <v>186</v>
      </c>
      <c r="E359" s="394" t="s">
        <v>1678</v>
      </c>
      <c r="H359" s="49">
        <v>9199</v>
      </c>
      <c r="I359" s="50" t="s">
        <v>2</v>
      </c>
      <c r="J359" s="76" t="s">
        <v>1679</v>
      </c>
      <c r="K359" s="51">
        <v>40883</v>
      </c>
      <c r="L359" s="115">
        <v>40876</v>
      </c>
      <c r="M359" s="50">
        <v>7</v>
      </c>
      <c r="N359" s="50" t="s">
        <v>2</v>
      </c>
      <c r="O359" s="131">
        <f>2/2</f>
        <v>1</v>
      </c>
      <c r="P359" s="117">
        <v>5.2</v>
      </c>
      <c r="Q359" s="131">
        <v>6.4</v>
      </c>
      <c r="R359" s="50">
        <v>12</v>
      </c>
      <c r="S359" s="74">
        <v>12</v>
      </c>
      <c r="T359" s="50">
        <v>2.1999999999999999E-2</v>
      </c>
      <c r="U359" s="131">
        <f>0.2/2</f>
        <v>0.1</v>
      </c>
      <c r="V359" s="50">
        <v>0.9</v>
      </c>
      <c r="W359" s="74">
        <v>6.1999999999999998E-3</v>
      </c>
      <c r="X359" s="50">
        <v>4.2999999999999997E-2</v>
      </c>
      <c r="Y359" s="74">
        <f>0.002/2</f>
        <v>1E-3</v>
      </c>
    </row>
    <row r="360" spans="1:50" ht="15" customHeight="1">
      <c r="A360" s="41" t="s">
        <v>183</v>
      </c>
      <c r="B360" s="402" t="s">
        <v>1811</v>
      </c>
      <c r="C360" s="113" t="s">
        <v>1811</v>
      </c>
      <c r="D360" s="393" t="s">
        <v>41</v>
      </c>
      <c r="E360" s="394" t="s">
        <v>1812</v>
      </c>
      <c r="G360" s="414" t="s">
        <v>1909</v>
      </c>
      <c r="H360" s="49">
        <v>3728</v>
      </c>
      <c r="I360" s="50" t="s">
        <v>2</v>
      </c>
      <c r="J360" s="260" t="s">
        <v>249</v>
      </c>
      <c r="K360" s="51">
        <v>40835</v>
      </c>
      <c r="L360" s="115">
        <v>40830</v>
      </c>
      <c r="M360" s="50">
        <v>5</v>
      </c>
      <c r="N360" s="50" t="s">
        <v>2</v>
      </c>
      <c r="O360" s="131">
        <f>1.4/2</f>
        <v>0.7</v>
      </c>
      <c r="P360" s="117">
        <v>5.44</v>
      </c>
      <c r="Q360" s="131">
        <v>5.55</v>
      </c>
      <c r="R360" s="50">
        <v>48</v>
      </c>
      <c r="S360" s="74">
        <v>12</v>
      </c>
      <c r="T360" s="50">
        <v>0.31</v>
      </c>
      <c r="U360" s="131">
        <v>1.3</v>
      </c>
      <c r="V360" s="50">
        <v>0.83</v>
      </c>
      <c r="W360" s="74">
        <v>8.9999999999999993E-3</v>
      </c>
      <c r="X360" s="50">
        <v>8.4000000000000005E-2</v>
      </c>
      <c r="Y360" s="74">
        <f>0.002/2</f>
        <v>1E-3</v>
      </c>
      <c r="Z360" s="271">
        <v>1</v>
      </c>
      <c r="AA360" s="271">
        <v>1</v>
      </c>
      <c r="AB360" s="114">
        <v>4</v>
      </c>
      <c r="AC360" s="50">
        <v>30</v>
      </c>
      <c r="AD360" s="271">
        <v>1</v>
      </c>
    </row>
    <row r="361" spans="1:50" ht="15" customHeight="1">
      <c r="A361" s="41" t="s">
        <v>183</v>
      </c>
      <c r="B361" s="402" t="s">
        <v>1811</v>
      </c>
      <c r="C361" s="113" t="s">
        <v>1811</v>
      </c>
      <c r="D361" s="393" t="s">
        <v>41</v>
      </c>
      <c r="E361" s="394" t="s">
        <v>1812</v>
      </c>
      <c r="G361" s="414" t="s">
        <v>1909</v>
      </c>
      <c r="H361" s="49">
        <v>3728</v>
      </c>
      <c r="I361" s="50" t="s">
        <v>2</v>
      </c>
      <c r="J361" s="260" t="s">
        <v>249</v>
      </c>
      <c r="K361" s="51">
        <v>41131</v>
      </c>
      <c r="L361" s="115">
        <v>41127</v>
      </c>
      <c r="M361" s="50">
        <v>4</v>
      </c>
      <c r="N361" s="50" t="s">
        <v>2</v>
      </c>
      <c r="O361" s="131">
        <v>1.9</v>
      </c>
      <c r="P361" s="117"/>
      <c r="Q361" s="131">
        <v>5.77</v>
      </c>
      <c r="R361" s="50">
        <v>38</v>
      </c>
      <c r="S361" s="74">
        <v>94</v>
      </c>
      <c r="T361" s="50">
        <v>0.21</v>
      </c>
      <c r="U361" s="131">
        <v>1.5</v>
      </c>
      <c r="V361" s="50">
        <v>0.33</v>
      </c>
      <c r="W361" s="74">
        <v>1.9E-2</v>
      </c>
      <c r="X361" s="50">
        <v>7.4999999999999997E-2</v>
      </c>
      <c r="Y361" s="74">
        <v>5.0000000000000001E-3</v>
      </c>
    </row>
    <row r="362" spans="1:50" ht="15" customHeight="1">
      <c r="A362" s="41" t="s">
        <v>183</v>
      </c>
      <c r="B362" s="402" t="s">
        <v>1813</v>
      </c>
      <c r="C362" s="113" t="s">
        <v>1814</v>
      </c>
      <c r="D362" s="393" t="s">
        <v>1217</v>
      </c>
      <c r="E362" s="394" t="s">
        <v>1815</v>
      </c>
      <c r="G362" s="414" t="s">
        <v>1788</v>
      </c>
      <c r="H362" s="49">
        <v>3724</v>
      </c>
      <c r="I362" s="50" t="s">
        <v>2</v>
      </c>
      <c r="J362" s="260" t="s">
        <v>1789</v>
      </c>
      <c r="K362" s="51">
        <v>41149</v>
      </c>
      <c r="L362" s="115">
        <v>41139</v>
      </c>
      <c r="M362" s="50">
        <v>10</v>
      </c>
      <c r="N362" s="50" t="s">
        <v>2</v>
      </c>
      <c r="O362" s="131">
        <f>1/2</f>
        <v>0.5</v>
      </c>
      <c r="P362" s="117">
        <v>6</v>
      </c>
      <c r="Q362" s="131">
        <v>5.31</v>
      </c>
      <c r="R362" s="50">
        <v>17.899999999999999</v>
      </c>
      <c r="S362" s="74">
        <v>9</v>
      </c>
      <c r="T362" s="50">
        <v>5.2299999999999999E-2</v>
      </c>
      <c r="U362" s="131">
        <v>0.49</v>
      </c>
      <c r="V362" s="50">
        <v>0.25</v>
      </c>
      <c r="W362" s="74">
        <f>0.005/2</f>
        <v>2.5000000000000001E-3</v>
      </c>
      <c r="X362" s="50">
        <v>3.6799999999999999E-2</v>
      </c>
      <c r="Y362" s="74">
        <f>0.0075/2</f>
        <v>3.7499999999999999E-3</v>
      </c>
      <c r="Z362" s="271">
        <v>1</v>
      </c>
      <c r="AA362" s="271">
        <v>1</v>
      </c>
      <c r="AB362" s="114">
        <v>6</v>
      </c>
      <c r="AC362" s="50">
        <v>9</v>
      </c>
      <c r="AD362" s="271">
        <v>1</v>
      </c>
    </row>
    <row r="363" spans="1:50" ht="15" customHeight="1">
      <c r="A363" s="41" t="s">
        <v>183</v>
      </c>
      <c r="B363" s="402" t="s">
        <v>1816</v>
      </c>
      <c r="C363" s="113" t="s">
        <v>1816</v>
      </c>
      <c r="D363" s="393" t="s">
        <v>636</v>
      </c>
      <c r="E363" s="394" t="s">
        <v>686</v>
      </c>
      <c r="G363" s="414" t="s">
        <v>1790</v>
      </c>
      <c r="H363" s="49">
        <v>3471</v>
      </c>
      <c r="I363" s="50" t="s">
        <v>2</v>
      </c>
      <c r="J363" s="260" t="s">
        <v>1791</v>
      </c>
      <c r="K363" s="51">
        <v>41149</v>
      </c>
      <c r="L363" s="115">
        <v>41139</v>
      </c>
      <c r="M363" s="50">
        <v>10</v>
      </c>
      <c r="N363" s="50" t="s">
        <v>2</v>
      </c>
      <c r="O363" s="131">
        <f>1/2</f>
        <v>0.5</v>
      </c>
      <c r="P363" s="117">
        <v>6</v>
      </c>
      <c r="Q363" s="131">
        <v>7.2</v>
      </c>
      <c r="R363" s="50">
        <v>24</v>
      </c>
      <c r="S363" s="74">
        <v>71</v>
      </c>
      <c r="T363" s="50">
        <v>0.15</v>
      </c>
      <c r="U363" s="131">
        <v>0.51</v>
      </c>
      <c r="V363" s="50">
        <v>0.54</v>
      </c>
      <c r="W363" s="74">
        <v>1.4999999999999999E-2</v>
      </c>
      <c r="X363" s="50">
        <v>3.9E-2</v>
      </c>
      <c r="Y363" s="74">
        <v>1.4E-2</v>
      </c>
      <c r="AE363" s="50">
        <v>1020</v>
      </c>
    </row>
    <row r="364" spans="1:50" ht="15" customHeight="1">
      <c r="A364" s="41" t="s">
        <v>183</v>
      </c>
      <c r="B364" s="402" t="s">
        <v>1644</v>
      </c>
      <c r="C364" s="113" t="s">
        <v>1644</v>
      </c>
      <c r="D364" s="393" t="s">
        <v>1217</v>
      </c>
      <c r="E364" s="394" t="s">
        <v>1645</v>
      </c>
      <c r="G364" s="414" t="s">
        <v>1646</v>
      </c>
      <c r="H364" s="49">
        <v>3357</v>
      </c>
      <c r="I364" s="50" t="s">
        <v>2</v>
      </c>
      <c r="J364" s="260" t="s">
        <v>74</v>
      </c>
      <c r="K364" s="51">
        <v>41082</v>
      </c>
      <c r="L364" s="115">
        <v>41073</v>
      </c>
      <c r="M364" s="50">
        <v>9</v>
      </c>
      <c r="N364" s="50" t="s">
        <v>2</v>
      </c>
      <c r="O364" s="131">
        <f>1.4/2</f>
        <v>0.7</v>
      </c>
      <c r="P364" s="117">
        <v>5.77</v>
      </c>
      <c r="Q364" s="131">
        <v>6.88</v>
      </c>
      <c r="R364" s="50">
        <v>78</v>
      </c>
      <c r="S364" s="74">
        <v>25</v>
      </c>
      <c r="T364" s="50">
        <v>0.09</v>
      </c>
      <c r="U364" s="131">
        <v>1.36</v>
      </c>
      <c r="V364" s="50">
        <v>0.53</v>
      </c>
      <c r="W364" s="74">
        <v>0.01</v>
      </c>
      <c r="X364" s="50">
        <v>5.6000000000000001E-2</v>
      </c>
      <c r="Y364" s="74">
        <v>2E-3</v>
      </c>
    </row>
    <row r="365" spans="1:50" ht="15" customHeight="1">
      <c r="A365" s="41" t="s">
        <v>183</v>
      </c>
      <c r="B365" s="402" t="s">
        <v>1644</v>
      </c>
      <c r="C365" s="113" t="s">
        <v>1644</v>
      </c>
      <c r="D365" s="393" t="s">
        <v>1217</v>
      </c>
      <c r="E365" s="394" t="s">
        <v>1645</v>
      </c>
      <c r="G365" s="414" t="s">
        <v>1646</v>
      </c>
      <c r="H365" s="49">
        <v>3357</v>
      </c>
      <c r="I365" s="50" t="s">
        <v>2</v>
      </c>
      <c r="J365" s="260" t="s">
        <v>687</v>
      </c>
      <c r="K365" s="51">
        <v>41082</v>
      </c>
      <c r="L365" s="115">
        <v>41073</v>
      </c>
      <c r="M365" s="50">
        <v>9</v>
      </c>
      <c r="N365" s="50" t="s">
        <v>2</v>
      </c>
      <c r="O365" s="131">
        <f>1.4/2</f>
        <v>0.7</v>
      </c>
      <c r="P365" s="117">
        <v>5.77</v>
      </c>
      <c r="Q365" s="131">
        <v>6.67</v>
      </c>
      <c r="R365" s="50">
        <v>75</v>
      </c>
      <c r="S365" s="74">
        <v>12</v>
      </c>
      <c r="T365" s="50">
        <v>0.14000000000000001</v>
      </c>
      <c r="U365" s="131">
        <v>1.84</v>
      </c>
      <c r="V365" s="50">
        <v>0.72</v>
      </c>
      <c r="W365" s="74">
        <v>1.2999999999999999E-2</v>
      </c>
      <c r="X365" s="50">
        <v>0.13800000000000001</v>
      </c>
      <c r="Y365" s="74">
        <v>3.0000000000000001E-3</v>
      </c>
    </row>
    <row r="366" spans="1:50" ht="15" customHeight="1">
      <c r="A366" s="41" t="s">
        <v>183</v>
      </c>
      <c r="B366" s="402" t="s">
        <v>1644</v>
      </c>
      <c r="C366" s="113" t="s">
        <v>1644</v>
      </c>
      <c r="D366" s="393" t="s">
        <v>1217</v>
      </c>
      <c r="E366" s="394" t="s">
        <v>1645</v>
      </c>
      <c r="G366" s="414" t="s">
        <v>1646</v>
      </c>
      <c r="H366" s="49">
        <v>3357</v>
      </c>
      <c r="I366" s="50" t="s">
        <v>2</v>
      </c>
      <c r="J366" s="260" t="s">
        <v>1642</v>
      </c>
      <c r="K366" s="51">
        <v>41082</v>
      </c>
      <c r="L366" s="115">
        <v>41073</v>
      </c>
      <c r="M366" s="50">
        <v>9</v>
      </c>
      <c r="N366" s="50" t="s">
        <v>2</v>
      </c>
      <c r="O366" s="131">
        <v>2.4</v>
      </c>
      <c r="P366" s="117">
        <v>5.77</v>
      </c>
      <c r="Q366" s="131">
        <v>7.18</v>
      </c>
      <c r="R366" s="50">
        <v>175</v>
      </c>
      <c r="S366" s="74">
        <v>79</v>
      </c>
      <c r="T366" s="50">
        <v>0.19</v>
      </c>
      <c r="U366" s="131">
        <v>2.2799999999999998</v>
      </c>
      <c r="V366" s="50">
        <v>1.51</v>
      </c>
      <c r="W366" s="74">
        <v>7.2999999999999995E-2</v>
      </c>
      <c r="X366" s="50">
        <v>0.44600000000000001</v>
      </c>
      <c r="Y366" s="74">
        <v>0.01</v>
      </c>
    </row>
    <row r="367" spans="1:50" ht="15" customHeight="1">
      <c r="A367" s="41" t="s">
        <v>183</v>
      </c>
      <c r="B367" s="402" t="s">
        <v>1644</v>
      </c>
      <c r="C367" s="113" t="s">
        <v>1644</v>
      </c>
      <c r="D367" s="393" t="s">
        <v>1217</v>
      </c>
      <c r="E367" s="394" t="s">
        <v>1645</v>
      </c>
      <c r="G367" s="414" t="s">
        <v>1646</v>
      </c>
      <c r="H367" s="49">
        <v>3357</v>
      </c>
      <c r="I367" s="50" t="s">
        <v>2</v>
      </c>
      <c r="J367" s="260" t="s">
        <v>74</v>
      </c>
      <c r="K367" s="51">
        <v>41116</v>
      </c>
      <c r="L367" s="115">
        <v>41110</v>
      </c>
      <c r="M367" s="50">
        <v>6</v>
      </c>
      <c r="N367" s="50" t="s">
        <v>2</v>
      </c>
      <c r="O367" s="131">
        <f>1.4/2</f>
        <v>0.7</v>
      </c>
      <c r="P367" s="117">
        <v>5.95</v>
      </c>
      <c r="Q367" s="131">
        <v>6.71</v>
      </c>
      <c r="R367" s="50">
        <v>20</v>
      </c>
      <c r="S367" s="74">
        <f>5/2</f>
        <v>2.5</v>
      </c>
      <c r="T367" s="50">
        <v>0.14000000000000001</v>
      </c>
      <c r="U367" s="131">
        <v>1.21</v>
      </c>
      <c r="V367" s="50">
        <v>2.94</v>
      </c>
      <c r="W367" s="74">
        <v>6.0000000000000001E-3</v>
      </c>
      <c r="X367" s="50">
        <v>3.5000000000000003E-2</v>
      </c>
      <c r="Y367" s="74">
        <f>0.002/2</f>
        <v>1E-3</v>
      </c>
      <c r="Z367" s="271">
        <v>1</v>
      </c>
      <c r="AA367" s="271">
        <v>1</v>
      </c>
      <c r="AB367" s="114">
        <v>66</v>
      </c>
      <c r="AC367" s="50">
        <v>532</v>
      </c>
      <c r="AD367" s="271">
        <v>1</v>
      </c>
    </row>
    <row r="368" spans="1:50" ht="15" customHeight="1">
      <c r="A368" s="41" t="s">
        <v>183</v>
      </c>
      <c r="B368" s="402" t="s">
        <v>590</v>
      </c>
      <c r="C368" s="113" t="s">
        <v>591</v>
      </c>
      <c r="D368" s="393" t="s">
        <v>89</v>
      </c>
      <c r="E368" s="394" t="s">
        <v>535</v>
      </c>
      <c r="G368" s="414" t="s">
        <v>592</v>
      </c>
      <c r="H368" s="49">
        <v>3273</v>
      </c>
      <c r="I368" s="50" t="s">
        <v>1</v>
      </c>
      <c r="J368" s="260" t="s">
        <v>366</v>
      </c>
      <c r="K368" s="51">
        <v>41085</v>
      </c>
      <c r="L368" s="115">
        <v>41082</v>
      </c>
      <c r="M368" s="50">
        <v>3</v>
      </c>
      <c r="N368" s="50" t="s">
        <v>2</v>
      </c>
      <c r="O368" s="131">
        <f>1.4/2</f>
        <v>0.7</v>
      </c>
      <c r="P368" s="117">
        <v>6</v>
      </c>
      <c r="Q368" s="131">
        <v>8.0500000000000007</v>
      </c>
      <c r="R368" s="50">
        <v>27</v>
      </c>
      <c r="S368" s="74">
        <v>25</v>
      </c>
      <c r="T368" s="50">
        <v>0.28000000000000003</v>
      </c>
      <c r="U368" s="131">
        <v>1.02</v>
      </c>
      <c r="V368" s="50">
        <v>0.54</v>
      </c>
      <c r="W368" s="74">
        <v>7.0000000000000001E-3</v>
      </c>
      <c r="X368" s="50">
        <v>1.2E-2</v>
      </c>
      <c r="Y368" s="74">
        <f>0.002/2</f>
        <v>1E-3</v>
      </c>
    </row>
    <row r="369" spans="1:30" ht="15" customHeight="1">
      <c r="A369" s="41" t="s">
        <v>183</v>
      </c>
      <c r="B369" s="402" t="s">
        <v>590</v>
      </c>
      <c r="C369" s="113" t="s">
        <v>591</v>
      </c>
      <c r="D369" s="393" t="s">
        <v>89</v>
      </c>
      <c r="E369" s="394" t="s">
        <v>535</v>
      </c>
      <c r="G369" s="414" t="s">
        <v>592</v>
      </c>
      <c r="H369" s="49">
        <v>3273</v>
      </c>
      <c r="I369" s="50" t="s">
        <v>1</v>
      </c>
      <c r="J369" s="260" t="s">
        <v>593</v>
      </c>
      <c r="K369" s="51">
        <v>41085</v>
      </c>
      <c r="N369" s="50" t="s">
        <v>2</v>
      </c>
      <c r="O369" s="131">
        <f>1.4/2</f>
        <v>0.7</v>
      </c>
      <c r="P369" s="117">
        <v>6</v>
      </c>
      <c r="Q369" s="131">
        <v>8.81</v>
      </c>
      <c r="R369" s="50">
        <v>50</v>
      </c>
      <c r="S369" s="74">
        <v>220</v>
      </c>
      <c r="T369" s="50">
        <v>0.34</v>
      </c>
      <c r="U369" s="131">
        <v>1.19</v>
      </c>
      <c r="V369" s="50">
        <v>0.57999999999999996</v>
      </c>
      <c r="W369" s="74">
        <v>1.7999999999999999E-2</v>
      </c>
      <c r="X369" s="50">
        <v>8.6999999999999994E-2</v>
      </c>
      <c r="Y369" s="74">
        <v>1.2999999999999999E-2</v>
      </c>
    </row>
    <row r="370" spans="1:30" ht="15" customHeight="1">
      <c r="A370" s="41" t="s">
        <v>183</v>
      </c>
      <c r="B370" s="402" t="s">
        <v>207</v>
      </c>
      <c r="C370" s="113" t="s">
        <v>1821</v>
      </c>
      <c r="D370" s="393" t="s">
        <v>209</v>
      </c>
      <c r="E370" s="394" t="s">
        <v>210</v>
      </c>
      <c r="G370" s="414" t="s">
        <v>211</v>
      </c>
      <c r="H370" s="49">
        <v>4212</v>
      </c>
      <c r="I370" s="50" t="s">
        <v>2</v>
      </c>
      <c r="J370" s="260" t="s">
        <v>210</v>
      </c>
      <c r="K370" s="51">
        <v>41149</v>
      </c>
      <c r="L370" s="115">
        <v>41138</v>
      </c>
      <c r="M370" s="50">
        <v>11</v>
      </c>
      <c r="N370" s="50" t="s">
        <v>2</v>
      </c>
      <c r="O370" s="131">
        <f>1/2</f>
        <v>0.5</v>
      </c>
      <c r="P370" s="117">
        <v>8.59</v>
      </c>
      <c r="Q370" s="131">
        <v>6</v>
      </c>
      <c r="R370" s="50">
        <v>18.7</v>
      </c>
      <c r="S370" s="74">
        <v>436</v>
      </c>
      <c r="T370" s="50">
        <v>0.52</v>
      </c>
      <c r="U370" s="131">
        <v>1.53</v>
      </c>
      <c r="V370" s="50">
        <v>0.35</v>
      </c>
      <c r="W370" s="74">
        <v>3.2000000000000001E-2</v>
      </c>
      <c r="X370" s="50">
        <v>9.7000000000000003E-2</v>
      </c>
      <c r="Y370" s="74">
        <v>1.2E-2</v>
      </c>
      <c r="Z370" s="271">
        <v>1</v>
      </c>
      <c r="AA370" s="271">
        <v>1</v>
      </c>
      <c r="AB370" s="114">
        <v>27.54</v>
      </c>
      <c r="AC370" s="50">
        <v>74</v>
      </c>
      <c r="AD370" s="271">
        <v>1</v>
      </c>
    </row>
    <row r="371" spans="1:30" ht="15" customHeight="1">
      <c r="A371" s="41" t="s">
        <v>183</v>
      </c>
      <c r="B371" s="402" t="s">
        <v>1825</v>
      </c>
      <c r="C371" s="113" t="s">
        <v>1826</v>
      </c>
      <c r="D371" s="393" t="s">
        <v>117</v>
      </c>
      <c r="E371" s="394" t="s">
        <v>1827</v>
      </c>
      <c r="G371" s="414" t="s">
        <v>1797</v>
      </c>
      <c r="H371" s="49">
        <v>2869</v>
      </c>
      <c r="I371" s="50" t="s">
        <v>2</v>
      </c>
      <c r="J371" s="260" t="s">
        <v>1798</v>
      </c>
      <c r="K371" s="51">
        <v>41085</v>
      </c>
      <c r="L371" s="115">
        <v>41074</v>
      </c>
      <c r="M371" s="50">
        <v>11</v>
      </c>
      <c r="N371" s="50" t="s">
        <v>2</v>
      </c>
      <c r="O371" s="131">
        <f>5/2</f>
        <v>2.5</v>
      </c>
      <c r="P371" s="117">
        <v>5.23</v>
      </c>
      <c r="Q371" s="131">
        <v>6.86</v>
      </c>
      <c r="R371" s="50">
        <v>16</v>
      </c>
      <c r="S371" s="74">
        <v>5</v>
      </c>
      <c r="T371" s="50">
        <f>0.1/2</f>
        <v>0.05</v>
      </c>
      <c r="U371" s="131">
        <f>1/2</f>
        <v>0.5</v>
      </c>
      <c r="V371" s="50">
        <v>0.78</v>
      </c>
      <c r="W371" s="74">
        <f>0.04/2</f>
        <v>0.02</v>
      </c>
      <c r="X371" s="50">
        <v>0.09</v>
      </c>
      <c r="Y371" s="74">
        <f>0.013/2</f>
        <v>6.4999999999999997E-3</v>
      </c>
      <c r="Z371" s="271">
        <v>1</v>
      </c>
      <c r="AA371" s="271">
        <v>1</v>
      </c>
      <c r="AB371" s="114">
        <v>15</v>
      </c>
      <c r="AC371" s="50">
        <v>78</v>
      </c>
      <c r="AD371" s="271">
        <v>0.85</v>
      </c>
    </row>
    <row r="372" spans="1:30" ht="15" customHeight="1">
      <c r="A372" s="41" t="s">
        <v>183</v>
      </c>
      <c r="B372" s="402" t="s">
        <v>1828</v>
      </c>
      <c r="C372" s="113" t="s">
        <v>1829</v>
      </c>
      <c r="D372" s="393" t="s">
        <v>1830</v>
      </c>
      <c r="E372" s="394" t="s">
        <v>1831</v>
      </c>
      <c r="G372" s="414" t="s">
        <v>1799</v>
      </c>
      <c r="H372" s="49">
        <v>3471</v>
      </c>
      <c r="I372" s="50" t="s">
        <v>1</v>
      </c>
      <c r="J372" s="260" t="s">
        <v>1800</v>
      </c>
      <c r="K372" s="51">
        <v>41131</v>
      </c>
      <c r="L372" s="115">
        <v>41126</v>
      </c>
      <c r="M372" s="50">
        <v>5</v>
      </c>
      <c r="N372" s="50" t="s">
        <v>2</v>
      </c>
      <c r="O372" s="131">
        <f>5/2</f>
        <v>2.5</v>
      </c>
      <c r="P372" s="117">
        <v>5.0999999999999996</v>
      </c>
      <c r="Q372" s="131">
        <v>5.23</v>
      </c>
      <c r="R372" s="50">
        <f>5/2</f>
        <v>2.5</v>
      </c>
      <c r="S372" s="74">
        <f>5/2</f>
        <v>2.5</v>
      </c>
      <c r="T372" s="50">
        <f>0.1/2</f>
        <v>0.05</v>
      </c>
      <c r="U372" s="131">
        <f>1/2</f>
        <v>0.5</v>
      </c>
      <c r="V372" s="50">
        <v>0.28999999999999998</v>
      </c>
      <c r="W372" s="74">
        <f>0.04/2</f>
        <v>0.02</v>
      </c>
      <c r="X372" s="50">
        <v>8.5000000000000006E-2</v>
      </c>
      <c r="Y372" s="74">
        <f>0.013/2</f>
        <v>6.4999999999999997E-3</v>
      </c>
    </row>
    <row r="373" spans="1:30" ht="15" customHeight="1">
      <c r="A373" s="41" t="s">
        <v>183</v>
      </c>
      <c r="B373" s="402" t="s">
        <v>1832</v>
      </c>
      <c r="C373" s="113" t="s">
        <v>1833</v>
      </c>
      <c r="D373" s="393" t="s">
        <v>111</v>
      </c>
      <c r="F373" s="402" t="s">
        <v>1915</v>
      </c>
      <c r="G373" s="414" t="s">
        <v>1801</v>
      </c>
      <c r="H373" s="49">
        <v>3272</v>
      </c>
      <c r="I373" s="50" t="s">
        <v>2</v>
      </c>
      <c r="J373" s="260" t="s">
        <v>74</v>
      </c>
      <c r="K373" s="51">
        <v>41136</v>
      </c>
      <c r="N373" s="50" t="s">
        <v>2</v>
      </c>
      <c r="O373" s="131">
        <v>1.2</v>
      </c>
      <c r="P373" s="117"/>
      <c r="Q373" s="131">
        <v>5.69</v>
      </c>
      <c r="R373" s="50">
        <v>7.5</v>
      </c>
      <c r="S373" s="74">
        <f>45/2</f>
        <v>22.5</v>
      </c>
      <c r="T373" s="50">
        <v>0.19</v>
      </c>
      <c r="U373" s="131">
        <v>0.63</v>
      </c>
      <c r="V373" s="50">
        <f>0.55/2</f>
        <v>0.27500000000000002</v>
      </c>
      <c r="W373" s="74">
        <f>0.03/2</f>
        <v>1.4999999999999999E-2</v>
      </c>
      <c r="X373" s="50">
        <v>0.111</v>
      </c>
      <c r="Y373" s="74">
        <f>0.038/2</f>
        <v>1.9E-2</v>
      </c>
    </row>
    <row r="374" spans="1:30" ht="15" customHeight="1">
      <c r="A374" s="41" t="s">
        <v>183</v>
      </c>
      <c r="B374" s="402" t="s">
        <v>1834</v>
      </c>
      <c r="C374" s="113" t="s">
        <v>1834</v>
      </c>
      <c r="D374" s="393" t="s">
        <v>379</v>
      </c>
      <c r="E374" s="394" t="s">
        <v>1835</v>
      </c>
      <c r="G374" s="414" t="s">
        <v>1802</v>
      </c>
      <c r="H374" s="49">
        <v>3441</v>
      </c>
      <c r="I374" s="50" t="s">
        <v>2</v>
      </c>
      <c r="J374" s="260" t="s">
        <v>1803</v>
      </c>
      <c r="K374" s="51">
        <v>41149</v>
      </c>
      <c r="N374" s="50" t="s">
        <v>2</v>
      </c>
      <c r="O374" s="131">
        <f>1.8/2</f>
        <v>0.9</v>
      </c>
      <c r="P374" s="117"/>
      <c r="Q374" s="131">
        <v>6.8</v>
      </c>
      <c r="R374" s="50">
        <f>20/2</f>
        <v>10</v>
      </c>
      <c r="S374" s="74">
        <v>2.2000000000000002</v>
      </c>
      <c r="T374" s="50">
        <v>0.02</v>
      </c>
      <c r="U374" s="131">
        <f>1/2</f>
        <v>0.5</v>
      </c>
      <c r="V374" s="50">
        <v>0.84</v>
      </c>
      <c r="W374" s="74">
        <f>0.005/2</f>
        <v>2.5000000000000001E-3</v>
      </c>
      <c r="X374" s="50">
        <v>0.06</v>
      </c>
      <c r="Y374" s="74">
        <f>0.005/2</f>
        <v>2.5000000000000001E-3</v>
      </c>
    </row>
    <row r="375" spans="1:30" ht="15" customHeight="1">
      <c r="A375" s="41" t="s">
        <v>183</v>
      </c>
      <c r="B375" s="402" t="s">
        <v>1836</v>
      </c>
      <c r="D375" s="393" t="s">
        <v>1837</v>
      </c>
      <c r="E375" s="394" t="s">
        <v>390</v>
      </c>
      <c r="G375" s="414" t="s">
        <v>1804</v>
      </c>
      <c r="H375" s="49" t="s">
        <v>1805</v>
      </c>
      <c r="I375" s="50" t="s">
        <v>2</v>
      </c>
      <c r="J375" s="260" t="s">
        <v>114</v>
      </c>
      <c r="K375" s="51">
        <v>41131</v>
      </c>
      <c r="L375" s="115">
        <v>41126</v>
      </c>
      <c r="M375" s="50">
        <v>5</v>
      </c>
      <c r="N375" s="50" t="s">
        <v>2</v>
      </c>
      <c r="O375" s="131">
        <f>5/2</f>
        <v>2.5</v>
      </c>
      <c r="P375" s="117">
        <v>7.32</v>
      </c>
      <c r="Q375" s="131">
        <v>6.56</v>
      </c>
      <c r="R375" s="50">
        <v>74</v>
      </c>
      <c r="S375" s="74">
        <v>45</v>
      </c>
      <c r="T375" s="50">
        <f>0.1/2</f>
        <v>0.05</v>
      </c>
      <c r="U375" s="131">
        <f>1/2</f>
        <v>0.5</v>
      </c>
      <c r="V375" s="50">
        <v>0.44</v>
      </c>
      <c r="W375" s="74">
        <v>8.8999999999999996E-2</v>
      </c>
      <c r="X375" s="50">
        <v>0.23</v>
      </c>
      <c r="Y375" s="74">
        <v>1.7999999999999999E-2</v>
      </c>
      <c r="Z375" s="271">
        <v>1</v>
      </c>
      <c r="AA375" s="271">
        <v>1</v>
      </c>
      <c r="AB375" s="114">
        <v>24</v>
      </c>
      <c r="AC375" s="50">
        <v>40</v>
      </c>
      <c r="AD375" s="271">
        <v>1</v>
      </c>
    </row>
    <row r="376" spans="1:30" ht="15" customHeight="1">
      <c r="A376" s="41" t="s">
        <v>183</v>
      </c>
      <c r="B376" s="402" t="s">
        <v>1836</v>
      </c>
      <c r="D376" s="393" t="s">
        <v>1837</v>
      </c>
      <c r="E376" s="394" t="s">
        <v>390</v>
      </c>
      <c r="G376" s="414" t="s">
        <v>1804</v>
      </c>
      <c r="H376" s="49" t="s">
        <v>1805</v>
      </c>
      <c r="I376" s="50" t="s">
        <v>2</v>
      </c>
      <c r="J376" s="260" t="s">
        <v>81</v>
      </c>
      <c r="K376" s="51">
        <v>41131</v>
      </c>
      <c r="L376" s="115">
        <v>41126</v>
      </c>
      <c r="M376" s="50">
        <v>5</v>
      </c>
      <c r="N376" s="50" t="s">
        <v>2</v>
      </c>
      <c r="O376" s="131">
        <f>5/2</f>
        <v>2.5</v>
      </c>
      <c r="P376" s="117">
        <v>7.97</v>
      </c>
      <c r="Q376" s="131">
        <v>5.76</v>
      </c>
      <c r="R376" s="50">
        <v>25</v>
      </c>
      <c r="S376" s="74">
        <f>5/2</f>
        <v>2.5</v>
      </c>
      <c r="T376" s="50">
        <f>0.1/2</f>
        <v>0.05</v>
      </c>
      <c r="U376" s="131">
        <f>1/2</f>
        <v>0.5</v>
      </c>
      <c r="V376" s="50">
        <v>0.15</v>
      </c>
      <c r="W376" s="74">
        <f>0.04/2</f>
        <v>0.02</v>
      </c>
      <c r="X376" s="50">
        <v>0.98</v>
      </c>
      <c r="Y376" s="74">
        <f>0.013/2</f>
        <v>6.4999999999999997E-3</v>
      </c>
      <c r="Z376" s="271">
        <v>0.70699999999999996</v>
      </c>
      <c r="AA376" s="271">
        <v>0.125</v>
      </c>
      <c r="AB376" s="114">
        <v>3.1</v>
      </c>
      <c r="AC376" s="50">
        <v>20</v>
      </c>
      <c r="AD376" s="271">
        <v>0</v>
      </c>
    </row>
    <row r="377" spans="1:30" ht="15" customHeight="1">
      <c r="A377" s="41" t="s">
        <v>183</v>
      </c>
      <c r="B377" s="402" t="s">
        <v>461</v>
      </c>
      <c r="C377" s="113" t="s">
        <v>461</v>
      </c>
      <c r="D377" s="393" t="s">
        <v>462</v>
      </c>
      <c r="E377" s="394" t="s">
        <v>1838</v>
      </c>
      <c r="G377" s="414" t="s">
        <v>464</v>
      </c>
      <c r="H377" s="49">
        <v>2499</v>
      </c>
      <c r="I377" s="50" t="s">
        <v>2</v>
      </c>
      <c r="J377" s="260" t="s">
        <v>1376</v>
      </c>
      <c r="K377" s="51">
        <v>41148</v>
      </c>
      <c r="L377" s="115">
        <v>41139</v>
      </c>
      <c r="M377" s="50">
        <v>9</v>
      </c>
      <c r="N377" s="50" t="s">
        <v>2</v>
      </c>
      <c r="O377" s="131">
        <f>1.6/2</f>
        <v>0.8</v>
      </c>
      <c r="P377" s="117">
        <v>6.7</v>
      </c>
      <c r="Q377" s="131">
        <v>5.51</v>
      </c>
      <c r="R377" s="50">
        <v>74</v>
      </c>
      <c r="S377" s="74">
        <v>28</v>
      </c>
      <c r="T377" s="50">
        <v>0.03</v>
      </c>
      <c r="U377" s="131">
        <v>0.82</v>
      </c>
      <c r="V377" s="50">
        <v>0.16</v>
      </c>
      <c r="W377" s="74">
        <v>8.0000000000000002E-3</v>
      </c>
      <c r="X377" s="50">
        <v>7.2999999999999995E-2</v>
      </c>
      <c r="Y377" s="74">
        <f>0.002/2</f>
        <v>1E-3</v>
      </c>
      <c r="Z377" s="271">
        <v>1</v>
      </c>
      <c r="AA377" s="271">
        <v>1</v>
      </c>
      <c r="AB377" s="114">
        <v>6</v>
      </c>
      <c r="AC377" s="50">
        <v>46</v>
      </c>
      <c r="AD377" s="271">
        <v>0.6</v>
      </c>
    </row>
    <row r="378" spans="1:30" ht="15" customHeight="1">
      <c r="A378" s="41" t="s">
        <v>183</v>
      </c>
      <c r="B378" s="402" t="s">
        <v>597</v>
      </c>
      <c r="C378" s="113" t="s">
        <v>626</v>
      </c>
      <c r="D378" s="393" t="s">
        <v>534</v>
      </c>
      <c r="E378" s="394" t="s">
        <v>627</v>
      </c>
      <c r="G378" s="414" t="s">
        <v>600</v>
      </c>
      <c r="H378" s="49">
        <v>3273</v>
      </c>
      <c r="I378" s="50" t="s">
        <v>1</v>
      </c>
      <c r="J378" s="260" t="s">
        <v>366</v>
      </c>
      <c r="K378" s="51">
        <v>41073</v>
      </c>
      <c r="L378" s="115">
        <v>41065</v>
      </c>
      <c r="M378" s="50">
        <v>8</v>
      </c>
      <c r="N378" s="50" t="s">
        <v>2</v>
      </c>
      <c r="O378" s="131">
        <f>1.4/2</f>
        <v>0.7</v>
      </c>
      <c r="P378" s="117">
        <v>6</v>
      </c>
      <c r="Q378" s="131">
        <v>7.82</v>
      </c>
      <c r="R378" s="50">
        <f>10/2</f>
        <v>5</v>
      </c>
      <c r="S378" s="74">
        <v>9</v>
      </c>
      <c r="T378" s="50">
        <v>0.08</v>
      </c>
      <c r="U378" s="131">
        <v>0.4</v>
      </c>
      <c r="V378" s="50">
        <v>0.14000000000000001</v>
      </c>
      <c r="W378" s="74">
        <f>0.005/2</f>
        <v>2.5000000000000001E-3</v>
      </c>
      <c r="X378" s="50">
        <v>1.0999999999999999E-2</v>
      </c>
      <c r="Y378" s="74">
        <f>0.002/2</f>
        <v>1E-3</v>
      </c>
    </row>
    <row r="379" spans="1:30" ht="15" customHeight="1">
      <c r="A379" s="41" t="s">
        <v>183</v>
      </c>
      <c r="B379" s="402" t="s">
        <v>597</v>
      </c>
      <c r="C379" s="113" t="s">
        <v>626</v>
      </c>
      <c r="D379" s="393" t="s">
        <v>534</v>
      </c>
      <c r="E379" s="394" t="s">
        <v>627</v>
      </c>
      <c r="G379" s="414" t="s">
        <v>628</v>
      </c>
      <c r="H379" s="49">
        <v>3273</v>
      </c>
      <c r="I379" s="50" t="s">
        <v>1</v>
      </c>
      <c r="J379" s="260" t="s">
        <v>366</v>
      </c>
      <c r="K379" s="51">
        <v>41072</v>
      </c>
      <c r="L379" s="115">
        <v>41062</v>
      </c>
      <c r="M379" s="50">
        <v>10</v>
      </c>
      <c r="N379" s="50" t="s">
        <v>2</v>
      </c>
      <c r="O379" s="131">
        <v>2.4</v>
      </c>
      <c r="P379" s="117">
        <v>5.5</v>
      </c>
      <c r="Q379" s="131">
        <v>8.74</v>
      </c>
      <c r="R379" s="50">
        <v>41</v>
      </c>
      <c r="S379" s="74">
        <v>230</v>
      </c>
      <c r="T379" s="50">
        <v>0.2</v>
      </c>
      <c r="U379" s="131">
        <v>1.74</v>
      </c>
      <c r="V379" s="50">
        <v>0.4</v>
      </c>
      <c r="W379" s="74">
        <v>2.3E-2</v>
      </c>
      <c r="X379" s="50">
        <v>0.16200000000000001</v>
      </c>
      <c r="Y379" s="74">
        <v>0.01</v>
      </c>
    </row>
    <row r="380" spans="1:30" ht="15" customHeight="1">
      <c r="A380" s="41" t="s">
        <v>183</v>
      </c>
      <c r="B380" s="402" t="s">
        <v>597</v>
      </c>
      <c r="C380" s="113" t="s">
        <v>626</v>
      </c>
      <c r="D380" s="393" t="s">
        <v>534</v>
      </c>
      <c r="E380" s="394" t="s">
        <v>627</v>
      </c>
      <c r="G380" s="414" t="s">
        <v>628</v>
      </c>
      <c r="H380" s="49">
        <v>3273</v>
      </c>
      <c r="I380" s="50" t="s">
        <v>1</v>
      </c>
      <c r="J380" s="260" t="s">
        <v>593</v>
      </c>
      <c r="K380" s="51">
        <v>41072</v>
      </c>
      <c r="L380" s="115">
        <v>41062</v>
      </c>
      <c r="M380" s="50">
        <v>10</v>
      </c>
      <c r="N380" s="50" t="s">
        <v>2</v>
      </c>
      <c r="O380" s="131">
        <f>1.4/2</f>
        <v>0.7</v>
      </c>
      <c r="P380" s="117">
        <v>5.5</v>
      </c>
      <c r="Q380" s="131">
        <v>7.91</v>
      </c>
      <c r="R380" s="50">
        <v>29</v>
      </c>
      <c r="S380" s="74">
        <v>240</v>
      </c>
      <c r="T380" s="50">
        <v>0.31</v>
      </c>
      <c r="U380" s="131">
        <v>1.67</v>
      </c>
      <c r="V380" s="50">
        <v>1.67</v>
      </c>
      <c r="W380" s="74">
        <v>2.5000000000000001E-2</v>
      </c>
      <c r="X380" s="50">
        <v>0.13400000000000001</v>
      </c>
      <c r="Y380" s="74">
        <v>1.4999999999999999E-2</v>
      </c>
    </row>
    <row r="381" spans="1:30" ht="15" customHeight="1">
      <c r="A381" s="41" t="s">
        <v>183</v>
      </c>
      <c r="B381" s="402" t="s">
        <v>1839</v>
      </c>
      <c r="C381" s="113" t="s">
        <v>1840</v>
      </c>
      <c r="D381" s="393" t="s">
        <v>406</v>
      </c>
      <c r="E381" s="394" t="s">
        <v>398</v>
      </c>
      <c r="G381" s="414" t="s">
        <v>1806</v>
      </c>
      <c r="I381" s="50" t="s">
        <v>2</v>
      </c>
      <c r="J381" s="260" t="s">
        <v>1912</v>
      </c>
      <c r="K381" s="51">
        <v>41136</v>
      </c>
      <c r="L381" s="115">
        <v>41133</v>
      </c>
      <c r="M381" s="50">
        <v>3</v>
      </c>
      <c r="N381" s="50" t="s">
        <v>2</v>
      </c>
      <c r="O381" s="131">
        <f>5.6/2</f>
        <v>2.8</v>
      </c>
      <c r="P381" s="117">
        <v>5.6</v>
      </c>
      <c r="Q381" s="131">
        <v>5.7</v>
      </c>
      <c r="R381" s="50">
        <v>60</v>
      </c>
      <c r="S381" s="74">
        <v>50</v>
      </c>
      <c r="T381" s="50">
        <v>0.06</v>
      </c>
      <c r="U381" s="131">
        <v>1.1299999999999999</v>
      </c>
      <c r="V381" s="50">
        <v>0.18</v>
      </c>
      <c r="W381" s="74">
        <v>1.2999999999999999E-2</v>
      </c>
      <c r="X381" s="50">
        <v>0.21199999999999999</v>
      </c>
      <c r="Y381" s="74">
        <v>6.0000000000000001E-3</v>
      </c>
    </row>
    <row r="382" spans="1:30" ht="15" customHeight="1">
      <c r="A382" s="41" t="s">
        <v>183</v>
      </c>
      <c r="B382" s="402" t="s">
        <v>436</v>
      </c>
      <c r="C382" s="113" t="s">
        <v>436</v>
      </c>
      <c r="D382" s="393" t="s">
        <v>347</v>
      </c>
      <c r="E382" s="394" t="s">
        <v>437</v>
      </c>
      <c r="G382" s="414" t="s">
        <v>1677</v>
      </c>
      <c r="H382" s="49">
        <v>3829</v>
      </c>
      <c r="I382" s="50" t="s">
        <v>2</v>
      </c>
      <c r="J382" s="260" t="s">
        <v>366</v>
      </c>
      <c r="K382" s="51">
        <v>41131</v>
      </c>
      <c r="L382" s="115">
        <v>41126</v>
      </c>
      <c r="M382" s="50">
        <v>5</v>
      </c>
      <c r="N382" s="50" t="s">
        <v>2</v>
      </c>
      <c r="O382" s="131">
        <f>1/2</f>
        <v>0.5</v>
      </c>
      <c r="P382" s="117">
        <v>5.53</v>
      </c>
      <c r="Q382" s="131">
        <v>5.0199999999999996</v>
      </c>
      <c r="R382" s="50">
        <v>25.6</v>
      </c>
      <c r="S382" s="74">
        <v>4</v>
      </c>
      <c r="T382" s="50">
        <v>0.09</v>
      </c>
      <c r="U382" s="131">
        <v>0.56000000000000005</v>
      </c>
      <c r="V382" s="50">
        <f>0.1/2</f>
        <v>0.05</v>
      </c>
      <c r="W382" s="74">
        <v>2.1000000000000001E-2</v>
      </c>
      <c r="X382" s="50">
        <v>4.2999999999999997E-2</v>
      </c>
      <c r="Y382" s="74">
        <v>3.0000000000000001E-3</v>
      </c>
    </row>
    <row r="383" spans="1:30" ht="15" customHeight="1">
      <c r="A383" s="41" t="s">
        <v>183</v>
      </c>
      <c r="B383" s="402" t="s">
        <v>1841</v>
      </c>
      <c r="C383" s="113" t="s">
        <v>1841</v>
      </c>
      <c r="D383" s="393" t="s">
        <v>195</v>
      </c>
      <c r="E383" s="394" t="s">
        <v>1831</v>
      </c>
      <c r="F383" s="402" t="s">
        <v>1916</v>
      </c>
      <c r="G383" s="414" t="s">
        <v>1807</v>
      </c>
      <c r="H383" s="49">
        <v>2893</v>
      </c>
      <c r="I383" s="50" t="s">
        <v>2</v>
      </c>
      <c r="J383" s="260" t="s">
        <v>81</v>
      </c>
      <c r="K383" s="51">
        <v>41131</v>
      </c>
      <c r="L383" s="115">
        <v>41127</v>
      </c>
      <c r="M383" s="50">
        <v>4</v>
      </c>
      <c r="N383" s="50" t="s">
        <v>2</v>
      </c>
      <c r="O383" s="131">
        <v>6</v>
      </c>
      <c r="P383" s="117">
        <v>6.5</v>
      </c>
      <c r="Q383" s="131">
        <v>6.5</v>
      </c>
      <c r="R383" s="50">
        <v>23</v>
      </c>
      <c r="S383" s="74">
        <v>23</v>
      </c>
      <c r="T383" s="50">
        <v>0.18</v>
      </c>
      <c r="U383" s="131">
        <v>0.93</v>
      </c>
      <c r="V383" s="50">
        <v>0.28999999999999998</v>
      </c>
      <c r="W383" s="74">
        <f>0.01/2</f>
        <v>5.0000000000000001E-3</v>
      </c>
      <c r="X383" s="50">
        <v>9.0999999999999998E-2</v>
      </c>
      <c r="Y383" s="74">
        <f>0.03/2</f>
        <v>1.4999999999999999E-2</v>
      </c>
      <c r="Z383" s="271">
        <v>1</v>
      </c>
      <c r="AA383" s="271">
        <v>1</v>
      </c>
      <c r="AB383" s="114">
        <v>7</v>
      </c>
      <c r="AC383" s="50">
        <v>25</v>
      </c>
      <c r="AD383" s="271">
        <v>1</v>
      </c>
    </row>
    <row r="384" spans="1:30" ht="15" customHeight="1">
      <c r="A384" s="41" t="s">
        <v>183</v>
      </c>
      <c r="B384" s="402" t="s">
        <v>956</v>
      </c>
      <c r="C384" s="113" t="s">
        <v>1842</v>
      </c>
      <c r="D384" s="393" t="s">
        <v>247</v>
      </c>
      <c r="E384" s="394" t="s">
        <v>382</v>
      </c>
      <c r="G384" s="414" t="s">
        <v>1808</v>
      </c>
      <c r="H384" s="49">
        <v>4151</v>
      </c>
      <c r="I384" s="50" t="s">
        <v>2</v>
      </c>
      <c r="J384" s="260" t="s">
        <v>81</v>
      </c>
      <c r="K384" s="51">
        <v>41149</v>
      </c>
      <c r="L384" s="115">
        <v>41139</v>
      </c>
      <c r="M384" s="50">
        <v>10</v>
      </c>
      <c r="N384" s="50" t="s">
        <v>2</v>
      </c>
      <c r="O384" s="131">
        <v>8.3000000000000007</v>
      </c>
      <c r="P384" s="117"/>
      <c r="Q384" s="131">
        <v>6.16</v>
      </c>
      <c r="R384" s="50">
        <v>33</v>
      </c>
      <c r="S384" s="74">
        <v>693</v>
      </c>
      <c r="T384" s="50">
        <v>0.59</v>
      </c>
      <c r="U384" s="131">
        <v>1.26</v>
      </c>
      <c r="V384" s="50">
        <v>1.6</v>
      </c>
      <c r="W384" s="74">
        <v>0.04</v>
      </c>
      <c r="X384" s="50">
        <v>0.18</v>
      </c>
      <c r="Y384" s="74">
        <v>0.05</v>
      </c>
    </row>
    <row r="385" spans="1:30" ht="15" customHeight="1">
      <c r="A385" s="41" t="s">
        <v>183</v>
      </c>
      <c r="B385" s="402" t="s">
        <v>1832</v>
      </c>
      <c r="C385" s="113" t="s">
        <v>1914</v>
      </c>
      <c r="D385" s="393" t="s">
        <v>111</v>
      </c>
      <c r="E385" s="394" t="s">
        <v>382</v>
      </c>
      <c r="G385" s="414" t="s">
        <v>1809</v>
      </c>
      <c r="H385" s="49">
        <v>3272</v>
      </c>
      <c r="I385" s="50" t="s">
        <v>2</v>
      </c>
      <c r="J385" s="260" t="s">
        <v>74</v>
      </c>
      <c r="K385" s="51">
        <v>41136</v>
      </c>
      <c r="N385" s="50" t="s">
        <v>2</v>
      </c>
      <c r="O385" s="131">
        <v>1.6</v>
      </c>
      <c r="P385" s="117"/>
      <c r="Q385" s="131">
        <v>6.73</v>
      </c>
      <c r="R385" s="50">
        <v>25.6</v>
      </c>
      <c r="S385" s="74">
        <v>62</v>
      </c>
      <c r="T385" s="50">
        <v>0.24</v>
      </c>
      <c r="U385" s="131">
        <v>0.43</v>
      </c>
      <c r="V385" s="50">
        <v>0.45</v>
      </c>
      <c r="W385" s="74">
        <v>5.0000000000000001E-3</v>
      </c>
      <c r="X385" s="50">
        <v>3.6999999999999998E-2</v>
      </c>
      <c r="Y385" s="74">
        <v>3.7999999999999999E-2</v>
      </c>
    </row>
    <row r="386" spans="1:30" ht="15" customHeight="1">
      <c r="A386" s="41" t="s">
        <v>183</v>
      </c>
      <c r="B386" s="402" t="s">
        <v>1910</v>
      </c>
      <c r="C386" s="113" t="s">
        <v>1243</v>
      </c>
      <c r="D386" s="393" t="s">
        <v>133</v>
      </c>
      <c r="E386" s="394" t="s">
        <v>1546</v>
      </c>
      <c r="G386" s="414" t="s">
        <v>1810</v>
      </c>
      <c r="H386" s="49">
        <v>4151</v>
      </c>
      <c r="I386" s="50" t="s">
        <v>2</v>
      </c>
      <c r="J386" s="260" t="s">
        <v>641</v>
      </c>
      <c r="K386" s="51">
        <v>41149</v>
      </c>
      <c r="L386" s="115">
        <v>41139</v>
      </c>
      <c r="M386" s="50">
        <v>10</v>
      </c>
      <c r="N386" s="50" t="s">
        <v>2</v>
      </c>
      <c r="O386" s="131">
        <f>1.5/2</f>
        <v>0.75</v>
      </c>
      <c r="P386" s="117">
        <v>5.0599999999999996</v>
      </c>
      <c r="Q386" s="131">
        <v>7.38</v>
      </c>
      <c r="R386" s="50">
        <v>51</v>
      </c>
      <c r="S386" s="74">
        <v>110</v>
      </c>
      <c r="T386" s="50">
        <v>0.28000000000000003</v>
      </c>
      <c r="U386" s="131">
        <v>1.1499999999999999</v>
      </c>
      <c r="V386" s="50">
        <v>1.53</v>
      </c>
      <c r="W386" s="74">
        <v>2.3E-2</v>
      </c>
      <c r="X386" s="50">
        <v>7.6999999999999999E-2</v>
      </c>
      <c r="Y386" s="74">
        <v>1.7000000000000001E-2</v>
      </c>
    </row>
    <row r="387" spans="1:30" ht="15" customHeight="1">
      <c r="A387" s="41" t="s">
        <v>183</v>
      </c>
      <c r="B387" s="402" t="s">
        <v>1910</v>
      </c>
      <c r="C387" s="113" t="s">
        <v>1243</v>
      </c>
      <c r="D387" s="393" t="s">
        <v>133</v>
      </c>
      <c r="E387" s="394" t="s">
        <v>1546</v>
      </c>
      <c r="G387" s="414" t="s">
        <v>1810</v>
      </c>
      <c r="H387" s="49">
        <v>4151</v>
      </c>
      <c r="I387" s="50" t="s">
        <v>2</v>
      </c>
      <c r="J387" s="260" t="s">
        <v>1786</v>
      </c>
      <c r="K387" s="51">
        <v>41149</v>
      </c>
      <c r="L387" s="115">
        <v>41139</v>
      </c>
      <c r="M387" s="50">
        <v>10</v>
      </c>
      <c r="N387" s="50" t="s">
        <v>2</v>
      </c>
      <c r="O387" s="131">
        <f>1.4/2</f>
        <v>0.7</v>
      </c>
      <c r="P387" s="117">
        <v>5.0599999999999996</v>
      </c>
      <c r="Q387" s="131">
        <v>7.51</v>
      </c>
      <c r="R387" s="50">
        <v>51</v>
      </c>
      <c r="S387" s="74">
        <v>68</v>
      </c>
      <c r="T387" s="50">
        <v>0.14000000000000001</v>
      </c>
      <c r="U387" s="131">
        <v>0.86</v>
      </c>
      <c r="V387" s="50">
        <v>0.18</v>
      </c>
      <c r="W387" s="74">
        <v>1.0999999999999999E-2</v>
      </c>
      <c r="X387" s="50">
        <v>3.6999999999999998E-2</v>
      </c>
      <c r="Y387" s="74">
        <v>4.0000000000000001E-3</v>
      </c>
    </row>
    <row r="388" spans="1:30" ht="15" customHeight="1">
      <c r="A388" s="41" t="s">
        <v>183</v>
      </c>
      <c r="B388" s="402" t="s">
        <v>1910</v>
      </c>
      <c r="C388" s="113" t="s">
        <v>1243</v>
      </c>
      <c r="D388" s="393" t="s">
        <v>133</v>
      </c>
      <c r="E388" s="394" t="s">
        <v>1546</v>
      </c>
      <c r="G388" s="414" t="s">
        <v>1810</v>
      </c>
      <c r="H388" s="49">
        <v>4151</v>
      </c>
      <c r="I388" s="50" t="s">
        <v>2</v>
      </c>
      <c r="J388" s="260" t="s">
        <v>643</v>
      </c>
      <c r="K388" s="51">
        <v>41149</v>
      </c>
      <c r="L388" s="115">
        <v>41139</v>
      </c>
      <c r="M388" s="50">
        <v>10</v>
      </c>
      <c r="N388" s="50" t="s">
        <v>2</v>
      </c>
      <c r="O388" s="131">
        <f>1.4/2</f>
        <v>0.7</v>
      </c>
      <c r="P388" s="117">
        <v>5.0599999999999996</v>
      </c>
      <c r="Q388" s="131">
        <v>7.45</v>
      </c>
      <c r="R388" s="50">
        <v>62</v>
      </c>
      <c r="S388" s="74">
        <v>59</v>
      </c>
      <c r="T388" s="50">
        <v>0.21</v>
      </c>
      <c r="U388" s="131">
        <v>1.45</v>
      </c>
      <c r="V388" s="50">
        <v>1.2</v>
      </c>
      <c r="W388" s="74">
        <v>1.9E-2</v>
      </c>
      <c r="X388" s="50">
        <v>4.8000000000000001E-2</v>
      </c>
      <c r="Y388" s="74">
        <v>8.0000000000000002E-3</v>
      </c>
    </row>
    <row r="389" spans="1:30" ht="15" customHeight="1">
      <c r="A389" s="74" t="s">
        <v>183</v>
      </c>
      <c r="B389" s="402" t="s">
        <v>1817</v>
      </c>
      <c r="C389" s="113" t="s">
        <v>1817</v>
      </c>
      <c r="D389" s="393" t="s">
        <v>684</v>
      </c>
      <c r="E389" s="394" t="s">
        <v>322</v>
      </c>
      <c r="F389" s="402" t="s">
        <v>1911</v>
      </c>
      <c r="G389" s="405" t="s">
        <v>1792</v>
      </c>
      <c r="H389" s="49">
        <v>3353</v>
      </c>
      <c r="I389" s="50" t="s">
        <v>2</v>
      </c>
      <c r="J389" s="76" t="s">
        <v>1793</v>
      </c>
      <c r="K389" s="51">
        <v>41148</v>
      </c>
      <c r="L389" s="115">
        <v>41139</v>
      </c>
      <c r="M389" s="50">
        <v>9</v>
      </c>
      <c r="N389" s="50" t="s">
        <v>2</v>
      </c>
      <c r="O389" s="131">
        <f>1.4/2</f>
        <v>0.7</v>
      </c>
      <c r="P389" s="50">
        <v>7.3</v>
      </c>
      <c r="Q389" s="74">
        <v>7.64</v>
      </c>
      <c r="R389" s="50">
        <f>10/2</f>
        <v>5</v>
      </c>
      <c r="S389" s="74">
        <f>5/2</f>
        <v>2.5</v>
      </c>
      <c r="T389" s="50">
        <f>0.01/2</f>
        <v>5.0000000000000001E-3</v>
      </c>
      <c r="U389" s="131">
        <v>0.17</v>
      </c>
      <c r="V389" s="50">
        <v>1.21</v>
      </c>
      <c r="W389" s="74" t="s">
        <v>955</v>
      </c>
      <c r="X389" s="50">
        <v>3.1E-2</v>
      </c>
      <c r="Y389" s="74">
        <f>0.002/2</f>
        <v>1E-3</v>
      </c>
    </row>
    <row r="390" spans="1:30" ht="15" customHeight="1">
      <c r="A390" s="41" t="s">
        <v>183</v>
      </c>
      <c r="B390" s="402" t="s">
        <v>1849</v>
      </c>
      <c r="C390" s="113" t="s">
        <v>1849</v>
      </c>
      <c r="D390" s="393" t="s">
        <v>290</v>
      </c>
      <c r="E390" s="394" t="s">
        <v>1850</v>
      </c>
      <c r="G390" s="405" t="s">
        <v>1851</v>
      </c>
      <c r="H390" s="49">
        <v>2899</v>
      </c>
      <c r="I390" s="50" t="s">
        <v>2</v>
      </c>
      <c r="J390" s="76" t="s">
        <v>81</v>
      </c>
      <c r="K390" s="51">
        <v>41149</v>
      </c>
      <c r="L390" s="115">
        <v>41139</v>
      </c>
      <c r="M390" s="50">
        <v>10</v>
      </c>
      <c r="N390" s="50" t="s">
        <v>2</v>
      </c>
      <c r="O390" s="131">
        <f>1.8/2</f>
        <v>0.9</v>
      </c>
      <c r="P390" s="50">
        <v>4.8</v>
      </c>
      <c r="Q390" s="74">
        <v>7.9</v>
      </c>
      <c r="R390" s="50">
        <v>23</v>
      </c>
      <c r="S390" s="74">
        <v>3</v>
      </c>
      <c r="T390" s="50">
        <v>0.106</v>
      </c>
      <c r="U390" s="131">
        <f>1/2</f>
        <v>0.5</v>
      </c>
      <c r="V390" s="50">
        <v>0.93</v>
      </c>
      <c r="W390" s="74">
        <f>0.005/2</f>
        <v>2.5000000000000001E-3</v>
      </c>
      <c r="X390" s="50">
        <v>6.8000000000000005E-2</v>
      </c>
      <c r="Y390" s="74">
        <v>1.2699999999999999E-2</v>
      </c>
      <c r="Z390" s="271">
        <v>1</v>
      </c>
      <c r="AA390" s="271">
        <v>1</v>
      </c>
      <c r="AB390" s="114">
        <v>76</v>
      </c>
      <c r="AC390" s="50">
        <v>232</v>
      </c>
      <c r="AD390" s="271">
        <v>1</v>
      </c>
    </row>
    <row r="391" spans="1:30" ht="15" customHeight="1">
      <c r="A391" s="41" t="s">
        <v>183</v>
      </c>
      <c r="B391" s="402" t="s">
        <v>1818</v>
      </c>
      <c r="C391" s="113" t="s">
        <v>1819</v>
      </c>
      <c r="D391" s="393" t="s">
        <v>133</v>
      </c>
      <c r="E391" s="394" t="s">
        <v>1820</v>
      </c>
      <c r="G391" s="405" t="s">
        <v>1794</v>
      </c>
      <c r="H391" s="49">
        <v>4173</v>
      </c>
      <c r="I391" s="50" t="s">
        <v>2</v>
      </c>
      <c r="J391" s="76" t="s">
        <v>366</v>
      </c>
      <c r="K391" s="51">
        <v>41105</v>
      </c>
      <c r="L391" s="115">
        <v>41091</v>
      </c>
      <c r="M391" s="50">
        <v>14</v>
      </c>
      <c r="N391" s="50" t="s">
        <v>2</v>
      </c>
      <c r="O391" s="131">
        <f>1.9/2</f>
        <v>0.95</v>
      </c>
      <c r="P391" s="50">
        <v>6.3</v>
      </c>
      <c r="Q391" s="74">
        <v>6.5</v>
      </c>
      <c r="R391" s="50">
        <v>69</v>
      </c>
      <c r="S391" s="74">
        <v>19</v>
      </c>
      <c r="T391" s="50">
        <v>0.14399999999999999</v>
      </c>
      <c r="U391" s="131">
        <v>3.6</v>
      </c>
      <c r="V391" s="50">
        <v>2.17</v>
      </c>
      <c r="W391" s="74">
        <v>8.1000000000000003E-2</v>
      </c>
      <c r="X391" s="50">
        <v>7.4999999999999997E-2</v>
      </c>
      <c r="Y391" s="74">
        <v>1.6400000000000001E-2</v>
      </c>
      <c r="Z391" s="271">
        <v>1</v>
      </c>
      <c r="AA391" s="271">
        <v>0.69399999999999995</v>
      </c>
      <c r="AB391" s="114">
        <v>20</v>
      </c>
      <c r="AC391" s="50">
        <v>67</v>
      </c>
      <c r="AD391" s="271">
        <v>0</v>
      </c>
    </row>
    <row r="392" spans="1:30" ht="15" customHeight="1">
      <c r="A392" s="41" t="s">
        <v>183</v>
      </c>
      <c r="B392" s="402" t="s">
        <v>1822</v>
      </c>
      <c r="C392" s="113" t="s">
        <v>1823</v>
      </c>
      <c r="D392" s="393" t="s">
        <v>827</v>
      </c>
      <c r="E392" s="394" t="s">
        <v>1824</v>
      </c>
      <c r="G392" s="405" t="s">
        <v>1795</v>
      </c>
      <c r="H392" s="49">
        <v>3691</v>
      </c>
      <c r="I392" s="50" t="s">
        <v>2</v>
      </c>
      <c r="J392" s="76" t="s">
        <v>1796</v>
      </c>
      <c r="K392" s="51">
        <v>41136</v>
      </c>
      <c r="L392" s="115">
        <v>41131</v>
      </c>
      <c r="M392" s="50">
        <v>5</v>
      </c>
      <c r="N392" s="50" t="s">
        <v>2</v>
      </c>
      <c r="O392" s="131">
        <f>1.4/2</f>
        <v>0.7</v>
      </c>
      <c r="P392" s="50">
        <v>6.5</v>
      </c>
      <c r="Q392" s="74">
        <v>6.15</v>
      </c>
      <c r="R392" s="50">
        <v>15</v>
      </c>
      <c r="S392" s="74">
        <f>5/2</f>
        <v>2.5</v>
      </c>
      <c r="T392" s="50">
        <v>0.06</v>
      </c>
      <c r="U392" s="131">
        <v>0.77</v>
      </c>
      <c r="V392" s="50">
        <v>0.13</v>
      </c>
      <c r="W392" s="74">
        <f>0.005/2</f>
        <v>2.5000000000000001E-3</v>
      </c>
      <c r="X392" s="50">
        <v>0.13</v>
      </c>
      <c r="Y392" s="74">
        <v>3.0000000000000001E-3</v>
      </c>
      <c r="Z392" s="271">
        <v>0.93899999999999995</v>
      </c>
      <c r="AA392" s="271">
        <v>0.70699999999999996</v>
      </c>
      <c r="AB392" s="114">
        <v>8</v>
      </c>
      <c r="AC392" s="50">
        <v>13</v>
      </c>
      <c r="AD392" s="271">
        <v>0</v>
      </c>
    </row>
    <row r="393" spans="1:30" ht="15" customHeight="1">
      <c r="A393" s="41" t="s">
        <v>183</v>
      </c>
      <c r="B393" s="402" t="s">
        <v>139</v>
      </c>
      <c r="D393" s="393" t="s">
        <v>133</v>
      </c>
      <c r="E393" s="394" t="s">
        <v>140</v>
      </c>
      <c r="F393" s="402" t="s">
        <v>971</v>
      </c>
      <c r="G393" s="405" t="s">
        <v>141</v>
      </c>
      <c r="I393" s="50" t="s">
        <v>2</v>
      </c>
      <c r="J393" s="76" t="s">
        <v>1181</v>
      </c>
      <c r="K393" s="51">
        <v>41157</v>
      </c>
      <c r="L393" s="115">
        <v>41149</v>
      </c>
      <c r="M393" s="50">
        <v>8</v>
      </c>
      <c r="N393" s="50" t="s">
        <v>2</v>
      </c>
      <c r="O393" s="131">
        <f>2/2</f>
        <v>1</v>
      </c>
      <c r="P393" s="50">
        <v>6.4</v>
      </c>
      <c r="Q393" s="74">
        <v>7.2</v>
      </c>
      <c r="R393" s="50">
        <v>25</v>
      </c>
      <c r="S393" s="74">
        <v>34</v>
      </c>
      <c r="T393" s="50">
        <v>0.11</v>
      </c>
      <c r="U393" s="131">
        <v>0.86</v>
      </c>
      <c r="V393" s="50">
        <v>0.53</v>
      </c>
      <c r="W393" s="74">
        <v>1.4E-2</v>
      </c>
      <c r="X393" s="50">
        <v>5.8000000000000003E-2</v>
      </c>
      <c r="Y393" s="74">
        <f>0.03/2</f>
        <v>1.4999999999999999E-2</v>
      </c>
    </row>
    <row r="394" spans="1:30" ht="15" customHeight="1">
      <c r="A394" s="41" t="s">
        <v>183</v>
      </c>
      <c r="B394" s="402" t="s">
        <v>139</v>
      </c>
      <c r="D394" s="393" t="s">
        <v>133</v>
      </c>
      <c r="E394" s="394" t="s">
        <v>140</v>
      </c>
      <c r="F394" s="402" t="s">
        <v>971</v>
      </c>
      <c r="G394" s="405" t="s">
        <v>141</v>
      </c>
      <c r="I394" s="50" t="s">
        <v>2</v>
      </c>
      <c r="J394" s="76" t="s">
        <v>1182</v>
      </c>
      <c r="K394" s="51">
        <v>41157</v>
      </c>
      <c r="L394" s="115">
        <v>41149</v>
      </c>
      <c r="M394" s="50">
        <v>8</v>
      </c>
      <c r="N394" s="50" t="s">
        <v>2</v>
      </c>
      <c r="O394" s="131">
        <f>2/2</f>
        <v>1</v>
      </c>
      <c r="P394" s="50">
        <v>6.4</v>
      </c>
      <c r="Q394" s="74">
        <v>6.8</v>
      </c>
      <c r="R394" s="50">
        <v>22</v>
      </c>
      <c r="S394" s="74">
        <v>18</v>
      </c>
      <c r="T394" s="50">
        <v>0.11</v>
      </c>
      <c r="U394" s="131">
        <v>3.59</v>
      </c>
      <c r="V394" s="50">
        <f>0.1/2</f>
        <v>0.05</v>
      </c>
      <c r="W394" s="74">
        <f>0.01/2</f>
        <v>5.0000000000000001E-3</v>
      </c>
      <c r="X394" s="50">
        <f>0.03/2</f>
        <v>1.4999999999999999E-2</v>
      </c>
      <c r="Y394" s="74">
        <f>0.03/2</f>
        <v>1.4999999999999999E-2</v>
      </c>
    </row>
    <row r="395" spans="1:30" ht="15" customHeight="1">
      <c r="A395" s="41" t="s">
        <v>183</v>
      </c>
      <c r="B395" s="402" t="s">
        <v>139</v>
      </c>
      <c r="D395" s="393" t="s">
        <v>133</v>
      </c>
      <c r="E395" s="394" t="s">
        <v>140</v>
      </c>
      <c r="F395" s="402" t="s">
        <v>971</v>
      </c>
      <c r="G395" s="405" t="s">
        <v>141</v>
      </c>
      <c r="J395" s="76" t="s">
        <v>1183</v>
      </c>
      <c r="K395" s="51">
        <v>41157</v>
      </c>
      <c r="L395" s="115">
        <v>41149</v>
      </c>
      <c r="M395" s="50">
        <v>8</v>
      </c>
      <c r="N395" s="50" t="s">
        <v>2</v>
      </c>
      <c r="O395" s="131">
        <f>2/2</f>
        <v>1</v>
      </c>
      <c r="P395" s="50">
        <v>6.4</v>
      </c>
      <c r="Q395" s="74">
        <v>6.9</v>
      </c>
      <c r="R395" s="50">
        <v>23</v>
      </c>
      <c r="S395" s="74">
        <v>6</v>
      </c>
      <c r="T395" s="50">
        <f>0.05/2</f>
        <v>2.5000000000000001E-2</v>
      </c>
      <c r="U395" s="131">
        <v>0.62</v>
      </c>
      <c r="V395" s="50">
        <v>0.13</v>
      </c>
      <c r="W395" s="74">
        <v>1.7000000000000001E-2</v>
      </c>
      <c r="X395" s="50">
        <v>3.2000000000000001E-2</v>
      </c>
      <c r="Y395" s="74">
        <f>0.03/2</f>
        <v>1.4999999999999999E-2</v>
      </c>
    </row>
    <row r="396" spans="1:30" ht="15" customHeight="1">
      <c r="A396" s="41" t="s">
        <v>183</v>
      </c>
      <c r="B396" s="402" t="s">
        <v>139</v>
      </c>
      <c r="D396" s="393" t="s">
        <v>133</v>
      </c>
      <c r="E396" s="394" t="s">
        <v>140</v>
      </c>
      <c r="F396" s="402" t="s">
        <v>971</v>
      </c>
      <c r="G396" s="405" t="s">
        <v>141</v>
      </c>
      <c r="J396" s="76" t="s">
        <v>1184</v>
      </c>
      <c r="K396" s="51">
        <v>41157</v>
      </c>
      <c r="L396" s="115">
        <v>41149</v>
      </c>
      <c r="M396" s="50">
        <v>8</v>
      </c>
      <c r="N396" s="50" t="s">
        <v>2</v>
      </c>
      <c r="O396" s="131">
        <f>2/2</f>
        <v>1</v>
      </c>
      <c r="P396" s="50">
        <v>6.4</v>
      </c>
      <c r="Q396" s="74">
        <v>7.1</v>
      </c>
      <c r="R396" s="50">
        <f>10/2</f>
        <v>5</v>
      </c>
      <c r="S396" s="74">
        <v>9</v>
      </c>
      <c r="T396" s="50">
        <f>0.05/2</f>
        <v>2.5000000000000001E-2</v>
      </c>
      <c r="U396" s="131">
        <v>0.47</v>
      </c>
      <c r="V396" s="50">
        <v>0.37</v>
      </c>
      <c r="W396" s="74">
        <f>0.01/2</f>
        <v>5.0000000000000001E-3</v>
      </c>
      <c r="X396" s="50">
        <v>3.9E-2</v>
      </c>
      <c r="Y396" s="74">
        <f>0.03/2</f>
        <v>1.4999999999999999E-2</v>
      </c>
    </row>
    <row r="397" spans="1:30" ht="15" customHeight="1">
      <c r="A397" s="41" t="s">
        <v>183</v>
      </c>
      <c r="B397" s="402" t="s">
        <v>1892</v>
      </c>
      <c r="C397" s="113" t="s">
        <v>1893</v>
      </c>
      <c r="D397" s="393" t="s">
        <v>251</v>
      </c>
      <c r="E397" s="394" t="s">
        <v>252</v>
      </c>
      <c r="F397" s="402">
        <v>4402</v>
      </c>
      <c r="G397" s="405" t="s">
        <v>1348</v>
      </c>
      <c r="H397" s="49">
        <v>3432</v>
      </c>
      <c r="I397" s="50" t="s">
        <v>2</v>
      </c>
      <c r="J397" s="76" t="s">
        <v>1350</v>
      </c>
      <c r="K397" s="51">
        <v>41131</v>
      </c>
      <c r="L397" s="115">
        <v>41126</v>
      </c>
      <c r="M397" s="50">
        <v>5</v>
      </c>
      <c r="N397" s="50" t="s">
        <v>2</v>
      </c>
      <c r="O397" s="131">
        <f>1.4/2</f>
        <v>0.7</v>
      </c>
      <c r="P397" s="50">
        <v>6.16</v>
      </c>
      <c r="Q397" s="74">
        <v>6.24</v>
      </c>
      <c r="R397" s="50">
        <v>43</v>
      </c>
      <c r="S397" s="74">
        <v>16</v>
      </c>
      <c r="T397" s="50">
        <v>0.12</v>
      </c>
      <c r="U397" s="131">
        <v>1.46</v>
      </c>
      <c r="V397" s="50">
        <v>0.01</v>
      </c>
      <c r="W397" s="74">
        <v>0.2</v>
      </c>
      <c r="X397" s="50">
        <v>0.68400000000000005</v>
      </c>
      <c r="Y397" s="74">
        <v>4.0000000000000001E-3</v>
      </c>
    </row>
    <row r="398" spans="1:30" ht="15" customHeight="1">
      <c r="A398" s="41" t="s">
        <v>183</v>
      </c>
      <c r="B398" s="402" t="s">
        <v>1892</v>
      </c>
      <c r="C398" s="113" t="s">
        <v>1893</v>
      </c>
      <c r="D398" s="393" t="s">
        <v>251</v>
      </c>
      <c r="E398" s="394" t="s">
        <v>252</v>
      </c>
      <c r="F398" s="402">
        <v>4402</v>
      </c>
      <c r="G398" s="405" t="s">
        <v>1348</v>
      </c>
      <c r="H398" s="49">
        <v>3432</v>
      </c>
      <c r="I398" s="50" t="s">
        <v>2</v>
      </c>
      <c r="J398" s="76" t="s">
        <v>1349</v>
      </c>
      <c r="K398" s="51">
        <v>41131</v>
      </c>
      <c r="L398" s="115">
        <v>41126</v>
      </c>
      <c r="M398" s="50">
        <v>5</v>
      </c>
      <c r="N398" s="50" t="s">
        <v>2</v>
      </c>
      <c r="O398" s="131">
        <f>1.4/2</f>
        <v>0.7</v>
      </c>
      <c r="P398" s="50">
        <v>6.16</v>
      </c>
      <c r="Q398" s="74">
        <v>6.69</v>
      </c>
      <c r="R398" s="50">
        <v>18</v>
      </c>
      <c r="S398" s="74">
        <v>9.5</v>
      </c>
      <c r="T398" s="50">
        <v>0.05</v>
      </c>
      <c r="U398" s="131">
        <v>0.72</v>
      </c>
      <c r="V398" s="50">
        <v>0.38</v>
      </c>
      <c r="W398" s="74">
        <v>6.2E-2</v>
      </c>
      <c r="X398" s="50">
        <v>8.7999999999999995E-2</v>
      </c>
      <c r="Y398" s="74">
        <v>1.4999999999999999E-2</v>
      </c>
    </row>
    <row r="399" spans="1:30" ht="15" customHeight="1">
      <c r="A399" s="41" t="s">
        <v>183</v>
      </c>
      <c r="B399" s="402" t="s">
        <v>1892</v>
      </c>
      <c r="C399" s="113" t="s">
        <v>1893</v>
      </c>
      <c r="D399" s="393" t="s">
        <v>251</v>
      </c>
      <c r="E399" s="394" t="s">
        <v>252</v>
      </c>
      <c r="F399" s="402">
        <v>4402</v>
      </c>
      <c r="G399" s="405" t="s">
        <v>1348</v>
      </c>
      <c r="H399" s="49">
        <v>3432</v>
      </c>
      <c r="I399" s="50" t="s">
        <v>2</v>
      </c>
      <c r="J399" s="76" t="s">
        <v>1350</v>
      </c>
      <c r="K399" s="51">
        <v>41579</v>
      </c>
      <c r="L399" s="173">
        <v>41554</v>
      </c>
      <c r="M399" s="50">
        <f>K399-L399</f>
        <v>25</v>
      </c>
      <c r="N399" s="50" t="s">
        <v>2</v>
      </c>
      <c r="O399" s="74">
        <f>2.9/2</f>
        <v>1.45</v>
      </c>
      <c r="P399" s="50">
        <v>5.84</v>
      </c>
      <c r="Q399" s="74">
        <v>6.44</v>
      </c>
      <c r="R399" s="50">
        <v>26</v>
      </c>
      <c r="S399" s="74">
        <f>5/2</f>
        <v>2.5</v>
      </c>
      <c r="T399" s="50">
        <v>7.0000000000000007E-2</v>
      </c>
      <c r="U399" s="131">
        <v>1.02</v>
      </c>
      <c r="V399" s="50">
        <v>0.91</v>
      </c>
      <c r="W399" s="74">
        <v>0.19500000000000001</v>
      </c>
      <c r="X399" s="50">
        <v>0.62</v>
      </c>
      <c r="Y399" s="74">
        <v>5.0000000000000001E-3</v>
      </c>
      <c r="Z399" s="165">
        <v>6.25E-2</v>
      </c>
      <c r="AA399" s="271">
        <v>6.25E-2</v>
      </c>
      <c r="AB399" s="114">
        <v>8</v>
      </c>
      <c r="AC399" s="50">
        <v>43</v>
      </c>
      <c r="AD399" s="271">
        <v>0</v>
      </c>
    </row>
    <row r="400" spans="1:30" ht="15" customHeight="1">
      <c r="A400" s="41" t="s">
        <v>183</v>
      </c>
      <c r="B400" s="402" t="s">
        <v>1892</v>
      </c>
      <c r="C400" s="113" t="s">
        <v>1893</v>
      </c>
      <c r="D400" s="393" t="s">
        <v>251</v>
      </c>
      <c r="E400" s="394" t="s">
        <v>252</v>
      </c>
      <c r="F400" s="402">
        <v>4402</v>
      </c>
      <c r="G400" s="405" t="s">
        <v>1348</v>
      </c>
      <c r="H400" s="49">
        <v>3432</v>
      </c>
      <c r="I400" s="50" t="s">
        <v>2</v>
      </c>
      <c r="J400" s="76" t="s">
        <v>1349</v>
      </c>
      <c r="K400" s="51">
        <v>41579</v>
      </c>
      <c r="L400" s="173">
        <v>41554</v>
      </c>
      <c r="M400" s="50">
        <f>K400-L400</f>
        <v>25</v>
      </c>
      <c r="N400" s="50" t="s">
        <v>2</v>
      </c>
      <c r="O400" s="74">
        <f>1.7/2</f>
        <v>0.85</v>
      </c>
      <c r="P400" s="50">
        <v>5.84</v>
      </c>
      <c r="Q400" s="74">
        <v>6.49</v>
      </c>
      <c r="R400" s="50">
        <v>17</v>
      </c>
      <c r="S400" s="74">
        <f>5/2</f>
        <v>2.5</v>
      </c>
      <c r="T400" s="50">
        <v>0.09</v>
      </c>
      <c r="U400" s="131">
        <v>1.1100000000000001</v>
      </c>
      <c r="V400" s="50">
        <v>0.52</v>
      </c>
      <c r="W400" s="74">
        <v>0.122</v>
      </c>
      <c r="X400" s="50">
        <v>0.27700000000000002</v>
      </c>
      <c r="Y400" s="74">
        <v>0.01</v>
      </c>
      <c r="Z400" s="165">
        <v>9.1499999999999998E-2</v>
      </c>
      <c r="AA400" s="271">
        <v>8.8400000000000006E-2</v>
      </c>
      <c r="AB400" s="114">
        <v>10</v>
      </c>
      <c r="AC400" s="50">
        <v>43</v>
      </c>
      <c r="AD400" s="271">
        <v>0</v>
      </c>
    </row>
    <row r="401" spans="1:35" ht="15" customHeight="1">
      <c r="A401" s="41" t="s">
        <v>183</v>
      </c>
      <c r="B401" s="402" t="s">
        <v>693</v>
      </c>
      <c r="C401" s="113" t="s">
        <v>1894</v>
      </c>
      <c r="D401" s="393" t="s">
        <v>262</v>
      </c>
      <c r="E401" s="394" t="s">
        <v>694</v>
      </c>
      <c r="G401" s="405" t="s">
        <v>695</v>
      </c>
      <c r="H401" s="49">
        <v>3471</v>
      </c>
      <c r="I401" s="50" t="s">
        <v>2</v>
      </c>
      <c r="J401" s="76" t="s">
        <v>696</v>
      </c>
      <c r="K401" s="51">
        <v>41131</v>
      </c>
      <c r="L401" s="115">
        <v>41127</v>
      </c>
      <c r="M401" s="50">
        <v>4</v>
      </c>
      <c r="N401" s="50" t="s">
        <v>2</v>
      </c>
      <c r="O401" s="131">
        <f>1/2</f>
        <v>0.5</v>
      </c>
      <c r="P401" s="50">
        <v>5.5</v>
      </c>
      <c r="Q401" s="74">
        <v>6.01</v>
      </c>
      <c r="R401" s="50">
        <v>7.5</v>
      </c>
      <c r="S401" s="74">
        <v>5</v>
      </c>
      <c r="T401" s="50">
        <f>0.05/2</f>
        <v>2.5000000000000001E-2</v>
      </c>
      <c r="U401" s="131">
        <v>0.37</v>
      </c>
      <c r="V401" s="50">
        <v>0.1</v>
      </c>
      <c r="W401" s="74">
        <v>3.3000000000000002E-2</v>
      </c>
      <c r="X401" s="50">
        <v>3.1E-2</v>
      </c>
      <c r="Y401" s="74">
        <f>0.002/2</f>
        <v>1E-3</v>
      </c>
      <c r="AB401" s="114">
        <v>5.73</v>
      </c>
    </row>
    <row r="402" spans="1:35" ht="15" customHeight="1">
      <c r="A402" s="41" t="s">
        <v>183</v>
      </c>
      <c r="B402" s="402" t="s">
        <v>1351</v>
      </c>
      <c r="C402" s="113" t="s">
        <v>1895</v>
      </c>
      <c r="D402" s="393" t="s">
        <v>1896</v>
      </c>
      <c r="E402" s="394" t="s">
        <v>1897</v>
      </c>
      <c r="G402" s="405" t="s">
        <v>1369</v>
      </c>
      <c r="H402" s="49">
        <v>4513</v>
      </c>
      <c r="I402" s="50" t="s">
        <v>2</v>
      </c>
      <c r="J402" s="76" t="s">
        <v>1355</v>
      </c>
      <c r="K402" s="51">
        <v>41116</v>
      </c>
      <c r="L402" s="115">
        <v>41111</v>
      </c>
      <c r="M402" s="50">
        <v>5</v>
      </c>
      <c r="N402" s="50" t="s">
        <v>2</v>
      </c>
      <c r="O402" s="131">
        <f>5/2</f>
        <v>2.5</v>
      </c>
      <c r="P402" s="50">
        <v>6</v>
      </c>
      <c r="Q402" s="74">
        <v>6</v>
      </c>
      <c r="R402" s="50">
        <v>25</v>
      </c>
      <c r="S402" s="74">
        <v>19</v>
      </c>
      <c r="T402" s="50">
        <f>0.1/2</f>
        <v>0.05</v>
      </c>
      <c r="U402" s="131">
        <v>1.7</v>
      </c>
      <c r="V402" s="50">
        <v>0.25</v>
      </c>
      <c r="W402" s="74">
        <v>1.2999999999999999E-2</v>
      </c>
      <c r="X402" s="50">
        <v>8.6999999999999994E-2</v>
      </c>
      <c r="Y402" s="74" t="s">
        <v>955</v>
      </c>
      <c r="Z402" s="271">
        <v>1</v>
      </c>
      <c r="AA402" s="271">
        <v>1</v>
      </c>
      <c r="AB402" s="114">
        <v>12</v>
      </c>
      <c r="AC402" s="50">
        <v>50</v>
      </c>
      <c r="AD402" s="271">
        <v>1</v>
      </c>
    </row>
    <row r="403" spans="1:35" ht="15" customHeight="1">
      <c r="A403" s="41" t="s">
        <v>183</v>
      </c>
      <c r="B403" s="402" t="s">
        <v>1351</v>
      </c>
      <c r="C403" s="113" t="s">
        <v>1898</v>
      </c>
      <c r="D403" s="393" t="s">
        <v>1537</v>
      </c>
      <c r="E403" s="394" t="s">
        <v>1899</v>
      </c>
      <c r="G403" s="405" t="s">
        <v>1354</v>
      </c>
      <c r="H403" s="49">
        <v>4513</v>
      </c>
      <c r="I403" s="50" t="s">
        <v>1</v>
      </c>
      <c r="J403" s="76" t="s">
        <v>1355</v>
      </c>
      <c r="K403" s="51">
        <v>41116</v>
      </c>
      <c r="L403" s="115">
        <v>41111</v>
      </c>
      <c r="M403" s="50">
        <v>5</v>
      </c>
      <c r="N403" s="50" t="s">
        <v>2</v>
      </c>
      <c r="O403" s="131">
        <v>15</v>
      </c>
      <c r="P403" s="50">
        <v>6</v>
      </c>
      <c r="Q403" s="74">
        <v>6</v>
      </c>
      <c r="R403" s="50">
        <v>170</v>
      </c>
      <c r="S403" s="74">
        <v>720</v>
      </c>
      <c r="T403" s="50">
        <v>0.77</v>
      </c>
      <c r="U403" s="131">
        <v>2</v>
      </c>
      <c r="V403" s="50">
        <v>0.41</v>
      </c>
      <c r="W403" s="74">
        <v>8.4000000000000005E-2</v>
      </c>
      <c r="X403" s="50">
        <v>1.1000000000000001</v>
      </c>
      <c r="Y403" s="74">
        <v>7.9000000000000001E-2</v>
      </c>
      <c r="Z403" s="271">
        <v>1</v>
      </c>
      <c r="AA403" s="271">
        <v>1</v>
      </c>
      <c r="AB403" s="114">
        <v>12</v>
      </c>
      <c r="AC403" s="50">
        <v>89</v>
      </c>
      <c r="AD403" s="271">
        <v>1</v>
      </c>
    </row>
    <row r="404" spans="1:35" ht="15" customHeight="1">
      <c r="A404" s="41" t="s">
        <v>183</v>
      </c>
      <c r="B404" s="402" t="s">
        <v>1351</v>
      </c>
      <c r="C404" s="113" t="s">
        <v>1919</v>
      </c>
      <c r="D404" s="393" t="s">
        <v>1537</v>
      </c>
      <c r="E404" s="394" t="s">
        <v>1899</v>
      </c>
      <c r="G404" s="405" t="s">
        <v>1354</v>
      </c>
      <c r="H404" s="49">
        <v>4513</v>
      </c>
      <c r="I404" s="50" t="s">
        <v>1</v>
      </c>
      <c r="J404" s="76" t="s">
        <v>1356</v>
      </c>
      <c r="K404" s="51">
        <v>41116</v>
      </c>
      <c r="L404" s="115">
        <v>41111</v>
      </c>
      <c r="M404" s="50">
        <v>5</v>
      </c>
      <c r="N404" s="50" t="s">
        <v>2</v>
      </c>
      <c r="O404" s="131">
        <v>5.2</v>
      </c>
      <c r="P404" s="50">
        <v>6</v>
      </c>
      <c r="Q404" s="74">
        <v>6</v>
      </c>
      <c r="R404" s="50">
        <v>58</v>
      </c>
      <c r="S404" s="74">
        <v>170</v>
      </c>
      <c r="T404" s="50">
        <v>0.26</v>
      </c>
      <c r="U404" s="131">
        <v>2.8</v>
      </c>
      <c r="V404" s="50">
        <v>0.38</v>
      </c>
      <c r="W404" s="74">
        <v>3.4000000000000002E-2</v>
      </c>
      <c r="X404" s="50">
        <v>0.18</v>
      </c>
      <c r="Y404" s="74">
        <v>2.4E-2</v>
      </c>
      <c r="Z404" s="271">
        <v>1</v>
      </c>
      <c r="AA404" s="271">
        <v>1</v>
      </c>
      <c r="AB404" s="114">
        <v>24</v>
      </c>
      <c r="AC404" s="50">
        <v>67</v>
      </c>
      <c r="AD404" s="271">
        <v>1</v>
      </c>
    </row>
    <row r="405" spans="1:35" ht="15" customHeight="1">
      <c r="A405" s="41" t="s">
        <v>183</v>
      </c>
      <c r="B405" s="402" t="s">
        <v>442</v>
      </c>
      <c r="C405" s="113" t="s">
        <v>442</v>
      </c>
      <c r="D405" s="393" t="s">
        <v>443</v>
      </c>
      <c r="E405" s="394" t="s">
        <v>1852</v>
      </c>
      <c r="G405" s="405" t="s">
        <v>444</v>
      </c>
      <c r="H405" s="49">
        <v>2689</v>
      </c>
      <c r="I405" s="50" t="s">
        <v>2</v>
      </c>
      <c r="J405" s="76" t="s">
        <v>249</v>
      </c>
      <c r="K405" s="51">
        <v>41131</v>
      </c>
      <c r="L405" s="115">
        <v>41126</v>
      </c>
      <c r="M405" s="50">
        <v>5</v>
      </c>
      <c r="N405" s="50" t="s">
        <v>2</v>
      </c>
      <c r="O405" s="131">
        <v>6.5</v>
      </c>
      <c r="P405" s="50">
        <v>6.3</v>
      </c>
      <c r="Q405" s="74">
        <v>6.2</v>
      </c>
      <c r="R405" s="50">
        <v>88</v>
      </c>
      <c r="S405" s="74">
        <v>36</v>
      </c>
      <c r="T405" s="50">
        <v>0.05</v>
      </c>
      <c r="U405" s="131">
        <v>7.67</v>
      </c>
      <c r="V405" s="50">
        <v>0.39</v>
      </c>
      <c r="W405" s="74">
        <f>0.01/2</f>
        <v>5.0000000000000001E-3</v>
      </c>
      <c r="X405" s="50">
        <v>6.9000000000000006E-2</v>
      </c>
      <c r="Y405" s="74">
        <f>0.03/2</f>
        <v>1.4999999999999999E-2</v>
      </c>
    </row>
    <row r="406" spans="1:35" ht="15" customHeight="1">
      <c r="A406" s="41" t="s">
        <v>183</v>
      </c>
      <c r="B406" s="402" t="s">
        <v>442</v>
      </c>
      <c r="C406" s="113" t="s">
        <v>442</v>
      </c>
      <c r="D406" s="393" t="s">
        <v>443</v>
      </c>
      <c r="E406" s="394" t="s">
        <v>1852</v>
      </c>
      <c r="G406" s="405" t="s">
        <v>444</v>
      </c>
      <c r="H406" s="49">
        <v>2689</v>
      </c>
      <c r="I406" s="50" t="s">
        <v>2</v>
      </c>
      <c r="J406" s="76" t="s">
        <v>445</v>
      </c>
      <c r="K406" s="51">
        <v>41131</v>
      </c>
      <c r="L406" s="115">
        <v>41126</v>
      </c>
      <c r="M406" s="50">
        <v>5</v>
      </c>
      <c r="N406" s="50" t="s">
        <v>2</v>
      </c>
      <c r="O406" s="131">
        <v>10.199999999999999</v>
      </c>
      <c r="P406" s="50">
        <v>6.3</v>
      </c>
      <c r="Q406" s="74">
        <v>6.3</v>
      </c>
      <c r="R406" s="50">
        <v>46</v>
      </c>
      <c r="S406" s="74">
        <v>31</v>
      </c>
      <c r="T406" s="50">
        <v>0.05</v>
      </c>
      <c r="U406" s="131">
        <v>1.31</v>
      </c>
      <c r="V406" s="50">
        <v>0.27</v>
      </c>
      <c r="W406" s="74">
        <v>1.0999999999999999E-2</v>
      </c>
      <c r="X406" s="50">
        <v>6.4000000000000001E-2</v>
      </c>
      <c r="Y406" s="74">
        <f>0.03/2</f>
        <v>1.4999999999999999E-2</v>
      </c>
    </row>
    <row r="407" spans="1:35" ht="15" customHeight="1">
      <c r="A407" s="41" t="s">
        <v>183</v>
      </c>
      <c r="B407" s="402" t="s">
        <v>432</v>
      </c>
      <c r="C407" s="113" t="s">
        <v>432</v>
      </c>
      <c r="D407" s="393" t="s">
        <v>434</v>
      </c>
      <c r="E407" s="394" t="s">
        <v>433</v>
      </c>
      <c r="G407" s="405" t="s">
        <v>435</v>
      </c>
      <c r="H407" s="49">
        <v>3644</v>
      </c>
      <c r="I407" s="50" t="s">
        <v>2</v>
      </c>
      <c r="J407" s="76" t="s">
        <v>81</v>
      </c>
      <c r="K407" s="51">
        <v>41131</v>
      </c>
      <c r="L407" s="115">
        <v>41126</v>
      </c>
      <c r="M407" s="50">
        <v>5</v>
      </c>
      <c r="N407" s="50" t="s">
        <v>2</v>
      </c>
      <c r="O407" s="131">
        <f>1/2</f>
        <v>0.5</v>
      </c>
      <c r="P407" s="50">
        <v>5.5</v>
      </c>
      <c r="Q407" s="74">
        <v>4.79</v>
      </c>
      <c r="R407" s="50">
        <v>41.4</v>
      </c>
      <c r="S407" s="74">
        <v>5</v>
      </c>
      <c r="T407" s="50">
        <v>0.12</v>
      </c>
      <c r="U407" s="131">
        <v>2.0299999999999998</v>
      </c>
      <c r="V407" s="50">
        <v>0.47</v>
      </c>
      <c r="W407" s="74">
        <v>5.0999999999999997E-2</v>
      </c>
      <c r="X407" s="50">
        <v>1.1220000000000001</v>
      </c>
      <c r="Y407" s="74">
        <v>6.0000000000000001E-3</v>
      </c>
      <c r="AB407" s="114">
        <v>10.86</v>
      </c>
    </row>
    <row r="408" spans="1:35" ht="15" customHeight="1">
      <c r="A408" s="41" t="s">
        <v>183</v>
      </c>
      <c r="B408" s="402" t="s">
        <v>1853</v>
      </c>
      <c r="C408" s="113" t="s">
        <v>1854</v>
      </c>
      <c r="D408" s="393" t="s">
        <v>290</v>
      </c>
      <c r="F408" s="402" t="s">
        <v>1855</v>
      </c>
      <c r="G408" s="405" t="s">
        <v>1856</v>
      </c>
      <c r="H408" s="49">
        <v>2819</v>
      </c>
      <c r="I408" s="50" t="s">
        <v>2</v>
      </c>
      <c r="J408" s="76" t="s">
        <v>700</v>
      </c>
      <c r="K408" s="51">
        <v>41136</v>
      </c>
      <c r="L408" s="115">
        <v>41131</v>
      </c>
      <c r="M408" s="50">
        <v>5</v>
      </c>
      <c r="N408" s="50" t="s">
        <v>2</v>
      </c>
      <c r="O408" s="131">
        <f>1.8/2</f>
        <v>0.9</v>
      </c>
      <c r="P408" s="50">
        <v>7.67</v>
      </c>
      <c r="Q408" s="74">
        <v>6.58</v>
      </c>
      <c r="R408" s="50">
        <f>20/2</f>
        <v>10</v>
      </c>
      <c r="S408" s="74">
        <v>6.4</v>
      </c>
      <c r="T408" s="50">
        <v>2.8000000000000001E-2</v>
      </c>
      <c r="U408" s="131">
        <f>1/2</f>
        <v>0.5</v>
      </c>
      <c r="V408" s="50">
        <v>0.47</v>
      </c>
      <c r="W408" s="74">
        <f>0.005/2</f>
        <v>2.5000000000000001E-3</v>
      </c>
      <c r="X408" s="50">
        <v>7.2999999999999995E-2</v>
      </c>
      <c r="Y408" s="74">
        <f>0.005/2</f>
        <v>2.5000000000000001E-3</v>
      </c>
      <c r="Z408" s="271">
        <v>1</v>
      </c>
      <c r="AA408" s="271">
        <v>0.93</v>
      </c>
      <c r="AB408" s="114">
        <v>2</v>
      </c>
      <c r="AC408" s="50">
        <v>12</v>
      </c>
      <c r="AD408" s="271">
        <v>0.45</v>
      </c>
    </row>
    <row r="409" spans="1:35" ht="15" customHeight="1">
      <c r="A409" s="41" t="s">
        <v>183</v>
      </c>
      <c r="B409" s="402" t="s">
        <v>1900</v>
      </c>
      <c r="C409" s="113" t="s">
        <v>1405</v>
      </c>
      <c r="D409" s="393" t="s">
        <v>314</v>
      </c>
      <c r="E409" s="394" t="s">
        <v>49</v>
      </c>
      <c r="G409" s="405" t="s">
        <v>1407</v>
      </c>
      <c r="H409" s="49">
        <v>2759</v>
      </c>
      <c r="I409" s="50" t="s">
        <v>1</v>
      </c>
      <c r="J409" s="76" t="s">
        <v>81</v>
      </c>
      <c r="K409" s="51">
        <v>41136</v>
      </c>
      <c r="L409" s="115">
        <v>41129</v>
      </c>
      <c r="M409" s="50">
        <v>7</v>
      </c>
      <c r="N409" s="50" t="s">
        <v>2</v>
      </c>
      <c r="O409" s="131">
        <f>1.4/2</f>
        <v>0.7</v>
      </c>
      <c r="P409" s="50">
        <v>4.0199999999999996</v>
      </c>
      <c r="Q409" s="74">
        <v>4.4400000000000004</v>
      </c>
      <c r="R409" s="50">
        <f>10/2</f>
        <v>5</v>
      </c>
      <c r="S409" s="74">
        <v>16</v>
      </c>
      <c r="T409" s="50">
        <v>0.02</v>
      </c>
      <c r="U409" s="131">
        <v>0.27</v>
      </c>
      <c r="V409" s="50">
        <v>0.09</v>
      </c>
      <c r="W409" s="74">
        <f>0.005/2</f>
        <v>2.5000000000000001E-3</v>
      </c>
      <c r="X409" s="50">
        <v>6.0999999999999999E-2</v>
      </c>
      <c r="Y409" s="74">
        <f>0.002/2</f>
        <v>1E-3</v>
      </c>
      <c r="Z409" s="271">
        <v>1</v>
      </c>
      <c r="AA409" s="271">
        <v>0.63700000000000001</v>
      </c>
      <c r="AB409" s="114">
        <f>2/2</f>
        <v>1</v>
      </c>
      <c r="AC409" s="50">
        <v>5</v>
      </c>
      <c r="AD409" s="271">
        <v>0</v>
      </c>
    </row>
    <row r="410" spans="1:35" ht="15" customHeight="1">
      <c r="A410" s="41" t="s">
        <v>183</v>
      </c>
      <c r="B410" s="402" t="s">
        <v>1857</v>
      </c>
      <c r="C410" s="113" t="s">
        <v>1857</v>
      </c>
      <c r="D410" s="393" t="s">
        <v>452</v>
      </c>
      <c r="E410" s="394" t="s">
        <v>962</v>
      </c>
      <c r="F410" s="402">
        <v>3004</v>
      </c>
      <c r="G410" s="405" t="s">
        <v>137</v>
      </c>
      <c r="H410" s="49">
        <v>3829</v>
      </c>
      <c r="I410" s="50" t="s">
        <v>1</v>
      </c>
      <c r="J410" s="76" t="s">
        <v>194</v>
      </c>
      <c r="K410" s="51">
        <v>41156</v>
      </c>
      <c r="L410" s="115">
        <v>41149</v>
      </c>
      <c r="M410" s="50">
        <v>7</v>
      </c>
      <c r="N410" s="50" t="s">
        <v>2</v>
      </c>
      <c r="O410" s="131">
        <f>1.4/2</f>
        <v>0.7</v>
      </c>
      <c r="P410" s="50">
        <v>6.12</v>
      </c>
      <c r="Q410" s="74">
        <v>6.17</v>
      </c>
      <c r="R410" s="50">
        <v>26</v>
      </c>
      <c r="S410" s="74">
        <v>38</v>
      </c>
      <c r="T410" s="50">
        <v>0.2</v>
      </c>
      <c r="U410" s="131">
        <v>0.95</v>
      </c>
      <c r="V410" s="50">
        <v>0.11</v>
      </c>
      <c r="W410" s="74">
        <v>8.0000000000000002E-3</v>
      </c>
      <c r="X410" s="50">
        <v>5.0999999999999997E-2</v>
      </c>
      <c r="Y410" s="74">
        <v>6.0000000000000001E-3</v>
      </c>
      <c r="Z410" s="271">
        <v>1</v>
      </c>
      <c r="AA410" s="271">
        <v>1</v>
      </c>
      <c r="AB410" s="114">
        <v>2</v>
      </c>
      <c r="AC410" s="50">
        <v>11</v>
      </c>
      <c r="AD410" s="271">
        <v>1</v>
      </c>
      <c r="AE410" s="50">
        <v>3260</v>
      </c>
    </row>
    <row r="411" spans="1:35" ht="15" customHeight="1">
      <c r="A411" s="41" t="s">
        <v>183</v>
      </c>
      <c r="B411" s="402" t="s">
        <v>1857</v>
      </c>
      <c r="C411" s="113" t="s">
        <v>1857</v>
      </c>
      <c r="D411" s="393" t="s">
        <v>452</v>
      </c>
      <c r="E411" s="394" t="s">
        <v>962</v>
      </c>
      <c r="F411" s="402">
        <v>3004</v>
      </c>
      <c r="G411" s="405" t="s">
        <v>137</v>
      </c>
      <c r="H411" s="49">
        <v>3829</v>
      </c>
      <c r="I411" s="50" t="s">
        <v>1</v>
      </c>
      <c r="J411" s="76" t="s">
        <v>569</v>
      </c>
      <c r="K411" s="51">
        <v>41156</v>
      </c>
      <c r="L411" s="115">
        <v>41149</v>
      </c>
      <c r="M411" s="50">
        <v>7</v>
      </c>
      <c r="N411" s="50" t="s">
        <v>2</v>
      </c>
      <c r="O411" s="131">
        <v>2.2000000000000002</v>
      </c>
      <c r="P411" s="50">
        <v>6.54</v>
      </c>
      <c r="Q411" s="74">
        <v>6.36</v>
      </c>
      <c r="R411" s="50">
        <v>51</v>
      </c>
      <c r="S411" s="74">
        <v>150</v>
      </c>
      <c r="T411" s="50">
        <v>0.51</v>
      </c>
      <c r="U411" s="131">
        <v>1.36</v>
      </c>
      <c r="V411" s="50">
        <v>0.2</v>
      </c>
      <c r="W411" s="74">
        <v>3.3000000000000002E-2</v>
      </c>
      <c r="X411" s="50">
        <v>0.34799999999999998</v>
      </c>
      <c r="Y411" s="74">
        <v>1.7999999999999999E-2</v>
      </c>
      <c r="Z411" s="271">
        <v>0.89100000000000001</v>
      </c>
      <c r="AA411" s="271">
        <v>0.70699999999999996</v>
      </c>
      <c r="AB411" s="114">
        <v>4</v>
      </c>
      <c r="AC411" s="50">
        <v>17</v>
      </c>
      <c r="AD411" s="271">
        <v>0</v>
      </c>
      <c r="AE411" s="50">
        <v>8660</v>
      </c>
    </row>
    <row r="412" spans="1:35" ht="15" customHeight="1">
      <c r="A412" s="41" t="s">
        <v>183</v>
      </c>
      <c r="B412" s="402" t="s">
        <v>1858</v>
      </c>
      <c r="C412" s="113" t="s">
        <v>1858</v>
      </c>
      <c r="D412" s="393" t="s">
        <v>636</v>
      </c>
      <c r="E412" s="394" t="s">
        <v>1859</v>
      </c>
      <c r="G412" s="405" t="s">
        <v>1860</v>
      </c>
      <c r="H412" s="49">
        <v>2796</v>
      </c>
      <c r="I412" s="50" t="s">
        <v>1</v>
      </c>
      <c r="J412" s="76" t="s">
        <v>1861</v>
      </c>
      <c r="K412" s="51">
        <v>41136</v>
      </c>
      <c r="L412" s="115">
        <v>41131</v>
      </c>
      <c r="M412" s="50">
        <v>5</v>
      </c>
      <c r="N412" s="50" t="s">
        <v>2</v>
      </c>
      <c r="O412" s="131">
        <f>1/2</f>
        <v>0.5</v>
      </c>
      <c r="Q412" s="74">
        <v>5.44</v>
      </c>
      <c r="R412" s="50">
        <v>15</v>
      </c>
      <c r="S412" s="74">
        <v>1</v>
      </c>
      <c r="T412" s="50">
        <v>0.2</v>
      </c>
      <c r="U412" s="131">
        <v>0.62</v>
      </c>
      <c r="V412" s="50">
        <f>0.1/2</f>
        <v>0.05</v>
      </c>
      <c r="W412" s="74">
        <v>0.115</v>
      </c>
      <c r="X412" s="50">
        <v>5.0999999999999997E-2</v>
      </c>
      <c r="Y412" s="74">
        <f>0.002/2</f>
        <v>1E-3</v>
      </c>
      <c r="Z412" s="271">
        <v>6.25E-2</v>
      </c>
      <c r="AA412" s="271">
        <v>6.25E-2</v>
      </c>
      <c r="AB412" s="114">
        <v>1</v>
      </c>
      <c r="AC412" s="50">
        <v>16</v>
      </c>
      <c r="AD412" s="271">
        <v>0</v>
      </c>
      <c r="AI412" s="114">
        <v>11</v>
      </c>
    </row>
    <row r="413" spans="1:35" ht="15" customHeight="1">
      <c r="A413" s="41" t="s">
        <v>183</v>
      </c>
      <c r="B413" s="402" t="s">
        <v>1858</v>
      </c>
      <c r="C413" s="113" t="s">
        <v>1858</v>
      </c>
      <c r="D413" s="393" t="s">
        <v>636</v>
      </c>
      <c r="E413" s="394" t="s">
        <v>1859</v>
      </c>
      <c r="G413" s="405" t="s">
        <v>1860</v>
      </c>
      <c r="H413" s="49">
        <v>2796</v>
      </c>
      <c r="I413" s="50" t="s">
        <v>1</v>
      </c>
      <c r="J413" s="76" t="s">
        <v>1862</v>
      </c>
      <c r="K413" s="51">
        <v>41136</v>
      </c>
      <c r="L413" s="115">
        <v>41131</v>
      </c>
      <c r="M413" s="50">
        <v>5</v>
      </c>
      <c r="N413" s="50" t="s">
        <v>2</v>
      </c>
      <c r="O413" s="131">
        <v>2.8</v>
      </c>
      <c r="Q413" s="74">
        <v>5.33</v>
      </c>
      <c r="R413" s="50">
        <v>11.3</v>
      </c>
      <c r="S413" s="74">
        <v>1</v>
      </c>
      <c r="T413" s="50">
        <v>0.18</v>
      </c>
      <c r="U413" s="131">
        <v>0.94</v>
      </c>
      <c r="V413" s="50">
        <f>0.1/2</f>
        <v>0.05</v>
      </c>
      <c r="W413" s="74">
        <v>0.11799999999999999</v>
      </c>
      <c r="X413" s="50">
        <v>3.5999999999999997E-2</v>
      </c>
      <c r="Y413" s="74">
        <f>0.002/2</f>
        <v>1E-3</v>
      </c>
      <c r="Z413" s="271">
        <v>6.25E-2</v>
      </c>
      <c r="AA413" s="271">
        <v>6.25E-2</v>
      </c>
      <c r="AB413" s="114">
        <f>1/2</f>
        <v>0.5</v>
      </c>
      <c r="AC413" s="50">
        <v>14</v>
      </c>
      <c r="AD413" s="271">
        <v>0</v>
      </c>
      <c r="AI413" s="114">
        <v>16</v>
      </c>
    </row>
    <row r="414" spans="1:35" ht="15" customHeight="1">
      <c r="A414" s="41" t="s">
        <v>183</v>
      </c>
      <c r="B414" s="402" t="s">
        <v>1863</v>
      </c>
      <c r="C414" s="113" t="s">
        <v>1863</v>
      </c>
      <c r="D414" s="393" t="s">
        <v>1864</v>
      </c>
      <c r="E414" s="394" t="s">
        <v>1865</v>
      </c>
      <c r="G414" s="405" t="s">
        <v>1866</v>
      </c>
      <c r="H414" s="49">
        <v>2611</v>
      </c>
      <c r="I414" s="50" t="s">
        <v>2</v>
      </c>
      <c r="J414" s="76" t="s">
        <v>1867</v>
      </c>
      <c r="K414" s="51">
        <v>41156</v>
      </c>
      <c r="L414" s="115">
        <v>41135</v>
      </c>
      <c r="M414" s="50">
        <v>21</v>
      </c>
      <c r="N414" s="50" t="s">
        <v>2</v>
      </c>
      <c r="O414" s="131">
        <f>1.4/2</f>
        <v>0.7</v>
      </c>
      <c r="P414" s="50">
        <v>4</v>
      </c>
      <c r="Q414" s="74">
        <v>7.07</v>
      </c>
      <c r="R414" s="50">
        <v>78</v>
      </c>
      <c r="S414" s="74">
        <v>57</v>
      </c>
      <c r="T414" s="50">
        <v>0.13</v>
      </c>
      <c r="U414" s="131">
        <v>1.76</v>
      </c>
      <c r="V414" s="50">
        <v>0.28000000000000003</v>
      </c>
      <c r="W414" s="74">
        <v>6.0000000000000001E-3</v>
      </c>
      <c r="X414" s="50">
        <v>0.16300000000000001</v>
      </c>
      <c r="Y414" s="74">
        <v>2E-3</v>
      </c>
      <c r="Z414" s="271">
        <v>1</v>
      </c>
      <c r="AA414" s="271">
        <v>1</v>
      </c>
      <c r="AB414" s="114">
        <v>28</v>
      </c>
      <c r="AC414" s="50">
        <v>93</v>
      </c>
      <c r="AD414" s="271">
        <v>1</v>
      </c>
    </row>
    <row r="415" spans="1:35" ht="15" customHeight="1">
      <c r="A415" s="41" t="s">
        <v>183</v>
      </c>
      <c r="B415" s="402" t="s">
        <v>1863</v>
      </c>
      <c r="C415" s="113" t="s">
        <v>1863</v>
      </c>
      <c r="D415" s="393" t="s">
        <v>1864</v>
      </c>
      <c r="E415" s="394" t="s">
        <v>1868</v>
      </c>
      <c r="G415" s="405" t="s">
        <v>1866</v>
      </c>
      <c r="H415" s="49">
        <v>2611</v>
      </c>
      <c r="I415" s="50" t="s">
        <v>2</v>
      </c>
      <c r="J415" s="76" t="s">
        <v>1291</v>
      </c>
      <c r="K415" s="51">
        <v>41156</v>
      </c>
      <c r="L415" s="115">
        <v>41135</v>
      </c>
      <c r="M415" s="50">
        <v>21</v>
      </c>
      <c r="N415" s="50" t="s">
        <v>2</v>
      </c>
      <c r="O415" s="131">
        <f>1.4/2</f>
        <v>0.7</v>
      </c>
      <c r="P415" s="50">
        <v>3.96</v>
      </c>
      <c r="Q415" s="74">
        <v>6.66</v>
      </c>
      <c r="R415" s="50">
        <v>26</v>
      </c>
      <c r="S415" s="74">
        <v>43</v>
      </c>
      <c r="T415" s="50">
        <v>0.09</v>
      </c>
      <c r="U415" s="131">
        <v>0.94</v>
      </c>
      <c r="V415" s="50">
        <v>0.35</v>
      </c>
      <c r="W415" s="74">
        <v>8.9999999999999993E-3</v>
      </c>
      <c r="X415" s="50">
        <v>6.9000000000000006E-2</v>
      </c>
      <c r="Y415" s="74">
        <v>4.0000000000000001E-3</v>
      </c>
      <c r="Z415" s="271">
        <v>1</v>
      </c>
      <c r="AA415" s="271">
        <v>1</v>
      </c>
      <c r="AB415" s="114">
        <v>24</v>
      </c>
      <c r="AC415" s="50">
        <v>19</v>
      </c>
      <c r="AD415" s="271">
        <v>1</v>
      </c>
    </row>
    <row r="416" spans="1:35" ht="15" customHeight="1">
      <c r="A416" s="41" t="s">
        <v>183</v>
      </c>
      <c r="B416" s="402" t="s">
        <v>1869</v>
      </c>
      <c r="C416" s="113" t="s">
        <v>1918</v>
      </c>
      <c r="D416" s="393" t="s">
        <v>534</v>
      </c>
      <c r="E416" s="394" t="s">
        <v>1870</v>
      </c>
      <c r="G416" s="405" t="s">
        <v>1871</v>
      </c>
      <c r="H416" s="49">
        <v>4952</v>
      </c>
      <c r="I416" s="50" t="s">
        <v>1</v>
      </c>
      <c r="J416" s="76" t="s">
        <v>431</v>
      </c>
      <c r="K416" s="51">
        <v>41131</v>
      </c>
      <c r="L416" s="115">
        <v>41127</v>
      </c>
      <c r="M416" s="50">
        <v>4</v>
      </c>
      <c r="N416" s="50" t="s">
        <v>1</v>
      </c>
      <c r="O416" s="131">
        <f>5/2</f>
        <v>2.5</v>
      </c>
      <c r="Q416" s="74">
        <v>6.44</v>
      </c>
      <c r="R416" s="50">
        <v>140</v>
      </c>
      <c r="S416" s="74">
        <v>31</v>
      </c>
      <c r="T416" s="50">
        <v>0.28999999999999998</v>
      </c>
      <c r="U416" s="131">
        <v>2.1</v>
      </c>
      <c r="V416" s="50">
        <v>0.66</v>
      </c>
      <c r="W416" s="74">
        <f>0.04/2</f>
        <v>0.02</v>
      </c>
      <c r="X416" s="50">
        <v>4.7E-2</v>
      </c>
      <c r="Y416" s="74">
        <f>0.013/2</f>
        <v>6.4999999999999997E-3</v>
      </c>
      <c r="AG416" s="114">
        <f>0.5/2</f>
        <v>0.25</v>
      </c>
    </row>
    <row r="417" spans="1:32" ht="15" customHeight="1">
      <c r="A417" s="41" t="s">
        <v>183</v>
      </c>
      <c r="B417" s="402" t="s">
        <v>1872</v>
      </c>
      <c r="C417" s="113" t="s">
        <v>1873</v>
      </c>
      <c r="D417" s="393" t="s">
        <v>347</v>
      </c>
      <c r="E417" s="394" t="s">
        <v>1874</v>
      </c>
      <c r="G417" s="405" t="s">
        <v>1875</v>
      </c>
      <c r="H417" s="74">
        <v>3569</v>
      </c>
      <c r="I417" s="50" t="s">
        <v>2</v>
      </c>
      <c r="J417" s="339" t="s">
        <v>510</v>
      </c>
      <c r="K417" s="51">
        <v>41149</v>
      </c>
      <c r="L417" s="173">
        <v>41139</v>
      </c>
      <c r="M417" s="50">
        <v>10</v>
      </c>
      <c r="N417" s="50" t="s">
        <v>2</v>
      </c>
      <c r="O417" s="131">
        <f>1/2</f>
        <v>0.5</v>
      </c>
      <c r="P417" s="50">
        <v>4.8</v>
      </c>
      <c r="Q417" s="74">
        <v>5.94</v>
      </c>
      <c r="R417" s="50">
        <v>13</v>
      </c>
      <c r="S417" s="74">
        <v>9</v>
      </c>
      <c r="T417" s="50">
        <f>0.1/2</f>
        <v>0.05</v>
      </c>
      <c r="U417" s="131">
        <v>1.51</v>
      </c>
      <c r="V417" s="50">
        <v>0.16</v>
      </c>
      <c r="W417" s="74">
        <f>0.05/2</f>
        <v>2.5000000000000001E-2</v>
      </c>
      <c r="X417" s="50">
        <v>0.11</v>
      </c>
      <c r="Y417" s="74">
        <f>0.05/2</f>
        <v>2.5000000000000001E-2</v>
      </c>
      <c r="Z417" s="271">
        <v>1</v>
      </c>
      <c r="AA417" s="271">
        <v>0.70699999999999996</v>
      </c>
      <c r="AB417" s="114">
        <v>6</v>
      </c>
      <c r="AC417" s="50">
        <v>15</v>
      </c>
      <c r="AD417" s="271">
        <v>0</v>
      </c>
    </row>
    <row r="418" spans="1:32" ht="15" customHeight="1">
      <c r="A418" s="41" t="s">
        <v>183</v>
      </c>
      <c r="B418" s="402" t="s">
        <v>1843</v>
      </c>
      <c r="C418" s="113" t="s">
        <v>1110</v>
      </c>
      <c r="D418" s="393" t="s">
        <v>262</v>
      </c>
      <c r="E418" s="394" t="s">
        <v>128</v>
      </c>
      <c r="G418" s="405" t="s">
        <v>1876</v>
      </c>
      <c r="H418" s="74">
        <v>4151</v>
      </c>
      <c r="I418" s="50" t="s">
        <v>2</v>
      </c>
      <c r="J418" s="76" t="s">
        <v>1030</v>
      </c>
      <c r="K418" s="51">
        <v>41148</v>
      </c>
      <c r="L418" s="173">
        <v>41139</v>
      </c>
      <c r="M418" s="50">
        <v>9</v>
      </c>
      <c r="N418" s="50" t="s">
        <v>2</v>
      </c>
      <c r="O418" s="131">
        <f>1.4/2</f>
        <v>0.7</v>
      </c>
      <c r="P418" s="50">
        <v>6.72</v>
      </c>
      <c r="Q418" s="74">
        <v>6.46</v>
      </c>
      <c r="R418" s="50">
        <v>68</v>
      </c>
      <c r="S418" s="74">
        <v>19</v>
      </c>
      <c r="T418" s="50">
        <v>0.2</v>
      </c>
      <c r="U418" s="131">
        <v>7.74</v>
      </c>
      <c r="V418" s="50">
        <v>0.62</v>
      </c>
      <c r="W418" s="74">
        <v>2.5000000000000001E-2</v>
      </c>
      <c r="X418" s="50">
        <v>8.6999999999999994E-2</v>
      </c>
      <c r="Y418" s="74">
        <f>0.002/2</f>
        <v>1E-3</v>
      </c>
      <c r="Z418" s="271">
        <v>1</v>
      </c>
      <c r="AA418" s="271">
        <v>1</v>
      </c>
      <c r="AB418" s="114">
        <v>24</v>
      </c>
      <c r="AC418" s="50">
        <v>42</v>
      </c>
      <c r="AD418" s="271">
        <v>1</v>
      </c>
    </row>
    <row r="419" spans="1:32" ht="15" customHeight="1">
      <c r="A419" s="41" t="s">
        <v>183</v>
      </c>
      <c r="B419" s="402" t="s">
        <v>1843</v>
      </c>
      <c r="C419" s="113" t="s">
        <v>1110</v>
      </c>
      <c r="D419" s="393" t="s">
        <v>262</v>
      </c>
      <c r="E419" s="394" t="s">
        <v>128</v>
      </c>
      <c r="G419" s="405" t="s">
        <v>1876</v>
      </c>
      <c r="H419" s="74">
        <v>4151</v>
      </c>
      <c r="I419" s="50" t="s">
        <v>2</v>
      </c>
      <c r="J419" s="339" t="s">
        <v>1031</v>
      </c>
      <c r="K419" s="51">
        <v>41148</v>
      </c>
      <c r="L419" s="173">
        <v>41139</v>
      </c>
      <c r="M419" s="50">
        <v>9</v>
      </c>
      <c r="N419" s="50" t="s">
        <v>2</v>
      </c>
      <c r="O419" s="131">
        <f>1.4/2</f>
        <v>0.7</v>
      </c>
      <c r="P419" s="50">
        <v>6.72</v>
      </c>
      <c r="Q419" s="74">
        <v>5.85</v>
      </c>
      <c r="R419" s="50">
        <v>58</v>
      </c>
      <c r="S419" s="74">
        <v>12</v>
      </c>
      <c r="T419" s="50">
        <v>0.52</v>
      </c>
      <c r="U419" s="131">
        <v>2.48</v>
      </c>
      <c r="V419" s="50">
        <v>0.55000000000000004</v>
      </c>
      <c r="W419" s="74">
        <v>1.4999999999999999E-2</v>
      </c>
      <c r="X419" s="50">
        <v>0.113</v>
      </c>
      <c r="Y419" s="74">
        <f>0.002/2</f>
        <v>1E-3</v>
      </c>
      <c r="Z419" s="271">
        <v>1</v>
      </c>
      <c r="AA419" s="271">
        <v>1</v>
      </c>
      <c r="AB419" s="114">
        <v>22</v>
      </c>
      <c r="AC419" s="50">
        <v>36</v>
      </c>
      <c r="AD419" s="271">
        <v>1</v>
      </c>
    </row>
    <row r="420" spans="1:32" ht="15" customHeight="1">
      <c r="A420" s="41" t="s">
        <v>183</v>
      </c>
      <c r="B420" s="402" t="s">
        <v>1843</v>
      </c>
      <c r="C420" s="113" t="s">
        <v>1877</v>
      </c>
      <c r="D420" s="393" t="s">
        <v>836</v>
      </c>
      <c r="E420" s="394" t="s">
        <v>364</v>
      </c>
      <c r="G420" s="405" t="s">
        <v>1878</v>
      </c>
      <c r="H420" s="74">
        <v>4151</v>
      </c>
      <c r="I420" s="50" t="s">
        <v>2</v>
      </c>
      <c r="J420" s="339" t="s">
        <v>543</v>
      </c>
      <c r="K420" s="51">
        <v>41170</v>
      </c>
      <c r="L420" s="173">
        <v>41167</v>
      </c>
      <c r="M420" s="50">
        <v>3</v>
      </c>
      <c r="N420" s="50" t="s">
        <v>2</v>
      </c>
      <c r="O420" s="131">
        <v>3.9</v>
      </c>
      <c r="P420" s="50">
        <v>7.2</v>
      </c>
      <c r="Q420" s="74">
        <v>6.42</v>
      </c>
      <c r="R420" s="50">
        <v>140</v>
      </c>
      <c r="S420" s="74">
        <v>35</v>
      </c>
      <c r="T420" s="50">
        <v>0.17</v>
      </c>
      <c r="U420" s="131">
        <v>1.97</v>
      </c>
      <c r="V420" s="50">
        <v>1.32</v>
      </c>
      <c r="W420" s="74">
        <v>0.02</v>
      </c>
      <c r="X420" s="50">
        <v>0.183</v>
      </c>
      <c r="Y420" s="74">
        <v>5.0000000000000001E-3</v>
      </c>
    </row>
    <row r="421" spans="1:32" ht="15" customHeight="1">
      <c r="A421" s="41" t="s">
        <v>183</v>
      </c>
      <c r="B421" s="402" t="s">
        <v>1879</v>
      </c>
      <c r="C421" s="113" t="s">
        <v>1880</v>
      </c>
      <c r="D421" s="393" t="s">
        <v>1881</v>
      </c>
      <c r="E421" s="394" t="s">
        <v>1882</v>
      </c>
      <c r="G421" s="414" t="s">
        <v>1883</v>
      </c>
      <c r="H421" s="49">
        <v>3471</v>
      </c>
      <c r="I421" s="50" t="s">
        <v>2</v>
      </c>
      <c r="J421" s="260" t="s">
        <v>1884</v>
      </c>
      <c r="K421" s="51">
        <v>41149</v>
      </c>
      <c r="L421" s="115">
        <v>41138</v>
      </c>
      <c r="M421" s="50">
        <v>11</v>
      </c>
      <c r="N421" s="50" t="s">
        <v>2</v>
      </c>
      <c r="O421" s="131">
        <f>1.6/2</f>
        <v>0.8</v>
      </c>
      <c r="P421" s="117"/>
      <c r="Q421" s="131">
        <v>4.2300000000000004</v>
      </c>
      <c r="R421" s="50">
        <v>13</v>
      </c>
      <c r="S421" s="74">
        <f>5/2</f>
        <v>2.5</v>
      </c>
      <c r="T421" s="50">
        <v>0.05</v>
      </c>
      <c r="U421" s="131">
        <v>0.89</v>
      </c>
      <c r="V421" s="50">
        <v>0.34</v>
      </c>
      <c r="W421" s="74">
        <v>7.3999999999999996E-2</v>
      </c>
      <c r="X421" s="50">
        <v>9.6000000000000002E-2</v>
      </c>
      <c r="Y421" s="74">
        <v>3.0000000000000001E-3</v>
      </c>
      <c r="Z421" s="271">
        <v>0.47699999999999998</v>
      </c>
      <c r="AA421" s="271">
        <v>0.36699999999999999</v>
      </c>
      <c r="AB421" s="114">
        <v>2</v>
      </c>
      <c r="AC421" s="50">
        <v>9</v>
      </c>
      <c r="AD421" s="271">
        <v>0</v>
      </c>
    </row>
    <row r="422" spans="1:32" ht="15" customHeight="1">
      <c r="A422" s="41" t="s">
        <v>183</v>
      </c>
      <c r="B422" s="402" t="s">
        <v>1885</v>
      </c>
      <c r="C422" s="113" t="s">
        <v>1886</v>
      </c>
      <c r="D422" s="393" t="s">
        <v>41</v>
      </c>
      <c r="E422" s="394" t="s">
        <v>364</v>
      </c>
      <c r="G422" s="405" t="s">
        <v>1887</v>
      </c>
      <c r="H422" s="74">
        <v>3724</v>
      </c>
      <c r="I422" s="50" t="s">
        <v>2</v>
      </c>
      <c r="J422" s="339" t="s">
        <v>1888</v>
      </c>
      <c r="K422" s="51">
        <v>41131</v>
      </c>
      <c r="L422" s="173">
        <v>41125</v>
      </c>
      <c r="M422" s="50">
        <v>6</v>
      </c>
      <c r="N422" s="50" t="s">
        <v>2</v>
      </c>
      <c r="O422" s="131">
        <f>1.4/2</f>
        <v>0.7</v>
      </c>
      <c r="Q422" s="74">
        <v>6.4</v>
      </c>
      <c r="R422" s="50">
        <v>26</v>
      </c>
      <c r="S422" s="74">
        <v>6</v>
      </c>
      <c r="T422" s="50">
        <v>7.0000000000000007E-2</v>
      </c>
      <c r="U422" s="131">
        <v>1.03</v>
      </c>
      <c r="V422" s="50">
        <v>0.39</v>
      </c>
      <c r="W422" s="74">
        <v>5.0000000000000001E-3</v>
      </c>
      <c r="X422" s="50">
        <v>2.7E-2</v>
      </c>
      <c r="Y422" s="74">
        <f>0.002/2</f>
        <v>1E-3</v>
      </c>
      <c r="Z422" s="271">
        <v>1</v>
      </c>
      <c r="AA422" s="271">
        <v>1</v>
      </c>
      <c r="AB422" s="114">
        <v>10</v>
      </c>
      <c r="AC422" s="50">
        <v>29</v>
      </c>
      <c r="AD422" s="271">
        <v>1</v>
      </c>
    </row>
    <row r="423" spans="1:32" ht="15" customHeight="1">
      <c r="A423" s="41" t="s">
        <v>183</v>
      </c>
      <c r="B423" s="402" t="s">
        <v>1885</v>
      </c>
      <c r="C423" s="113" t="s">
        <v>1886</v>
      </c>
      <c r="D423" s="393" t="s">
        <v>41</v>
      </c>
      <c r="E423" s="394" t="s">
        <v>364</v>
      </c>
      <c r="G423" s="405" t="s">
        <v>1887</v>
      </c>
      <c r="H423" s="74">
        <v>3724</v>
      </c>
      <c r="I423" s="50" t="s">
        <v>2</v>
      </c>
      <c r="J423" s="339" t="s">
        <v>1889</v>
      </c>
      <c r="K423" s="51">
        <v>41131</v>
      </c>
      <c r="L423" s="173">
        <v>41125</v>
      </c>
      <c r="M423" s="50">
        <v>6</v>
      </c>
      <c r="N423" s="50" t="s">
        <v>2</v>
      </c>
      <c r="O423" s="131">
        <f>1.4/2</f>
        <v>0.7</v>
      </c>
      <c r="Q423" s="74">
        <v>6.4</v>
      </c>
      <c r="R423" s="50">
        <v>32</v>
      </c>
      <c r="S423" s="74">
        <v>5</v>
      </c>
      <c r="T423" s="50">
        <v>0.12</v>
      </c>
      <c r="U423" s="131">
        <v>1</v>
      </c>
      <c r="V423" s="50">
        <v>0.41</v>
      </c>
      <c r="W423" s="74">
        <f>0.005/2</f>
        <v>2.5000000000000001E-3</v>
      </c>
      <c r="X423" s="50">
        <v>2.5000000000000001E-2</v>
      </c>
      <c r="Y423" s="74">
        <f>0.002/2</f>
        <v>1E-3</v>
      </c>
      <c r="Z423" s="271">
        <v>1</v>
      </c>
      <c r="AA423" s="271">
        <v>1</v>
      </c>
      <c r="AB423" s="114">
        <v>6</v>
      </c>
      <c r="AC423" s="50">
        <v>27</v>
      </c>
      <c r="AD423" s="271">
        <v>1</v>
      </c>
    </row>
    <row r="424" spans="1:32" ht="15" customHeight="1">
      <c r="A424" s="41" t="s">
        <v>183</v>
      </c>
      <c r="B424" s="402" t="s">
        <v>1890</v>
      </c>
      <c r="C424" s="113" t="s">
        <v>1890</v>
      </c>
      <c r="D424" s="393" t="s">
        <v>111</v>
      </c>
      <c r="E424" s="394" t="s">
        <v>1784</v>
      </c>
      <c r="G424" s="405" t="s">
        <v>1891</v>
      </c>
      <c r="H424" s="74">
        <v>3547</v>
      </c>
      <c r="I424" s="50" t="s">
        <v>1</v>
      </c>
      <c r="J424" s="339" t="s">
        <v>255</v>
      </c>
      <c r="K424" s="51">
        <v>41131</v>
      </c>
      <c r="L424" s="173">
        <v>41127</v>
      </c>
      <c r="M424" s="50">
        <v>4</v>
      </c>
      <c r="N424" s="50" t="s">
        <v>2</v>
      </c>
      <c r="O424" s="131">
        <f>1/2</f>
        <v>0.5</v>
      </c>
      <c r="P424" s="50">
        <v>5.99</v>
      </c>
      <c r="Q424" s="74">
        <v>5.63</v>
      </c>
      <c r="R424" s="50">
        <v>303</v>
      </c>
      <c r="S424" s="74">
        <v>219</v>
      </c>
      <c r="T424" s="50">
        <v>0.83</v>
      </c>
      <c r="U424" s="131">
        <v>5.45</v>
      </c>
      <c r="V424" s="50">
        <f>0.1/2</f>
        <v>0.05</v>
      </c>
      <c r="W424" s="74">
        <v>0.112</v>
      </c>
      <c r="X424" s="50">
        <v>0.40500000000000003</v>
      </c>
      <c r="Y424" s="74">
        <v>1.2E-2</v>
      </c>
      <c r="AB424" s="114">
        <v>37.299999999999997</v>
      </c>
    </row>
    <row r="425" spans="1:32" ht="15" customHeight="1">
      <c r="A425" s="41" t="s">
        <v>183</v>
      </c>
      <c r="B425" s="402" t="s">
        <v>697</v>
      </c>
      <c r="C425" s="113" t="s">
        <v>697</v>
      </c>
      <c r="D425" s="393" t="s">
        <v>338</v>
      </c>
      <c r="F425" s="402" t="s">
        <v>1913</v>
      </c>
      <c r="G425" s="414" t="s">
        <v>699</v>
      </c>
      <c r="H425" s="49">
        <v>3714</v>
      </c>
      <c r="I425" s="50" t="s">
        <v>2</v>
      </c>
      <c r="J425" s="260" t="s">
        <v>700</v>
      </c>
      <c r="K425" s="51">
        <v>41131</v>
      </c>
      <c r="L425" s="115">
        <v>41126</v>
      </c>
      <c r="M425" s="50">
        <v>5</v>
      </c>
      <c r="N425" s="50" t="s">
        <v>2</v>
      </c>
      <c r="O425" s="131">
        <f>1.9/2</f>
        <v>0.95</v>
      </c>
      <c r="P425" s="117">
        <v>5.7</v>
      </c>
      <c r="Q425" s="131">
        <v>6.6</v>
      </c>
      <c r="R425" s="50">
        <v>53</v>
      </c>
      <c r="S425" s="74">
        <v>4.4000000000000004</v>
      </c>
      <c r="T425" s="50">
        <v>5.7000000000000002E-2</v>
      </c>
      <c r="U425" s="131">
        <v>1.9</v>
      </c>
      <c r="V425" s="50">
        <v>0.87</v>
      </c>
      <c r="W425" s="74">
        <f>0.005/2</f>
        <v>2.5000000000000001E-3</v>
      </c>
      <c r="X425" s="50">
        <v>0.22500000000000001</v>
      </c>
      <c r="Y425" s="74">
        <f>0.005/2</f>
        <v>2.5000000000000001E-3</v>
      </c>
    </row>
    <row r="426" spans="1:32" ht="15" customHeight="1">
      <c r="A426" s="41" t="s">
        <v>183</v>
      </c>
      <c r="B426" s="402" t="s">
        <v>1920</v>
      </c>
      <c r="D426" s="393" t="s">
        <v>636</v>
      </c>
      <c r="E426" s="394" t="s">
        <v>1859</v>
      </c>
      <c r="G426" s="405" t="s">
        <v>1921</v>
      </c>
      <c r="H426" s="113">
        <v>3087</v>
      </c>
      <c r="I426" s="49" t="s">
        <v>1</v>
      </c>
      <c r="J426" s="48" t="s">
        <v>255</v>
      </c>
      <c r="K426" s="51">
        <v>40977</v>
      </c>
      <c r="L426" s="115">
        <v>40971</v>
      </c>
      <c r="M426" s="50">
        <f>K426-L426</f>
        <v>6</v>
      </c>
      <c r="N426" s="50" t="s">
        <v>2</v>
      </c>
      <c r="O426" s="131">
        <v>2</v>
      </c>
      <c r="P426" s="117">
        <v>5.5</v>
      </c>
      <c r="Q426" s="131">
        <v>7.8</v>
      </c>
      <c r="R426" s="50">
        <v>150</v>
      </c>
      <c r="S426" s="74">
        <v>150</v>
      </c>
      <c r="T426" s="50">
        <v>0.2</v>
      </c>
      <c r="U426" s="131">
        <v>2.4</v>
      </c>
      <c r="V426" s="50">
        <v>0.46</v>
      </c>
      <c r="W426" s="74">
        <v>0.14000000000000001</v>
      </c>
      <c r="X426" s="50">
        <v>0.2</v>
      </c>
      <c r="Y426" s="74">
        <v>1.4999999999999999E-2</v>
      </c>
      <c r="Z426" s="271">
        <v>1</v>
      </c>
      <c r="AA426" s="271">
        <v>1</v>
      </c>
      <c r="AB426" s="114">
        <v>6</v>
      </c>
      <c r="AC426" s="50">
        <v>44</v>
      </c>
      <c r="AD426" s="314">
        <v>1</v>
      </c>
      <c r="AF426" s="175"/>
    </row>
    <row r="427" spans="1:32" ht="15" customHeight="1">
      <c r="A427" s="41" t="s">
        <v>183</v>
      </c>
      <c r="B427" s="402" t="s">
        <v>1922</v>
      </c>
      <c r="D427" s="393" t="s">
        <v>308</v>
      </c>
      <c r="E427" s="394" t="s">
        <v>1923</v>
      </c>
      <c r="F427" s="402">
        <v>6905</v>
      </c>
      <c r="G427" s="405" t="s">
        <v>1924</v>
      </c>
      <c r="H427" s="113">
        <v>3321</v>
      </c>
      <c r="I427" s="49" t="s">
        <v>2</v>
      </c>
      <c r="J427" s="48" t="s">
        <v>1925</v>
      </c>
      <c r="K427" s="51">
        <v>40996</v>
      </c>
      <c r="N427" s="50" t="s">
        <v>2</v>
      </c>
      <c r="O427" s="131">
        <f>2.5/2</f>
        <v>1.25</v>
      </c>
      <c r="P427" s="117">
        <v>5.97</v>
      </c>
      <c r="Q427" s="131">
        <v>6.02</v>
      </c>
      <c r="R427" s="50">
        <v>9</v>
      </c>
      <c r="S427" s="74">
        <f>5/2</f>
        <v>2.5</v>
      </c>
      <c r="T427" s="50">
        <v>0.05</v>
      </c>
      <c r="U427" s="131">
        <v>0.36</v>
      </c>
      <c r="V427" s="50">
        <v>0.37</v>
      </c>
      <c r="W427" s="74">
        <v>0.03</v>
      </c>
      <c r="X427" s="50">
        <v>0.02</v>
      </c>
      <c r="Y427" s="74">
        <f>0.004/2</f>
        <v>2E-3</v>
      </c>
      <c r="AD427" s="314"/>
      <c r="AF427" s="175"/>
    </row>
    <row r="428" spans="1:32" ht="15" customHeight="1">
      <c r="A428" s="41" t="s">
        <v>183</v>
      </c>
      <c r="B428" s="402" t="s">
        <v>1926</v>
      </c>
      <c r="D428" s="393" t="s">
        <v>1505</v>
      </c>
      <c r="E428" s="394" t="s">
        <v>44</v>
      </c>
      <c r="G428" s="405" t="s">
        <v>1927</v>
      </c>
      <c r="H428" s="113">
        <v>3479</v>
      </c>
      <c r="I428" s="49" t="s">
        <v>2</v>
      </c>
      <c r="J428" s="48" t="s">
        <v>366</v>
      </c>
      <c r="K428" s="51">
        <v>40984</v>
      </c>
      <c r="L428" s="115">
        <v>40980</v>
      </c>
      <c r="M428" s="50">
        <f>K428-L428</f>
        <v>4</v>
      </c>
      <c r="N428" s="50" t="s">
        <v>2</v>
      </c>
      <c r="O428" s="131">
        <f>1.5/2</f>
        <v>0.75</v>
      </c>
      <c r="P428" s="117">
        <v>8.8000000000000007</v>
      </c>
      <c r="Q428" s="131">
        <v>4.76</v>
      </c>
      <c r="R428" s="50">
        <v>22</v>
      </c>
      <c r="S428" s="74">
        <f>5/2</f>
        <v>2.5</v>
      </c>
      <c r="T428" s="50">
        <v>0.05</v>
      </c>
      <c r="U428" s="131">
        <v>1.57</v>
      </c>
      <c r="V428" s="50">
        <v>0.52</v>
      </c>
      <c r="W428" s="74">
        <v>6.0000000000000001E-3</v>
      </c>
      <c r="X428" s="50">
        <v>0.248</v>
      </c>
      <c r="Y428" s="74">
        <f>0.002/2</f>
        <v>1E-3</v>
      </c>
      <c r="Z428" s="271">
        <v>0.85199999999999998</v>
      </c>
      <c r="AA428" s="271">
        <v>0.66</v>
      </c>
      <c r="AB428" s="114">
        <v>4</v>
      </c>
      <c r="AC428" s="50">
        <v>28</v>
      </c>
      <c r="AD428" s="314">
        <v>0</v>
      </c>
      <c r="AF428" s="175"/>
    </row>
    <row r="429" spans="1:32" ht="15" customHeight="1">
      <c r="A429" s="41" t="s">
        <v>183</v>
      </c>
      <c r="B429" s="402" t="s">
        <v>1926</v>
      </c>
      <c r="D429" s="393" t="s">
        <v>1505</v>
      </c>
      <c r="E429" s="394" t="s">
        <v>44</v>
      </c>
      <c r="G429" s="405" t="s">
        <v>1927</v>
      </c>
      <c r="H429" s="113">
        <v>3479</v>
      </c>
      <c r="I429" s="49" t="s">
        <v>2</v>
      </c>
      <c r="J429" s="48" t="s">
        <v>593</v>
      </c>
      <c r="K429" s="51">
        <v>40984</v>
      </c>
      <c r="L429" s="115">
        <v>40980</v>
      </c>
      <c r="M429" s="50">
        <f>K429-L429</f>
        <v>4</v>
      </c>
      <c r="N429" s="50" t="s">
        <v>2</v>
      </c>
      <c r="O429" s="131">
        <f>1.5/2</f>
        <v>0.75</v>
      </c>
      <c r="P429" s="117">
        <v>8.8000000000000007</v>
      </c>
      <c r="Q429" s="131">
        <v>4.6399999999999997</v>
      </c>
      <c r="R429" s="50">
        <v>15</v>
      </c>
      <c r="S429" s="74">
        <f>5/2</f>
        <v>2.5</v>
      </c>
      <c r="T429" s="50">
        <v>0.05</v>
      </c>
      <c r="U429" s="131">
        <v>1.1100000000000001</v>
      </c>
      <c r="V429" s="50">
        <v>0.52</v>
      </c>
      <c r="W429" s="74">
        <v>7.0000000000000001E-3</v>
      </c>
      <c r="X429" s="50">
        <v>0.252</v>
      </c>
      <c r="Y429" s="74">
        <f>0.002/2</f>
        <v>1E-3</v>
      </c>
      <c r="Z429" s="348">
        <v>0.85199999999999998</v>
      </c>
      <c r="AA429" s="348">
        <v>0.59499999999999997</v>
      </c>
      <c r="AB429" s="114">
        <v>6</v>
      </c>
      <c r="AC429" s="50">
        <v>28</v>
      </c>
      <c r="AD429" s="314">
        <v>0</v>
      </c>
      <c r="AF429" s="175"/>
    </row>
    <row r="430" spans="1:32" ht="15" customHeight="1">
      <c r="A430" s="41" t="s">
        <v>183</v>
      </c>
      <c r="B430" s="402" t="s">
        <v>1926</v>
      </c>
      <c r="D430" s="393" t="s">
        <v>1505</v>
      </c>
      <c r="E430" s="394" t="s">
        <v>44</v>
      </c>
      <c r="G430" s="405" t="s">
        <v>1927</v>
      </c>
      <c r="H430" s="113">
        <v>3479</v>
      </c>
      <c r="I430" s="49" t="s">
        <v>2</v>
      </c>
      <c r="J430" s="48" t="s">
        <v>477</v>
      </c>
      <c r="K430" s="51">
        <v>40984</v>
      </c>
      <c r="L430" s="115">
        <v>40980</v>
      </c>
      <c r="M430" s="50">
        <f>K430-L430</f>
        <v>4</v>
      </c>
      <c r="N430" s="50" t="s">
        <v>2</v>
      </c>
      <c r="O430" s="131">
        <f>1.5/2</f>
        <v>0.75</v>
      </c>
      <c r="P430" s="117">
        <v>8.8000000000000007</v>
      </c>
      <c r="Q430" s="131">
        <v>5.42</v>
      </c>
      <c r="R430" s="50">
        <v>27</v>
      </c>
      <c r="S430" s="74">
        <v>9</v>
      </c>
      <c r="T430" s="50">
        <v>0.05</v>
      </c>
      <c r="U430" s="131">
        <v>1.76</v>
      </c>
      <c r="V430" s="50">
        <v>0.85</v>
      </c>
      <c r="W430" s="74">
        <v>2.8000000000000001E-2</v>
      </c>
      <c r="X430" s="50">
        <v>2.16</v>
      </c>
      <c r="Y430" s="74">
        <f>0.02/2</f>
        <v>0.01</v>
      </c>
      <c r="Z430" s="348">
        <v>0.27700000000000002</v>
      </c>
      <c r="AA430" s="348">
        <v>0.108</v>
      </c>
      <c r="AB430" s="114">
        <v>16</v>
      </c>
      <c r="AC430" s="50">
        <v>41</v>
      </c>
      <c r="AD430" s="314">
        <v>0</v>
      </c>
      <c r="AF430" s="175"/>
    </row>
    <row r="431" spans="1:32" ht="15" customHeight="1">
      <c r="A431" s="41" t="s">
        <v>183</v>
      </c>
      <c r="B431" s="402" t="s">
        <v>1928</v>
      </c>
      <c r="C431" s="113" t="s">
        <v>1929</v>
      </c>
      <c r="D431" s="393" t="s">
        <v>372</v>
      </c>
      <c r="E431" s="394" t="s">
        <v>235</v>
      </c>
      <c r="G431" s="405" t="s">
        <v>1930</v>
      </c>
      <c r="H431" s="113">
        <v>3351</v>
      </c>
      <c r="I431" s="49" t="s">
        <v>2</v>
      </c>
      <c r="J431" s="48" t="s">
        <v>1931</v>
      </c>
      <c r="K431" s="51">
        <v>40996</v>
      </c>
      <c r="L431" s="115">
        <v>40993</v>
      </c>
      <c r="M431" s="50">
        <f>K431-L431</f>
        <v>3</v>
      </c>
      <c r="N431" s="50" t="s">
        <v>2</v>
      </c>
      <c r="O431" s="131">
        <f>5/2</f>
        <v>2.5</v>
      </c>
      <c r="P431" s="117">
        <v>5.17</v>
      </c>
      <c r="Q431" s="131">
        <v>6.81</v>
      </c>
      <c r="R431" s="50">
        <v>170</v>
      </c>
      <c r="S431" s="74">
        <v>220</v>
      </c>
      <c r="T431" s="50">
        <f>0.1/2</f>
        <v>0.05</v>
      </c>
      <c r="U431" s="131">
        <v>1</v>
      </c>
      <c r="V431" s="50">
        <v>0.62</v>
      </c>
      <c r="W431" s="74">
        <v>2.2000000000000002</v>
      </c>
      <c r="X431" s="50">
        <v>0.38</v>
      </c>
      <c r="Y431" s="74">
        <v>6.6000000000000003E-2</v>
      </c>
      <c r="Z431" s="314">
        <v>6.25E-2</v>
      </c>
      <c r="AA431" s="314">
        <v>6.25E-2</v>
      </c>
      <c r="AB431" s="114">
        <v>19</v>
      </c>
      <c r="AC431" s="50">
        <v>106</v>
      </c>
      <c r="AD431" s="314">
        <v>0</v>
      </c>
      <c r="AE431" s="50">
        <v>12.1</v>
      </c>
      <c r="AF431" s="175"/>
    </row>
    <row r="432" spans="1:32" ht="15" customHeight="1">
      <c r="A432" s="41" t="s">
        <v>183</v>
      </c>
      <c r="B432" s="402" t="s">
        <v>1932</v>
      </c>
      <c r="D432" s="393" t="s">
        <v>41</v>
      </c>
      <c r="E432" s="394" t="s">
        <v>1933</v>
      </c>
      <c r="G432" s="405" t="s">
        <v>1934</v>
      </c>
      <c r="H432" s="113">
        <v>2051</v>
      </c>
      <c r="I432" s="49" t="s">
        <v>2</v>
      </c>
      <c r="J432" s="48" t="s">
        <v>1119</v>
      </c>
      <c r="K432" s="51">
        <v>41021</v>
      </c>
      <c r="N432" s="50" t="s">
        <v>2</v>
      </c>
      <c r="O432" s="131">
        <v>187</v>
      </c>
      <c r="P432" s="117"/>
      <c r="Q432" s="131">
        <v>6.2</v>
      </c>
      <c r="R432" s="50">
        <v>303</v>
      </c>
      <c r="S432" s="74">
        <v>554</v>
      </c>
      <c r="T432" s="50">
        <v>1.29</v>
      </c>
      <c r="U432" s="131">
        <v>17</v>
      </c>
      <c r="V432" s="50">
        <f>0.1/2</f>
        <v>0.05</v>
      </c>
      <c r="W432" s="74">
        <v>0.12</v>
      </c>
      <c r="X432" s="50">
        <v>1.24</v>
      </c>
      <c r="Y432" s="74">
        <v>4.4999999999999998E-2</v>
      </c>
      <c r="Z432" s="348">
        <v>1</v>
      </c>
      <c r="AA432" s="348">
        <v>0.188</v>
      </c>
      <c r="AB432" s="114">
        <v>67</v>
      </c>
      <c r="AC432" s="50">
        <v>126</v>
      </c>
      <c r="AD432" s="314">
        <v>0</v>
      </c>
      <c r="AF432" s="175"/>
    </row>
    <row r="433" spans="1:32" ht="15" customHeight="1">
      <c r="A433" s="41" t="s">
        <v>183</v>
      </c>
      <c r="B433" s="402" t="s">
        <v>1935</v>
      </c>
      <c r="C433" s="113" t="s">
        <v>1936</v>
      </c>
      <c r="D433" s="393" t="s">
        <v>735</v>
      </c>
      <c r="E433" s="394" t="s">
        <v>1937</v>
      </c>
      <c r="G433" s="405" t="s">
        <v>1938</v>
      </c>
      <c r="H433" s="113"/>
      <c r="I433" s="49" t="s">
        <v>2</v>
      </c>
      <c r="J433" s="48" t="s">
        <v>1939</v>
      </c>
      <c r="K433" s="51">
        <v>40996</v>
      </c>
      <c r="L433" s="115">
        <v>40976</v>
      </c>
      <c r="M433" s="50">
        <f t="shared" ref="M433:M458" si="17">K433-L433</f>
        <v>20</v>
      </c>
      <c r="N433" s="50" t="s">
        <v>2</v>
      </c>
      <c r="O433" s="131">
        <v>4</v>
      </c>
      <c r="P433" s="117"/>
      <c r="Q433" s="131">
        <v>6.09</v>
      </c>
      <c r="R433" s="50">
        <f>10/2</f>
        <v>5</v>
      </c>
      <c r="S433" s="74">
        <v>88</v>
      </c>
      <c r="T433" s="50">
        <v>0.2</v>
      </c>
      <c r="U433" s="131">
        <v>2.17</v>
      </c>
      <c r="V433" s="50">
        <v>1.58</v>
      </c>
      <c r="W433" s="74">
        <v>0.03</v>
      </c>
      <c r="X433" s="50">
        <v>1.69</v>
      </c>
      <c r="Y433" s="74">
        <v>0.02</v>
      </c>
      <c r="Z433" s="348">
        <v>1</v>
      </c>
      <c r="AA433" s="348">
        <v>0.34300000000000003</v>
      </c>
      <c r="AB433" s="114">
        <v>22</v>
      </c>
      <c r="AC433" s="50">
        <v>98</v>
      </c>
      <c r="AD433" s="314">
        <v>0</v>
      </c>
      <c r="AF433" s="175"/>
    </row>
    <row r="434" spans="1:32" ht="15" customHeight="1">
      <c r="A434" s="41" t="s">
        <v>183</v>
      </c>
      <c r="B434" s="402" t="s">
        <v>1935</v>
      </c>
      <c r="C434" s="113" t="s">
        <v>1936</v>
      </c>
      <c r="D434" s="393" t="s">
        <v>735</v>
      </c>
      <c r="E434" s="394" t="s">
        <v>1937</v>
      </c>
      <c r="G434" s="405" t="s">
        <v>1938</v>
      </c>
      <c r="H434" s="113"/>
      <c r="I434" s="49" t="s">
        <v>2</v>
      </c>
      <c r="J434" s="48" t="s">
        <v>1119</v>
      </c>
      <c r="K434" s="51">
        <v>40996</v>
      </c>
      <c r="L434" s="115">
        <v>40976</v>
      </c>
      <c r="M434" s="50">
        <f t="shared" si="17"/>
        <v>20</v>
      </c>
      <c r="N434" s="50" t="s">
        <v>2</v>
      </c>
      <c r="O434" s="131">
        <f>1.4/2</f>
        <v>0.7</v>
      </c>
      <c r="P434" s="117"/>
      <c r="Q434" s="131">
        <v>7.11</v>
      </c>
      <c r="R434" s="50">
        <v>15</v>
      </c>
      <c r="S434" s="74">
        <v>65</v>
      </c>
      <c r="T434" s="50">
        <v>0.16</v>
      </c>
      <c r="U434" s="131">
        <v>1.88</v>
      </c>
      <c r="V434" s="50">
        <v>0.75</v>
      </c>
      <c r="W434" s="74">
        <v>3.1E-2</v>
      </c>
      <c r="X434" s="50">
        <v>0.28299999999999997</v>
      </c>
      <c r="Y434" s="74">
        <v>1.4999999999999999E-2</v>
      </c>
      <c r="Z434" s="348">
        <v>1</v>
      </c>
      <c r="AA434" s="348">
        <v>1</v>
      </c>
      <c r="AB434" s="114">
        <v>36</v>
      </c>
      <c r="AC434" s="50">
        <v>110</v>
      </c>
      <c r="AD434" s="314">
        <v>1</v>
      </c>
      <c r="AF434" s="175"/>
    </row>
    <row r="435" spans="1:32" ht="15" customHeight="1">
      <c r="A435" s="41" t="s">
        <v>183</v>
      </c>
      <c r="B435" s="402" t="s">
        <v>1940</v>
      </c>
      <c r="D435" s="393" t="s">
        <v>1837</v>
      </c>
      <c r="E435" s="394" t="s">
        <v>1941</v>
      </c>
      <c r="F435" s="402" t="s">
        <v>112</v>
      </c>
      <c r="G435" s="405" t="s">
        <v>1942</v>
      </c>
      <c r="H435" s="113">
        <v>3812</v>
      </c>
      <c r="I435" s="49" t="s">
        <v>2</v>
      </c>
      <c r="J435" s="230" t="s">
        <v>1943</v>
      </c>
      <c r="K435" s="51">
        <v>40996</v>
      </c>
      <c r="L435" s="115">
        <v>40993</v>
      </c>
      <c r="M435" s="50">
        <f t="shared" si="17"/>
        <v>3</v>
      </c>
      <c r="N435" s="50" t="s">
        <v>2</v>
      </c>
      <c r="O435" s="131">
        <v>4.2</v>
      </c>
      <c r="P435" s="117">
        <v>6</v>
      </c>
      <c r="Q435" s="131">
        <v>6.2</v>
      </c>
      <c r="R435" s="50">
        <v>31</v>
      </c>
      <c r="S435" s="74">
        <v>79</v>
      </c>
      <c r="T435" s="50">
        <v>0.16</v>
      </c>
      <c r="U435" s="131">
        <v>1.66</v>
      </c>
      <c r="V435" s="50">
        <v>0.46</v>
      </c>
      <c r="W435" s="74">
        <v>1.9E-2</v>
      </c>
      <c r="X435" s="50">
        <v>0.113</v>
      </c>
      <c r="Y435" s="74">
        <f>0.03/2</f>
        <v>1.4999999999999999E-2</v>
      </c>
      <c r="Z435" s="348">
        <v>1</v>
      </c>
      <c r="AA435" s="348">
        <v>1</v>
      </c>
      <c r="AB435" s="114">
        <v>11</v>
      </c>
      <c r="AC435" s="50">
        <v>63</v>
      </c>
      <c r="AD435" s="314">
        <v>0.95</v>
      </c>
      <c r="AF435" s="175"/>
    </row>
    <row r="436" spans="1:32" ht="15" customHeight="1">
      <c r="A436" s="41" t="s">
        <v>183</v>
      </c>
      <c r="B436" s="402" t="s">
        <v>1944</v>
      </c>
      <c r="C436" s="113" t="s">
        <v>1945</v>
      </c>
      <c r="D436" s="393" t="s">
        <v>372</v>
      </c>
      <c r="E436" s="394" t="s">
        <v>1946</v>
      </c>
      <c r="G436" s="405" t="s">
        <v>1947</v>
      </c>
      <c r="H436" s="113">
        <v>3465</v>
      </c>
      <c r="I436" s="49"/>
      <c r="J436" s="48" t="s">
        <v>1948</v>
      </c>
      <c r="K436" s="51">
        <v>40996</v>
      </c>
      <c r="L436" s="115">
        <v>40993</v>
      </c>
      <c r="M436" s="50">
        <f t="shared" si="17"/>
        <v>3</v>
      </c>
      <c r="N436" s="50" t="s">
        <v>2</v>
      </c>
      <c r="O436" s="131">
        <v>2.2000000000000002</v>
      </c>
      <c r="P436" s="117">
        <v>6.37</v>
      </c>
      <c r="Q436" s="131">
        <v>4.47</v>
      </c>
      <c r="R436" s="50">
        <v>160</v>
      </c>
      <c r="S436" s="74">
        <v>50</v>
      </c>
      <c r="T436" s="50">
        <v>0.18</v>
      </c>
      <c r="U436" s="131">
        <v>4.72</v>
      </c>
      <c r="V436" s="50">
        <v>1.35</v>
      </c>
      <c r="W436" s="74">
        <v>4.1000000000000002E-2</v>
      </c>
      <c r="X436" s="50">
        <v>2.29</v>
      </c>
      <c r="Y436" s="74">
        <v>1.2E-2</v>
      </c>
      <c r="Z436" s="348">
        <v>0.70699999999999996</v>
      </c>
      <c r="AA436" s="348">
        <v>0.27800000000000002</v>
      </c>
      <c r="AB436" s="114">
        <v>32</v>
      </c>
      <c r="AC436" s="50">
        <v>121</v>
      </c>
      <c r="AD436" s="314">
        <v>0</v>
      </c>
      <c r="AF436" s="175"/>
    </row>
    <row r="437" spans="1:32" ht="15" customHeight="1">
      <c r="A437" s="41" t="s">
        <v>183</v>
      </c>
      <c r="B437" s="402" t="s">
        <v>1944</v>
      </c>
      <c r="C437" s="113" t="s">
        <v>1945</v>
      </c>
      <c r="D437" s="393" t="s">
        <v>372</v>
      </c>
      <c r="E437" s="394" t="s">
        <v>1946</v>
      </c>
      <c r="G437" s="405" t="s">
        <v>1947</v>
      </c>
      <c r="H437" s="113">
        <v>3465</v>
      </c>
      <c r="I437" s="49"/>
      <c r="J437" s="48" t="s">
        <v>1949</v>
      </c>
      <c r="K437" s="51">
        <v>40996</v>
      </c>
      <c r="L437" s="115">
        <v>40993</v>
      </c>
      <c r="M437" s="50">
        <f t="shared" si="17"/>
        <v>3</v>
      </c>
      <c r="N437" s="50" t="s">
        <v>2</v>
      </c>
      <c r="O437" s="131">
        <v>4.3</v>
      </c>
      <c r="P437" s="117">
        <v>6.37</v>
      </c>
      <c r="Q437" s="131">
        <v>4.45</v>
      </c>
      <c r="R437" s="50">
        <v>52</v>
      </c>
      <c r="S437" s="74">
        <v>140</v>
      </c>
      <c r="T437" s="50">
        <v>0.27</v>
      </c>
      <c r="U437" s="131">
        <v>2.14</v>
      </c>
      <c r="V437" s="50">
        <v>1.51</v>
      </c>
      <c r="W437" s="74">
        <v>5.6000000000000001E-2</v>
      </c>
      <c r="X437" s="50">
        <v>0.20399999999999999</v>
      </c>
      <c r="Y437" s="74">
        <v>2.3E-2</v>
      </c>
      <c r="Z437" s="348">
        <v>1</v>
      </c>
      <c r="AA437" s="348">
        <v>0.70699999999999996</v>
      </c>
      <c r="AB437" s="114">
        <v>12</v>
      </c>
      <c r="AC437" s="50">
        <v>139</v>
      </c>
      <c r="AD437" s="314">
        <v>0</v>
      </c>
      <c r="AF437" s="175"/>
    </row>
    <row r="438" spans="1:32" ht="15" customHeight="1">
      <c r="A438" s="41" t="s">
        <v>183</v>
      </c>
      <c r="B438" s="402" t="s">
        <v>1950</v>
      </c>
      <c r="C438" s="113" t="s">
        <v>1406</v>
      </c>
      <c r="D438" s="393" t="s">
        <v>314</v>
      </c>
      <c r="E438" s="394" t="s">
        <v>467</v>
      </c>
      <c r="G438" s="405" t="s">
        <v>1951</v>
      </c>
      <c r="H438" s="113">
        <v>3724</v>
      </c>
      <c r="I438" s="49" t="s">
        <v>2</v>
      </c>
      <c r="J438" s="48" t="s">
        <v>1952</v>
      </c>
      <c r="K438" s="51">
        <v>40996</v>
      </c>
      <c r="L438" s="115">
        <v>40976</v>
      </c>
      <c r="M438" s="50">
        <f t="shared" si="17"/>
        <v>20</v>
      </c>
      <c r="N438" s="50" t="s">
        <v>2</v>
      </c>
      <c r="O438" s="131">
        <v>5.3</v>
      </c>
      <c r="P438" s="117">
        <v>6.9</v>
      </c>
      <c r="Q438" s="131">
        <v>6.6</v>
      </c>
      <c r="R438" s="50">
        <v>22</v>
      </c>
      <c r="S438" s="74">
        <v>140</v>
      </c>
      <c r="T438" s="50">
        <v>0.22</v>
      </c>
      <c r="U438" s="131">
        <v>1.67</v>
      </c>
      <c r="V438" s="50">
        <v>0.28999999999999998</v>
      </c>
      <c r="W438" s="74">
        <v>5.6000000000000001E-2</v>
      </c>
      <c r="X438" s="50">
        <v>0.312</v>
      </c>
      <c r="Y438" s="74">
        <v>1.4E-2</v>
      </c>
      <c r="Z438" s="348"/>
      <c r="AA438" s="348"/>
      <c r="AD438" s="314"/>
      <c r="AF438" s="175"/>
    </row>
    <row r="439" spans="1:32" ht="15" customHeight="1">
      <c r="A439" s="41" t="s">
        <v>183</v>
      </c>
      <c r="B439" s="402" t="s">
        <v>1950</v>
      </c>
      <c r="C439" s="113" t="s">
        <v>1406</v>
      </c>
      <c r="D439" s="393" t="s">
        <v>314</v>
      </c>
      <c r="E439" s="394" t="s">
        <v>467</v>
      </c>
      <c r="G439" s="405" t="s">
        <v>1951</v>
      </c>
      <c r="H439" s="113">
        <v>3724</v>
      </c>
      <c r="I439" s="49" t="s">
        <v>2</v>
      </c>
      <c r="J439" s="48" t="s">
        <v>1125</v>
      </c>
      <c r="K439" s="51">
        <v>40996</v>
      </c>
      <c r="L439" s="115">
        <v>40976</v>
      </c>
      <c r="M439" s="50">
        <f t="shared" si="17"/>
        <v>20</v>
      </c>
      <c r="N439" s="50" t="s">
        <v>2</v>
      </c>
      <c r="O439" s="131">
        <v>5.9</v>
      </c>
      <c r="P439" s="117">
        <v>6.9</v>
      </c>
      <c r="Q439" s="131">
        <v>6.84</v>
      </c>
      <c r="R439" s="50">
        <v>56</v>
      </c>
      <c r="S439" s="74">
        <v>87</v>
      </c>
      <c r="T439" s="50">
        <v>0.24</v>
      </c>
      <c r="U439" s="131">
        <v>2.65</v>
      </c>
      <c r="V439" s="50">
        <v>0.93</v>
      </c>
      <c r="W439" s="74">
        <v>0.04</v>
      </c>
      <c r="X439" s="50">
        <v>1.48</v>
      </c>
      <c r="Y439" s="74">
        <v>1.6E-2</v>
      </c>
      <c r="Z439" s="348"/>
      <c r="AA439" s="348"/>
      <c r="AD439" s="314"/>
      <c r="AF439" s="175"/>
    </row>
    <row r="440" spans="1:32" ht="15" customHeight="1">
      <c r="A440" s="41" t="s">
        <v>183</v>
      </c>
      <c r="B440" s="402" t="s">
        <v>1953</v>
      </c>
      <c r="D440" s="393" t="s">
        <v>1484</v>
      </c>
      <c r="E440" s="394" t="s">
        <v>1954</v>
      </c>
      <c r="G440" s="405" t="s">
        <v>4757</v>
      </c>
      <c r="H440" s="113">
        <v>3471</v>
      </c>
      <c r="I440" s="49" t="s">
        <v>2</v>
      </c>
      <c r="J440" s="48" t="s">
        <v>1956</v>
      </c>
      <c r="K440" s="51">
        <v>40996</v>
      </c>
      <c r="L440" s="115">
        <v>40993</v>
      </c>
      <c r="M440" s="50">
        <f t="shared" si="17"/>
        <v>3</v>
      </c>
      <c r="N440" s="50" t="s">
        <v>2</v>
      </c>
      <c r="O440" s="131">
        <f>1.4/2</f>
        <v>0.7</v>
      </c>
      <c r="P440" s="117">
        <v>6.36</v>
      </c>
      <c r="Q440" s="131">
        <v>6.63</v>
      </c>
      <c r="R440" s="50">
        <v>11</v>
      </c>
      <c r="S440" s="74">
        <v>19</v>
      </c>
      <c r="T440" s="50">
        <v>0.08</v>
      </c>
      <c r="U440" s="131">
        <v>0.86</v>
      </c>
      <c r="V440" s="50">
        <v>0.43</v>
      </c>
      <c r="W440" s="74">
        <v>2.1999999999999999E-2</v>
      </c>
      <c r="X440" s="50">
        <v>0.11</v>
      </c>
      <c r="Y440" s="74">
        <v>4.0000000000000001E-3</v>
      </c>
      <c r="Z440" s="348">
        <v>1</v>
      </c>
      <c r="AA440" s="348">
        <v>0.68500000000000005</v>
      </c>
      <c r="AB440" s="114">
        <v>38</v>
      </c>
      <c r="AC440" s="50">
        <v>96</v>
      </c>
      <c r="AD440" s="314">
        <v>0.15</v>
      </c>
      <c r="AF440" s="175"/>
    </row>
    <row r="441" spans="1:32" ht="15" customHeight="1">
      <c r="A441" s="41" t="s">
        <v>183</v>
      </c>
      <c r="B441" s="402" t="s">
        <v>1957</v>
      </c>
      <c r="D441" s="393" t="s">
        <v>308</v>
      </c>
      <c r="E441" s="394" t="s">
        <v>467</v>
      </c>
      <c r="G441" s="405" t="s">
        <v>1958</v>
      </c>
      <c r="H441" s="113">
        <v>3496</v>
      </c>
      <c r="I441" s="49" t="s">
        <v>2</v>
      </c>
      <c r="J441" s="48" t="s">
        <v>1959</v>
      </c>
      <c r="K441" s="51">
        <v>41030</v>
      </c>
      <c r="L441" s="115">
        <v>41021</v>
      </c>
      <c r="M441" s="50">
        <f t="shared" si="17"/>
        <v>9</v>
      </c>
      <c r="N441" s="50" t="s">
        <v>2</v>
      </c>
      <c r="O441" s="131">
        <f>1.4/2</f>
        <v>0.7</v>
      </c>
      <c r="P441" s="117">
        <v>6.1</v>
      </c>
      <c r="Q441" s="131">
        <v>6.21</v>
      </c>
      <c r="R441" s="50">
        <f>10/2</f>
        <v>5</v>
      </c>
      <c r="S441" s="176">
        <f>5/2</f>
        <v>2.5</v>
      </c>
      <c r="T441" s="50">
        <f>0.01/2</f>
        <v>5.0000000000000001E-3</v>
      </c>
      <c r="U441" s="131">
        <v>0.4</v>
      </c>
      <c r="V441" s="50">
        <v>0.09</v>
      </c>
      <c r="W441" s="74">
        <v>6.0000000000000001E-3</v>
      </c>
      <c r="X441" s="50">
        <v>7.4999999999999997E-2</v>
      </c>
      <c r="Y441" s="74">
        <v>3.0000000000000001E-3</v>
      </c>
      <c r="Z441" s="348">
        <v>0.70699999999999996</v>
      </c>
      <c r="AA441" s="348">
        <v>0.70699999999999996</v>
      </c>
      <c r="AB441" s="114">
        <f>2/2</f>
        <v>1</v>
      </c>
      <c r="AC441" s="50">
        <v>3</v>
      </c>
      <c r="AD441" s="314">
        <v>0</v>
      </c>
      <c r="AF441" s="175"/>
    </row>
    <row r="442" spans="1:32" ht="15" customHeight="1">
      <c r="A442" s="41" t="s">
        <v>183</v>
      </c>
      <c r="B442" s="402" t="s">
        <v>1960</v>
      </c>
      <c r="D442" s="393" t="s">
        <v>397</v>
      </c>
      <c r="E442" s="394" t="s">
        <v>1961</v>
      </c>
      <c r="F442" s="402">
        <v>3004</v>
      </c>
      <c r="G442" s="405" t="s">
        <v>137</v>
      </c>
      <c r="H442" s="113">
        <v>3829</v>
      </c>
      <c r="I442" s="49"/>
      <c r="J442" s="48" t="s">
        <v>1939</v>
      </c>
      <c r="K442" s="51">
        <v>41030</v>
      </c>
      <c r="L442" s="115">
        <v>41021</v>
      </c>
      <c r="M442" s="50">
        <f t="shared" si="17"/>
        <v>9</v>
      </c>
      <c r="N442" s="50" t="s">
        <v>2</v>
      </c>
      <c r="O442" s="131">
        <v>3.1</v>
      </c>
      <c r="P442" s="117">
        <v>6.07</v>
      </c>
      <c r="Q442" s="131">
        <v>6.22</v>
      </c>
      <c r="R442" s="50">
        <v>125</v>
      </c>
      <c r="S442" s="74">
        <v>97</v>
      </c>
      <c r="T442" s="50">
        <v>0.72</v>
      </c>
      <c r="U442" s="131">
        <v>2.92</v>
      </c>
      <c r="V442" s="50">
        <v>0.37</v>
      </c>
      <c r="W442" s="74">
        <v>2.7E-2</v>
      </c>
      <c r="X442" s="50">
        <v>9.8000000000000004E-2</v>
      </c>
      <c r="Y442" s="74">
        <v>2.9000000000000001E-2</v>
      </c>
      <c r="Z442" s="348">
        <v>1</v>
      </c>
      <c r="AA442" s="348">
        <v>1</v>
      </c>
      <c r="AB442" s="114">
        <v>6</v>
      </c>
      <c r="AC442" s="50">
        <v>40</v>
      </c>
      <c r="AD442" s="314">
        <v>1</v>
      </c>
      <c r="AE442" s="50">
        <v>620</v>
      </c>
      <c r="AF442" s="175">
        <v>17330</v>
      </c>
    </row>
    <row r="443" spans="1:32" ht="15" customHeight="1">
      <c r="A443" s="41" t="s">
        <v>183</v>
      </c>
      <c r="B443" s="402" t="s">
        <v>212</v>
      </c>
      <c r="D443" s="393" t="s">
        <v>213</v>
      </c>
      <c r="E443" s="394" t="s">
        <v>214</v>
      </c>
      <c r="G443" s="405" t="s">
        <v>215</v>
      </c>
      <c r="H443" s="113">
        <v>3442</v>
      </c>
      <c r="I443" s="49" t="s">
        <v>2</v>
      </c>
      <c r="J443" s="48" t="s">
        <v>1962</v>
      </c>
      <c r="K443" s="51">
        <v>41030</v>
      </c>
      <c r="L443" s="115">
        <v>41022</v>
      </c>
      <c r="M443" s="50">
        <f t="shared" si="17"/>
        <v>8</v>
      </c>
      <c r="N443" s="50" t="s">
        <v>2</v>
      </c>
      <c r="O443" s="131">
        <f>1.6/2</f>
        <v>0.8</v>
      </c>
      <c r="P443" s="117"/>
      <c r="Q443" s="131">
        <v>5.9</v>
      </c>
      <c r="R443" s="50">
        <v>110</v>
      </c>
      <c r="S443" s="74">
        <v>28</v>
      </c>
      <c r="T443" s="50">
        <v>0.22500000000000001</v>
      </c>
      <c r="U443" s="131">
        <v>2.2000000000000002</v>
      </c>
      <c r="V443" s="50">
        <v>1.35</v>
      </c>
      <c r="W443" s="74">
        <v>1.7000000000000001E-2</v>
      </c>
      <c r="X443" s="50">
        <v>4.5999999999999999E-2</v>
      </c>
      <c r="Y443" s="74">
        <f>0.005/2</f>
        <v>2.5000000000000001E-3</v>
      </c>
      <c r="Z443" s="348"/>
      <c r="AA443" s="348"/>
      <c r="AD443" s="314"/>
      <c r="AF443" s="175"/>
    </row>
    <row r="444" spans="1:32" ht="15" customHeight="1">
      <c r="A444" s="41" t="s">
        <v>183</v>
      </c>
      <c r="B444" s="402" t="s">
        <v>212</v>
      </c>
      <c r="D444" s="393" t="s">
        <v>213</v>
      </c>
      <c r="E444" s="394" t="s">
        <v>214</v>
      </c>
      <c r="G444" s="405" t="s">
        <v>215</v>
      </c>
      <c r="H444" s="113">
        <v>3442</v>
      </c>
      <c r="I444" s="49" t="s">
        <v>2</v>
      </c>
      <c r="J444" s="48" t="s">
        <v>1963</v>
      </c>
      <c r="K444" s="51">
        <v>41030</v>
      </c>
      <c r="L444" s="115">
        <v>41022</v>
      </c>
      <c r="M444" s="50">
        <f t="shared" si="17"/>
        <v>8</v>
      </c>
      <c r="N444" s="50" t="s">
        <v>2</v>
      </c>
      <c r="O444" s="131">
        <f>1.6/2</f>
        <v>0.8</v>
      </c>
      <c r="P444" s="117"/>
      <c r="Q444" s="131">
        <v>6.5</v>
      </c>
      <c r="R444" s="50">
        <v>120</v>
      </c>
      <c r="S444" s="74">
        <v>23</v>
      </c>
      <c r="T444" s="50">
        <v>0.11799999999999999</v>
      </c>
      <c r="U444" s="131">
        <v>2.4</v>
      </c>
      <c r="V444" s="50">
        <v>1.39</v>
      </c>
      <c r="W444" s="74">
        <v>2.8000000000000001E-2</v>
      </c>
      <c r="X444" s="50">
        <v>0.12</v>
      </c>
      <c r="Y444" s="74">
        <f>0.005/2</f>
        <v>2.5000000000000001E-3</v>
      </c>
      <c r="Z444" s="348"/>
      <c r="AA444" s="348"/>
      <c r="AD444" s="314"/>
      <c r="AF444" s="175"/>
    </row>
    <row r="445" spans="1:32" ht="15" customHeight="1">
      <c r="A445" s="41" t="s">
        <v>183</v>
      </c>
      <c r="B445" s="402" t="s">
        <v>212</v>
      </c>
      <c r="D445" s="393" t="s">
        <v>213</v>
      </c>
      <c r="E445" s="394" t="s">
        <v>214</v>
      </c>
      <c r="G445" s="405" t="s">
        <v>215</v>
      </c>
      <c r="H445" s="113">
        <v>3442</v>
      </c>
      <c r="I445" s="49" t="s">
        <v>2</v>
      </c>
      <c r="J445" s="48" t="s">
        <v>219</v>
      </c>
      <c r="K445" s="51">
        <v>41030</v>
      </c>
      <c r="L445" s="115">
        <v>41022</v>
      </c>
      <c r="M445" s="50">
        <f t="shared" si="17"/>
        <v>8</v>
      </c>
      <c r="N445" s="50" t="s">
        <v>2</v>
      </c>
      <c r="O445" s="131">
        <f>1.6/2</f>
        <v>0.8</v>
      </c>
      <c r="P445" s="117"/>
      <c r="Q445" s="131">
        <v>4.9000000000000004</v>
      </c>
      <c r="R445" s="50">
        <v>52</v>
      </c>
      <c r="S445" s="74">
        <v>21.7</v>
      </c>
      <c r="T445" s="50">
        <v>9.1999999999999998E-2</v>
      </c>
      <c r="U445" s="131">
        <v>1.8</v>
      </c>
      <c r="V445" s="50">
        <v>3.18</v>
      </c>
      <c r="W445" s="74">
        <v>2.5000000000000001E-2</v>
      </c>
      <c r="X445" s="50">
        <v>0.247</v>
      </c>
      <c r="Y445" s="74">
        <v>6.7000000000000002E-3</v>
      </c>
      <c r="Z445" s="348"/>
      <c r="AA445" s="348"/>
      <c r="AD445" s="314"/>
      <c r="AF445" s="175"/>
    </row>
    <row r="446" spans="1:32" ht="15" customHeight="1">
      <c r="A446" s="41" t="s">
        <v>183</v>
      </c>
      <c r="B446" s="402" t="s">
        <v>212</v>
      </c>
      <c r="D446" s="393" t="s">
        <v>213</v>
      </c>
      <c r="E446" s="394" t="s">
        <v>214</v>
      </c>
      <c r="G446" s="405" t="s">
        <v>215</v>
      </c>
      <c r="H446" s="113">
        <v>3442</v>
      </c>
      <c r="I446" s="49" t="s">
        <v>2</v>
      </c>
      <c r="J446" s="48" t="s">
        <v>216</v>
      </c>
      <c r="K446" s="51">
        <v>41030</v>
      </c>
      <c r="L446" s="115">
        <v>41022</v>
      </c>
      <c r="M446" s="50">
        <f t="shared" si="17"/>
        <v>8</v>
      </c>
      <c r="N446" s="50" t="s">
        <v>2</v>
      </c>
      <c r="O446" s="131">
        <f>1.7/2</f>
        <v>0.85</v>
      </c>
      <c r="P446" s="117"/>
      <c r="Q446" s="131">
        <v>4.4000000000000004</v>
      </c>
      <c r="R446" s="50">
        <v>70</v>
      </c>
      <c r="S446" s="74">
        <v>5.8</v>
      </c>
      <c r="T446" s="50">
        <v>0.187</v>
      </c>
      <c r="U446" s="131">
        <v>2.2999999999999998</v>
      </c>
      <c r="V446" s="50">
        <v>1.1599999999999999</v>
      </c>
      <c r="W446" s="74">
        <f>0.005</f>
        <v>5.0000000000000001E-3</v>
      </c>
      <c r="X446" s="50">
        <v>0.218</v>
      </c>
      <c r="Y446" s="74">
        <f>0.005/2</f>
        <v>2.5000000000000001E-3</v>
      </c>
      <c r="Z446" s="348"/>
      <c r="AA446" s="348"/>
      <c r="AD446" s="314"/>
      <c r="AF446" s="175"/>
    </row>
    <row r="447" spans="1:32" ht="15" customHeight="1">
      <c r="A447" s="41" t="s">
        <v>183</v>
      </c>
      <c r="B447" s="402" t="s">
        <v>1964</v>
      </c>
      <c r="D447" s="393" t="s">
        <v>251</v>
      </c>
      <c r="E447" s="394" t="s">
        <v>252</v>
      </c>
      <c r="G447" s="405" t="s">
        <v>1965</v>
      </c>
      <c r="H447" s="113">
        <v>2891</v>
      </c>
      <c r="I447" s="49" t="s">
        <v>2</v>
      </c>
      <c r="J447" s="48" t="s">
        <v>1966</v>
      </c>
      <c r="K447" s="51">
        <v>41030</v>
      </c>
      <c r="L447" s="115">
        <v>41029</v>
      </c>
      <c r="M447" s="50">
        <f t="shared" si="17"/>
        <v>1</v>
      </c>
      <c r="N447" s="50" t="s">
        <v>2</v>
      </c>
      <c r="O447" s="131">
        <f>1.6/2</f>
        <v>0.8</v>
      </c>
      <c r="P447" s="117"/>
      <c r="Q447" s="131">
        <v>6.06</v>
      </c>
      <c r="R447" s="50">
        <v>46</v>
      </c>
      <c r="S447" s="74">
        <v>14</v>
      </c>
      <c r="T447" s="50">
        <v>0.34</v>
      </c>
      <c r="U447" s="131">
        <v>1.19</v>
      </c>
      <c r="V447" s="50">
        <f>0.05/2</f>
        <v>2.5000000000000001E-2</v>
      </c>
      <c r="W447" s="74">
        <f>0.005/2</f>
        <v>2.5000000000000001E-3</v>
      </c>
      <c r="X447" s="50">
        <v>1.9E-2</v>
      </c>
      <c r="Y447" s="74">
        <f>0.002/2</f>
        <v>1E-3</v>
      </c>
      <c r="Z447" s="348">
        <v>1</v>
      </c>
      <c r="AA447" s="348">
        <v>1</v>
      </c>
      <c r="AB447" s="114">
        <v>2</v>
      </c>
      <c r="AC447" s="50">
        <v>12</v>
      </c>
      <c r="AD447" s="314">
        <v>1</v>
      </c>
      <c r="AF447" s="175"/>
    </row>
    <row r="448" spans="1:32" ht="15" customHeight="1">
      <c r="A448" s="41" t="s">
        <v>183</v>
      </c>
      <c r="B448" s="402" t="s">
        <v>1967</v>
      </c>
      <c r="D448" s="393" t="s">
        <v>188</v>
      </c>
      <c r="E448" s="394" t="s">
        <v>1968</v>
      </c>
      <c r="G448" s="405" t="s">
        <v>1969</v>
      </c>
      <c r="H448" s="113">
        <v>2891</v>
      </c>
      <c r="I448" s="49" t="s">
        <v>2</v>
      </c>
      <c r="J448" s="48" t="s">
        <v>1125</v>
      </c>
      <c r="K448" s="51">
        <v>40996</v>
      </c>
      <c r="L448" s="115">
        <v>40993</v>
      </c>
      <c r="M448" s="50">
        <f t="shared" si="17"/>
        <v>3</v>
      </c>
      <c r="N448" s="50" t="s">
        <v>2</v>
      </c>
      <c r="O448" s="131">
        <v>4.3</v>
      </c>
      <c r="P448" s="117">
        <v>5</v>
      </c>
      <c r="Q448" s="131">
        <v>6.9</v>
      </c>
      <c r="R448" s="50">
        <v>20</v>
      </c>
      <c r="S448" s="74">
        <v>81</v>
      </c>
      <c r="T448" s="50">
        <v>0.09</v>
      </c>
      <c r="U448" s="131">
        <v>0.97</v>
      </c>
      <c r="V448" s="50">
        <v>0.39</v>
      </c>
      <c r="W448" s="74">
        <v>1.7000000000000001E-2</v>
      </c>
      <c r="X448" s="50">
        <v>9.9000000000000005E-2</v>
      </c>
      <c r="Y448" s="74">
        <f>0.03/2</f>
        <v>1.4999999999999999E-2</v>
      </c>
      <c r="Z448" s="348">
        <v>1</v>
      </c>
      <c r="AA448" s="348">
        <v>1</v>
      </c>
      <c r="AB448" s="114">
        <v>16</v>
      </c>
      <c r="AC448" s="50">
        <v>77</v>
      </c>
      <c r="AD448" s="314">
        <v>1</v>
      </c>
      <c r="AF448" s="175"/>
    </row>
    <row r="449" spans="1:32" ht="15" customHeight="1">
      <c r="A449" s="41" t="s">
        <v>183</v>
      </c>
      <c r="B449" s="402" t="s">
        <v>1818</v>
      </c>
      <c r="C449" s="113" t="s">
        <v>1819</v>
      </c>
      <c r="D449" s="393" t="s">
        <v>133</v>
      </c>
      <c r="E449" s="394" t="s">
        <v>467</v>
      </c>
      <c r="G449" s="405" t="s">
        <v>1794</v>
      </c>
      <c r="H449" s="113">
        <v>4173</v>
      </c>
      <c r="I449" s="49" t="s">
        <v>2</v>
      </c>
      <c r="J449" s="48" t="s">
        <v>510</v>
      </c>
      <c r="K449" s="51">
        <v>40999</v>
      </c>
      <c r="L449" s="115">
        <v>40996</v>
      </c>
      <c r="M449" s="50">
        <f t="shared" si="17"/>
        <v>3</v>
      </c>
      <c r="N449" s="50" t="s">
        <v>2</v>
      </c>
      <c r="O449" s="131">
        <f>1.9/2</f>
        <v>0.95</v>
      </c>
      <c r="P449" s="117">
        <v>5.7</v>
      </c>
      <c r="Q449" s="131">
        <v>5.8</v>
      </c>
      <c r="R449" s="50">
        <f>20/2</f>
        <v>10</v>
      </c>
      <c r="S449" s="74">
        <v>6.4</v>
      </c>
      <c r="T449" s="50">
        <v>3.9E-2</v>
      </c>
      <c r="U449" s="131">
        <f>1/2</f>
        <v>0.5</v>
      </c>
      <c r="V449" s="50">
        <v>1.22</v>
      </c>
      <c r="W449" s="74">
        <v>2.5999999999999999E-2</v>
      </c>
      <c r="X449" s="50">
        <v>8.1000000000000003E-2</v>
      </c>
      <c r="Y449" s="74">
        <v>1.0500000000000001E-2</v>
      </c>
      <c r="Z449" s="348"/>
      <c r="AA449" s="348"/>
      <c r="AD449" s="314"/>
      <c r="AF449" s="175"/>
    </row>
    <row r="450" spans="1:32" ht="15" customHeight="1">
      <c r="A450" s="41" t="s">
        <v>183</v>
      </c>
      <c r="B450" s="402" t="s">
        <v>1970</v>
      </c>
      <c r="D450" s="393" t="s">
        <v>111</v>
      </c>
      <c r="E450" s="394" t="s">
        <v>112</v>
      </c>
      <c r="G450" s="405" t="s">
        <v>1955</v>
      </c>
      <c r="H450" s="113">
        <v>5093</v>
      </c>
      <c r="I450" s="49" t="s">
        <v>2</v>
      </c>
      <c r="J450" s="48" t="s">
        <v>510</v>
      </c>
      <c r="K450" s="51">
        <v>41021</v>
      </c>
      <c r="L450" s="115">
        <v>41000</v>
      </c>
      <c r="M450" s="50">
        <f t="shared" si="17"/>
        <v>21</v>
      </c>
      <c r="N450" s="50" t="s">
        <v>2</v>
      </c>
      <c r="O450" s="131">
        <f>2/2</f>
        <v>1</v>
      </c>
      <c r="P450" s="117">
        <v>5.9</v>
      </c>
      <c r="Q450" s="131">
        <v>6.2</v>
      </c>
      <c r="R450" s="50">
        <v>21</v>
      </c>
      <c r="S450" s="74">
        <v>32</v>
      </c>
      <c r="T450" s="50">
        <v>0.08</v>
      </c>
      <c r="U450" s="131">
        <v>1.03</v>
      </c>
      <c r="V450" s="50">
        <v>0.44</v>
      </c>
      <c r="W450" s="74">
        <v>2.7E-2</v>
      </c>
      <c r="X450" s="50">
        <v>9.6000000000000002E-2</v>
      </c>
      <c r="Y450" s="74">
        <f>0.03/2</f>
        <v>1.4999999999999999E-2</v>
      </c>
      <c r="AD450" s="314"/>
      <c r="AF450" s="175"/>
    </row>
    <row r="451" spans="1:32" ht="15" customHeight="1">
      <c r="A451" s="41" t="s">
        <v>183</v>
      </c>
      <c r="B451" s="402" t="s">
        <v>1971</v>
      </c>
      <c r="D451" s="393" t="s">
        <v>111</v>
      </c>
      <c r="E451" s="394" t="s">
        <v>112</v>
      </c>
      <c r="F451" s="402">
        <v>5200</v>
      </c>
      <c r="G451" s="405" t="s">
        <v>1972</v>
      </c>
      <c r="H451" s="113">
        <v>3672</v>
      </c>
      <c r="I451" s="49" t="s">
        <v>1</v>
      </c>
      <c r="J451" s="48" t="s">
        <v>1125</v>
      </c>
      <c r="K451" s="51">
        <v>40996</v>
      </c>
      <c r="L451" s="115">
        <v>40993</v>
      </c>
      <c r="M451" s="50">
        <f t="shared" si="17"/>
        <v>3</v>
      </c>
      <c r="N451" s="50" t="s">
        <v>2</v>
      </c>
      <c r="O451" s="131">
        <v>2.6</v>
      </c>
      <c r="P451" s="117">
        <v>6</v>
      </c>
      <c r="Q451" s="131">
        <v>7</v>
      </c>
      <c r="R451" s="50">
        <v>10</v>
      </c>
      <c r="S451" s="74">
        <v>25</v>
      </c>
      <c r="T451" s="50">
        <v>7.0000000000000007E-2</v>
      </c>
      <c r="U451" s="131">
        <v>1.1100000000000001</v>
      </c>
      <c r="V451" s="50">
        <v>0.3</v>
      </c>
      <c r="W451" s="74">
        <v>2.3E-2</v>
      </c>
      <c r="X451" s="50">
        <v>4.7E-2</v>
      </c>
      <c r="Y451" s="74">
        <f>0.03/2</f>
        <v>1.4999999999999999E-2</v>
      </c>
      <c r="Z451" s="271">
        <v>1</v>
      </c>
      <c r="AA451" s="271">
        <v>1</v>
      </c>
      <c r="AB451" s="114">
        <v>7</v>
      </c>
      <c r="AC451" s="50">
        <v>33</v>
      </c>
      <c r="AD451" s="314">
        <v>0.75</v>
      </c>
      <c r="AE451" s="50">
        <v>2750</v>
      </c>
      <c r="AF451" s="175"/>
    </row>
    <row r="452" spans="1:32" ht="15" customHeight="1">
      <c r="A452" s="41" t="s">
        <v>183</v>
      </c>
      <c r="B452" s="402" t="s">
        <v>40</v>
      </c>
      <c r="D452" s="393" t="s">
        <v>41</v>
      </c>
      <c r="E452" s="394" t="s">
        <v>42</v>
      </c>
      <c r="F452" s="47" t="s">
        <v>5216</v>
      </c>
      <c r="G452" s="405" t="s">
        <v>43</v>
      </c>
      <c r="H452" s="113">
        <v>3728</v>
      </c>
      <c r="I452" s="49" t="s">
        <v>2</v>
      </c>
      <c r="J452" s="48" t="s">
        <v>45</v>
      </c>
      <c r="K452" s="51">
        <v>41030</v>
      </c>
      <c r="L452" s="115">
        <v>41021</v>
      </c>
      <c r="M452" s="50">
        <f t="shared" si="17"/>
        <v>9</v>
      </c>
      <c r="N452" s="50" t="s">
        <v>2</v>
      </c>
      <c r="O452" s="131">
        <f>1.4/2</f>
        <v>0.7</v>
      </c>
      <c r="P452" s="117">
        <v>8.0399999999999991</v>
      </c>
      <c r="Q452" s="131">
        <v>6.5</v>
      </c>
      <c r="R452" s="50">
        <v>62</v>
      </c>
      <c r="S452" s="74">
        <v>7</v>
      </c>
      <c r="T452" s="50">
        <v>0.1</v>
      </c>
      <c r="U452" s="131">
        <v>2.77</v>
      </c>
      <c r="V452" s="50">
        <v>0.94</v>
      </c>
      <c r="W452" s="74">
        <v>2.1999999999999999E-2</v>
      </c>
      <c r="X452" s="50">
        <v>0.81</v>
      </c>
      <c r="Y452" s="74">
        <v>4.0000000000000001E-3</v>
      </c>
      <c r="AD452" s="314"/>
      <c r="AF452" s="175"/>
    </row>
    <row r="453" spans="1:32" ht="15" customHeight="1">
      <c r="A453" s="41" t="s">
        <v>183</v>
      </c>
      <c r="B453" s="402" t="s">
        <v>40</v>
      </c>
      <c r="D453" s="393" t="s">
        <v>41</v>
      </c>
      <c r="E453" s="394" t="s">
        <v>42</v>
      </c>
      <c r="F453" s="47" t="s">
        <v>5216</v>
      </c>
      <c r="G453" s="405" t="s">
        <v>43</v>
      </c>
      <c r="H453" s="113">
        <v>3728</v>
      </c>
      <c r="I453" s="49" t="s">
        <v>2</v>
      </c>
      <c r="J453" s="48" t="s">
        <v>46</v>
      </c>
      <c r="K453" s="51">
        <v>41030</v>
      </c>
      <c r="L453" s="115">
        <v>41021</v>
      </c>
      <c r="M453" s="50">
        <f t="shared" si="17"/>
        <v>9</v>
      </c>
      <c r="N453" s="50" t="s">
        <v>2</v>
      </c>
      <c r="O453" s="131">
        <f>1.4/2</f>
        <v>0.7</v>
      </c>
      <c r="P453" s="117">
        <v>8.0399999999999991</v>
      </c>
      <c r="Q453" s="131">
        <v>6.77</v>
      </c>
      <c r="R453" s="50">
        <v>67</v>
      </c>
      <c r="S453" s="74">
        <v>21</v>
      </c>
      <c r="T453" s="50">
        <v>0.1</v>
      </c>
      <c r="U453" s="131">
        <v>1.65</v>
      </c>
      <c r="V453" s="50">
        <v>0.87</v>
      </c>
      <c r="W453" s="74">
        <v>1.2999999999999999E-2</v>
      </c>
      <c r="X453" s="50">
        <v>0.09</v>
      </c>
      <c r="Y453" s="74">
        <v>4.0000000000000001E-3</v>
      </c>
      <c r="AD453" s="314"/>
      <c r="AF453" s="175"/>
    </row>
    <row r="454" spans="1:32" ht="15" customHeight="1">
      <c r="A454" s="41" t="s">
        <v>183</v>
      </c>
      <c r="B454" s="402" t="s">
        <v>40</v>
      </c>
      <c r="D454" s="393" t="s">
        <v>41</v>
      </c>
      <c r="E454" s="394" t="s">
        <v>42</v>
      </c>
      <c r="F454" s="47" t="s">
        <v>5216</v>
      </c>
      <c r="G454" s="405" t="s">
        <v>43</v>
      </c>
      <c r="H454" s="113">
        <v>3728</v>
      </c>
      <c r="I454" s="49" t="s">
        <v>2</v>
      </c>
      <c r="J454" s="48" t="s">
        <v>1973</v>
      </c>
      <c r="K454" s="51">
        <v>41030</v>
      </c>
      <c r="L454" s="115">
        <v>41021</v>
      </c>
      <c r="M454" s="50">
        <f t="shared" si="17"/>
        <v>9</v>
      </c>
      <c r="N454" s="50" t="s">
        <v>2</v>
      </c>
      <c r="O454" s="131">
        <f>1.4/2</f>
        <v>0.7</v>
      </c>
      <c r="P454" s="117">
        <v>8.0399999999999991</v>
      </c>
      <c r="Q454" s="131">
        <v>5.24</v>
      </c>
      <c r="R454" s="50">
        <v>50</v>
      </c>
      <c r="S454" s="74">
        <v>5</v>
      </c>
      <c r="T454" s="50">
        <v>0.05</v>
      </c>
      <c r="U454" s="131">
        <v>2.48</v>
      </c>
      <c r="V454" s="50">
        <v>1.0900000000000001</v>
      </c>
      <c r="W454" s="74">
        <v>4.9000000000000002E-2</v>
      </c>
      <c r="X454" s="50">
        <v>9.9000000000000005E-2</v>
      </c>
      <c r="Y454" s="74">
        <v>5.0000000000000001E-3</v>
      </c>
      <c r="AD454" s="314"/>
      <c r="AF454" s="175"/>
    </row>
    <row r="455" spans="1:32" ht="15" customHeight="1">
      <c r="A455" s="41" t="s">
        <v>183</v>
      </c>
      <c r="B455" s="402" t="s">
        <v>1974</v>
      </c>
      <c r="C455" s="113" t="s">
        <v>1975</v>
      </c>
      <c r="D455" s="393" t="s">
        <v>262</v>
      </c>
      <c r="E455" s="394" t="s">
        <v>1976</v>
      </c>
      <c r="G455" s="405" t="s">
        <v>1977</v>
      </c>
      <c r="H455" s="113">
        <v>3728</v>
      </c>
      <c r="I455" s="49" t="s">
        <v>1</v>
      </c>
      <c r="J455" s="48" t="s">
        <v>1978</v>
      </c>
      <c r="K455" s="51">
        <v>40996</v>
      </c>
      <c r="L455" s="115">
        <v>40992</v>
      </c>
      <c r="M455" s="50">
        <f t="shared" si="17"/>
        <v>4</v>
      </c>
      <c r="N455" s="50" t="s">
        <v>2</v>
      </c>
      <c r="O455" s="131">
        <v>1.2</v>
      </c>
      <c r="P455" s="117">
        <v>5.42</v>
      </c>
      <c r="Q455" s="131">
        <v>6.87</v>
      </c>
      <c r="R455" s="50">
        <v>87.7</v>
      </c>
      <c r="S455" s="74">
        <v>80</v>
      </c>
      <c r="T455" s="50">
        <v>0.3</v>
      </c>
      <c r="U455" s="131">
        <v>1.58</v>
      </c>
      <c r="V455" s="50">
        <v>0.94</v>
      </c>
      <c r="W455" s="74">
        <v>2.8000000000000001E-2</v>
      </c>
      <c r="X455" s="50">
        <v>6.2E-2</v>
      </c>
      <c r="Y455" s="74">
        <v>1.2E-2</v>
      </c>
      <c r="AD455" s="314"/>
      <c r="AF455" s="175"/>
    </row>
    <row r="456" spans="1:32" ht="15" customHeight="1">
      <c r="A456" s="41" t="s">
        <v>183</v>
      </c>
      <c r="B456" s="402" t="s">
        <v>1974</v>
      </c>
      <c r="C456" s="113" t="s">
        <v>1975</v>
      </c>
      <c r="D456" s="393" t="s">
        <v>262</v>
      </c>
      <c r="E456" s="394" t="s">
        <v>1976</v>
      </c>
      <c r="G456" s="405" t="s">
        <v>1977</v>
      </c>
      <c r="H456" s="113">
        <v>3728</v>
      </c>
      <c r="I456" s="49" t="s">
        <v>1</v>
      </c>
      <c r="J456" s="48" t="s">
        <v>1979</v>
      </c>
      <c r="K456" s="51">
        <v>40996</v>
      </c>
      <c r="L456" s="115">
        <v>40992</v>
      </c>
      <c r="M456" s="50">
        <f t="shared" si="17"/>
        <v>4</v>
      </c>
      <c r="N456" s="50" t="s">
        <v>2</v>
      </c>
      <c r="O456" s="131">
        <f>1/2</f>
        <v>0.5</v>
      </c>
      <c r="P456" s="117">
        <v>5.42</v>
      </c>
      <c r="Q456" s="131">
        <v>6.52</v>
      </c>
      <c r="R456" s="50">
        <v>113.9</v>
      </c>
      <c r="S456" s="74">
        <v>38</v>
      </c>
      <c r="T456" s="50">
        <v>0.16</v>
      </c>
      <c r="U456" s="131">
        <v>1.66</v>
      </c>
      <c r="V456" s="50">
        <v>0.47</v>
      </c>
      <c r="W456" s="74">
        <v>2.9000000000000001E-2</v>
      </c>
      <c r="X456" s="50">
        <v>0.127</v>
      </c>
      <c r="Y456" s="74">
        <v>7.0000000000000001E-3</v>
      </c>
      <c r="AD456" s="314"/>
      <c r="AF456" s="175"/>
    </row>
    <row r="457" spans="1:32" ht="15" customHeight="1">
      <c r="A457" s="41" t="s">
        <v>183</v>
      </c>
      <c r="B457" s="402" t="s">
        <v>1974</v>
      </c>
      <c r="C457" s="113" t="s">
        <v>1975</v>
      </c>
      <c r="D457" s="393" t="s">
        <v>262</v>
      </c>
      <c r="E457" s="394" t="s">
        <v>1976</v>
      </c>
      <c r="G457" s="405" t="s">
        <v>1977</v>
      </c>
      <c r="H457" s="113">
        <v>3728</v>
      </c>
      <c r="I457" s="49" t="s">
        <v>1</v>
      </c>
      <c r="J457" s="48" t="s">
        <v>1980</v>
      </c>
      <c r="K457" s="51">
        <v>40996</v>
      </c>
      <c r="L457" s="115">
        <v>40992</v>
      </c>
      <c r="M457" s="50">
        <f t="shared" si="17"/>
        <v>4</v>
      </c>
      <c r="N457" s="50" t="s">
        <v>2</v>
      </c>
      <c r="O457" s="131">
        <f>1/2</f>
        <v>0.5</v>
      </c>
      <c r="P457" s="117">
        <v>5.42</v>
      </c>
      <c r="Q457" s="131">
        <v>6.3</v>
      </c>
      <c r="R457" s="50">
        <v>11.3</v>
      </c>
      <c r="S457" s="74">
        <v>2</v>
      </c>
      <c r="T457" s="50">
        <v>0.1</v>
      </c>
      <c r="U457" s="131">
        <v>0.72</v>
      </c>
      <c r="V457" s="50">
        <v>1.92</v>
      </c>
      <c r="W457" s="74">
        <v>1.9E-2</v>
      </c>
      <c r="X457" s="50">
        <v>0.22</v>
      </c>
      <c r="Y457" s="74">
        <f>0.005/2</f>
        <v>2.5000000000000001E-3</v>
      </c>
      <c r="AD457" s="314"/>
      <c r="AF457" s="175"/>
    </row>
    <row r="458" spans="1:32" ht="15" customHeight="1">
      <c r="A458" s="41" t="s">
        <v>183</v>
      </c>
      <c r="B458" s="402" t="s">
        <v>1974</v>
      </c>
      <c r="C458" s="113" t="s">
        <v>1975</v>
      </c>
      <c r="D458" s="393" t="s">
        <v>262</v>
      </c>
      <c r="E458" s="394" t="s">
        <v>1976</v>
      </c>
      <c r="G458" s="405" t="s">
        <v>1977</v>
      </c>
      <c r="H458" s="113">
        <v>3728</v>
      </c>
      <c r="I458" s="49" t="s">
        <v>1</v>
      </c>
      <c r="J458" s="48" t="s">
        <v>1981</v>
      </c>
      <c r="K458" s="51">
        <v>40996</v>
      </c>
      <c r="L458" s="115">
        <v>40992</v>
      </c>
      <c r="M458" s="50">
        <f t="shared" si="17"/>
        <v>4</v>
      </c>
      <c r="N458" s="50" t="s">
        <v>2</v>
      </c>
      <c r="O458" s="131">
        <f>1/2</f>
        <v>0.5</v>
      </c>
      <c r="P458" s="117">
        <v>5.42</v>
      </c>
      <c r="Q458" s="131">
        <v>7.05</v>
      </c>
      <c r="R458" s="50">
        <v>148.6</v>
      </c>
      <c r="S458" s="74">
        <v>32</v>
      </c>
      <c r="T458" s="50">
        <v>0.23</v>
      </c>
      <c r="U458" s="131">
        <v>0.66</v>
      </c>
      <c r="V458" s="50">
        <v>0.22</v>
      </c>
      <c r="W458" s="74">
        <v>2.1999999999999999E-2</v>
      </c>
      <c r="X458" s="50">
        <v>0.14699999999999999</v>
      </c>
      <c r="Y458" s="74">
        <v>9.7000000000000003E-2</v>
      </c>
      <c r="AD458" s="314"/>
      <c r="AF458" s="175"/>
    </row>
    <row r="459" spans="1:32" ht="15" customHeight="1">
      <c r="A459" s="41" t="s">
        <v>183</v>
      </c>
      <c r="B459" s="402" t="s">
        <v>1982</v>
      </c>
      <c r="D459" s="393" t="s">
        <v>257</v>
      </c>
      <c r="E459" s="394" t="s">
        <v>1983</v>
      </c>
      <c r="G459" s="405" t="s">
        <v>1984</v>
      </c>
      <c r="H459" s="113">
        <v>3365</v>
      </c>
      <c r="I459" s="49" t="s">
        <v>2</v>
      </c>
      <c r="J459" s="48"/>
      <c r="K459" s="51">
        <v>41030</v>
      </c>
      <c r="N459" s="50" t="s">
        <v>2</v>
      </c>
      <c r="O459" s="131">
        <f>2/2</f>
        <v>1</v>
      </c>
      <c r="P459" s="117">
        <v>7.3</v>
      </c>
      <c r="Q459" s="131">
        <v>7.2</v>
      </c>
      <c r="R459" s="50">
        <v>22</v>
      </c>
      <c r="S459" s="74">
        <v>15</v>
      </c>
      <c r="T459" s="50">
        <v>0.09</v>
      </c>
      <c r="U459" s="131">
        <v>0.54</v>
      </c>
      <c r="V459" s="50">
        <f>0.1/2</f>
        <v>0.05</v>
      </c>
      <c r="W459" s="74">
        <v>1.2999999999999999E-2</v>
      </c>
      <c r="X459" s="50">
        <f>0.03/2</f>
        <v>1.4999999999999999E-2</v>
      </c>
      <c r="Y459" s="74">
        <f>0.03/2</f>
        <v>1.4999999999999999E-2</v>
      </c>
      <c r="Z459" s="271">
        <v>1</v>
      </c>
      <c r="AA459" s="271">
        <v>1</v>
      </c>
      <c r="AB459" s="114">
        <v>3</v>
      </c>
      <c r="AC459" s="50">
        <v>34</v>
      </c>
      <c r="AD459" s="314">
        <v>1</v>
      </c>
      <c r="AF459" s="175"/>
    </row>
    <row r="460" spans="1:32" ht="15" customHeight="1">
      <c r="A460" s="41" t="s">
        <v>183</v>
      </c>
      <c r="B460" s="402" t="s">
        <v>575</v>
      </c>
      <c r="D460" s="393" t="s">
        <v>56</v>
      </c>
      <c r="E460" s="394" t="s">
        <v>95</v>
      </c>
      <c r="G460" s="405" t="s">
        <v>301</v>
      </c>
      <c r="H460" s="113">
        <v>5171</v>
      </c>
      <c r="I460" s="49" t="s">
        <v>1</v>
      </c>
      <c r="J460" s="61" t="s">
        <v>81</v>
      </c>
      <c r="K460" s="51">
        <v>41037</v>
      </c>
      <c r="L460" s="115">
        <v>41033</v>
      </c>
      <c r="M460" s="50">
        <f t="shared" ref="M460:M485" si="18">K460-L460</f>
        <v>4</v>
      </c>
      <c r="N460" s="50" t="s">
        <v>2</v>
      </c>
      <c r="O460" s="131">
        <f>4.1/2</f>
        <v>2.0499999999999998</v>
      </c>
      <c r="P460" s="117">
        <v>6.94</v>
      </c>
      <c r="Q460" s="131">
        <v>8.06</v>
      </c>
      <c r="R460" s="50">
        <v>26.6</v>
      </c>
      <c r="S460" s="74">
        <v>29</v>
      </c>
      <c r="T460" s="50">
        <f>0.2/2</f>
        <v>0.1</v>
      </c>
      <c r="U460" s="131">
        <v>0.77</v>
      </c>
      <c r="V460" s="50">
        <v>0.21</v>
      </c>
      <c r="W460" s="74">
        <f>0.025/2</f>
        <v>1.2500000000000001E-2</v>
      </c>
      <c r="X460" s="50">
        <v>4.3999999999999997E-2</v>
      </c>
      <c r="Y460" s="74">
        <v>8.9999999999999993E-3</v>
      </c>
      <c r="AD460" s="314"/>
      <c r="AF460" s="175"/>
    </row>
    <row r="461" spans="1:32" ht="15" customHeight="1">
      <c r="A461" s="41" t="s">
        <v>183</v>
      </c>
      <c r="B461" s="402" t="s">
        <v>575</v>
      </c>
      <c r="D461" s="393" t="s">
        <v>56</v>
      </c>
      <c r="E461" s="394" t="s">
        <v>95</v>
      </c>
      <c r="G461" s="405" t="s">
        <v>301</v>
      </c>
      <c r="H461" s="113">
        <v>5171</v>
      </c>
      <c r="I461" s="49" t="s">
        <v>1</v>
      </c>
      <c r="J461" s="61" t="s">
        <v>114</v>
      </c>
      <c r="K461" s="51">
        <v>41037</v>
      </c>
      <c r="L461" s="115">
        <v>41033</v>
      </c>
      <c r="M461" s="50">
        <f t="shared" si="18"/>
        <v>4</v>
      </c>
      <c r="N461" s="50" t="s">
        <v>2</v>
      </c>
      <c r="O461" s="131">
        <f>4.1/2</f>
        <v>2.0499999999999998</v>
      </c>
      <c r="P461" s="117">
        <v>6.94</v>
      </c>
      <c r="Q461" s="131">
        <v>8.69</v>
      </c>
      <c r="R461" s="50">
        <f>20/2</f>
        <v>10</v>
      </c>
      <c r="S461" s="74">
        <f>4/2</f>
        <v>2</v>
      </c>
      <c r="T461" s="50">
        <f>0.2/2</f>
        <v>0.1</v>
      </c>
      <c r="U461" s="131">
        <f>0.3/2</f>
        <v>0.15</v>
      </c>
      <c r="V461" s="50">
        <v>1.6</v>
      </c>
      <c r="W461" s="74">
        <f>0.025/2</f>
        <v>1.2500000000000001E-2</v>
      </c>
      <c r="X461" s="50">
        <v>2.9000000000000001E-2</v>
      </c>
      <c r="Y461" s="74">
        <f>0.005/2</f>
        <v>2.5000000000000001E-3</v>
      </c>
      <c r="AD461" s="314"/>
      <c r="AF461" s="175"/>
    </row>
    <row r="462" spans="1:32" ht="15" customHeight="1">
      <c r="A462" s="41" t="s">
        <v>183</v>
      </c>
      <c r="B462" s="402" t="s">
        <v>1985</v>
      </c>
      <c r="C462" s="113" t="s">
        <v>1986</v>
      </c>
      <c r="D462" s="393" t="s">
        <v>257</v>
      </c>
      <c r="E462" s="394" t="s">
        <v>252</v>
      </c>
      <c r="G462" s="405" t="s">
        <v>1987</v>
      </c>
      <c r="H462" s="113">
        <v>3423</v>
      </c>
      <c r="I462" s="49" t="s">
        <v>1</v>
      </c>
      <c r="J462" s="48" t="s">
        <v>669</v>
      </c>
      <c r="K462" s="51">
        <v>40996</v>
      </c>
      <c r="L462" s="115">
        <v>40977</v>
      </c>
      <c r="M462" s="50">
        <f t="shared" si="18"/>
        <v>19</v>
      </c>
      <c r="N462" s="50" t="s">
        <v>2</v>
      </c>
      <c r="O462" s="131">
        <v>1.8</v>
      </c>
      <c r="P462" s="117">
        <v>5.5</v>
      </c>
      <c r="Q462" s="131">
        <v>6</v>
      </c>
      <c r="R462" s="50">
        <v>310</v>
      </c>
      <c r="S462" s="74">
        <v>131</v>
      </c>
      <c r="T462" s="50">
        <v>0.34100000000000003</v>
      </c>
      <c r="U462" s="131">
        <v>1.8</v>
      </c>
      <c r="V462" s="50">
        <v>0.74</v>
      </c>
      <c r="W462" s="74">
        <v>3.9E-2</v>
      </c>
      <c r="X462" s="50">
        <v>0.255</v>
      </c>
      <c r="Y462" s="74">
        <v>4.0399999999999998E-2</v>
      </c>
      <c r="Z462" s="271">
        <v>1</v>
      </c>
      <c r="AA462" s="271">
        <v>1</v>
      </c>
      <c r="AB462" s="114">
        <v>8</v>
      </c>
      <c r="AC462" s="50">
        <v>121</v>
      </c>
      <c r="AD462" s="314">
        <v>1</v>
      </c>
      <c r="AE462" s="50">
        <f>50/2</f>
        <v>25</v>
      </c>
      <c r="AF462" s="175"/>
    </row>
    <row r="463" spans="1:32" ht="15" customHeight="1">
      <c r="A463" s="41" t="s">
        <v>183</v>
      </c>
      <c r="B463" s="402" t="s">
        <v>1985</v>
      </c>
      <c r="C463" s="113" t="s">
        <v>1986</v>
      </c>
      <c r="D463" s="393" t="s">
        <v>257</v>
      </c>
      <c r="E463" s="394" t="s">
        <v>252</v>
      </c>
      <c r="G463" s="405" t="s">
        <v>1987</v>
      </c>
      <c r="H463" s="113">
        <v>3423</v>
      </c>
      <c r="I463" s="49" t="s">
        <v>1</v>
      </c>
      <c r="J463" s="48" t="s">
        <v>1988</v>
      </c>
      <c r="K463" s="51">
        <v>40996</v>
      </c>
      <c r="L463" s="115">
        <v>40977</v>
      </c>
      <c r="M463" s="50">
        <f t="shared" si="18"/>
        <v>19</v>
      </c>
      <c r="N463" s="50" t="s">
        <v>2</v>
      </c>
      <c r="O463" s="131">
        <v>2.2000000000000002</v>
      </c>
      <c r="P463" s="117">
        <v>5.5</v>
      </c>
      <c r="Q463" s="131">
        <v>7.3</v>
      </c>
      <c r="R463" s="50">
        <v>48</v>
      </c>
      <c r="S463" s="74">
        <v>127</v>
      </c>
      <c r="T463" s="50">
        <v>0.09</v>
      </c>
      <c r="U463" s="131">
        <v>1.3</v>
      </c>
      <c r="V463" s="50">
        <v>0.77</v>
      </c>
      <c r="W463" s="74">
        <v>3.9E-2</v>
      </c>
      <c r="X463" s="50">
        <v>0.16</v>
      </c>
      <c r="Y463" s="74">
        <v>6.9699999999999998E-2</v>
      </c>
      <c r="Z463" s="271">
        <v>1</v>
      </c>
      <c r="AA463" s="271">
        <v>1</v>
      </c>
      <c r="AB463" s="114">
        <v>36</v>
      </c>
      <c r="AC463" s="50">
        <v>1609</v>
      </c>
      <c r="AD463" s="314">
        <v>1</v>
      </c>
      <c r="AE463" s="50">
        <v>50</v>
      </c>
      <c r="AF463" s="175"/>
    </row>
    <row r="464" spans="1:32" ht="15" customHeight="1">
      <c r="A464" s="41" t="s">
        <v>183</v>
      </c>
      <c r="B464" s="402" t="s">
        <v>1985</v>
      </c>
      <c r="C464" s="113" t="s">
        <v>1986</v>
      </c>
      <c r="D464" s="393" t="s">
        <v>257</v>
      </c>
      <c r="E464" s="394" t="s">
        <v>252</v>
      </c>
      <c r="G464" s="405" t="s">
        <v>1987</v>
      </c>
      <c r="H464" s="113">
        <v>3423</v>
      </c>
      <c r="I464" s="49" t="s">
        <v>1</v>
      </c>
      <c r="J464" s="48" t="s">
        <v>669</v>
      </c>
      <c r="K464" s="51">
        <v>41030</v>
      </c>
      <c r="L464" s="115">
        <v>41022</v>
      </c>
      <c r="M464" s="50">
        <f t="shared" si="18"/>
        <v>8</v>
      </c>
      <c r="N464" s="50" t="s">
        <v>2</v>
      </c>
      <c r="O464" s="131">
        <v>1.8</v>
      </c>
      <c r="P464" s="117">
        <v>5.9</v>
      </c>
      <c r="Q464" s="131">
        <v>7.6</v>
      </c>
      <c r="R464" s="50">
        <v>25</v>
      </c>
      <c r="S464" s="74">
        <v>3.2</v>
      </c>
      <c r="T464" s="50">
        <v>6.2E-2</v>
      </c>
      <c r="U464" s="131">
        <f>1/2</f>
        <v>0.5</v>
      </c>
      <c r="V464" s="50">
        <v>2.57</v>
      </c>
      <c r="W464" s="74">
        <v>5.0000000000000001E-3</v>
      </c>
      <c r="X464" s="50">
        <v>0.13600000000000001</v>
      </c>
      <c r="Y464" s="74">
        <v>5.7999999999999996E-3</v>
      </c>
      <c r="AD464" s="314"/>
      <c r="AF464" s="175"/>
    </row>
    <row r="465" spans="1:32" ht="15" customHeight="1">
      <c r="A465" s="41" t="s">
        <v>183</v>
      </c>
      <c r="B465" s="402" t="s">
        <v>1985</v>
      </c>
      <c r="C465" s="113" t="s">
        <v>1986</v>
      </c>
      <c r="D465" s="393" t="s">
        <v>257</v>
      </c>
      <c r="E465" s="394" t="s">
        <v>252</v>
      </c>
      <c r="G465" s="405" t="s">
        <v>1987</v>
      </c>
      <c r="H465" s="113">
        <v>3423</v>
      </c>
      <c r="I465" s="49" t="s">
        <v>1</v>
      </c>
      <c r="J465" s="48" t="s">
        <v>1988</v>
      </c>
      <c r="K465" s="51">
        <v>41030</v>
      </c>
      <c r="L465" s="115">
        <v>41022</v>
      </c>
      <c r="M465" s="50">
        <f t="shared" si="18"/>
        <v>8</v>
      </c>
      <c r="N465" s="50" t="s">
        <v>2</v>
      </c>
      <c r="O465" s="131">
        <f>1.7/2</f>
        <v>0.85</v>
      </c>
      <c r="P465" s="117">
        <v>5.9</v>
      </c>
      <c r="Q465" s="131">
        <v>7.5</v>
      </c>
      <c r="R465" s="50">
        <f>20/2</f>
        <v>10</v>
      </c>
      <c r="S465" s="74">
        <v>3.2</v>
      </c>
      <c r="T465" s="50">
        <v>3.6999999999999998E-2</v>
      </c>
      <c r="U465" s="131">
        <f>1/2</f>
        <v>0.5</v>
      </c>
      <c r="V465" s="50">
        <f>0.46/2</f>
        <v>0.23</v>
      </c>
      <c r="W465" s="74">
        <f>0.005/2</f>
        <v>2.5000000000000001E-3</v>
      </c>
      <c r="X465" s="50">
        <f>0.01/2</f>
        <v>5.0000000000000001E-3</v>
      </c>
      <c r="Y465" s="74">
        <v>5.4999999999999997E-3</v>
      </c>
      <c r="AD465" s="314"/>
      <c r="AF465" s="175"/>
    </row>
    <row r="466" spans="1:32" ht="15" customHeight="1">
      <c r="A466" s="41" t="s">
        <v>183</v>
      </c>
      <c r="B466" s="402" t="s">
        <v>1989</v>
      </c>
      <c r="D466" s="393" t="s">
        <v>372</v>
      </c>
      <c r="E466" s="394" t="s">
        <v>1990</v>
      </c>
      <c r="G466" s="405" t="s">
        <v>1991</v>
      </c>
      <c r="H466" s="113">
        <v>3469</v>
      </c>
      <c r="I466" s="49" t="s">
        <v>2</v>
      </c>
      <c r="J466" s="48" t="s">
        <v>1992</v>
      </c>
      <c r="K466" s="51">
        <v>40996</v>
      </c>
      <c r="L466" s="115">
        <v>40977</v>
      </c>
      <c r="M466" s="50">
        <f t="shared" si="18"/>
        <v>19</v>
      </c>
      <c r="N466" s="50" t="s">
        <v>2</v>
      </c>
      <c r="O466" s="131">
        <v>4.8</v>
      </c>
      <c r="P466" s="117">
        <v>5.5</v>
      </c>
      <c r="Q466" s="131">
        <v>7.8</v>
      </c>
      <c r="R466" s="50">
        <v>160</v>
      </c>
      <c r="S466" s="74">
        <v>168</v>
      </c>
      <c r="T466" s="50">
        <v>0.49099999999999999</v>
      </c>
      <c r="U466" s="131">
        <v>3.8</v>
      </c>
      <c r="V466" s="50">
        <v>0.98</v>
      </c>
      <c r="W466" s="74">
        <v>6.3E-2</v>
      </c>
      <c r="X466" s="50">
        <v>0.42399999999999999</v>
      </c>
      <c r="Y466" s="74">
        <v>4.02E-2</v>
      </c>
      <c r="Z466" s="271">
        <v>1</v>
      </c>
      <c r="AA466" s="271">
        <v>1</v>
      </c>
      <c r="AB466" s="114">
        <v>22</v>
      </c>
      <c r="AC466" s="50">
        <v>127</v>
      </c>
      <c r="AD466" s="314">
        <v>1</v>
      </c>
      <c r="AF466" s="175"/>
    </row>
    <row r="467" spans="1:32" ht="15" customHeight="1">
      <c r="A467" s="41" t="s">
        <v>183</v>
      </c>
      <c r="B467" s="402" t="s">
        <v>1993</v>
      </c>
      <c r="D467" s="393" t="s">
        <v>350</v>
      </c>
      <c r="E467" s="394" t="s">
        <v>530</v>
      </c>
      <c r="G467" s="405" t="s">
        <v>1994</v>
      </c>
      <c r="H467" s="113">
        <v>2121</v>
      </c>
      <c r="I467" s="49" t="s">
        <v>2</v>
      </c>
      <c r="J467" s="48" t="s">
        <v>1125</v>
      </c>
      <c r="K467" s="51">
        <v>41037</v>
      </c>
      <c r="L467" s="115">
        <v>41032</v>
      </c>
      <c r="M467" s="50">
        <f t="shared" si="18"/>
        <v>5</v>
      </c>
      <c r="N467" s="50" t="s">
        <v>2</v>
      </c>
      <c r="O467" s="131">
        <f>1.4/2</f>
        <v>0.7</v>
      </c>
      <c r="P467" s="117">
        <v>7.15</v>
      </c>
      <c r="Q467" s="131">
        <v>7.18</v>
      </c>
      <c r="R467" s="50">
        <v>300</v>
      </c>
      <c r="S467" s="74">
        <v>16</v>
      </c>
      <c r="T467" s="50">
        <v>0.09</v>
      </c>
      <c r="U467" s="131">
        <v>4.6900000000000004</v>
      </c>
      <c r="V467" s="50">
        <v>0.67</v>
      </c>
      <c r="W467" s="74">
        <v>7.1999999999999995E-2</v>
      </c>
      <c r="X467" s="50">
        <v>0.40100000000000002</v>
      </c>
      <c r="Y467" s="74">
        <v>6.0000000000000001E-3</v>
      </c>
      <c r="AD467" s="314"/>
      <c r="AF467" s="175"/>
    </row>
    <row r="468" spans="1:32" ht="15" customHeight="1">
      <c r="A468" s="41" t="s">
        <v>183</v>
      </c>
      <c r="B468" s="402" t="s">
        <v>900</v>
      </c>
      <c r="C468" s="113" t="s">
        <v>901</v>
      </c>
      <c r="D468" s="393" t="s">
        <v>452</v>
      </c>
      <c r="E468" s="394" t="s">
        <v>398</v>
      </c>
      <c r="G468" s="405" t="s">
        <v>902</v>
      </c>
      <c r="H468" s="113">
        <v>4491</v>
      </c>
      <c r="I468" s="49" t="s">
        <v>2</v>
      </c>
      <c r="J468" s="48" t="s">
        <v>903</v>
      </c>
      <c r="K468" s="51">
        <v>41030</v>
      </c>
      <c r="L468" s="115">
        <v>41021</v>
      </c>
      <c r="M468" s="50">
        <f t="shared" si="18"/>
        <v>9</v>
      </c>
      <c r="N468" s="50" t="s">
        <v>2</v>
      </c>
      <c r="O468" s="131">
        <f>1/2</f>
        <v>0.5</v>
      </c>
      <c r="P468" s="117">
        <v>5.9</v>
      </c>
      <c r="Q468" s="131">
        <v>6.77</v>
      </c>
      <c r="R468" s="50">
        <v>15</v>
      </c>
      <c r="S468" s="74">
        <v>80</v>
      </c>
      <c r="T468" s="50">
        <v>0.59</v>
      </c>
      <c r="U468" s="131">
        <v>1.22</v>
      </c>
      <c r="V468" s="50">
        <v>1.88</v>
      </c>
      <c r="W468" s="74">
        <v>0.24199999999999999</v>
      </c>
      <c r="X468" s="50">
        <v>7.8E-2</v>
      </c>
      <c r="Y468" s="74">
        <v>7.0000000000000001E-3</v>
      </c>
      <c r="AD468" s="314"/>
      <c r="AF468" s="175"/>
    </row>
    <row r="469" spans="1:32" ht="15" customHeight="1">
      <c r="A469" s="41" t="s">
        <v>183</v>
      </c>
      <c r="B469" s="402" t="s">
        <v>900</v>
      </c>
      <c r="C469" s="113" t="s">
        <v>901</v>
      </c>
      <c r="D469" s="393" t="s">
        <v>452</v>
      </c>
      <c r="E469" s="394" t="s">
        <v>398</v>
      </c>
      <c r="G469" s="405" t="s">
        <v>902</v>
      </c>
      <c r="H469" s="113">
        <v>4491</v>
      </c>
      <c r="I469" s="49" t="s">
        <v>2</v>
      </c>
      <c r="J469" s="48" t="s">
        <v>366</v>
      </c>
      <c r="K469" s="51">
        <v>41030</v>
      </c>
      <c r="L469" s="115">
        <v>41021</v>
      </c>
      <c r="M469" s="50">
        <f t="shared" si="18"/>
        <v>9</v>
      </c>
      <c r="N469" s="50" t="s">
        <v>2</v>
      </c>
      <c r="O469" s="131">
        <f>1/2</f>
        <v>0.5</v>
      </c>
      <c r="P469" s="117">
        <v>5.9</v>
      </c>
      <c r="Q469" s="131">
        <v>6.58</v>
      </c>
      <c r="R469" s="50">
        <v>25.6</v>
      </c>
      <c r="S469" s="74">
        <v>87</v>
      </c>
      <c r="T469" s="50">
        <v>0.35</v>
      </c>
      <c r="U469" s="131">
        <v>1.1599999999999999</v>
      </c>
      <c r="V469" s="50">
        <f>0.1/2</f>
        <v>0.05</v>
      </c>
      <c r="W469" s="74">
        <v>0.08</v>
      </c>
      <c r="X469" s="50">
        <v>0.161</v>
      </c>
      <c r="Y469" s="74">
        <v>1.7999999999999999E-2</v>
      </c>
      <c r="AD469" s="314"/>
      <c r="AF469" s="175"/>
    </row>
    <row r="470" spans="1:32" ht="15" customHeight="1">
      <c r="A470" s="41" t="s">
        <v>183</v>
      </c>
      <c r="B470" s="402" t="s">
        <v>900</v>
      </c>
      <c r="C470" s="113" t="s">
        <v>901</v>
      </c>
      <c r="D470" s="393" t="s">
        <v>452</v>
      </c>
      <c r="E470" s="394" t="s">
        <v>398</v>
      </c>
      <c r="G470" s="405" t="s">
        <v>902</v>
      </c>
      <c r="H470" s="113">
        <v>4491</v>
      </c>
      <c r="I470" s="49" t="s">
        <v>2</v>
      </c>
      <c r="J470" s="48" t="s">
        <v>904</v>
      </c>
      <c r="K470" s="51">
        <v>41030</v>
      </c>
      <c r="L470" s="115">
        <v>41021</v>
      </c>
      <c r="M470" s="50">
        <f t="shared" si="18"/>
        <v>9</v>
      </c>
      <c r="N470" s="50" t="s">
        <v>2</v>
      </c>
      <c r="O470" s="131">
        <f>1/2</f>
        <v>0.5</v>
      </c>
      <c r="P470" s="117">
        <v>5.9</v>
      </c>
      <c r="Q470" s="131">
        <v>6.59</v>
      </c>
      <c r="R470" s="50">
        <v>83.2</v>
      </c>
      <c r="S470" s="74">
        <v>33</v>
      </c>
      <c r="T470" s="50">
        <v>1.52</v>
      </c>
      <c r="U470" s="131">
        <v>11.2</v>
      </c>
      <c r="V470" s="50">
        <v>1.54</v>
      </c>
      <c r="W470" s="74">
        <v>0.09</v>
      </c>
      <c r="X470" s="50">
        <v>0.09</v>
      </c>
      <c r="Y470" s="74">
        <v>7.0000000000000001E-3</v>
      </c>
      <c r="AD470" s="314"/>
      <c r="AF470" s="175"/>
    </row>
    <row r="471" spans="1:32" ht="15" customHeight="1">
      <c r="A471" s="41" t="s">
        <v>183</v>
      </c>
      <c r="B471" s="402" t="s">
        <v>523</v>
      </c>
      <c r="D471" s="393" t="s">
        <v>350</v>
      </c>
      <c r="E471" s="394" t="s">
        <v>1995</v>
      </c>
      <c r="G471" s="405" t="s">
        <v>524</v>
      </c>
      <c r="H471" s="113">
        <v>8734</v>
      </c>
      <c r="I471" s="49" t="s">
        <v>2</v>
      </c>
      <c r="J471" s="48" t="s">
        <v>249</v>
      </c>
      <c r="K471" s="51">
        <v>41030</v>
      </c>
      <c r="L471" s="115">
        <v>41022</v>
      </c>
      <c r="M471" s="50">
        <f t="shared" si="18"/>
        <v>8</v>
      </c>
      <c r="N471" s="50" t="s">
        <v>2</v>
      </c>
      <c r="O471" s="131">
        <f>2.5/2</f>
        <v>1.25</v>
      </c>
      <c r="P471" s="117">
        <v>5.97</v>
      </c>
      <c r="Q471" s="131">
        <v>5.72</v>
      </c>
      <c r="R471" s="50">
        <f>5/2</f>
        <v>2.5</v>
      </c>
      <c r="S471" s="74">
        <v>11</v>
      </c>
      <c r="T471" s="50">
        <f>0.1/2</f>
        <v>0.05</v>
      </c>
      <c r="U471" s="131">
        <v>1.6</v>
      </c>
      <c r="V471" s="50">
        <v>0.83</v>
      </c>
      <c r="W471" s="74">
        <f>0.04/2</f>
        <v>0.02</v>
      </c>
      <c r="X471" s="50">
        <v>0.56999999999999995</v>
      </c>
      <c r="Y471" s="74">
        <f>0.013/2</f>
        <v>6.4999999999999997E-3</v>
      </c>
      <c r="AD471" s="314"/>
      <c r="AF471" s="175"/>
    </row>
    <row r="472" spans="1:32" ht="15" customHeight="1">
      <c r="A472" s="41" t="s">
        <v>183</v>
      </c>
      <c r="B472" s="402" t="s">
        <v>1996</v>
      </c>
      <c r="D472" s="393" t="s">
        <v>213</v>
      </c>
      <c r="E472" s="394" t="s">
        <v>1997</v>
      </c>
      <c r="G472" s="405" t="s">
        <v>1998</v>
      </c>
      <c r="H472" s="113">
        <v>3078</v>
      </c>
      <c r="I472" s="49" t="s">
        <v>2</v>
      </c>
      <c r="J472" s="48" t="s">
        <v>249</v>
      </c>
      <c r="K472" s="51">
        <v>41037</v>
      </c>
      <c r="L472" s="115">
        <v>41033</v>
      </c>
      <c r="M472" s="50">
        <f t="shared" si="18"/>
        <v>4</v>
      </c>
      <c r="N472" s="50" t="s">
        <v>2</v>
      </c>
      <c r="O472" s="131">
        <f>5/2</f>
        <v>2.5</v>
      </c>
      <c r="P472" s="117">
        <v>4.5199999999999996</v>
      </c>
      <c r="Q472" s="131">
        <v>6.1</v>
      </c>
      <c r="R472" s="50">
        <v>57</v>
      </c>
      <c r="S472" s="74">
        <v>26</v>
      </c>
      <c r="T472" s="50">
        <v>0.13</v>
      </c>
      <c r="U472" s="131">
        <f>1/2</f>
        <v>0.5</v>
      </c>
      <c r="V472" s="50">
        <v>0.57999999999999996</v>
      </c>
      <c r="W472" s="74">
        <f>0.04/2</f>
        <v>0.02</v>
      </c>
      <c r="X472" s="50">
        <v>0.15</v>
      </c>
      <c r="Y472" s="74">
        <f>0.013/2</f>
        <v>6.4999999999999997E-3</v>
      </c>
      <c r="AD472" s="314"/>
      <c r="AF472" s="175"/>
    </row>
    <row r="473" spans="1:32" ht="15" customHeight="1">
      <c r="A473" s="41" t="s">
        <v>183</v>
      </c>
      <c r="B473" s="402" t="s">
        <v>1996</v>
      </c>
      <c r="D473" s="393" t="s">
        <v>213</v>
      </c>
      <c r="E473" s="394" t="s">
        <v>1997</v>
      </c>
      <c r="G473" s="405" t="s">
        <v>1998</v>
      </c>
      <c r="H473" s="113">
        <v>3078</v>
      </c>
      <c r="I473" s="49" t="s">
        <v>2</v>
      </c>
      <c r="J473" s="48" t="s">
        <v>1999</v>
      </c>
      <c r="K473" s="51">
        <v>41037</v>
      </c>
      <c r="L473" s="115">
        <v>41033</v>
      </c>
      <c r="M473" s="50">
        <f t="shared" si="18"/>
        <v>4</v>
      </c>
      <c r="N473" s="50" t="s">
        <v>2</v>
      </c>
      <c r="O473" s="131">
        <f>5/2</f>
        <v>2.5</v>
      </c>
      <c r="P473" s="117">
        <v>4.5199999999999996</v>
      </c>
      <c r="Q473" s="131">
        <v>5.2</v>
      </c>
      <c r="R473" s="50">
        <v>57</v>
      </c>
      <c r="S473" s="74">
        <v>23</v>
      </c>
      <c r="T473" s="50">
        <f>0.1/2</f>
        <v>0.05</v>
      </c>
      <c r="U473" s="131">
        <v>1</v>
      </c>
      <c r="V473" s="50">
        <v>0.47</v>
      </c>
      <c r="W473" s="74">
        <f>0.04/2</f>
        <v>0.02</v>
      </c>
      <c r="X473" s="50">
        <v>0.16</v>
      </c>
      <c r="Y473" s="74">
        <f>0.013/2</f>
        <v>6.4999999999999997E-3</v>
      </c>
      <c r="AD473" s="314"/>
      <c r="AF473" s="175"/>
    </row>
    <row r="474" spans="1:32" ht="15" customHeight="1">
      <c r="A474" s="41" t="s">
        <v>183</v>
      </c>
      <c r="B474" s="402" t="s">
        <v>345</v>
      </c>
      <c r="C474" s="113" t="s">
        <v>2000</v>
      </c>
      <c r="D474" s="393" t="s">
        <v>347</v>
      </c>
      <c r="E474" s="394" t="s">
        <v>112</v>
      </c>
      <c r="G474" s="405" t="s">
        <v>348</v>
      </c>
      <c r="H474" s="113">
        <v>4952</v>
      </c>
      <c r="I474" s="49" t="s">
        <v>1</v>
      </c>
      <c r="J474" s="48" t="s">
        <v>593</v>
      </c>
      <c r="K474" s="51">
        <v>41044</v>
      </c>
      <c r="L474" s="115">
        <v>41039</v>
      </c>
      <c r="M474" s="50">
        <f t="shared" si="18"/>
        <v>5</v>
      </c>
      <c r="N474" s="50" t="s">
        <v>2</v>
      </c>
      <c r="O474" s="131">
        <f>1.4/2</f>
        <v>0.7</v>
      </c>
      <c r="P474" s="117">
        <v>6.8</v>
      </c>
      <c r="Q474" s="131">
        <v>7.1</v>
      </c>
      <c r="R474" s="50">
        <v>64</v>
      </c>
      <c r="S474" s="74">
        <v>22</v>
      </c>
      <c r="T474" s="50">
        <v>0.21</v>
      </c>
      <c r="U474" s="131">
        <v>2.85</v>
      </c>
      <c r="V474" s="50">
        <v>0.89</v>
      </c>
      <c r="W474" s="74">
        <v>3.3000000000000002E-2</v>
      </c>
      <c r="X474" s="50">
        <v>0.189</v>
      </c>
      <c r="Y474" s="74">
        <v>2.7E-2</v>
      </c>
      <c r="AD474" s="314"/>
      <c r="AF474" s="175"/>
    </row>
    <row r="475" spans="1:32" ht="15" customHeight="1">
      <c r="A475" s="41" t="s">
        <v>183</v>
      </c>
      <c r="B475" s="402" t="s">
        <v>2001</v>
      </c>
      <c r="C475" s="113" t="s">
        <v>2000</v>
      </c>
      <c r="D475" s="393" t="s">
        <v>434</v>
      </c>
      <c r="E475" s="394" t="s">
        <v>304</v>
      </c>
      <c r="G475" s="405" t="s">
        <v>2002</v>
      </c>
      <c r="H475" s="113">
        <v>4952</v>
      </c>
      <c r="I475" s="49" t="s">
        <v>1</v>
      </c>
      <c r="J475" s="48" t="s">
        <v>2003</v>
      </c>
      <c r="K475" s="51">
        <v>41030</v>
      </c>
      <c r="L475" s="115">
        <v>41026</v>
      </c>
      <c r="M475" s="50">
        <f t="shared" si="18"/>
        <v>4</v>
      </c>
      <c r="N475" s="50" t="s">
        <v>2</v>
      </c>
      <c r="O475" s="131">
        <f>1/2</f>
        <v>0.5</v>
      </c>
      <c r="P475" s="117">
        <v>7.52</v>
      </c>
      <c r="Q475" s="131">
        <v>5.61</v>
      </c>
      <c r="R475" s="50">
        <v>11.3</v>
      </c>
      <c r="S475" s="74">
        <v>16</v>
      </c>
      <c r="T475" s="50">
        <v>0.19</v>
      </c>
      <c r="U475" s="131">
        <v>0.78</v>
      </c>
      <c r="V475" s="50">
        <f>0.1/2</f>
        <v>0.05</v>
      </c>
      <c r="W475" s="74">
        <v>7.0000000000000001E-3</v>
      </c>
      <c r="X475" s="50">
        <v>5.2999999999999999E-2</v>
      </c>
      <c r="Y475" s="74">
        <v>4.0000000000000001E-3</v>
      </c>
      <c r="AD475" s="314"/>
      <c r="AF475" s="175"/>
    </row>
    <row r="476" spans="1:32" ht="15" customHeight="1">
      <c r="A476" s="41" t="s">
        <v>183</v>
      </c>
      <c r="B476" s="402" t="s">
        <v>2004</v>
      </c>
      <c r="D476" s="393" t="s">
        <v>1830</v>
      </c>
      <c r="E476" s="394" t="s">
        <v>2005</v>
      </c>
      <c r="G476" s="405" t="s">
        <v>2006</v>
      </c>
      <c r="H476" s="113">
        <v>3496</v>
      </c>
      <c r="I476" s="49" t="s">
        <v>2</v>
      </c>
      <c r="J476" s="48" t="s">
        <v>510</v>
      </c>
      <c r="K476" s="51">
        <v>40996</v>
      </c>
      <c r="L476" s="115">
        <v>40971</v>
      </c>
      <c r="M476" s="50">
        <f t="shared" si="18"/>
        <v>25</v>
      </c>
      <c r="N476" s="50" t="s">
        <v>2</v>
      </c>
      <c r="O476" s="131">
        <v>2</v>
      </c>
      <c r="P476" s="117">
        <v>5.09</v>
      </c>
      <c r="Q476" s="131">
        <v>6.36</v>
      </c>
      <c r="R476" s="50">
        <v>92.1</v>
      </c>
      <c r="S476" s="74">
        <v>136</v>
      </c>
      <c r="T476" s="50">
        <v>0.64</v>
      </c>
      <c r="U476" s="131">
        <v>2.14</v>
      </c>
      <c r="V476" s="50">
        <v>1.98</v>
      </c>
      <c r="W476" s="74">
        <v>0.17699999999999999</v>
      </c>
      <c r="X476" s="50">
        <v>0.28599999999999998</v>
      </c>
      <c r="Y476" s="74">
        <v>8.8999999999999996E-2</v>
      </c>
      <c r="Z476" s="271">
        <v>1</v>
      </c>
      <c r="AA476" s="271">
        <v>1</v>
      </c>
      <c r="AB476" s="114">
        <v>78.42</v>
      </c>
      <c r="AC476" s="50">
        <v>331</v>
      </c>
      <c r="AD476" s="314">
        <v>1</v>
      </c>
      <c r="AF476" s="175"/>
    </row>
    <row r="477" spans="1:32" ht="15" customHeight="1">
      <c r="A477" s="41" t="s">
        <v>183</v>
      </c>
      <c r="B477" s="402" t="s">
        <v>2007</v>
      </c>
      <c r="D477" s="393" t="s">
        <v>195</v>
      </c>
      <c r="E477" s="394" t="s">
        <v>112</v>
      </c>
      <c r="G477" s="405" t="s">
        <v>2008</v>
      </c>
      <c r="H477" s="113"/>
      <c r="I477" s="49" t="s">
        <v>2</v>
      </c>
      <c r="J477" s="48" t="s">
        <v>2009</v>
      </c>
      <c r="K477" s="51">
        <v>41037</v>
      </c>
      <c r="L477" s="115">
        <v>41032</v>
      </c>
      <c r="M477" s="50">
        <f t="shared" si="18"/>
        <v>5</v>
      </c>
      <c r="N477" s="50" t="s">
        <v>2</v>
      </c>
      <c r="O477" s="131">
        <f>1.4/2</f>
        <v>0.7</v>
      </c>
      <c r="P477" s="117">
        <v>5.9</v>
      </c>
      <c r="Q477" s="131">
        <v>5.6</v>
      </c>
      <c r="R477" s="50">
        <f>10/2</f>
        <v>5</v>
      </c>
      <c r="S477" s="74">
        <f>5/2</f>
        <v>2.5</v>
      </c>
      <c r="T477" s="50">
        <v>0.01</v>
      </c>
      <c r="U477" s="131">
        <v>0.36</v>
      </c>
      <c r="V477" s="50">
        <v>0.23</v>
      </c>
      <c r="W477" s="74">
        <f>0.005/2</f>
        <v>2.5000000000000001E-3</v>
      </c>
      <c r="X477" s="50">
        <v>0.20799999999999999</v>
      </c>
      <c r="Y477" s="74">
        <v>4.0000000000000001E-3</v>
      </c>
      <c r="Z477" s="271">
        <v>0.70699999999999996</v>
      </c>
      <c r="AA477" s="271">
        <v>0.70699999999999996</v>
      </c>
      <c r="AD477" s="314">
        <v>0</v>
      </c>
      <c r="AF477" s="175"/>
    </row>
    <row r="478" spans="1:32" ht="15" customHeight="1">
      <c r="A478" s="41" t="s">
        <v>183</v>
      </c>
      <c r="B478" s="402" t="s">
        <v>102</v>
      </c>
      <c r="D478" s="393" t="s">
        <v>103</v>
      </c>
      <c r="E478" s="394" t="s">
        <v>104</v>
      </c>
      <c r="G478" s="405" t="s">
        <v>105</v>
      </c>
      <c r="H478" s="113">
        <v>4952</v>
      </c>
      <c r="I478" s="49" t="s">
        <v>2</v>
      </c>
      <c r="J478" s="48" t="s">
        <v>2010</v>
      </c>
      <c r="K478" s="51">
        <v>41030</v>
      </c>
      <c r="L478" s="115">
        <v>41022</v>
      </c>
      <c r="M478" s="50">
        <f t="shared" si="18"/>
        <v>8</v>
      </c>
      <c r="N478" s="50" t="s">
        <v>2</v>
      </c>
      <c r="O478" s="131">
        <f>2/2</f>
        <v>1</v>
      </c>
      <c r="P478" s="117">
        <v>4.83</v>
      </c>
      <c r="Q478" s="131">
        <v>7.13</v>
      </c>
      <c r="R478" s="50">
        <v>27</v>
      </c>
      <c r="S478" s="74">
        <v>4</v>
      </c>
      <c r="T478" s="50">
        <v>0.27</v>
      </c>
      <c r="U478" s="131">
        <v>1.1599999999999999</v>
      </c>
      <c r="V478" s="50">
        <v>0.11</v>
      </c>
      <c r="W478" s="74">
        <f>0.01/2</f>
        <v>5.0000000000000001E-3</v>
      </c>
      <c r="X478" s="50">
        <v>5.7000000000000002E-2</v>
      </c>
      <c r="Y478" s="74">
        <f>0.03/2</f>
        <v>1.4999999999999999E-2</v>
      </c>
      <c r="AD478" s="314"/>
      <c r="AF478" s="175"/>
    </row>
    <row r="479" spans="1:32" ht="15" customHeight="1">
      <c r="A479" s="41" t="s">
        <v>183</v>
      </c>
      <c r="B479" s="402" t="s">
        <v>102</v>
      </c>
      <c r="D479" s="393" t="s">
        <v>103</v>
      </c>
      <c r="E479" s="394" t="s">
        <v>104</v>
      </c>
      <c r="G479" s="405" t="s">
        <v>105</v>
      </c>
      <c r="H479" s="113">
        <v>4952</v>
      </c>
      <c r="I479" s="49" t="s">
        <v>2</v>
      </c>
      <c r="J479" s="48" t="s">
        <v>2011</v>
      </c>
      <c r="K479" s="51">
        <v>41030</v>
      </c>
      <c r="L479" s="115">
        <v>41022</v>
      </c>
      <c r="M479" s="50">
        <f t="shared" si="18"/>
        <v>8</v>
      </c>
      <c r="N479" s="50" t="s">
        <v>2</v>
      </c>
      <c r="O479" s="131">
        <f>2/2</f>
        <v>1</v>
      </c>
      <c r="P479" s="117">
        <v>4.83</v>
      </c>
      <c r="Q479" s="131">
        <v>7.13</v>
      </c>
      <c r="R479" s="50">
        <v>18</v>
      </c>
      <c r="S479" s="74">
        <v>10</v>
      </c>
      <c r="T479" s="50">
        <v>0.16</v>
      </c>
      <c r="U479" s="131">
        <v>0.8</v>
      </c>
      <c r="V479" s="50">
        <v>0.15</v>
      </c>
      <c r="W479" s="74">
        <f>0.01/2</f>
        <v>5.0000000000000001E-3</v>
      </c>
      <c r="X479" s="50">
        <f>0.03/2</f>
        <v>1.4999999999999999E-2</v>
      </c>
      <c r="Y479" s="74">
        <f>0.03/2</f>
        <v>1.4999999999999999E-2</v>
      </c>
      <c r="AD479" s="314"/>
      <c r="AF479" s="175"/>
    </row>
    <row r="480" spans="1:32" ht="15" customHeight="1">
      <c r="A480" s="41" t="s">
        <v>183</v>
      </c>
      <c r="B480" s="402" t="s">
        <v>102</v>
      </c>
      <c r="D480" s="393" t="s">
        <v>103</v>
      </c>
      <c r="E480" s="394" t="s">
        <v>104</v>
      </c>
      <c r="G480" s="405" t="s">
        <v>105</v>
      </c>
      <c r="H480" s="113">
        <v>4952</v>
      </c>
      <c r="I480" s="49" t="s">
        <v>2</v>
      </c>
      <c r="J480" s="48" t="s">
        <v>2012</v>
      </c>
      <c r="K480" s="51">
        <v>41030</v>
      </c>
      <c r="L480" s="115">
        <v>41022</v>
      </c>
      <c r="M480" s="50">
        <f t="shared" si="18"/>
        <v>8</v>
      </c>
      <c r="N480" s="50" t="s">
        <v>2</v>
      </c>
      <c r="O480" s="131">
        <f>2/2</f>
        <v>1</v>
      </c>
      <c r="P480" s="117">
        <v>4.83</v>
      </c>
      <c r="Q480" s="131">
        <v>6.22</v>
      </c>
      <c r="R480" s="50">
        <f>10/2</f>
        <v>5</v>
      </c>
      <c r="S480" s="74">
        <v>5</v>
      </c>
      <c r="T480" s="50">
        <v>7.0000000000000007E-2</v>
      </c>
      <c r="U480" s="131">
        <v>0.88</v>
      </c>
      <c r="V480" s="50">
        <v>0.01</v>
      </c>
      <c r="W480" s="74">
        <f>0.01/2</f>
        <v>5.0000000000000001E-3</v>
      </c>
      <c r="X480" s="50">
        <v>5.3999999999999999E-2</v>
      </c>
      <c r="Y480" s="74">
        <f>0.03/2</f>
        <v>1.4999999999999999E-2</v>
      </c>
      <c r="AD480" s="314"/>
      <c r="AF480" s="175"/>
    </row>
    <row r="481" spans="1:79" ht="15" customHeight="1">
      <c r="A481" s="41" t="s">
        <v>183</v>
      </c>
      <c r="B481" s="402" t="s">
        <v>2016</v>
      </c>
      <c r="D481" s="393" t="s">
        <v>200</v>
      </c>
      <c r="E481" s="394" t="s">
        <v>671</v>
      </c>
      <c r="G481" s="405" t="s">
        <v>2017</v>
      </c>
      <c r="H481" s="113">
        <v>3398</v>
      </c>
      <c r="I481" s="49" t="s">
        <v>2</v>
      </c>
      <c r="J481" s="48" t="s">
        <v>1125</v>
      </c>
      <c r="K481" s="51">
        <v>40996</v>
      </c>
      <c r="L481" s="115">
        <v>40990</v>
      </c>
      <c r="M481" s="50">
        <f t="shared" si="18"/>
        <v>6</v>
      </c>
      <c r="N481" s="50" t="s">
        <v>2</v>
      </c>
      <c r="O481" s="131">
        <v>7.8</v>
      </c>
      <c r="P481" s="117">
        <v>5.3</v>
      </c>
      <c r="Q481" s="131">
        <v>6.74</v>
      </c>
      <c r="R481" s="50">
        <v>150</v>
      </c>
      <c r="S481" s="74">
        <v>140</v>
      </c>
      <c r="T481" s="50">
        <v>0.19</v>
      </c>
      <c r="U481" s="131">
        <v>2.77</v>
      </c>
      <c r="V481" s="50">
        <v>0.86</v>
      </c>
      <c r="W481" s="74">
        <v>2.8000000000000001E-2</v>
      </c>
      <c r="X481" s="50">
        <v>0.14099999999999999</v>
      </c>
      <c r="Y481" s="74">
        <v>1.4E-2</v>
      </c>
      <c r="AD481" s="314"/>
      <c r="AF481" s="175"/>
    </row>
    <row r="482" spans="1:79" ht="15" customHeight="1">
      <c r="A482" s="41" t="s">
        <v>183</v>
      </c>
      <c r="B482" s="402" t="s">
        <v>2016</v>
      </c>
      <c r="D482" s="393" t="s">
        <v>200</v>
      </c>
      <c r="E482" s="394" t="s">
        <v>671</v>
      </c>
      <c r="G482" s="405" t="s">
        <v>2017</v>
      </c>
      <c r="H482" s="113">
        <v>3398</v>
      </c>
      <c r="I482" s="49" t="s">
        <v>2</v>
      </c>
      <c r="J482" s="48" t="s">
        <v>1126</v>
      </c>
      <c r="K482" s="51">
        <v>40996</v>
      </c>
      <c r="L482" s="115">
        <v>40990</v>
      </c>
      <c r="M482" s="50">
        <f t="shared" si="18"/>
        <v>6</v>
      </c>
      <c r="N482" s="50" t="s">
        <v>2</v>
      </c>
      <c r="O482" s="131">
        <v>13</v>
      </c>
      <c r="P482" s="117">
        <v>5.3</v>
      </c>
      <c r="Q482" s="131">
        <v>6.46</v>
      </c>
      <c r="R482" s="50">
        <v>150</v>
      </c>
      <c r="S482" s="74">
        <v>190</v>
      </c>
      <c r="T482" s="50">
        <v>0.38</v>
      </c>
      <c r="U482" s="131">
        <v>3.1</v>
      </c>
      <c r="V482" s="50">
        <v>1.05</v>
      </c>
      <c r="W482" s="74">
        <v>3.6999999999999998E-2</v>
      </c>
      <c r="X482" s="50">
        <v>0.13800000000000001</v>
      </c>
      <c r="Y482" s="74">
        <v>1.2999999999999999E-2</v>
      </c>
      <c r="AD482" s="314"/>
      <c r="AF482" s="175"/>
    </row>
    <row r="483" spans="1:79" ht="15" customHeight="1">
      <c r="A483" s="41" t="s">
        <v>183</v>
      </c>
      <c r="B483" s="402" t="s">
        <v>2018</v>
      </c>
      <c r="D483" s="393" t="s">
        <v>314</v>
      </c>
      <c r="E483" s="394" t="s">
        <v>2019</v>
      </c>
      <c r="F483" s="402" t="s">
        <v>2020</v>
      </c>
      <c r="G483" s="405" t="s">
        <v>2021</v>
      </c>
      <c r="H483" s="113">
        <v>3511</v>
      </c>
      <c r="I483" s="49" t="s">
        <v>1</v>
      </c>
      <c r="J483" s="48" t="s">
        <v>1125</v>
      </c>
      <c r="K483" s="51">
        <v>40996</v>
      </c>
      <c r="L483" s="115">
        <v>40993</v>
      </c>
      <c r="M483" s="50">
        <f t="shared" si="18"/>
        <v>3</v>
      </c>
      <c r="N483" s="50" t="s">
        <v>2</v>
      </c>
      <c r="O483" s="131">
        <v>1.9</v>
      </c>
      <c r="P483" s="117">
        <v>5.5</v>
      </c>
      <c r="Q483" s="131">
        <v>6.39</v>
      </c>
      <c r="R483" s="50">
        <v>56</v>
      </c>
      <c r="S483" s="74">
        <v>29</v>
      </c>
      <c r="T483" s="50">
        <v>0.17</v>
      </c>
      <c r="U483" s="131">
        <v>2.57</v>
      </c>
      <c r="V483" s="50">
        <v>0.87</v>
      </c>
      <c r="W483" s="74">
        <v>2.7E-2</v>
      </c>
      <c r="X483" s="50">
        <v>0.127</v>
      </c>
      <c r="Y483" s="74">
        <v>5.0000000000000001E-3</v>
      </c>
      <c r="Z483" s="271">
        <v>1</v>
      </c>
      <c r="AA483" s="271">
        <v>1</v>
      </c>
      <c r="AB483" s="114">
        <v>6</v>
      </c>
      <c r="AC483" s="50">
        <v>63</v>
      </c>
      <c r="AD483" s="314">
        <v>0.85</v>
      </c>
      <c r="AF483" s="175"/>
      <c r="AU483" s="114">
        <f>0.5/2</f>
        <v>0.25</v>
      </c>
    </row>
    <row r="484" spans="1:79" ht="15" customHeight="1">
      <c r="A484" s="41" t="s">
        <v>183</v>
      </c>
      <c r="B484" s="402" t="s">
        <v>2022</v>
      </c>
      <c r="D484" s="393" t="s">
        <v>636</v>
      </c>
      <c r="E484" s="394" t="s">
        <v>1859</v>
      </c>
      <c r="F484" s="402">
        <v>3700</v>
      </c>
      <c r="G484" s="405" t="s">
        <v>2023</v>
      </c>
      <c r="H484" s="113">
        <v>3965</v>
      </c>
      <c r="I484" s="49" t="s">
        <v>2</v>
      </c>
      <c r="J484" s="48"/>
      <c r="K484" s="51">
        <v>41021</v>
      </c>
      <c r="L484" s="115">
        <v>41011</v>
      </c>
      <c r="M484" s="50">
        <f t="shared" si="18"/>
        <v>10</v>
      </c>
      <c r="N484" s="50" t="s">
        <v>2</v>
      </c>
      <c r="O484" s="131">
        <f>1/2</f>
        <v>0.5</v>
      </c>
      <c r="P484" s="117">
        <v>6.5</v>
      </c>
      <c r="Q484" s="131">
        <v>7.1</v>
      </c>
      <c r="R484" s="50">
        <v>110</v>
      </c>
      <c r="S484" s="74">
        <v>46</v>
      </c>
      <c r="T484" s="50">
        <v>0.47</v>
      </c>
      <c r="U484" s="131">
        <v>4.7</v>
      </c>
      <c r="V484" s="50">
        <v>0.16</v>
      </c>
      <c r="W484" s="74">
        <v>0.15</v>
      </c>
      <c r="X484" s="50">
        <v>7.0999999999999994E-2</v>
      </c>
      <c r="Y484" s="74">
        <v>3.7000000000000002E-3</v>
      </c>
      <c r="AD484" s="314"/>
      <c r="AF484" s="175"/>
    </row>
    <row r="485" spans="1:79" ht="15" customHeight="1">
      <c r="A485" s="41" t="s">
        <v>183</v>
      </c>
      <c r="B485" s="402" t="s">
        <v>2024</v>
      </c>
      <c r="D485" s="393" t="s">
        <v>836</v>
      </c>
      <c r="E485" s="394" t="s">
        <v>364</v>
      </c>
      <c r="F485" s="402">
        <v>2759</v>
      </c>
      <c r="G485" s="405" t="s">
        <v>2025</v>
      </c>
      <c r="H485" s="113"/>
      <c r="I485" s="49" t="s">
        <v>2</v>
      </c>
      <c r="J485" s="48"/>
      <c r="K485" s="51">
        <v>40996</v>
      </c>
      <c r="L485" s="115">
        <v>40993</v>
      </c>
      <c r="M485" s="50">
        <f t="shared" si="18"/>
        <v>3</v>
      </c>
      <c r="N485" s="50" t="s">
        <v>2</v>
      </c>
      <c r="O485" s="131">
        <f t="shared" ref="O485:O490" si="19">1.4/2</f>
        <v>0.7</v>
      </c>
      <c r="P485" s="117">
        <v>4.8</v>
      </c>
      <c r="Q485" s="131">
        <v>7.45</v>
      </c>
      <c r="R485" s="50">
        <f>10/2</f>
        <v>5</v>
      </c>
      <c r="S485" s="74">
        <f>5/2</f>
        <v>2.5</v>
      </c>
      <c r="T485" s="50">
        <v>0.01</v>
      </c>
      <c r="U485" s="131">
        <v>0.22</v>
      </c>
      <c r="V485" s="50">
        <v>0.84</v>
      </c>
      <c r="W485" s="74">
        <f>0.005/2</f>
        <v>2.5000000000000001E-3</v>
      </c>
      <c r="X485" s="50">
        <v>1.4E-2</v>
      </c>
      <c r="Y485" s="74">
        <f>0.002/2</f>
        <v>1E-3</v>
      </c>
      <c r="Z485" s="271">
        <v>1</v>
      </c>
      <c r="AA485" s="271">
        <v>1</v>
      </c>
      <c r="AB485" s="114">
        <v>98</v>
      </c>
      <c r="AC485" s="50">
        <v>433</v>
      </c>
      <c r="AD485" s="314">
        <v>1</v>
      </c>
      <c r="AF485" s="175"/>
    </row>
    <row r="486" spans="1:79" s="400" customFormat="1" ht="15" customHeight="1">
      <c r="A486" s="41" t="s">
        <v>183</v>
      </c>
      <c r="B486" s="402" t="s">
        <v>2026</v>
      </c>
      <c r="C486" s="113"/>
      <c r="D486" s="393" t="s">
        <v>516</v>
      </c>
      <c r="E486" s="394" t="s">
        <v>2027</v>
      </c>
      <c r="F486" s="402"/>
      <c r="G486" s="405" t="s">
        <v>2028</v>
      </c>
      <c r="H486" s="113">
        <v>3291</v>
      </c>
      <c r="I486" s="391" t="s">
        <v>2</v>
      </c>
      <c r="J486" s="401"/>
      <c r="K486" s="403">
        <v>40863</v>
      </c>
      <c r="L486" s="379"/>
      <c r="M486" s="402"/>
      <c r="N486" s="402"/>
      <c r="O486" s="395">
        <f t="shared" si="19"/>
        <v>0.7</v>
      </c>
      <c r="P486" s="380"/>
      <c r="Q486" s="395">
        <v>6.83</v>
      </c>
      <c r="R486" s="402">
        <f>10/2</f>
        <v>5</v>
      </c>
      <c r="S486" s="404">
        <f>5/2</f>
        <v>2.5</v>
      </c>
      <c r="T486" s="402">
        <v>0.02</v>
      </c>
      <c r="U486" s="395">
        <v>0.23</v>
      </c>
      <c r="V486" s="402">
        <v>0.46</v>
      </c>
      <c r="W486" s="404">
        <f>0.001/2</f>
        <v>5.0000000000000001E-4</v>
      </c>
      <c r="X486" s="402">
        <v>5.8999999999999997E-2</v>
      </c>
      <c r="Y486" s="404">
        <f>0.002/2</f>
        <v>1E-3</v>
      </c>
      <c r="Z486" s="399">
        <v>1</v>
      </c>
      <c r="AA486" s="399">
        <v>1</v>
      </c>
      <c r="AB486" s="394"/>
      <c r="AC486" s="402"/>
      <c r="AD486" s="314"/>
      <c r="AE486" s="402"/>
      <c r="AF486" s="175"/>
      <c r="AG486" s="394"/>
      <c r="AH486" s="394"/>
      <c r="AI486" s="394"/>
      <c r="AJ486" s="394"/>
      <c r="AK486" s="394"/>
      <c r="AL486" s="394"/>
      <c r="AM486" s="394"/>
      <c r="AN486" s="394"/>
      <c r="AO486" s="394"/>
      <c r="AP486" s="394"/>
      <c r="AQ486" s="394"/>
      <c r="AR486" s="394"/>
      <c r="AS486" s="402"/>
      <c r="AT486" s="404"/>
      <c r="AU486" s="394"/>
      <c r="AV486" s="394"/>
      <c r="AW486" s="394"/>
      <c r="AX486" s="5"/>
      <c r="AY486" s="5"/>
      <c r="AZ486" s="5"/>
      <c r="BA486" s="5"/>
      <c r="BB486" s="5"/>
      <c r="BC486" s="5"/>
      <c r="BD486" s="5"/>
      <c r="BE486" s="5"/>
      <c r="BF486" s="5"/>
      <c r="BG486" s="5"/>
      <c r="BH486" s="5"/>
      <c r="BI486" s="5"/>
      <c r="BJ486" s="5"/>
      <c r="BK486" s="5"/>
      <c r="BL486" s="5"/>
      <c r="BM486" s="5"/>
      <c r="BN486" s="5"/>
      <c r="BO486" s="5"/>
      <c r="BP486" s="5"/>
      <c r="BQ486" s="5"/>
      <c r="BR486" s="5"/>
      <c r="BS486" s="5"/>
      <c r="BT486" s="5"/>
      <c r="BU486" s="5"/>
      <c r="BV486" s="5"/>
      <c r="BW486" s="5"/>
      <c r="BX486" s="5"/>
      <c r="BY486" s="5"/>
      <c r="BZ486" s="5"/>
      <c r="CA486" s="5"/>
    </row>
    <row r="487" spans="1:79" ht="15" customHeight="1">
      <c r="A487" s="41" t="s">
        <v>183</v>
      </c>
      <c r="B487" s="402" t="s">
        <v>2026</v>
      </c>
      <c r="D487" s="393" t="s">
        <v>516</v>
      </c>
      <c r="E487" s="394" t="s">
        <v>2027</v>
      </c>
      <c r="G487" s="405" t="s">
        <v>2028</v>
      </c>
      <c r="H487" s="113">
        <v>3291</v>
      </c>
      <c r="I487" s="49" t="s">
        <v>2</v>
      </c>
      <c r="J487" s="48"/>
      <c r="K487" s="51">
        <v>41030</v>
      </c>
      <c r="N487" s="50" t="s">
        <v>2</v>
      </c>
      <c r="O487" s="131">
        <f t="shared" si="19"/>
        <v>0.7</v>
      </c>
      <c r="P487" s="117">
        <v>5.35</v>
      </c>
      <c r="Q487" s="131">
        <v>6.31</v>
      </c>
      <c r="R487" s="50">
        <v>11</v>
      </c>
      <c r="S487" s="74">
        <f>5/2</f>
        <v>2.5</v>
      </c>
      <c r="T487" s="50">
        <v>0.02</v>
      </c>
      <c r="U487" s="131">
        <v>2.09</v>
      </c>
      <c r="V487" s="50">
        <v>0.77</v>
      </c>
      <c r="W487" s="74">
        <f>0.005/2</f>
        <v>2.5000000000000001E-3</v>
      </c>
      <c r="X487" s="50">
        <v>0.111</v>
      </c>
      <c r="Y487" s="74">
        <v>3.0000000000000001E-3</v>
      </c>
      <c r="Z487" s="271">
        <v>0.82</v>
      </c>
      <c r="AA487" s="271">
        <v>0.61599999999999999</v>
      </c>
      <c r="AB487" s="114">
        <v>4</v>
      </c>
      <c r="AC487" s="50">
        <v>24</v>
      </c>
      <c r="AD487" s="314">
        <v>0</v>
      </c>
      <c r="AF487" s="175"/>
    </row>
    <row r="488" spans="1:79" ht="15" customHeight="1">
      <c r="A488" s="41" t="s">
        <v>183</v>
      </c>
      <c r="B488" s="402" t="s">
        <v>2029</v>
      </c>
      <c r="C488" s="113" t="s">
        <v>2030</v>
      </c>
      <c r="D488" s="393" t="s">
        <v>303</v>
      </c>
      <c r="E488" s="394" t="s">
        <v>2031</v>
      </c>
      <c r="G488" s="405" t="s">
        <v>2032</v>
      </c>
      <c r="H488" s="113">
        <v>3231</v>
      </c>
      <c r="I488" s="49" t="s">
        <v>2</v>
      </c>
      <c r="J488" s="48" t="s">
        <v>2033</v>
      </c>
      <c r="K488" s="51">
        <v>40996</v>
      </c>
      <c r="L488" s="115">
        <v>40993</v>
      </c>
      <c r="M488" s="50">
        <f t="shared" ref="M488:M519" si="20">K488-L488</f>
        <v>3</v>
      </c>
      <c r="N488" s="50" t="s">
        <v>2</v>
      </c>
      <c r="O488" s="131">
        <f t="shared" si="19"/>
        <v>0.7</v>
      </c>
      <c r="P488" s="117">
        <v>4.7</v>
      </c>
      <c r="Q488" s="131">
        <v>7.34</v>
      </c>
      <c r="R488" s="50">
        <f>10/2</f>
        <v>5</v>
      </c>
      <c r="S488" s="74">
        <v>11</v>
      </c>
      <c r="T488" s="50">
        <v>0.35</v>
      </c>
      <c r="U488" s="131">
        <v>1.56</v>
      </c>
      <c r="V488" s="50">
        <v>0.25</v>
      </c>
      <c r="W488" s="74">
        <f>0.005/2</f>
        <v>2.5000000000000001E-3</v>
      </c>
      <c r="X488" s="50">
        <v>0.109</v>
      </c>
      <c r="Y488" s="74">
        <f>0.002/2</f>
        <v>1E-3</v>
      </c>
      <c r="Z488" s="271">
        <v>1</v>
      </c>
      <c r="AA488" s="271">
        <v>1</v>
      </c>
      <c r="AB488" s="114">
        <v>38</v>
      </c>
      <c r="AC488" s="50">
        <v>125</v>
      </c>
      <c r="AD488" s="314">
        <v>0.95</v>
      </c>
      <c r="AF488" s="175"/>
      <c r="AT488" s="74">
        <f>0.0002/2</f>
        <v>1E-4</v>
      </c>
    </row>
    <row r="489" spans="1:79" ht="15" customHeight="1">
      <c r="A489" s="41" t="s">
        <v>183</v>
      </c>
      <c r="B489" s="402" t="s">
        <v>2029</v>
      </c>
      <c r="C489" s="113" t="s">
        <v>2030</v>
      </c>
      <c r="D489" s="393" t="s">
        <v>303</v>
      </c>
      <c r="E489" s="394" t="s">
        <v>2031</v>
      </c>
      <c r="G489" s="405" t="s">
        <v>2032</v>
      </c>
      <c r="H489" s="113">
        <v>3231</v>
      </c>
      <c r="I489" s="49" t="s">
        <v>2</v>
      </c>
      <c r="J489" s="48" t="s">
        <v>2034</v>
      </c>
      <c r="K489" s="51">
        <v>40996</v>
      </c>
      <c r="L489" s="115">
        <v>40993</v>
      </c>
      <c r="M489" s="50">
        <f t="shared" si="20"/>
        <v>3</v>
      </c>
      <c r="N489" s="50" t="s">
        <v>2</v>
      </c>
      <c r="O489" s="131">
        <f t="shared" si="19"/>
        <v>0.7</v>
      </c>
      <c r="P489" s="117">
        <v>4.7</v>
      </c>
      <c r="Q489" s="131">
        <v>5.62</v>
      </c>
      <c r="R489" s="50">
        <v>11</v>
      </c>
      <c r="S489" s="74">
        <v>6</v>
      </c>
      <c r="T489" s="50">
        <v>0.02</v>
      </c>
      <c r="U489" s="131">
        <v>0.8</v>
      </c>
      <c r="V489" s="50">
        <v>0.54</v>
      </c>
      <c r="W489" s="74">
        <v>8.9999999999999993E-3</v>
      </c>
      <c r="X489" s="50">
        <v>0.18</v>
      </c>
      <c r="Y489" s="74">
        <v>3.3000000000000002E-2</v>
      </c>
      <c r="Z489" s="271">
        <v>1</v>
      </c>
      <c r="AA489" s="271">
        <v>0.73499999999999999</v>
      </c>
      <c r="AB489" s="114">
        <v>10</v>
      </c>
      <c r="AC489" s="50">
        <v>26</v>
      </c>
      <c r="AD489" s="314">
        <v>0.1</v>
      </c>
      <c r="AF489" s="175"/>
      <c r="AT489" s="74">
        <f>0.0002/2</f>
        <v>1E-4</v>
      </c>
    </row>
    <row r="490" spans="1:79" ht="15" customHeight="1">
      <c r="A490" s="41" t="s">
        <v>183</v>
      </c>
      <c r="B490" s="402" t="s">
        <v>2029</v>
      </c>
      <c r="D490" s="393" t="s">
        <v>640</v>
      </c>
      <c r="E490" s="394" t="s">
        <v>2031</v>
      </c>
      <c r="G490" s="405" t="s">
        <v>2035</v>
      </c>
      <c r="H490" s="113">
        <v>3231</v>
      </c>
      <c r="I490" s="49" t="s">
        <v>2</v>
      </c>
      <c r="J490" s="48" t="s">
        <v>2036</v>
      </c>
      <c r="K490" s="51">
        <v>40996</v>
      </c>
      <c r="L490" s="115">
        <v>40993</v>
      </c>
      <c r="M490" s="50">
        <f t="shared" si="20"/>
        <v>3</v>
      </c>
      <c r="N490" s="50" t="s">
        <v>2</v>
      </c>
      <c r="O490" s="131">
        <f t="shared" si="19"/>
        <v>0.7</v>
      </c>
      <c r="P490" s="117">
        <v>5.0999999999999996</v>
      </c>
      <c r="Q490" s="131">
        <v>7.26</v>
      </c>
      <c r="R490" s="50">
        <f>10/2</f>
        <v>5</v>
      </c>
      <c r="S490" s="74">
        <v>17</v>
      </c>
      <c r="T490" s="50">
        <v>0.06</v>
      </c>
      <c r="U490" s="131">
        <v>0.94</v>
      </c>
      <c r="V490" s="50">
        <v>0.67</v>
      </c>
      <c r="W490" s="74">
        <v>6.0000000000000001E-3</v>
      </c>
      <c r="X490" s="50">
        <v>0.105</v>
      </c>
      <c r="Y490" s="74">
        <f>0.002/2</f>
        <v>1E-3</v>
      </c>
      <c r="Z490" s="271">
        <v>1</v>
      </c>
      <c r="AA490" s="271">
        <v>1</v>
      </c>
      <c r="AB490" s="114">
        <v>56</v>
      </c>
      <c r="AC490" s="50">
        <v>179</v>
      </c>
      <c r="AD490" s="314">
        <v>1</v>
      </c>
      <c r="AF490" s="175"/>
      <c r="AT490" s="74">
        <f>0.0002/2</f>
        <v>1E-4</v>
      </c>
    </row>
    <row r="491" spans="1:79" ht="15" customHeight="1">
      <c r="A491" s="41" t="s">
        <v>183</v>
      </c>
      <c r="B491" s="402" t="s">
        <v>1910</v>
      </c>
      <c r="C491" s="113" t="s">
        <v>2037</v>
      </c>
      <c r="D491" s="393" t="s">
        <v>2376</v>
      </c>
      <c r="E491" s="394" t="s">
        <v>2038</v>
      </c>
      <c r="G491" s="405" t="s">
        <v>2039</v>
      </c>
      <c r="H491" s="113">
        <v>4151</v>
      </c>
      <c r="I491" s="49" t="s">
        <v>2</v>
      </c>
      <c r="J491" s="48" t="s">
        <v>1030</v>
      </c>
      <c r="K491" s="51">
        <v>40996</v>
      </c>
      <c r="L491" s="115">
        <v>40993</v>
      </c>
      <c r="M491" s="50">
        <f t="shared" si="20"/>
        <v>3</v>
      </c>
      <c r="N491" s="50" t="s">
        <v>2</v>
      </c>
      <c r="O491" s="131">
        <v>3.9</v>
      </c>
      <c r="P491" s="117">
        <v>5</v>
      </c>
      <c r="Q491" s="131">
        <v>8.2200000000000006</v>
      </c>
      <c r="R491" s="50">
        <v>15</v>
      </c>
      <c r="S491" s="74">
        <v>1100</v>
      </c>
      <c r="T491" s="50">
        <v>1.06</v>
      </c>
      <c r="U491" s="131">
        <v>2.23</v>
      </c>
      <c r="V491" s="50">
        <v>2.0699999999999998</v>
      </c>
      <c r="W491" s="74">
        <v>0.1</v>
      </c>
      <c r="X491" s="50">
        <v>0.30499999999999999</v>
      </c>
      <c r="Y491" s="74">
        <v>8.1000000000000003E-2</v>
      </c>
      <c r="Z491" s="271">
        <v>1</v>
      </c>
      <c r="AA491" s="271">
        <v>1</v>
      </c>
      <c r="AB491" s="114">
        <v>42</v>
      </c>
      <c r="AC491" s="50">
        <v>737</v>
      </c>
      <c r="AD491" s="314">
        <v>1</v>
      </c>
      <c r="AF491" s="175"/>
    </row>
    <row r="492" spans="1:79" ht="15" customHeight="1">
      <c r="A492" s="41" t="s">
        <v>183</v>
      </c>
      <c r="B492" s="402" t="s">
        <v>1910</v>
      </c>
      <c r="C492" s="113" t="s">
        <v>2037</v>
      </c>
      <c r="D492" s="393" t="s">
        <v>2376</v>
      </c>
      <c r="E492" s="394" t="s">
        <v>2038</v>
      </c>
      <c r="G492" s="405" t="s">
        <v>2039</v>
      </c>
      <c r="H492" s="113">
        <v>4151</v>
      </c>
      <c r="I492" s="49" t="s">
        <v>2</v>
      </c>
      <c r="J492" s="48" t="s">
        <v>1031</v>
      </c>
      <c r="K492" s="51">
        <v>40996</v>
      </c>
      <c r="L492" s="115">
        <v>40993</v>
      </c>
      <c r="M492" s="50">
        <f t="shared" si="20"/>
        <v>3</v>
      </c>
      <c r="N492" s="50" t="s">
        <v>2</v>
      </c>
      <c r="O492" s="131">
        <v>3.5</v>
      </c>
      <c r="P492" s="117">
        <v>5</v>
      </c>
      <c r="Q492" s="131">
        <v>7.16</v>
      </c>
      <c r="R492" s="50">
        <v>22</v>
      </c>
      <c r="S492" s="74">
        <v>2400</v>
      </c>
      <c r="T492" s="50">
        <v>1.03</v>
      </c>
      <c r="U492" s="131">
        <v>2.71</v>
      </c>
      <c r="V492" s="50">
        <v>3.11</v>
      </c>
      <c r="W492" s="74">
        <v>0.04</v>
      </c>
      <c r="X492" s="50">
        <v>0.14299999999999999</v>
      </c>
      <c r="Y492" s="74">
        <v>4.4999999999999998E-2</v>
      </c>
      <c r="Z492" s="271">
        <v>1</v>
      </c>
      <c r="AA492" s="271">
        <v>1</v>
      </c>
      <c r="AB492" s="114">
        <v>38</v>
      </c>
      <c r="AC492" s="50">
        <v>572</v>
      </c>
      <c r="AD492" s="314">
        <v>1</v>
      </c>
      <c r="AF492" s="175"/>
    </row>
    <row r="493" spans="1:79" ht="15" customHeight="1">
      <c r="A493" s="41" t="s">
        <v>183</v>
      </c>
      <c r="B493" s="402" t="s">
        <v>2040</v>
      </c>
      <c r="D493" s="393" t="s">
        <v>314</v>
      </c>
      <c r="E493" s="394" t="s">
        <v>2019</v>
      </c>
      <c r="G493" s="405" t="s">
        <v>2041</v>
      </c>
      <c r="H493" s="113">
        <v>3479</v>
      </c>
      <c r="I493" s="49" t="s">
        <v>2</v>
      </c>
      <c r="J493" s="48" t="s">
        <v>1756</v>
      </c>
      <c r="K493" s="51">
        <v>40996</v>
      </c>
      <c r="L493" s="115">
        <v>40993</v>
      </c>
      <c r="M493" s="50">
        <f t="shared" si="20"/>
        <v>3</v>
      </c>
      <c r="N493" s="50" t="s">
        <v>2</v>
      </c>
      <c r="O493" s="131">
        <v>7</v>
      </c>
      <c r="P493" s="117">
        <v>5.5</v>
      </c>
      <c r="Q493" s="131">
        <v>6.47</v>
      </c>
      <c r="R493" s="50">
        <v>72</v>
      </c>
      <c r="S493" s="74">
        <v>290</v>
      </c>
      <c r="T493" s="50">
        <v>0.8</v>
      </c>
      <c r="U493" s="131">
        <v>7.3</v>
      </c>
      <c r="V493" s="50">
        <v>1.38</v>
      </c>
      <c r="W493" s="74">
        <v>6.6000000000000003E-2</v>
      </c>
      <c r="X493" s="50">
        <v>0.29299999999999998</v>
      </c>
      <c r="Y493" s="74">
        <v>3.2000000000000001E-2</v>
      </c>
      <c r="Z493" s="271">
        <v>1</v>
      </c>
      <c r="AA493" s="271">
        <v>1</v>
      </c>
      <c r="AB493" s="114">
        <v>8</v>
      </c>
      <c r="AC493" s="50">
        <v>61</v>
      </c>
      <c r="AD493" s="314">
        <v>1</v>
      </c>
      <c r="AF493" s="175"/>
      <c r="AU493" s="114">
        <f>0.5/2</f>
        <v>0.25</v>
      </c>
    </row>
    <row r="494" spans="1:79" ht="15" customHeight="1">
      <c r="A494" s="41" t="s">
        <v>183</v>
      </c>
      <c r="B494" s="402" t="s">
        <v>2042</v>
      </c>
      <c r="C494" s="113" t="s">
        <v>2043</v>
      </c>
      <c r="D494" s="393" t="s">
        <v>636</v>
      </c>
      <c r="E494" s="394" t="s">
        <v>2044</v>
      </c>
      <c r="F494" s="402" t="s">
        <v>2045</v>
      </c>
      <c r="G494" s="405" t="s">
        <v>2046</v>
      </c>
      <c r="H494" s="113">
        <v>2653</v>
      </c>
      <c r="I494" s="49" t="s">
        <v>2</v>
      </c>
      <c r="J494" s="48" t="s">
        <v>1119</v>
      </c>
      <c r="K494" s="51">
        <v>40996</v>
      </c>
      <c r="L494" s="115">
        <v>40977</v>
      </c>
      <c r="M494" s="50">
        <f t="shared" si="20"/>
        <v>19</v>
      </c>
      <c r="N494" s="50" t="s">
        <v>2</v>
      </c>
      <c r="O494" s="131">
        <f>1.4/2</f>
        <v>0.7</v>
      </c>
      <c r="P494" s="117">
        <v>4.8099999999999996</v>
      </c>
      <c r="Q494" s="131">
        <v>5.63</v>
      </c>
      <c r="R494" s="50">
        <v>29</v>
      </c>
      <c r="S494" s="74">
        <v>22</v>
      </c>
      <c r="T494" s="50">
        <v>0.09</v>
      </c>
      <c r="U494" s="131">
        <v>1.43</v>
      </c>
      <c r="V494" s="50">
        <v>0.3</v>
      </c>
      <c r="W494" s="74">
        <v>6.0000000000000001E-3</v>
      </c>
      <c r="X494" s="50">
        <v>7.0000000000000007E-2</v>
      </c>
      <c r="Y494" s="74">
        <v>3.0000000000000001E-3</v>
      </c>
      <c r="Z494" s="271">
        <v>1</v>
      </c>
      <c r="AA494" s="271">
        <v>1</v>
      </c>
      <c r="AB494" s="114">
        <v>20</v>
      </c>
      <c r="AC494" s="50">
        <v>56</v>
      </c>
      <c r="AD494" s="314">
        <v>1</v>
      </c>
      <c r="AF494" s="175"/>
    </row>
    <row r="495" spans="1:79" ht="15" customHeight="1">
      <c r="A495" s="41" t="s">
        <v>183</v>
      </c>
      <c r="B495" s="402" t="s">
        <v>2042</v>
      </c>
      <c r="C495" s="113" t="s">
        <v>2043</v>
      </c>
      <c r="D495" s="393" t="s">
        <v>636</v>
      </c>
      <c r="E495" s="394" t="s">
        <v>2044</v>
      </c>
      <c r="F495" s="402" t="s">
        <v>2045</v>
      </c>
      <c r="G495" s="405" t="s">
        <v>2046</v>
      </c>
      <c r="H495" s="113">
        <v>2653</v>
      </c>
      <c r="I495" s="49" t="s">
        <v>2</v>
      </c>
      <c r="J495" s="48" t="s">
        <v>2047</v>
      </c>
      <c r="K495" s="51">
        <v>40996</v>
      </c>
      <c r="L495" s="115">
        <v>40977</v>
      </c>
      <c r="M495" s="50">
        <f t="shared" si="20"/>
        <v>19</v>
      </c>
      <c r="N495" s="50" t="s">
        <v>2</v>
      </c>
      <c r="O495" s="131">
        <f>1.4/2</f>
        <v>0.7</v>
      </c>
      <c r="P495" s="117">
        <v>4.8099999999999996</v>
      </c>
      <c r="Q495" s="131">
        <v>5.38</v>
      </c>
      <c r="R495" s="50">
        <v>13</v>
      </c>
      <c r="S495" s="74">
        <f>5/2</f>
        <v>2.5</v>
      </c>
      <c r="T495" s="50">
        <v>0.01</v>
      </c>
      <c r="U495" s="131">
        <v>1.04</v>
      </c>
      <c r="V495" s="50">
        <v>0.55000000000000004</v>
      </c>
      <c r="W495" s="74">
        <v>6.0000000000000001E-3</v>
      </c>
      <c r="X495" s="50">
        <v>8.5999999999999993E-2</v>
      </c>
      <c r="Y495" s="74">
        <f>0.002/2</f>
        <v>1E-3</v>
      </c>
      <c r="Z495" s="271">
        <v>1</v>
      </c>
      <c r="AA495" s="271">
        <v>1</v>
      </c>
      <c r="AB495" s="114">
        <v>18</v>
      </c>
      <c r="AC495" s="50">
        <v>26</v>
      </c>
      <c r="AD495" s="314">
        <v>0.95</v>
      </c>
      <c r="AF495" s="175"/>
    </row>
    <row r="496" spans="1:79" ht="15" customHeight="1">
      <c r="A496" s="41" t="s">
        <v>183</v>
      </c>
      <c r="B496" s="402" t="s">
        <v>2048</v>
      </c>
      <c r="D496" s="393" t="s">
        <v>156</v>
      </c>
      <c r="E496" s="394" t="s">
        <v>2049</v>
      </c>
      <c r="F496" s="402" t="s">
        <v>2050</v>
      </c>
      <c r="G496" s="405" t="s">
        <v>2051</v>
      </c>
      <c r="H496" s="113">
        <v>7699</v>
      </c>
      <c r="I496" s="49" t="s">
        <v>1</v>
      </c>
      <c r="J496" s="48" t="s">
        <v>2052</v>
      </c>
      <c r="K496" s="51">
        <v>40993</v>
      </c>
      <c r="L496" s="115">
        <v>40984</v>
      </c>
      <c r="M496" s="50">
        <f t="shared" si="20"/>
        <v>9</v>
      </c>
      <c r="N496" s="50" t="s">
        <v>2</v>
      </c>
      <c r="O496" s="131">
        <f>1.4/2</f>
        <v>0.7</v>
      </c>
      <c r="P496" s="117">
        <v>5.19</v>
      </c>
      <c r="Q496" s="131">
        <v>7.05</v>
      </c>
      <c r="R496" s="50">
        <v>11</v>
      </c>
      <c r="S496" s="74">
        <v>73</v>
      </c>
      <c r="T496" s="50">
        <v>0.05</v>
      </c>
      <c r="U496" s="131">
        <v>0.64</v>
      </c>
      <c r="V496" s="50">
        <v>0.1</v>
      </c>
      <c r="W496" s="74">
        <f>0.005/2</f>
        <v>2.5000000000000001E-3</v>
      </c>
      <c r="X496" s="50">
        <v>0.02</v>
      </c>
      <c r="Y496" s="74">
        <v>4.0000000000000001E-3</v>
      </c>
      <c r="AD496" s="314"/>
      <c r="AF496" s="175"/>
      <c r="AT496" s="74">
        <f>0.002/2</f>
        <v>1E-3</v>
      </c>
    </row>
    <row r="497" spans="1:32" ht="15" customHeight="1">
      <c r="A497" s="41" t="s">
        <v>183</v>
      </c>
      <c r="B497" s="402" t="s">
        <v>2053</v>
      </c>
      <c r="D497" s="410" t="s">
        <v>397</v>
      </c>
      <c r="E497" s="422" t="s">
        <v>1961</v>
      </c>
      <c r="F497" s="413">
        <v>3004</v>
      </c>
      <c r="G497" s="364" t="s">
        <v>137</v>
      </c>
      <c r="H497" s="79">
        <v>3829</v>
      </c>
      <c r="I497" s="81" t="s">
        <v>2</v>
      </c>
      <c r="J497" s="78" t="s">
        <v>1119</v>
      </c>
      <c r="K497" s="51">
        <v>41021</v>
      </c>
      <c r="L497" s="115">
        <v>41011</v>
      </c>
      <c r="M497" s="50">
        <f t="shared" si="20"/>
        <v>10</v>
      </c>
      <c r="N497" s="50" t="s">
        <v>2</v>
      </c>
      <c r="O497" s="131">
        <v>1.4</v>
      </c>
      <c r="P497" s="117"/>
      <c r="Q497" s="131">
        <v>6.37</v>
      </c>
      <c r="R497" s="50">
        <v>34</v>
      </c>
      <c r="S497" s="74">
        <v>39</v>
      </c>
      <c r="T497" s="50">
        <v>0.2</v>
      </c>
      <c r="U497" s="131">
        <v>0.77</v>
      </c>
      <c r="V497" s="50">
        <v>0.17</v>
      </c>
      <c r="W497" s="74">
        <v>1.4999999999999999E-2</v>
      </c>
      <c r="X497" s="50">
        <v>4.2999999999999997E-2</v>
      </c>
      <c r="Y497" s="74">
        <v>0.01</v>
      </c>
      <c r="Z497" s="271">
        <v>1</v>
      </c>
      <c r="AA497" s="271">
        <v>1</v>
      </c>
      <c r="AB497" s="114">
        <v>4</v>
      </c>
      <c r="AC497" s="50">
        <v>46</v>
      </c>
      <c r="AD497" s="314">
        <v>1</v>
      </c>
      <c r="AE497" s="50">
        <v>150</v>
      </c>
      <c r="AF497" s="175"/>
    </row>
    <row r="498" spans="1:32" ht="15" customHeight="1">
      <c r="A498" s="41" t="s">
        <v>183</v>
      </c>
      <c r="B498" s="402" t="s">
        <v>2054</v>
      </c>
      <c r="D498" s="393" t="s">
        <v>209</v>
      </c>
      <c r="E498" s="394" t="s">
        <v>2055</v>
      </c>
      <c r="G498" s="405" t="s">
        <v>2056</v>
      </c>
      <c r="H498" s="113">
        <v>2024</v>
      </c>
      <c r="I498" s="49" t="s">
        <v>2</v>
      </c>
      <c r="J498" s="48" t="s">
        <v>230</v>
      </c>
      <c r="K498" s="51">
        <v>40996</v>
      </c>
      <c r="L498" s="115">
        <v>40993</v>
      </c>
      <c r="M498" s="50">
        <f t="shared" si="20"/>
        <v>3</v>
      </c>
      <c r="N498" s="50" t="s">
        <v>2</v>
      </c>
      <c r="O498" s="131">
        <v>2.6</v>
      </c>
      <c r="P498" s="117">
        <v>6</v>
      </c>
      <c r="Q498" s="131">
        <v>6.9</v>
      </c>
      <c r="R498" s="50">
        <v>85</v>
      </c>
      <c r="S498" s="74">
        <v>20</v>
      </c>
      <c r="T498" s="50">
        <v>0.08</v>
      </c>
      <c r="U498" s="131">
        <v>5.25</v>
      </c>
      <c r="V498" s="50">
        <v>2.4700000000000002</v>
      </c>
      <c r="W498" s="74">
        <v>4.8000000000000001E-2</v>
      </c>
      <c r="X498" s="50">
        <v>0.64700000000000002</v>
      </c>
      <c r="Y498" s="74">
        <f>0.03/2</f>
        <v>1.4999999999999999E-2</v>
      </c>
      <c r="Z498" s="271">
        <v>1</v>
      </c>
      <c r="AA498" s="271">
        <v>1</v>
      </c>
      <c r="AB498" s="114">
        <v>35</v>
      </c>
      <c r="AC498" s="50">
        <v>261</v>
      </c>
      <c r="AD498" s="314">
        <v>1</v>
      </c>
      <c r="AF498" s="175"/>
    </row>
    <row r="499" spans="1:32" ht="15" customHeight="1">
      <c r="A499" s="41" t="s">
        <v>183</v>
      </c>
      <c r="B499" s="402" t="s">
        <v>2057</v>
      </c>
      <c r="D499" s="393" t="s">
        <v>1759</v>
      </c>
      <c r="E499" s="394" t="s">
        <v>2058</v>
      </c>
      <c r="G499" s="405" t="s">
        <v>2059</v>
      </c>
      <c r="H499" s="113">
        <v>3589</v>
      </c>
      <c r="I499" s="49" t="s">
        <v>2</v>
      </c>
      <c r="J499" s="48" t="s">
        <v>1119</v>
      </c>
      <c r="K499" s="51">
        <v>40920</v>
      </c>
      <c r="L499" s="115">
        <v>40909</v>
      </c>
      <c r="M499" s="50">
        <f t="shared" si="20"/>
        <v>11</v>
      </c>
      <c r="N499" s="50" t="s">
        <v>2</v>
      </c>
      <c r="O499" s="131">
        <f>1.5/2</f>
        <v>0.75</v>
      </c>
      <c r="P499" s="117">
        <v>5.89</v>
      </c>
      <c r="Q499" s="131">
        <v>5.83</v>
      </c>
      <c r="R499" s="50">
        <f>10/2</f>
        <v>5</v>
      </c>
      <c r="S499" s="74">
        <f>5/2</f>
        <v>2.5</v>
      </c>
      <c r="T499" s="50">
        <v>0.02</v>
      </c>
      <c r="U499" s="131">
        <v>0.35</v>
      </c>
      <c r="V499" s="50">
        <v>0.19</v>
      </c>
      <c r="W499" s="74">
        <v>2E-3</v>
      </c>
      <c r="X499" s="50">
        <v>4.8000000000000001E-2</v>
      </c>
      <c r="Y499" s="74">
        <f>0.002/2</f>
        <v>1E-3</v>
      </c>
      <c r="Z499" s="271">
        <v>1</v>
      </c>
      <c r="AA499" s="271">
        <v>1</v>
      </c>
      <c r="AB499" s="114">
        <v>2</v>
      </c>
      <c r="AC499" s="50">
        <v>9</v>
      </c>
      <c r="AD499" s="314">
        <v>0.8</v>
      </c>
      <c r="AF499" s="175"/>
    </row>
    <row r="500" spans="1:32" ht="15" customHeight="1">
      <c r="A500" s="41" t="s">
        <v>183</v>
      </c>
      <c r="B500" s="402" t="s">
        <v>2060</v>
      </c>
      <c r="C500" s="113" t="s">
        <v>2061</v>
      </c>
      <c r="D500" s="393" t="s">
        <v>156</v>
      </c>
      <c r="G500" s="405" t="s">
        <v>2062</v>
      </c>
      <c r="H500" s="113"/>
      <c r="I500" s="49"/>
      <c r="J500" s="48"/>
      <c r="K500" s="51">
        <v>41030</v>
      </c>
      <c r="L500" s="115">
        <v>41019</v>
      </c>
      <c r="M500" s="50">
        <f t="shared" si="20"/>
        <v>11</v>
      </c>
      <c r="N500" s="50" t="s">
        <v>2</v>
      </c>
      <c r="O500" s="131">
        <f>1/2</f>
        <v>0.5</v>
      </c>
      <c r="P500" s="117"/>
      <c r="Q500" s="131">
        <v>7.21</v>
      </c>
      <c r="R500" s="50">
        <v>44.4</v>
      </c>
      <c r="S500" s="74">
        <v>56</v>
      </c>
      <c r="T500" s="50">
        <v>0.14000000000000001</v>
      </c>
      <c r="U500" s="131">
        <v>1.28</v>
      </c>
      <c r="V500" s="50">
        <f>1/2</f>
        <v>0.5</v>
      </c>
      <c r="W500" s="74">
        <v>8.6999999999999994E-2</v>
      </c>
      <c r="X500" s="50">
        <v>8.2000000000000003E-2</v>
      </c>
      <c r="Y500" s="74">
        <v>5.0000000000000001E-3</v>
      </c>
      <c r="Z500" s="271">
        <v>1</v>
      </c>
      <c r="AA500" s="271">
        <v>1</v>
      </c>
      <c r="AB500" s="114">
        <v>3</v>
      </c>
      <c r="AC500" s="50">
        <v>13</v>
      </c>
      <c r="AD500" s="314">
        <v>1</v>
      </c>
      <c r="AE500" s="50">
        <v>180</v>
      </c>
      <c r="AF500" s="175"/>
    </row>
    <row r="501" spans="1:32" ht="15" customHeight="1">
      <c r="A501" s="41" t="s">
        <v>183</v>
      </c>
      <c r="B501" s="402" t="s">
        <v>2065</v>
      </c>
      <c r="D501" s="393" t="s">
        <v>314</v>
      </c>
      <c r="E501" s="394" t="s">
        <v>49</v>
      </c>
      <c r="G501" s="405" t="s">
        <v>3590</v>
      </c>
      <c r="H501" s="113">
        <v>3444</v>
      </c>
      <c r="I501" s="49" t="s">
        <v>2</v>
      </c>
      <c r="J501" s="48" t="s">
        <v>81</v>
      </c>
      <c r="K501" s="51">
        <v>40904</v>
      </c>
      <c r="L501" s="115">
        <v>40900</v>
      </c>
      <c r="M501" s="50">
        <f t="shared" si="20"/>
        <v>4</v>
      </c>
      <c r="N501" s="50" t="s">
        <v>2</v>
      </c>
      <c r="O501" s="131">
        <f>1.4/2</f>
        <v>0.7</v>
      </c>
      <c r="P501" s="117">
        <v>5.17</v>
      </c>
      <c r="Q501" s="131">
        <v>6.86</v>
      </c>
      <c r="R501" s="50">
        <f>10/2</f>
        <v>5</v>
      </c>
      <c r="S501" s="74">
        <v>6</v>
      </c>
      <c r="T501" s="50">
        <f>0.01/2</f>
        <v>5.0000000000000001E-3</v>
      </c>
      <c r="U501" s="131">
        <v>0.18</v>
      </c>
      <c r="V501" s="50">
        <v>0.06</v>
      </c>
      <c r="W501" s="74">
        <v>3.0000000000000001E-3</v>
      </c>
      <c r="X501" s="50">
        <v>3.9E-2</v>
      </c>
      <c r="Y501" s="74">
        <f>0.002/2</f>
        <v>1E-3</v>
      </c>
      <c r="Z501" s="271">
        <v>1</v>
      </c>
      <c r="AA501" s="271">
        <v>0.93600000000000005</v>
      </c>
      <c r="AB501" s="114">
        <v>0</v>
      </c>
      <c r="AC501" s="50">
        <v>4</v>
      </c>
      <c r="AD501" s="314">
        <v>0.45</v>
      </c>
      <c r="AF501" s="175"/>
    </row>
    <row r="502" spans="1:32" ht="15" customHeight="1">
      <c r="A502" s="41" t="s">
        <v>183</v>
      </c>
      <c r="B502" s="402" t="s">
        <v>2065</v>
      </c>
      <c r="D502" s="393" t="s">
        <v>314</v>
      </c>
      <c r="E502" s="394" t="s">
        <v>49</v>
      </c>
      <c r="G502" s="405" t="s">
        <v>3591</v>
      </c>
      <c r="H502" s="113">
        <v>3444</v>
      </c>
      <c r="I502" s="49" t="s">
        <v>2</v>
      </c>
      <c r="J502" s="48" t="s">
        <v>81</v>
      </c>
      <c r="K502" s="51">
        <v>40904</v>
      </c>
      <c r="L502" s="115">
        <v>40900</v>
      </c>
      <c r="M502" s="50">
        <f t="shared" si="20"/>
        <v>4</v>
      </c>
      <c r="N502" s="50" t="s">
        <v>2</v>
      </c>
      <c r="O502" s="131">
        <f>1.4/2</f>
        <v>0.7</v>
      </c>
      <c r="P502" s="117">
        <v>5.17</v>
      </c>
      <c r="Q502" s="131">
        <v>6.77</v>
      </c>
      <c r="R502" s="50">
        <v>1</v>
      </c>
      <c r="S502" s="74">
        <v>33</v>
      </c>
      <c r="T502" s="50">
        <v>0.13</v>
      </c>
      <c r="U502" s="131">
        <v>1.17</v>
      </c>
      <c r="V502" s="50">
        <v>0.42</v>
      </c>
      <c r="W502" s="74">
        <v>4.0000000000000001E-3</v>
      </c>
      <c r="X502" s="50">
        <v>0.11899999999999999</v>
      </c>
      <c r="Y502" s="74">
        <f>0.002/2</f>
        <v>1E-3</v>
      </c>
      <c r="Z502" s="271">
        <v>1</v>
      </c>
      <c r="AA502" s="271">
        <v>1</v>
      </c>
      <c r="AB502" s="114">
        <v>30</v>
      </c>
      <c r="AC502" s="50">
        <v>153</v>
      </c>
      <c r="AD502" s="314">
        <v>1</v>
      </c>
      <c r="AF502" s="175"/>
    </row>
    <row r="503" spans="1:32" ht="15" customHeight="1">
      <c r="A503" s="41" t="s">
        <v>183</v>
      </c>
      <c r="B503" s="402" t="s">
        <v>2065</v>
      </c>
      <c r="D503" s="393" t="s">
        <v>314</v>
      </c>
      <c r="E503" s="394" t="s">
        <v>49</v>
      </c>
      <c r="G503" s="405" t="s">
        <v>3592</v>
      </c>
      <c r="H503" s="113">
        <v>3444</v>
      </c>
      <c r="I503" s="49" t="s">
        <v>2</v>
      </c>
      <c r="J503" s="48" t="s">
        <v>81</v>
      </c>
      <c r="K503" s="51">
        <v>40904</v>
      </c>
      <c r="L503" s="115">
        <v>40900</v>
      </c>
      <c r="M503" s="50">
        <f t="shared" si="20"/>
        <v>4</v>
      </c>
      <c r="N503" s="50" t="s">
        <v>2</v>
      </c>
      <c r="O503" s="131">
        <v>2.6</v>
      </c>
      <c r="P503" s="117">
        <v>5.17</v>
      </c>
      <c r="Q503" s="131">
        <v>6.86</v>
      </c>
      <c r="R503" s="50">
        <v>23</v>
      </c>
      <c r="S503" s="74">
        <v>34</v>
      </c>
      <c r="T503" s="50">
        <v>0.06</v>
      </c>
      <c r="U503" s="131">
        <v>0.56999999999999995</v>
      </c>
      <c r="V503" s="50">
        <v>0.06</v>
      </c>
      <c r="W503" s="74">
        <v>4.7E-2</v>
      </c>
      <c r="X503" s="50">
        <v>0.20499999999999999</v>
      </c>
      <c r="Y503" s="74">
        <v>1.4999999999999999E-2</v>
      </c>
      <c r="Z503" s="271">
        <v>1</v>
      </c>
      <c r="AA503" s="271">
        <v>1</v>
      </c>
      <c r="AB503" s="114">
        <v>2</v>
      </c>
      <c r="AC503" s="50">
        <v>14</v>
      </c>
      <c r="AD503" s="314">
        <v>1</v>
      </c>
      <c r="AF503" s="175"/>
    </row>
    <row r="504" spans="1:32" ht="15" customHeight="1">
      <c r="A504" s="41" t="s">
        <v>183</v>
      </c>
      <c r="B504" s="402" t="s">
        <v>2065</v>
      </c>
      <c r="D504" s="393" t="s">
        <v>314</v>
      </c>
      <c r="E504" s="394" t="s">
        <v>49</v>
      </c>
      <c r="G504" s="405" t="s">
        <v>3592</v>
      </c>
      <c r="H504" s="113">
        <v>3444</v>
      </c>
      <c r="I504" s="49" t="s">
        <v>2</v>
      </c>
      <c r="J504" s="48" t="s">
        <v>114</v>
      </c>
      <c r="K504" s="51">
        <v>40904</v>
      </c>
      <c r="L504" s="115">
        <v>40900</v>
      </c>
      <c r="M504" s="50">
        <f t="shared" si="20"/>
        <v>4</v>
      </c>
      <c r="N504" s="50" t="s">
        <v>2</v>
      </c>
      <c r="O504" s="131">
        <v>2.4</v>
      </c>
      <c r="P504" s="117">
        <v>5.17</v>
      </c>
      <c r="Q504" s="131">
        <v>6.54</v>
      </c>
      <c r="R504" s="50">
        <v>50</v>
      </c>
      <c r="S504" s="74">
        <v>120</v>
      </c>
      <c r="T504" s="50">
        <v>0.14000000000000001</v>
      </c>
      <c r="U504" s="131">
        <v>1.24</v>
      </c>
      <c r="V504" s="50">
        <v>0.71</v>
      </c>
      <c r="W504" s="74">
        <v>2.5000000000000001E-2</v>
      </c>
      <c r="X504" s="50">
        <v>0.114</v>
      </c>
      <c r="Y504" s="74">
        <v>0.01</v>
      </c>
      <c r="Z504" s="271">
        <v>1</v>
      </c>
      <c r="AA504" s="271">
        <v>1</v>
      </c>
      <c r="AB504" s="114">
        <v>2</v>
      </c>
      <c r="AC504" s="50">
        <v>14</v>
      </c>
      <c r="AD504" s="314">
        <v>1</v>
      </c>
      <c r="AF504" s="175"/>
    </row>
    <row r="505" spans="1:32" ht="15" customHeight="1">
      <c r="A505" s="41" t="s">
        <v>183</v>
      </c>
      <c r="B505" s="402" t="s">
        <v>2065</v>
      </c>
      <c r="D505" s="393" t="s">
        <v>314</v>
      </c>
      <c r="E505" s="394" t="s">
        <v>2066</v>
      </c>
      <c r="G505" s="405" t="s">
        <v>3593</v>
      </c>
      <c r="H505" s="113">
        <v>3444</v>
      </c>
      <c r="I505" s="49" t="s">
        <v>2</v>
      </c>
      <c r="J505" s="48" t="s">
        <v>81</v>
      </c>
      <c r="K505" s="51">
        <v>40898</v>
      </c>
      <c r="L505" s="115">
        <v>40885</v>
      </c>
      <c r="M505" s="50">
        <f t="shared" si="20"/>
        <v>13</v>
      </c>
      <c r="N505" s="50" t="s">
        <v>2</v>
      </c>
      <c r="O505" s="131">
        <v>2.1</v>
      </c>
      <c r="P505" s="117">
        <v>4.5599999999999996</v>
      </c>
      <c r="Q505" s="131">
        <v>6.33</v>
      </c>
      <c r="R505" s="50">
        <v>66</v>
      </c>
      <c r="S505" s="74">
        <v>82</v>
      </c>
      <c r="T505" s="50">
        <v>0.18</v>
      </c>
      <c r="U505" s="131">
        <v>0.76</v>
      </c>
      <c r="V505" s="50">
        <v>0.28999999999999998</v>
      </c>
      <c r="W505" s="74">
        <v>0.06</v>
      </c>
      <c r="X505" s="50">
        <v>8.3000000000000004E-2</v>
      </c>
      <c r="Y505" s="74">
        <v>8.0000000000000002E-3</v>
      </c>
      <c r="Z505" s="271">
        <v>1</v>
      </c>
      <c r="AA505" s="271">
        <v>1</v>
      </c>
      <c r="AB505" s="114">
        <v>4</v>
      </c>
      <c r="AC505" s="50">
        <v>22</v>
      </c>
      <c r="AD505" s="314">
        <v>0.95</v>
      </c>
      <c r="AF505" s="175"/>
    </row>
    <row r="506" spans="1:32" ht="15" customHeight="1">
      <c r="A506" s="41" t="s">
        <v>183</v>
      </c>
      <c r="B506" s="402" t="s">
        <v>2065</v>
      </c>
      <c r="D506" s="393" t="s">
        <v>314</v>
      </c>
      <c r="E506" s="394" t="s">
        <v>2066</v>
      </c>
      <c r="G506" s="405" t="s">
        <v>3593</v>
      </c>
      <c r="H506" s="113">
        <v>3444</v>
      </c>
      <c r="I506" s="49" t="s">
        <v>2</v>
      </c>
      <c r="J506" s="48" t="s">
        <v>114</v>
      </c>
      <c r="K506" s="51">
        <v>40898</v>
      </c>
      <c r="L506" s="115">
        <v>40885</v>
      </c>
      <c r="M506" s="50">
        <f t="shared" si="20"/>
        <v>13</v>
      </c>
      <c r="N506" s="50" t="s">
        <v>2</v>
      </c>
      <c r="O506" s="131">
        <v>3.3</v>
      </c>
      <c r="P506" s="117">
        <v>4.5599999999999996</v>
      </c>
      <c r="Q506" s="131">
        <v>6.54</v>
      </c>
      <c r="R506" s="50">
        <v>160</v>
      </c>
      <c r="S506" s="74">
        <v>130</v>
      </c>
      <c r="T506" s="50">
        <v>0.25</v>
      </c>
      <c r="U506" s="131">
        <v>0.56000000000000005</v>
      </c>
      <c r="V506" s="50">
        <v>0.46</v>
      </c>
      <c r="W506" s="74">
        <v>0.109</v>
      </c>
      <c r="X506" s="50">
        <v>0.14799999999999999</v>
      </c>
      <c r="Y506" s="74">
        <v>1.2999999999999999E-2</v>
      </c>
      <c r="Z506" s="271">
        <v>1</v>
      </c>
      <c r="AA506" s="271">
        <v>1</v>
      </c>
      <c r="AB506" s="114">
        <v>12</v>
      </c>
      <c r="AC506" s="50">
        <v>116</v>
      </c>
      <c r="AD506" s="314">
        <v>1</v>
      </c>
      <c r="AF506" s="175"/>
    </row>
    <row r="507" spans="1:32" ht="15" customHeight="1">
      <c r="A507" s="41" t="s">
        <v>183</v>
      </c>
      <c r="B507" s="402" t="s">
        <v>2065</v>
      </c>
      <c r="D507" s="393" t="s">
        <v>314</v>
      </c>
      <c r="E507" s="394" t="s">
        <v>2066</v>
      </c>
      <c r="G507" s="405" t="s">
        <v>3593</v>
      </c>
      <c r="H507" s="113">
        <v>3444</v>
      </c>
      <c r="I507" s="49" t="s">
        <v>2</v>
      </c>
      <c r="J507" s="48" t="s">
        <v>115</v>
      </c>
      <c r="K507" s="51">
        <v>40898</v>
      </c>
      <c r="L507" s="115">
        <v>40885</v>
      </c>
      <c r="M507" s="50">
        <f t="shared" si="20"/>
        <v>13</v>
      </c>
      <c r="N507" s="50" t="s">
        <v>2</v>
      </c>
      <c r="O507" s="131">
        <v>2.9</v>
      </c>
      <c r="P507" s="117">
        <v>4.5599999999999996</v>
      </c>
      <c r="Q507" s="131">
        <v>6.75</v>
      </c>
      <c r="R507" s="50">
        <v>80</v>
      </c>
      <c r="S507" s="74">
        <v>430</v>
      </c>
      <c r="T507" s="50">
        <v>0.27</v>
      </c>
      <c r="U507" s="131">
        <v>0.8</v>
      </c>
      <c r="V507" s="50">
        <v>0.37</v>
      </c>
      <c r="W507" s="74">
        <v>0.20100000000000001</v>
      </c>
      <c r="X507" s="50">
        <v>0.252</v>
      </c>
      <c r="Y507" s="74">
        <v>1.9E-2</v>
      </c>
      <c r="Z507" s="271">
        <v>1</v>
      </c>
      <c r="AA507" s="271">
        <v>1</v>
      </c>
      <c r="AB507" s="114">
        <v>2</v>
      </c>
      <c r="AC507" s="50">
        <v>58</v>
      </c>
      <c r="AD507" s="314">
        <v>1</v>
      </c>
      <c r="AF507" s="175"/>
    </row>
    <row r="508" spans="1:32" ht="15" customHeight="1">
      <c r="A508" s="41" t="s">
        <v>183</v>
      </c>
      <c r="B508" s="402" t="s">
        <v>2065</v>
      </c>
      <c r="D508" s="393" t="s">
        <v>314</v>
      </c>
      <c r="E508" s="394" t="s">
        <v>2066</v>
      </c>
      <c r="G508" s="405" t="s">
        <v>3593</v>
      </c>
      <c r="H508" s="113">
        <v>3444</v>
      </c>
      <c r="I508" s="49" t="s">
        <v>2</v>
      </c>
      <c r="J508" s="48" t="s">
        <v>924</v>
      </c>
      <c r="K508" s="51">
        <v>40898</v>
      </c>
      <c r="L508" s="115">
        <v>40885</v>
      </c>
      <c r="M508" s="50">
        <f t="shared" si="20"/>
        <v>13</v>
      </c>
      <c r="N508" s="50" t="s">
        <v>2</v>
      </c>
      <c r="O508" s="131">
        <f t="shared" ref="O508:O513" si="21">1.4/2</f>
        <v>0.7</v>
      </c>
      <c r="P508" s="117">
        <v>4.5599999999999996</v>
      </c>
      <c r="Q508" s="131">
        <v>6.37</v>
      </c>
      <c r="R508" s="50">
        <v>12</v>
      </c>
      <c r="S508" s="74">
        <v>9.5</v>
      </c>
      <c r="T508" s="50">
        <v>0.04</v>
      </c>
      <c r="U508" s="131">
        <v>0.48</v>
      </c>
      <c r="V508" s="50">
        <v>0.32</v>
      </c>
      <c r="W508" s="74">
        <v>0.01</v>
      </c>
      <c r="X508" s="50">
        <v>0.1</v>
      </c>
      <c r="Y508" s="74">
        <v>5.0000000000000001E-3</v>
      </c>
      <c r="Z508" s="271">
        <v>1</v>
      </c>
      <c r="AA508" s="271">
        <v>1</v>
      </c>
      <c r="AB508" s="114">
        <v>2</v>
      </c>
      <c r="AC508" s="50">
        <v>12</v>
      </c>
      <c r="AD508" s="314">
        <v>0.8</v>
      </c>
      <c r="AF508" s="175"/>
    </row>
    <row r="509" spans="1:32" ht="15" customHeight="1">
      <c r="A509" s="41" t="s">
        <v>183</v>
      </c>
      <c r="B509" s="402" t="s">
        <v>2065</v>
      </c>
      <c r="D509" s="393" t="s">
        <v>314</v>
      </c>
      <c r="E509" s="394" t="s">
        <v>49</v>
      </c>
      <c r="G509" s="405" t="s">
        <v>3594</v>
      </c>
      <c r="H509" s="113">
        <v>3444</v>
      </c>
      <c r="I509" s="49" t="s">
        <v>2</v>
      </c>
      <c r="J509" s="48" t="s">
        <v>81</v>
      </c>
      <c r="K509" s="51">
        <v>40898</v>
      </c>
      <c r="L509" s="115">
        <v>40885</v>
      </c>
      <c r="M509" s="50">
        <f t="shared" si="20"/>
        <v>13</v>
      </c>
      <c r="N509" s="50" t="s">
        <v>2</v>
      </c>
      <c r="O509" s="131">
        <f t="shared" si="21"/>
        <v>0.7</v>
      </c>
      <c r="P509" s="117">
        <v>4.5599999999999996</v>
      </c>
      <c r="Q509" s="131">
        <v>5.46</v>
      </c>
      <c r="R509" s="50">
        <v>14</v>
      </c>
      <c r="S509" s="74">
        <f>5/2</f>
        <v>2.5</v>
      </c>
      <c r="T509" s="50">
        <v>0.03</v>
      </c>
      <c r="U509" s="131">
        <v>0.81</v>
      </c>
      <c r="V509" s="50">
        <v>0.34</v>
      </c>
      <c r="W509" s="74">
        <v>1.0999999999999999E-2</v>
      </c>
      <c r="X509" s="50">
        <v>0.45900000000000002</v>
      </c>
      <c r="Y509" s="74">
        <f>0.002/2</f>
        <v>1E-3</v>
      </c>
      <c r="Z509" s="271">
        <v>1</v>
      </c>
      <c r="AA509" s="271">
        <v>0.65900000000000003</v>
      </c>
      <c r="AB509" s="114">
        <v>2</v>
      </c>
      <c r="AC509" s="50">
        <v>8</v>
      </c>
      <c r="AD509" s="314">
        <v>0</v>
      </c>
      <c r="AF509" s="175"/>
    </row>
    <row r="510" spans="1:32" ht="15" customHeight="1">
      <c r="A510" s="41" t="s">
        <v>183</v>
      </c>
      <c r="B510" s="402" t="s">
        <v>2065</v>
      </c>
      <c r="D510" s="393" t="s">
        <v>314</v>
      </c>
      <c r="E510" s="394" t="s">
        <v>49</v>
      </c>
      <c r="G510" s="405" t="s">
        <v>3594</v>
      </c>
      <c r="H510" s="113">
        <v>3444</v>
      </c>
      <c r="I510" s="49" t="s">
        <v>2</v>
      </c>
      <c r="J510" s="48" t="s">
        <v>114</v>
      </c>
      <c r="K510" s="51">
        <v>40898</v>
      </c>
      <c r="L510" s="115">
        <v>40885</v>
      </c>
      <c r="M510" s="50">
        <f t="shared" si="20"/>
        <v>13</v>
      </c>
      <c r="N510" s="50" t="s">
        <v>2</v>
      </c>
      <c r="O510" s="131">
        <f t="shared" si="21"/>
        <v>0.7</v>
      </c>
      <c r="P510" s="117">
        <v>4.5599999999999996</v>
      </c>
      <c r="Q510" s="131">
        <v>5.52</v>
      </c>
      <c r="R510" s="50">
        <v>25</v>
      </c>
      <c r="S510" s="74">
        <v>11</v>
      </c>
      <c r="T510" s="50">
        <v>0.02</v>
      </c>
      <c r="U510" s="131">
        <v>0.56000000000000005</v>
      </c>
      <c r="V510" s="50">
        <v>0.4</v>
      </c>
      <c r="W510" s="74">
        <v>0.01</v>
      </c>
      <c r="X510" s="50">
        <v>2.9000000000000001E-2</v>
      </c>
      <c r="Y510" s="74">
        <f>0.002/2</f>
        <v>1E-3</v>
      </c>
      <c r="Z510" s="271">
        <v>1</v>
      </c>
      <c r="AA510" s="271">
        <v>1</v>
      </c>
      <c r="AB510" s="114">
        <v>2</v>
      </c>
      <c r="AC510" s="50">
        <v>11</v>
      </c>
      <c r="AD510" s="314">
        <v>1</v>
      </c>
      <c r="AF510" s="175"/>
    </row>
    <row r="511" spans="1:32" ht="15" customHeight="1">
      <c r="A511" s="41" t="s">
        <v>183</v>
      </c>
      <c r="B511" s="402" t="s">
        <v>2065</v>
      </c>
      <c r="D511" s="393" t="s">
        <v>314</v>
      </c>
      <c r="E511" s="394" t="s">
        <v>49</v>
      </c>
      <c r="G511" s="405" t="s">
        <v>3594</v>
      </c>
      <c r="H511" s="113">
        <v>3444</v>
      </c>
      <c r="I511" s="49" t="s">
        <v>2</v>
      </c>
      <c r="J511" s="48" t="s">
        <v>115</v>
      </c>
      <c r="K511" s="51">
        <v>40898</v>
      </c>
      <c r="L511" s="115">
        <v>40885</v>
      </c>
      <c r="M511" s="50">
        <f t="shared" si="20"/>
        <v>13</v>
      </c>
      <c r="N511" s="50" t="s">
        <v>2</v>
      </c>
      <c r="O511" s="131">
        <f t="shared" si="21"/>
        <v>0.7</v>
      </c>
      <c r="P511" s="117">
        <v>4.5599999999999996</v>
      </c>
      <c r="Q511" s="131">
        <v>5.66</v>
      </c>
      <c r="R511" s="50">
        <v>19</v>
      </c>
      <c r="S511" s="74">
        <v>17</v>
      </c>
      <c r="T511" s="50">
        <v>0.02</v>
      </c>
      <c r="U511" s="131">
        <v>0.56000000000000005</v>
      </c>
      <c r="V511" s="50">
        <v>0.28999999999999998</v>
      </c>
      <c r="W511" s="74">
        <v>1.2999999999999999E-2</v>
      </c>
      <c r="X511" s="50">
        <v>3.1E-2</v>
      </c>
      <c r="Y511" s="74">
        <f>0.002/2</f>
        <v>1E-3</v>
      </c>
      <c r="Z511" s="271">
        <v>1</v>
      </c>
      <c r="AA511" s="271">
        <v>1</v>
      </c>
      <c r="AB511" s="114">
        <v>0</v>
      </c>
      <c r="AC511" s="50">
        <v>8</v>
      </c>
      <c r="AD511" s="314">
        <v>1</v>
      </c>
      <c r="AF511" s="175"/>
    </row>
    <row r="512" spans="1:32" ht="15" customHeight="1">
      <c r="A512" s="41" t="s">
        <v>183</v>
      </c>
      <c r="B512" s="402" t="s">
        <v>2065</v>
      </c>
      <c r="D512" s="393" t="s">
        <v>314</v>
      </c>
      <c r="E512" s="394" t="s">
        <v>49</v>
      </c>
      <c r="G512" s="405" t="s">
        <v>3594</v>
      </c>
      <c r="H512" s="113">
        <v>3444</v>
      </c>
      <c r="I512" s="49" t="s">
        <v>2</v>
      </c>
      <c r="J512" s="48" t="s">
        <v>924</v>
      </c>
      <c r="K512" s="51">
        <v>40898</v>
      </c>
      <c r="L512" s="115">
        <v>40885</v>
      </c>
      <c r="M512" s="50">
        <f t="shared" si="20"/>
        <v>13</v>
      </c>
      <c r="N512" s="50" t="s">
        <v>2</v>
      </c>
      <c r="O512" s="131">
        <f t="shared" si="21"/>
        <v>0.7</v>
      </c>
      <c r="P512" s="117">
        <v>4.5599999999999996</v>
      </c>
      <c r="Q512" s="131">
        <v>5.74</v>
      </c>
      <c r="R512" s="50">
        <v>10</v>
      </c>
      <c r="S512" s="74">
        <v>14</v>
      </c>
      <c r="T512" s="50">
        <v>0.04</v>
      </c>
      <c r="U512" s="131">
        <v>0.49</v>
      </c>
      <c r="V512" s="50">
        <v>0.23</v>
      </c>
      <c r="W512" s="74">
        <v>0.01</v>
      </c>
      <c r="X512" s="50">
        <v>1.6E-2</v>
      </c>
      <c r="Y512" s="74">
        <f>0.002/2</f>
        <v>1E-3</v>
      </c>
      <c r="Z512" s="271">
        <v>1</v>
      </c>
      <c r="AA512" s="271">
        <v>1</v>
      </c>
      <c r="AB512" s="114">
        <v>0</v>
      </c>
      <c r="AC512" s="50">
        <v>46</v>
      </c>
      <c r="AD512" s="314">
        <v>0.95</v>
      </c>
      <c r="AF512" s="175"/>
    </row>
    <row r="513" spans="1:35" ht="15" customHeight="1">
      <c r="A513" s="41" t="s">
        <v>183</v>
      </c>
      <c r="B513" s="402" t="s">
        <v>2065</v>
      </c>
      <c r="D513" s="393" t="s">
        <v>314</v>
      </c>
      <c r="E513" s="394" t="s">
        <v>49</v>
      </c>
      <c r="G513" s="405" t="s">
        <v>3594</v>
      </c>
      <c r="H513" s="113">
        <v>3444</v>
      </c>
      <c r="I513" s="49" t="s">
        <v>2</v>
      </c>
      <c r="J513" s="48" t="s">
        <v>696</v>
      </c>
      <c r="K513" s="51">
        <v>40898</v>
      </c>
      <c r="L513" s="115">
        <v>40885</v>
      </c>
      <c r="M513" s="50">
        <f t="shared" si="20"/>
        <v>13</v>
      </c>
      <c r="N513" s="50" t="s">
        <v>2</v>
      </c>
      <c r="O513" s="131">
        <f t="shared" si="21"/>
        <v>0.7</v>
      </c>
      <c r="P513" s="117">
        <v>4.5599999999999996</v>
      </c>
      <c r="Q513" s="131">
        <v>7.05</v>
      </c>
      <c r="R513" s="50">
        <v>48</v>
      </c>
      <c r="S513" s="74">
        <v>9</v>
      </c>
      <c r="T513" s="50">
        <v>0.45</v>
      </c>
      <c r="U513" s="131">
        <v>0.79</v>
      </c>
      <c r="V513" s="50">
        <v>0.26</v>
      </c>
      <c r="W513" s="74">
        <v>1.4999999999999999E-2</v>
      </c>
      <c r="X513" s="50">
        <v>3.4000000000000002E-2</v>
      </c>
      <c r="Y513" s="74">
        <f>0.002/2</f>
        <v>1E-3</v>
      </c>
      <c r="Z513" s="271">
        <v>1</v>
      </c>
      <c r="AA513" s="271">
        <v>1</v>
      </c>
      <c r="AB513" s="114">
        <v>10</v>
      </c>
      <c r="AC513" s="50">
        <v>58</v>
      </c>
      <c r="AD513" s="314">
        <v>1</v>
      </c>
      <c r="AF513" s="175"/>
    </row>
    <row r="514" spans="1:35" ht="15" customHeight="1">
      <c r="A514" s="41" t="s">
        <v>183</v>
      </c>
      <c r="B514" s="402" t="s">
        <v>1974</v>
      </c>
      <c r="C514" s="113" t="s">
        <v>2067</v>
      </c>
      <c r="D514" s="393" t="s">
        <v>434</v>
      </c>
      <c r="E514" s="394" t="s">
        <v>2068</v>
      </c>
      <c r="G514" s="405" t="s">
        <v>1653</v>
      </c>
      <c r="H514" s="113">
        <v>3721</v>
      </c>
      <c r="I514" s="49" t="s">
        <v>2</v>
      </c>
      <c r="J514" s="48" t="s">
        <v>1654</v>
      </c>
      <c r="K514" s="51">
        <v>40835</v>
      </c>
      <c r="L514" s="115">
        <v>40830</v>
      </c>
      <c r="M514" s="50">
        <f t="shared" si="20"/>
        <v>5</v>
      </c>
      <c r="N514" s="50" t="s">
        <v>2</v>
      </c>
      <c r="O514" s="131">
        <f>1/2</f>
        <v>0.5</v>
      </c>
      <c r="P514" s="117">
        <v>5.71</v>
      </c>
      <c r="Q514" s="131">
        <v>6.74</v>
      </c>
      <c r="R514" s="50">
        <v>22.2</v>
      </c>
      <c r="S514" s="74">
        <v>10</v>
      </c>
      <c r="T514" s="50">
        <v>0.28000000000000003</v>
      </c>
      <c r="U514" s="131">
        <v>1.08</v>
      </c>
      <c r="V514" s="50">
        <v>2.9</v>
      </c>
      <c r="W514" s="74">
        <v>1.4999999999999999E-2</v>
      </c>
      <c r="X514" s="50">
        <v>0.06</v>
      </c>
      <c r="Y514" s="74">
        <v>1.4E-2</v>
      </c>
      <c r="Z514" s="271">
        <v>1</v>
      </c>
      <c r="AA514" s="271">
        <v>1</v>
      </c>
      <c r="AB514" s="114">
        <v>79.83</v>
      </c>
      <c r="AC514" s="50">
        <v>575</v>
      </c>
      <c r="AD514" s="314">
        <v>1</v>
      </c>
      <c r="AF514" s="175"/>
      <c r="AI514" s="114">
        <v>750</v>
      </c>
    </row>
    <row r="515" spans="1:35" ht="15" customHeight="1">
      <c r="A515" s="41" t="s">
        <v>183</v>
      </c>
      <c r="B515" s="402" t="s">
        <v>1974</v>
      </c>
      <c r="C515" s="113" t="s">
        <v>2067</v>
      </c>
      <c r="D515" s="393" t="s">
        <v>434</v>
      </c>
      <c r="E515" s="394" t="s">
        <v>2068</v>
      </c>
      <c r="G515" s="405" t="s">
        <v>1653</v>
      </c>
      <c r="H515" s="113">
        <v>3721</v>
      </c>
      <c r="I515" s="49" t="s">
        <v>2</v>
      </c>
      <c r="J515" s="48" t="s">
        <v>2069</v>
      </c>
      <c r="K515" s="51">
        <v>40835</v>
      </c>
      <c r="L515" s="115">
        <v>40830</v>
      </c>
      <c r="M515" s="50">
        <f t="shared" si="20"/>
        <v>5</v>
      </c>
      <c r="N515" s="50" t="s">
        <v>2</v>
      </c>
      <c r="O515" s="131">
        <v>2.8</v>
      </c>
      <c r="P515" s="117">
        <v>5.71</v>
      </c>
      <c r="Q515" s="131">
        <v>6.67</v>
      </c>
      <c r="R515" s="50">
        <v>7.5</v>
      </c>
      <c r="S515" s="74">
        <v>3</v>
      </c>
      <c r="T515" s="50">
        <f>1/2</f>
        <v>0.5</v>
      </c>
      <c r="U515" s="131">
        <v>0.98</v>
      </c>
      <c r="V515" s="50">
        <v>1.26</v>
      </c>
      <c r="W515" s="74">
        <v>1.6E-2</v>
      </c>
      <c r="X515" s="50">
        <v>8.3000000000000004E-2</v>
      </c>
      <c r="Y515" s="74">
        <v>6.0000000000000001E-3</v>
      </c>
      <c r="Z515" s="271">
        <v>1</v>
      </c>
      <c r="AA515" s="271">
        <v>1</v>
      </c>
      <c r="AD515" s="314"/>
      <c r="AF515" s="175"/>
      <c r="AI515" s="114">
        <v>260</v>
      </c>
    </row>
    <row r="516" spans="1:35" ht="15" customHeight="1">
      <c r="A516" s="41" t="s">
        <v>183</v>
      </c>
      <c r="B516" s="402" t="s">
        <v>1974</v>
      </c>
      <c r="C516" s="113" t="s">
        <v>2067</v>
      </c>
      <c r="D516" s="393" t="s">
        <v>434</v>
      </c>
      <c r="E516" s="394" t="s">
        <v>2068</v>
      </c>
      <c r="G516" s="405" t="s">
        <v>1653</v>
      </c>
      <c r="H516" s="113">
        <v>3721</v>
      </c>
      <c r="I516" s="49" t="s">
        <v>2</v>
      </c>
      <c r="J516" s="48" t="s">
        <v>1656</v>
      </c>
      <c r="K516" s="51">
        <v>40835</v>
      </c>
      <c r="L516" s="115">
        <v>40830</v>
      </c>
      <c r="M516" s="50">
        <f t="shared" si="20"/>
        <v>5</v>
      </c>
      <c r="N516" s="50" t="s">
        <v>2</v>
      </c>
      <c r="O516" s="131">
        <f>1/2</f>
        <v>0.5</v>
      </c>
      <c r="P516" s="117">
        <v>5.71</v>
      </c>
      <c r="Q516" s="131">
        <v>7.02</v>
      </c>
      <c r="R516" s="50">
        <v>38.4</v>
      </c>
      <c r="S516" s="74">
        <v>21</v>
      </c>
      <c r="T516" s="50">
        <v>0.18</v>
      </c>
      <c r="U516" s="131">
        <v>1.24</v>
      </c>
      <c r="V516" s="50">
        <v>1.57</v>
      </c>
      <c r="W516" s="74">
        <v>1.6E-2</v>
      </c>
      <c r="X516" s="50">
        <v>0.44700000000000001</v>
      </c>
      <c r="Y516" s="74">
        <v>5.0000000000000001E-3</v>
      </c>
      <c r="Z516" s="271">
        <v>0.20888000000000001</v>
      </c>
      <c r="AA516" s="271">
        <v>0.14219999999999999</v>
      </c>
      <c r="AB516" s="114">
        <v>24.45</v>
      </c>
      <c r="AC516" s="50">
        <v>78</v>
      </c>
      <c r="AD516" s="314"/>
      <c r="AF516" s="175"/>
      <c r="AI516" s="114">
        <v>2700</v>
      </c>
    </row>
    <row r="517" spans="1:35" ht="15" customHeight="1">
      <c r="A517" s="41" t="s">
        <v>183</v>
      </c>
      <c r="B517" s="402" t="s">
        <v>1974</v>
      </c>
      <c r="C517" s="113" t="s">
        <v>2067</v>
      </c>
      <c r="D517" s="393" t="s">
        <v>434</v>
      </c>
      <c r="E517" s="394" t="s">
        <v>2068</v>
      </c>
      <c r="G517" s="405" t="s">
        <v>1653</v>
      </c>
      <c r="H517" s="113">
        <v>3721</v>
      </c>
      <c r="I517" s="49" t="s">
        <v>2</v>
      </c>
      <c r="J517" s="48" t="s">
        <v>1657</v>
      </c>
      <c r="K517" s="51">
        <v>40835</v>
      </c>
      <c r="L517" s="115">
        <v>40830</v>
      </c>
      <c r="M517" s="50">
        <f t="shared" si="20"/>
        <v>5</v>
      </c>
      <c r="N517" s="50" t="s">
        <v>2</v>
      </c>
      <c r="O517" s="131">
        <f>1/2</f>
        <v>0.5</v>
      </c>
      <c r="P517" s="117">
        <v>5.71</v>
      </c>
      <c r="Q517" s="131">
        <v>7.12</v>
      </c>
      <c r="R517" s="50">
        <v>3.7</v>
      </c>
      <c r="S517" s="74">
        <v>10</v>
      </c>
      <c r="T517" s="50">
        <f>0.05/2</f>
        <v>2.5000000000000001E-2</v>
      </c>
      <c r="U517" s="131">
        <v>0.62</v>
      </c>
      <c r="V517" s="50">
        <v>3.29</v>
      </c>
      <c r="W517" s="74">
        <v>6.0000000000000001E-3</v>
      </c>
      <c r="X517" s="50">
        <v>3.9E-2</v>
      </c>
      <c r="Y517" s="74">
        <f>0.005/2</f>
        <v>2.5000000000000001E-3</v>
      </c>
      <c r="Z517" s="271">
        <v>1</v>
      </c>
      <c r="AA517" s="271">
        <v>1</v>
      </c>
      <c r="AB517" s="114">
        <v>88.53</v>
      </c>
      <c r="AC517" s="50">
        <v>410</v>
      </c>
      <c r="AD517" s="314">
        <v>1</v>
      </c>
      <c r="AF517" s="175"/>
      <c r="AI517" s="114">
        <v>950</v>
      </c>
    </row>
    <row r="518" spans="1:35" ht="15" customHeight="1">
      <c r="A518" s="41" t="s">
        <v>183</v>
      </c>
      <c r="B518" s="402" t="s">
        <v>1974</v>
      </c>
      <c r="C518" s="113" t="s">
        <v>2067</v>
      </c>
      <c r="D518" s="393" t="s">
        <v>434</v>
      </c>
      <c r="E518" s="394" t="s">
        <v>2068</v>
      </c>
      <c r="G518" s="405" t="s">
        <v>1653</v>
      </c>
      <c r="H518" s="113">
        <v>3721</v>
      </c>
      <c r="I518" s="49" t="s">
        <v>2</v>
      </c>
      <c r="J518" s="48" t="s">
        <v>1658</v>
      </c>
      <c r="K518" s="51">
        <v>40835</v>
      </c>
      <c r="L518" s="115">
        <v>40830</v>
      </c>
      <c r="M518" s="50">
        <f t="shared" si="20"/>
        <v>5</v>
      </c>
      <c r="N518" s="50" t="s">
        <v>2</v>
      </c>
      <c r="O518" s="131">
        <f>1/2</f>
        <v>0.5</v>
      </c>
      <c r="P518" s="117">
        <v>5.71</v>
      </c>
      <c r="Q518" s="131">
        <v>7.15</v>
      </c>
      <c r="R518" s="50">
        <f>1/2</f>
        <v>0.5</v>
      </c>
      <c r="S518" s="74">
        <f>1/2</f>
        <v>0.5</v>
      </c>
      <c r="T518" s="50">
        <v>0.12</v>
      </c>
      <c r="U518" s="131">
        <v>0.72</v>
      </c>
      <c r="V518" s="50">
        <v>3.32</v>
      </c>
      <c r="W518" s="74">
        <v>5.0000000000000001E-3</v>
      </c>
      <c r="X518" s="50">
        <v>5.2999999999999999E-2</v>
      </c>
      <c r="Y518" s="74">
        <f>0.005/2</f>
        <v>2.5000000000000001E-3</v>
      </c>
      <c r="Z518" s="271">
        <v>1</v>
      </c>
      <c r="AA518" s="271">
        <v>1</v>
      </c>
      <c r="AB518" s="114">
        <v>95.37</v>
      </c>
      <c r="AC518" s="50">
        <v>405</v>
      </c>
      <c r="AD518" s="314">
        <v>1</v>
      </c>
      <c r="AF518" s="175"/>
      <c r="AI518" s="114">
        <v>4500</v>
      </c>
    </row>
    <row r="519" spans="1:35" ht="15" customHeight="1">
      <c r="A519" s="41" t="s">
        <v>183</v>
      </c>
      <c r="B519" s="402" t="s">
        <v>1974</v>
      </c>
      <c r="C519" s="113" t="s">
        <v>2067</v>
      </c>
      <c r="D519" s="393" t="s">
        <v>434</v>
      </c>
      <c r="E519" s="394" t="s">
        <v>2068</v>
      </c>
      <c r="G519" s="405" t="s">
        <v>1653</v>
      </c>
      <c r="H519" s="113">
        <v>3721</v>
      </c>
      <c r="I519" s="49" t="s">
        <v>2</v>
      </c>
      <c r="J519" s="48" t="s">
        <v>1659</v>
      </c>
      <c r="K519" s="51">
        <v>40835</v>
      </c>
      <c r="L519" s="115">
        <v>40830</v>
      </c>
      <c r="M519" s="50">
        <f t="shared" si="20"/>
        <v>5</v>
      </c>
      <c r="N519" s="50" t="s">
        <v>2</v>
      </c>
      <c r="O519" s="131">
        <f>1/2</f>
        <v>0.5</v>
      </c>
      <c r="P519" s="117">
        <v>5.71</v>
      </c>
      <c r="Q519" s="131">
        <v>7.14</v>
      </c>
      <c r="R519" s="50">
        <f>1/2</f>
        <v>0.5</v>
      </c>
      <c r="S519" s="74">
        <v>15</v>
      </c>
      <c r="T519" s="50">
        <f>0.05/2</f>
        <v>2.5000000000000001E-2</v>
      </c>
      <c r="U519" s="131">
        <v>0.48</v>
      </c>
      <c r="V519" s="50">
        <v>3.35</v>
      </c>
      <c r="W519" s="74">
        <v>5.0000000000000001E-3</v>
      </c>
      <c r="X519" s="50">
        <v>4.8000000000000001E-2</v>
      </c>
      <c r="Y519" s="74">
        <f>0.005/2</f>
        <v>2.5000000000000001E-3</v>
      </c>
      <c r="Z519" s="271">
        <v>1</v>
      </c>
      <c r="AA519" s="271">
        <v>1</v>
      </c>
      <c r="AB519" s="114">
        <v>88.76</v>
      </c>
      <c r="AC519" s="50">
        <v>403</v>
      </c>
      <c r="AD519" s="314">
        <v>1</v>
      </c>
      <c r="AF519" s="175"/>
      <c r="AI519" s="114">
        <v>1050</v>
      </c>
    </row>
    <row r="520" spans="1:35" ht="15" customHeight="1">
      <c r="A520" s="41" t="s">
        <v>183</v>
      </c>
      <c r="B520" s="402" t="s">
        <v>1974</v>
      </c>
      <c r="C520" s="113" t="s">
        <v>2067</v>
      </c>
      <c r="D520" s="393" t="s">
        <v>434</v>
      </c>
      <c r="E520" s="394" t="s">
        <v>2068</v>
      </c>
      <c r="G520" s="405" t="s">
        <v>1653</v>
      </c>
      <c r="H520" s="113">
        <v>3721</v>
      </c>
      <c r="I520" s="49" t="s">
        <v>2</v>
      </c>
      <c r="J520" s="48" t="s">
        <v>1660</v>
      </c>
      <c r="K520" s="51">
        <v>40835</v>
      </c>
      <c r="L520" s="115">
        <v>40830</v>
      </c>
      <c r="M520" s="50">
        <f t="shared" ref="M520:M547" si="22">K520-L520</f>
        <v>5</v>
      </c>
      <c r="N520" s="50" t="s">
        <v>2</v>
      </c>
      <c r="O520" s="131">
        <v>7.2</v>
      </c>
      <c r="P520" s="117">
        <v>5.71</v>
      </c>
      <c r="Q520" s="131">
        <v>6.62</v>
      </c>
      <c r="R520" s="50">
        <v>78.599999999999994</v>
      </c>
      <c r="S520" s="74">
        <v>53</v>
      </c>
      <c r="T520" s="50">
        <v>0.33</v>
      </c>
      <c r="U520" s="131">
        <v>2.36</v>
      </c>
      <c r="V520" s="50">
        <v>0.42</v>
      </c>
      <c r="W520" s="74">
        <v>2.4E-2</v>
      </c>
      <c r="X520" s="50">
        <v>0.24299999999999999</v>
      </c>
      <c r="Y520" s="74">
        <v>7.0000000000000001E-3</v>
      </c>
      <c r="Z520" s="271">
        <v>1</v>
      </c>
      <c r="AA520" s="271">
        <v>1</v>
      </c>
      <c r="AB520" s="114">
        <v>11.67</v>
      </c>
      <c r="AC520" s="50">
        <v>40</v>
      </c>
      <c r="AD520" s="314">
        <v>0.55000000000000004</v>
      </c>
      <c r="AF520" s="175"/>
      <c r="AI520" s="114">
        <v>245</v>
      </c>
    </row>
    <row r="521" spans="1:35" ht="15" customHeight="1">
      <c r="A521" s="41" t="s">
        <v>183</v>
      </c>
      <c r="B521" s="402" t="s">
        <v>1974</v>
      </c>
      <c r="C521" s="113" t="s">
        <v>2067</v>
      </c>
      <c r="D521" s="393" t="s">
        <v>434</v>
      </c>
      <c r="E521" s="394" t="s">
        <v>2068</v>
      </c>
      <c r="G521" s="405" t="s">
        <v>1653</v>
      </c>
      <c r="H521" s="113">
        <v>3721</v>
      </c>
      <c r="I521" s="49" t="s">
        <v>2</v>
      </c>
      <c r="J521" s="48" t="s">
        <v>1661</v>
      </c>
      <c r="K521" s="51">
        <v>40835</v>
      </c>
      <c r="L521" s="115">
        <v>40830</v>
      </c>
      <c r="M521" s="50">
        <f t="shared" si="22"/>
        <v>5</v>
      </c>
      <c r="N521" s="50" t="s">
        <v>2</v>
      </c>
      <c r="O521" s="131">
        <f>1/2</f>
        <v>0.5</v>
      </c>
      <c r="P521" s="117">
        <v>5.71</v>
      </c>
      <c r="Q521" s="131">
        <v>7.25</v>
      </c>
      <c r="R521" s="50">
        <v>25.6</v>
      </c>
      <c r="S521" s="74">
        <v>23</v>
      </c>
      <c r="T521" s="50">
        <f>0.05/2</f>
        <v>2.5000000000000001E-2</v>
      </c>
      <c r="U521" s="131">
        <v>1.3</v>
      </c>
      <c r="V521" s="50">
        <v>0.11</v>
      </c>
      <c r="W521" s="74">
        <v>8.9999999999999993E-3</v>
      </c>
      <c r="X521" s="50">
        <v>1.7999999999999999E-2</v>
      </c>
      <c r="Y521" s="74">
        <f>0.005/2</f>
        <v>2.5000000000000001E-3</v>
      </c>
      <c r="Z521" s="271">
        <v>1</v>
      </c>
      <c r="AA521" s="271">
        <v>1</v>
      </c>
      <c r="AB521" s="114">
        <v>12.54</v>
      </c>
      <c r="AC521" s="50">
        <v>30</v>
      </c>
      <c r="AD521" s="314">
        <v>1</v>
      </c>
      <c r="AF521" s="175"/>
      <c r="AI521" s="114">
        <v>1250</v>
      </c>
    </row>
    <row r="522" spans="1:35" ht="15" customHeight="1">
      <c r="A522" s="41" t="s">
        <v>183</v>
      </c>
      <c r="B522" s="402" t="s">
        <v>1974</v>
      </c>
      <c r="C522" s="113" t="s">
        <v>2067</v>
      </c>
      <c r="D522" s="393" t="s">
        <v>434</v>
      </c>
      <c r="E522" s="394" t="s">
        <v>2068</v>
      </c>
      <c r="G522" s="405" t="s">
        <v>1653</v>
      </c>
      <c r="H522" s="113">
        <v>3721</v>
      </c>
      <c r="I522" s="49" t="s">
        <v>2</v>
      </c>
      <c r="J522" s="48" t="s">
        <v>1662</v>
      </c>
      <c r="K522" s="51">
        <v>40835</v>
      </c>
      <c r="L522" s="115">
        <v>40830</v>
      </c>
      <c r="M522" s="50">
        <f t="shared" si="22"/>
        <v>5</v>
      </c>
      <c r="N522" s="50" t="s">
        <v>2</v>
      </c>
      <c r="O522" s="131">
        <v>4</v>
      </c>
      <c r="P522" s="117">
        <v>5.71</v>
      </c>
      <c r="Q522" s="131">
        <v>6.67</v>
      </c>
      <c r="R522" s="50">
        <v>66.3</v>
      </c>
      <c r="S522" s="74">
        <v>289</v>
      </c>
      <c r="T522" s="50">
        <v>1.91</v>
      </c>
      <c r="U522" s="131">
        <v>9.6</v>
      </c>
      <c r="V522" s="50">
        <v>0.55000000000000004</v>
      </c>
      <c r="W522" s="74">
        <v>2.8000000000000001E-2</v>
      </c>
      <c r="X522" s="50">
        <v>0.25</v>
      </c>
      <c r="Y522" s="74">
        <v>4.7E-2</v>
      </c>
      <c r="Z522" s="271">
        <v>1</v>
      </c>
      <c r="AA522" s="271">
        <v>1</v>
      </c>
      <c r="AB522" s="114">
        <v>8.41</v>
      </c>
      <c r="AC522" s="50">
        <v>53</v>
      </c>
      <c r="AD522" s="314">
        <v>1</v>
      </c>
      <c r="AF522" s="175"/>
      <c r="AI522" s="114">
        <v>590</v>
      </c>
    </row>
    <row r="523" spans="1:35" ht="15" customHeight="1">
      <c r="A523" s="41" t="s">
        <v>183</v>
      </c>
      <c r="B523" s="402" t="s">
        <v>1974</v>
      </c>
      <c r="C523" s="113" t="s">
        <v>2067</v>
      </c>
      <c r="D523" s="393" t="s">
        <v>434</v>
      </c>
      <c r="E523" s="394" t="s">
        <v>2068</v>
      </c>
      <c r="G523" s="405" t="s">
        <v>1653</v>
      </c>
      <c r="H523" s="113">
        <v>3721</v>
      </c>
      <c r="I523" s="49" t="s">
        <v>2</v>
      </c>
      <c r="J523" s="48" t="s">
        <v>1663</v>
      </c>
      <c r="K523" s="51">
        <v>40835</v>
      </c>
      <c r="L523" s="115">
        <v>40830</v>
      </c>
      <c r="M523" s="50">
        <f t="shared" si="22"/>
        <v>5</v>
      </c>
      <c r="N523" s="50" t="s">
        <v>2</v>
      </c>
      <c r="O523" s="131">
        <v>3.6</v>
      </c>
      <c r="P523" s="117">
        <v>5.71</v>
      </c>
      <c r="Q523" s="131">
        <v>6.33</v>
      </c>
      <c r="R523" s="50">
        <v>41.4</v>
      </c>
      <c r="S523" s="74">
        <v>245</v>
      </c>
      <c r="T523" s="50">
        <v>0.64</v>
      </c>
      <c r="U523" s="131">
        <v>4.3499999999999996</v>
      </c>
      <c r="V523" s="50">
        <v>1</v>
      </c>
      <c r="W523" s="74">
        <v>3.5000000000000003E-2</v>
      </c>
      <c r="X523" s="50">
        <v>0.35899999999999999</v>
      </c>
      <c r="Y523" s="74">
        <v>3.6999999999999998E-2</v>
      </c>
      <c r="Z523" s="271">
        <v>1</v>
      </c>
      <c r="AA523" s="271">
        <v>1</v>
      </c>
      <c r="AB523" s="114">
        <v>20.82</v>
      </c>
      <c r="AC523" s="50">
        <v>35</v>
      </c>
      <c r="AD523" s="314">
        <v>1</v>
      </c>
      <c r="AF523" s="175"/>
      <c r="AI523" s="114">
        <v>45</v>
      </c>
    </row>
    <row r="524" spans="1:35" ht="15" customHeight="1">
      <c r="A524" s="41" t="s">
        <v>183</v>
      </c>
      <c r="B524" s="402" t="s">
        <v>1974</v>
      </c>
      <c r="C524" s="113" t="s">
        <v>2067</v>
      </c>
      <c r="D524" s="393" t="s">
        <v>434</v>
      </c>
      <c r="E524" s="394" t="s">
        <v>2068</v>
      </c>
      <c r="G524" s="405" t="s">
        <v>1653</v>
      </c>
      <c r="H524" s="113">
        <v>3721</v>
      </c>
      <c r="I524" s="49" t="s">
        <v>2</v>
      </c>
      <c r="J524" s="48" t="s">
        <v>1664</v>
      </c>
      <c r="K524" s="51">
        <v>40835</v>
      </c>
      <c r="L524" s="115">
        <v>40830</v>
      </c>
      <c r="M524" s="50">
        <f t="shared" si="22"/>
        <v>5</v>
      </c>
      <c r="N524" s="50" t="s">
        <v>2</v>
      </c>
      <c r="O524" s="131">
        <v>2.4</v>
      </c>
      <c r="P524" s="117">
        <v>5.71</v>
      </c>
      <c r="Q524" s="131">
        <v>6.49</v>
      </c>
      <c r="R524" s="50">
        <v>15</v>
      </c>
      <c r="S524" s="74">
        <v>145</v>
      </c>
      <c r="T524" s="50">
        <f>0.05/2</f>
        <v>2.5000000000000001E-2</v>
      </c>
      <c r="U524" s="131">
        <v>1.1599999999999999</v>
      </c>
      <c r="V524" s="50">
        <v>0.36</v>
      </c>
      <c r="W524" s="74">
        <v>3.6999999999999998E-2</v>
      </c>
      <c r="X524" s="50">
        <v>0.15</v>
      </c>
      <c r="Y524" s="74">
        <v>1.7999999999999999E-2</v>
      </c>
      <c r="Z524" s="271">
        <v>1</v>
      </c>
      <c r="AA524" s="271">
        <v>1</v>
      </c>
      <c r="AB524" s="114">
        <v>30.43</v>
      </c>
      <c r="AC524" s="50">
        <v>48</v>
      </c>
      <c r="AD524" s="314">
        <v>1</v>
      </c>
      <c r="AF524" s="175"/>
      <c r="AI524" s="114">
        <v>12000</v>
      </c>
    </row>
    <row r="525" spans="1:35" ht="15" customHeight="1">
      <c r="A525" s="41" t="s">
        <v>183</v>
      </c>
      <c r="B525" s="402" t="s">
        <v>1974</v>
      </c>
      <c r="C525" s="113" t="s">
        <v>2067</v>
      </c>
      <c r="D525" s="393" t="s">
        <v>434</v>
      </c>
      <c r="E525" s="394" t="s">
        <v>2068</v>
      </c>
      <c r="G525" s="405" t="s">
        <v>1653</v>
      </c>
      <c r="H525" s="113">
        <v>3721</v>
      </c>
      <c r="I525" s="49" t="s">
        <v>2</v>
      </c>
      <c r="J525" s="48" t="s">
        <v>1665</v>
      </c>
      <c r="K525" s="51">
        <v>40835</v>
      </c>
      <c r="L525" s="115">
        <v>40830</v>
      </c>
      <c r="M525" s="50">
        <f t="shared" si="22"/>
        <v>5</v>
      </c>
      <c r="N525" s="50" t="s">
        <v>2</v>
      </c>
      <c r="O525" s="131">
        <v>2</v>
      </c>
      <c r="P525" s="117">
        <v>5.71</v>
      </c>
      <c r="Q525" s="131">
        <v>6.38</v>
      </c>
      <c r="R525" s="50">
        <v>41.4</v>
      </c>
      <c r="S525" s="74">
        <v>66</v>
      </c>
      <c r="T525" s="50">
        <v>0.16</v>
      </c>
      <c r="U525" s="131">
        <v>1.1599999999999999</v>
      </c>
      <c r="V525" s="50">
        <v>0.36</v>
      </c>
      <c r="W525" s="74">
        <v>1.7000000000000001E-2</v>
      </c>
      <c r="X525" s="50">
        <v>5.2999999999999999E-2</v>
      </c>
      <c r="Y525" s="74">
        <v>8.9999999999999993E-3</v>
      </c>
      <c r="Z525" s="271">
        <v>1</v>
      </c>
      <c r="AA525" s="271">
        <v>1</v>
      </c>
      <c r="AB525" s="114">
        <v>3.64</v>
      </c>
      <c r="AC525" s="50">
        <v>19</v>
      </c>
      <c r="AD525" s="314">
        <v>1</v>
      </c>
      <c r="AF525" s="175"/>
      <c r="AI525" s="114">
        <v>58</v>
      </c>
    </row>
    <row r="526" spans="1:35" ht="15" customHeight="1">
      <c r="A526" s="41" t="s">
        <v>183</v>
      </c>
      <c r="B526" s="402" t="s">
        <v>1974</v>
      </c>
      <c r="C526" s="113" t="s">
        <v>2067</v>
      </c>
      <c r="D526" s="393" t="s">
        <v>434</v>
      </c>
      <c r="E526" s="394" t="s">
        <v>2068</v>
      </c>
      <c r="G526" s="405" t="s">
        <v>1653</v>
      </c>
      <c r="H526" s="113">
        <v>3721</v>
      </c>
      <c r="I526" s="49" t="s">
        <v>2</v>
      </c>
      <c r="J526" s="48" t="s">
        <v>1666</v>
      </c>
      <c r="K526" s="51">
        <v>40835</v>
      </c>
      <c r="L526" s="115">
        <v>40830</v>
      </c>
      <c r="M526" s="50">
        <f t="shared" si="22"/>
        <v>5</v>
      </c>
      <c r="N526" s="50" t="s">
        <v>2</v>
      </c>
      <c r="O526" s="131">
        <f>1/2</f>
        <v>0.5</v>
      </c>
      <c r="P526" s="117">
        <v>5.71</v>
      </c>
      <c r="Q526" s="131">
        <v>6.94</v>
      </c>
      <c r="R526" s="50">
        <f>1/2</f>
        <v>0.5</v>
      </c>
      <c r="S526" s="74">
        <v>8</v>
      </c>
      <c r="T526" s="50">
        <f>0.05/2</f>
        <v>2.5000000000000001E-2</v>
      </c>
      <c r="U526" s="131">
        <v>0.8</v>
      </c>
      <c r="V526" s="50">
        <v>3.58</v>
      </c>
      <c r="W526" s="74">
        <v>6.0000000000000001E-3</v>
      </c>
      <c r="X526" s="50">
        <v>5.6000000000000001E-2</v>
      </c>
      <c r="Y526" s="74">
        <f>0.005/2</f>
        <v>2.5000000000000001E-3</v>
      </c>
      <c r="Z526" s="271">
        <v>1</v>
      </c>
      <c r="AA526" s="271">
        <v>1</v>
      </c>
      <c r="AB526" s="114">
        <v>95.21</v>
      </c>
      <c r="AC526" s="50">
        <v>402</v>
      </c>
      <c r="AD526" s="314">
        <v>0.95</v>
      </c>
      <c r="AF526" s="175"/>
      <c r="AI526" s="114">
        <v>335</v>
      </c>
    </row>
    <row r="527" spans="1:35" ht="15" customHeight="1">
      <c r="A527" s="41" t="s">
        <v>183</v>
      </c>
      <c r="B527" s="402" t="s">
        <v>1974</v>
      </c>
      <c r="C527" s="113" t="s">
        <v>2067</v>
      </c>
      <c r="D527" s="393" t="s">
        <v>434</v>
      </c>
      <c r="E527" s="394" t="s">
        <v>2068</v>
      </c>
      <c r="G527" s="405" t="s">
        <v>1653</v>
      </c>
      <c r="H527" s="113">
        <v>3721</v>
      </c>
      <c r="I527" s="49" t="s">
        <v>2</v>
      </c>
      <c r="J527" s="48" t="s">
        <v>1667</v>
      </c>
      <c r="K527" s="51">
        <v>40835</v>
      </c>
      <c r="L527" s="115">
        <v>40830</v>
      </c>
      <c r="M527" s="50">
        <f t="shared" si="22"/>
        <v>5</v>
      </c>
      <c r="N527" s="50" t="s">
        <v>2</v>
      </c>
      <c r="O527" s="131">
        <f>1/2</f>
        <v>0.5</v>
      </c>
      <c r="P527" s="117">
        <v>5.71</v>
      </c>
      <c r="Q527" s="131">
        <v>7.03</v>
      </c>
      <c r="R527" s="50">
        <f>1/2</f>
        <v>0.5</v>
      </c>
      <c r="S527" s="74">
        <v>14</v>
      </c>
      <c r="T527" s="50">
        <f>0.05/2</f>
        <v>2.5000000000000001E-2</v>
      </c>
      <c r="U527" s="131">
        <v>0.88</v>
      </c>
      <c r="V527" s="50">
        <v>3.31</v>
      </c>
      <c r="W527" s="74">
        <v>6.0000000000000001E-3</v>
      </c>
      <c r="X527" s="50">
        <v>4.2999999999999997E-2</v>
      </c>
      <c r="Y527" s="74">
        <f>0.005/2</f>
        <v>2.5000000000000001E-3</v>
      </c>
      <c r="Z527" s="271">
        <v>1</v>
      </c>
      <c r="AA527" s="271">
        <v>1</v>
      </c>
      <c r="AB527" s="114">
        <v>97.03</v>
      </c>
      <c r="AC527" s="50">
        <v>403</v>
      </c>
      <c r="AD527" s="314">
        <v>1</v>
      </c>
      <c r="AF527" s="175"/>
      <c r="AI527" s="114">
        <v>890</v>
      </c>
    </row>
    <row r="528" spans="1:35" ht="15" customHeight="1">
      <c r="A528" s="41" t="s">
        <v>183</v>
      </c>
      <c r="B528" s="402" t="s">
        <v>1974</v>
      </c>
      <c r="C528" s="113" t="s">
        <v>2067</v>
      </c>
      <c r="D528" s="393" t="s">
        <v>434</v>
      </c>
      <c r="E528" s="394" t="s">
        <v>2068</v>
      </c>
      <c r="G528" s="405" t="s">
        <v>1653</v>
      </c>
      <c r="H528" s="113">
        <v>3721</v>
      </c>
      <c r="I528" s="49" t="s">
        <v>2</v>
      </c>
      <c r="J528" s="48" t="s">
        <v>1668</v>
      </c>
      <c r="K528" s="51">
        <v>40835</v>
      </c>
      <c r="L528" s="115">
        <v>40830</v>
      </c>
      <c r="M528" s="50">
        <f t="shared" si="22"/>
        <v>5</v>
      </c>
      <c r="N528" s="50" t="s">
        <v>2</v>
      </c>
      <c r="O528" s="131">
        <f>1/2</f>
        <v>0.5</v>
      </c>
      <c r="P528" s="117">
        <v>5.71</v>
      </c>
      <c r="Q528" s="131">
        <v>6.61</v>
      </c>
      <c r="R528" s="50">
        <v>32.1</v>
      </c>
      <c r="S528" s="74">
        <v>46</v>
      </c>
      <c r="T528" s="50">
        <v>0.15</v>
      </c>
      <c r="U528" s="131">
        <v>1.36</v>
      </c>
      <c r="V528" s="50">
        <v>0.2</v>
      </c>
      <c r="W528" s="74">
        <v>1.0999999999999999E-2</v>
      </c>
      <c r="X528" s="50">
        <v>5.5E-2</v>
      </c>
      <c r="Y528" s="74">
        <v>5.0000000000000001E-3</v>
      </c>
      <c r="Z528" s="271">
        <v>1</v>
      </c>
      <c r="AA528" s="271">
        <v>1</v>
      </c>
      <c r="AB528" s="114">
        <v>6.54</v>
      </c>
      <c r="AC528" s="50">
        <v>23</v>
      </c>
      <c r="AD528" s="314">
        <v>1</v>
      </c>
      <c r="AF528" s="175"/>
      <c r="AI528" s="114">
        <v>68</v>
      </c>
    </row>
    <row r="529" spans="1:35" ht="15" customHeight="1">
      <c r="A529" s="41" t="s">
        <v>183</v>
      </c>
      <c r="B529" s="402" t="s">
        <v>1974</v>
      </c>
      <c r="C529" s="113" t="s">
        <v>2067</v>
      </c>
      <c r="D529" s="393" t="s">
        <v>434</v>
      </c>
      <c r="E529" s="394" t="s">
        <v>2068</v>
      </c>
      <c r="G529" s="405" t="s">
        <v>1653</v>
      </c>
      <c r="H529" s="113">
        <v>3721</v>
      </c>
      <c r="I529" s="49" t="s">
        <v>2</v>
      </c>
      <c r="J529" s="48" t="s">
        <v>1669</v>
      </c>
      <c r="K529" s="51">
        <v>40835</v>
      </c>
      <c r="L529" s="115">
        <v>40830</v>
      </c>
      <c r="M529" s="50">
        <f t="shared" si="22"/>
        <v>5</v>
      </c>
      <c r="N529" s="50" t="s">
        <v>2</v>
      </c>
      <c r="O529" s="131">
        <f>1/2</f>
        <v>0.5</v>
      </c>
      <c r="P529" s="117">
        <v>5.71</v>
      </c>
      <c r="Q529" s="131">
        <v>6.57</v>
      </c>
      <c r="R529" s="50">
        <v>18.7</v>
      </c>
      <c r="S529" s="74">
        <v>8</v>
      </c>
      <c r="T529" s="50">
        <f>0.05/2</f>
        <v>2.5000000000000001E-2</v>
      </c>
      <c r="U529" s="131">
        <v>0.64</v>
      </c>
      <c r="V529" s="50">
        <v>0.28999999999999998</v>
      </c>
      <c r="W529" s="74">
        <v>8.0000000000000002E-3</v>
      </c>
      <c r="X529" s="50">
        <v>0.41</v>
      </c>
      <c r="Y529" s="74">
        <v>6.0000000000000001E-3</v>
      </c>
      <c r="Z529" s="271">
        <v>1</v>
      </c>
      <c r="AB529" s="114">
        <v>9.8800000000000008</v>
      </c>
      <c r="AC529" s="50">
        <v>19</v>
      </c>
      <c r="AD529" s="314">
        <v>0.3</v>
      </c>
      <c r="AF529" s="175"/>
      <c r="AI529" s="114">
        <v>178</v>
      </c>
    </row>
    <row r="530" spans="1:35" ht="15" customHeight="1">
      <c r="A530" s="41" t="s">
        <v>183</v>
      </c>
      <c r="B530" s="402" t="s">
        <v>2070</v>
      </c>
      <c r="C530" s="113" t="s">
        <v>2071</v>
      </c>
      <c r="D530" s="393" t="s">
        <v>1837</v>
      </c>
      <c r="E530" s="394" t="s">
        <v>112</v>
      </c>
      <c r="G530" s="405" t="s">
        <v>3105</v>
      </c>
      <c r="H530" s="113">
        <v>4952</v>
      </c>
      <c r="I530" s="49" t="s">
        <v>1</v>
      </c>
      <c r="J530" s="48" t="s">
        <v>2073</v>
      </c>
      <c r="K530" s="51">
        <v>40904</v>
      </c>
      <c r="L530" s="115">
        <v>40900</v>
      </c>
      <c r="M530" s="50">
        <f t="shared" si="22"/>
        <v>4</v>
      </c>
      <c r="N530" s="50" t="s">
        <v>2</v>
      </c>
      <c r="O530" s="131">
        <f>5/2</f>
        <v>2.5</v>
      </c>
      <c r="P530" s="117">
        <v>7.42</v>
      </c>
      <c r="Q530" s="131">
        <v>7.38</v>
      </c>
      <c r="R530" s="50">
        <v>6</v>
      </c>
      <c r="S530" s="74">
        <v>12</v>
      </c>
      <c r="T530" s="50">
        <v>0.47</v>
      </c>
      <c r="U530" s="131">
        <f>1/2</f>
        <v>0.5</v>
      </c>
      <c r="V530" s="50">
        <v>0.91</v>
      </c>
      <c r="W530" s="74">
        <f>0.04/2</f>
        <v>0.02</v>
      </c>
      <c r="X530" s="50">
        <f>0.02/2</f>
        <v>0.01</v>
      </c>
      <c r="Y530" s="74">
        <f>0.013/2</f>
        <v>6.4999999999999997E-3</v>
      </c>
      <c r="Z530" s="271">
        <v>1</v>
      </c>
      <c r="AA530" s="271">
        <v>1</v>
      </c>
      <c r="AB530" s="114">
        <v>91</v>
      </c>
      <c r="AC530" s="50">
        <v>246</v>
      </c>
      <c r="AD530" s="314">
        <v>1</v>
      </c>
      <c r="AF530" s="175"/>
    </row>
    <row r="531" spans="1:35" ht="15" customHeight="1">
      <c r="A531" s="41" t="s">
        <v>183</v>
      </c>
      <c r="B531" s="402" t="s">
        <v>2070</v>
      </c>
      <c r="C531" s="113" t="s">
        <v>2071</v>
      </c>
      <c r="D531" s="393" t="s">
        <v>1837</v>
      </c>
      <c r="E531" s="394" t="s">
        <v>112</v>
      </c>
      <c r="G531" s="405" t="s">
        <v>3105</v>
      </c>
      <c r="H531" s="113">
        <v>4952</v>
      </c>
      <c r="I531" s="49" t="s">
        <v>1</v>
      </c>
      <c r="J531" s="48" t="s">
        <v>2074</v>
      </c>
      <c r="K531" s="51">
        <v>40904</v>
      </c>
      <c r="L531" s="115">
        <v>40900</v>
      </c>
      <c r="M531" s="50">
        <f t="shared" si="22"/>
        <v>4</v>
      </c>
      <c r="N531" s="50" t="s">
        <v>2</v>
      </c>
      <c r="O531" s="131">
        <f>5/2</f>
        <v>2.5</v>
      </c>
      <c r="P531" s="117">
        <v>7.42</v>
      </c>
      <c r="Q531" s="131">
        <v>5.96</v>
      </c>
      <c r="R531" s="50">
        <v>88</v>
      </c>
      <c r="S531" s="74">
        <v>110</v>
      </c>
      <c r="T531" s="50">
        <v>0.15</v>
      </c>
      <c r="U531" s="131">
        <f>1/2</f>
        <v>0.5</v>
      </c>
      <c r="V531" s="50">
        <f>0.1/2</f>
        <v>0.05</v>
      </c>
      <c r="W531" s="74">
        <f>0.04/2</f>
        <v>0.02</v>
      </c>
      <c r="X531" s="50">
        <v>5.1999999999999998E-2</v>
      </c>
      <c r="Y531" s="74">
        <f>0.013/2</f>
        <v>6.4999999999999997E-3</v>
      </c>
      <c r="Z531" s="271">
        <v>1</v>
      </c>
      <c r="AA531" s="271">
        <v>1</v>
      </c>
      <c r="AB531" s="114">
        <v>11</v>
      </c>
      <c r="AC531" s="50">
        <v>19</v>
      </c>
      <c r="AD531" s="314">
        <v>1</v>
      </c>
      <c r="AF531" s="175"/>
    </row>
    <row r="532" spans="1:35" ht="15" customHeight="1">
      <c r="A532" s="41" t="s">
        <v>183</v>
      </c>
      <c r="B532" s="402" t="s">
        <v>2077</v>
      </c>
      <c r="D532" s="393" t="s">
        <v>434</v>
      </c>
      <c r="E532" s="394" t="s">
        <v>2078</v>
      </c>
      <c r="G532" s="405" t="s">
        <v>1649</v>
      </c>
      <c r="H532" s="113">
        <v>2869</v>
      </c>
      <c r="I532" s="49" t="s">
        <v>2</v>
      </c>
      <c r="J532" s="48" t="s">
        <v>2079</v>
      </c>
      <c r="K532" s="51">
        <v>40996</v>
      </c>
      <c r="L532" s="115">
        <v>40993</v>
      </c>
      <c r="M532" s="50">
        <f t="shared" si="22"/>
        <v>3</v>
      </c>
      <c r="N532" s="50" t="s">
        <v>2</v>
      </c>
      <c r="O532" s="131">
        <f>1/2</f>
        <v>0.5</v>
      </c>
      <c r="P532" s="117">
        <v>5.21</v>
      </c>
      <c r="Q532" s="131">
        <v>6.12</v>
      </c>
      <c r="R532" s="50">
        <v>48</v>
      </c>
      <c r="S532" s="74">
        <v>4</v>
      </c>
      <c r="T532" s="50">
        <f>0.1/2</f>
        <v>0.05</v>
      </c>
      <c r="U532" s="131">
        <v>1.75</v>
      </c>
      <c r="V532" s="50">
        <v>1.52</v>
      </c>
      <c r="W532" s="74">
        <f>0.05/2</f>
        <v>2.5000000000000001E-2</v>
      </c>
      <c r="X532" s="50">
        <v>1.05</v>
      </c>
      <c r="Y532" s="74">
        <f>0.05/2</f>
        <v>2.5000000000000001E-2</v>
      </c>
      <c r="AD532" s="314"/>
      <c r="AF532" s="175"/>
    </row>
    <row r="533" spans="1:35" ht="15" customHeight="1">
      <c r="A533" s="41" t="s">
        <v>183</v>
      </c>
      <c r="B533" s="402" t="s">
        <v>2080</v>
      </c>
      <c r="C533" s="113" t="s">
        <v>2081</v>
      </c>
      <c r="D533" s="393" t="s">
        <v>78</v>
      </c>
      <c r="E533" s="394" t="s">
        <v>2082</v>
      </c>
      <c r="G533" s="405" t="s">
        <v>3595</v>
      </c>
      <c r="H533" s="113">
        <v>5541</v>
      </c>
      <c r="I533" s="49" t="s">
        <v>2</v>
      </c>
      <c r="J533" s="48" t="s">
        <v>2083</v>
      </c>
      <c r="K533" s="51">
        <v>40968</v>
      </c>
      <c r="L533" s="115">
        <v>40963</v>
      </c>
      <c r="M533" s="50">
        <f t="shared" si="22"/>
        <v>5</v>
      </c>
      <c r="N533" s="50" t="s">
        <v>2</v>
      </c>
      <c r="O533" s="131">
        <f>1.4/2</f>
        <v>0.7</v>
      </c>
      <c r="P533" s="117">
        <v>7</v>
      </c>
      <c r="Q533" s="131">
        <v>7.58</v>
      </c>
      <c r="R533" s="50">
        <v>95</v>
      </c>
      <c r="S533" s="74">
        <v>8</v>
      </c>
      <c r="T533" s="50">
        <v>0.17</v>
      </c>
      <c r="U533" s="131">
        <v>2.89</v>
      </c>
      <c r="V533" s="50">
        <v>0.41</v>
      </c>
      <c r="W533" s="74">
        <v>5.0000000000000001E-3</v>
      </c>
      <c r="X533" s="50">
        <v>0.16500000000000001</v>
      </c>
      <c r="Y533" s="74">
        <f>0.002/2</f>
        <v>1E-3</v>
      </c>
      <c r="Z533" s="271">
        <v>1</v>
      </c>
      <c r="AA533" s="271">
        <v>1</v>
      </c>
      <c r="AB533" s="114">
        <v>136</v>
      </c>
      <c r="AC533" s="50">
        <v>471</v>
      </c>
      <c r="AD533" s="314">
        <v>1</v>
      </c>
      <c r="AF533" s="175"/>
    </row>
    <row r="534" spans="1:35" ht="15" customHeight="1">
      <c r="A534" s="41" t="s">
        <v>183</v>
      </c>
      <c r="B534" s="402" t="s">
        <v>2080</v>
      </c>
      <c r="C534" s="113" t="s">
        <v>2081</v>
      </c>
      <c r="D534" s="393" t="s">
        <v>78</v>
      </c>
      <c r="E534" s="394" t="s">
        <v>2082</v>
      </c>
      <c r="G534" s="405" t="s">
        <v>3595</v>
      </c>
      <c r="H534" s="113">
        <v>5541</v>
      </c>
      <c r="I534" s="49" t="s">
        <v>2</v>
      </c>
      <c r="J534" s="48" t="s">
        <v>2084</v>
      </c>
      <c r="K534" s="51">
        <v>40968</v>
      </c>
      <c r="L534" s="115">
        <v>40963</v>
      </c>
      <c r="M534" s="50">
        <f t="shared" si="22"/>
        <v>5</v>
      </c>
      <c r="N534" s="50" t="s">
        <v>2</v>
      </c>
      <c r="O534" s="131">
        <v>2.9</v>
      </c>
      <c r="P534" s="117">
        <v>7</v>
      </c>
      <c r="Q534" s="131">
        <v>7.31</v>
      </c>
      <c r="R534" s="50">
        <v>95</v>
      </c>
      <c r="S534" s="74">
        <v>36</v>
      </c>
      <c r="T534" s="50">
        <v>0.35</v>
      </c>
      <c r="U534" s="131">
        <v>3.86</v>
      </c>
      <c r="V534" s="50">
        <v>0.79</v>
      </c>
      <c r="W534" s="74">
        <v>1.7000000000000001E-2</v>
      </c>
      <c r="X534" s="50">
        <v>0.29399999999999998</v>
      </c>
      <c r="Y534" s="74">
        <v>4.0000000000000001E-3</v>
      </c>
      <c r="Z534" s="271">
        <v>1</v>
      </c>
      <c r="AA534" s="271">
        <v>1</v>
      </c>
      <c r="AB534" s="114">
        <v>116</v>
      </c>
      <c r="AC534" s="50">
        <v>545</v>
      </c>
      <c r="AD534" s="314">
        <v>1</v>
      </c>
      <c r="AF534" s="175"/>
    </row>
    <row r="535" spans="1:35" ht="15" customHeight="1">
      <c r="A535" s="41" t="s">
        <v>183</v>
      </c>
      <c r="B535" s="402" t="s">
        <v>2085</v>
      </c>
      <c r="C535" s="113" t="s">
        <v>2086</v>
      </c>
      <c r="D535" s="393" t="s">
        <v>290</v>
      </c>
      <c r="E535" s="394" t="s">
        <v>2087</v>
      </c>
      <c r="G535" s="405" t="s">
        <v>3596</v>
      </c>
      <c r="H535" s="113">
        <v>5541</v>
      </c>
      <c r="I535" s="49" t="s">
        <v>2</v>
      </c>
      <c r="J535" s="48" t="s">
        <v>510</v>
      </c>
      <c r="K535" s="51">
        <v>40976</v>
      </c>
      <c r="L535" s="115">
        <v>40971</v>
      </c>
      <c r="M535" s="50">
        <f t="shared" si="22"/>
        <v>5</v>
      </c>
      <c r="N535" s="50" t="s">
        <v>2</v>
      </c>
      <c r="O535" s="131">
        <v>7</v>
      </c>
      <c r="P535" s="117">
        <v>6.5</v>
      </c>
      <c r="Q535" s="131">
        <v>6.99</v>
      </c>
      <c r="R535" s="50">
        <v>300</v>
      </c>
      <c r="S535" s="74">
        <v>320</v>
      </c>
      <c r="T535" s="50">
        <v>0.54</v>
      </c>
      <c r="U535" s="131">
        <v>15.5</v>
      </c>
      <c r="V535" s="50">
        <v>1.66</v>
      </c>
      <c r="W535" s="74">
        <v>7.4999999999999997E-2</v>
      </c>
      <c r="X535" s="50">
        <v>0.749</v>
      </c>
      <c r="Y535" s="74">
        <v>7.0000000000000001E-3</v>
      </c>
      <c r="Z535" s="271">
        <v>1</v>
      </c>
      <c r="AA535" s="271">
        <v>1</v>
      </c>
      <c r="AB535" s="114">
        <v>64</v>
      </c>
      <c r="AC535" s="50">
        <v>1015</v>
      </c>
      <c r="AD535" s="314">
        <v>1</v>
      </c>
      <c r="AF535" s="175"/>
    </row>
    <row r="536" spans="1:35" ht="15" customHeight="1">
      <c r="A536" s="41" t="s">
        <v>183</v>
      </c>
      <c r="B536" s="402" t="s">
        <v>2085</v>
      </c>
      <c r="C536" s="113" t="s">
        <v>2086</v>
      </c>
      <c r="D536" s="393" t="s">
        <v>290</v>
      </c>
      <c r="E536" s="394" t="s">
        <v>2087</v>
      </c>
      <c r="G536" s="405" t="s">
        <v>3596</v>
      </c>
      <c r="H536" s="113">
        <v>5541</v>
      </c>
      <c r="I536" s="49" t="s">
        <v>2</v>
      </c>
      <c r="J536" s="48" t="s">
        <v>460</v>
      </c>
      <c r="K536" s="51">
        <v>40976</v>
      </c>
      <c r="L536" s="115">
        <v>40971</v>
      </c>
      <c r="M536" s="50">
        <f t="shared" si="22"/>
        <v>5</v>
      </c>
      <c r="N536" s="50" t="s">
        <v>2</v>
      </c>
      <c r="O536" s="131">
        <v>2.2000000000000002</v>
      </c>
      <c r="P536" s="117">
        <v>6.5</v>
      </c>
      <c r="Q536" s="131">
        <v>7.68</v>
      </c>
      <c r="R536" s="50">
        <v>250</v>
      </c>
      <c r="S536" s="74">
        <v>22</v>
      </c>
      <c r="T536" s="50">
        <v>1.74</v>
      </c>
      <c r="U536" s="131">
        <v>30.1</v>
      </c>
      <c r="V536" s="50">
        <v>1.46</v>
      </c>
      <c r="W536" s="74">
        <v>6.9000000000000006E-2</v>
      </c>
      <c r="X536" s="50">
        <v>0.318</v>
      </c>
      <c r="Y536" s="74">
        <v>3.0000000000000001E-3</v>
      </c>
      <c r="Z536" s="271">
        <v>1</v>
      </c>
      <c r="AA536" s="271">
        <v>1</v>
      </c>
      <c r="AB536" s="114">
        <v>114</v>
      </c>
      <c r="AC536" s="50">
        <v>1790</v>
      </c>
      <c r="AD536" s="314">
        <v>1</v>
      </c>
      <c r="AF536" s="175"/>
    </row>
    <row r="537" spans="1:35" ht="15" customHeight="1">
      <c r="A537" s="41" t="s">
        <v>183</v>
      </c>
      <c r="B537" s="402" t="s">
        <v>2088</v>
      </c>
      <c r="C537" s="113" t="s">
        <v>2089</v>
      </c>
      <c r="D537" s="393" t="s">
        <v>350</v>
      </c>
      <c r="E537" s="394" t="s">
        <v>467</v>
      </c>
      <c r="G537" s="405" t="s">
        <v>3597</v>
      </c>
      <c r="H537" s="113">
        <v>4213</v>
      </c>
      <c r="I537" s="49" t="s">
        <v>2</v>
      </c>
      <c r="J537" s="48" t="s">
        <v>2047</v>
      </c>
      <c r="K537" s="51">
        <v>40996</v>
      </c>
      <c r="L537" s="115">
        <v>40971</v>
      </c>
      <c r="M537" s="50">
        <f t="shared" si="22"/>
        <v>25</v>
      </c>
      <c r="N537" s="50" t="s">
        <v>2</v>
      </c>
      <c r="O537" s="177">
        <f>1.4/2</f>
        <v>0.7</v>
      </c>
      <c r="P537" s="117">
        <v>6.2</v>
      </c>
      <c r="Q537" s="131">
        <v>6.9</v>
      </c>
      <c r="R537" s="50">
        <v>61</v>
      </c>
      <c r="S537" s="74">
        <v>8</v>
      </c>
      <c r="T537" s="50">
        <v>0.28000000000000003</v>
      </c>
      <c r="U537" s="131">
        <v>1.53</v>
      </c>
      <c r="V537" s="50">
        <v>0.48</v>
      </c>
      <c r="W537" s="74">
        <v>1.4E-2</v>
      </c>
      <c r="X537" s="50">
        <v>4.2999999999999997E-2</v>
      </c>
      <c r="Y537" s="74">
        <f>0.002/2</f>
        <v>1E-3</v>
      </c>
      <c r="Z537" s="271">
        <v>1</v>
      </c>
      <c r="AA537" s="271">
        <v>1</v>
      </c>
      <c r="AB537" s="114">
        <v>20</v>
      </c>
      <c r="AC537" s="50">
        <v>57</v>
      </c>
      <c r="AD537" s="314">
        <v>1</v>
      </c>
      <c r="AF537" s="175"/>
    </row>
    <row r="538" spans="1:35" ht="15" customHeight="1">
      <c r="A538" s="41" t="s">
        <v>183</v>
      </c>
      <c r="B538" s="402" t="s">
        <v>2088</v>
      </c>
      <c r="C538" s="113" t="s">
        <v>2090</v>
      </c>
      <c r="D538" s="393" t="s">
        <v>1484</v>
      </c>
      <c r="E538" s="394" t="s">
        <v>2091</v>
      </c>
      <c r="G538" s="405" t="s">
        <v>3598</v>
      </c>
      <c r="H538" s="113">
        <v>4213</v>
      </c>
      <c r="I538" s="49" t="s">
        <v>2</v>
      </c>
      <c r="J538" s="48" t="s">
        <v>1119</v>
      </c>
      <c r="K538" s="51">
        <v>40996</v>
      </c>
      <c r="L538" s="115">
        <v>40971</v>
      </c>
      <c r="M538" s="50">
        <f t="shared" si="22"/>
        <v>25</v>
      </c>
      <c r="N538" s="50" t="s">
        <v>2</v>
      </c>
      <c r="O538" s="131">
        <f>1.4/2</f>
        <v>0.7</v>
      </c>
      <c r="P538" s="117">
        <v>6.2</v>
      </c>
      <c r="Q538" s="131">
        <v>7.1</v>
      </c>
      <c r="R538" s="50">
        <v>15</v>
      </c>
      <c r="S538" s="74">
        <v>5</v>
      </c>
      <c r="T538" s="50">
        <v>0.02</v>
      </c>
      <c r="U538" s="131">
        <v>0.17</v>
      </c>
      <c r="V538" s="50">
        <v>1.41</v>
      </c>
      <c r="W538" s="74">
        <f>0.005/2</f>
        <v>2.5000000000000001E-3</v>
      </c>
      <c r="X538" s="50">
        <v>1.7000000000000001E-2</v>
      </c>
      <c r="Y538" s="74">
        <f>0.002/2</f>
        <v>1E-3</v>
      </c>
      <c r="Z538" s="271">
        <v>1</v>
      </c>
      <c r="AA538" s="271">
        <v>1</v>
      </c>
      <c r="AB538" s="114">
        <v>32</v>
      </c>
      <c r="AC538" s="50">
        <v>147</v>
      </c>
      <c r="AD538" s="314">
        <v>1</v>
      </c>
      <c r="AF538" s="175"/>
    </row>
    <row r="539" spans="1:35" ht="15" customHeight="1">
      <c r="A539" s="41" t="s">
        <v>183</v>
      </c>
      <c r="B539" s="402" t="s">
        <v>2088</v>
      </c>
      <c r="C539" s="113" t="s">
        <v>2092</v>
      </c>
      <c r="D539" s="393" t="s">
        <v>303</v>
      </c>
      <c r="E539" s="394" t="s">
        <v>2093</v>
      </c>
      <c r="G539" s="405" t="s">
        <v>3599</v>
      </c>
      <c r="H539" s="113">
        <v>4213</v>
      </c>
      <c r="I539" s="49" t="s">
        <v>1</v>
      </c>
      <c r="J539" s="48" t="s">
        <v>1119</v>
      </c>
      <c r="K539" s="51">
        <v>40996</v>
      </c>
      <c r="L539" s="115">
        <v>40971</v>
      </c>
      <c r="M539" s="50">
        <f t="shared" si="22"/>
        <v>25</v>
      </c>
      <c r="N539" s="50" t="s">
        <v>2</v>
      </c>
      <c r="O539" s="131">
        <f>1.4/2</f>
        <v>0.7</v>
      </c>
      <c r="P539" s="117">
        <v>6.6</v>
      </c>
      <c r="Q539" s="131">
        <v>6.9</v>
      </c>
      <c r="R539" s="50">
        <f>10/2</f>
        <v>5</v>
      </c>
      <c r="S539" s="74">
        <v>53</v>
      </c>
      <c r="T539" s="50">
        <v>0.11</v>
      </c>
      <c r="U539" s="131">
        <v>0.83</v>
      </c>
      <c r="V539" s="50">
        <v>0.21</v>
      </c>
      <c r="W539" s="74">
        <v>8.0000000000000002E-3</v>
      </c>
      <c r="X539" s="50">
        <v>7.1999999999999995E-2</v>
      </c>
      <c r="Y539" s="74">
        <v>3.0000000000000001E-3</v>
      </c>
      <c r="Z539" s="271">
        <v>0.70699999999999996</v>
      </c>
      <c r="AA539" s="271">
        <v>0.70699999999999996</v>
      </c>
      <c r="AB539" s="114">
        <v>12</v>
      </c>
      <c r="AC539" s="50">
        <v>110</v>
      </c>
      <c r="AD539" s="314">
        <v>0</v>
      </c>
      <c r="AF539" s="175"/>
    </row>
    <row r="540" spans="1:35" ht="15" customHeight="1">
      <c r="A540" s="41" t="s">
        <v>183</v>
      </c>
      <c r="B540" s="402" t="s">
        <v>2088</v>
      </c>
      <c r="C540" s="113" t="s">
        <v>2094</v>
      </c>
      <c r="D540" s="393" t="s">
        <v>735</v>
      </c>
      <c r="E540" s="394" t="s">
        <v>467</v>
      </c>
      <c r="G540" s="405" t="s">
        <v>3600</v>
      </c>
      <c r="H540" s="113">
        <v>4213</v>
      </c>
      <c r="I540" s="49" t="s">
        <v>2</v>
      </c>
      <c r="J540" s="48" t="s">
        <v>2095</v>
      </c>
      <c r="K540" s="51">
        <v>40996</v>
      </c>
      <c r="L540" s="115">
        <v>40971</v>
      </c>
      <c r="M540" s="50">
        <f t="shared" si="22"/>
        <v>25</v>
      </c>
      <c r="N540" s="50" t="s">
        <v>2</v>
      </c>
      <c r="O540" s="131">
        <f>1.4/2</f>
        <v>0.7</v>
      </c>
      <c r="P540" s="117">
        <v>6.3</v>
      </c>
      <c r="Q540" s="131">
        <v>6.6</v>
      </c>
      <c r="R540" s="50">
        <v>13</v>
      </c>
      <c r="S540" s="74">
        <v>6</v>
      </c>
      <c r="T540" s="50">
        <v>0.14000000000000001</v>
      </c>
      <c r="U540" s="131">
        <v>2.19</v>
      </c>
      <c r="V540" s="50">
        <v>0.91</v>
      </c>
      <c r="W540" s="74">
        <f>0.005/2</f>
        <v>2.5000000000000001E-3</v>
      </c>
      <c r="X540" s="50">
        <v>1.5</v>
      </c>
      <c r="Y540" s="74">
        <f>0.002/2</f>
        <v>1E-3</v>
      </c>
      <c r="Z540" s="271">
        <v>0.61599999999999999</v>
      </c>
      <c r="AA540" s="271">
        <v>0.29699999999999999</v>
      </c>
      <c r="AB540" s="114">
        <v>6</v>
      </c>
      <c r="AC540" s="50">
        <v>36</v>
      </c>
      <c r="AD540" s="314">
        <v>0</v>
      </c>
      <c r="AF540" s="175"/>
    </row>
    <row r="541" spans="1:35" ht="15" customHeight="1">
      <c r="A541" s="41" t="s">
        <v>183</v>
      </c>
      <c r="B541" s="402" t="s">
        <v>2096</v>
      </c>
      <c r="C541" s="113" t="s">
        <v>1318</v>
      </c>
      <c r="D541" s="393" t="s">
        <v>372</v>
      </c>
      <c r="E541" s="394" t="s">
        <v>235</v>
      </c>
      <c r="G541" s="405" t="s">
        <v>3624</v>
      </c>
      <c r="H541" s="113">
        <v>3316</v>
      </c>
      <c r="I541" s="49" t="s">
        <v>1</v>
      </c>
      <c r="J541" s="48" t="s">
        <v>255</v>
      </c>
      <c r="K541" s="51">
        <v>40996</v>
      </c>
      <c r="L541" s="115">
        <v>40971</v>
      </c>
      <c r="M541" s="50">
        <f t="shared" si="22"/>
        <v>25</v>
      </c>
      <c r="N541" s="50" t="s">
        <v>2</v>
      </c>
      <c r="O541" s="131">
        <v>3.6</v>
      </c>
      <c r="P541" s="117">
        <v>7.6</v>
      </c>
      <c r="Q541" s="131">
        <v>7.3</v>
      </c>
      <c r="R541" s="50">
        <v>28.9</v>
      </c>
      <c r="S541" s="74">
        <v>65</v>
      </c>
      <c r="T541" s="50">
        <v>0.27</v>
      </c>
      <c r="U541" s="131">
        <v>1.96</v>
      </c>
      <c r="V541" s="50">
        <v>0.84</v>
      </c>
      <c r="W541" s="74">
        <v>6.7000000000000004E-2</v>
      </c>
      <c r="X541" s="50">
        <v>0.61099999999999999</v>
      </c>
      <c r="Y541" s="74">
        <v>1.4999999999999999E-2</v>
      </c>
      <c r="Z541" s="271">
        <v>1</v>
      </c>
      <c r="AA541" s="271">
        <v>1</v>
      </c>
      <c r="AB541" s="114">
        <v>14.16</v>
      </c>
      <c r="AC541" s="50">
        <v>80</v>
      </c>
      <c r="AD541" s="314">
        <v>1</v>
      </c>
      <c r="AE541" s="50">
        <v>332</v>
      </c>
      <c r="AF541" s="175"/>
    </row>
    <row r="542" spans="1:35" ht="15" customHeight="1">
      <c r="A542" s="41" t="s">
        <v>183</v>
      </c>
      <c r="B542" s="402" t="s">
        <v>2096</v>
      </c>
      <c r="C542" s="113" t="s">
        <v>1236</v>
      </c>
      <c r="D542" s="393" t="s">
        <v>111</v>
      </c>
      <c r="E542" s="394" t="s">
        <v>112</v>
      </c>
      <c r="G542" s="405" t="s">
        <v>3602</v>
      </c>
      <c r="H542" s="113">
        <v>3316</v>
      </c>
      <c r="I542" s="49" t="s">
        <v>1</v>
      </c>
      <c r="J542" s="48" t="s">
        <v>96</v>
      </c>
      <c r="K542" s="51">
        <v>40993</v>
      </c>
      <c r="L542" s="115">
        <v>40971</v>
      </c>
      <c r="M542" s="50">
        <f t="shared" si="22"/>
        <v>22</v>
      </c>
      <c r="N542" s="50" t="s">
        <v>2</v>
      </c>
      <c r="O542" s="131">
        <f>1/2</f>
        <v>0.5</v>
      </c>
      <c r="P542" s="117">
        <v>7.6</v>
      </c>
      <c r="Q542" s="131">
        <v>7.5</v>
      </c>
      <c r="R542" s="50">
        <v>50.2</v>
      </c>
      <c r="S542" s="74">
        <v>9</v>
      </c>
      <c r="T542" s="50">
        <v>0.2</v>
      </c>
      <c r="U542" s="131">
        <v>1.1599999999999999</v>
      </c>
      <c r="V542" s="50">
        <v>2.38</v>
      </c>
      <c r="W542" s="74">
        <v>0.02</v>
      </c>
      <c r="X542" s="50">
        <v>5.6000000000000001E-2</v>
      </c>
      <c r="Y542" s="74">
        <v>3.3000000000000002E-2</v>
      </c>
      <c r="Z542" s="271">
        <v>1</v>
      </c>
      <c r="AA542" s="271">
        <v>1</v>
      </c>
      <c r="AB542" s="114">
        <v>110.8</v>
      </c>
      <c r="AC542" s="50">
        <v>428</v>
      </c>
      <c r="AD542" s="314">
        <v>0.9</v>
      </c>
      <c r="AF542" s="175"/>
    </row>
    <row r="543" spans="1:35" ht="15" customHeight="1">
      <c r="A543" s="41" t="s">
        <v>183</v>
      </c>
      <c r="B543" s="402" t="s">
        <v>2096</v>
      </c>
      <c r="C543" s="113" t="s">
        <v>1236</v>
      </c>
      <c r="D543" s="393" t="s">
        <v>111</v>
      </c>
      <c r="E543" s="394" t="s">
        <v>112</v>
      </c>
      <c r="G543" s="405" t="s">
        <v>3602</v>
      </c>
      <c r="H543" s="113">
        <v>3316</v>
      </c>
      <c r="I543" s="49" t="s">
        <v>1</v>
      </c>
      <c r="J543" s="48" t="s">
        <v>690</v>
      </c>
      <c r="K543" s="51">
        <v>40993</v>
      </c>
      <c r="L543" s="115">
        <v>40971</v>
      </c>
      <c r="M543" s="50">
        <f t="shared" si="22"/>
        <v>22</v>
      </c>
      <c r="N543" s="50" t="s">
        <v>2</v>
      </c>
      <c r="O543" s="131">
        <f>1/2</f>
        <v>0.5</v>
      </c>
      <c r="P543" s="117">
        <v>7.6</v>
      </c>
      <c r="Q543" s="131">
        <v>7.38</v>
      </c>
      <c r="R543" s="50">
        <v>7.5</v>
      </c>
      <c r="S543" s="74">
        <f>1/2</f>
        <v>0.5</v>
      </c>
      <c r="T543" s="50">
        <v>0.06</v>
      </c>
      <c r="U543" s="131">
        <v>0.86</v>
      </c>
      <c r="V543" s="50">
        <v>3.3</v>
      </c>
      <c r="W543" s="74">
        <v>0.01</v>
      </c>
      <c r="X543" s="50">
        <v>6.5000000000000002E-2</v>
      </c>
      <c r="Y543" s="74">
        <f>0.002/2</f>
        <v>1E-3</v>
      </c>
      <c r="Z543" s="271">
        <v>1</v>
      </c>
      <c r="AA543" s="271">
        <v>1</v>
      </c>
      <c r="AB543" s="114">
        <v>122.2</v>
      </c>
      <c r="AC543" s="50">
        <v>288</v>
      </c>
      <c r="AD543" s="314">
        <v>1</v>
      </c>
      <c r="AF543" s="175"/>
    </row>
    <row r="544" spans="1:35" ht="15" customHeight="1">
      <c r="A544" s="41" t="s">
        <v>183</v>
      </c>
      <c r="B544" s="402" t="s">
        <v>2096</v>
      </c>
      <c r="C544" s="113" t="s">
        <v>1236</v>
      </c>
      <c r="D544" s="393" t="s">
        <v>111</v>
      </c>
      <c r="E544" s="394" t="s">
        <v>112</v>
      </c>
      <c r="G544" s="405" t="s">
        <v>3602</v>
      </c>
      <c r="H544" s="113">
        <v>3316</v>
      </c>
      <c r="I544" s="49" t="s">
        <v>1</v>
      </c>
      <c r="J544" s="48" t="s">
        <v>2097</v>
      </c>
      <c r="K544" s="51">
        <v>40993</v>
      </c>
      <c r="L544" s="115">
        <v>40971</v>
      </c>
      <c r="M544" s="50">
        <f t="shared" si="22"/>
        <v>22</v>
      </c>
      <c r="N544" s="50" t="s">
        <v>2</v>
      </c>
      <c r="O544" s="131">
        <f>1/2</f>
        <v>0.5</v>
      </c>
      <c r="P544" s="117">
        <v>7.6</v>
      </c>
      <c r="Q544" s="131">
        <v>7.46</v>
      </c>
      <c r="R544" s="50">
        <v>58.5</v>
      </c>
      <c r="S544" s="74">
        <v>36</v>
      </c>
      <c r="T544" s="50">
        <v>0.12</v>
      </c>
      <c r="U544" s="131">
        <v>0.86</v>
      </c>
      <c r="V544" s="50">
        <v>3.3</v>
      </c>
      <c r="W544" s="74">
        <v>0.01</v>
      </c>
      <c r="X544" s="50">
        <v>6.5000000000000002E-2</v>
      </c>
      <c r="Y544" s="74">
        <f>0.002/2</f>
        <v>1E-3</v>
      </c>
      <c r="Z544" s="271">
        <v>1</v>
      </c>
      <c r="AA544" s="271">
        <v>1</v>
      </c>
      <c r="AB544" s="114">
        <v>9.93</v>
      </c>
      <c r="AC544" s="50">
        <v>112</v>
      </c>
      <c r="AD544" s="314">
        <v>1</v>
      </c>
      <c r="AF544" s="175"/>
    </row>
    <row r="545" spans="1:32" ht="15" customHeight="1">
      <c r="A545" s="41" t="s">
        <v>183</v>
      </c>
      <c r="B545" s="402" t="s">
        <v>2096</v>
      </c>
      <c r="C545" s="113" t="s">
        <v>1236</v>
      </c>
      <c r="D545" s="393" t="s">
        <v>111</v>
      </c>
      <c r="E545" s="394" t="s">
        <v>112</v>
      </c>
      <c r="G545" s="405" t="s">
        <v>3602</v>
      </c>
      <c r="H545" s="113">
        <v>3316</v>
      </c>
      <c r="I545" s="49" t="s">
        <v>1</v>
      </c>
      <c r="J545" s="48" t="s">
        <v>1291</v>
      </c>
      <c r="K545" s="51">
        <v>40993</v>
      </c>
      <c r="L545" s="115">
        <v>40971</v>
      </c>
      <c r="M545" s="50">
        <f t="shared" si="22"/>
        <v>22</v>
      </c>
      <c r="N545" s="50" t="s">
        <v>2</v>
      </c>
      <c r="O545" s="131">
        <f>1/2</f>
        <v>0.5</v>
      </c>
      <c r="P545" s="117">
        <v>7.6</v>
      </c>
      <c r="Q545" s="131">
        <v>7.36</v>
      </c>
      <c r="R545" s="50">
        <v>78.599999999999994</v>
      </c>
      <c r="S545" s="74">
        <v>52</v>
      </c>
      <c r="T545" s="50">
        <v>0.16</v>
      </c>
      <c r="U545" s="131">
        <v>0.86</v>
      </c>
      <c r="V545" s="50">
        <v>1.7</v>
      </c>
      <c r="W545" s="74">
        <v>1.9E-2</v>
      </c>
      <c r="X545" s="50">
        <v>0.15</v>
      </c>
      <c r="Y545" s="74">
        <v>2.7E-2</v>
      </c>
      <c r="Z545" s="271">
        <v>1</v>
      </c>
      <c r="AA545" s="271">
        <v>1</v>
      </c>
      <c r="AB545" s="114">
        <v>72.989999999999995</v>
      </c>
      <c r="AC545" s="50">
        <v>718</v>
      </c>
      <c r="AD545" s="314">
        <v>1</v>
      </c>
      <c r="AF545" s="175"/>
    </row>
    <row r="546" spans="1:32" ht="15" customHeight="1">
      <c r="A546" s="41" t="s">
        <v>183</v>
      </c>
      <c r="B546" s="402" t="s">
        <v>2096</v>
      </c>
      <c r="C546" s="113" t="s">
        <v>1236</v>
      </c>
      <c r="D546" s="393" t="s">
        <v>111</v>
      </c>
      <c r="E546" s="394" t="s">
        <v>112</v>
      </c>
      <c r="G546" s="405" t="s">
        <v>3602</v>
      </c>
      <c r="H546" s="113">
        <v>3316</v>
      </c>
      <c r="I546" s="49" t="s">
        <v>1</v>
      </c>
      <c r="J546" s="48" t="s">
        <v>171</v>
      </c>
      <c r="K546" s="51">
        <v>40993</v>
      </c>
      <c r="L546" s="115">
        <v>40971</v>
      </c>
      <c r="M546" s="50">
        <f t="shared" si="22"/>
        <v>22</v>
      </c>
      <c r="N546" s="50" t="s">
        <v>2</v>
      </c>
      <c r="O546" s="131">
        <f>1/2</f>
        <v>0.5</v>
      </c>
      <c r="P546" s="117">
        <v>7.6</v>
      </c>
      <c r="Q546" s="131">
        <v>11</v>
      </c>
      <c r="R546" s="50">
        <v>432</v>
      </c>
      <c r="S546" s="74">
        <v>428</v>
      </c>
      <c r="T546" s="50">
        <v>0.5</v>
      </c>
      <c r="U546" s="131">
        <v>10.199999999999999</v>
      </c>
      <c r="V546" s="50">
        <v>0.96</v>
      </c>
      <c r="W546" s="74">
        <v>0.13</v>
      </c>
      <c r="X546" s="50">
        <v>7.6999999999999999E-2</v>
      </c>
      <c r="Y546" s="74">
        <v>8.9999999999999993E-3</v>
      </c>
      <c r="Z546" s="271">
        <v>0.10199999999999999</v>
      </c>
      <c r="AA546" s="271">
        <v>9.5000000000000001E-2</v>
      </c>
      <c r="AB546" s="114">
        <v>1858</v>
      </c>
      <c r="AC546" s="50">
        <v>5730</v>
      </c>
      <c r="AD546" s="314">
        <v>1</v>
      </c>
      <c r="AF546" s="175"/>
    </row>
    <row r="547" spans="1:32" ht="15" customHeight="1">
      <c r="A547" s="41" t="s">
        <v>183</v>
      </c>
      <c r="B547" s="402" t="s">
        <v>2098</v>
      </c>
      <c r="D547" s="393" t="s">
        <v>1569</v>
      </c>
      <c r="E547" s="394" t="s">
        <v>2099</v>
      </c>
      <c r="G547" s="405" t="s">
        <v>3601</v>
      </c>
      <c r="H547" s="113">
        <v>3559</v>
      </c>
      <c r="I547" s="49" t="s">
        <v>2</v>
      </c>
      <c r="J547" s="48" t="s">
        <v>2100</v>
      </c>
      <c r="K547" s="51">
        <v>41011</v>
      </c>
      <c r="L547" s="115">
        <v>41000</v>
      </c>
      <c r="M547" s="50">
        <f t="shared" si="22"/>
        <v>11</v>
      </c>
      <c r="N547" s="50" t="s">
        <v>2</v>
      </c>
      <c r="O547" s="131">
        <f>1.4/2</f>
        <v>0.7</v>
      </c>
      <c r="P547" s="117">
        <v>6.78</v>
      </c>
      <c r="Q547" s="131">
        <v>6.95</v>
      </c>
      <c r="R547" s="50">
        <v>39</v>
      </c>
      <c r="S547" s="74">
        <v>40</v>
      </c>
      <c r="T547" s="50">
        <v>0.19</v>
      </c>
      <c r="U547" s="131">
        <v>1.74</v>
      </c>
      <c r="V547" s="50">
        <v>0.58499999999999996</v>
      </c>
      <c r="W547" s="74">
        <v>2.8000000000000001E-2</v>
      </c>
      <c r="X547" s="50">
        <v>0.13200000000000001</v>
      </c>
      <c r="Y547" s="74">
        <v>7.0000000000000001E-3</v>
      </c>
      <c r="Z547" s="271">
        <v>1</v>
      </c>
      <c r="AA547" s="271">
        <v>1</v>
      </c>
      <c r="AB547" s="114">
        <v>6</v>
      </c>
      <c r="AC547" s="50">
        <v>43</v>
      </c>
      <c r="AD547" s="314">
        <v>0.85</v>
      </c>
      <c r="AF547" s="175"/>
    </row>
    <row r="548" spans="1:32" ht="15" customHeight="1">
      <c r="A548" s="41" t="s">
        <v>183</v>
      </c>
      <c r="B548" s="402" t="s">
        <v>2101</v>
      </c>
      <c r="D548" s="393" t="s">
        <v>303</v>
      </c>
      <c r="G548" s="405" t="s">
        <v>3603</v>
      </c>
      <c r="H548" s="113"/>
      <c r="I548" s="49"/>
      <c r="J548" s="48" t="s">
        <v>2102</v>
      </c>
      <c r="K548" s="51">
        <v>40996</v>
      </c>
      <c r="N548" s="50" t="s">
        <v>2</v>
      </c>
      <c r="O548" s="131">
        <v>5.0999999999999996</v>
      </c>
      <c r="P548" s="117">
        <v>7.75</v>
      </c>
      <c r="Q548" s="131">
        <v>5.07</v>
      </c>
      <c r="R548" s="50">
        <v>253</v>
      </c>
      <c r="S548" s="74">
        <v>344</v>
      </c>
      <c r="T548" s="50">
        <v>0.65</v>
      </c>
      <c r="U548" s="131">
        <v>2.94</v>
      </c>
      <c r="V548" s="50">
        <v>3.6</v>
      </c>
      <c r="W548" s="74">
        <v>1.33</v>
      </c>
      <c r="X548" s="50">
        <v>0.53</v>
      </c>
      <c r="Y548" s="74">
        <f>0.05/2</f>
        <v>2.5000000000000001E-2</v>
      </c>
      <c r="Z548" s="271">
        <v>6.25E-2</v>
      </c>
      <c r="AA548" s="271">
        <v>6.25E-2</v>
      </c>
      <c r="AB548" s="114">
        <v>144</v>
      </c>
      <c r="AC548" s="50">
        <v>1379</v>
      </c>
      <c r="AD548" s="314">
        <v>0</v>
      </c>
      <c r="AF548" s="175"/>
    </row>
    <row r="549" spans="1:32" ht="15" customHeight="1">
      <c r="A549" s="41" t="s">
        <v>183</v>
      </c>
      <c r="B549" s="402" t="s">
        <v>2101</v>
      </c>
      <c r="D549" s="393" t="s">
        <v>303</v>
      </c>
      <c r="G549" s="405" t="s">
        <v>3603</v>
      </c>
      <c r="H549" s="113"/>
      <c r="I549" s="49"/>
      <c r="J549" s="48" t="s">
        <v>2103</v>
      </c>
      <c r="K549" s="51">
        <v>40996</v>
      </c>
      <c r="N549" s="50" t="s">
        <v>2</v>
      </c>
      <c r="O549" s="131">
        <v>2.4</v>
      </c>
      <c r="P549" s="117">
        <v>7.75</v>
      </c>
      <c r="Q549" s="131">
        <v>4.82</v>
      </c>
      <c r="R549" s="50">
        <v>119</v>
      </c>
      <c r="S549" s="74">
        <v>292</v>
      </c>
      <c r="T549" s="50">
        <v>0.46</v>
      </c>
      <c r="U549" s="131">
        <v>2.94</v>
      </c>
      <c r="V549" s="50">
        <v>2.2799999999999998</v>
      </c>
      <c r="W549" s="74">
        <v>0.75</v>
      </c>
      <c r="X549" s="50">
        <v>0.44</v>
      </c>
      <c r="Y549" s="74">
        <f>0.05/2</f>
        <v>2.5000000000000001E-2</v>
      </c>
      <c r="Z549" s="271">
        <v>0.114</v>
      </c>
      <c r="AA549" s="271">
        <v>6.25E-2</v>
      </c>
      <c r="AB549" s="114">
        <v>82</v>
      </c>
      <c r="AC549" s="50">
        <v>377</v>
      </c>
      <c r="AD549" s="314">
        <v>0</v>
      </c>
      <c r="AF549" s="175"/>
    </row>
    <row r="550" spans="1:32" ht="15" customHeight="1">
      <c r="A550" s="41" t="s">
        <v>183</v>
      </c>
      <c r="B550" s="402" t="s">
        <v>2104</v>
      </c>
      <c r="D550" s="393" t="s">
        <v>356</v>
      </c>
      <c r="E550" s="394" t="s">
        <v>2105</v>
      </c>
      <c r="F550" s="402" t="s">
        <v>44</v>
      </c>
      <c r="G550" s="405" t="s">
        <v>3604</v>
      </c>
      <c r="H550" s="113">
        <v>3479</v>
      </c>
      <c r="I550" s="49" t="s">
        <v>2</v>
      </c>
      <c r="J550" s="48" t="s">
        <v>2106</v>
      </c>
      <c r="K550" s="51">
        <v>40996</v>
      </c>
      <c r="L550" s="115">
        <v>40977</v>
      </c>
      <c r="M550" s="50">
        <f t="shared" ref="M550:M581" si="23">K550-L550</f>
        <v>19</v>
      </c>
      <c r="N550" s="50" t="s">
        <v>2</v>
      </c>
      <c r="O550" s="131">
        <f>1.4/2</f>
        <v>0.7</v>
      </c>
      <c r="P550" s="117">
        <v>5.61</v>
      </c>
      <c r="Q550" s="131">
        <v>7.26</v>
      </c>
      <c r="R550" s="50">
        <v>86</v>
      </c>
      <c r="S550" s="74">
        <v>12</v>
      </c>
      <c r="T550" s="50">
        <v>0.05</v>
      </c>
      <c r="U550" s="131">
        <v>1.76</v>
      </c>
      <c r="V550" s="50">
        <v>0.05</v>
      </c>
      <c r="W550" s="74">
        <v>0.01</v>
      </c>
      <c r="X550" s="50">
        <v>8.5999999999999993E-2</v>
      </c>
      <c r="Y550" s="74">
        <v>3.0000000000000001E-3</v>
      </c>
      <c r="Z550" s="271">
        <v>1</v>
      </c>
      <c r="AA550" s="271">
        <v>0.93899999999999995</v>
      </c>
      <c r="AB550" s="114">
        <v>82</v>
      </c>
      <c r="AC550" s="50">
        <v>7870</v>
      </c>
      <c r="AD550" s="314">
        <v>0.45</v>
      </c>
      <c r="AF550" s="175"/>
    </row>
    <row r="551" spans="1:32" ht="15" customHeight="1">
      <c r="A551" s="41" t="s">
        <v>183</v>
      </c>
      <c r="B551" s="402" t="s">
        <v>2107</v>
      </c>
      <c r="C551" s="113" t="s">
        <v>1918</v>
      </c>
      <c r="D551" s="393" t="s">
        <v>884</v>
      </c>
      <c r="E551" s="394" t="s">
        <v>235</v>
      </c>
      <c r="G551" s="405" t="s">
        <v>2662</v>
      </c>
      <c r="H551" s="113"/>
      <c r="I551" s="49" t="s">
        <v>1</v>
      </c>
      <c r="J551" s="48" t="s">
        <v>2108</v>
      </c>
      <c r="K551" s="51">
        <v>40996</v>
      </c>
      <c r="L551" s="115">
        <v>40971</v>
      </c>
      <c r="M551" s="50">
        <f t="shared" si="23"/>
        <v>25</v>
      </c>
      <c r="N551" s="50" t="s">
        <v>2</v>
      </c>
      <c r="O551" s="131">
        <v>3.8</v>
      </c>
      <c r="P551" s="117"/>
      <c r="Q551" s="131">
        <v>7.6</v>
      </c>
      <c r="R551" s="50">
        <v>44</v>
      </c>
      <c r="S551" s="74">
        <v>34</v>
      </c>
      <c r="T551" s="50">
        <v>0.55000000000000004</v>
      </c>
      <c r="U551" s="131">
        <v>1.78</v>
      </c>
      <c r="V551" s="50">
        <v>0.7</v>
      </c>
      <c r="W551" s="74">
        <v>1.9E-2</v>
      </c>
      <c r="X551" s="50">
        <v>3.6999999999999998E-2</v>
      </c>
      <c r="Y551" s="74">
        <f>0.03/2</f>
        <v>1.4999999999999999E-2</v>
      </c>
      <c r="AD551" s="314"/>
      <c r="AF551" s="175"/>
    </row>
    <row r="552" spans="1:32" ht="15" customHeight="1">
      <c r="A552" s="41" t="s">
        <v>183</v>
      </c>
      <c r="B552" s="402" t="s">
        <v>2109</v>
      </c>
      <c r="D552" s="393" t="s">
        <v>372</v>
      </c>
      <c r="E552" s="394" t="s">
        <v>235</v>
      </c>
      <c r="G552" s="405" t="s">
        <v>3605</v>
      </c>
      <c r="H552" s="113">
        <v>3471</v>
      </c>
      <c r="I552" s="49" t="s">
        <v>2</v>
      </c>
      <c r="J552" s="48" t="s">
        <v>2110</v>
      </c>
      <c r="K552" s="51">
        <v>40996</v>
      </c>
      <c r="L552" s="115">
        <v>40993</v>
      </c>
      <c r="M552" s="50">
        <f t="shared" si="23"/>
        <v>3</v>
      </c>
      <c r="N552" s="50" t="s">
        <v>2</v>
      </c>
      <c r="O552" s="131">
        <v>9.4</v>
      </c>
      <c r="P552" s="117">
        <v>6.3</v>
      </c>
      <c r="Q552" s="131">
        <v>7.21</v>
      </c>
      <c r="R552" s="50">
        <v>90</v>
      </c>
      <c r="S552" s="74">
        <v>764</v>
      </c>
      <c r="T552" s="50">
        <v>0.56999999999999995</v>
      </c>
      <c r="U552" s="131">
        <v>2.5</v>
      </c>
      <c r="V552" s="50">
        <v>0.6</v>
      </c>
      <c r="W552" s="74">
        <v>0.151</v>
      </c>
      <c r="X552" s="50">
        <v>0.24199999999999999</v>
      </c>
      <c r="Y552" s="74">
        <v>5.0999999999999997E-2</v>
      </c>
      <c r="AD552" s="314"/>
      <c r="AF552" s="175"/>
    </row>
    <row r="553" spans="1:32" ht="15" customHeight="1">
      <c r="A553" s="41" t="s">
        <v>183</v>
      </c>
      <c r="B553" s="402" t="s">
        <v>2111</v>
      </c>
      <c r="D553" s="393" t="s">
        <v>1217</v>
      </c>
      <c r="E553" s="394" t="s">
        <v>2112</v>
      </c>
      <c r="G553" s="405" t="s">
        <v>3606</v>
      </c>
      <c r="H553" s="113">
        <v>3562</v>
      </c>
      <c r="I553" s="49" t="s">
        <v>2</v>
      </c>
      <c r="J553" s="48" t="s">
        <v>2102</v>
      </c>
      <c r="K553" s="51">
        <v>40996</v>
      </c>
      <c r="L553" s="115">
        <v>40971</v>
      </c>
      <c r="M553" s="50">
        <f t="shared" si="23"/>
        <v>25</v>
      </c>
      <c r="N553" s="50" t="s">
        <v>2</v>
      </c>
      <c r="O553" s="131">
        <v>12.7</v>
      </c>
      <c r="P553" s="117">
        <v>7.3</v>
      </c>
      <c r="Q553" s="131">
        <v>5.86</v>
      </c>
      <c r="R553" s="50">
        <v>88.1</v>
      </c>
      <c r="S553" s="74">
        <v>49</v>
      </c>
      <c r="T553" s="50">
        <v>0.27100000000000002</v>
      </c>
      <c r="U553" s="131">
        <v>2.0299999999999998</v>
      </c>
      <c r="V553" s="50">
        <v>1.8</v>
      </c>
      <c r="W553" s="74">
        <v>3.8600000000000002E-2</v>
      </c>
      <c r="X553" s="50">
        <v>0.252</v>
      </c>
      <c r="Y553" s="74">
        <f>0.0075/2</f>
        <v>3.7499999999999999E-3</v>
      </c>
      <c r="Z553" s="271">
        <v>1</v>
      </c>
      <c r="AA553" s="271">
        <v>1</v>
      </c>
      <c r="AB553" s="114">
        <v>6</v>
      </c>
      <c r="AC553" s="50">
        <v>92</v>
      </c>
      <c r="AD553" s="314">
        <v>0.95</v>
      </c>
      <c r="AF553" s="175"/>
    </row>
    <row r="554" spans="1:32" ht="15" customHeight="1">
      <c r="A554" s="41" t="s">
        <v>183</v>
      </c>
      <c r="B554" s="402" t="s">
        <v>2113</v>
      </c>
      <c r="C554" s="113" t="s">
        <v>2114</v>
      </c>
      <c r="D554" s="393" t="s">
        <v>133</v>
      </c>
      <c r="E554" s="394" t="s">
        <v>2115</v>
      </c>
      <c r="G554" s="405" t="s">
        <v>3607</v>
      </c>
      <c r="H554" s="113">
        <v>4111</v>
      </c>
      <c r="I554" s="49" t="s">
        <v>2</v>
      </c>
      <c r="J554" s="48" t="s">
        <v>366</v>
      </c>
      <c r="K554" s="51">
        <v>40981</v>
      </c>
      <c r="L554" s="115">
        <v>40971</v>
      </c>
      <c r="M554" s="50">
        <f t="shared" si="23"/>
        <v>10</v>
      </c>
      <c r="N554" s="50" t="s">
        <v>2</v>
      </c>
      <c r="O554" s="131">
        <v>2.7</v>
      </c>
      <c r="P554" s="117">
        <v>6.39</v>
      </c>
      <c r="Q554" s="131">
        <v>6.86</v>
      </c>
      <c r="R554" s="50">
        <v>97</v>
      </c>
      <c r="S554" s="74">
        <v>99</v>
      </c>
      <c r="T554" s="50">
        <v>0.14000000000000001</v>
      </c>
      <c r="U554" s="131">
        <v>1.71</v>
      </c>
      <c r="V554" s="50">
        <v>0.88</v>
      </c>
      <c r="W554" s="74">
        <v>2.1999999999999999E-2</v>
      </c>
      <c r="X554" s="50">
        <v>0.16600000000000001</v>
      </c>
      <c r="Y554" s="74">
        <v>1.7999999999999999E-2</v>
      </c>
      <c r="Z554" s="271">
        <v>1</v>
      </c>
      <c r="AA554" s="271">
        <v>1</v>
      </c>
      <c r="AB554" s="114">
        <v>8</v>
      </c>
      <c r="AC554" s="50">
        <v>41</v>
      </c>
      <c r="AD554" s="314">
        <v>1</v>
      </c>
      <c r="AF554" s="175"/>
    </row>
    <row r="555" spans="1:32" ht="15" customHeight="1">
      <c r="A555" s="41" t="s">
        <v>183</v>
      </c>
      <c r="B555" s="402" t="s">
        <v>2116</v>
      </c>
      <c r="C555" s="113" t="s">
        <v>2117</v>
      </c>
      <c r="D555" s="393" t="s">
        <v>56</v>
      </c>
      <c r="E555" s="394" t="s">
        <v>1831</v>
      </c>
      <c r="G555" s="405" t="s">
        <v>3608</v>
      </c>
      <c r="H555" s="113">
        <v>4226</v>
      </c>
      <c r="I555" s="49" t="s">
        <v>1</v>
      </c>
      <c r="J555" s="48" t="s">
        <v>2118</v>
      </c>
      <c r="K555" s="51">
        <v>40968</v>
      </c>
      <c r="L555" s="115">
        <v>40955</v>
      </c>
      <c r="M555" s="50">
        <f t="shared" si="23"/>
        <v>13</v>
      </c>
      <c r="N555" s="50" t="s">
        <v>2</v>
      </c>
      <c r="O555" s="131">
        <f>1.6/2</f>
        <v>0.8</v>
      </c>
      <c r="P555" s="117">
        <v>6</v>
      </c>
      <c r="Q555" s="131">
        <v>7.7</v>
      </c>
      <c r="R555" s="50">
        <v>10</v>
      </c>
      <c r="S555" s="74">
        <f>5/2</f>
        <v>2.5</v>
      </c>
      <c r="T555" s="50">
        <f>0.01/2</f>
        <v>5.0000000000000001E-3</v>
      </c>
      <c r="U555" s="131">
        <v>0.56000000000000005</v>
      </c>
      <c r="V555" s="50">
        <v>0.3</v>
      </c>
      <c r="W555" s="74">
        <v>2.3E-2</v>
      </c>
      <c r="X555" s="50">
        <v>2.7E-2</v>
      </c>
      <c r="Y555" s="74">
        <v>3.0000000000000001E-3</v>
      </c>
      <c r="Z555" s="271">
        <v>0.45100000000000001</v>
      </c>
      <c r="AA555" s="271">
        <v>0.35399999999999998</v>
      </c>
      <c r="AB555" s="114">
        <v>32</v>
      </c>
      <c r="AC555" s="50">
        <v>26</v>
      </c>
      <c r="AD555" s="314">
        <v>0</v>
      </c>
      <c r="AF555" s="175"/>
    </row>
    <row r="556" spans="1:32" ht="15" customHeight="1">
      <c r="A556" s="41" t="s">
        <v>183</v>
      </c>
      <c r="B556" s="402" t="s">
        <v>2119</v>
      </c>
      <c r="C556" s="113" t="s">
        <v>2117</v>
      </c>
      <c r="D556" s="393" t="s">
        <v>56</v>
      </c>
      <c r="E556" s="394" t="s">
        <v>112</v>
      </c>
      <c r="G556" s="405" t="s">
        <v>3609</v>
      </c>
      <c r="H556" s="113">
        <v>4226</v>
      </c>
      <c r="I556" s="49" t="s">
        <v>1</v>
      </c>
      <c r="J556" s="48" t="s">
        <v>2118</v>
      </c>
      <c r="K556" s="51">
        <v>40968</v>
      </c>
      <c r="L556" s="115">
        <v>40955</v>
      </c>
      <c r="M556" s="50">
        <f t="shared" si="23"/>
        <v>13</v>
      </c>
      <c r="N556" s="50" t="s">
        <v>2</v>
      </c>
      <c r="O556" s="131">
        <f>1.6/2</f>
        <v>0.8</v>
      </c>
      <c r="P556" s="117">
        <v>6</v>
      </c>
      <c r="Q556" s="131">
        <v>6.1</v>
      </c>
      <c r="R556" s="50">
        <v>1400</v>
      </c>
      <c r="S556" s="74">
        <v>21</v>
      </c>
      <c r="T556" s="50">
        <v>0.17</v>
      </c>
      <c r="U556" s="131">
        <v>0.46</v>
      </c>
      <c r="V556" s="50">
        <v>1.1100000000000001</v>
      </c>
      <c r="W556" s="74">
        <v>2.7E-2</v>
      </c>
      <c r="X556" s="50">
        <v>7.2999999999999995E-2</v>
      </c>
      <c r="Y556" s="74">
        <v>2.5000000000000001E-2</v>
      </c>
      <c r="Z556" s="271">
        <v>8.3099999999999993E-2</v>
      </c>
      <c r="AA556" s="271">
        <v>6.25E-2</v>
      </c>
      <c r="AB556" s="114">
        <v>1500</v>
      </c>
      <c r="AC556" s="50">
        <v>7900</v>
      </c>
      <c r="AD556" s="314">
        <v>0</v>
      </c>
      <c r="AF556" s="175"/>
    </row>
    <row r="557" spans="1:32" ht="15" customHeight="1">
      <c r="A557" s="41" t="s">
        <v>183</v>
      </c>
      <c r="B557" s="402" t="s">
        <v>2120</v>
      </c>
      <c r="C557" s="113" t="s">
        <v>2117</v>
      </c>
      <c r="D557" s="393" t="s">
        <v>56</v>
      </c>
      <c r="E557" s="394" t="s">
        <v>95</v>
      </c>
      <c r="G557" s="405" t="s">
        <v>3610</v>
      </c>
      <c r="H557" s="113">
        <v>5171</v>
      </c>
      <c r="I557" s="49" t="s">
        <v>1</v>
      </c>
      <c r="J557" s="48" t="s">
        <v>2121</v>
      </c>
      <c r="K557" s="51">
        <v>40968</v>
      </c>
      <c r="L557" s="115">
        <v>40955</v>
      </c>
      <c r="M557" s="50">
        <f t="shared" si="23"/>
        <v>13</v>
      </c>
      <c r="N557" s="50" t="s">
        <v>2</v>
      </c>
      <c r="O557" s="131">
        <v>3</v>
      </c>
      <c r="P557" s="117">
        <v>6</v>
      </c>
      <c r="Q557" s="131">
        <v>6.5</v>
      </c>
      <c r="R557" s="50">
        <v>120</v>
      </c>
      <c r="S557" s="74">
        <v>21</v>
      </c>
      <c r="T557" s="50">
        <v>0.08</v>
      </c>
      <c r="U557" s="131">
        <v>0.56999999999999995</v>
      </c>
      <c r="V557" s="50">
        <v>0.26</v>
      </c>
      <c r="W557" s="74">
        <v>8.8999999999999996E-2</v>
      </c>
      <c r="X557" s="50">
        <v>0.23699999999999999</v>
      </c>
      <c r="Y557" s="74">
        <v>3.9E-2</v>
      </c>
      <c r="Z557" s="271">
        <v>0.76800000000000002</v>
      </c>
      <c r="AA557" s="271">
        <v>0.66800000000000004</v>
      </c>
      <c r="AB557" s="114">
        <v>1000</v>
      </c>
      <c r="AC557" s="50">
        <v>7110</v>
      </c>
      <c r="AD557" s="314">
        <v>0</v>
      </c>
      <c r="AF557" s="175"/>
    </row>
    <row r="558" spans="1:32" ht="15" customHeight="1">
      <c r="A558" s="41" t="s">
        <v>183</v>
      </c>
      <c r="B558" s="402" t="s">
        <v>2122</v>
      </c>
      <c r="D558" s="393" t="s">
        <v>56</v>
      </c>
      <c r="E558" s="394" t="s">
        <v>112</v>
      </c>
      <c r="G558" s="405" t="s">
        <v>3611</v>
      </c>
      <c r="H558" s="113">
        <v>4231</v>
      </c>
      <c r="I558" s="49" t="s">
        <v>1</v>
      </c>
      <c r="J558" s="48" t="s">
        <v>2118</v>
      </c>
      <c r="K558" s="51">
        <v>40968</v>
      </c>
      <c r="L558" s="115">
        <v>40955</v>
      </c>
      <c r="M558" s="50">
        <f t="shared" si="23"/>
        <v>13</v>
      </c>
      <c r="N558" s="50" t="s">
        <v>2</v>
      </c>
      <c r="O558" s="131">
        <f>4.6/2</f>
        <v>2.2999999999999998</v>
      </c>
      <c r="P558" s="117">
        <v>6</v>
      </c>
      <c r="Q558" s="131">
        <v>6.8</v>
      </c>
      <c r="R558" s="50">
        <v>17</v>
      </c>
      <c r="S558" s="74">
        <f>5/2</f>
        <v>2.5</v>
      </c>
      <c r="T558" s="50">
        <f>0.01/2</f>
        <v>5.0000000000000001E-3</v>
      </c>
      <c r="U558" s="131">
        <v>0.54</v>
      </c>
      <c r="V558" s="50">
        <v>0.31</v>
      </c>
      <c r="W558" s="74">
        <v>0.02</v>
      </c>
      <c r="X558" s="50">
        <v>3.6999999999999998E-2</v>
      </c>
      <c r="Y558" s="74">
        <v>6.0000000000000001E-3</v>
      </c>
      <c r="Z558" s="271">
        <v>0.59499999999999997</v>
      </c>
      <c r="AA558" s="271">
        <v>0.36099999999999999</v>
      </c>
      <c r="AB558" s="114">
        <v>2</v>
      </c>
      <c r="AC558" s="50">
        <v>13</v>
      </c>
      <c r="AD558" s="314"/>
      <c r="AF558" s="175"/>
    </row>
    <row r="559" spans="1:32" ht="15" customHeight="1">
      <c r="A559" s="41" t="s">
        <v>183</v>
      </c>
      <c r="B559" s="402" t="s">
        <v>1644</v>
      </c>
      <c r="D559" s="393" t="s">
        <v>1217</v>
      </c>
      <c r="E559" s="394" t="s">
        <v>2112</v>
      </c>
      <c r="G559" s="405" t="s">
        <v>1646</v>
      </c>
      <c r="H559" s="113">
        <v>3357</v>
      </c>
      <c r="I559" s="49" t="s">
        <v>2</v>
      </c>
      <c r="J559" s="48" t="s">
        <v>2047</v>
      </c>
      <c r="K559" s="51">
        <v>40996</v>
      </c>
      <c r="L559" s="115">
        <v>40971</v>
      </c>
      <c r="M559" s="50">
        <f t="shared" si="23"/>
        <v>25</v>
      </c>
      <c r="N559" s="50" t="s">
        <v>2</v>
      </c>
      <c r="O559" s="131">
        <v>3.1</v>
      </c>
      <c r="P559" s="117">
        <v>5.09</v>
      </c>
      <c r="Q559" s="131">
        <v>6.63</v>
      </c>
      <c r="R559" s="50">
        <v>180</v>
      </c>
      <c r="S559" s="74">
        <v>320</v>
      </c>
      <c r="T559" s="50">
        <v>0.28000000000000003</v>
      </c>
      <c r="U559" s="131">
        <v>2.34</v>
      </c>
      <c r="V559" s="50">
        <v>4.59</v>
      </c>
      <c r="W559" s="74">
        <v>7.5999999999999998E-2</v>
      </c>
      <c r="X559" s="50">
        <v>0.39600000000000002</v>
      </c>
      <c r="Y559" s="74">
        <v>2.4E-2</v>
      </c>
      <c r="Z559" s="271">
        <v>1</v>
      </c>
      <c r="AA559" s="271">
        <v>1</v>
      </c>
      <c r="AB559" s="114">
        <v>150</v>
      </c>
      <c r="AC559" s="50">
        <v>1162</v>
      </c>
      <c r="AD559" s="314">
        <v>1</v>
      </c>
      <c r="AF559" s="175"/>
    </row>
    <row r="560" spans="1:32" ht="15" customHeight="1">
      <c r="A560" s="41" t="s">
        <v>183</v>
      </c>
      <c r="B560" s="402" t="s">
        <v>1644</v>
      </c>
      <c r="D560" s="393" t="s">
        <v>1217</v>
      </c>
      <c r="E560" s="394" t="s">
        <v>2112</v>
      </c>
      <c r="G560" s="405" t="s">
        <v>1646</v>
      </c>
      <c r="H560" s="113">
        <v>3357</v>
      </c>
      <c r="I560" s="49" t="s">
        <v>2</v>
      </c>
      <c r="J560" s="48" t="s">
        <v>2123</v>
      </c>
      <c r="K560" s="51">
        <v>40996</v>
      </c>
      <c r="L560" s="115">
        <v>40971</v>
      </c>
      <c r="M560" s="50">
        <f t="shared" si="23"/>
        <v>25</v>
      </c>
      <c r="N560" s="50" t="s">
        <v>2</v>
      </c>
      <c r="O560" s="131">
        <v>1.9</v>
      </c>
      <c r="P560" s="117">
        <v>5.09</v>
      </c>
      <c r="Q560" s="131">
        <v>7.13</v>
      </c>
      <c r="R560" s="50">
        <v>160</v>
      </c>
      <c r="S560" s="74">
        <v>56</v>
      </c>
      <c r="T560" s="50">
        <v>0.2</v>
      </c>
      <c r="U560" s="131">
        <v>3.03</v>
      </c>
      <c r="V560" s="50">
        <v>1.2</v>
      </c>
      <c r="W560" s="74">
        <v>7.9000000000000001E-2</v>
      </c>
      <c r="X560" s="50">
        <v>0.184</v>
      </c>
      <c r="Y560" s="74">
        <v>7.0000000000000001E-3</v>
      </c>
      <c r="Z560" s="271">
        <v>1</v>
      </c>
      <c r="AA560" s="271">
        <v>1</v>
      </c>
      <c r="AB560" s="114">
        <v>118</v>
      </c>
      <c r="AC560" s="50">
        <v>694</v>
      </c>
      <c r="AD560" s="314">
        <v>1</v>
      </c>
      <c r="AF560" s="175"/>
    </row>
    <row r="561" spans="1:33" ht="15" customHeight="1">
      <c r="A561" s="41" t="s">
        <v>183</v>
      </c>
      <c r="B561" s="402" t="s">
        <v>2124</v>
      </c>
      <c r="D561" s="393" t="s">
        <v>213</v>
      </c>
      <c r="E561" s="394" t="s">
        <v>467</v>
      </c>
      <c r="G561" s="405" t="s">
        <v>1998</v>
      </c>
      <c r="H561" s="113">
        <v>3078</v>
      </c>
      <c r="I561" s="49" t="s">
        <v>2</v>
      </c>
      <c r="J561" s="48" t="s">
        <v>1999</v>
      </c>
      <c r="K561" s="51">
        <v>40904</v>
      </c>
      <c r="L561" s="115">
        <v>40900</v>
      </c>
      <c r="M561" s="50">
        <f t="shared" si="23"/>
        <v>4</v>
      </c>
      <c r="N561" s="50" t="s">
        <v>2</v>
      </c>
      <c r="O561" s="131">
        <f>2/2</f>
        <v>1</v>
      </c>
      <c r="P561" s="117">
        <v>6.14</v>
      </c>
      <c r="Q561" s="131">
        <v>6.22</v>
      </c>
      <c r="R561" s="50">
        <v>25</v>
      </c>
      <c r="S561" s="74">
        <f>5/2</f>
        <v>2.5</v>
      </c>
      <c r="T561" s="50">
        <f>0.1/2</f>
        <v>0.05</v>
      </c>
      <c r="U561" s="131">
        <f>1/2</f>
        <v>0.5</v>
      </c>
      <c r="V561" s="50">
        <v>0.56999999999999995</v>
      </c>
      <c r="W561" s="74">
        <f>0.04/2</f>
        <v>0.02</v>
      </c>
      <c r="X561" s="50">
        <v>0.34</v>
      </c>
      <c r="Y561" s="74">
        <f>0.013/2</f>
        <v>6.4999999999999997E-3</v>
      </c>
      <c r="Z561" s="271">
        <v>1</v>
      </c>
      <c r="AA561" s="271">
        <v>0.51800000000000002</v>
      </c>
      <c r="AB561" s="114">
        <v>7.3</v>
      </c>
      <c r="AC561" s="50">
        <v>38</v>
      </c>
      <c r="AD561" s="314">
        <v>0</v>
      </c>
      <c r="AF561" s="175"/>
    </row>
    <row r="562" spans="1:33" ht="15" customHeight="1">
      <c r="A562" s="41" t="s">
        <v>183</v>
      </c>
      <c r="B562" s="402" t="s">
        <v>2124</v>
      </c>
      <c r="D562" s="393" t="s">
        <v>213</v>
      </c>
      <c r="E562" s="394" t="s">
        <v>467</v>
      </c>
      <c r="G562" s="405" t="s">
        <v>1998</v>
      </c>
      <c r="H562" s="113">
        <v>3078</v>
      </c>
      <c r="I562" s="49" t="s">
        <v>2</v>
      </c>
      <c r="J562" s="48" t="s">
        <v>249</v>
      </c>
      <c r="K562" s="51">
        <v>40904</v>
      </c>
      <c r="L562" s="115">
        <v>40900</v>
      </c>
      <c r="M562" s="50">
        <f t="shared" si="23"/>
        <v>4</v>
      </c>
      <c r="N562" s="50" t="s">
        <v>2</v>
      </c>
      <c r="O562" s="131">
        <f>2/2</f>
        <v>1</v>
      </c>
      <c r="P562" s="117">
        <v>6.14</v>
      </c>
      <c r="Q562" s="131">
        <v>6.51</v>
      </c>
      <c r="R562" s="50">
        <v>13</v>
      </c>
      <c r="S562" s="74">
        <f>5/2</f>
        <v>2.5</v>
      </c>
      <c r="T562" s="50">
        <f>0.1/2</f>
        <v>0.05</v>
      </c>
      <c r="U562" s="131">
        <f>1/2</f>
        <v>0.5</v>
      </c>
      <c r="V562" s="50">
        <v>0.74</v>
      </c>
      <c r="W562" s="74">
        <f>0.04/2</f>
        <v>0.02</v>
      </c>
      <c r="X562" s="50">
        <v>4.1000000000000002E-2</v>
      </c>
      <c r="Y562" s="74">
        <f>0.013/2</f>
        <v>6.4999999999999997E-3</v>
      </c>
      <c r="Z562" s="271">
        <v>1</v>
      </c>
      <c r="AA562" s="271">
        <v>1</v>
      </c>
      <c r="AB562" s="114">
        <v>56</v>
      </c>
      <c r="AC562" s="50">
        <v>141</v>
      </c>
      <c r="AD562" s="314">
        <v>1</v>
      </c>
      <c r="AF562" s="175"/>
    </row>
    <row r="563" spans="1:33" ht="15" customHeight="1">
      <c r="A563" s="41" t="s">
        <v>183</v>
      </c>
      <c r="B563" s="402" t="s">
        <v>2125</v>
      </c>
      <c r="C563" s="113" t="s">
        <v>2126</v>
      </c>
      <c r="D563" s="393" t="s">
        <v>1881</v>
      </c>
      <c r="E563" s="394" t="s">
        <v>2127</v>
      </c>
      <c r="G563" s="405" t="s">
        <v>3612</v>
      </c>
      <c r="H563" s="113">
        <v>3724</v>
      </c>
      <c r="I563" s="49" t="s">
        <v>2</v>
      </c>
      <c r="J563" s="48" t="s">
        <v>2128</v>
      </c>
      <c r="K563" s="51">
        <v>40843</v>
      </c>
      <c r="L563" s="115">
        <v>40836</v>
      </c>
      <c r="M563" s="50">
        <f t="shared" si="23"/>
        <v>7</v>
      </c>
      <c r="N563" s="50" t="s">
        <v>2</v>
      </c>
      <c r="O563" s="131">
        <f>1.9</f>
        <v>1.9</v>
      </c>
      <c r="P563" s="117">
        <v>5.0599999999999996</v>
      </c>
      <c r="Q563" s="131">
        <v>5.63</v>
      </c>
      <c r="R563" s="50">
        <v>41</v>
      </c>
      <c r="S563" s="74">
        <v>9.5</v>
      </c>
      <c r="T563" s="50">
        <v>4.8000000000000001E-2</v>
      </c>
      <c r="U563" s="131">
        <v>1.5</v>
      </c>
      <c r="V563" s="50">
        <v>1.38</v>
      </c>
      <c r="W563" s="74">
        <f>0.005/2</f>
        <v>2.5000000000000001E-3</v>
      </c>
      <c r="X563" s="50">
        <v>6.9000000000000006E-2</v>
      </c>
      <c r="Y563" s="74">
        <f>0.005/2</f>
        <v>2.5000000000000001E-3</v>
      </c>
      <c r="AD563" s="314">
        <v>1</v>
      </c>
      <c r="AF563" s="175"/>
    </row>
    <row r="564" spans="1:33" ht="15" customHeight="1">
      <c r="A564" s="41" t="s">
        <v>183</v>
      </c>
      <c r="B564" s="402" t="s">
        <v>2125</v>
      </c>
      <c r="C564" s="113" t="s">
        <v>2126</v>
      </c>
      <c r="D564" s="393" t="s">
        <v>1881</v>
      </c>
      <c r="E564" s="394" t="s">
        <v>2127</v>
      </c>
      <c r="G564" s="405" t="s">
        <v>3612</v>
      </c>
      <c r="H564" s="113">
        <v>3724</v>
      </c>
      <c r="I564" s="49" t="s">
        <v>2</v>
      </c>
      <c r="J564" s="48" t="s">
        <v>2129</v>
      </c>
      <c r="K564" s="51">
        <v>40843</v>
      </c>
      <c r="L564" s="115">
        <v>40836</v>
      </c>
      <c r="M564" s="50">
        <f t="shared" si="23"/>
        <v>7</v>
      </c>
      <c r="N564" s="50" t="s">
        <v>2</v>
      </c>
      <c r="O564" s="131">
        <f>1.8/2</f>
        <v>0.9</v>
      </c>
      <c r="P564" s="117">
        <v>5.0599999999999996</v>
      </c>
      <c r="Q564" s="131">
        <v>6.17</v>
      </c>
      <c r="R564" s="50">
        <v>50</v>
      </c>
      <c r="S564" s="74">
        <v>20.6</v>
      </c>
      <c r="T564" s="50">
        <v>3.1E-2</v>
      </c>
      <c r="U564" s="131">
        <v>1.7</v>
      </c>
      <c r="V564" s="50">
        <v>1.85</v>
      </c>
      <c r="W564" s="74">
        <v>9.7000000000000003E-2</v>
      </c>
      <c r="X564" s="50">
        <v>8.5000000000000006E-2</v>
      </c>
      <c r="Y564" s="74">
        <f>0.005/2</f>
        <v>2.5000000000000001E-3</v>
      </c>
      <c r="AD564" s="314"/>
      <c r="AF564" s="175"/>
    </row>
    <row r="565" spans="1:33" ht="15" customHeight="1">
      <c r="A565" s="41" t="s">
        <v>183</v>
      </c>
      <c r="B565" s="402" t="s">
        <v>2125</v>
      </c>
      <c r="C565" s="113" t="s">
        <v>2126</v>
      </c>
      <c r="D565" s="393" t="s">
        <v>1881</v>
      </c>
      <c r="E565" s="394" t="s">
        <v>512</v>
      </c>
      <c r="G565" s="405" t="s">
        <v>3612</v>
      </c>
      <c r="H565" s="113">
        <v>3724</v>
      </c>
      <c r="I565" s="49" t="s">
        <v>2</v>
      </c>
      <c r="J565" s="48" t="s">
        <v>2130</v>
      </c>
      <c r="K565" s="51">
        <v>40843</v>
      </c>
      <c r="L565" s="115">
        <v>40836</v>
      </c>
      <c r="M565" s="50">
        <f t="shared" si="23"/>
        <v>7</v>
      </c>
      <c r="N565" s="50" t="s">
        <v>2</v>
      </c>
      <c r="O565" s="131">
        <f>1.9/2</f>
        <v>0.95</v>
      </c>
      <c r="P565" s="117">
        <v>5.0599999999999996</v>
      </c>
      <c r="Q565" s="131">
        <v>6.29</v>
      </c>
      <c r="R565" s="50">
        <f>20/2</f>
        <v>10</v>
      </c>
      <c r="S565" s="74">
        <v>7.4</v>
      </c>
      <c r="T565" s="50">
        <v>0.04</v>
      </c>
      <c r="U565" s="131">
        <f>1/2</f>
        <v>0.5</v>
      </c>
      <c r="V565" s="50">
        <v>0.66</v>
      </c>
      <c r="W565" s="74">
        <f>0.005/2</f>
        <v>2.5000000000000001E-3</v>
      </c>
      <c r="X565" s="50">
        <v>2.8000000000000001E-2</v>
      </c>
      <c r="Y565" s="74">
        <f>0.005/2</f>
        <v>2.5000000000000001E-3</v>
      </c>
      <c r="AD565" s="314"/>
      <c r="AF565" s="175"/>
    </row>
    <row r="566" spans="1:33" ht="15" customHeight="1">
      <c r="A566" s="41" t="s">
        <v>183</v>
      </c>
      <c r="B566" s="402" t="s">
        <v>2125</v>
      </c>
      <c r="C566" s="113" t="s">
        <v>2126</v>
      </c>
      <c r="D566" s="393" t="s">
        <v>1881</v>
      </c>
      <c r="E566" s="394" t="s">
        <v>512</v>
      </c>
      <c r="G566" s="405" t="s">
        <v>3612</v>
      </c>
      <c r="H566" s="113">
        <v>3724</v>
      </c>
      <c r="I566" s="49" t="s">
        <v>2</v>
      </c>
      <c r="J566" s="48" t="s">
        <v>2131</v>
      </c>
      <c r="K566" s="51">
        <v>40843</v>
      </c>
      <c r="L566" s="115">
        <v>40836</v>
      </c>
      <c r="M566" s="50">
        <f t="shared" si="23"/>
        <v>7</v>
      </c>
      <c r="N566" s="50" t="s">
        <v>2</v>
      </c>
      <c r="O566" s="131">
        <f>1.8/2</f>
        <v>0.9</v>
      </c>
      <c r="P566" s="117">
        <v>5.0599999999999996</v>
      </c>
      <c r="Q566" s="131">
        <v>5.47</v>
      </c>
      <c r="R566" s="50">
        <v>55</v>
      </c>
      <c r="S566" s="74">
        <v>24</v>
      </c>
      <c r="T566" s="50">
        <v>0.13900000000000001</v>
      </c>
      <c r="U566" s="131">
        <v>1.8</v>
      </c>
      <c r="V566" s="50">
        <v>2.58</v>
      </c>
      <c r="W566" s="74">
        <f>0.005/2</f>
        <v>2.5000000000000001E-3</v>
      </c>
      <c r="X566" s="50">
        <v>5.0999999999999997E-2</v>
      </c>
      <c r="Y566" s="74">
        <v>5.8999999999999999E-3</v>
      </c>
      <c r="AD566" s="314"/>
      <c r="AF566" s="175"/>
    </row>
    <row r="567" spans="1:33" ht="15" customHeight="1">
      <c r="A567" s="41" t="s">
        <v>183</v>
      </c>
      <c r="B567" s="402" t="s">
        <v>2125</v>
      </c>
      <c r="C567" s="113" t="s">
        <v>2126</v>
      </c>
      <c r="D567" s="393" t="s">
        <v>1881</v>
      </c>
      <c r="E567" s="394" t="s">
        <v>512</v>
      </c>
      <c r="G567" s="405" t="s">
        <v>3612</v>
      </c>
      <c r="H567" s="113">
        <v>3724</v>
      </c>
      <c r="I567" s="49" t="s">
        <v>2</v>
      </c>
      <c r="J567" s="48" t="s">
        <v>2132</v>
      </c>
      <c r="K567" s="51">
        <v>40843</v>
      </c>
      <c r="L567" s="115">
        <v>40836</v>
      </c>
      <c r="M567" s="50">
        <f t="shared" si="23"/>
        <v>7</v>
      </c>
      <c r="N567" s="50" t="s">
        <v>2</v>
      </c>
      <c r="O567" s="131">
        <f>1.7/2</f>
        <v>0.85</v>
      </c>
      <c r="P567" s="117">
        <v>5.0599999999999996</v>
      </c>
      <c r="Q567" s="131">
        <v>5.67</v>
      </c>
      <c r="R567" s="50">
        <v>21</v>
      </c>
      <c r="S567" s="74">
        <v>4.5</v>
      </c>
      <c r="T567" s="50">
        <v>3.9E-2</v>
      </c>
      <c r="U567" s="131">
        <v>1.2</v>
      </c>
      <c r="V567" s="50">
        <v>2.13</v>
      </c>
      <c r="W567" s="74">
        <v>5.0999999999999997E-2</v>
      </c>
      <c r="X567" s="50">
        <v>0.27</v>
      </c>
      <c r="Y567" s="74">
        <f>0.005/2</f>
        <v>2.5000000000000001E-3</v>
      </c>
      <c r="AD567" s="314"/>
      <c r="AF567" s="175"/>
    </row>
    <row r="568" spans="1:33" ht="15" customHeight="1">
      <c r="A568" s="41" t="s">
        <v>183</v>
      </c>
      <c r="B568" s="402" t="s">
        <v>2125</v>
      </c>
      <c r="C568" s="272" t="s">
        <v>2126</v>
      </c>
      <c r="D568" s="393" t="s">
        <v>1881</v>
      </c>
      <c r="E568" s="394" t="s">
        <v>512</v>
      </c>
      <c r="G568" s="405" t="s">
        <v>3612</v>
      </c>
      <c r="H568" s="113">
        <v>3724</v>
      </c>
      <c r="I568" s="49" t="s">
        <v>2</v>
      </c>
      <c r="J568" s="48" t="s">
        <v>2133</v>
      </c>
      <c r="K568" s="51">
        <v>40843</v>
      </c>
      <c r="L568" s="115">
        <v>40836</v>
      </c>
      <c r="M568" s="50">
        <f t="shared" si="23"/>
        <v>7</v>
      </c>
      <c r="N568" s="50" t="s">
        <v>2</v>
      </c>
      <c r="O568" s="131">
        <f>1.7/2</f>
        <v>0.85</v>
      </c>
      <c r="P568" s="117">
        <v>5.0599999999999996</v>
      </c>
      <c r="Q568" s="131">
        <v>5.43</v>
      </c>
      <c r="R568" s="50">
        <v>39</v>
      </c>
      <c r="S568" s="74">
        <v>34.799999999999997</v>
      </c>
      <c r="T568" s="50">
        <v>7.4999999999999997E-2</v>
      </c>
      <c r="U568" s="131">
        <f>1/2</f>
        <v>0.5</v>
      </c>
      <c r="V568" s="50">
        <v>0.97</v>
      </c>
      <c r="W568" s="74">
        <f>0.005/2</f>
        <v>2.5000000000000001E-3</v>
      </c>
      <c r="X568" s="50">
        <v>8.5999999999999993E-2</v>
      </c>
      <c r="Y568" s="74">
        <f>0.005/2</f>
        <v>2.5000000000000001E-3</v>
      </c>
      <c r="AD568" s="314"/>
      <c r="AF568" s="175"/>
    </row>
    <row r="569" spans="1:33" ht="15" customHeight="1">
      <c r="A569" s="41" t="s">
        <v>183</v>
      </c>
      <c r="B569" s="402" t="s">
        <v>2125</v>
      </c>
      <c r="C569" s="113" t="s">
        <v>2134</v>
      </c>
      <c r="D569" s="393" t="s">
        <v>1881</v>
      </c>
      <c r="E569" s="394" t="s">
        <v>512</v>
      </c>
      <c r="G569" s="405" t="s">
        <v>3613</v>
      </c>
      <c r="H569" s="113">
        <v>3724</v>
      </c>
      <c r="I569" s="49" t="s">
        <v>2</v>
      </c>
      <c r="J569" s="48" t="s">
        <v>2135</v>
      </c>
      <c r="K569" s="51">
        <v>40883</v>
      </c>
      <c r="L569" s="115">
        <v>40876</v>
      </c>
      <c r="M569" s="50">
        <f t="shared" si="23"/>
        <v>7</v>
      </c>
      <c r="N569" s="50" t="s">
        <v>2</v>
      </c>
      <c r="O569" s="131">
        <f>1.8/2</f>
        <v>0.9</v>
      </c>
      <c r="P569" s="117">
        <v>6.53</v>
      </c>
      <c r="Q569" s="131">
        <v>6.7</v>
      </c>
      <c r="R569" s="50">
        <v>43</v>
      </c>
      <c r="S569" s="74">
        <v>35.200000000000003</v>
      </c>
      <c r="T569" s="50">
        <v>8.8999999999999996E-2</v>
      </c>
      <c r="U569" s="131">
        <v>1.2</v>
      </c>
      <c r="V569" s="50">
        <v>0.87</v>
      </c>
      <c r="W569" s="74">
        <v>8.0000000000000002E-3</v>
      </c>
      <c r="X569" s="50">
        <v>0.13700000000000001</v>
      </c>
      <c r="Y569" s="74">
        <v>1.04E-2</v>
      </c>
      <c r="Z569" s="271">
        <v>1</v>
      </c>
      <c r="AA569" s="271">
        <v>1</v>
      </c>
      <c r="AB569" s="114">
        <v>6</v>
      </c>
      <c r="AC569" s="50">
        <v>49</v>
      </c>
      <c r="AD569" s="314">
        <v>0.5</v>
      </c>
      <c r="AF569" s="175"/>
    </row>
    <row r="570" spans="1:33" ht="15" customHeight="1">
      <c r="A570" s="41" t="s">
        <v>183</v>
      </c>
      <c r="B570" s="402" t="s">
        <v>2125</v>
      </c>
      <c r="C570" s="113" t="s">
        <v>2136</v>
      </c>
      <c r="D570" s="393" t="s">
        <v>1881</v>
      </c>
      <c r="E570" s="394" t="s">
        <v>1546</v>
      </c>
      <c r="G570" s="405" t="s">
        <v>3073</v>
      </c>
      <c r="H570" s="113">
        <v>3724</v>
      </c>
      <c r="I570" s="49" t="s">
        <v>2</v>
      </c>
      <c r="J570" s="48" t="s">
        <v>2137</v>
      </c>
      <c r="K570" s="51">
        <v>40883</v>
      </c>
      <c r="L570" s="115">
        <v>40876</v>
      </c>
      <c r="M570" s="50">
        <f t="shared" si="23"/>
        <v>7</v>
      </c>
      <c r="N570" s="50" t="s">
        <v>2</v>
      </c>
      <c r="O570" s="131">
        <f>2/2</f>
        <v>1</v>
      </c>
      <c r="P570" s="117">
        <v>6.53</v>
      </c>
      <c r="Q570" s="131">
        <v>7.07</v>
      </c>
      <c r="R570" s="50">
        <v>59</v>
      </c>
      <c r="S570" s="74">
        <v>491</v>
      </c>
      <c r="T570" s="50">
        <v>1.08</v>
      </c>
      <c r="U570" s="131">
        <v>1.8</v>
      </c>
      <c r="V570" s="50">
        <v>0.51</v>
      </c>
      <c r="W570" s="74">
        <v>1.9E-2</v>
      </c>
      <c r="X570" s="50">
        <v>7.6999999999999999E-2</v>
      </c>
      <c r="Y570" s="74">
        <v>1.49E-2</v>
      </c>
      <c r="Z570" s="271">
        <v>1</v>
      </c>
      <c r="AA570" s="271">
        <v>1</v>
      </c>
      <c r="AB570" s="114">
        <v>32</v>
      </c>
      <c r="AC570" s="50">
        <v>123</v>
      </c>
      <c r="AD570" s="314">
        <v>1</v>
      </c>
      <c r="AE570" s="50">
        <v>50</v>
      </c>
      <c r="AF570" s="175"/>
      <c r="AG570" s="114">
        <f>0.2/2</f>
        <v>0.1</v>
      </c>
    </row>
    <row r="571" spans="1:33" ht="15" customHeight="1">
      <c r="A571" s="41" t="s">
        <v>183</v>
      </c>
      <c r="B571" s="402" t="s">
        <v>2125</v>
      </c>
      <c r="C571" s="113" t="s">
        <v>2136</v>
      </c>
      <c r="D571" s="393" t="s">
        <v>1881</v>
      </c>
      <c r="E571" s="394" t="s">
        <v>1546</v>
      </c>
      <c r="G571" s="405" t="s">
        <v>3073</v>
      </c>
      <c r="H571" s="113">
        <v>3724</v>
      </c>
      <c r="I571" s="49" t="s">
        <v>2</v>
      </c>
      <c r="J571" s="48" t="s">
        <v>2138</v>
      </c>
      <c r="K571" s="51">
        <v>40883</v>
      </c>
      <c r="L571" s="115">
        <v>40876</v>
      </c>
      <c r="M571" s="50">
        <f t="shared" si="23"/>
        <v>7</v>
      </c>
      <c r="N571" s="50" t="s">
        <v>2</v>
      </c>
      <c r="O571" s="131">
        <f>1.9/2</f>
        <v>0.95</v>
      </c>
      <c r="P571" s="117">
        <v>6.53</v>
      </c>
      <c r="Q571" s="131">
        <v>7.27</v>
      </c>
      <c r="R571" s="50">
        <v>130</v>
      </c>
      <c r="S571" s="74">
        <v>461</v>
      </c>
      <c r="T571" s="50">
        <v>0.59099999999999997</v>
      </c>
      <c r="U571" s="131">
        <v>2.2000000000000002</v>
      </c>
      <c r="V571" s="50">
        <v>1.73</v>
      </c>
      <c r="W571" s="74">
        <v>2.4E-2</v>
      </c>
      <c r="X571" s="50">
        <v>9.6000000000000002E-2</v>
      </c>
      <c r="Y571" s="74">
        <v>1.9E-2</v>
      </c>
      <c r="Z571" s="271">
        <v>1</v>
      </c>
      <c r="AA571" s="271">
        <v>1</v>
      </c>
      <c r="AB571" s="114">
        <v>74</v>
      </c>
      <c r="AC571" s="50">
        <v>438</v>
      </c>
      <c r="AD571" s="314">
        <v>1</v>
      </c>
      <c r="AE571" s="50">
        <v>100</v>
      </c>
      <c r="AF571" s="175"/>
      <c r="AG571" s="114">
        <f>0.2/2</f>
        <v>0.1</v>
      </c>
    </row>
    <row r="572" spans="1:33" ht="15" customHeight="1">
      <c r="A572" s="41" t="s">
        <v>183</v>
      </c>
      <c r="B572" s="402" t="s">
        <v>2139</v>
      </c>
      <c r="D572" s="393" t="s">
        <v>111</v>
      </c>
      <c r="E572" s="394" t="s">
        <v>429</v>
      </c>
      <c r="G572" s="405" t="s">
        <v>3614</v>
      </c>
      <c r="H572" s="113">
        <v>3312</v>
      </c>
      <c r="I572" s="49" t="s">
        <v>2</v>
      </c>
      <c r="J572" s="48" t="s">
        <v>2140</v>
      </c>
      <c r="K572" s="51">
        <v>40996</v>
      </c>
      <c r="L572" s="115">
        <v>40993</v>
      </c>
      <c r="M572" s="50">
        <f t="shared" si="23"/>
        <v>3</v>
      </c>
      <c r="N572" s="50" t="s">
        <v>2</v>
      </c>
      <c r="O572" s="131">
        <f>1/2</f>
        <v>0.5</v>
      </c>
      <c r="P572" s="117">
        <v>5</v>
      </c>
      <c r="Q572" s="131">
        <v>6.59</v>
      </c>
      <c r="R572" s="50">
        <v>129</v>
      </c>
      <c r="S572" s="74">
        <v>129</v>
      </c>
      <c r="T572" s="50">
        <v>0.85</v>
      </c>
      <c r="U572" s="131">
        <v>2.6</v>
      </c>
      <c r="V572" s="50">
        <v>3.41</v>
      </c>
      <c r="W572" s="74">
        <v>2.7E-2</v>
      </c>
      <c r="X572" s="50">
        <v>0.32800000000000001</v>
      </c>
      <c r="Y572" s="74">
        <v>2E-3</v>
      </c>
      <c r="AD572" s="314"/>
      <c r="AF572" s="175"/>
    </row>
    <row r="573" spans="1:33" ht="15" customHeight="1">
      <c r="A573" s="41" t="s">
        <v>183</v>
      </c>
      <c r="B573" s="402" t="s">
        <v>2139</v>
      </c>
      <c r="D573" s="393" t="s">
        <v>111</v>
      </c>
      <c r="E573" s="394" t="s">
        <v>429</v>
      </c>
      <c r="G573" s="405" t="s">
        <v>3614</v>
      </c>
      <c r="H573" s="113">
        <v>3312</v>
      </c>
      <c r="I573" s="49" t="s">
        <v>2</v>
      </c>
      <c r="J573" s="48" t="s">
        <v>2141</v>
      </c>
      <c r="K573" s="51">
        <v>40996</v>
      </c>
      <c r="L573" s="115">
        <v>40993</v>
      </c>
      <c r="M573" s="50">
        <f t="shared" si="23"/>
        <v>3</v>
      </c>
      <c r="N573" s="50" t="s">
        <v>2</v>
      </c>
      <c r="O573" s="131">
        <f>1/2</f>
        <v>0.5</v>
      </c>
      <c r="P573" s="117">
        <v>5</v>
      </c>
      <c r="Q573" s="131">
        <v>6.29</v>
      </c>
      <c r="R573" s="50">
        <f>1/2</f>
        <v>0.5</v>
      </c>
      <c r="S573" s="74">
        <v>33</v>
      </c>
      <c r="T573" s="50">
        <v>7.0000000000000007E-2</v>
      </c>
      <c r="U573" s="131">
        <v>2.8</v>
      </c>
      <c r="V573" s="50">
        <v>4.2</v>
      </c>
      <c r="W573" s="74">
        <v>2.1999999999999999E-2</v>
      </c>
      <c r="X573" s="50">
        <v>3.3000000000000002E-2</v>
      </c>
      <c r="Y573" s="74">
        <v>2.1999999999999999E-2</v>
      </c>
      <c r="AD573" s="314"/>
      <c r="AF573" s="175"/>
    </row>
    <row r="574" spans="1:33" ht="15" customHeight="1">
      <c r="A574" s="41" t="s">
        <v>183</v>
      </c>
      <c r="B574" s="402" t="s">
        <v>2142</v>
      </c>
      <c r="D574" s="393" t="s">
        <v>117</v>
      </c>
      <c r="E574" s="394" t="s">
        <v>2143</v>
      </c>
      <c r="G574" s="405" t="s">
        <v>3615</v>
      </c>
      <c r="H574" s="113">
        <v>3087</v>
      </c>
      <c r="I574" s="49"/>
      <c r="J574" s="48" t="s">
        <v>2102</v>
      </c>
      <c r="K574" s="51">
        <v>40996</v>
      </c>
      <c r="L574" s="115">
        <v>40992</v>
      </c>
      <c r="M574" s="50">
        <f t="shared" si="23"/>
        <v>4</v>
      </c>
      <c r="N574" s="50" t="s">
        <v>2</v>
      </c>
      <c r="O574" s="131">
        <v>2.9</v>
      </c>
      <c r="P574" s="117">
        <v>6</v>
      </c>
      <c r="Q574" s="131">
        <v>6.64</v>
      </c>
      <c r="R574" s="50">
        <v>56.9</v>
      </c>
      <c r="S574" s="74">
        <v>9</v>
      </c>
      <c r="T574" s="50">
        <v>0.11</v>
      </c>
      <c r="U574" s="131">
        <v>1.74</v>
      </c>
      <c r="V574" s="50">
        <v>0.61</v>
      </c>
      <c r="W574" s="74">
        <v>0.01</v>
      </c>
      <c r="X574" s="50">
        <v>0.06</v>
      </c>
      <c r="Y574" s="74">
        <f>0.02/2</f>
        <v>0.01</v>
      </c>
      <c r="Z574" s="271">
        <v>1</v>
      </c>
      <c r="AA574" s="271">
        <v>1</v>
      </c>
      <c r="AB574" s="114">
        <v>13.2</v>
      </c>
      <c r="AC574" s="50">
        <v>45.3</v>
      </c>
      <c r="AD574" s="314">
        <v>0.55000000000000004</v>
      </c>
      <c r="AF574" s="175"/>
    </row>
    <row r="575" spans="1:33" ht="15" customHeight="1">
      <c r="A575" s="41" t="s">
        <v>183</v>
      </c>
      <c r="B575" s="402" t="s">
        <v>2144</v>
      </c>
      <c r="C575" s="113" t="s">
        <v>2145</v>
      </c>
      <c r="D575" s="393" t="s">
        <v>1217</v>
      </c>
      <c r="E575" s="394" t="s">
        <v>2112</v>
      </c>
      <c r="G575" s="405" t="s">
        <v>2504</v>
      </c>
      <c r="H575" s="113">
        <v>9711</v>
      </c>
      <c r="I575" s="49" t="s">
        <v>2</v>
      </c>
      <c r="J575" s="48" t="s">
        <v>255</v>
      </c>
      <c r="K575" s="51">
        <v>40996</v>
      </c>
      <c r="L575" s="115">
        <v>40971</v>
      </c>
      <c r="M575" s="50">
        <f t="shared" si="23"/>
        <v>25</v>
      </c>
      <c r="N575" s="50" t="s">
        <v>2</v>
      </c>
      <c r="O575" s="131">
        <v>0.7</v>
      </c>
      <c r="P575" s="117">
        <v>5.7</v>
      </c>
      <c r="Q575" s="131">
        <v>7.37</v>
      </c>
      <c r="R575" s="50">
        <v>36</v>
      </c>
      <c r="S575" s="74">
        <v>38</v>
      </c>
      <c r="T575" s="50">
        <v>0.13</v>
      </c>
      <c r="U575" s="131">
        <v>1.1499999999999999</v>
      </c>
      <c r="V575" s="50">
        <v>1.1000000000000001</v>
      </c>
      <c r="W575" s="74">
        <v>0.02</v>
      </c>
      <c r="X575" s="50">
        <v>6.0999999999999999E-2</v>
      </c>
      <c r="Y575" s="74">
        <v>2.5000000000000001E-2</v>
      </c>
      <c r="Z575" s="271">
        <v>1</v>
      </c>
      <c r="AA575" s="271">
        <v>1</v>
      </c>
      <c r="AB575" s="114">
        <v>26</v>
      </c>
      <c r="AC575" s="50">
        <v>87</v>
      </c>
      <c r="AD575" s="314">
        <v>1</v>
      </c>
      <c r="AF575" s="175"/>
    </row>
    <row r="576" spans="1:33" ht="15" customHeight="1">
      <c r="A576" s="41" t="s">
        <v>183</v>
      </c>
      <c r="B576" s="402" t="s">
        <v>2144</v>
      </c>
      <c r="C576" s="113" t="s">
        <v>2145</v>
      </c>
      <c r="D576" s="393" t="s">
        <v>1217</v>
      </c>
      <c r="E576" s="394" t="s">
        <v>2112</v>
      </c>
      <c r="G576" s="405" t="s">
        <v>2504</v>
      </c>
      <c r="H576" s="113">
        <v>9711</v>
      </c>
      <c r="I576" s="49" t="s">
        <v>2</v>
      </c>
      <c r="J576" s="48" t="s">
        <v>96</v>
      </c>
      <c r="K576" s="51">
        <v>40996</v>
      </c>
      <c r="L576" s="115">
        <v>40971</v>
      </c>
      <c r="M576" s="50">
        <f t="shared" si="23"/>
        <v>25</v>
      </c>
      <c r="N576" s="50" t="s">
        <v>2</v>
      </c>
      <c r="O576" s="131">
        <v>0.7</v>
      </c>
      <c r="P576" s="117">
        <v>5.7</v>
      </c>
      <c r="Q576" s="131">
        <v>7.71</v>
      </c>
      <c r="R576" s="50">
        <v>200</v>
      </c>
      <c r="S576" s="74">
        <v>2.5</v>
      </c>
      <c r="T576" s="50">
        <v>5.0000000000000001E-3</v>
      </c>
      <c r="U576" s="131">
        <v>0.23</v>
      </c>
      <c r="V576" s="50">
        <v>0.43</v>
      </c>
      <c r="W576" s="74">
        <v>2.5000000000000001E-3</v>
      </c>
      <c r="X576" s="50">
        <v>5.0000000000000001E-3</v>
      </c>
      <c r="Y576" s="74">
        <v>1E-3</v>
      </c>
      <c r="Z576" s="271">
        <v>1</v>
      </c>
      <c r="AA576" s="271">
        <v>1</v>
      </c>
      <c r="AB576" s="114">
        <v>52</v>
      </c>
      <c r="AC576" s="50">
        <v>1340</v>
      </c>
      <c r="AD576" s="314">
        <v>1</v>
      </c>
      <c r="AF576" s="175"/>
    </row>
    <row r="577" spans="1:32" ht="15" customHeight="1">
      <c r="A577" s="41" t="s">
        <v>183</v>
      </c>
      <c r="B577" s="402" t="s">
        <v>2144</v>
      </c>
      <c r="C577" s="113" t="s">
        <v>2145</v>
      </c>
      <c r="D577" s="393" t="s">
        <v>1217</v>
      </c>
      <c r="E577" s="394" t="s">
        <v>2112</v>
      </c>
      <c r="G577" s="405" t="s">
        <v>2504</v>
      </c>
      <c r="H577" s="113">
        <v>9711</v>
      </c>
      <c r="I577" s="49" t="s">
        <v>2</v>
      </c>
      <c r="J577" s="48" t="s">
        <v>2146</v>
      </c>
      <c r="K577" s="51">
        <v>40996</v>
      </c>
      <c r="L577" s="115">
        <v>40971</v>
      </c>
      <c r="M577" s="50">
        <f t="shared" si="23"/>
        <v>25</v>
      </c>
      <c r="N577" s="50" t="s">
        <v>2</v>
      </c>
      <c r="O577" s="131">
        <v>0.7</v>
      </c>
      <c r="P577" s="117">
        <v>5.7</v>
      </c>
      <c r="Q577" s="131">
        <v>6.09</v>
      </c>
      <c r="R577" s="50">
        <v>5</v>
      </c>
      <c r="S577" s="74">
        <v>38</v>
      </c>
      <c r="T577" s="50">
        <v>0.13</v>
      </c>
      <c r="U577" s="131">
        <v>1.95</v>
      </c>
      <c r="V577" s="50">
        <v>0.7</v>
      </c>
      <c r="W577" s="74">
        <v>1.0999999999999999E-2</v>
      </c>
      <c r="X577" s="50">
        <v>3.2000000000000001E-2</v>
      </c>
      <c r="Y577" s="74">
        <v>3.0000000000000001E-3</v>
      </c>
      <c r="Z577" s="271">
        <v>1</v>
      </c>
      <c r="AA577" s="271">
        <v>1</v>
      </c>
      <c r="AB577" s="114">
        <v>16</v>
      </c>
      <c r="AC577" s="50">
        <v>29</v>
      </c>
      <c r="AD577" s="314">
        <v>0.9</v>
      </c>
      <c r="AF577" s="175"/>
    </row>
    <row r="578" spans="1:32" ht="15" customHeight="1">
      <c r="A578" s="41" t="s">
        <v>183</v>
      </c>
      <c r="B578" s="402" t="s">
        <v>1818</v>
      </c>
      <c r="C578" s="113" t="s">
        <v>2147</v>
      </c>
      <c r="D578" s="393" t="s">
        <v>268</v>
      </c>
      <c r="E578" s="394" t="s">
        <v>2148</v>
      </c>
      <c r="G578" s="405" t="s">
        <v>3616</v>
      </c>
      <c r="H578" s="113">
        <v>4941</v>
      </c>
      <c r="I578" s="49" t="s">
        <v>2</v>
      </c>
      <c r="J578" s="48" t="s">
        <v>2149</v>
      </c>
      <c r="K578" s="51">
        <v>40999</v>
      </c>
      <c r="L578" s="115">
        <v>40996</v>
      </c>
      <c r="M578" s="50">
        <f t="shared" si="23"/>
        <v>3</v>
      </c>
      <c r="N578" s="50" t="s">
        <v>2</v>
      </c>
      <c r="O578" s="131">
        <f>2.1/2</f>
        <v>1.05</v>
      </c>
      <c r="P578" s="117">
        <v>5.7</v>
      </c>
      <c r="Q578" s="131">
        <v>7</v>
      </c>
      <c r="R578" s="50">
        <f>20/2</f>
        <v>10</v>
      </c>
      <c r="S578" s="74">
        <v>8.4</v>
      </c>
      <c r="T578" s="50">
        <v>0.26800000000000002</v>
      </c>
      <c r="U578" s="131">
        <f>1/2</f>
        <v>0.5</v>
      </c>
      <c r="V578" s="50">
        <f>0.46/2</f>
        <v>0.23</v>
      </c>
      <c r="W578" s="74">
        <f>0.005/2</f>
        <v>2.5000000000000001E-3</v>
      </c>
      <c r="X578" s="50">
        <f>0.01/2</f>
        <v>5.0000000000000001E-3</v>
      </c>
      <c r="Y578" s="74">
        <f>0.005/2</f>
        <v>2.5000000000000001E-3</v>
      </c>
      <c r="AD578" s="314"/>
      <c r="AF578" s="175"/>
    </row>
    <row r="579" spans="1:32" ht="15" customHeight="1">
      <c r="A579" s="41" t="s">
        <v>183</v>
      </c>
      <c r="B579" s="402" t="s">
        <v>1818</v>
      </c>
      <c r="C579" s="113" t="s">
        <v>2147</v>
      </c>
      <c r="D579" s="393" t="s">
        <v>268</v>
      </c>
      <c r="E579" s="394" t="s">
        <v>2148</v>
      </c>
      <c r="G579" s="405" t="s">
        <v>3616</v>
      </c>
      <c r="H579" s="113">
        <v>4941</v>
      </c>
      <c r="I579" s="49" t="s">
        <v>2</v>
      </c>
      <c r="J579" s="48" t="s">
        <v>2097</v>
      </c>
      <c r="K579" s="51">
        <v>40999</v>
      </c>
      <c r="L579" s="115">
        <v>40996</v>
      </c>
      <c r="M579" s="50">
        <f t="shared" si="23"/>
        <v>3</v>
      </c>
      <c r="N579" s="50" t="s">
        <v>2</v>
      </c>
      <c r="O579" s="131">
        <f>1.7/2</f>
        <v>0.85</v>
      </c>
      <c r="P579" s="117">
        <v>5.7</v>
      </c>
      <c r="Q579" s="131">
        <v>7.2</v>
      </c>
      <c r="R579" s="50">
        <f>20/2</f>
        <v>10</v>
      </c>
      <c r="S579" s="74">
        <f>1/2</f>
        <v>0.5</v>
      </c>
      <c r="T579" s="50">
        <v>0.28199999999999997</v>
      </c>
      <c r="U579" s="131">
        <f>1/2</f>
        <v>0.5</v>
      </c>
      <c r="V579" s="50">
        <f>0.46/2</f>
        <v>0.23</v>
      </c>
      <c r="W579" s="74">
        <f>0.005/2</f>
        <v>2.5000000000000001E-3</v>
      </c>
      <c r="X579" s="50">
        <f>0.01/2</f>
        <v>5.0000000000000001E-3</v>
      </c>
      <c r="Y579" s="74">
        <f>0.005/2</f>
        <v>2.5000000000000001E-3</v>
      </c>
      <c r="AD579" s="314"/>
      <c r="AF579" s="175"/>
    </row>
    <row r="580" spans="1:32" ht="15" customHeight="1">
      <c r="A580" s="41" t="s">
        <v>183</v>
      </c>
      <c r="B580" s="402" t="s">
        <v>2150</v>
      </c>
      <c r="C580" s="113" t="s">
        <v>2151</v>
      </c>
      <c r="D580" s="393" t="s">
        <v>1896</v>
      </c>
      <c r="E580" s="394" t="s">
        <v>664</v>
      </c>
      <c r="G580" s="405" t="s">
        <v>3617</v>
      </c>
      <c r="H580" s="113">
        <v>4311</v>
      </c>
      <c r="I580" s="49" t="s">
        <v>2</v>
      </c>
      <c r="J580" s="48" t="s">
        <v>255</v>
      </c>
      <c r="K580" s="51">
        <v>40968</v>
      </c>
      <c r="L580" s="115">
        <v>40963</v>
      </c>
      <c r="M580" s="50">
        <f t="shared" si="23"/>
        <v>5</v>
      </c>
      <c r="N580" s="50" t="s">
        <v>2</v>
      </c>
      <c r="O580" s="131">
        <v>5</v>
      </c>
      <c r="P580" s="117">
        <v>7</v>
      </c>
      <c r="Q580" s="131">
        <v>7.61</v>
      </c>
      <c r="R580" s="50">
        <v>84</v>
      </c>
      <c r="S580" s="74">
        <v>60</v>
      </c>
      <c r="T580" s="50">
        <v>0.18</v>
      </c>
      <c r="U580" s="131">
        <v>1.53</v>
      </c>
      <c r="V580" s="50">
        <v>1.39</v>
      </c>
      <c r="W580" s="74">
        <v>1.2E-2</v>
      </c>
      <c r="X580" s="50">
        <v>4.5999999999999999E-2</v>
      </c>
      <c r="Y580" s="74">
        <v>4.0000000000000001E-3</v>
      </c>
      <c r="Z580" s="271">
        <v>1</v>
      </c>
      <c r="AA580" s="271">
        <v>1</v>
      </c>
      <c r="AB580" s="114">
        <v>88</v>
      </c>
      <c r="AC580" s="50">
        <v>490</v>
      </c>
      <c r="AD580" s="314">
        <v>1</v>
      </c>
      <c r="AF580" s="175"/>
    </row>
    <row r="581" spans="1:32" ht="15" customHeight="1">
      <c r="A581" s="41" t="s">
        <v>183</v>
      </c>
      <c r="B581" s="402" t="s">
        <v>2150</v>
      </c>
      <c r="C581" s="113" t="s">
        <v>2152</v>
      </c>
      <c r="D581" s="393" t="s">
        <v>56</v>
      </c>
      <c r="E581" s="394" t="s">
        <v>664</v>
      </c>
      <c r="G581" s="405" t="s">
        <v>3618</v>
      </c>
      <c r="H581" s="113">
        <v>4311</v>
      </c>
      <c r="I581" s="49" t="s">
        <v>1</v>
      </c>
      <c r="J581" s="48" t="s">
        <v>255</v>
      </c>
      <c r="K581" s="51">
        <v>40968</v>
      </c>
      <c r="L581" s="115">
        <v>40963</v>
      </c>
      <c r="M581" s="50">
        <f t="shared" si="23"/>
        <v>5</v>
      </c>
      <c r="N581" s="50" t="s">
        <v>2</v>
      </c>
      <c r="O581" s="131">
        <v>12</v>
      </c>
      <c r="P581" s="117">
        <v>6</v>
      </c>
      <c r="Q581" s="131">
        <v>6.35</v>
      </c>
      <c r="R581" s="50">
        <v>160</v>
      </c>
      <c r="S581" s="74">
        <v>210</v>
      </c>
      <c r="T581" s="50">
        <v>0.2</v>
      </c>
      <c r="U581" s="131">
        <v>2.44</v>
      </c>
      <c r="V581" s="50">
        <v>1.98</v>
      </c>
      <c r="W581" s="74">
        <v>4.9000000000000002E-2</v>
      </c>
      <c r="X581" s="50">
        <v>0.25600000000000001</v>
      </c>
      <c r="Y581" s="74">
        <v>0.03</v>
      </c>
      <c r="Z581" s="271">
        <v>1</v>
      </c>
      <c r="AA581" s="271">
        <v>1</v>
      </c>
      <c r="AB581" s="114">
        <v>38</v>
      </c>
      <c r="AC581" s="50">
        <v>308</v>
      </c>
      <c r="AD581" s="314">
        <v>0.95</v>
      </c>
      <c r="AF581" s="175"/>
    </row>
    <row r="582" spans="1:32" ht="15" customHeight="1">
      <c r="A582" s="41" t="s">
        <v>183</v>
      </c>
      <c r="B582" s="402" t="s">
        <v>2153</v>
      </c>
      <c r="C582" s="113" t="s">
        <v>2154</v>
      </c>
      <c r="D582" s="393" t="s">
        <v>350</v>
      </c>
      <c r="G582" s="405" t="s">
        <v>3619</v>
      </c>
      <c r="H582" s="113">
        <v>3251</v>
      </c>
      <c r="I582" s="49"/>
      <c r="J582" s="48" t="s">
        <v>255</v>
      </c>
      <c r="K582" s="51">
        <v>40969</v>
      </c>
      <c r="L582" s="115">
        <v>40963</v>
      </c>
      <c r="M582" s="50">
        <f t="shared" ref="M582:M613" si="24">K582-L582</f>
        <v>6</v>
      </c>
      <c r="N582" s="50" t="s">
        <v>2</v>
      </c>
      <c r="O582" s="131">
        <f>1.4/2</f>
        <v>0.7</v>
      </c>
      <c r="P582" s="117">
        <v>6.4</v>
      </c>
      <c r="Q582" s="131">
        <v>7.59</v>
      </c>
      <c r="R582" s="50">
        <v>19</v>
      </c>
      <c r="S582" s="74">
        <v>16</v>
      </c>
      <c r="T582" s="50">
        <v>0.06</v>
      </c>
      <c r="U582" s="131">
        <v>2.09</v>
      </c>
      <c r="V582" s="50">
        <v>0.5</v>
      </c>
      <c r="W582" s="74">
        <v>8.9999999999999993E-3</v>
      </c>
      <c r="X582" s="50">
        <v>7.0000000000000001E-3</v>
      </c>
      <c r="Y582" s="74">
        <f>0.002/2</f>
        <v>1E-3</v>
      </c>
      <c r="AD582" s="314"/>
      <c r="AF582" s="175"/>
    </row>
    <row r="583" spans="1:32" ht="15" customHeight="1">
      <c r="A583" s="41" t="s">
        <v>183</v>
      </c>
      <c r="B583" s="402" t="s">
        <v>2153</v>
      </c>
      <c r="C583" s="113" t="s">
        <v>2154</v>
      </c>
      <c r="D583" s="393" t="s">
        <v>350</v>
      </c>
      <c r="G583" s="405" t="s">
        <v>3619</v>
      </c>
      <c r="H583" s="113">
        <v>3251</v>
      </c>
      <c r="I583" s="49"/>
      <c r="J583" s="48" t="s">
        <v>96</v>
      </c>
      <c r="K583" s="51">
        <v>40969</v>
      </c>
      <c r="L583" s="115">
        <v>40963</v>
      </c>
      <c r="M583" s="50">
        <f t="shared" si="24"/>
        <v>6</v>
      </c>
      <c r="N583" s="50" t="s">
        <v>2</v>
      </c>
      <c r="O583" s="131">
        <f>1.4/2</f>
        <v>0.7</v>
      </c>
      <c r="P583" s="117">
        <v>6.4</v>
      </c>
      <c r="Q583" s="131">
        <v>7.57</v>
      </c>
      <c r="R583" s="50">
        <f>10/2</f>
        <v>5</v>
      </c>
      <c r="S583" s="74">
        <v>23</v>
      </c>
      <c r="T583" s="50">
        <v>0.13</v>
      </c>
      <c r="U583" s="131">
        <v>0.45</v>
      </c>
      <c r="V583" s="50">
        <v>0.75</v>
      </c>
      <c r="W583" s="74">
        <v>8.9999999999999993E-3</v>
      </c>
      <c r="X583" s="50">
        <v>9.4E-2</v>
      </c>
      <c r="Y583" s="74">
        <v>5.0000000000000001E-3</v>
      </c>
      <c r="AD583" s="314"/>
      <c r="AF583" s="175"/>
    </row>
    <row r="584" spans="1:32" ht="15" customHeight="1">
      <c r="A584" s="41" t="s">
        <v>183</v>
      </c>
      <c r="B584" s="402" t="s">
        <v>2153</v>
      </c>
      <c r="C584" s="113" t="s">
        <v>2154</v>
      </c>
      <c r="D584" s="393" t="s">
        <v>350</v>
      </c>
      <c r="G584" s="405" t="s">
        <v>3619</v>
      </c>
      <c r="H584" s="113">
        <v>3251</v>
      </c>
      <c r="I584" s="49"/>
      <c r="J584" s="48" t="s">
        <v>254</v>
      </c>
      <c r="K584" s="51">
        <v>40969</v>
      </c>
      <c r="L584" s="115">
        <v>40963</v>
      </c>
      <c r="M584" s="50">
        <f t="shared" si="24"/>
        <v>6</v>
      </c>
      <c r="N584" s="50" t="s">
        <v>2</v>
      </c>
      <c r="O584" s="131">
        <f>1.4/2</f>
        <v>0.7</v>
      </c>
      <c r="P584" s="117">
        <v>6.4</v>
      </c>
      <c r="Q584" s="131">
        <v>7.67</v>
      </c>
      <c r="R584" s="50">
        <v>13</v>
      </c>
      <c r="S584" s="74">
        <v>410</v>
      </c>
      <c r="T584" s="50">
        <v>0.69</v>
      </c>
      <c r="U584" s="131">
        <v>0.52</v>
      </c>
      <c r="V584" s="50">
        <v>0.56000000000000005</v>
      </c>
      <c r="W584" s="74">
        <v>0.56999999999999995</v>
      </c>
      <c r="X584" s="50">
        <v>0.16400000000000001</v>
      </c>
      <c r="Y584" s="74">
        <v>3.2000000000000001E-2</v>
      </c>
      <c r="AD584" s="314"/>
      <c r="AF584" s="175"/>
    </row>
    <row r="585" spans="1:32" ht="15" customHeight="1">
      <c r="A585" s="41" t="s">
        <v>183</v>
      </c>
      <c r="B585" s="402" t="s">
        <v>2155</v>
      </c>
      <c r="C585" s="113" t="s">
        <v>2156</v>
      </c>
      <c r="D585" s="393" t="s">
        <v>71</v>
      </c>
      <c r="E585" s="394" t="s">
        <v>2157</v>
      </c>
      <c r="F585" s="402" t="s">
        <v>2158</v>
      </c>
      <c r="G585" s="405" t="s">
        <v>3620</v>
      </c>
      <c r="H585" s="113">
        <v>2821</v>
      </c>
      <c r="I585" s="49" t="s">
        <v>2</v>
      </c>
      <c r="J585" s="48" t="s">
        <v>96</v>
      </c>
      <c r="K585" s="51">
        <v>40977</v>
      </c>
      <c r="L585" s="115">
        <v>40971</v>
      </c>
      <c r="M585" s="50">
        <f t="shared" si="24"/>
        <v>6</v>
      </c>
      <c r="N585" s="50" t="s">
        <v>2</v>
      </c>
      <c r="O585" s="131">
        <f>2/2</f>
        <v>1</v>
      </c>
      <c r="P585" s="117">
        <v>4.5</v>
      </c>
      <c r="Q585" s="131">
        <v>4</v>
      </c>
      <c r="R585" s="50">
        <v>21</v>
      </c>
      <c r="S585" s="74">
        <v>12</v>
      </c>
      <c r="T585" s="50">
        <v>4.3999999999999997E-2</v>
      </c>
      <c r="U585" s="131">
        <v>0.54</v>
      </c>
      <c r="V585" s="50">
        <v>0.43</v>
      </c>
      <c r="W585" s="74">
        <v>0.14000000000000001</v>
      </c>
      <c r="X585" s="50">
        <v>0.27</v>
      </c>
      <c r="Y585" s="74">
        <v>5.0000000000000001E-3</v>
      </c>
      <c r="AD585" s="314"/>
      <c r="AF585" s="175"/>
    </row>
    <row r="586" spans="1:32" ht="15" customHeight="1">
      <c r="A586" s="41" t="s">
        <v>183</v>
      </c>
      <c r="B586" s="402" t="s">
        <v>2155</v>
      </c>
      <c r="C586" s="113" t="s">
        <v>2156</v>
      </c>
      <c r="D586" s="393" t="s">
        <v>71</v>
      </c>
      <c r="E586" s="394" t="s">
        <v>2157</v>
      </c>
      <c r="F586" s="402" t="s">
        <v>2158</v>
      </c>
      <c r="G586" s="405" t="s">
        <v>3620</v>
      </c>
      <c r="H586" s="113">
        <v>2821</v>
      </c>
      <c r="I586" s="49" t="s">
        <v>2</v>
      </c>
      <c r="J586" s="48" t="s">
        <v>169</v>
      </c>
      <c r="K586" s="51">
        <v>40977</v>
      </c>
      <c r="L586" s="115">
        <v>40971</v>
      </c>
      <c r="M586" s="50">
        <f t="shared" si="24"/>
        <v>6</v>
      </c>
      <c r="N586" s="50" t="s">
        <v>2</v>
      </c>
      <c r="O586" s="131">
        <v>7.8</v>
      </c>
      <c r="P586" s="117">
        <v>4.5</v>
      </c>
      <c r="Q586" s="131">
        <v>5</v>
      </c>
      <c r="R586" s="50">
        <v>74</v>
      </c>
      <c r="S586" s="74">
        <v>130</v>
      </c>
      <c r="T586" s="50">
        <v>0.1</v>
      </c>
      <c r="U586" s="131">
        <v>0.73</v>
      </c>
      <c r="V586" s="50">
        <v>0.53</v>
      </c>
      <c r="W586" s="74">
        <v>0.15</v>
      </c>
      <c r="X586" s="50">
        <v>0.3</v>
      </c>
      <c r="Y586" s="74">
        <v>5.3999999999999999E-2</v>
      </c>
      <c r="AD586" s="314"/>
      <c r="AF586" s="175"/>
    </row>
    <row r="587" spans="1:32" ht="15" customHeight="1">
      <c r="A587" s="41" t="s">
        <v>183</v>
      </c>
      <c r="B587" s="402" t="s">
        <v>2155</v>
      </c>
      <c r="C587" s="113" t="s">
        <v>2156</v>
      </c>
      <c r="D587" s="393" t="s">
        <v>71</v>
      </c>
      <c r="E587" s="394" t="s">
        <v>2157</v>
      </c>
      <c r="F587" s="402" t="s">
        <v>2158</v>
      </c>
      <c r="G587" s="405" t="s">
        <v>3620</v>
      </c>
      <c r="H587" s="113">
        <v>2821</v>
      </c>
      <c r="I587" s="73" t="s">
        <v>2</v>
      </c>
      <c r="J587" s="48" t="s">
        <v>2159</v>
      </c>
      <c r="K587" s="51">
        <v>40977</v>
      </c>
      <c r="L587" s="115">
        <v>40971</v>
      </c>
      <c r="M587" s="50">
        <f t="shared" si="24"/>
        <v>6</v>
      </c>
      <c r="N587" s="50" t="s">
        <v>2</v>
      </c>
      <c r="O587" s="131">
        <v>2</v>
      </c>
      <c r="P587" s="117">
        <v>4.5</v>
      </c>
      <c r="Q587" s="131">
        <v>5.2</v>
      </c>
      <c r="R587" s="50">
        <v>22</v>
      </c>
      <c r="S587" s="74">
        <v>24</v>
      </c>
      <c r="T587" s="50">
        <v>8.5000000000000006E-2</v>
      </c>
      <c r="U587" s="131">
        <v>0.79</v>
      </c>
      <c r="V587" s="50">
        <v>0.5</v>
      </c>
      <c r="W587" s="74">
        <v>4.1000000000000003E-3</v>
      </c>
      <c r="X587" s="50">
        <v>4.4999999999999998E-2</v>
      </c>
      <c r="Y587" s="74">
        <v>3.5999999999999999E-3</v>
      </c>
      <c r="AD587" s="314"/>
      <c r="AF587" s="175"/>
    </row>
    <row r="588" spans="1:32" ht="15" customHeight="1">
      <c r="A588" s="41" t="s">
        <v>183</v>
      </c>
      <c r="B588" s="402" t="s">
        <v>2155</v>
      </c>
      <c r="C588" s="113" t="s">
        <v>2156</v>
      </c>
      <c r="D588" s="393" t="s">
        <v>71</v>
      </c>
      <c r="E588" s="394" t="s">
        <v>2157</v>
      </c>
      <c r="F588" s="402" t="s">
        <v>2158</v>
      </c>
      <c r="G588" s="405" t="s">
        <v>3620</v>
      </c>
      <c r="H588" s="113">
        <v>2821</v>
      </c>
      <c r="I588" s="49" t="s">
        <v>2</v>
      </c>
      <c r="J588" s="48" t="s">
        <v>2160</v>
      </c>
      <c r="K588" s="51">
        <v>40977</v>
      </c>
      <c r="L588" s="115">
        <v>40971</v>
      </c>
      <c r="M588" s="50">
        <f t="shared" si="24"/>
        <v>6</v>
      </c>
      <c r="N588" s="50" t="s">
        <v>2</v>
      </c>
      <c r="O588" s="131">
        <v>3</v>
      </c>
      <c r="P588" s="117">
        <v>4.5</v>
      </c>
      <c r="Q588" s="131">
        <v>5.0999999999999996</v>
      </c>
      <c r="R588" s="50">
        <v>170</v>
      </c>
      <c r="S588" s="74">
        <v>420</v>
      </c>
      <c r="T588" s="50">
        <v>0.28000000000000003</v>
      </c>
      <c r="U588" s="131">
        <v>1.6</v>
      </c>
      <c r="V588" s="50">
        <v>1.3</v>
      </c>
      <c r="W588" s="74">
        <v>0.17</v>
      </c>
      <c r="X588" s="50">
        <v>0.38</v>
      </c>
      <c r="Y588" s="74">
        <v>9.1999999999999998E-2</v>
      </c>
      <c r="AD588" s="314"/>
      <c r="AF588" s="175"/>
    </row>
    <row r="589" spans="1:32" ht="15" customHeight="1">
      <c r="A589" s="41" t="s">
        <v>183</v>
      </c>
      <c r="B589" s="402" t="s">
        <v>2155</v>
      </c>
      <c r="C589" s="113" t="s">
        <v>2156</v>
      </c>
      <c r="D589" s="393" t="s">
        <v>71</v>
      </c>
      <c r="E589" s="394" t="s">
        <v>2157</v>
      </c>
      <c r="F589" s="402" t="s">
        <v>2158</v>
      </c>
      <c r="G589" s="405" t="s">
        <v>3620</v>
      </c>
      <c r="H589" s="113">
        <v>2821</v>
      </c>
      <c r="I589" s="49" t="s">
        <v>2</v>
      </c>
      <c r="J589" s="48" t="s">
        <v>254</v>
      </c>
      <c r="K589" s="51">
        <v>40977</v>
      </c>
      <c r="L589" s="115">
        <v>40971</v>
      </c>
      <c r="M589" s="50">
        <f t="shared" si="24"/>
        <v>6</v>
      </c>
      <c r="N589" s="50" t="s">
        <v>2</v>
      </c>
      <c r="O589" s="131">
        <f>2/2</f>
        <v>1</v>
      </c>
      <c r="P589" s="117">
        <v>4.5</v>
      </c>
      <c r="Q589" s="131">
        <v>4.7</v>
      </c>
      <c r="R589" s="50">
        <v>40</v>
      </c>
      <c r="S589" s="74">
        <v>17</v>
      </c>
      <c r="T589" s="50">
        <v>3.5999999999999997E-2</v>
      </c>
      <c r="U589" s="131">
        <f>0.5/2</f>
        <v>0.25</v>
      </c>
      <c r="V589" s="50">
        <v>0.48</v>
      </c>
      <c r="W589" s="74">
        <v>0.12</v>
      </c>
      <c r="X589" s="50">
        <v>0.14000000000000001</v>
      </c>
      <c r="Y589" s="74">
        <v>9.4000000000000004E-3</v>
      </c>
      <c r="AD589" s="314"/>
      <c r="AF589" s="175"/>
    </row>
    <row r="590" spans="1:32" ht="15" customHeight="1">
      <c r="A590" s="41" t="s">
        <v>183</v>
      </c>
      <c r="B590" s="402" t="s">
        <v>2161</v>
      </c>
      <c r="C590" s="113" t="s">
        <v>2162</v>
      </c>
      <c r="D590" s="393" t="s">
        <v>333</v>
      </c>
      <c r="E590" s="394" t="s">
        <v>2163</v>
      </c>
      <c r="G590" s="405" t="s">
        <v>3621</v>
      </c>
      <c r="H590" s="113">
        <v>4226</v>
      </c>
      <c r="I590" s="49"/>
      <c r="J590" s="48" t="s">
        <v>2164</v>
      </c>
      <c r="K590" s="51">
        <v>40884</v>
      </c>
      <c r="L590" s="115">
        <v>40876</v>
      </c>
      <c r="M590" s="50">
        <f t="shared" si="24"/>
        <v>8</v>
      </c>
      <c r="N590" s="50" t="s">
        <v>2</v>
      </c>
      <c r="O590" s="131">
        <f t="shared" ref="O590:O596" si="25">5/2</f>
        <v>2.5</v>
      </c>
      <c r="P590" s="117">
        <v>7.1</v>
      </c>
      <c r="Q590" s="131">
        <v>7.34</v>
      </c>
      <c r="R590" s="50">
        <v>5</v>
      </c>
      <c r="S590" s="74">
        <v>16</v>
      </c>
      <c r="T590" s="50">
        <f>0.1/2</f>
        <v>0.05</v>
      </c>
      <c r="U590" s="131">
        <f>1/2</f>
        <v>0.5</v>
      </c>
      <c r="V590" s="50">
        <f>0.1/1</f>
        <v>0.1</v>
      </c>
      <c r="W590" s="74">
        <f t="shared" ref="W590:W595" si="26">0.04/2</f>
        <v>0.02</v>
      </c>
      <c r="X590" s="50">
        <f>0.02/2</f>
        <v>0.01</v>
      </c>
      <c r="Y590" s="74">
        <f>0.013/2</f>
        <v>6.4999999999999997E-3</v>
      </c>
      <c r="Z590" s="271">
        <v>1</v>
      </c>
      <c r="AA590" s="271">
        <v>1</v>
      </c>
      <c r="AB590" s="114">
        <v>200</v>
      </c>
      <c r="AC590" s="50">
        <v>382</v>
      </c>
      <c r="AD590" s="314">
        <v>1</v>
      </c>
      <c r="AF590" s="175"/>
    </row>
    <row r="591" spans="1:32" ht="15" customHeight="1">
      <c r="A591" s="41" t="s">
        <v>183</v>
      </c>
      <c r="B591" s="402" t="s">
        <v>2161</v>
      </c>
      <c r="C591" s="113" t="s">
        <v>2162</v>
      </c>
      <c r="D591" s="393" t="s">
        <v>333</v>
      </c>
      <c r="E591" s="394" t="s">
        <v>2163</v>
      </c>
      <c r="G591" s="405" t="s">
        <v>3621</v>
      </c>
      <c r="H591" s="113">
        <v>4226</v>
      </c>
      <c r="I591" s="49"/>
      <c r="J591" s="48" t="s">
        <v>2165</v>
      </c>
      <c r="K591" s="51">
        <v>40884</v>
      </c>
      <c r="L591" s="115">
        <v>40876</v>
      </c>
      <c r="M591" s="50">
        <f t="shared" si="24"/>
        <v>8</v>
      </c>
      <c r="N591" s="50" t="s">
        <v>2</v>
      </c>
      <c r="O591" s="131">
        <f t="shared" si="25"/>
        <v>2.5</v>
      </c>
      <c r="P591" s="117">
        <v>7.1</v>
      </c>
      <c r="Q591" s="131">
        <v>3.78</v>
      </c>
      <c r="R591" s="50">
        <v>73</v>
      </c>
      <c r="S591" s="74">
        <v>82</v>
      </c>
      <c r="T591" s="50">
        <v>0.1</v>
      </c>
      <c r="U591" s="131">
        <v>3.7</v>
      </c>
      <c r="V591" s="50">
        <v>1.3</v>
      </c>
      <c r="W591" s="74">
        <f t="shared" si="26"/>
        <v>0.02</v>
      </c>
      <c r="X591" s="50">
        <v>5.8999999999999997E-2</v>
      </c>
      <c r="Y591" s="74">
        <v>2.1999999999999999E-2</v>
      </c>
      <c r="Z591" s="271">
        <v>0.95499999999999996</v>
      </c>
      <c r="AA591" s="271">
        <v>8.1600000000000006E-2</v>
      </c>
      <c r="AB591" s="114">
        <v>160</v>
      </c>
      <c r="AC591" s="50">
        <v>395</v>
      </c>
      <c r="AD591" s="314">
        <v>0</v>
      </c>
      <c r="AF591" s="175"/>
    </row>
    <row r="592" spans="1:32" ht="15" customHeight="1">
      <c r="A592" s="41" t="s">
        <v>183</v>
      </c>
      <c r="B592" s="402" t="s">
        <v>2161</v>
      </c>
      <c r="C592" s="113" t="s">
        <v>2162</v>
      </c>
      <c r="D592" s="393" t="s">
        <v>333</v>
      </c>
      <c r="E592" s="394" t="s">
        <v>2163</v>
      </c>
      <c r="G592" s="405" t="s">
        <v>3621</v>
      </c>
      <c r="H592" s="113">
        <v>4226</v>
      </c>
      <c r="I592" s="49"/>
      <c r="J592" s="48" t="s">
        <v>2166</v>
      </c>
      <c r="K592" s="51">
        <v>40884</v>
      </c>
      <c r="L592" s="115">
        <v>40876</v>
      </c>
      <c r="M592" s="50">
        <f t="shared" si="24"/>
        <v>8</v>
      </c>
      <c r="N592" s="50" t="s">
        <v>2</v>
      </c>
      <c r="O592" s="131">
        <f t="shared" si="25"/>
        <v>2.5</v>
      </c>
      <c r="P592" s="117">
        <v>7.1</v>
      </c>
      <c r="Q592" s="131">
        <v>6.34</v>
      </c>
      <c r="R592" s="50">
        <v>13</v>
      </c>
      <c r="S592" s="74">
        <v>28</v>
      </c>
      <c r="T592" s="50">
        <f>0.1/2</f>
        <v>0.05</v>
      </c>
      <c r="U592" s="131">
        <f>1/2</f>
        <v>0.5</v>
      </c>
      <c r="V592" s="50">
        <v>0.56000000000000005</v>
      </c>
      <c r="W592" s="74">
        <f t="shared" si="26"/>
        <v>0.02</v>
      </c>
      <c r="X592" s="50">
        <v>2.9000000000000001E-2</v>
      </c>
      <c r="Y592" s="74">
        <v>1.9E-2</v>
      </c>
      <c r="Z592" s="271">
        <v>1</v>
      </c>
      <c r="AA592" s="271">
        <v>1</v>
      </c>
      <c r="AB592" s="114">
        <v>93</v>
      </c>
      <c r="AC592" s="50">
        <v>182</v>
      </c>
      <c r="AD592" s="314">
        <v>0.85</v>
      </c>
      <c r="AF592" s="175"/>
    </row>
    <row r="593" spans="1:36" ht="15" customHeight="1">
      <c r="A593" s="41" t="s">
        <v>183</v>
      </c>
      <c r="B593" s="402" t="s">
        <v>2161</v>
      </c>
      <c r="C593" s="113" t="s">
        <v>2162</v>
      </c>
      <c r="D593" s="393" t="s">
        <v>333</v>
      </c>
      <c r="E593" s="394" t="s">
        <v>2163</v>
      </c>
      <c r="G593" s="405" t="s">
        <v>3621</v>
      </c>
      <c r="H593" s="113">
        <v>4226</v>
      </c>
      <c r="I593" s="49"/>
      <c r="J593" s="48" t="s">
        <v>2167</v>
      </c>
      <c r="K593" s="51">
        <v>40884</v>
      </c>
      <c r="L593" s="115">
        <v>40876</v>
      </c>
      <c r="M593" s="50">
        <f t="shared" si="24"/>
        <v>8</v>
      </c>
      <c r="N593" s="50" t="s">
        <v>2</v>
      </c>
      <c r="O593" s="131">
        <f t="shared" si="25"/>
        <v>2.5</v>
      </c>
      <c r="P593" s="117">
        <v>7.1</v>
      </c>
      <c r="Q593" s="131">
        <v>4.5999999999999996</v>
      </c>
      <c r="R593" s="50">
        <v>51</v>
      </c>
      <c r="S593" s="74">
        <v>170</v>
      </c>
      <c r="T593" s="50">
        <f>0.1/2</f>
        <v>0.05</v>
      </c>
      <c r="U593" s="131">
        <v>2</v>
      </c>
      <c r="V593" s="50">
        <v>0.96</v>
      </c>
      <c r="W593" s="74">
        <f t="shared" si="26"/>
        <v>0.02</v>
      </c>
      <c r="X593" s="50">
        <v>0.1</v>
      </c>
      <c r="Y593" s="74">
        <v>0.04</v>
      </c>
      <c r="Z593" s="271">
        <v>0.70699999999999996</v>
      </c>
      <c r="AA593" s="271">
        <v>0.34499999999999997</v>
      </c>
      <c r="AB593" s="114">
        <v>240</v>
      </c>
      <c r="AC593" s="50">
        <v>547</v>
      </c>
      <c r="AD593" s="314">
        <v>0</v>
      </c>
      <c r="AF593" s="175"/>
    </row>
    <row r="594" spans="1:36" ht="15" customHeight="1">
      <c r="A594" s="41" t="s">
        <v>183</v>
      </c>
      <c r="B594" s="402" t="s">
        <v>2161</v>
      </c>
      <c r="C594" s="113" t="s">
        <v>2162</v>
      </c>
      <c r="D594" s="393" t="s">
        <v>333</v>
      </c>
      <c r="E594" s="394" t="s">
        <v>2163</v>
      </c>
      <c r="G594" s="405" t="s">
        <v>3621</v>
      </c>
      <c r="H594" s="113">
        <v>4226</v>
      </c>
      <c r="I594" s="49"/>
      <c r="J594" s="48" t="s">
        <v>2168</v>
      </c>
      <c r="K594" s="51">
        <v>40884</v>
      </c>
      <c r="L594" s="115">
        <v>40876</v>
      </c>
      <c r="M594" s="50">
        <f t="shared" si="24"/>
        <v>8</v>
      </c>
      <c r="N594" s="50" t="s">
        <v>2</v>
      </c>
      <c r="O594" s="131">
        <f t="shared" si="25"/>
        <v>2.5</v>
      </c>
      <c r="P594" s="117">
        <v>7.1</v>
      </c>
      <c r="Q594" s="131">
        <v>7.05</v>
      </c>
      <c r="R594" s="50">
        <v>23</v>
      </c>
      <c r="S594" s="74">
        <f>5/2</f>
        <v>2.5</v>
      </c>
      <c r="T594" s="50">
        <f>0.1/2</f>
        <v>0.05</v>
      </c>
      <c r="U594" s="131">
        <f>1/2</f>
        <v>0.5</v>
      </c>
      <c r="V594" s="50">
        <v>0.51</v>
      </c>
      <c r="W594" s="74">
        <f t="shared" si="26"/>
        <v>0.02</v>
      </c>
      <c r="X594" s="50">
        <f>0.02/2</f>
        <v>0.01</v>
      </c>
      <c r="Y594" s="74">
        <v>2.4E-2</v>
      </c>
      <c r="Z594" s="271">
        <v>1</v>
      </c>
      <c r="AA594" s="271">
        <v>1</v>
      </c>
      <c r="AB594" s="114">
        <v>110</v>
      </c>
      <c r="AC594" s="50">
        <v>247</v>
      </c>
      <c r="AD594" s="314">
        <v>0.95</v>
      </c>
      <c r="AF594" s="175"/>
    </row>
    <row r="595" spans="1:36" ht="15" customHeight="1">
      <c r="A595" s="41" t="s">
        <v>183</v>
      </c>
      <c r="B595" s="402" t="s">
        <v>2161</v>
      </c>
      <c r="C595" s="113" t="s">
        <v>2169</v>
      </c>
      <c r="D595" s="393" t="s">
        <v>56</v>
      </c>
      <c r="E595" s="394" t="s">
        <v>95</v>
      </c>
      <c r="G595" s="405" t="s">
        <v>3622</v>
      </c>
      <c r="H595" s="113">
        <v>4226</v>
      </c>
      <c r="I595" s="49" t="s">
        <v>1</v>
      </c>
      <c r="J595" s="48" t="s">
        <v>2170</v>
      </c>
      <c r="K595" s="51">
        <v>40884</v>
      </c>
      <c r="L595" s="115">
        <v>40876</v>
      </c>
      <c r="M595" s="50">
        <f t="shared" si="24"/>
        <v>8</v>
      </c>
      <c r="N595" s="50" t="s">
        <v>2</v>
      </c>
      <c r="O595" s="131">
        <f t="shared" si="25"/>
        <v>2.5</v>
      </c>
      <c r="P595" s="117">
        <v>7.1</v>
      </c>
      <c r="Q595" s="131">
        <v>7.25</v>
      </c>
      <c r="R595" s="50">
        <v>15</v>
      </c>
      <c r="S595" s="74">
        <v>32</v>
      </c>
      <c r="T595" s="50">
        <f>0.1/2</f>
        <v>0.05</v>
      </c>
      <c r="U595" s="131">
        <f>1/2</f>
        <v>0.5</v>
      </c>
      <c r="V595" s="50">
        <v>0.99</v>
      </c>
      <c r="W595" s="74">
        <f t="shared" si="26"/>
        <v>0.02</v>
      </c>
      <c r="X595" s="50">
        <v>3.1E-2</v>
      </c>
      <c r="Y595" s="74">
        <f>0.013/2</f>
        <v>6.4999999999999997E-3</v>
      </c>
      <c r="Z595" s="271">
        <v>1</v>
      </c>
      <c r="AA595" s="271">
        <v>1</v>
      </c>
      <c r="AB595" s="114">
        <v>37</v>
      </c>
      <c r="AC595" s="50">
        <v>105</v>
      </c>
      <c r="AD595" s="314">
        <v>1</v>
      </c>
      <c r="AF595" s="175"/>
      <c r="AI595" s="114" t="s">
        <v>2171</v>
      </c>
      <c r="AJ595" s="114">
        <v>24196</v>
      </c>
    </row>
    <row r="596" spans="1:36" ht="15" customHeight="1">
      <c r="A596" s="41" t="s">
        <v>183</v>
      </c>
      <c r="B596" s="402" t="s">
        <v>2161</v>
      </c>
      <c r="C596" s="113" t="s">
        <v>2172</v>
      </c>
      <c r="D596" s="393" t="s">
        <v>56</v>
      </c>
      <c r="E596" s="394" t="s">
        <v>95</v>
      </c>
      <c r="G596" s="405" t="s">
        <v>3623</v>
      </c>
      <c r="H596" s="113">
        <v>4225</v>
      </c>
      <c r="I596" s="49" t="s">
        <v>1</v>
      </c>
      <c r="J596" s="48" t="s">
        <v>2173</v>
      </c>
      <c r="K596" s="51">
        <v>40898</v>
      </c>
      <c r="L596" s="115">
        <v>40885</v>
      </c>
      <c r="M596" s="50">
        <f t="shared" si="24"/>
        <v>13</v>
      </c>
      <c r="N596" s="50" t="s">
        <v>2</v>
      </c>
      <c r="O596" s="131">
        <f t="shared" si="25"/>
        <v>2.5</v>
      </c>
      <c r="P596" s="117">
        <v>7.1</v>
      </c>
      <c r="Q596" s="131">
        <v>7.23</v>
      </c>
      <c r="R596" s="50">
        <v>50</v>
      </c>
      <c r="S596" s="74">
        <v>19</v>
      </c>
      <c r="T596" s="50">
        <f>0.1/2</f>
        <v>0.05</v>
      </c>
      <c r="U596" s="131">
        <f>1/2</f>
        <v>0.5</v>
      </c>
      <c r="V596" s="50">
        <v>1.1000000000000001</v>
      </c>
      <c r="W596" s="74">
        <v>6.8000000000000005E-2</v>
      </c>
      <c r="X596" s="50">
        <v>0.16</v>
      </c>
      <c r="Y596" s="74">
        <f>0.013/2</f>
        <v>6.4999999999999997E-3</v>
      </c>
      <c r="Z596" s="271">
        <v>1</v>
      </c>
      <c r="AA596" s="271">
        <v>1</v>
      </c>
      <c r="AB596" s="114">
        <v>59</v>
      </c>
      <c r="AC596" s="50">
        <v>226</v>
      </c>
      <c r="AD596" s="314">
        <v>1</v>
      </c>
      <c r="AF596" s="175"/>
      <c r="AI596" s="114">
        <v>93.3</v>
      </c>
      <c r="AJ596" s="114">
        <v>52</v>
      </c>
    </row>
    <row r="597" spans="1:36" ht="15" customHeight="1">
      <c r="A597" s="41" t="s">
        <v>183</v>
      </c>
      <c r="B597" s="402" t="s">
        <v>2175</v>
      </c>
      <c r="D597" s="393" t="s">
        <v>559</v>
      </c>
      <c r="E597" s="394" t="s">
        <v>2176</v>
      </c>
      <c r="G597" s="405" t="s">
        <v>2177</v>
      </c>
      <c r="H597" s="113">
        <v>3492</v>
      </c>
      <c r="I597" s="49" t="s">
        <v>2</v>
      </c>
      <c r="J597" s="48" t="s">
        <v>2178</v>
      </c>
      <c r="K597" s="51">
        <v>41030</v>
      </c>
      <c r="L597" s="115">
        <v>41026</v>
      </c>
      <c r="M597" s="50">
        <f t="shared" si="24"/>
        <v>4</v>
      </c>
      <c r="N597" s="50" t="s">
        <v>2</v>
      </c>
      <c r="O597" s="131">
        <v>1.1000000000000001</v>
      </c>
      <c r="P597" s="117">
        <v>4.5999999999999996</v>
      </c>
      <c r="Q597" s="131">
        <v>5.7</v>
      </c>
      <c r="R597" s="50">
        <v>5.2</v>
      </c>
      <c r="S597" s="74">
        <v>10</v>
      </c>
      <c r="T597" s="50">
        <v>3.5000000000000003E-2</v>
      </c>
      <c r="U597" s="131">
        <v>0.25</v>
      </c>
      <c r="V597" s="50">
        <v>0.1</v>
      </c>
      <c r="W597" s="74">
        <v>9.5000000000000001E-2</v>
      </c>
      <c r="X597" s="50">
        <v>8.4000000000000005E-2</v>
      </c>
      <c r="Y597" s="74">
        <v>2.3E-2</v>
      </c>
      <c r="Z597" s="271">
        <v>1</v>
      </c>
      <c r="AA597" s="271">
        <v>1</v>
      </c>
      <c r="AB597" s="114">
        <v>15</v>
      </c>
      <c r="AC597" s="50">
        <v>122</v>
      </c>
      <c r="AD597" s="314">
        <v>1</v>
      </c>
    </row>
    <row r="598" spans="1:36" ht="15" customHeight="1">
      <c r="A598" s="41" t="s">
        <v>183</v>
      </c>
      <c r="B598" s="402" t="s">
        <v>2175</v>
      </c>
      <c r="D598" s="393" t="s">
        <v>559</v>
      </c>
      <c r="E598" s="394" t="s">
        <v>2176</v>
      </c>
      <c r="G598" s="405" t="s">
        <v>2177</v>
      </c>
      <c r="H598" s="113">
        <v>3492</v>
      </c>
      <c r="I598" s="49" t="s">
        <v>2</v>
      </c>
      <c r="J598" s="48" t="s">
        <v>2179</v>
      </c>
      <c r="K598" s="51">
        <v>41030</v>
      </c>
      <c r="L598" s="115">
        <v>41026</v>
      </c>
      <c r="M598" s="50">
        <f t="shared" si="24"/>
        <v>4</v>
      </c>
      <c r="N598" s="50" t="s">
        <v>2</v>
      </c>
      <c r="O598" s="131">
        <v>1</v>
      </c>
      <c r="P598" s="117">
        <v>4.5999999999999996</v>
      </c>
      <c r="Q598" s="131">
        <v>8.8000000000000007</v>
      </c>
      <c r="R598" s="50">
        <v>64</v>
      </c>
      <c r="S598" s="74">
        <v>26</v>
      </c>
      <c r="T598" s="50">
        <v>0.19</v>
      </c>
      <c r="U598" s="131">
        <v>1.9</v>
      </c>
      <c r="V598" s="50">
        <v>0.1</v>
      </c>
      <c r="W598" s="74">
        <v>1.4E-2</v>
      </c>
      <c r="X598" s="50">
        <v>0.33</v>
      </c>
      <c r="Y598" s="74">
        <v>6.6000000000000003E-2</v>
      </c>
      <c r="Z598" s="271">
        <v>1</v>
      </c>
      <c r="AA598" s="271">
        <v>0.88500000000000001</v>
      </c>
      <c r="AB598" s="114">
        <v>6</v>
      </c>
      <c r="AC598" s="50">
        <v>47</v>
      </c>
      <c r="AD598" s="314">
        <v>0.35</v>
      </c>
    </row>
    <row r="599" spans="1:36" ht="15" customHeight="1">
      <c r="A599" s="41" t="s">
        <v>183</v>
      </c>
      <c r="B599" s="402" t="s">
        <v>325</v>
      </c>
      <c r="C599" s="113" t="s">
        <v>2161</v>
      </c>
      <c r="D599" s="393" t="s">
        <v>56</v>
      </c>
      <c r="E599" s="394" t="s">
        <v>2180</v>
      </c>
      <c r="G599" s="405" t="s">
        <v>995</v>
      </c>
      <c r="H599" s="113">
        <v>5171</v>
      </c>
      <c r="I599" s="49" t="s">
        <v>1</v>
      </c>
      <c r="J599" s="48" t="s">
        <v>2181</v>
      </c>
      <c r="K599" s="51">
        <v>41038</v>
      </c>
      <c r="L599" s="115">
        <v>41033</v>
      </c>
      <c r="M599" s="50">
        <f t="shared" si="24"/>
        <v>5</v>
      </c>
      <c r="N599" s="50" t="s">
        <v>2</v>
      </c>
      <c r="O599" s="131">
        <f>5/2</f>
        <v>2.5</v>
      </c>
      <c r="P599" s="117">
        <v>6.9</v>
      </c>
      <c r="Q599" s="131">
        <v>6.83</v>
      </c>
      <c r="R599" s="50">
        <v>84</v>
      </c>
      <c r="S599" s="74">
        <v>190</v>
      </c>
      <c r="T599" s="50">
        <v>0.14000000000000001</v>
      </c>
      <c r="U599" s="131">
        <f>1/2</f>
        <v>0.5</v>
      </c>
      <c r="V599" s="50">
        <v>0.49</v>
      </c>
      <c r="W599" s="74">
        <v>6.9000000000000006E-2</v>
      </c>
      <c r="X599" s="50">
        <v>0.39</v>
      </c>
      <c r="Y599" s="74">
        <v>0.19</v>
      </c>
      <c r="AD599" s="314"/>
    </row>
    <row r="600" spans="1:36" ht="15" customHeight="1">
      <c r="A600" s="41" t="s">
        <v>183</v>
      </c>
      <c r="B600" s="402" t="s">
        <v>2182</v>
      </c>
      <c r="D600" s="393" t="s">
        <v>2377</v>
      </c>
      <c r="E600" s="394" t="s">
        <v>2183</v>
      </c>
      <c r="G600" s="405" t="s">
        <v>2184</v>
      </c>
      <c r="H600" s="113">
        <v>3499</v>
      </c>
      <c r="I600" s="49" t="s">
        <v>2</v>
      </c>
      <c r="J600" s="48" t="s">
        <v>1125</v>
      </c>
      <c r="K600" s="51">
        <v>40993</v>
      </c>
      <c r="L600" s="115">
        <v>40971</v>
      </c>
      <c r="M600" s="50">
        <f t="shared" si="24"/>
        <v>22</v>
      </c>
      <c r="N600" s="50" t="s">
        <v>2</v>
      </c>
      <c r="O600" s="131">
        <v>1</v>
      </c>
      <c r="P600" s="117">
        <v>6</v>
      </c>
      <c r="Q600" s="131">
        <v>7.5</v>
      </c>
      <c r="R600" s="50">
        <v>20</v>
      </c>
      <c r="S600" s="74">
        <v>3</v>
      </c>
      <c r="T600" s="50">
        <f>0.05/2</f>
        <v>2.5000000000000001E-2</v>
      </c>
      <c r="U600" s="131">
        <v>1.96</v>
      </c>
      <c r="V600" s="50">
        <v>2</v>
      </c>
      <c r="W600" s="74">
        <f>0.01/2</f>
        <v>5.0000000000000001E-3</v>
      </c>
      <c r="X600" s="50">
        <v>0.253</v>
      </c>
      <c r="Y600" s="74">
        <f>0.03/2</f>
        <v>1.4999999999999999E-2</v>
      </c>
      <c r="Z600" s="271">
        <v>1</v>
      </c>
      <c r="AA600" s="271">
        <v>1</v>
      </c>
      <c r="AB600" s="114">
        <v>78</v>
      </c>
      <c r="AC600" s="50">
        <v>384</v>
      </c>
      <c r="AD600" s="314">
        <v>0.65</v>
      </c>
    </row>
    <row r="601" spans="1:36" ht="15" customHeight="1">
      <c r="A601" s="41" t="s">
        <v>183</v>
      </c>
      <c r="B601" s="402" t="s">
        <v>2182</v>
      </c>
      <c r="D601" s="393" t="s">
        <v>2377</v>
      </c>
      <c r="E601" s="394" t="s">
        <v>2183</v>
      </c>
      <c r="G601" s="405" t="s">
        <v>2184</v>
      </c>
      <c r="H601" s="113">
        <v>3499</v>
      </c>
      <c r="I601" s="49" t="s">
        <v>2</v>
      </c>
      <c r="J601" s="48" t="s">
        <v>1126</v>
      </c>
      <c r="K601" s="51">
        <v>40996</v>
      </c>
      <c r="L601" s="115">
        <v>40993</v>
      </c>
      <c r="M601" s="50">
        <f t="shared" si="24"/>
        <v>3</v>
      </c>
      <c r="N601" s="50" t="s">
        <v>2</v>
      </c>
      <c r="O601" s="131">
        <v>3.9</v>
      </c>
      <c r="P601" s="117">
        <v>6</v>
      </c>
      <c r="Q601" s="131">
        <v>6.7</v>
      </c>
      <c r="R601" s="50">
        <v>15</v>
      </c>
      <c r="S601" s="74">
        <v>16</v>
      </c>
      <c r="T601" s="50">
        <v>0.08</v>
      </c>
      <c r="U601" s="131">
        <v>0.7</v>
      </c>
      <c r="V601" s="50">
        <v>0.46</v>
      </c>
      <c r="W601" s="74">
        <v>0.01</v>
      </c>
      <c r="X601" s="50">
        <v>6.8000000000000005E-2</v>
      </c>
      <c r="Y601" s="74">
        <f>0.03/2</f>
        <v>1.4999999999999999E-2</v>
      </c>
      <c r="Z601" s="271">
        <v>1</v>
      </c>
      <c r="AA601" s="271">
        <v>1</v>
      </c>
      <c r="AB601" s="114">
        <v>4</v>
      </c>
      <c r="AC601" s="50">
        <v>51</v>
      </c>
      <c r="AD601" s="314">
        <v>1</v>
      </c>
    </row>
    <row r="602" spans="1:36" ht="15" customHeight="1">
      <c r="A602" s="41" t="s">
        <v>183</v>
      </c>
      <c r="B602" s="402" t="s">
        <v>2185</v>
      </c>
      <c r="D602" s="393" t="s">
        <v>262</v>
      </c>
      <c r="E602" s="394" t="s">
        <v>2186</v>
      </c>
      <c r="G602" s="405" t="s">
        <v>2187</v>
      </c>
      <c r="H602" s="113">
        <v>4226</v>
      </c>
      <c r="I602" s="49" t="s">
        <v>1</v>
      </c>
      <c r="J602" s="48" t="s">
        <v>2188</v>
      </c>
      <c r="K602" s="51">
        <v>41021</v>
      </c>
      <c r="L602" s="115">
        <v>41000</v>
      </c>
      <c r="M602" s="50">
        <f t="shared" si="24"/>
        <v>21</v>
      </c>
      <c r="N602" s="50" t="s">
        <v>2</v>
      </c>
      <c r="O602" s="131">
        <f>1/2</f>
        <v>0.5</v>
      </c>
      <c r="P602" s="117">
        <v>6.5</v>
      </c>
      <c r="Q602" s="131">
        <v>7.1</v>
      </c>
      <c r="R602" s="50">
        <f>5/2</f>
        <v>2.5</v>
      </c>
      <c r="S602" s="74">
        <v>0.6</v>
      </c>
      <c r="T602" s="50">
        <v>0.04</v>
      </c>
      <c r="U602" s="131">
        <v>0.73</v>
      </c>
      <c r="V602" s="50">
        <v>0.67</v>
      </c>
      <c r="W602" s="74">
        <f>0.005/2</f>
        <v>2.5000000000000001E-3</v>
      </c>
      <c r="X602" s="50">
        <f>0.02/2</f>
        <v>0.01</v>
      </c>
      <c r="Y602" s="74">
        <f>0.001/2</f>
        <v>5.0000000000000001E-4</v>
      </c>
      <c r="Z602" s="271">
        <v>1</v>
      </c>
      <c r="AA602" s="271">
        <v>1</v>
      </c>
      <c r="AB602" s="114">
        <v>12</v>
      </c>
      <c r="AC602" s="50">
        <v>36</v>
      </c>
      <c r="AD602" s="314">
        <v>1</v>
      </c>
    </row>
    <row r="603" spans="1:36" ht="15" customHeight="1">
      <c r="A603" s="41" t="s">
        <v>183</v>
      </c>
      <c r="B603" s="402" t="s">
        <v>2189</v>
      </c>
      <c r="D603" s="393" t="s">
        <v>89</v>
      </c>
      <c r="E603" s="394" t="s">
        <v>535</v>
      </c>
      <c r="G603" s="405" t="s">
        <v>2190</v>
      </c>
      <c r="H603" s="113">
        <v>3629</v>
      </c>
      <c r="I603" s="49" t="s">
        <v>1</v>
      </c>
      <c r="J603" s="48" t="s">
        <v>2036</v>
      </c>
      <c r="K603" s="51">
        <v>40996</v>
      </c>
      <c r="L603" s="115">
        <v>40993</v>
      </c>
      <c r="M603" s="50">
        <f t="shared" si="24"/>
        <v>3</v>
      </c>
      <c r="N603" s="50" t="s">
        <v>2</v>
      </c>
      <c r="O603" s="131">
        <f>1/2</f>
        <v>0.5</v>
      </c>
      <c r="P603" s="117">
        <v>6</v>
      </c>
      <c r="Q603" s="131">
        <v>6.1</v>
      </c>
      <c r="R603" s="50">
        <v>58.5</v>
      </c>
      <c r="S603" s="74">
        <v>23.5</v>
      </c>
      <c r="T603" s="50">
        <v>0.19</v>
      </c>
      <c r="U603" s="131">
        <v>2.75</v>
      </c>
      <c r="V603" s="50">
        <v>0.82</v>
      </c>
      <c r="W603" s="74">
        <v>0.01</v>
      </c>
      <c r="X603" s="50">
        <v>0.18</v>
      </c>
      <c r="Y603" s="74">
        <v>3.0000000000000001E-3</v>
      </c>
      <c r="Z603" s="271">
        <v>1</v>
      </c>
      <c r="AA603" s="271">
        <v>0.72</v>
      </c>
      <c r="AB603" s="114">
        <v>10</v>
      </c>
      <c r="AC603" s="50">
        <v>38</v>
      </c>
      <c r="AD603" s="314">
        <v>0.05</v>
      </c>
    </row>
    <row r="604" spans="1:36" ht="15" customHeight="1">
      <c r="A604" s="41" t="s">
        <v>183</v>
      </c>
      <c r="B604" s="402" t="s">
        <v>2189</v>
      </c>
      <c r="D604" s="393" t="s">
        <v>89</v>
      </c>
      <c r="E604" s="394" t="s">
        <v>535</v>
      </c>
      <c r="G604" s="405" t="s">
        <v>2190</v>
      </c>
      <c r="H604" s="113">
        <v>3629</v>
      </c>
      <c r="I604" s="49" t="s">
        <v>1</v>
      </c>
      <c r="J604" s="48" t="s">
        <v>2191</v>
      </c>
      <c r="K604" s="51">
        <v>40996</v>
      </c>
      <c r="L604" s="115">
        <v>40993</v>
      </c>
      <c r="M604" s="50">
        <f t="shared" si="24"/>
        <v>3</v>
      </c>
      <c r="N604" s="50" t="s">
        <v>2</v>
      </c>
      <c r="O604" s="131">
        <v>3.6</v>
      </c>
      <c r="P604" s="117">
        <v>6</v>
      </c>
      <c r="Q604" s="131">
        <v>6.2</v>
      </c>
      <c r="R604" s="50">
        <v>62.5</v>
      </c>
      <c r="S604" s="74">
        <v>25.5</v>
      </c>
      <c r="T604" s="50">
        <v>0.16</v>
      </c>
      <c r="U604" s="131">
        <v>2.17</v>
      </c>
      <c r="V604" s="50">
        <v>0.63</v>
      </c>
      <c r="W604" s="74">
        <v>0.01</v>
      </c>
      <c r="X604" s="50">
        <v>0.14000000000000001</v>
      </c>
      <c r="Y604" s="74">
        <f>0.002/2</f>
        <v>1E-3</v>
      </c>
      <c r="Z604" s="271">
        <v>1</v>
      </c>
      <c r="AA604" s="271">
        <v>0.71599999999999997</v>
      </c>
      <c r="AB604" s="114">
        <v>4</v>
      </c>
      <c r="AC604" s="50">
        <v>30</v>
      </c>
      <c r="AD604" s="314">
        <v>0.05</v>
      </c>
    </row>
    <row r="605" spans="1:36" ht="15" customHeight="1">
      <c r="A605" s="41" t="s">
        <v>183</v>
      </c>
      <c r="B605" s="402" t="s">
        <v>2189</v>
      </c>
      <c r="D605" s="393" t="s">
        <v>89</v>
      </c>
      <c r="E605" s="394" t="s">
        <v>535</v>
      </c>
      <c r="G605" s="405" t="s">
        <v>2190</v>
      </c>
      <c r="H605" s="113">
        <v>3629</v>
      </c>
      <c r="I605" s="49" t="s">
        <v>1</v>
      </c>
      <c r="J605" s="48" t="s">
        <v>2192</v>
      </c>
      <c r="K605" s="51">
        <v>40996</v>
      </c>
      <c r="L605" s="115">
        <v>40993</v>
      </c>
      <c r="M605" s="50">
        <f t="shared" si="24"/>
        <v>3</v>
      </c>
      <c r="N605" s="50" t="s">
        <v>2</v>
      </c>
      <c r="O605" s="131">
        <v>3.3</v>
      </c>
      <c r="P605" s="117">
        <v>6</v>
      </c>
      <c r="Q605" s="131">
        <v>6.2</v>
      </c>
      <c r="R605" s="50">
        <v>20</v>
      </c>
      <c r="S605" s="74">
        <v>29.3</v>
      </c>
      <c r="T605" s="50">
        <v>0.14000000000000001</v>
      </c>
      <c r="U605" s="131">
        <v>1.33</v>
      </c>
      <c r="V605" s="50">
        <v>0.37</v>
      </c>
      <c r="W605" s="74">
        <v>7.0000000000000001E-3</v>
      </c>
      <c r="X605" s="50">
        <v>0.1</v>
      </c>
      <c r="Y605" s="74">
        <v>4.0000000000000001E-3</v>
      </c>
      <c r="Z605" s="271">
        <v>1</v>
      </c>
      <c r="AA605" s="271">
        <v>0.84699999999999998</v>
      </c>
      <c r="AB605" s="114">
        <v>8</v>
      </c>
      <c r="AC605" s="50">
        <v>20</v>
      </c>
      <c r="AD605" s="314">
        <v>0.35</v>
      </c>
    </row>
    <row r="606" spans="1:36" ht="15" customHeight="1">
      <c r="A606" s="41" t="s">
        <v>183</v>
      </c>
      <c r="B606" s="402" t="s">
        <v>2189</v>
      </c>
      <c r="D606" s="393" t="s">
        <v>89</v>
      </c>
      <c r="E606" s="394" t="s">
        <v>535</v>
      </c>
      <c r="G606" s="405" t="s">
        <v>2190</v>
      </c>
      <c r="H606" s="113">
        <v>3629</v>
      </c>
      <c r="I606" s="73" t="s">
        <v>1</v>
      </c>
      <c r="J606" s="48" t="s">
        <v>2193</v>
      </c>
      <c r="K606" s="51">
        <v>40996</v>
      </c>
      <c r="L606" s="115">
        <v>40993</v>
      </c>
      <c r="M606" s="50">
        <f t="shared" si="24"/>
        <v>3</v>
      </c>
      <c r="N606" s="50" t="s">
        <v>2</v>
      </c>
      <c r="O606" s="131">
        <v>2.8</v>
      </c>
      <c r="P606" s="117">
        <v>6</v>
      </c>
      <c r="Q606" s="131">
        <v>6.2</v>
      </c>
      <c r="R606" s="50">
        <v>41</v>
      </c>
      <c r="S606" s="74">
        <v>15.7</v>
      </c>
      <c r="T606" s="50">
        <v>0.15</v>
      </c>
      <c r="U606" s="131">
        <v>1.64</v>
      </c>
      <c r="V606" s="50">
        <v>0.54</v>
      </c>
      <c r="W606" s="74">
        <v>8.0000000000000002E-3</v>
      </c>
      <c r="X606" s="50">
        <v>0.12</v>
      </c>
      <c r="Y606" s="74">
        <v>3.0000000000000001E-3</v>
      </c>
      <c r="Z606" s="271">
        <v>1</v>
      </c>
      <c r="AA606" s="271">
        <v>0.78400000000000003</v>
      </c>
      <c r="AB606" s="114">
        <v>3</v>
      </c>
      <c r="AC606" s="50">
        <v>25</v>
      </c>
      <c r="AD606" s="314">
        <v>0.15</v>
      </c>
    </row>
    <row r="607" spans="1:36" ht="15" customHeight="1">
      <c r="A607" s="41" t="s">
        <v>183</v>
      </c>
      <c r="B607" s="402" t="s">
        <v>2194</v>
      </c>
      <c r="D607" s="393" t="s">
        <v>443</v>
      </c>
      <c r="E607" s="394" t="s">
        <v>390</v>
      </c>
      <c r="G607" s="405" t="s">
        <v>1804</v>
      </c>
      <c r="H607" s="113" t="s">
        <v>2195</v>
      </c>
      <c r="I607" s="49" t="s">
        <v>2</v>
      </c>
      <c r="J607" s="48" t="s">
        <v>1125</v>
      </c>
      <c r="K607" s="51">
        <v>40996</v>
      </c>
      <c r="L607" s="115">
        <v>40993</v>
      </c>
      <c r="M607" s="50">
        <f t="shared" si="24"/>
        <v>3</v>
      </c>
      <c r="N607" s="50" t="s">
        <v>2</v>
      </c>
      <c r="O607" s="131">
        <v>39</v>
      </c>
      <c r="P607" s="117">
        <v>7.97</v>
      </c>
      <c r="Q607" s="131">
        <v>6.34</v>
      </c>
      <c r="R607" s="50">
        <v>570</v>
      </c>
      <c r="S607" s="74">
        <v>92</v>
      </c>
      <c r="T607" s="50">
        <v>0.88</v>
      </c>
      <c r="U607" s="131">
        <v>1.5</v>
      </c>
      <c r="V607" s="50">
        <f>0.1/2</f>
        <v>0.05</v>
      </c>
      <c r="W607" s="74">
        <f>0.04/2</f>
        <v>0.02</v>
      </c>
      <c r="X607" s="50">
        <v>1</v>
      </c>
      <c r="Y607" s="74">
        <f>0.013/2</f>
        <v>6.4999999999999997E-3</v>
      </c>
      <c r="Z607" s="271">
        <v>0.82</v>
      </c>
      <c r="AA607" s="271">
        <v>0.58199999999999996</v>
      </c>
      <c r="AB607" s="114">
        <v>11</v>
      </c>
      <c r="AC607" s="50">
        <v>175</v>
      </c>
      <c r="AD607" s="314">
        <v>0</v>
      </c>
    </row>
    <row r="608" spans="1:36" ht="15" customHeight="1">
      <c r="A608" s="41" t="s">
        <v>183</v>
      </c>
      <c r="B608" s="402" t="s">
        <v>2194</v>
      </c>
      <c r="D608" s="393" t="s">
        <v>443</v>
      </c>
      <c r="E608" s="394" t="s">
        <v>390</v>
      </c>
      <c r="G608" s="405" t="s">
        <v>1804</v>
      </c>
      <c r="H608" s="113" t="s">
        <v>2195</v>
      </c>
      <c r="I608" s="49" t="s">
        <v>2</v>
      </c>
      <c r="J608" s="48" t="s">
        <v>1126</v>
      </c>
      <c r="K608" s="51">
        <v>40996</v>
      </c>
      <c r="L608" s="115">
        <v>40993</v>
      </c>
      <c r="M608" s="50">
        <f t="shared" si="24"/>
        <v>3</v>
      </c>
      <c r="N608" s="50" t="s">
        <v>2</v>
      </c>
      <c r="O608" s="131">
        <v>6.6</v>
      </c>
      <c r="P608" s="117">
        <v>7.97</v>
      </c>
      <c r="Q608" s="131">
        <v>5.81</v>
      </c>
      <c r="R608" s="50">
        <v>220</v>
      </c>
      <c r="S608" s="74">
        <v>150</v>
      </c>
      <c r="T608" s="50">
        <f>0.1/2</f>
        <v>0.05</v>
      </c>
      <c r="U608" s="131">
        <v>1.3</v>
      </c>
      <c r="V608" s="50">
        <v>0.84</v>
      </c>
      <c r="W608" s="74">
        <v>9.4E-2</v>
      </c>
      <c r="X608" s="50">
        <v>0.12</v>
      </c>
      <c r="Y608" s="74">
        <f>0.013/2</f>
        <v>6.4999999999999997E-3</v>
      </c>
      <c r="Z608" s="271">
        <v>1</v>
      </c>
      <c r="AA608" s="271">
        <v>1</v>
      </c>
      <c r="AB608" s="114">
        <v>17</v>
      </c>
      <c r="AC608" s="50">
        <v>74</v>
      </c>
      <c r="AD608" s="314">
        <v>0.65</v>
      </c>
    </row>
    <row r="609" spans="1:30" ht="15" customHeight="1">
      <c r="A609" s="41" t="s">
        <v>183</v>
      </c>
      <c r="B609" s="402" t="s">
        <v>2196</v>
      </c>
      <c r="D609" s="393" t="s">
        <v>836</v>
      </c>
      <c r="E609" s="394" t="s">
        <v>364</v>
      </c>
      <c r="G609" s="405" t="s">
        <v>837</v>
      </c>
      <c r="H609" s="113">
        <v>2541</v>
      </c>
      <c r="I609" s="49" t="s">
        <v>2</v>
      </c>
      <c r="J609" s="48" t="s">
        <v>2118</v>
      </c>
      <c r="K609" s="51">
        <v>41030</v>
      </c>
      <c r="L609" s="115">
        <v>41021</v>
      </c>
      <c r="M609" s="50">
        <f t="shared" si="24"/>
        <v>9</v>
      </c>
      <c r="N609" s="50" t="s">
        <v>2</v>
      </c>
      <c r="O609" s="131">
        <f>1.4/2</f>
        <v>0.7</v>
      </c>
      <c r="P609" s="117">
        <v>4</v>
      </c>
      <c r="Q609" s="131">
        <v>6.24</v>
      </c>
      <c r="R609" s="50">
        <v>20</v>
      </c>
      <c r="S609" s="74">
        <v>27</v>
      </c>
      <c r="T609" s="50">
        <v>0.08</v>
      </c>
      <c r="U609" s="131">
        <v>0.82</v>
      </c>
      <c r="V609" s="50">
        <v>7.0000000000000007E-2</v>
      </c>
      <c r="W609" s="74">
        <v>0.01</v>
      </c>
      <c r="X609" s="50">
        <v>5.5E-2</v>
      </c>
      <c r="Y609" s="74">
        <v>2E-3</v>
      </c>
      <c r="Z609" s="271">
        <v>0.70699999999999996</v>
      </c>
      <c r="AA609" s="271">
        <v>0.70699999999999996</v>
      </c>
      <c r="AB609" s="114">
        <f>2/2</f>
        <v>1</v>
      </c>
      <c r="AC609" s="50">
        <v>35</v>
      </c>
      <c r="AD609" s="314">
        <v>0</v>
      </c>
    </row>
    <row r="610" spans="1:30" ht="15" customHeight="1">
      <c r="A610" s="41" t="s">
        <v>183</v>
      </c>
      <c r="B610" s="402" t="s">
        <v>2197</v>
      </c>
      <c r="D610" s="393" t="s">
        <v>56</v>
      </c>
      <c r="E610" s="394" t="s">
        <v>467</v>
      </c>
      <c r="G610" s="405" t="s">
        <v>2198</v>
      </c>
      <c r="H610" s="113">
        <v>2842</v>
      </c>
      <c r="I610" s="49" t="s">
        <v>2</v>
      </c>
      <c r="J610" s="48" t="s">
        <v>2199</v>
      </c>
      <c r="K610" s="51">
        <v>40984</v>
      </c>
      <c r="L610" s="115">
        <v>40981</v>
      </c>
      <c r="M610" s="50">
        <f t="shared" si="24"/>
        <v>3</v>
      </c>
      <c r="N610" s="50" t="s">
        <v>2</v>
      </c>
      <c r="O610" s="131">
        <f>2/2</f>
        <v>1</v>
      </c>
      <c r="P610" s="117">
        <v>5.0999999999999996</v>
      </c>
      <c r="Q610" s="131">
        <v>5.5</v>
      </c>
      <c r="R610" s="50">
        <v>31</v>
      </c>
      <c r="S610" s="74">
        <v>8</v>
      </c>
      <c r="T610" s="50">
        <v>0.09</v>
      </c>
      <c r="U610" s="131">
        <v>2.94</v>
      </c>
      <c r="V610" s="50">
        <v>2</v>
      </c>
      <c r="W610" s="74">
        <v>1.7999999999999999E-2</v>
      </c>
      <c r="X610" s="50">
        <v>4.04</v>
      </c>
      <c r="Y610" s="74">
        <f>0.03/2</f>
        <v>1.4999999999999999E-2</v>
      </c>
      <c r="Z610" s="271">
        <v>0.25</v>
      </c>
      <c r="AA610" s="271">
        <v>6.25E-2</v>
      </c>
      <c r="AB610" s="114">
        <v>12</v>
      </c>
      <c r="AC610" s="50">
        <v>91</v>
      </c>
      <c r="AD610" s="314">
        <v>0</v>
      </c>
    </row>
    <row r="611" spans="1:30" ht="15" customHeight="1">
      <c r="A611" s="41" t="s">
        <v>183</v>
      </c>
      <c r="B611" s="402" t="s">
        <v>2197</v>
      </c>
      <c r="D611" s="393" t="s">
        <v>56</v>
      </c>
      <c r="E611" s="394" t="s">
        <v>467</v>
      </c>
      <c r="G611" s="405" t="s">
        <v>2198</v>
      </c>
      <c r="H611" s="113">
        <v>2842</v>
      </c>
      <c r="I611" s="49" t="s">
        <v>2</v>
      </c>
      <c r="J611" s="48" t="s">
        <v>2200</v>
      </c>
      <c r="K611" s="51">
        <v>40984</v>
      </c>
      <c r="L611" s="115">
        <v>40981</v>
      </c>
      <c r="M611" s="50">
        <f t="shared" si="24"/>
        <v>3</v>
      </c>
      <c r="N611" s="50" t="s">
        <v>2</v>
      </c>
      <c r="O611" s="131">
        <v>2.2000000000000002</v>
      </c>
      <c r="P611" s="117">
        <v>5.0999999999999996</v>
      </c>
      <c r="Q611" s="131">
        <v>5.9</v>
      </c>
      <c r="R611" s="50">
        <v>33</v>
      </c>
      <c r="S611" s="74">
        <v>30</v>
      </c>
      <c r="T611" s="50">
        <v>0.15</v>
      </c>
      <c r="U611" s="131">
        <v>3.01</v>
      </c>
      <c r="V611" s="50">
        <v>1.2</v>
      </c>
      <c r="W611" s="74">
        <v>1.4E-2</v>
      </c>
      <c r="X611" s="50">
        <v>1.4</v>
      </c>
      <c r="Y611" s="74">
        <f>0.03/2</f>
        <v>1.4999999999999999E-2</v>
      </c>
      <c r="Z611" s="271">
        <v>0.41299999999999998</v>
      </c>
      <c r="AA611" s="271">
        <v>0.29299999999999998</v>
      </c>
      <c r="AB611" s="114">
        <v>8</v>
      </c>
      <c r="AC611" s="50">
        <v>51</v>
      </c>
      <c r="AD611" s="314">
        <v>0.2</v>
      </c>
    </row>
    <row r="612" spans="1:30" ht="15" customHeight="1">
      <c r="A612" s="41" t="s">
        <v>183</v>
      </c>
      <c r="B612" s="402" t="s">
        <v>2197</v>
      </c>
      <c r="D612" s="393" t="s">
        <v>56</v>
      </c>
      <c r="E612" s="394" t="s">
        <v>467</v>
      </c>
      <c r="G612" s="405" t="s">
        <v>2198</v>
      </c>
      <c r="H612" s="113">
        <v>2842</v>
      </c>
      <c r="I612" s="49" t="s">
        <v>2</v>
      </c>
      <c r="J612" s="48" t="s">
        <v>2201</v>
      </c>
      <c r="K612" s="51">
        <v>40984</v>
      </c>
      <c r="L612" s="115">
        <v>40981</v>
      </c>
      <c r="M612" s="50">
        <f t="shared" si="24"/>
        <v>3</v>
      </c>
      <c r="N612" s="50" t="s">
        <v>2</v>
      </c>
      <c r="O612" s="131">
        <v>2.5</v>
      </c>
      <c r="P612" s="117">
        <v>5.0999999999999996</v>
      </c>
      <c r="Q612" s="131">
        <v>4.0999999999999996</v>
      </c>
      <c r="R612" s="50">
        <v>186</v>
      </c>
      <c r="S612" s="74">
        <v>26</v>
      </c>
      <c r="T612" s="50">
        <v>0.08</v>
      </c>
      <c r="U612" s="131">
        <v>4.3499999999999996</v>
      </c>
      <c r="V612" s="50">
        <v>2</v>
      </c>
      <c r="W612" s="74">
        <v>3.9E-2</v>
      </c>
      <c r="X612" s="50">
        <v>0.55200000000000005</v>
      </c>
      <c r="Y612" s="74">
        <f>0.03/2</f>
        <v>1.4999999999999999E-2</v>
      </c>
      <c r="Z612" s="271">
        <v>0.53500000000000003</v>
      </c>
      <c r="AA612" s="271">
        <v>0.47299999999999998</v>
      </c>
      <c r="AB612" s="114">
        <v>19</v>
      </c>
      <c r="AC612" s="50">
        <v>136</v>
      </c>
      <c r="AD612" s="314">
        <v>0</v>
      </c>
    </row>
    <row r="613" spans="1:30" ht="15" customHeight="1">
      <c r="A613" s="41" t="s">
        <v>183</v>
      </c>
      <c r="B613" s="402" t="s">
        <v>2202</v>
      </c>
      <c r="C613" s="113" t="s">
        <v>2203</v>
      </c>
      <c r="D613" s="393" t="s">
        <v>192</v>
      </c>
      <c r="E613" s="394" t="s">
        <v>2204</v>
      </c>
      <c r="G613" s="405" t="s">
        <v>2205</v>
      </c>
      <c r="H613" s="113">
        <v>4213</v>
      </c>
      <c r="I613" s="49" t="s">
        <v>1</v>
      </c>
      <c r="J613" s="48" t="s">
        <v>1125</v>
      </c>
      <c r="K613" s="51">
        <v>40898</v>
      </c>
      <c r="L613" s="115">
        <v>40885</v>
      </c>
      <c r="M613" s="50">
        <f t="shared" si="24"/>
        <v>13</v>
      </c>
      <c r="N613" s="50" t="s">
        <v>2</v>
      </c>
      <c r="O613" s="131">
        <v>4.3</v>
      </c>
      <c r="P613" s="117">
        <v>6</v>
      </c>
      <c r="Q613" s="131">
        <v>6</v>
      </c>
      <c r="R613" s="50">
        <v>27</v>
      </c>
      <c r="S613" s="74">
        <v>19</v>
      </c>
      <c r="T613" s="50">
        <f>0.05/2</f>
        <v>2.5000000000000001E-2</v>
      </c>
      <c r="U613" s="131">
        <v>0.99</v>
      </c>
      <c r="V613" s="50">
        <v>0.40799999999999997</v>
      </c>
      <c r="W613" s="74">
        <v>8.7500000000000008E-3</v>
      </c>
      <c r="X613" s="50">
        <v>7.5999999999999998E-2</v>
      </c>
      <c r="Y613" s="74">
        <f>0.0012/2</f>
        <v>5.9999999999999995E-4</v>
      </c>
      <c r="Z613" s="271">
        <v>1</v>
      </c>
      <c r="AA613" s="271">
        <v>1</v>
      </c>
      <c r="AB613" s="114">
        <v>8</v>
      </c>
      <c r="AC613" s="50">
        <v>36</v>
      </c>
      <c r="AD613" s="314">
        <v>1</v>
      </c>
    </row>
    <row r="614" spans="1:30" ht="15" customHeight="1">
      <c r="A614" s="41" t="s">
        <v>183</v>
      </c>
      <c r="B614" s="402" t="s">
        <v>1393</v>
      </c>
      <c r="D614" s="393" t="s">
        <v>133</v>
      </c>
      <c r="E614" s="394" t="s">
        <v>2206</v>
      </c>
      <c r="G614" s="405" t="s">
        <v>2207</v>
      </c>
      <c r="H614" s="113">
        <v>4311</v>
      </c>
      <c r="I614" s="49" t="s">
        <v>2</v>
      </c>
      <c r="J614" s="48" t="s">
        <v>255</v>
      </c>
      <c r="K614" s="51">
        <v>40996</v>
      </c>
      <c r="L614" s="115">
        <v>40971</v>
      </c>
      <c r="M614" s="50">
        <f t="shared" ref="M614:M621" si="27">K614-L614</f>
        <v>25</v>
      </c>
      <c r="N614" s="50" t="s">
        <v>2</v>
      </c>
      <c r="O614" s="131">
        <v>4.0999999999999996</v>
      </c>
      <c r="P614" s="117">
        <v>6.5</v>
      </c>
      <c r="Q614" s="131"/>
      <c r="R614" s="50">
        <v>290</v>
      </c>
      <c r="S614" s="74">
        <v>250</v>
      </c>
      <c r="T614" s="50">
        <v>0.45</v>
      </c>
      <c r="U614" s="131">
        <v>10.8</v>
      </c>
      <c r="V614" s="50">
        <v>4.59</v>
      </c>
      <c r="W614" s="74">
        <v>0.12</v>
      </c>
      <c r="X614" s="50">
        <v>0.47699999999999998</v>
      </c>
      <c r="Y614" s="74">
        <v>2.5000000000000001E-2</v>
      </c>
      <c r="Z614" s="271">
        <v>1</v>
      </c>
      <c r="AA614" s="271">
        <v>1</v>
      </c>
      <c r="AB614" s="114">
        <v>68</v>
      </c>
      <c r="AC614" s="50">
        <v>437</v>
      </c>
      <c r="AD614" s="314">
        <v>0.9</v>
      </c>
    </row>
    <row r="615" spans="1:30" ht="15" customHeight="1">
      <c r="A615" s="41" t="s">
        <v>183</v>
      </c>
      <c r="B615" s="402" t="s">
        <v>2208</v>
      </c>
      <c r="D615" s="393" t="s">
        <v>1217</v>
      </c>
      <c r="E615" s="394" t="s">
        <v>2112</v>
      </c>
      <c r="G615" s="405" t="s">
        <v>2209</v>
      </c>
      <c r="H615" s="113">
        <v>3721</v>
      </c>
      <c r="I615" s="49" t="s">
        <v>2</v>
      </c>
      <c r="J615" s="48" t="s">
        <v>1125</v>
      </c>
      <c r="K615" s="51">
        <v>40835</v>
      </c>
      <c r="L615" s="115">
        <v>40830</v>
      </c>
      <c r="M615" s="50">
        <f t="shared" si="27"/>
        <v>5</v>
      </c>
      <c r="N615" s="50" t="s">
        <v>2</v>
      </c>
      <c r="O615" s="131">
        <f>1.4/2</f>
        <v>0.7</v>
      </c>
      <c r="P615" s="117">
        <v>5.27</v>
      </c>
      <c r="Q615" s="131">
        <v>5.85</v>
      </c>
      <c r="R615" s="50">
        <v>15</v>
      </c>
      <c r="S615" s="74">
        <v>56</v>
      </c>
      <c r="T615" s="50">
        <v>0.06</v>
      </c>
      <c r="U615" s="131">
        <v>0.48</v>
      </c>
      <c r="V615" s="50">
        <v>0.06</v>
      </c>
      <c r="W615" s="74">
        <v>3.0000000000000001E-3</v>
      </c>
      <c r="X615" s="50">
        <v>1.6E-2</v>
      </c>
      <c r="Y615" s="74">
        <f>0.002/2</f>
        <v>1E-3</v>
      </c>
      <c r="Z615" s="271">
        <v>1</v>
      </c>
      <c r="AA615" s="271">
        <v>1</v>
      </c>
      <c r="AB615" s="114">
        <v>0</v>
      </c>
      <c r="AC615" s="50">
        <v>1</v>
      </c>
      <c r="AD615" s="314">
        <v>1</v>
      </c>
    </row>
    <row r="616" spans="1:30" ht="15" customHeight="1">
      <c r="A616" s="41" t="s">
        <v>183</v>
      </c>
      <c r="B616" s="402" t="s">
        <v>2208</v>
      </c>
      <c r="D616" s="393" t="s">
        <v>1217</v>
      </c>
      <c r="E616" s="394" t="s">
        <v>2112</v>
      </c>
      <c r="G616" s="405" t="s">
        <v>2210</v>
      </c>
      <c r="H616" s="113">
        <v>3721</v>
      </c>
      <c r="I616" s="49" t="s">
        <v>2</v>
      </c>
      <c r="J616" s="48" t="s">
        <v>1125</v>
      </c>
      <c r="K616" s="51">
        <v>40835</v>
      </c>
      <c r="L616" s="115">
        <v>40830</v>
      </c>
      <c r="M616" s="50">
        <f t="shared" si="27"/>
        <v>5</v>
      </c>
      <c r="N616" s="50" t="s">
        <v>2</v>
      </c>
      <c r="O616" s="131">
        <f>1.4/2</f>
        <v>0.7</v>
      </c>
      <c r="P616" s="117">
        <v>5.56</v>
      </c>
      <c r="Q616" s="131">
        <v>6.55</v>
      </c>
      <c r="R616" s="50">
        <v>10</v>
      </c>
      <c r="S616" s="74">
        <v>17</v>
      </c>
      <c r="T616" s="50">
        <v>0.1</v>
      </c>
      <c r="U616" s="131">
        <v>0.55000000000000004</v>
      </c>
      <c r="V616" s="50">
        <v>0.06</v>
      </c>
      <c r="W616" s="74">
        <v>2E-3</v>
      </c>
      <c r="X616" s="50">
        <v>2.8000000000000001E-2</v>
      </c>
      <c r="Y616" s="74">
        <f>0.002/2</f>
        <v>1E-3</v>
      </c>
      <c r="Z616" s="271">
        <v>1</v>
      </c>
      <c r="AA616" s="271">
        <v>1</v>
      </c>
      <c r="AB616" s="114">
        <v>6</v>
      </c>
      <c r="AC616" s="50">
        <v>17</v>
      </c>
      <c r="AD616" s="314">
        <v>1</v>
      </c>
    </row>
    <row r="617" spans="1:30" ht="15" customHeight="1">
      <c r="A617" s="41" t="s">
        <v>183</v>
      </c>
      <c r="B617" s="402" t="s">
        <v>1910</v>
      </c>
      <c r="D617" s="393" t="s">
        <v>56</v>
      </c>
      <c r="E617" s="394" t="s">
        <v>2211</v>
      </c>
      <c r="G617" s="405" t="s">
        <v>2212</v>
      </c>
      <c r="H617" s="113">
        <v>4151</v>
      </c>
      <c r="I617" s="49" t="s">
        <v>1</v>
      </c>
      <c r="J617" s="48" t="s">
        <v>2213</v>
      </c>
      <c r="K617" s="51">
        <v>40940</v>
      </c>
      <c r="L617" s="115">
        <v>40935</v>
      </c>
      <c r="M617" s="50">
        <f t="shared" si="27"/>
        <v>5</v>
      </c>
      <c r="N617" s="50" t="s">
        <v>2</v>
      </c>
      <c r="O617" s="131">
        <v>32</v>
      </c>
      <c r="P617" s="117"/>
      <c r="Q617" s="131">
        <v>7.07</v>
      </c>
      <c r="R617" s="50">
        <v>62</v>
      </c>
      <c r="S617" s="74">
        <v>540</v>
      </c>
      <c r="T617" s="50">
        <v>0.83</v>
      </c>
      <c r="U617" s="131">
        <v>2.91</v>
      </c>
      <c r="V617" s="50">
        <v>0.17</v>
      </c>
      <c r="W617" s="74">
        <v>7.2999999999999995E-2</v>
      </c>
      <c r="X617" s="50">
        <v>0.253</v>
      </c>
      <c r="Y617" s="74">
        <v>2.1000000000000001E-2</v>
      </c>
      <c r="AD617" s="314"/>
    </row>
    <row r="618" spans="1:30" ht="15" customHeight="1">
      <c r="A618" s="41" t="s">
        <v>183</v>
      </c>
      <c r="B618" s="402" t="s">
        <v>2214</v>
      </c>
      <c r="D618" s="393" t="s">
        <v>257</v>
      </c>
      <c r="G618" s="405" t="s">
        <v>2215</v>
      </c>
      <c r="H618" s="113"/>
      <c r="I618" s="49"/>
      <c r="J618" s="48" t="s">
        <v>2216</v>
      </c>
      <c r="K618" s="51">
        <v>40934</v>
      </c>
      <c r="L618" s="115">
        <v>40931</v>
      </c>
      <c r="M618" s="50">
        <f t="shared" si="27"/>
        <v>3</v>
      </c>
      <c r="N618" s="50" t="s">
        <v>2</v>
      </c>
      <c r="O618" s="131">
        <v>8.5</v>
      </c>
      <c r="P618" s="117">
        <v>6</v>
      </c>
      <c r="Q618" s="131">
        <v>7</v>
      </c>
      <c r="R618" s="50">
        <v>55</v>
      </c>
      <c r="S618" s="74">
        <f>12.5/2</f>
        <v>6.25</v>
      </c>
      <c r="T618" s="50">
        <f>0.1/2</f>
        <v>0.05</v>
      </c>
      <c r="U618" s="131">
        <f>1/2</f>
        <v>0.5</v>
      </c>
      <c r="V618" s="50">
        <v>0.62</v>
      </c>
      <c r="W618" s="74">
        <f>0.02/2</f>
        <v>0.01</v>
      </c>
      <c r="X618" s="50">
        <f>0.05/2</f>
        <v>2.5000000000000001E-2</v>
      </c>
      <c r="Y618" s="74">
        <v>2E-3</v>
      </c>
      <c r="Z618" s="271">
        <v>1</v>
      </c>
      <c r="AA618" s="271">
        <v>1</v>
      </c>
      <c r="AB618" s="114">
        <v>36</v>
      </c>
      <c r="AC618" s="50">
        <v>118</v>
      </c>
      <c r="AD618" s="314">
        <v>1</v>
      </c>
    </row>
    <row r="619" spans="1:30" ht="15" customHeight="1">
      <c r="A619" s="41" t="s">
        <v>183</v>
      </c>
      <c r="B619" s="402" t="s">
        <v>2214</v>
      </c>
      <c r="D619" s="393" t="s">
        <v>257</v>
      </c>
      <c r="G619" s="405" t="s">
        <v>2215</v>
      </c>
      <c r="H619" s="113"/>
      <c r="I619" s="49"/>
      <c r="J619" s="48" t="s">
        <v>2217</v>
      </c>
      <c r="K619" s="51">
        <v>40934</v>
      </c>
      <c r="L619" s="115">
        <v>40931</v>
      </c>
      <c r="M619" s="50">
        <f t="shared" si="27"/>
        <v>3</v>
      </c>
      <c r="N619" s="50" t="s">
        <v>2</v>
      </c>
      <c r="O619" s="131">
        <v>12.2</v>
      </c>
      <c r="P619" s="117">
        <v>6</v>
      </c>
      <c r="Q619" s="131">
        <v>6.8</v>
      </c>
      <c r="R619" s="50">
        <v>113</v>
      </c>
      <c r="S619" s="74">
        <f>12.5/2</f>
        <v>6.25</v>
      </c>
      <c r="T619" s="50">
        <f>0.1/2</f>
        <v>0.05</v>
      </c>
      <c r="U619" s="131">
        <f>1/2</f>
        <v>0.5</v>
      </c>
      <c r="V619" s="50">
        <v>1.1000000000000001</v>
      </c>
      <c r="W619" s="74">
        <f>0.02/2</f>
        <v>0.01</v>
      </c>
      <c r="X619" s="50">
        <v>0.05</v>
      </c>
      <c r="Y619" s="74">
        <v>1E-3</v>
      </c>
      <c r="Z619" s="271">
        <v>1</v>
      </c>
      <c r="AA619" s="271">
        <v>1</v>
      </c>
      <c r="AB619" s="114">
        <v>218</v>
      </c>
      <c r="AC619" s="50">
        <v>1305</v>
      </c>
      <c r="AD619" s="314">
        <v>1</v>
      </c>
    </row>
    <row r="620" spans="1:30" ht="15" customHeight="1">
      <c r="A620" s="41" t="s">
        <v>183</v>
      </c>
      <c r="B620" s="402" t="s">
        <v>1286</v>
      </c>
      <c r="C620" s="113" t="s">
        <v>2218</v>
      </c>
      <c r="D620" s="393" t="s">
        <v>1537</v>
      </c>
      <c r="E620" s="394" t="s">
        <v>2219</v>
      </c>
      <c r="G620" s="405" t="s">
        <v>2503</v>
      </c>
      <c r="H620" s="113">
        <v>4151</v>
      </c>
      <c r="I620" s="49" t="s">
        <v>2</v>
      </c>
      <c r="J620" s="48" t="s">
        <v>1125</v>
      </c>
      <c r="K620" s="51">
        <v>40835</v>
      </c>
      <c r="L620" s="115">
        <v>40830</v>
      </c>
      <c r="M620" s="50">
        <f t="shared" si="27"/>
        <v>5</v>
      </c>
      <c r="N620" s="50" t="s">
        <v>2</v>
      </c>
      <c r="O620" s="131">
        <v>2.1</v>
      </c>
      <c r="P620" s="117">
        <v>5.57</v>
      </c>
      <c r="Q620" s="131">
        <v>6.56</v>
      </c>
      <c r="R620" s="50">
        <v>80</v>
      </c>
      <c r="S620" s="74">
        <v>14</v>
      </c>
      <c r="T620" s="50">
        <v>0.1</v>
      </c>
      <c r="U620" s="131">
        <v>1.88</v>
      </c>
      <c r="V620" s="50">
        <v>1.2</v>
      </c>
      <c r="W620" s="74">
        <v>0.01</v>
      </c>
      <c r="X620" s="50">
        <v>0.13</v>
      </c>
      <c r="Y620" s="74">
        <f>0.02/2</f>
        <v>0.01</v>
      </c>
      <c r="AD620" s="314"/>
    </row>
    <row r="621" spans="1:30" ht="15" customHeight="1">
      <c r="A621" s="41" t="s">
        <v>183</v>
      </c>
      <c r="B621" s="402" t="s">
        <v>1286</v>
      </c>
      <c r="C621" s="113" t="s">
        <v>2220</v>
      </c>
      <c r="D621" s="393" t="s">
        <v>735</v>
      </c>
      <c r="E621" s="394" t="s">
        <v>888</v>
      </c>
      <c r="G621" s="405" t="s">
        <v>2221</v>
      </c>
      <c r="H621" s="113">
        <v>4151</v>
      </c>
      <c r="I621" s="49" t="s">
        <v>2</v>
      </c>
      <c r="J621" s="48" t="s">
        <v>1125</v>
      </c>
      <c r="K621" s="51">
        <v>40863</v>
      </c>
      <c r="L621" s="115">
        <v>40857</v>
      </c>
      <c r="M621" s="50">
        <f t="shared" si="27"/>
        <v>6</v>
      </c>
      <c r="N621" s="50" t="s">
        <v>2</v>
      </c>
      <c r="O621" s="131">
        <f>2/2</f>
        <v>1</v>
      </c>
      <c r="P621" s="117">
        <v>6.1</v>
      </c>
      <c r="Q621" s="131">
        <v>5.3</v>
      </c>
      <c r="R621" s="50">
        <f>10/2</f>
        <v>5</v>
      </c>
      <c r="S621" s="74">
        <f>1/2</f>
        <v>0.5</v>
      </c>
      <c r="T621" s="50">
        <f>0.05/2</f>
        <v>2.5000000000000001E-2</v>
      </c>
      <c r="U621" s="131">
        <v>0.36</v>
      </c>
      <c r="V621" s="50">
        <v>0.14000000000000001</v>
      </c>
      <c r="W621" s="74">
        <f>0.01/2</f>
        <v>5.0000000000000001E-3</v>
      </c>
      <c r="X621" s="50">
        <v>4.7E-2</v>
      </c>
      <c r="Y621" s="74">
        <f>0.03/2</f>
        <v>1.4999999999999999E-2</v>
      </c>
      <c r="Z621" s="271">
        <v>0.70699999999999996</v>
      </c>
      <c r="AA621" s="271">
        <v>0.70699999999999996</v>
      </c>
      <c r="AB621" s="114">
        <v>0</v>
      </c>
      <c r="AC621" s="50">
        <v>5</v>
      </c>
      <c r="AD621" s="314">
        <v>0</v>
      </c>
    </row>
    <row r="622" spans="1:30" ht="15" customHeight="1">
      <c r="A622" s="41" t="s">
        <v>183</v>
      </c>
      <c r="B622" s="402" t="s">
        <v>2222</v>
      </c>
      <c r="C622" s="113" t="s">
        <v>2223</v>
      </c>
      <c r="D622" s="393" t="s">
        <v>372</v>
      </c>
      <c r="E622" s="394" t="s">
        <v>2224</v>
      </c>
      <c r="F622" s="402" t="s">
        <v>2225</v>
      </c>
      <c r="G622" s="405" t="s">
        <v>2226</v>
      </c>
      <c r="H622" s="113">
        <v>4212</v>
      </c>
      <c r="I622" s="49" t="s">
        <v>2</v>
      </c>
      <c r="J622" s="48" t="s">
        <v>2227</v>
      </c>
      <c r="K622" s="51">
        <v>40898</v>
      </c>
      <c r="N622" s="50" t="s">
        <v>2</v>
      </c>
      <c r="O622" s="131">
        <v>5.78</v>
      </c>
      <c r="P622" s="117">
        <v>5.53</v>
      </c>
      <c r="Q622" s="131">
        <v>6.17</v>
      </c>
      <c r="R622" s="50">
        <v>30</v>
      </c>
      <c r="S622" s="74">
        <v>22</v>
      </c>
      <c r="T622" s="50">
        <v>0.13</v>
      </c>
      <c r="U622" s="131">
        <v>1.31</v>
      </c>
      <c r="V622" s="50">
        <v>0.32</v>
      </c>
      <c r="W622" s="74">
        <v>0.08</v>
      </c>
      <c r="X622" s="50">
        <v>0.19</v>
      </c>
      <c r="Y622" s="74">
        <v>0.01</v>
      </c>
      <c r="AD622" s="314"/>
    </row>
    <row r="623" spans="1:30" ht="15" customHeight="1">
      <c r="A623" s="41" t="s">
        <v>183</v>
      </c>
      <c r="B623" s="402" t="s">
        <v>2228</v>
      </c>
      <c r="C623" s="113" t="s">
        <v>2229</v>
      </c>
      <c r="D623" s="393" t="s">
        <v>1217</v>
      </c>
      <c r="E623" s="394" t="s">
        <v>2230</v>
      </c>
      <c r="G623" s="405" t="s">
        <v>1788</v>
      </c>
      <c r="H623" s="113">
        <v>3724</v>
      </c>
      <c r="I623" s="49" t="s">
        <v>2</v>
      </c>
      <c r="J623" s="48" t="s">
        <v>2231</v>
      </c>
      <c r="K623" s="51">
        <v>40920</v>
      </c>
      <c r="L623" s="115">
        <v>40909</v>
      </c>
      <c r="M623" s="50">
        <f t="shared" ref="M623:M642" si="28">K623-L623</f>
        <v>11</v>
      </c>
      <c r="N623" s="50" t="s">
        <v>2</v>
      </c>
      <c r="O623" s="131">
        <f>1/2</f>
        <v>0.5</v>
      </c>
      <c r="P623" s="117">
        <v>6</v>
      </c>
      <c r="Q623" s="131">
        <v>5.41</v>
      </c>
      <c r="R623" s="50">
        <v>30.1</v>
      </c>
      <c r="S623" s="74">
        <v>7</v>
      </c>
      <c r="T623" s="50">
        <v>2.41E-2</v>
      </c>
      <c r="U623" s="131">
        <v>1.61</v>
      </c>
      <c r="V623" s="50">
        <f>0.1/2</f>
        <v>0.05</v>
      </c>
      <c r="W623" s="74">
        <f>0.005</f>
        <v>5.0000000000000001E-3</v>
      </c>
      <c r="X623" s="50">
        <v>0.111</v>
      </c>
      <c r="Y623" s="74">
        <f>0.0075/2</f>
        <v>3.7499999999999999E-3</v>
      </c>
      <c r="Z623" s="271">
        <v>1</v>
      </c>
      <c r="AA623" s="271">
        <v>1</v>
      </c>
      <c r="AB623" s="114">
        <v>4</v>
      </c>
      <c r="AC623" s="50">
        <v>10</v>
      </c>
      <c r="AD623" s="314">
        <v>0.95</v>
      </c>
    </row>
    <row r="624" spans="1:30" ht="15" customHeight="1">
      <c r="A624" s="41" t="s">
        <v>183</v>
      </c>
      <c r="B624" s="402" t="s">
        <v>2232</v>
      </c>
      <c r="D624" s="393" t="s">
        <v>1896</v>
      </c>
      <c r="E624" s="394" t="s">
        <v>2233</v>
      </c>
      <c r="G624" s="405" t="s">
        <v>2234</v>
      </c>
      <c r="H624" s="113">
        <v>3081</v>
      </c>
      <c r="I624" s="49" t="s">
        <v>1</v>
      </c>
      <c r="J624" s="48" t="s">
        <v>249</v>
      </c>
      <c r="K624" s="51">
        <v>40898</v>
      </c>
      <c r="L624" s="115">
        <v>40885</v>
      </c>
      <c r="M624" s="50">
        <f t="shared" si="28"/>
        <v>13</v>
      </c>
      <c r="N624" s="50" t="s">
        <v>2</v>
      </c>
      <c r="O624" s="131">
        <v>3.5</v>
      </c>
      <c r="P624" s="117">
        <v>6.51</v>
      </c>
      <c r="Q624" s="131">
        <v>6</v>
      </c>
      <c r="R624" s="50">
        <v>47.3</v>
      </c>
      <c r="S624" s="74">
        <v>17</v>
      </c>
      <c r="T624" s="50">
        <v>0.13</v>
      </c>
      <c r="U624" s="131">
        <v>4.75</v>
      </c>
      <c r="V624" s="50">
        <v>1.9</v>
      </c>
      <c r="W624" s="74">
        <v>0.04</v>
      </c>
      <c r="X624" s="50">
        <v>0.53</v>
      </c>
      <c r="Y624" s="74">
        <f>0.02/2</f>
        <v>0.01</v>
      </c>
      <c r="AD624" s="314"/>
    </row>
    <row r="625" spans="1:40" ht="15" customHeight="1">
      <c r="A625" s="41" t="s">
        <v>183</v>
      </c>
      <c r="B625" s="402" t="s">
        <v>2235</v>
      </c>
      <c r="D625" s="393" t="s">
        <v>1759</v>
      </c>
      <c r="F625" s="402" t="s">
        <v>2236</v>
      </c>
      <c r="G625" s="405" t="s">
        <v>2237</v>
      </c>
      <c r="H625" s="113">
        <v>2899</v>
      </c>
      <c r="I625" s="49" t="s">
        <v>2</v>
      </c>
      <c r="J625" s="48" t="s">
        <v>2238</v>
      </c>
      <c r="K625" s="51">
        <v>40920</v>
      </c>
      <c r="L625" s="115">
        <v>40909</v>
      </c>
      <c r="M625" s="50">
        <f t="shared" si="28"/>
        <v>11</v>
      </c>
      <c r="N625" s="50" t="s">
        <v>2</v>
      </c>
      <c r="O625" s="131">
        <f>1.4/2</f>
        <v>0.7</v>
      </c>
      <c r="P625" s="117">
        <v>6.8</v>
      </c>
      <c r="Q625" s="131">
        <v>6.78</v>
      </c>
      <c r="R625" s="50">
        <f>10/2</f>
        <v>5</v>
      </c>
      <c r="S625" s="74">
        <f>5/2</f>
        <v>2.5</v>
      </c>
      <c r="T625" s="50">
        <v>0.04</v>
      </c>
      <c r="U625" s="131">
        <v>0.49</v>
      </c>
      <c r="V625" s="50">
        <v>0.2</v>
      </c>
      <c r="W625" s="74">
        <v>5.0000000000000001E-3</v>
      </c>
      <c r="X625" s="50">
        <v>4.2999999999999997E-2</v>
      </c>
      <c r="Y625" s="74">
        <f>0.002/2</f>
        <v>1E-3</v>
      </c>
      <c r="Z625" s="271">
        <v>1</v>
      </c>
      <c r="AA625" s="271">
        <v>1</v>
      </c>
      <c r="AB625" s="114">
        <v>8</v>
      </c>
      <c r="AC625" s="50">
        <v>54</v>
      </c>
      <c r="AD625" s="314">
        <v>1</v>
      </c>
    </row>
    <row r="626" spans="1:40" ht="15" customHeight="1">
      <c r="A626" s="41" t="s">
        <v>183</v>
      </c>
      <c r="B626" s="402" t="s">
        <v>1910</v>
      </c>
      <c r="C626" s="113" t="s">
        <v>2239</v>
      </c>
      <c r="D626" s="393" t="s">
        <v>257</v>
      </c>
      <c r="E626" s="394" t="s">
        <v>823</v>
      </c>
      <c r="G626" s="405" t="s">
        <v>2240</v>
      </c>
      <c r="H626" s="113">
        <v>4151</v>
      </c>
      <c r="I626" s="49" t="s">
        <v>2</v>
      </c>
      <c r="J626" s="48" t="s">
        <v>1030</v>
      </c>
      <c r="K626" s="51">
        <v>40835</v>
      </c>
      <c r="L626" s="115">
        <v>40830</v>
      </c>
      <c r="M626" s="50">
        <f t="shared" si="28"/>
        <v>5</v>
      </c>
      <c r="N626" s="50" t="s">
        <v>2</v>
      </c>
      <c r="O626" s="131">
        <v>7</v>
      </c>
      <c r="P626" s="117">
        <v>7.3</v>
      </c>
      <c r="Q626" s="131">
        <v>8.14</v>
      </c>
      <c r="R626" s="50">
        <v>110</v>
      </c>
      <c r="S626" s="74">
        <v>130</v>
      </c>
      <c r="T626" s="50">
        <v>0.18</v>
      </c>
      <c r="U626" s="131">
        <v>0.68</v>
      </c>
      <c r="V626" s="50">
        <v>0.22</v>
      </c>
      <c r="W626" s="74">
        <v>3.3000000000000002E-2</v>
      </c>
      <c r="X626" s="50">
        <v>7.2999999999999995E-2</v>
      </c>
      <c r="Y626" s="74">
        <v>8.9999999999999993E-3</v>
      </c>
      <c r="Z626" s="271">
        <v>1</v>
      </c>
      <c r="AA626" s="271">
        <v>1</v>
      </c>
      <c r="AB626" s="114">
        <v>26</v>
      </c>
      <c r="AC626" s="50">
        <v>86</v>
      </c>
      <c r="AD626" s="314">
        <v>1</v>
      </c>
    </row>
    <row r="627" spans="1:40" ht="15" customHeight="1">
      <c r="A627" s="41" t="s">
        <v>183</v>
      </c>
      <c r="B627" s="402" t="s">
        <v>1910</v>
      </c>
      <c r="C627" s="113" t="s">
        <v>2239</v>
      </c>
      <c r="D627" s="393" t="s">
        <v>257</v>
      </c>
      <c r="E627" s="394" t="s">
        <v>823</v>
      </c>
      <c r="G627" s="405" t="s">
        <v>2240</v>
      </c>
      <c r="H627" s="113">
        <v>4151</v>
      </c>
      <c r="I627" s="49" t="s">
        <v>2</v>
      </c>
      <c r="J627" s="48" t="s">
        <v>1031</v>
      </c>
      <c r="K627" s="51">
        <v>40835</v>
      </c>
      <c r="L627" s="115">
        <v>40830</v>
      </c>
      <c r="M627" s="50">
        <f t="shared" si="28"/>
        <v>5</v>
      </c>
      <c r="N627" s="50" t="s">
        <v>2</v>
      </c>
      <c r="O627" s="131">
        <v>9.8000000000000007</v>
      </c>
      <c r="P627" s="117">
        <v>7.3</v>
      </c>
      <c r="Q627" s="131">
        <v>8.4499999999999993</v>
      </c>
      <c r="R627" s="50">
        <v>140</v>
      </c>
      <c r="S627" s="74">
        <v>190</v>
      </c>
      <c r="T627" s="50">
        <v>0.21</v>
      </c>
      <c r="U627" s="131">
        <v>0.96</v>
      </c>
      <c r="V627" s="50">
        <v>0.26</v>
      </c>
      <c r="W627" s="74">
        <v>2.7E-2</v>
      </c>
      <c r="X627" s="50">
        <v>6.3E-2</v>
      </c>
      <c r="Y627" s="74">
        <v>7.0000000000000001E-3</v>
      </c>
      <c r="Z627" s="271">
        <v>1</v>
      </c>
      <c r="AA627" s="271">
        <v>1</v>
      </c>
      <c r="AB627" s="114">
        <v>37</v>
      </c>
      <c r="AC627" s="50">
        <v>201</v>
      </c>
      <c r="AD627" s="314">
        <v>1</v>
      </c>
    </row>
    <row r="628" spans="1:40" ht="15" customHeight="1">
      <c r="A628" s="41" t="s">
        <v>183</v>
      </c>
      <c r="B628" s="402" t="s">
        <v>1910</v>
      </c>
      <c r="C628" s="113" t="s">
        <v>2241</v>
      </c>
      <c r="D628" s="393" t="s">
        <v>257</v>
      </c>
      <c r="E628" s="394" t="s">
        <v>823</v>
      </c>
      <c r="G628" s="405" t="s">
        <v>2242</v>
      </c>
      <c r="H628" s="113">
        <v>4151</v>
      </c>
      <c r="I628" s="49" t="s">
        <v>2</v>
      </c>
      <c r="J628" s="48" t="s">
        <v>641</v>
      </c>
      <c r="K628" s="51">
        <v>40835</v>
      </c>
      <c r="L628" s="115">
        <v>40830</v>
      </c>
      <c r="M628" s="50">
        <f t="shared" si="28"/>
        <v>5</v>
      </c>
      <c r="N628" s="50" t="s">
        <v>2</v>
      </c>
      <c r="O628" s="131">
        <v>13</v>
      </c>
      <c r="P628" s="117">
        <v>7.2</v>
      </c>
      <c r="Q628" s="131">
        <v>8.14</v>
      </c>
      <c r="R628" s="50">
        <v>180</v>
      </c>
      <c r="S628" s="74">
        <v>80</v>
      </c>
      <c r="T628" s="50">
        <f>0.01/2</f>
        <v>5.0000000000000001E-3</v>
      </c>
      <c r="U628" s="131">
        <v>0.8</v>
      </c>
      <c r="V628" s="50">
        <v>0.19</v>
      </c>
      <c r="W628" s="74">
        <v>3.6999999999999998E-2</v>
      </c>
      <c r="X628" s="50">
        <v>9.2999999999999999E-2</v>
      </c>
      <c r="Y628" s="74">
        <v>1.7999999999999999E-2</v>
      </c>
      <c r="Z628" s="271">
        <v>1</v>
      </c>
      <c r="AA628" s="271">
        <v>1</v>
      </c>
      <c r="AB628" s="114">
        <v>18</v>
      </c>
      <c r="AC628" s="50">
        <v>126</v>
      </c>
      <c r="AD628" s="314">
        <v>1</v>
      </c>
    </row>
    <row r="629" spans="1:40" ht="15" customHeight="1">
      <c r="A629" s="41" t="s">
        <v>183</v>
      </c>
      <c r="B629" s="402" t="s">
        <v>1910</v>
      </c>
      <c r="C629" s="113" t="s">
        <v>2241</v>
      </c>
      <c r="D629" s="393" t="s">
        <v>257</v>
      </c>
      <c r="E629" s="394" t="s">
        <v>823</v>
      </c>
      <c r="G629" s="405" t="s">
        <v>2242</v>
      </c>
      <c r="H629" s="113">
        <v>4151</v>
      </c>
      <c r="I629" s="49" t="s">
        <v>2</v>
      </c>
      <c r="J629" s="48" t="s">
        <v>643</v>
      </c>
      <c r="K629" s="51">
        <v>40835</v>
      </c>
      <c r="L629" s="115">
        <v>40830</v>
      </c>
      <c r="M629" s="50">
        <f t="shared" si="28"/>
        <v>5</v>
      </c>
      <c r="N629" s="50" t="s">
        <v>2</v>
      </c>
      <c r="O629" s="131">
        <f>1.7/2</f>
        <v>0.85</v>
      </c>
      <c r="P629" s="117">
        <v>7.2</v>
      </c>
      <c r="Q629" s="131">
        <v>6.79</v>
      </c>
      <c r="R629" s="50">
        <v>28</v>
      </c>
      <c r="S629" s="74">
        <v>24</v>
      </c>
      <c r="T629" s="50">
        <f>0.01/2</f>
        <v>5.0000000000000001E-3</v>
      </c>
      <c r="U629" s="131">
        <v>0.46</v>
      </c>
      <c r="V629" s="50">
        <v>0.12</v>
      </c>
      <c r="W629" s="74">
        <v>1.2E-2</v>
      </c>
      <c r="X629" s="50">
        <v>7.8E-2</v>
      </c>
      <c r="Y629" s="74">
        <v>6.0000000000000001E-3</v>
      </c>
      <c r="Z629" s="271">
        <v>1</v>
      </c>
      <c r="AA629" s="271">
        <v>1</v>
      </c>
      <c r="AB629" s="114">
        <v>8</v>
      </c>
      <c r="AC629" s="50">
        <v>33</v>
      </c>
      <c r="AD629" s="314">
        <v>0.7</v>
      </c>
    </row>
    <row r="630" spans="1:40" ht="15" customHeight="1">
      <c r="A630" s="41" t="s">
        <v>183</v>
      </c>
      <c r="B630" s="402" t="s">
        <v>1910</v>
      </c>
      <c r="C630" s="113" t="s">
        <v>1383</v>
      </c>
      <c r="D630" s="393" t="s">
        <v>200</v>
      </c>
      <c r="E630" s="394" t="s">
        <v>112</v>
      </c>
      <c r="G630" s="405" t="s">
        <v>2243</v>
      </c>
      <c r="H630" s="113">
        <v>4151</v>
      </c>
      <c r="I630" s="49" t="s">
        <v>1</v>
      </c>
      <c r="J630" s="48" t="s">
        <v>641</v>
      </c>
      <c r="K630" s="51">
        <v>40835</v>
      </c>
      <c r="L630" s="115">
        <v>40830</v>
      </c>
      <c r="M630" s="50">
        <f t="shared" si="28"/>
        <v>5</v>
      </c>
      <c r="N630" s="50" t="s">
        <v>2</v>
      </c>
      <c r="O630" s="131">
        <f>1.6/2</f>
        <v>0.8</v>
      </c>
      <c r="P630" s="117">
        <v>7.7</v>
      </c>
      <c r="Q630" s="131">
        <v>5.46</v>
      </c>
      <c r="R630" s="50">
        <v>10</v>
      </c>
      <c r="S630" s="74">
        <f>5/2</f>
        <v>2.5</v>
      </c>
      <c r="T630" s="50">
        <v>0.02</v>
      </c>
      <c r="U630" s="131">
        <v>0.24</v>
      </c>
      <c r="V630" s="50">
        <v>0.04</v>
      </c>
      <c r="W630" s="74">
        <f>0.001/2</f>
        <v>5.0000000000000001E-4</v>
      </c>
      <c r="X630" s="50">
        <v>6.0000000000000001E-3</v>
      </c>
      <c r="Y630" s="74">
        <f>0.002/2</f>
        <v>1E-3</v>
      </c>
      <c r="Z630" s="271">
        <v>1</v>
      </c>
      <c r="AA630" s="271">
        <v>1</v>
      </c>
      <c r="AB630" s="114">
        <v>0</v>
      </c>
      <c r="AC630" s="50">
        <v>4</v>
      </c>
      <c r="AD630" s="314">
        <v>1</v>
      </c>
      <c r="AE630" s="50">
        <f>50/2</f>
        <v>25</v>
      </c>
    </row>
    <row r="631" spans="1:40" ht="15" customHeight="1">
      <c r="A631" s="41" t="s">
        <v>183</v>
      </c>
      <c r="B631" s="402" t="s">
        <v>2244</v>
      </c>
      <c r="D631" s="393" t="s">
        <v>827</v>
      </c>
      <c r="G631" s="405" t="s">
        <v>2245</v>
      </c>
      <c r="H631" s="113">
        <v>3272</v>
      </c>
      <c r="I631" s="49" t="s">
        <v>2</v>
      </c>
      <c r="J631" s="48" t="s">
        <v>2246</v>
      </c>
      <c r="K631" s="51">
        <v>40955</v>
      </c>
      <c r="L631" s="115">
        <v>40935</v>
      </c>
      <c r="M631" s="50">
        <f t="shared" si="28"/>
        <v>20</v>
      </c>
      <c r="N631" s="50" t="s">
        <v>2</v>
      </c>
      <c r="O631" s="131">
        <v>2.7</v>
      </c>
      <c r="P631" s="117">
        <v>7</v>
      </c>
      <c r="Q631" s="131">
        <v>7.91</v>
      </c>
      <c r="R631" s="50">
        <v>53</v>
      </c>
      <c r="S631" s="74">
        <v>39</v>
      </c>
      <c r="T631" s="50">
        <v>0.12</v>
      </c>
      <c r="U631" s="131">
        <v>1.1399999999999999</v>
      </c>
      <c r="V631" s="50">
        <v>1.25</v>
      </c>
      <c r="W631" s="74">
        <v>8.0000000000000002E-3</v>
      </c>
      <c r="X631" s="50">
        <v>9.6000000000000002E-2</v>
      </c>
      <c r="Y631" s="74">
        <v>2E-3</v>
      </c>
      <c r="Z631" s="271">
        <v>1</v>
      </c>
      <c r="AA631" s="271">
        <v>1</v>
      </c>
      <c r="AB631" s="114">
        <v>62</v>
      </c>
      <c r="AC631" s="50">
        <v>182</v>
      </c>
      <c r="AD631" s="314">
        <v>0.95</v>
      </c>
    </row>
    <row r="632" spans="1:40" ht="15" customHeight="1">
      <c r="A632" s="41" t="s">
        <v>183</v>
      </c>
      <c r="B632" s="402" t="s">
        <v>2247</v>
      </c>
      <c r="D632" s="393" t="s">
        <v>397</v>
      </c>
      <c r="G632" s="405" t="s">
        <v>2248</v>
      </c>
      <c r="H632" s="113"/>
      <c r="I632" s="49"/>
      <c r="J632" s="48" t="s">
        <v>2249</v>
      </c>
      <c r="K632" s="51">
        <v>40935</v>
      </c>
      <c r="L632" s="115">
        <v>40931</v>
      </c>
      <c r="M632" s="50">
        <f t="shared" si="28"/>
        <v>4</v>
      </c>
      <c r="N632" s="50" t="s">
        <v>2</v>
      </c>
      <c r="O632" s="131">
        <v>4.5999999999999996</v>
      </c>
      <c r="P632" s="117">
        <v>5.8</v>
      </c>
      <c r="Q632" s="131">
        <v>8.58</v>
      </c>
      <c r="R632" s="50">
        <v>300</v>
      </c>
      <c r="S632" s="74">
        <v>450</v>
      </c>
      <c r="T632" s="50">
        <v>0.44</v>
      </c>
      <c r="U632" s="131">
        <v>1.9</v>
      </c>
      <c r="V632" s="50">
        <v>0.43</v>
      </c>
      <c r="W632" s="74">
        <v>0.06</v>
      </c>
      <c r="X632" s="50">
        <v>0.72</v>
      </c>
      <c r="Y632" s="74">
        <v>3.1E-2</v>
      </c>
      <c r="Z632" s="271">
        <v>1</v>
      </c>
      <c r="AA632" s="271">
        <v>1</v>
      </c>
      <c r="AB632" s="114">
        <v>20</v>
      </c>
      <c r="AC632" s="50">
        <v>119</v>
      </c>
      <c r="AD632" s="314">
        <v>1</v>
      </c>
    </row>
    <row r="633" spans="1:40" ht="15" customHeight="1">
      <c r="A633" s="41" t="s">
        <v>183</v>
      </c>
      <c r="B633" s="402" t="s">
        <v>2247</v>
      </c>
      <c r="D633" s="393" t="s">
        <v>397</v>
      </c>
      <c r="G633" s="405" t="s">
        <v>2248</v>
      </c>
      <c r="H633" s="113"/>
      <c r="I633" s="49"/>
      <c r="J633" s="48" t="s">
        <v>2250</v>
      </c>
      <c r="K633" s="51">
        <v>40935</v>
      </c>
      <c r="L633" s="115">
        <v>40931</v>
      </c>
      <c r="M633" s="50">
        <f t="shared" si="28"/>
        <v>4</v>
      </c>
      <c r="N633" s="50" t="s">
        <v>2</v>
      </c>
      <c r="O633" s="131">
        <v>3.8</v>
      </c>
      <c r="P633" s="117">
        <v>5.8</v>
      </c>
      <c r="Q633" s="131">
        <v>8.52</v>
      </c>
      <c r="R633" s="50">
        <v>170</v>
      </c>
      <c r="S633" s="74">
        <v>260</v>
      </c>
      <c r="T633" s="50">
        <v>0.38</v>
      </c>
      <c r="U633" s="131">
        <v>1.6</v>
      </c>
      <c r="V633" s="50">
        <v>0.2</v>
      </c>
      <c r="W633" s="74">
        <v>3.4000000000000002E-2</v>
      </c>
      <c r="X633" s="50">
        <v>0.3</v>
      </c>
      <c r="Y633" s="74">
        <v>0.03</v>
      </c>
      <c r="Z633" s="271">
        <v>1</v>
      </c>
      <c r="AA633" s="271">
        <v>1</v>
      </c>
      <c r="AB633" s="114">
        <v>22</v>
      </c>
      <c r="AC633" s="50">
        <v>201</v>
      </c>
      <c r="AD633" s="314">
        <v>1</v>
      </c>
    </row>
    <row r="634" spans="1:40" ht="15" customHeight="1">
      <c r="A634" s="41" t="s">
        <v>183</v>
      </c>
      <c r="B634" s="402" t="s">
        <v>2247</v>
      </c>
      <c r="D634" s="393" t="s">
        <v>397</v>
      </c>
      <c r="G634" s="405" t="s">
        <v>2248</v>
      </c>
      <c r="H634" s="113"/>
      <c r="I634" s="49"/>
      <c r="J634" s="48" t="s">
        <v>2251</v>
      </c>
      <c r="K634" s="51">
        <v>40935</v>
      </c>
      <c r="L634" s="115">
        <v>40931</v>
      </c>
      <c r="M634" s="50">
        <f t="shared" si="28"/>
        <v>4</v>
      </c>
      <c r="N634" s="50" t="s">
        <v>2</v>
      </c>
      <c r="O634" s="131">
        <f>2/2</f>
        <v>1</v>
      </c>
      <c r="P634" s="117">
        <v>5.8</v>
      </c>
      <c r="Q634" s="131">
        <v>8.74</v>
      </c>
      <c r="R634" s="50">
        <v>21</v>
      </c>
      <c r="S634" s="74">
        <v>10</v>
      </c>
      <c r="T634" s="50">
        <v>2.7E-2</v>
      </c>
      <c r="U634" s="131">
        <f>0.05/2</f>
        <v>2.5000000000000001E-2</v>
      </c>
      <c r="V634" s="50">
        <v>0.6</v>
      </c>
      <c r="W634" s="74">
        <v>7.7000000000000002E-3</v>
      </c>
      <c r="X634" s="50">
        <v>0.27</v>
      </c>
      <c r="Y634" s="74">
        <v>0.1</v>
      </c>
      <c r="Z634" s="271">
        <v>1</v>
      </c>
      <c r="AA634" s="271">
        <v>0.59499999999999997</v>
      </c>
      <c r="AB634" s="114">
        <v>16</v>
      </c>
      <c r="AC634" s="50">
        <v>74</v>
      </c>
      <c r="AD634" s="314">
        <v>0</v>
      </c>
    </row>
    <row r="635" spans="1:40" ht="15" customHeight="1">
      <c r="A635" s="41" t="s">
        <v>183</v>
      </c>
      <c r="B635" s="402" t="s">
        <v>2247</v>
      </c>
      <c r="D635" s="393" t="s">
        <v>397</v>
      </c>
      <c r="G635" s="405" t="s">
        <v>2248</v>
      </c>
      <c r="H635" s="113"/>
      <c r="I635" s="49"/>
      <c r="J635" s="48" t="s">
        <v>2252</v>
      </c>
      <c r="K635" s="51">
        <v>40935</v>
      </c>
      <c r="L635" s="115">
        <v>40931</v>
      </c>
      <c r="M635" s="50">
        <f t="shared" si="28"/>
        <v>4</v>
      </c>
      <c r="N635" s="50" t="s">
        <v>2</v>
      </c>
      <c r="O635" s="131">
        <f>2/2</f>
        <v>1</v>
      </c>
      <c r="P635" s="117">
        <v>5.8</v>
      </c>
      <c r="Q635" s="131">
        <v>8.74</v>
      </c>
      <c r="R635" s="50">
        <v>19</v>
      </c>
      <c r="S635" s="74">
        <v>7</v>
      </c>
      <c r="T635" s="50">
        <v>0.3</v>
      </c>
      <c r="U635" s="131">
        <v>0.55000000000000004</v>
      </c>
      <c r="V635" s="50">
        <v>0.22</v>
      </c>
      <c r="W635" s="74">
        <v>1.4E-2</v>
      </c>
      <c r="X635" s="50">
        <v>6.6000000000000003E-2</v>
      </c>
      <c r="Y635" s="74">
        <v>6.6E-3</v>
      </c>
      <c r="Z635" s="271">
        <v>1</v>
      </c>
      <c r="AA635" s="271">
        <v>1</v>
      </c>
      <c r="AB635" s="114">
        <v>26</v>
      </c>
      <c r="AC635" s="50">
        <v>168</v>
      </c>
      <c r="AD635" s="314">
        <v>1</v>
      </c>
    </row>
    <row r="636" spans="1:40" ht="15" customHeight="1">
      <c r="A636" s="41" t="s">
        <v>183</v>
      </c>
      <c r="B636" s="402" t="s">
        <v>1910</v>
      </c>
      <c r="C636" s="113" t="s">
        <v>1877</v>
      </c>
      <c r="D636" s="393" t="s">
        <v>836</v>
      </c>
      <c r="E636" s="394" t="s">
        <v>364</v>
      </c>
      <c r="G636" s="405" t="s">
        <v>1878</v>
      </c>
      <c r="H636" s="113">
        <v>4151</v>
      </c>
      <c r="I636" s="49" t="s">
        <v>2</v>
      </c>
      <c r="J636" s="48" t="s">
        <v>543</v>
      </c>
      <c r="K636" s="51">
        <v>40898</v>
      </c>
      <c r="L636" s="115">
        <v>40892</v>
      </c>
      <c r="M636" s="50">
        <f t="shared" si="28"/>
        <v>6</v>
      </c>
      <c r="N636" s="50" t="s">
        <v>2</v>
      </c>
      <c r="O636" s="131">
        <v>6.9</v>
      </c>
      <c r="P636" s="117">
        <v>4.4000000000000004</v>
      </c>
      <c r="Q636" s="131">
        <v>6.27</v>
      </c>
      <c r="R636" s="50">
        <v>190</v>
      </c>
      <c r="S636" s="74">
        <v>180</v>
      </c>
      <c r="T636" s="50">
        <v>0.4</v>
      </c>
      <c r="U636" s="131">
        <v>1.42</v>
      </c>
      <c r="V636" s="50">
        <v>0.4</v>
      </c>
      <c r="W636" s="74">
        <v>0.04</v>
      </c>
      <c r="X636" s="50">
        <v>0.27300000000000002</v>
      </c>
      <c r="Y636" s="74">
        <v>2.7E-2</v>
      </c>
      <c r="Z636" s="271">
        <v>1</v>
      </c>
      <c r="AA636" s="271">
        <v>1</v>
      </c>
      <c r="AB636" s="114">
        <v>12</v>
      </c>
      <c r="AC636" s="50">
        <v>112</v>
      </c>
      <c r="AD636" s="314">
        <v>1</v>
      </c>
    </row>
    <row r="637" spans="1:40" ht="15" customHeight="1">
      <c r="A637" s="41" t="s">
        <v>183</v>
      </c>
      <c r="B637" s="402" t="s">
        <v>1910</v>
      </c>
      <c r="C637" s="113" t="s">
        <v>2072</v>
      </c>
      <c r="D637" s="393" t="s">
        <v>1837</v>
      </c>
      <c r="E637" s="394" t="s">
        <v>2253</v>
      </c>
      <c r="G637" s="405" t="s">
        <v>2254</v>
      </c>
      <c r="H637" s="113">
        <v>4151</v>
      </c>
      <c r="I637" s="49" t="s">
        <v>2</v>
      </c>
      <c r="J637" s="48" t="s">
        <v>271</v>
      </c>
      <c r="K637" s="51">
        <v>40898</v>
      </c>
      <c r="L637" s="115">
        <v>40892</v>
      </c>
      <c r="M637" s="50">
        <f t="shared" si="28"/>
        <v>6</v>
      </c>
      <c r="N637" s="50" t="s">
        <v>2</v>
      </c>
      <c r="O637" s="131">
        <v>6.9</v>
      </c>
      <c r="P637" s="117">
        <v>3.8</v>
      </c>
      <c r="Q637" s="131">
        <v>6.51</v>
      </c>
      <c r="R637" s="50">
        <v>100</v>
      </c>
      <c r="S637" s="74">
        <v>90</v>
      </c>
      <c r="T637" s="50">
        <v>0.18</v>
      </c>
      <c r="U637" s="131">
        <v>1.01</v>
      </c>
      <c r="V637" s="50">
        <v>0.48</v>
      </c>
      <c r="W637" s="74">
        <v>1.7999999999999999E-2</v>
      </c>
      <c r="X637" s="50">
        <v>0.10299999999999999</v>
      </c>
      <c r="Y637" s="74">
        <v>2E-3</v>
      </c>
      <c r="Z637" s="271">
        <v>1</v>
      </c>
      <c r="AA637" s="271">
        <v>1</v>
      </c>
      <c r="AB637" s="114">
        <v>14</v>
      </c>
      <c r="AC637" s="50">
        <v>306</v>
      </c>
      <c r="AD637" s="314">
        <v>1</v>
      </c>
    </row>
    <row r="638" spans="1:40" ht="15" customHeight="1">
      <c r="A638" s="41" t="s">
        <v>183</v>
      </c>
      <c r="B638" s="402" t="s">
        <v>1910</v>
      </c>
      <c r="C638" s="113" t="s">
        <v>2072</v>
      </c>
      <c r="D638" s="393" t="s">
        <v>1837</v>
      </c>
      <c r="E638" s="394" t="s">
        <v>2253</v>
      </c>
      <c r="G638" s="405" t="s">
        <v>2254</v>
      </c>
      <c r="H638" s="113">
        <v>4151</v>
      </c>
      <c r="I638" s="49" t="s">
        <v>2</v>
      </c>
      <c r="J638" s="48" t="s">
        <v>2255</v>
      </c>
      <c r="K638" s="51">
        <v>40898</v>
      </c>
      <c r="L638" s="115">
        <v>40892</v>
      </c>
      <c r="M638" s="50">
        <f t="shared" si="28"/>
        <v>6</v>
      </c>
      <c r="N638" s="50" t="s">
        <v>2</v>
      </c>
      <c r="O638" s="131">
        <v>2</v>
      </c>
      <c r="P638" s="117">
        <v>3.8</v>
      </c>
      <c r="Q638" s="131">
        <v>5.96</v>
      </c>
      <c r="R638" s="50">
        <v>57</v>
      </c>
      <c r="S638" s="74">
        <v>52</v>
      </c>
      <c r="T638" s="50">
        <v>0.09</v>
      </c>
      <c r="U638" s="131">
        <v>0.76</v>
      </c>
      <c r="V638" s="50">
        <v>0.57999999999999996</v>
      </c>
      <c r="W638" s="74">
        <v>8.0000000000000002E-3</v>
      </c>
      <c r="X638" s="50">
        <v>9.8000000000000004E-2</v>
      </c>
      <c r="Y638" s="74">
        <f>0.002/2</f>
        <v>1E-3</v>
      </c>
      <c r="Z638" s="271">
        <v>1</v>
      </c>
      <c r="AA638" s="271">
        <v>1</v>
      </c>
      <c r="AB638" s="114">
        <v>4</v>
      </c>
      <c r="AC638" s="50">
        <v>44</v>
      </c>
      <c r="AD638" s="314">
        <v>0.95</v>
      </c>
    </row>
    <row r="639" spans="1:40" ht="15" customHeight="1">
      <c r="A639" s="41" t="s">
        <v>183</v>
      </c>
      <c r="B639" s="402" t="s">
        <v>1286</v>
      </c>
      <c r="C639" s="113" t="s">
        <v>2256</v>
      </c>
      <c r="D639" s="393" t="s">
        <v>372</v>
      </c>
      <c r="E639" s="394" t="s">
        <v>235</v>
      </c>
      <c r="G639" s="405" t="s">
        <v>373</v>
      </c>
      <c r="H639" s="113">
        <v>4151</v>
      </c>
      <c r="I639" s="49" t="s">
        <v>2</v>
      </c>
      <c r="J639" s="48" t="s">
        <v>1125</v>
      </c>
      <c r="K639" s="51">
        <v>40920</v>
      </c>
      <c r="L639" s="115">
        <v>40904</v>
      </c>
      <c r="M639" s="50">
        <f t="shared" si="28"/>
        <v>16</v>
      </c>
      <c r="N639" s="50" t="s">
        <v>2</v>
      </c>
      <c r="O639" s="131">
        <v>2</v>
      </c>
      <c r="P639" s="117">
        <v>5.62</v>
      </c>
      <c r="Q639" s="131">
        <v>5.8</v>
      </c>
      <c r="R639" s="50">
        <f>2/2</f>
        <v>1</v>
      </c>
      <c r="S639" s="74">
        <v>1</v>
      </c>
      <c r="T639" s="50">
        <f>0.05/2</f>
        <v>2.5000000000000001E-2</v>
      </c>
      <c r="U639" s="131">
        <v>0.23</v>
      </c>
      <c r="V639" s="50">
        <f>0.2/2</f>
        <v>0.1</v>
      </c>
      <c r="W639" s="74">
        <f>0.01/2</f>
        <v>5.0000000000000001E-3</v>
      </c>
      <c r="X639" s="50">
        <v>0.1</v>
      </c>
      <c r="Y639" s="74">
        <f>0.02/2</f>
        <v>0.01</v>
      </c>
      <c r="AD639" s="314"/>
    </row>
    <row r="640" spans="1:40" ht="15" customHeight="1">
      <c r="A640" s="41" t="s">
        <v>183</v>
      </c>
      <c r="B640" s="402" t="s">
        <v>2257</v>
      </c>
      <c r="D640" s="393" t="s">
        <v>372</v>
      </c>
      <c r="E640" s="394" t="s">
        <v>2258</v>
      </c>
      <c r="G640" s="405" t="s">
        <v>2259</v>
      </c>
      <c r="H640" s="113">
        <v>3471</v>
      </c>
      <c r="I640" s="49" t="s">
        <v>1</v>
      </c>
      <c r="J640" s="344" t="s">
        <v>3144</v>
      </c>
      <c r="K640" s="51">
        <v>40898</v>
      </c>
      <c r="L640" s="115">
        <v>40884</v>
      </c>
      <c r="M640" s="50">
        <f t="shared" si="28"/>
        <v>14</v>
      </c>
      <c r="N640" s="50" t="s">
        <v>2</v>
      </c>
      <c r="O640" s="131">
        <v>2.2000000000000002</v>
      </c>
      <c r="P640" s="117">
        <v>2.5</v>
      </c>
      <c r="Q640" s="131">
        <v>6.7</v>
      </c>
      <c r="R640" s="50">
        <f>10/2</f>
        <v>5</v>
      </c>
      <c r="S640" s="74">
        <v>10</v>
      </c>
      <c r="T640" s="50">
        <v>0.06</v>
      </c>
      <c r="U640" s="131">
        <v>0.61</v>
      </c>
      <c r="V640" s="50">
        <v>0.3</v>
      </c>
      <c r="W640" s="74">
        <v>4.7E-2</v>
      </c>
      <c r="X640" s="50">
        <v>6.2E-2</v>
      </c>
      <c r="Y640" s="74">
        <f>0.03/2</f>
        <v>1.4999999999999999E-2</v>
      </c>
      <c r="Z640" s="271">
        <v>0.23300000000000001</v>
      </c>
      <c r="AA640" s="271">
        <v>0.17699999999999999</v>
      </c>
      <c r="AB640" s="114">
        <v>14</v>
      </c>
      <c r="AC640" s="50">
        <v>83</v>
      </c>
      <c r="AD640" s="314">
        <v>0</v>
      </c>
      <c r="AE640" s="50">
        <v>580</v>
      </c>
      <c r="AN640" s="114">
        <v>0.7</v>
      </c>
    </row>
    <row r="641" spans="1:40" ht="15" customHeight="1">
      <c r="A641" s="41" t="s">
        <v>183</v>
      </c>
      <c r="B641" s="402" t="s">
        <v>2257</v>
      </c>
      <c r="D641" s="393" t="s">
        <v>372</v>
      </c>
      <c r="E641" s="394" t="s">
        <v>2258</v>
      </c>
      <c r="G641" s="405" t="s">
        <v>2259</v>
      </c>
      <c r="H641" s="113">
        <v>3471</v>
      </c>
      <c r="I641" s="49" t="s">
        <v>1</v>
      </c>
      <c r="J641" s="344" t="s">
        <v>3145</v>
      </c>
      <c r="K641" s="51">
        <v>40898</v>
      </c>
      <c r="L641" s="115">
        <v>40884</v>
      </c>
      <c r="M641" s="50">
        <f t="shared" si="28"/>
        <v>14</v>
      </c>
      <c r="N641" s="50" t="s">
        <v>2</v>
      </c>
      <c r="O641" s="131">
        <v>2.2999999999999998</v>
      </c>
      <c r="P641" s="117">
        <v>2.5</v>
      </c>
      <c r="Q641" s="131">
        <v>4.8</v>
      </c>
      <c r="R641" s="50">
        <f>10/2</f>
        <v>5</v>
      </c>
      <c r="S641" s="74">
        <v>2</v>
      </c>
      <c r="T641" s="50">
        <f>0.05/2</f>
        <v>2.5000000000000001E-2</v>
      </c>
      <c r="U641" s="131">
        <v>0.83</v>
      </c>
      <c r="V641" s="50">
        <v>0.3</v>
      </c>
      <c r="W641" s="74">
        <v>2.4E-2</v>
      </c>
      <c r="X641" s="50">
        <v>0.27700000000000002</v>
      </c>
      <c r="Y641" s="74">
        <f>0.03/2</f>
        <v>1.4999999999999999E-2</v>
      </c>
      <c r="Z641" s="271">
        <v>0.40600000000000003</v>
      </c>
      <c r="AA641" s="271">
        <v>0.35399999999999998</v>
      </c>
      <c r="AB641" s="114">
        <v>6</v>
      </c>
      <c r="AC641" s="50">
        <v>24</v>
      </c>
      <c r="AD641" s="314">
        <v>0</v>
      </c>
      <c r="AE641" s="50">
        <f>10/2</f>
        <v>5</v>
      </c>
      <c r="AN641" s="114">
        <v>0.37</v>
      </c>
    </row>
    <row r="642" spans="1:40" ht="15" customHeight="1">
      <c r="A642" s="41" t="s">
        <v>183</v>
      </c>
      <c r="B642" s="402" t="s">
        <v>2260</v>
      </c>
      <c r="D642" s="393" t="s">
        <v>347</v>
      </c>
      <c r="E642" s="394" t="s">
        <v>1874</v>
      </c>
      <c r="G642" s="405" t="s">
        <v>1875</v>
      </c>
      <c r="H642" s="113">
        <v>3569</v>
      </c>
      <c r="I642" s="49" t="s">
        <v>2</v>
      </c>
      <c r="J642" s="48" t="s">
        <v>510</v>
      </c>
      <c r="K642" s="51">
        <v>40955</v>
      </c>
      <c r="L642" s="115">
        <v>40935</v>
      </c>
      <c r="M642" s="50">
        <f t="shared" si="28"/>
        <v>20</v>
      </c>
      <c r="N642" s="50" t="s">
        <v>2</v>
      </c>
      <c r="O642" s="131">
        <f>1/2</f>
        <v>0.5</v>
      </c>
      <c r="P642" s="117">
        <v>5.01</v>
      </c>
      <c r="Q642" s="131">
        <v>5.01</v>
      </c>
      <c r="R642" s="50">
        <v>54</v>
      </c>
      <c r="S642" s="74">
        <v>6</v>
      </c>
      <c r="T642" s="50">
        <f>0.1/2</f>
        <v>0.05</v>
      </c>
      <c r="U642" s="131">
        <v>3.4</v>
      </c>
      <c r="V642" s="50">
        <v>1.36</v>
      </c>
      <c r="W642" s="74">
        <v>0.06</v>
      </c>
      <c r="X642" s="50">
        <v>0.79</v>
      </c>
      <c r="Y642" s="74">
        <f>0.05/2</f>
        <v>2.5000000000000001E-2</v>
      </c>
      <c r="Z642" s="271">
        <v>0.53600000000000003</v>
      </c>
      <c r="AA642" s="271">
        <v>0.40600000000000003</v>
      </c>
      <c r="AB642" s="114">
        <v>14</v>
      </c>
      <c r="AC642" s="50">
        <v>85</v>
      </c>
      <c r="AD642" s="314">
        <v>0</v>
      </c>
    </row>
    <row r="643" spans="1:40" ht="15" customHeight="1">
      <c r="A643" s="41" t="s">
        <v>183</v>
      </c>
      <c r="B643" s="402" t="s">
        <v>1910</v>
      </c>
      <c r="C643" s="113" t="s">
        <v>2261</v>
      </c>
      <c r="D643" s="393" t="s">
        <v>2377</v>
      </c>
      <c r="E643" s="394" t="s">
        <v>1486</v>
      </c>
      <c r="G643" s="405" t="s">
        <v>2262</v>
      </c>
      <c r="H643" s="113">
        <v>4151</v>
      </c>
      <c r="I643" s="49" t="s">
        <v>2</v>
      </c>
      <c r="J643" s="48" t="s">
        <v>1786</v>
      </c>
      <c r="K643" s="51">
        <v>40920</v>
      </c>
      <c r="N643" s="50" t="s">
        <v>2</v>
      </c>
      <c r="O643" s="131">
        <v>1.5</v>
      </c>
      <c r="P643" s="117">
        <v>5.6</v>
      </c>
      <c r="Q643" s="131">
        <v>7.45</v>
      </c>
      <c r="R643" s="50">
        <f>10/2</f>
        <v>5</v>
      </c>
      <c r="S643" s="74">
        <v>200</v>
      </c>
      <c r="T643" s="50">
        <v>0.26</v>
      </c>
      <c r="U643" s="131">
        <v>0.46</v>
      </c>
      <c r="V643" s="50">
        <v>0.11</v>
      </c>
      <c r="W643" s="74">
        <v>7.0000000000000007E-2</v>
      </c>
      <c r="X643" s="50">
        <v>8.5999999999999993E-2</v>
      </c>
      <c r="Y643" s="74">
        <v>4.0000000000000001E-3</v>
      </c>
      <c r="Z643" s="271">
        <v>1</v>
      </c>
      <c r="AA643" s="271">
        <v>1</v>
      </c>
      <c r="AB643" s="114">
        <v>8</v>
      </c>
      <c r="AC643" s="50">
        <v>81</v>
      </c>
      <c r="AD643" s="314">
        <v>1</v>
      </c>
    </row>
    <row r="644" spans="1:40" ht="15" customHeight="1">
      <c r="A644" s="41" t="s">
        <v>183</v>
      </c>
      <c r="B644" s="402" t="s">
        <v>2263</v>
      </c>
      <c r="D644" s="393" t="s">
        <v>372</v>
      </c>
      <c r="G644" s="405" t="s">
        <v>2264</v>
      </c>
      <c r="H644" s="113">
        <v>4119</v>
      </c>
      <c r="I644" s="49" t="s">
        <v>1</v>
      </c>
      <c r="J644" s="48" t="s">
        <v>1125</v>
      </c>
      <c r="K644" s="51">
        <v>40955</v>
      </c>
      <c r="N644" s="50" t="s">
        <v>2</v>
      </c>
      <c r="O644" s="131">
        <f>1.4/2</f>
        <v>0.7</v>
      </c>
      <c r="P644" s="117"/>
      <c r="Q644" s="131">
        <v>5.76</v>
      </c>
      <c r="R644" s="50">
        <v>19</v>
      </c>
      <c r="S644" s="74">
        <v>7.5</v>
      </c>
      <c r="T644" s="50">
        <v>0.03</v>
      </c>
      <c r="U644" s="131">
        <v>0.81</v>
      </c>
      <c r="V644" s="50">
        <v>0.27</v>
      </c>
      <c r="W644" s="74">
        <f>0.005/2</f>
        <v>2.5000000000000001E-3</v>
      </c>
      <c r="X644" s="50">
        <v>5.2999999999999999E-2</v>
      </c>
      <c r="Y644" s="74">
        <f>0.002/2</f>
        <v>1E-3</v>
      </c>
      <c r="AD644" s="314"/>
    </row>
    <row r="645" spans="1:40" ht="15" customHeight="1">
      <c r="A645" s="41" t="s">
        <v>183</v>
      </c>
      <c r="B645" s="402" t="s">
        <v>2265</v>
      </c>
      <c r="D645" s="393" t="s">
        <v>756</v>
      </c>
      <c r="E645" s="394" t="s">
        <v>2266</v>
      </c>
      <c r="G645" s="405" t="s">
        <v>2267</v>
      </c>
      <c r="H645" s="113">
        <v>3669</v>
      </c>
      <c r="I645" s="49" t="s">
        <v>2</v>
      </c>
      <c r="J645" s="48" t="s">
        <v>2268</v>
      </c>
      <c r="K645" s="51">
        <v>40968</v>
      </c>
      <c r="L645" s="115">
        <v>40963</v>
      </c>
      <c r="M645" s="50">
        <f t="shared" ref="M645:M662" si="29">K645-L645</f>
        <v>5</v>
      </c>
      <c r="N645" s="50" t="s">
        <v>2</v>
      </c>
      <c r="O645" s="131">
        <f>1/2</f>
        <v>0.5</v>
      </c>
      <c r="P645" s="117">
        <v>7.3</v>
      </c>
      <c r="Q645" s="131">
        <v>4.72</v>
      </c>
      <c r="R645" s="50">
        <v>66.3</v>
      </c>
      <c r="S645" s="74">
        <v>8</v>
      </c>
      <c r="T645" s="50">
        <v>0.25</v>
      </c>
      <c r="U645" s="131">
        <v>7.4</v>
      </c>
      <c r="V645" s="50">
        <v>4.09</v>
      </c>
      <c r="W645" s="74">
        <v>5.6000000000000001E-2</v>
      </c>
      <c r="X645" s="50">
        <v>0.254</v>
      </c>
      <c r="Y645" s="74">
        <v>2.8000000000000001E-2</v>
      </c>
      <c r="Z645" s="271">
        <v>1</v>
      </c>
      <c r="AA645" s="271">
        <v>0.66</v>
      </c>
      <c r="AB645" s="114">
        <v>12.35</v>
      </c>
      <c r="AC645" s="50">
        <v>77</v>
      </c>
      <c r="AD645" s="314">
        <v>0</v>
      </c>
    </row>
    <row r="646" spans="1:40" ht="15" customHeight="1">
      <c r="A646" s="41" t="s">
        <v>183</v>
      </c>
      <c r="B646" s="402" t="s">
        <v>2269</v>
      </c>
      <c r="D646" s="393" t="s">
        <v>372</v>
      </c>
      <c r="E646" s="394" t="s">
        <v>2270</v>
      </c>
      <c r="F646" s="402" t="s">
        <v>2271</v>
      </c>
      <c r="G646" s="405" t="s">
        <v>2272</v>
      </c>
      <c r="H646" s="113">
        <v>3398</v>
      </c>
      <c r="I646" s="49" t="s">
        <v>2</v>
      </c>
      <c r="J646" s="48" t="s">
        <v>249</v>
      </c>
      <c r="K646" s="51">
        <v>40904</v>
      </c>
      <c r="L646" s="115">
        <v>40900</v>
      </c>
      <c r="M646" s="50">
        <f t="shared" si="29"/>
        <v>4</v>
      </c>
      <c r="N646" s="50" t="s">
        <v>2</v>
      </c>
      <c r="O646" s="131">
        <v>5.26</v>
      </c>
      <c r="P646" s="117">
        <v>6.17</v>
      </c>
      <c r="Q646" s="131">
        <v>6.96</v>
      </c>
      <c r="R646" s="50">
        <v>54</v>
      </c>
      <c r="S646" s="74">
        <v>107</v>
      </c>
      <c r="T646" s="50">
        <v>0.15</v>
      </c>
      <c r="U646" s="131">
        <v>1.22</v>
      </c>
      <c r="V646" s="50">
        <v>0.69</v>
      </c>
      <c r="W646" s="74">
        <v>0.06</v>
      </c>
      <c r="X646" s="50">
        <v>0.22</v>
      </c>
      <c r="Y646" s="74">
        <v>8.0000000000000002E-3</v>
      </c>
      <c r="AD646" s="314"/>
    </row>
    <row r="647" spans="1:40" ht="15" customHeight="1">
      <c r="A647" s="41" t="s">
        <v>183</v>
      </c>
      <c r="B647" s="402" t="s">
        <v>2273</v>
      </c>
      <c r="C647" s="113" t="s">
        <v>2000</v>
      </c>
      <c r="D647" s="393" t="s">
        <v>2274</v>
      </c>
      <c r="E647" s="394" t="s">
        <v>2275</v>
      </c>
      <c r="G647" s="405" t="s">
        <v>2276</v>
      </c>
      <c r="H647" s="113">
        <v>9511</v>
      </c>
      <c r="I647" s="49" t="s">
        <v>1</v>
      </c>
      <c r="J647" s="48" t="s">
        <v>510</v>
      </c>
      <c r="K647" s="51">
        <v>40955</v>
      </c>
      <c r="L647" s="115">
        <v>40935</v>
      </c>
      <c r="M647" s="50">
        <f t="shared" si="29"/>
        <v>20</v>
      </c>
      <c r="N647" s="50" t="s">
        <v>2</v>
      </c>
      <c r="O647" s="131">
        <f>5/2</f>
        <v>2.5</v>
      </c>
      <c r="P647" s="117">
        <v>7.3</v>
      </c>
      <c r="Q647" s="131">
        <v>7.38</v>
      </c>
      <c r="R647" s="50">
        <v>15</v>
      </c>
      <c r="S647" s="74">
        <f>5/2</f>
        <v>2.5</v>
      </c>
      <c r="T647" s="50">
        <f>0.1/2</f>
        <v>0.05</v>
      </c>
      <c r="U647" s="131">
        <f>1/2</f>
        <v>0.5</v>
      </c>
      <c r="V647" s="50">
        <v>2</v>
      </c>
      <c r="W647" s="74">
        <f>0.04/2</f>
        <v>0.02</v>
      </c>
      <c r="X647" s="50">
        <f>0.026</f>
        <v>2.5999999999999999E-2</v>
      </c>
      <c r="Y647" s="74">
        <f>0.013/2</f>
        <v>6.4999999999999997E-3</v>
      </c>
      <c r="Z647" s="271">
        <v>1</v>
      </c>
      <c r="AA647" s="271">
        <v>1</v>
      </c>
      <c r="AB647" s="114">
        <v>65</v>
      </c>
      <c r="AC647" s="50">
        <v>424</v>
      </c>
      <c r="AD647" s="314">
        <v>1</v>
      </c>
    </row>
    <row r="648" spans="1:40" ht="15" customHeight="1">
      <c r="A648" s="41" t="s">
        <v>183</v>
      </c>
      <c r="B648" s="402" t="s">
        <v>2277</v>
      </c>
      <c r="D648" s="393" t="s">
        <v>1683</v>
      </c>
      <c r="E648" s="394" t="s">
        <v>2278</v>
      </c>
      <c r="F648" s="402" t="s">
        <v>304</v>
      </c>
      <c r="G648" s="405" t="s">
        <v>2279</v>
      </c>
      <c r="H648" s="113">
        <v>3444</v>
      </c>
      <c r="I648" s="49" t="s">
        <v>2</v>
      </c>
      <c r="J648" s="48" t="s">
        <v>510</v>
      </c>
      <c r="K648" s="51">
        <v>40883</v>
      </c>
      <c r="L648" s="115">
        <v>40876</v>
      </c>
      <c r="M648" s="50">
        <f t="shared" si="29"/>
        <v>7</v>
      </c>
      <c r="N648" s="50" t="s">
        <v>2</v>
      </c>
      <c r="O648" s="131">
        <v>5.3</v>
      </c>
      <c r="P648" s="117">
        <v>5.96</v>
      </c>
      <c r="Q648" s="131">
        <v>6.15</v>
      </c>
      <c r="R648" s="50">
        <v>9</v>
      </c>
      <c r="S648" s="74">
        <f>5/2</f>
        <v>2.5</v>
      </c>
      <c r="T648" s="50">
        <f>0.1/2</f>
        <v>0.05</v>
      </c>
      <c r="U648" s="131">
        <f>1/2</f>
        <v>0.5</v>
      </c>
      <c r="V648" s="50">
        <v>0.2</v>
      </c>
      <c r="W648" s="74">
        <f>0.04/2</f>
        <v>0.02</v>
      </c>
      <c r="X648" s="50">
        <v>6.6000000000000003E-2</v>
      </c>
      <c r="Y648" s="74">
        <f>0.013/2</f>
        <v>6.4999999999999997E-3</v>
      </c>
      <c r="Z648" s="271">
        <v>1</v>
      </c>
      <c r="AA648" s="271">
        <v>0.79400000000000004</v>
      </c>
      <c r="AB648" s="114">
        <v>11</v>
      </c>
      <c r="AC648" s="50">
        <v>36</v>
      </c>
      <c r="AD648" s="314">
        <v>0.25</v>
      </c>
    </row>
    <row r="649" spans="1:40" ht="15" customHeight="1">
      <c r="A649" s="41" t="s">
        <v>183</v>
      </c>
      <c r="B649" s="402" t="s">
        <v>2280</v>
      </c>
      <c r="C649" s="113" t="s">
        <v>2281</v>
      </c>
      <c r="D649" s="393" t="s">
        <v>2378</v>
      </c>
      <c r="E649" s="394" t="s">
        <v>1831</v>
      </c>
      <c r="F649" s="402">
        <v>5302</v>
      </c>
      <c r="G649" s="405" t="s">
        <v>2282</v>
      </c>
      <c r="H649" s="113">
        <v>9199</v>
      </c>
      <c r="I649" s="49" t="s">
        <v>2</v>
      </c>
      <c r="J649" s="48" t="s">
        <v>1952</v>
      </c>
      <c r="K649" s="51">
        <v>40898</v>
      </c>
      <c r="L649" s="115">
        <v>40892</v>
      </c>
      <c r="M649" s="50">
        <f t="shared" si="29"/>
        <v>6</v>
      </c>
      <c r="N649" s="50" t="s">
        <v>2</v>
      </c>
      <c r="O649" s="131">
        <f>2/2</f>
        <v>1</v>
      </c>
      <c r="P649" s="117">
        <v>5.5</v>
      </c>
      <c r="Q649" s="131">
        <v>6.6</v>
      </c>
      <c r="R649" s="50">
        <f>10/2</f>
        <v>5</v>
      </c>
      <c r="S649" s="74">
        <f>1/2</f>
        <v>0.5</v>
      </c>
      <c r="T649" s="50">
        <f>0.05/2</f>
        <v>2.5000000000000001E-2</v>
      </c>
      <c r="U649" s="131">
        <v>0.45</v>
      </c>
      <c r="V649" s="50">
        <v>1.4</v>
      </c>
      <c r="W649" s="74">
        <f>0.01/2</f>
        <v>5.0000000000000001E-3</v>
      </c>
      <c r="X649" s="50">
        <f>0.03/2</f>
        <v>1.4999999999999999E-2</v>
      </c>
      <c r="Y649" s="74">
        <f>0.03/2</f>
        <v>1.4999999999999999E-2</v>
      </c>
      <c r="Z649" s="271">
        <v>1</v>
      </c>
      <c r="AA649" s="271">
        <v>1</v>
      </c>
      <c r="AB649" s="114">
        <v>52</v>
      </c>
      <c r="AC649" s="50">
        <v>197</v>
      </c>
      <c r="AD649" s="314">
        <v>1</v>
      </c>
    </row>
    <row r="650" spans="1:40" ht="15" customHeight="1">
      <c r="A650" s="41" t="s">
        <v>183</v>
      </c>
      <c r="B650" s="402" t="s">
        <v>2280</v>
      </c>
      <c r="C650" s="113" t="s">
        <v>2281</v>
      </c>
      <c r="D650" s="393" t="s">
        <v>2378</v>
      </c>
      <c r="E650" s="394" t="s">
        <v>1831</v>
      </c>
      <c r="F650" s="402">
        <v>5302</v>
      </c>
      <c r="G650" s="405" t="s">
        <v>2282</v>
      </c>
      <c r="H650" s="113">
        <v>9199</v>
      </c>
      <c r="I650" s="49" t="s">
        <v>2</v>
      </c>
      <c r="J650" s="48" t="s">
        <v>1125</v>
      </c>
      <c r="K650" s="51">
        <v>40898</v>
      </c>
      <c r="L650" s="115">
        <v>40892</v>
      </c>
      <c r="M650" s="50">
        <f t="shared" si="29"/>
        <v>6</v>
      </c>
      <c r="N650" s="50" t="s">
        <v>2</v>
      </c>
      <c r="O650" s="131">
        <f>2/2</f>
        <v>1</v>
      </c>
      <c r="P650" s="117">
        <v>5.5</v>
      </c>
      <c r="Q650" s="131">
        <v>6.7</v>
      </c>
      <c r="R650" s="50">
        <f>10/2</f>
        <v>5</v>
      </c>
      <c r="S650" s="74">
        <v>11</v>
      </c>
      <c r="T650" s="50">
        <f>0.05/2</f>
        <v>2.5000000000000001E-2</v>
      </c>
      <c r="U650" s="131">
        <v>0.48</v>
      </c>
      <c r="V650" s="50">
        <v>0.7</v>
      </c>
      <c r="W650" s="74">
        <v>2.1000000000000001E-2</v>
      </c>
      <c r="X650" s="50">
        <f>0.03/2</f>
        <v>1.4999999999999999E-2</v>
      </c>
      <c r="Y650" s="74">
        <f>0.03/2</f>
        <v>1.4999999999999999E-2</v>
      </c>
      <c r="Z650" s="271">
        <v>1</v>
      </c>
      <c r="AA650" s="271">
        <v>0.23599999999999999</v>
      </c>
      <c r="AB650" s="114">
        <v>50</v>
      </c>
      <c r="AC650" s="50">
        <v>140</v>
      </c>
      <c r="AD650" s="314">
        <v>0</v>
      </c>
    </row>
    <row r="651" spans="1:40" ht="15" customHeight="1">
      <c r="A651" s="41" t="s">
        <v>183</v>
      </c>
      <c r="B651" s="402" t="s">
        <v>2283</v>
      </c>
      <c r="D651" s="393" t="s">
        <v>303</v>
      </c>
      <c r="G651" s="405" t="s">
        <v>2284</v>
      </c>
      <c r="H651" s="113">
        <v>325510</v>
      </c>
      <c r="I651" s="49" t="s">
        <v>2</v>
      </c>
      <c r="J651" s="48"/>
      <c r="K651" s="51">
        <v>40968</v>
      </c>
      <c r="L651" s="115">
        <v>40963</v>
      </c>
      <c r="M651" s="50">
        <f t="shared" si="29"/>
        <v>5</v>
      </c>
      <c r="N651" s="50" t="s">
        <v>2</v>
      </c>
      <c r="O651" s="131">
        <f>1/2</f>
        <v>0.5</v>
      </c>
      <c r="P651" s="117">
        <v>4.4800000000000004</v>
      </c>
      <c r="Q651" s="131">
        <v>5.97</v>
      </c>
      <c r="R651" s="50">
        <v>73</v>
      </c>
      <c r="S651" s="74">
        <v>13</v>
      </c>
      <c r="T651" s="50">
        <v>0.12</v>
      </c>
      <c r="U651" s="131">
        <v>1.05</v>
      </c>
      <c r="V651" s="50">
        <v>1.1299999999999999</v>
      </c>
      <c r="W651" s="74">
        <f>0.05/2</f>
        <v>2.5000000000000001E-2</v>
      </c>
      <c r="X651" s="50">
        <v>0.21</v>
      </c>
      <c r="Y651" s="74">
        <f>0.05/2</f>
        <v>2.5000000000000001E-2</v>
      </c>
      <c r="Z651" s="271">
        <v>1</v>
      </c>
      <c r="AA651" s="271">
        <v>1</v>
      </c>
      <c r="AB651" s="114">
        <v>16</v>
      </c>
      <c r="AC651" s="50">
        <v>41</v>
      </c>
      <c r="AD651" s="314">
        <v>0.7</v>
      </c>
    </row>
    <row r="652" spans="1:40" ht="15" customHeight="1">
      <c r="A652" s="41" t="s">
        <v>183</v>
      </c>
      <c r="B652" s="402" t="s">
        <v>5231</v>
      </c>
      <c r="C652" s="113" t="s">
        <v>2285</v>
      </c>
      <c r="D652" s="393" t="s">
        <v>41</v>
      </c>
      <c r="E652" s="394" t="s">
        <v>2286</v>
      </c>
      <c r="F652" s="402" t="s">
        <v>961</v>
      </c>
      <c r="G652" s="405" t="s">
        <v>2287</v>
      </c>
      <c r="H652" s="113">
        <v>4225</v>
      </c>
      <c r="I652" s="49" t="s">
        <v>2</v>
      </c>
      <c r="J652" s="48" t="s">
        <v>1126</v>
      </c>
      <c r="K652" s="51">
        <v>40898</v>
      </c>
      <c r="L652" s="115">
        <v>40885</v>
      </c>
      <c r="M652" s="50">
        <f t="shared" si="29"/>
        <v>13</v>
      </c>
      <c r="N652" s="50" t="s">
        <v>2</v>
      </c>
      <c r="O652" s="131">
        <f>1.8/2</f>
        <v>0.9</v>
      </c>
      <c r="P652" s="117">
        <v>6.6</v>
      </c>
      <c r="Q652" s="131">
        <v>6.6</v>
      </c>
      <c r="R652" s="50">
        <f>20/2</f>
        <v>10</v>
      </c>
      <c r="S652" s="74">
        <v>11.2</v>
      </c>
      <c r="T652" s="50">
        <v>0.11899999999999999</v>
      </c>
      <c r="U652" s="131">
        <v>2.2000000000000002</v>
      </c>
      <c r="V652" s="50">
        <v>0.72</v>
      </c>
      <c r="W652" s="74">
        <v>5.0000000000000001E-3</v>
      </c>
      <c r="X652" s="50">
        <v>0.26400000000000001</v>
      </c>
      <c r="Y652" s="74">
        <f>0.005/2</f>
        <v>2.5000000000000001E-3</v>
      </c>
      <c r="Z652" s="271">
        <v>1</v>
      </c>
      <c r="AA652" s="271">
        <v>0.81699999999999995</v>
      </c>
      <c r="AB652" s="114">
        <v>10</v>
      </c>
      <c r="AC652" s="50">
        <v>79</v>
      </c>
      <c r="AD652" s="314">
        <v>0.25</v>
      </c>
    </row>
    <row r="653" spans="1:40" ht="15" customHeight="1">
      <c r="A653" s="41" t="s">
        <v>183</v>
      </c>
      <c r="B653" s="402" t="s">
        <v>2288</v>
      </c>
      <c r="D653" s="393" t="s">
        <v>2379</v>
      </c>
      <c r="E653" s="394" t="s">
        <v>2289</v>
      </c>
      <c r="G653" s="405" t="s">
        <v>2290</v>
      </c>
      <c r="H653" s="113" t="s">
        <v>2291</v>
      </c>
      <c r="I653" s="49" t="s">
        <v>2</v>
      </c>
      <c r="J653" s="48" t="s">
        <v>2292</v>
      </c>
      <c r="K653" s="51">
        <v>40955</v>
      </c>
      <c r="L653" s="115">
        <v>40940</v>
      </c>
      <c r="M653" s="50">
        <f t="shared" si="29"/>
        <v>15</v>
      </c>
      <c r="N653" s="50" t="s">
        <v>1</v>
      </c>
      <c r="O653" s="131">
        <v>3.9</v>
      </c>
      <c r="P653" s="117">
        <v>7.13</v>
      </c>
      <c r="Q653" s="131">
        <v>7.1</v>
      </c>
      <c r="R653" s="50">
        <v>82</v>
      </c>
      <c r="S653" s="74">
        <v>120</v>
      </c>
      <c r="T653" s="50">
        <v>0.11</v>
      </c>
      <c r="U653" s="131">
        <v>1.89</v>
      </c>
      <c r="V653" s="50">
        <v>1.02</v>
      </c>
      <c r="W653" s="74">
        <v>1.4999999999999999E-2</v>
      </c>
      <c r="X653" s="50">
        <v>0.27800000000000002</v>
      </c>
      <c r="Y653" s="74">
        <v>7.0000000000000001E-3</v>
      </c>
      <c r="Z653" s="271">
        <v>1</v>
      </c>
      <c r="AA653" s="271">
        <v>1</v>
      </c>
      <c r="AB653" s="114">
        <v>24</v>
      </c>
      <c r="AC653" s="50">
        <v>545</v>
      </c>
      <c r="AD653" s="314">
        <v>1</v>
      </c>
    </row>
    <row r="654" spans="1:40" ht="15" customHeight="1">
      <c r="A654" s="41" t="s">
        <v>183</v>
      </c>
      <c r="B654" s="402" t="s">
        <v>2288</v>
      </c>
      <c r="D654" s="393" t="s">
        <v>2379</v>
      </c>
      <c r="E654" s="394" t="s">
        <v>2289</v>
      </c>
      <c r="G654" s="405" t="s">
        <v>2290</v>
      </c>
      <c r="H654" s="113" t="s">
        <v>2291</v>
      </c>
      <c r="I654" s="49" t="s">
        <v>2</v>
      </c>
      <c r="J654" s="48" t="s">
        <v>2293</v>
      </c>
      <c r="K654" s="51">
        <v>40955</v>
      </c>
      <c r="L654" s="115">
        <v>40940</v>
      </c>
      <c r="M654" s="50">
        <f t="shared" si="29"/>
        <v>15</v>
      </c>
      <c r="N654" s="50" t="s">
        <v>1</v>
      </c>
      <c r="O654" s="131">
        <v>2</v>
      </c>
      <c r="P654" s="117">
        <v>7.13</v>
      </c>
      <c r="Q654" s="131">
        <v>7.43</v>
      </c>
      <c r="R654" s="50">
        <v>60</v>
      </c>
      <c r="S654" s="74">
        <v>28</v>
      </c>
      <c r="T654" s="50">
        <v>0.09</v>
      </c>
      <c r="U654" s="131">
        <v>2.58</v>
      </c>
      <c r="V654" s="50">
        <v>1.26</v>
      </c>
      <c r="W654" s="74">
        <v>1.4E-2</v>
      </c>
      <c r="X654" s="50">
        <v>0.11</v>
      </c>
      <c r="Y654" s="74">
        <v>5.0000000000000001E-3</v>
      </c>
      <c r="Z654" s="271">
        <v>1</v>
      </c>
      <c r="AA654" s="271">
        <v>1</v>
      </c>
      <c r="AB654" s="114">
        <v>116</v>
      </c>
      <c r="AC654" s="50">
        <v>1985</v>
      </c>
      <c r="AD654" s="314">
        <v>1</v>
      </c>
    </row>
    <row r="655" spans="1:40" ht="15" customHeight="1">
      <c r="A655" s="41" t="s">
        <v>183</v>
      </c>
      <c r="B655" s="402" t="s">
        <v>2294</v>
      </c>
      <c r="D655" s="393" t="s">
        <v>684</v>
      </c>
      <c r="E655" s="394" t="s">
        <v>112</v>
      </c>
      <c r="F655" s="402">
        <v>5200</v>
      </c>
      <c r="G655" s="405" t="s">
        <v>2295</v>
      </c>
      <c r="H655" s="113">
        <v>4953</v>
      </c>
      <c r="I655" s="49" t="s">
        <v>1</v>
      </c>
      <c r="J655" s="48" t="s">
        <v>2296</v>
      </c>
      <c r="K655" s="51">
        <v>40920</v>
      </c>
      <c r="L655" s="115">
        <v>40904</v>
      </c>
      <c r="M655" s="50">
        <f t="shared" si="29"/>
        <v>16</v>
      </c>
      <c r="N655" s="50" t="s">
        <v>2</v>
      </c>
      <c r="O655" s="131">
        <f>4.4/2</f>
        <v>2.2000000000000002</v>
      </c>
      <c r="P655" s="117">
        <v>5.16</v>
      </c>
      <c r="Q655" s="131">
        <v>6.34</v>
      </c>
      <c r="R655" s="50">
        <f>20/2</f>
        <v>10</v>
      </c>
      <c r="S655" s="74">
        <v>28</v>
      </c>
      <c r="T655" s="50">
        <v>0.104</v>
      </c>
      <c r="U655" s="131">
        <v>0.72</v>
      </c>
      <c r="V655" s="50">
        <v>0.37</v>
      </c>
      <c r="W655" s="74">
        <f>0.01/2</f>
        <v>5.0000000000000001E-3</v>
      </c>
      <c r="X655" s="50">
        <v>0.123</v>
      </c>
      <c r="Y655" s="74">
        <f>0.01/2</f>
        <v>5.0000000000000001E-3</v>
      </c>
      <c r="Z655" s="271">
        <v>1</v>
      </c>
      <c r="AA655" s="271">
        <v>1</v>
      </c>
      <c r="AB655" s="114">
        <v>24</v>
      </c>
      <c r="AC655" s="50">
        <v>76</v>
      </c>
      <c r="AD655" s="314">
        <v>1</v>
      </c>
      <c r="AE655" s="50">
        <v>40</v>
      </c>
    </row>
    <row r="656" spans="1:40" ht="15" customHeight="1">
      <c r="A656" s="41" t="s">
        <v>183</v>
      </c>
      <c r="B656" s="402" t="s">
        <v>2294</v>
      </c>
      <c r="D656" s="393" t="s">
        <v>684</v>
      </c>
      <c r="E656" s="394" t="s">
        <v>112</v>
      </c>
      <c r="F656" s="402">
        <v>5200</v>
      </c>
      <c r="G656" s="405" t="s">
        <v>2295</v>
      </c>
      <c r="H656" s="113">
        <v>4953</v>
      </c>
      <c r="I656" s="49" t="s">
        <v>1</v>
      </c>
      <c r="J656" s="48" t="s">
        <v>2297</v>
      </c>
      <c r="K656" s="51">
        <v>40920</v>
      </c>
      <c r="L656" s="115">
        <v>40904</v>
      </c>
      <c r="M656" s="50">
        <f t="shared" si="29"/>
        <v>16</v>
      </c>
      <c r="N656" s="50" t="s">
        <v>2</v>
      </c>
      <c r="O656" s="131">
        <f>4.4/2</f>
        <v>2.2000000000000002</v>
      </c>
      <c r="P656" s="117">
        <v>5.16</v>
      </c>
      <c r="Q656" s="131">
        <v>6.87</v>
      </c>
      <c r="R656" s="50">
        <f>20/2</f>
        <v>10</v>
      </c>
      <c r="S656" s="74">
        <v>5.3</v>
      </c>
      <c r="T656" s="50">
        <v>1.9E-2</v>
      </c>
      <c r="U656" s="131">
        <v>0.32</v>
      </c>
      <c r="V656" s="50">
        <v>0.18</v>
      </c>
      <c r="W656" s="74">
        <f>0.01/2</f>
        <v>5.0000000000000001E-3</v>
      </c>
      <c r="X656" s="50">
        <v>3.2000000000000001E-2</v>
      </c>
      <c r="Y656" s="74">
        <f>0.01/2</f>
        <v>5.0000000000000001E-3</v>
      </c>
      <c r="Z656" s="271">
        <v>1</v>
      </c>
      <c r="AA656" s="271">
        <v>1</v>
      </c>
      <c r="AB656" s="114">
        <v>36</v>
      </c>
      <c r="AC656" s="50">
        <v>119</v>
      </c>
      <c r="AD656" s="314">
        <v>0.95</v>
      </c>
      <c r="AE656" s="50">
        <v>400</v>
      </c>
    </row>
    <row r="657" spans="1:79" ht="15" customHeight="1">
      <c r="A657" s="41" t="s">
        <v>183</v>
      </c>
      <c r="B657" s="402" t="s">
        <v>2294</v>
      </c>
      <c r="D657" s="393" t="s">
        <v>684</v>
      </c>
      <c r="E657" s="394" t="s">
        <v>112</v>
      </c>
      <c r="F657" s="402">
        <v>5200</v>
      </c>
      <c r="G657" s="405" t="s">
        <v>2295</v>
      </c>
      <c r="H657" s="113">
        <v>4953</v>
      </c>
      <c r="I657" s="49" t="s">
        <v>1</v>
      </c>
      <c r="J657" s="48" t="s">
        <v>2298</v>
      </c>
      <c r="K657" s="51">
        <v>40920</v>
      </c>
      <c r="L657" s="115">
        <v>40904</v>
      </c>
      <c r="M657" s="50">
        <f t="shared" si="29"/>
        <v>16</v>
      </c>
      <c r="N657" s="50" t="s">
        <v>2</v>
      </c>
      <c r="O657" s="131">
        <f>4/2</f>
        <v>2</v>
      </c>
      <c r="P657" s="117">
        <v>5.16</v>
      </c>
      <c r="Q657" s="131">
        <v>6.34</v>
      </c>
      <c r="R657" s="50">
        <f>20/2</f>
        <v>10</v>
      </c>
      <c r="S657" s="74">
        <v>9.3000000000000007</v>
      </c>
      <c r="T657" s="50">
        <v>4.3999999999999997E-2</v>
      </c>
      <c r="U657" s="131">
        <v>0.66</v>
      </c>
      <c r="V657" s="50">
        <v>0.11</v>
      </c>
      <c r="W657" s="74">
        <f>0.01/2</f>
        <v>5.0000000000000001E-3</v>
      </c>
      <c r="X657" s="50">
        <v>2.1000000000000001E-2</v>
      </c>
      <c r="Y657" s="74">
        <f>0.01/2</f>
        <v>5.0000000000000001E-3</v>
      </c>
      <c r="Z657" s="271">
        <v>1</v>
      </c>
      <c r="AA657" s="271">
        <v>1</v>
      </c>
      <c r="AB657" s="114">
        <v>32</v>
      </c>
      <c r="AC657" s="50">
        <v>61</v>
      </c>
      <c r="AD657" s="314">
        <v>1</v>
      </c>
      <c r="AE657" s="50">
        <v>480</v>
      </c>
    </row>
    <row r="658" spans="1:79" ht="15" customHeight="1">
      <c r="A658" s="41" t="s">
        <v>183</v>
      </c>
      <c r="B658" s="402" t="s">
        <v>2294</v>
      </c>
      <c r="D658" s="393" t="s">
        <v>684</v>
      </c>
      <c r="E658" s="394" t="s">
        <v>112</v>
      </c>
      <c r="F658" s="402">
        <v>5200</v>
      </c>
      <c r="G658" s="405" t="s">
        <v>2295</v>
      </c>
      <c r="H658" s="113">
        <v>4953</v>
      </c>
      <c r="I658" s="49" t="s">
        <v>1</v>
      </c>
      <c r="J658" s="48" t="s">
        <v>2299</v>
      </c>
      <c r="K658" s="51">
        <v>40920</v>
      </c>
      <c r="L658" s="115">
        <v>40904</v>
      </c>
      <c r="M658" s="50">
        <f t="shared" si="29"/>
        <v>16</v>
      </c>
      <c r="N658" s="50" t="s">
        <v>2</v>
      </c>
      <c r="O658" s="131">
        <f>4.4/2</f>
        <v>2.2000000000000002</v>
      </c>
      <c r="P658" s="117">
        <v>5.16</v>
      </c>
      <c r="Q658" s="131">
        <v>6.11</v>
      </c>
      <c r="R658" s="50">
        <f>20/2</f>
        <v>10</v>
      </c>
      <c r="S658" s="74">
        <f>5/2</f>
        <v>2.5</v>
      </c>
      <c r="T658" s="50">
        <v>8.1000000000000003E-2</v>
      </c>
      <c r="U658" s="131">
        <v>0.5</v>
      </c>
      <c r="V658" s="117">
        <f>0.1/3</f>
        <v>3.3333333333333333E-2</v>
      </c>
      <c r="W658" s="74">
        <f>0.01/2</f>
        <v>5.0000000000000001E-3</v>
      </c>
      <c r="X658" s="50">
        <v>2.1999999999999999E-2</v>
      </c>
      <c r="Y658" s="74">
        <f>0.01/2</f>
        <v>5.0000000000000001E-3</v>
      </c>
      <c r="Z658" s="271">
        <v>1</v>
      </c>
      <c r="AA658" s="271">
        <v>1</v>
      </c>
      <c r="AB658" s="114">
        <v>22</v>
      </c>
      <c r="AC658" s="50">
        <v>39</v>
      </c>
      <c r="AD658" s="314">
        <v>1</v>
      </c>
      <c r="AE658" s="50">
        <v>580</v>
      </c>
    </row>
    <row r="659" spans="1:79" ht="15" customHeight="1">
      <c r="A659" s="41" t="s">
        <v>183</v>
      </c>
      <c r="B659" s="402" t="s">
        <v>2300</v>
      </c>
      <c r="D659" s="393" t="s">
        <v>2380</v>
      </c>
      <c r="F659" s="402" t="s">
        <v>2301</v>
      </c>
      <c r="G659" s="405" t="s">
        <v>2302</v>
      </c>
      <c r="H659" s="113">
        <v>1429</v>
      </c>
      <c r="I659" s="49" t="s">
        <v>2</v>
      </c>
      <c r="J659" s="48" t="s">
        <v>700</v>
      </c>
      <c r="K659" s="51">
        <v>40869</v>
      </c>
      <c r="L659" s="115">
        <v>40864</v>
      </c>
      <c r="M659" s="50">
        <f t="shared" si="29"/>
        <v>5</v>
      </c>
      <c r="N659" s="50" t="s">
        <v>2</v>
      </c>
      <c r="O659" s="131">
        <f>1.9/2</f>
        <v>0.95</v>
      </c>
      <c r="P659" s="117">
        <v>7.38</v>
      </c>
      <c r="Q659" s="131">
        <v>7.4</v>
      </c>
      <c r="R659" s="50">
        <f>20/2</f>
        <v>10</v>
      </c>
      <c r="S659" s="74">
        <v>14</v>
      </c>
      <c r="T659" s="50">
        <v>8.2000000000000003E-2</v>
      </c>
      <c r="U659" s="131">
        <v>1.2</v>
      </c>
      <c r="V659" s="50">
        <f>0.46/2</f>
        <v>0.23</v>
      </c>
      <c r="W659" s="74">
        <f>0.005/2</f>
        <v>2.5000000000000001E-3</v>
      </c>
      <c r="X659" s="50">
        <f>0.01/2</f>
        <v>5.0000000000000001E-3</v>
      </c>
      <c r="Y659" s="74">
        <f>0.005/2</f>
        <v>2.5000000000000001E-3</v>
      </c>
      <c r="AD659" s="314"/>
    </row>
    <row r="660" spans="1:79" ht="15" customHeight="1">
      <c r="A660" s="41" t="s">
        <v>183</v>
      </c>
      <c r="B660" s="402" t="s">
        <v>2300</v>
      </c>
      <c r="D660" s="393" t="s">
        <v>2380</v>
      </c>
      <c r="F660" s="402" t="s">
        <v>2301</v>
      </c>
      <c r="G660" s="405" t="s">
        <v>2302</v>
      </c>
      <c r="H660" s="113">
        <v>1429</v>
      </c>
      <c r="I660" s="49" t="s">
        <v>2</v>
      </c>
      <c r="J660" s="48" t="s">
        <v>700</v>
      </c>
      <c r="K660" s="51">
        <v>41136</v>
      </c>
      <c r="L660" s="115">
        <v>41131</v>
      </c>
      <c r="M660" s="50">
        <f t="shared" si="29"/>
        <v>5</v>
      </c>
      <c r="N660" s="50" t="s">
        <v>2</v>
      </c>
      <c r="O660" s="131">
        <f>1.9/2</f>
        <v>0.95</v>
      </c>
      <c r="P660" s="117">
        <v>7.67</v>
      </c>
      <c r="Q660" s="131">
        <v>7.4</v>
      </c>
      <c r="R660" s="50">
        <v>89</v>
      </c>
      <c r="S660" s="74">
        <v>280</v>
      </c>
      <c r="T660" s="50">
        <v>0.38200000000000001</v>
      </c>
      <c r="U660" s="131">
        <v>1.3</v>
      </c>
      <c r="V660" s="50">
        <v>0.61</v>
      </c>
      <c r="W660" s="74">
        <v>2.4E-2</v>
      </c>
      <c r="X660" s="50">
        <v>7.0000000000000007E-2</v>
      </c>
      <c r="Y660" s="74">
        <v>1.66E-2</v>
      </c>
      <c r="Z660" s="271">
        <v>1</v>
      </c>
      <c r="AA660" s="271">
        <v>1</v>
      </c>
      <c r="AB660" s="114">
        <v>56</v>
      </c>
      <c r="AC660" s="50">
        <v>320</v>
      </c>
      <c r="AD660" s="314">
        <v>0.75</v>
      </c>
    </row>
    <row r="661" spans="1:79" ht="15" customHeight="1">
      <c r="A661" s="41" t="s">
        <v>183</v>
      </c>
      <c r="B661" s="402" t="s">
        <v>2303</v>
      </c>
      <c r="D661" s="393" t="s">
        <v>205</v>
      </c>
      <c r="G661" s="405" t="s">
        <v>2304</v>
      </c>
      <c r="H661" s="113">
        <v>3499</v>
      </c>
      <c r="I661" s="49" t="s">
        <v>2</v>
      </c>
      <c r="J661" s="48" t="s">
        <v>700</v>
      </c>
      <c r="K661" s="51">
        <v>40863</v>
      </c>
      <c r="L661" s="115">
        <v>40858</v>
      </c>
      <c r="M661" s="50">
        <f t="shared" si="29"/>
        <v>5</v>
      </c>
      <c r="N661" s="50" t="s">
        <v>2</v>
      </c>
      <c r="O661" s="131">
        <f>1.7/2</f>
        <v>0.85</v>
      </c>
      <c r="P661" s="117"/>
      <c r="Q661" s="131">
        <v>7.25</v>
      </c>
      <c r="R661" s="50">
        <v>120</v>
      </c>
      <c r="S661" s="74">
        <v>106</v>
      </c>
      <c r="T661" s="50">
        <v>0.313</v>
      </c>
      <c r="U661" s="131">
        <v>2.2000000000000002</v>
      </c>
      <c r="V661" s="50">
        <v>0.89</v>
      </c>
      <c r="W661" s="74">
        <v>1.7000000000000001E-2</v>
      </c>
      <c r="X661" s="50">
        <v>9.0999999999999998E-2</v>
      </c>
      <c r="Y661" s="74">
        <v>5.4000000000000003E-3</v>
      </c>
      <c r="AD661" s="314"/>
    </row>
    <row r="662" spans="1:79" ht="15" customHeight="1">
      <c r="A662" s="41" t="s">
        <v>183</v>
      </c>
      <c r="B662" s="402" t="s">
        <v>2303</v>
      </c>
      <c r="D662" s="393" t="s">
        <v>205</v>
      </c>
      <c r="G662" s="405" t="s">
        <v>2304</v>
      </c>
      <c r="H662" s="113">
        <v>3499</v>
      </c>
      <c r="I662" s="49" t="s">
        <v>2</v>
      </c>
      <c r="J662" s="48" t="s">
        <v>1061</v>
      </c>
      <c r="K662" s="51">
        <v>40863</v>
      </c>
      <c r="L662" s="115">
        <v>40858</v>
      </c>
      <c r="M662" s="50">
        <f t="shared" si="29"/>
        <v>5</v>
      </c>
      <c r="N662" s="50" t="s">
        <v>2</v>
      </c>
      <c r="O662" s="131">
        <f>1.7/2</f>
        <v>0.85</v>
      </c>
      <c r="P662" s="117"/>
      <c r="Q662" s="131">
        <v>6.9</v>
      </c>
      <c r="R662" s="50">
        <v>57</v>
      </c>
      <c r="S662" s="74">
        <v>21</v>
      </c>
      <c r="T662" s="50">
        <v>0.24399999999999999</v>
      </c>
      <c r="U662" s="131">
        <v>1.1000000000000001</v>
      </c>
      <c r="V662" s="50">
        <v>1.1100000000000001</v>
      </c>
      <c r="W662" s="74">
        <v>5.0000000000000001E-3</v>
      </c>
      <c r="X662" s="50">
        <v>0.20300000000000001</v>
      </c>
      <c r="Y662" s="74">
        <f>0.005/2</f>
        <v>2.5000000000000001E-3</v>
      </c>
      <c r="AD662" s="314"/>
    </row>
    <row r="663" spans="1:79" s="6" customFormat="1" ht="15" customHeight="1">
      <c r="A663" s="41" t="s">
        <v>183</v>
      </c>
      <c r="B663" s="402" t="s">
        <v>2317</v>
      </c>
      <c r="C663" s="113"/>
      <c r="D663" s="393">
        <v>155</v>
      </c>
      <c r="E663" s="394" t="s">
        <v>269</v>
      </c>
      <c r="F663" s="402">
        <v>4403</v>
      </c>
      <c r="G663" s="405" t="s">
        <v>2318</v>
      </c>
      <c r="H663" s="265">
        <v>3471</v>
      </c>
      <c r="I663" s="50"/>
      <c r="J663" s="259" t="s">
        <v>249</v>
      </c>
      <c r="K663" s="51">
        <v>40835</v>
      </c>
      <c r="L663" s="173"/>
      <c r="M663" s="50"/>
      <c r="N663" s="50" t="s">
        <v>2</v>
      </c>
      <c r="O663" s="131">
        <v>1.2</v>
      </c>
      <c r="P663" s="50">
        <v>5.91</v>
      </c>
      <c r="Q663" s="131">
        <v>7.23</v>
      </c>
      <c r="R663" s="50">
        <v>7.5</v>
      </c>
      <c r="S663" s="74">
        <v>1</v>
      </c>
      <c r="T663" s="50">
        <f>0.05/2</f>
        <v>2.5000000000000001E-2</v>
      </c>
      <c r="U663" s="131">
        <v>2.72</v>
      </c>
      <c r="V663" s="50">
        <v>0.45</v>
      </c>
      <c r="W663" s="74">
        <v>1.4999999999999999E-2</v>
      </c>
      <c r="X663" s="50">
        <v>0.34599999999999997</v>
      </c>
      <c r="Y663" s="74">
        <v>5.0000000000000001E-3</v>
      </c>
      <c r="Z663" s="271">
        <v>1</v>
      </c>
      <c r="AA663" s="271">
        <v>1</v>
      </c>
      <c r="AB663" s="114">
        <v>6.01</v>
      </c>
      <c r="AC663" s="52">
        <v>19</v>
      </c>
      <c r="AD663" s="271">
        <v>0.65</v>
      </c>
      <c r="AE663" s="50"/>
      <c r="AF663" s="49"/>
      <c r="AG663" s="114"/>
      <c r="AH663" s="114"/>
      <c r="AI663" s="114"/>
      <c r="AJ663" s="114"/>
      <c r="AK663" s="114"/>
      <c r="AL663" s="114"/>
      <c r="AM663" s="114"/>
      <c r="AN663" s="114"/>
      <c r="AO663" s="114"/>
      <c r="AP663" s="114"/>
      <c r="AQ663" s="114"/>
      <c r="AR663" s="114"/>
      <c r="AS663" s="50"/>
      <c r="AT663" s="74"/>
      <c r="AU663" s="114"/>
      <c r="AV663" s="114"/>
      <c r="AW663" s="394"/>
      <c r="AX663" s="385"/>
      <c r="AY663" s="385"/>
      <c r="AZ663" s="385"/>
      <c r="BA663" s="385"/>
      <c r="BB663" s="385"/>
      <c r="BC663" s="385"/>
      <c r="BD663" s="385"/>
      <c r="BE663" s="385"/>
      <c r="BF663" s="385"/>
      <c r="BG663" s="385"/>
      <c r="BH663" s="385"/>
      <c r="BI663" s="385"/>
      <c r="BJ663" s="385"/>
      <c r="BK663" s="385"/>
      <c r="BL663" s="385"/>
      <c r="BM663" s="385"/>
      <c r="BN663" s="385"/>
      <c r="BO663" s="385"/>
      <c r="BP663" s="385"/>
      <c r="BQ663" s="385"/>
      <c r="BR663" s="385"/>
      <c r="BS663" s="385"/>
      <c r="BT663" s="385"/>
      <c r="BU663" s="385"/>
      <c r="BV663" s="385"/>
      <c r="BW663" s="385"/>
      <c r="BX663" s="385"/>
      <c r="BY663" s="385"/>
      <c r="BZ663" s="385"/>
      <c r="CA663" s="385"/>
    </row>
    <row r="664" spans="1:79" s="6" customFormat="1" ht="15" customHeight="1">
      <c r="A664" s="41" t="s">
        <v>183</v>
      </c>
      <c r="B664" s="402" t="s">
        <v>2317</v>
      </c>
      <c r="C664" s="113"/>
      <c r="D664" s="393" t="s">
        <v>268</v>
      </c>
      <c r="E664" s="394" t="s">
        <v>269</v>
      </c>
      <c r="F664" s="402">
        <v>4403</v>
      </c>
      <c r="G664" s="405" t="s">
        <v>2318</v>
      </c>
      <c r="H664" s="265">
        <v>3471</v>
      </c>
      <c r="I664" s="50"/>
      <c r="J664" s="259" t="s">
        <v>1999</v>
      </c>
      <c r="K664" s="51">
        <v>40835</v>
      </c>
      <c r="L664" s="173"/>
      <c r="M664" s="50"/>
      <c r="N664" s="50" t="s">
        <v>2</v>
      </c>
      <c r="O664" s="131">
        <f>1/2</f>
        <v>0.5</v>
      </c>
      <c r="P664" s="50">
        <v>5.91</v>
      </c>
      <c r="Q664" s="74">
        <v>7.21</v>
      </c>
      <c r="R664" s="50">
        <v>7.5</v>
      </c>
      <c r="S664" s="74">
        <v>3</v>
      </c>
      <c r="T664" s="50">
        <f>0.05/2</f>
        <v>2.5000000000000001E-2</v>
      </c>
      <c r="U664" s="131">
        <v>1.58</v>
      </c>
      <c r="V664" s="50">
        <v>0.36</v>
      </c>
      <c r="W664" s="74">
        <v>1.7000000000000001E-2</v>
      </c>
      <c r="X664" s="50">
        <v>9.5000000000000001E-2</v>
      </c>
      <c r="Y664" s="74">
        <v>6.0000000000000001E-3</v>
      </c>
      <c r="Z664" s="271">
        <v>0.76600000000000001</v>
      </c>
      <c r="AA664" s="271">
        <v>0.435</v>
      </c>
      <c r="AB664" s="114">
        <v>5.86</v>
      </c>
      <c r="AC664" s="50">
        <v>22</v>
      </c>
      <c r="AD664" s="271">
        <v>0</v>
      </c>
      <c r="AE664" s="50"/>
      <c r="AF664" s="49"/>
      <c r="AG664" s="114"/>
      <c r="AH664" s="114"/>
      <c r="AI664" s="114"/>
      <c r="AJ664" s="114"/>
      <c r="AK664" s="114"/>
      <c r="AL664" s="114"/>
      <c r="AM664" s="114"/>
      <c r="AN664" s="114"/>
      <c r="AO664" s="114"/>
      <c r="AP664" s="114"/>
      <c r="AQ664" s="114"/>
      <c r="AR664" s="114"/>
      <c r="AS664" s="50"/>
      <c r="AT664" s="74"/>
      <c r="AU664" s="114"/>
      <c r="AV664" s="114"/>
      <c r="AW664" s="394"/>
      <c r="AX664" s="385"/>
      <c r="AY664" s="385"/>
      <c r="AZ664" s="385"/>
      <c r="BA664" s="385"/>
      <c r="BB664" s="385"/>
      <c r="BC664" s="385"/>
      <c r="BD664" s="385"/>
      <c r="BE664" s="385"/>
      <c r="BF664" s="385"/>
      <c r="BG664" s="385"/>
      <c r="BH664" s="385"/>
      <c r="BI664" s="385"/>
      <c r="BJ664" s="385"/>
      <c r="BK664" s="385"/>
      <c r="BL664" s="385"/>
      <c r="BM664" s="385"/>
      <c r="BN664" s="385"/>
      <c r="BO664" s="385"/>
      <c r="BP664" s="385"/>
      <c r="BQ664" s="385"/>
      <c r="BR664" s="385"/>
      <c r="BS664" s="385"/>
      <c r="BT664" s="385"/>
      <c r="BU664" s="385"/>
      <c r="BV664" s="385"/>
      <c r="BW664" s="385"/>
      <c r="BX664" s="385"/>
      <c r="BY664" s="385"/>
      <c r="BZ664" s="385"/>
      <c r="CA664" s="385"/>
    </row>
    <row r="665" spans="1:79" s="6" customFormat="1" ht="15" customHeight="1">
      <c r="A665" s="41" t="s">
        <v>183</v>
      </c>
      <c r="B665" s="402" t="s">
        <v>2317</v>
      </c>
      <c r="C665" s="113"/>
      <c r="D665" s="393" t="s">
        <v>268</v>
      </c>
      <c r="E665" s="394" t="s">
        <v>269</v>
      </c>
      <c r="F665" s="402">
        <v>4403</v>
      </c>
      <c r="G665" s="405" t="s">
        <v>2318</v>
      </c>
      <c r="H665" s="74">
        <v>3471</v>
      </c>
      <c r="I665" s="50"/>
      <c r="J665" s="339" t="s">
        <v>445</v>
      </c>
      <c r="K665" s="51">
        <v>40835</v>
      </c>
      <c r="L665" s="115"/>
      <c r="M665" s="50"/>
      <c r="N665" s="50" t="s">
        <v>2</v>
      </c>
      <c r="O665" s="131">
        <f>1/2</f>
        <v>0.5</v>
      </c>
      <c r="P665" s="50">
        <v>5.91</v>
      </c>
      <c r="Q665" s="74">
        <v>7.43</v>
      </c>
      <c r="R665" s="50">
        <f>1/2</f>
        <v>0.5</v>
      </c>
      <c r="S665" s="74">
        <f>1/2</f>
        <v>0.5</v>
      </c>
      <c r="T665" s="50">
        <v>0.1</v>
      </c>
      <c r="U665" s="131">
        <v>1.24</v>
      </c>
      <c r="V665" s="50">
        <f>0.1/2</f>
        <v>0.05</v>
      </c>
      <c r="W665" s="74">
        <v>5.0000000000000001E-3</v>
      </c>
      <c r="X665" s="50">
        <v>1.2999999999999999E-2</v>
      </c>
      <c r="Y665" s="74">
        <f>0.002/2</f>
        <v>1E-3</v>
      </c>
      <c r="Z665" s="271">
        <v>1</v>
      </c>
      <c r="AA665" s="271">
        <v>1</v>
      </c>
      <c r="AB665" s="114">
        <v>5.49</v>
      </c>
      <c r="AC665" s="50">
        <v>21</v>
      </c>
      <c r="AD665" s="271">
        <v>1</v>
      </c>
      <c r="AE665" s="50"/>
      <c r="AF665" s="49"/>
      <c r="AG665" s="114"/>
      <c r="AH665" s="114"/>
      <c r="AI665" s="114"/>
      <c r="AJ665" s="114"/>
      <c r="AK665" s="114"/>
      <c r="AL665" s="114"/>
      <c r="AM665" s="114"/>
      <c r="AN665" s="114"/>
      <c r="AO665" s="114"/>
      <c r="AP665" s="114"/>
      <c r="AQ665" s="114"/>
      <c r="AR665" s="114"/>
      <c r="AS665" s="50"/>
      <c r="AT665" s="74"/>
      <c r="AU665" s="114"/>
      <c r="AV665" s="114"/>
      <c r="AW665" s="394"/>
      <c r="AX665" s="385"/>
      <c r="AY665" s="385"/>
      <c r="AZ665" s="385"/>
      <c r="BA665" s="385"/>
      <c r="BB665" s="385"/>
      <c r="BC665" s="385"/>
      <c r="BD665" s="385"/>
      <c r="BE665" s="385"/>
      <c r="BF665" s="385"/>
      <c r="BG665" s="385"/>
      <c r="BH665" s="385"/>
      <c r="BI665" s="385"/>
      <c r="BJ665" s="385"/>
      <c r="BK665" s="385"/>
      <c r="BL665" s="385"/>
      <c r="BM665" s="385"/>
      <c r="BN665" s="385"/>
      <c r="BO665" s="385"/>
      <c r="BP665" s="385"/>
      <c r="BQ665" s="385"/>
      <c r="BR665" s="385"/>
      <c r="BS665" s="385"/>
      <c r="BT665" s="385"/>
      <c r="BU665" s="385"/>
      <c r="BV665" s="385"/>
      <c r="BW665" s="385"/>
      <c r="BX665" s="385"/>
      <c r="BY665" s="385"/>
      <c r="BZ665" s="385"/>
      <c r="CA665" s="385"/>
    </row>
    <row r="666" spans="1:79" s="6" customFormat="1" ht="15" customHeight="1">
      <c r="A666" s="41" t="s">
        <v>183</v>
      </c>
      <c r="B666" s="402" t="s">
        <v>2319</v>
      </c>
      <c r="C666" s="113"/>
      <c r="D666" s="393" t="s">
        <v>1881</v>
      </c>
      <c r="E666" s="394" t="s">
        <v>49</v>
      </c>
      <c r="F666" s="402">
        <v>4500</v>
      </c>
      <c r="G666" s="405" t="s">
        <v>2320</v>
      </c>
      <c r="H666" s="74">
        <v>2621</v>
      </c>
      <c r="I666" s="50"/>
      <c r="J666" s="339" t="s">
        <v>2321</v>
      </c>
      <c r="K666" s="51">
        <v>40996</v>
      </c>
      <c r="L666" s="115"/>
      <c r="M666" s="50"/>
      <c r="N666" s="50"/>
      <c r="O666" s="131">
        <f>1.4/2</f>
        <v>0.7</v>
      </c>
      <c r="P666" s="50">
        <v>5.73</v>
      </c>
      <c r="Q666" s="74">
        <v>7.8</v>
      </c>
      <c r="R666" s="50">
        <v>29</v>
      </c>
      <c r="S666" s="74">
        <v>48</v>
      </c>
      <c r="T666" s="50">
        <v>0.35</v>
      </c>
      <c r="U666" s="131">
        <v>2.35</v>
      </c>
      <c r="V666" s="50">
        <v>1.49</v>
      </c>
      <c r="W666" s="74">
        <v>5.0000000000000001E-3</v>
      </c>
      <c r="X666" s="50">
        <v>0.08</v>
      </c>
      <c r="Y666" s="74">
        <v>2E-3</v>
      </c>
      <c r="Z666" s="271">
        <v>1</v>
      </c>
      <c r="AA666" s="271">
        <v>1</v>
      </c>
      <c r="AB666" s="114">
        <v>192</v>
      </c>
      <c r="AC666" s="50">
        <v>709</v>
      </c>
      <c r="AD666" s="271">
        <v>1</v>
      </c>
      <c r="AE666" s="50"/>
      <c r="AF666" s="49"/>
      <c r="AG666" s="114"/>
      <c r="AH666" s="114"/>
      <c r="AI666" s="114"/>
      <c r="AJ666" s="114"/>
      <c r="AK666" s="114"/>
      <c r="AL666" s="114"/>
      <c r="AM666" s="114"/>
      <c r="AN666" s="114"/>
      <c r="AO666" s="114"/>
      <c r="AP666" s="114"/>
      <c r="AQ666" s="114"/>
      <c r="AR666" s="114"/>
      <c r="AS666" s="50"/>
      <c r="AT666" s="74"/>
      <c r="AU666" s="114"/>
      <c r="AV666" s="114"/>
      <c r="AW666" s="394"/>
      <c r="AX666" s="385"/>
      <c r="AY666" s="385"/>
      <c r="AZ666" s="385"/>
      <c r="BA666" s="385"/>
      <c r="BB666" s="385"/>
      <c r="BC666" s="385"/>
      <c r="BD666" s="385"/>
      <c r="BE666" s="385"/>
      <c r="BF666" s="385"/>
      <c r="BG666" s="385"/>
      <c r="BH666" s="385"/>
      <c r="BI666" s="385"/>
      <c r="BJ666" s="385"/>
      <c r="BK666" s="385"/>
      <c r="BL666" s="385"/>
      <c r="BM666" s="385"/>
      <c r="BN666" s="385"/>
      <c r="BO666" s="385"/>
      <c r="BP666" s="385"/>
      <c r="BQ666" s="385"/>
      <c r="BR666" s="385"/>
      <c r="BS666" s="385"/>
      <c r="BT666" s="385"/>
      <c r="BU666" s="385"/>
      <c r="BV666" s="385"/>
      <c r="BW666" s="385"/>
      <c r="BX666" s="385"/>
      <c r="BY666" s="385"/>
      <c r="BZ666" s="385"/>
      <c r="CA666" s="385"/>
    </row>
    <row r="667" spans="1:79" s="6" customFormat="1" ht="15" customHeight="1">
      <c r="A667" s="41" t="s">
        <v>183</v>
      </c>
      <c r="B667" s="402" t="s">
        <v>2322</v>
      </c>
      <c r="C667" s="113"/>
      <c r="D667" s="393" t="s">
        <v>350</v>
      </c>
      <c r="E667" s="394"/>
      <c r="F667" s="402"/>
      <c r="G667" s="405" t="s">
        <v>2323</v>
      </c>
      <c r="H667" s="74">
        <v>3479</v>
      </c>
      <c r="I667" s="50"/>
      <c r="J667" s="339"/>
      <c r="K667" s="51">
        <v>40920</v>
      </c>
      <c r="L667" s="115">
        <v>40909</v>
      </c>
      <c r="M667" s="50">
        <f>K667-L667</f>
        <v>11</v>
      </c>
      <c r="N667" s="50"/>
      <c r="O667" s="131">
        <v>1.9</v>
      </c>
      <c r="P667" s="50">
        <v>7.07</v>
      </c>
      <c r="Q667" s="74">
        <v>7.08</v>
      </c>
      <c r="R667" s="50">
        <f>10/2</f>
        <v>5</v>
      </c>
      <c r="S667" s="74">
        <f>5/2</f>
        <v>2.5</v>
      </c>
      <c r="T667" s="50">
        <f>0.01/2</f>
        <v>5.0000000000000001E-3</v>
      </c>
      <c r="U667" s="131">
        <v>0.37</v>
      </c>
      <c r="V667" s="50">
        <f>0.05/2</f>
        <v>2.5000000000000001E-2</v>
      </c>
      <c r="W667" s="74">
        <v>8.9999999999999993E-3</v>
      </c>
      <c r="X667" s="50">
        <v>1.6E-2</v>
      </c>
      <c r="Y667" s="74">
        <f>0.002/2</f>
        <v>1E-3</v>
      </c>
      <c r="Z667" s="271">
        <v>0.70699999999999996</v>
      </c>
      <c r="AA667" s="271">
        <v>0.70699999999999996</v>
      </c>
      <c r="AB667" s="114">
        <v>2</v>
      </c>
      <c r="AC667" s="50">
        <v>5</v>
      </c>
      <c r="AD667" s="271">
        <v>0</v>
      </c>
      <c r="AE667" s="50"/>
      <c r="AF667" s="49"/>
      <c r="AG667" s="114"/>
      <c r="AH667" s="114"/>
      <c r="AI667" s="114"/>
      <c r="AJ667" s="114"/>
      <c r="AK667" s="114"/>
      <c r="AL667" s="114"/>
      <c r="AM667" s="114"/>
      <c r="AN667" s="114"/>
      <c r="AO667" s="114"/>
      <c r="AP667" s="114"/>
      <c r="AQ667" s="114"/>
      <c r="AR667" s="114"/>
      <c r="AS667" s="50"/>
      <c r="AT667" s="74"/>
      <c r="AU667" s="114"/>
      <c r="AV667" s="114"/>
      <c r="AW667" s="394"/>
      <c r="AX667" s="385"/>
      <c r="AY667" s="385"/>
      <c r="AZ667" s="385"/>
      <c r="BA667" s="385"/>
      <c r="BB667" s="385"/>
      <c r="BC667" s="385"/>
      <c r="BD667" s="385"/>
      <c r="BE667" s="385"/>
      <c r="BF667" s="385"/>
      <c r="BG667" s="385"/>
      <c r="BH667" s="385"/>
      <c r="BI667" s="385"/>
      <c r="BJ667" s="385"/>
      <c r="BK667" s="385"/>
      <c r="BL667" s="385"/>
      <c r="BM667" s="385"/>
      <c r="BN667" s="385"/>
      <c r="BO667" s="385"/>
      <c r="BP667" s="385"/>
      <c r="BQ667" s="385"/>
      <c r="BR667" s="385"/>
      <c r="BS667" s="385"/>
      <c r="BT667" s="385"/>
      <c r="BU667" s="385"/>
      <c r="BV667" s="385"/>
      <c r="BW667" s="385"/>
      <c r="BX667" s="385"/>
      <c r="BY667" s="385"/>
      <c r="BZ667" s="385"/>
      <c r="CA667" s="385"/>
    </row>
    <row r="668" spans="1:79" s="6" customFormat="1" ht="15" customHeight="1">
      <c r="A668" s="41" t="s">
        <v>183</v>
      </c>
      <c r="B668" s="402" t="s">
        <v>2324</v>
      </c>
      <c r="C668" s="113" t="s">
        <v>2075</v>
      </c>
      <c r="D668" s="393" t="s">
        <v>1537</v>
      </c>
      <c r="E668" s="394" t="s">
        <v>1555</v>
      </c>
      <c r="F668" s="402"/>
      <c r="G668" s="405" t="s">
        <v>2325</v>
      </c>
      <c r="H668" s="74">
        <v>9199</v>
      </c>
      <c r="I668" s="50"/>
      <c r="J668" s="339" t="s">
        <v>2326</v>
      </c>
      <c r="K668" s="51">
        <v>40835</v>
      </c>
      <c r="L668" s="115">
        <v>40830</v>
      </c>
      <c r="M668" s="50">
        <f>K668-L668</f>
        <v>5</v>
      </c>
      <c r="N668" s="50"/>
      <c r="O668" s="131">
        <v>1.88</v>
      </c>
      <c r="P668" s="50">
        <v>7.03</v>
      </c>
      <c r="Q668" s="74">
        <v>7.25</v>
      </c>
      <c r="R668" s="50">
        <v>100</v>
      </c>
      <c r="S668" s="74">
        <v>32</v>
      </c>
      <c r="T668" s="50">
        <v>4.7E-2</v>
      </c>
      <c r="U668" s="131">
        <v>0.81699999999999995</v>
      </c>
      <c r="V668" s="50">
        <v>0.438</v>
      </c>
      <c r="W668" s="74">
        <v>1.0800000000000001E-2</v>
      </c>
      <c r="X668" s="50">
        <v>0.09</v>
      </c>
      <c r="Y668" s="74">
        <v>5.4200000000000003E-3</v>
      </c>
      <c r="Z668" s="271">
        <v>1</v>
      </c>
      <c r="AA668" s="271">
        <v>0.53500000000000003</v>
      </c>
      <c r="AB668" s="114"/>
      <c r="AC668" s="50">
        <v>966</v>
      </c>
      <c r="AD668" s="271">
        <v>0</v>
      </c>
      <c r="AE668" s="50"/>
      <c r="AF668" s="49"/>
      <c r="AG668" s="114"/>
      <c r="AH668" s="114"/>
      <c r="AI668" s="114"/>
      <c r="AJ668" s="114"/>
      <c r="AK668" s="114"/>
      <c r="AL668" s="114"/>
      <c r="AM668" s="114"/>
      <c r="AN668" s="114"/>
      <c r="AO668" s="114"/>
      <c r="AP668" s="114"/>
      <c r="AQ668" s="114"/>
      <c r="AR668" s="114"/>
      <c r="AS668" s="50"/>
      <c r="AT668" s="74"/>
      <c r="AU668" s="114"/>
      <c r="AV668" s="114"/>
      <c r="AW668" s="394"/>
      <c r="AX668" s="385"/>
      <c r="AY668" s="385"/>
      <c r="AZ668" s="385"/>
      <c r="BA668" s="385"/>
      <c r="BB668" s="385"/>
      <c r="BC668" s="385"/>
      <c r="BD668" s="385"/>
      <c r="BE668" s="385"/>
      <c r="BF668" s="385"/>
      <c r="BG668" s="385"/>
      <c r="BH668" s="385"/>
      <c r="BI668" s="385"/>
      <c r="BJ668" s="385"/>
      <c r="BK668" s="385"/>
      <c r="BL668" s="385"/>
      <c r="BM668" s="385"/>
      <c r="BN668" s="385"/>
      <c r="BO668" s="385"/>
      <c r="BP668" s="385"/>
      <c r="BQ668" s="385"/>
      <c r="BR668" s="385"/>
      <c r="BS668" s="385"/>
      <c r="BT668" s="385"/>
      <c r="BU668" s="385"/>
      <c r="BV668" s="385"/>
      <c r="BW668" s="385"/>
      <c r="BX668" s="385"/>
      <c r="BY668" s="385"/>
      <c r="BZ668" s="385"/>
      <c r="CA668" s="385"/>
    </row>
    <row r="669" spans="1:79" s="6" customFormat="1" ht="15" customHeight="1">
      <c r="A669" s="41" t="s">
        <v>183</v>
      </c>
      <c r="B669" s="402" t="s">
        <v>2491</v>
      </c>
      <c r="C669" s="113" t="s">
        <v>2492</v>
      </c>
      <c r="D669" s="393" t="s">
        <v>98</v>
      </c>
      <c r="E669" s="394" t="s">
        <v>1546</v>
      </c>
      <c r="F669" s="402"/>
      <c r="G669" s="405" t="s">
        <v>2493</v>
      </c>
      <c r="H669" s="113">
        <v>5171</v>
      </c>
      <c r="I669" s="49" t="s">
        <v>2474</v>
      </c>
      <c r="J669" s="48" t="s">
        <v>2494</v>
      </c>
      <c r="K669" s="51">
        <v>40920</v>
      </c>
      <c r="L669" s="115">
        <v>40904</v>
      </c>
      <c r="M669" s="50">
        <f>K669-L669</f>
        <v>16</v>
      </c>
      <c r="N669" s="50" t="s">
        <v>2</v>
      </c>
      <c r="O669" s="131">
        <v>3.5</v>
      </c>
      <c r="P669" s="117">
        <v>5.5</v>
      </c>
      <c r="Q669" s="131">
        <v>9.66</v>
      </c>
      <c r="R669" s="50">
        <v>41</v>
      </c>
      <c r="S669" s="74">
        <v>260</v>
      </c>
      <c r="T669" s="50">
        <v>0.19</v>
      </c>
      <c r="U669" s="131">
        <v>0.57999999999999996</v>
      </c>
      <c r="V669" s="50">
        <v>0.16</v>
      </c>
      <c r="W669" s="74">
        <v>2.5999999999999999E-2</v>
      </c>
      <c r="X669" s="50">
        <v>0.127</v>
      </c>
      <c r="Y669" s="74">
        <v>7.9000000000000001E-2</v>
      </c>
      <c r="Z669" s="313">
        <v>1</v>
      </c>
      <c r="AA669" s="313">
        <v>1</v>
      </c>
      <c r="AB669" s="114">
        <v>16</v>
      </c>
      <c r="AC669" s="50">
        <v>47</v>
      </c>
      <c r="AD669" s="271">
        <v>1</v>
      </c>
      <c r="AE669" s="50">
        <v>10</v>
      </c>
      <c r="AF669" s="113"/>
      <c r="AG669" s="50"/>
      <c r="AH669" s="50"/>
      <c r="AI669" s="50"/>
      <c r="AJ669" s="50"/>
      <c r="AK669" s="114"/>
      <c r="AL669" s="114"/>
      <c r="AM669" s="114"/>
      <c r="AN669" s="114"/>
      <c r="AO669" s="114"/>
      <c r="AP669" s="114"/>
      <c r="AQ669" s="114"/>
      <c r="AR669" s="114"/>
      <c r="AS669" s="50"/>
      <c r="AT669" s="74"/>
      <c r="AU669" s="114"/>
      <c r="AV669" s="114"/>
      <c r="AW669" s="394"/>
      <c r="AX669" s="385"/>
      <c r="AY669" s="385"/>
      <c r="AZ669" s="385"/>
      <c r="BA669" s="385"/>
      <c r="BB669" s="385"/>
      <c r="BC669" s="385"/>
      <c r="BD669" s="385"/>
      <c r="BE669" s="385"/>
      <c r="BF669" s="385"/>
      <c r="BG669" s="385"/>
      <c r="BH669" s="385"/>
      <c r="BI669" s="385"/>
      <c r="BJ669" s="385"/>
      <c r="BK669" s="385"/>
      <c r="BL669" s="385"/>
      <c r="BM669" s="385"/>
      <c r="BN669" s="385"/>
      <c r="BO669" s="385"/>
      <c r="BP669" s="385"/>
      <c r="BQ669" s="385"/>
      <c r="BR669" s="385"/>
      <c r="BS669" s="385"/>
      <c r="BT669" s="385"/>
      <c r="BU669" s="385"/>
      <c r="BV669" s="385"/>
      <c r="BW669" s="385"/>
      <c r="BX669" s="385"/>
      <c r="BY669" s="385"/>
      <c r="BZ669" s="385"/>
      <c r="CA669" s="385"/>
    </row>
    <row r="670" spans="1:79" s="6" customFormat="1" ht="15" customHeight="1">
      <c r="A670" s="41" t="s">
        <v>183</v>
      </c>
      <c r="B670" s="402" t="s">
        <v>2491</v>
      </c>
      <c r="C670" s="113" t="s">
        <v>2492</v>
      </c>
      <c r="D670" s="393" t="s">
        <v>98</v>
      </c>
      <c r="E670" s="394" t="s">
        <v>1546</v>
      </c>
      <c r="F670" s="402"/>
      <c r="G670" s="405" t="s">
        <v>2493</v>
      </c>
      <c r="H670" s="113"/>
      <c r="I670" s="49"/>
      <c r="J670" s="48"/>
      <c r="K670" s="51">
        <v>41136</v>
      </c>
      <c r="L670" s="115"/>
      <c r="M670" s="50"/>
      <c r="N670" s="50"/>
      <c r="O670" s="131">
        <f>1.5/2</f>
        <v>0.75</v>
      </c>
      <c r="P670" s="117"/>
      <c r="Q670" s="131">
        <v>7.14</v>
      </c>
      <c r="R670" s="50">
        <v>15</v>
      </c>
      <c r="S670" s="74">
        <v>630</v>
      </c>
      <c r="T670" s="50">
        <v>0.21</v>
      </c>
      <c r="U670" s="131">
        <v>1.37</v>
      </c>
      <c r="V670" s="50">
        <v>0.51</v>
      </c>
      <c r="W670" s="74">
        <v>3.3000000000000002E-2</v>
      </c>
      <c r="X670" s="50">
        <v>9.7000000000000003E-2</v>
      </c>
      <c r="Y670" s="74">
        <v>1.7000000000000001E-2</v>
      </c>
      <c r="Z670" s="313"/>
      <c r="AA670" s="313"/>
      <c r="AB670" s="114"/>
      <c r="AC670" s="50"/>
      <c r="AD670" s="271"/>
      <c r="AE670" s="50"/>
      <c r="AF670" s="113"/>
      <c r="AG670" s="50"/>
      <c r="AH670" s="50"/>
      <c r="AI670" s="50"/>
      <c r="AJ670" s="50"/>
      <c r="AK670" s="114"/>
      <c r="AL670" s="114"/>
      <c r="AM670" s="114"/>
      <c r="AN670" s="114"/>
      <c r="AO670" s="114"/>
      <c r="AP670" s="114"/>
      <c r="AQ670" s="114"/>
      <c r="AR670" s="114"/>
      <c r="AS670" s="50"/>
      <c r="AT670" s="74"/>
      <c r="AU670" s="114"/>
      <c r="AV670" s="114"/>
      <c r="AW670" s="394"/>
      <c r="AX670" s="385"/>
      <c r="AY670" s="385"/>
      <c r="AZ670" s="385"/>
      <c r="BA670" s="385"/>
      <c r="BB670" s="385"/>
      <c r="BC670" s="385"/>
      <c r="BD670" s="385"/>
      <c r="BE670" s="385"/>
      <c r="BF670" s="385"/>
      <c r="BG670" s="385"/>
      <c r="BH670" s="385"/>
      <c r="BI670" s="385"/>
      <c r="BJ670" s="385"/>
      <c r="BK670" s="385"/>
      <c r="BL670" s="385"/>
      <c r="BM670" s="385"/>
      <c r="BN670" s="385"/>
      <c r="BO670" s="385"/>
      <c r="BP670" s="385"/>
      <c r="BQ670" s="385"/>
      <c r="BR670" s="385"/>
      <c r="BS670" s="385"/>
      <c r="BT670" s="385"/>
      <c r="BU670" s="385"/>
      <c r="BV670" s="385"/>
      <c r="BW670" s="385"/>
      <c r="BX670" s="385"/>
      <c r="BY670" s="385"/>
      <c r="BZ670" s="385"/>
      <c r="CA670" s="385"/>
    </row>
    <row r="671" spans="1:79" s="6" customFormat="1" ht="15" customHeight="1">
      <c r="A671" s="41" t="s">
        <v>183</v>
      </c>
      <c r="B671" s="402" t="s">
        <v>2491</v>
      </c>
      <c r="C671" s="113" t="s">
        <v>2492</v>
      </c>
      <c r="D671" s="393" t="s">
        <v>98</v>
      </c>
      <c r="E671" s="394" t="s">
        <v>1546</v>
      </c>
      <c r="F671" s="402"/>
      <c r="G671" s="405" t="s">
        <v>2493</v>
      </c>
      <c r="H671" s="113"/>
      <c r="I671" s="49" t="s">
        <v>1</v>
      </c>
      <c r="J671" s="48" t="s">
        <v>2191</v>
      </c>
      <c r="K671" s="51">
        <v>41345</v>
      </c>
      <c r="L671" s="115">
        <v>41341</v>
      </c>
      <c r="M671" s="50">
        <f>K671-L671</f>
        <v>4</v>
      </c>
      <c r="N671" s="50" t="s">
        <v>2</v>
      </c>
      <c r="O671" s="131">
        <v>1.8</v>
      </c>
      <c r="P671" s="117">
        <v>7.65</v>
      </c>
      <c r="Q671" s="131">
        <v>8.5299999999999994</v>
      </c>
      <c r="R671" s="50">
        <v>53</v>
      </c>
      <c r="S671" s="74">
        <v>230</v>
      </c>
      <c r="T671" s="50">
        <v>0.24</v>
      </c>
      <c r="U671" s="131">
        <v>0.59</v>
      </c>
      <c r="V671" s="50">
        <f>0.01/2</f>
        <v>5.0000000000000001E-3</v>
      </c>
      <c r="W671" s="74">
        <v>3.7999999999999999E-2</v>
      </c>
      <c r="X671" s="50">
        <v>0.11700000000000001</v>
      </c>
      <c r="Y671" s="74">
        <v>3.2000000000000001E-2</v>
      </c>
      <c r="Z671" s="313">
        <v>1</v>
      </c>
      <c r="AA671" s="313">
        <v>1</v>
      </c>
      <c r="AB671" s="114">
        <v>20</v>
      </c>
      <c r="AC671" s="50">
        <v>222</v>
      </c>
      <c r="AD671" s="271">
        <v>1</v>
      </c>
      <c r="AE671" s="50">
        <v>60</v>
      </c>
      <c r="AF671" s="113"/>
      <c r="AG671" s="50"/>
      <c r="AH671" s="50"/>
      <c r="AI671" s="50"/>
      <c r="AJ671" s="50"/>
      <c r="AK671" s="114"/>
      <c r="AL671" s="114"/>
      <c r="AM671" s="114"/>
      <c r="AN671" s="114"/>
      <c r="AO671" s="114"/>
      <c r="AP671" s="114"/>
      <c r="AQ671" s="114"/>
      <c r="AR671" s="114"/>
      <c r="AS671" s="50"/>
      <c r="AT671" s="74"/>
      <c r="AU671" s="114"/>
      <c r="AV671" s="114"/>
      <c r="AW671" s="394"/>
      <c r="AX671" s="385"/>
      <c r="AY671" s="385"/>
      <c r="AZ671" s="385"/>
      <c r="BA671" s="385"/>
      <c r="BB671" s="385"/>
      <c r="BC671" s="385"/>
      <c r="BD671" s="385"/>
      <c r="BE671" s="385"/>
      <c r="BF671" s="385"/>
      <c r="BG671" s="385"/>
      <c r="BH671" s="385"/>
      <c r="BI671" s="385"/>
      <c r="BJ671" s="385"/>
      <c r="BK671" s="385"/>
      <c r="BL671" s="385"/>
      <c r="BM671" s="385"/>
      <c r="BN671" s="385"/>
      <c r="BO671" s="385"/>
      <c r="BP671" s="385"/>
      <c r="BQ671" s="385"/>
      <c r="BR671" s="385"/>
      <c r="BS671" s="385"/>
      <c r="BT671" s="385"/>
      <c r="BU671" s="385"/>
      <c r="BV671" s="385"/>
      <c r="BW671" s="385"/>
      <c r="BX671" s="385"/>
      <c r="BY671" s="385"/>
      <c r="BZ671" s="385"/>
      <c r="CA671" s="385"/>
    </row>
    <row r="672" spans="1:79" s="6" customFormat="1" ht="15" customHeight="1">
      <c r="A672" s="41" t="s">
        <v>183</v>
      </c>
      <c r="B672" s="402" t="s">
        <v>2495</v>
      </c>
      <c r="C672" s="113" t="s">
        <v>2495</v>
      </c>
      <c r="D672" s="393" t="s">
        <v>41</v>
      </c>
      <c r="E672" s="394" t="s">
        <v>2496</v>
      </c>
      <c r="F672" s="402"/>
      <c r="G672" s="405" t="s">
        <v>2497</v>
      </c>
      <c r="H672" s="113">
        <v>3454</v>
      </c>
      <c r="I672" s="49" t="s">
        <v>2</v>
      </c>
      <c r="J672" s="48" t="s">
        <v>2498</v>
      </c>
      <c r="K672" s="51">
        <v>40863</v>
      </c>
      <c r="L672" s="115">
        <v>40858</v>
      </c>
      <c r="M672" s="50">
        <f>K672-L672</f>
        <v>5</v>
      </c>
      <c r="N672" s="50" t="s">
        <v>2</v>
      </c>
      <c r="O672" s="131">
        <f>1.8/2</f>
        <v>0.9</v>
      </c>
      <c r="P672" s="117">
        <v>7.2</v>
      </c>
      <c r="Q672" s="131">
        <v>6.96</v>
      </c>
      <c r="R672" s="50">
        <f>20/2</f>
        <v>10</v>
      </c>
      <c r="S672" s="74">
        <v>1.8</v>
      </c>
      <c r="T672" s="50">
        <v>3.9E-2</v>
      </c>
      <c r="U672" s="131">
        <f>1/2</f>
        <v>0.5</v>
      </c>
      <c r="V672" s="50">
        <v>0.47</v>
      </c>
      <c r="W672" s="74">
        <f>0.005/2</f>
        <v>2.5000000000000001E-3</v>
      </c>
      <c r="X672" s="50">
        <v>0.55500000000000005</v>
      </c>
      <c r="Y672" s="74">
        <f>0.005/2</f>
        <v>2.5000000000000001E-3</v>
      </c>
      <c r="Z672" s="313"/>
      <c r="AA672" s="313"/>
      <c r="AB672" s="114"/>
      <c r="AC672" s="50"/>
      <c r="AD672" s="271"/>
      <c r="AE672" s="50"/>
      <c r="AF672" s="113"/>
      <c r="AG672" s="50"/>
      <c r="AH672" s="50"/>
      <c r="AI672" s="50"/>
      <c r="AJ672" s="50"/>
      <c r="AK672" s="114"/>
      <c r="AL672" s="114"/>
      <c r="AM672" s="114"/>
      <c r="AN672" s="114"/>
      <c r="AO672" s="114"/>
      <c r="AP672" s="114"/>
      <c r="AQ672" s="114"/>
      <c r="AR672" s="114"/>
      <c r="AS672" s="50"/>
      <c r="AT672" s="74"/>
      <c r="AU672" s="114"/>
      <c r="AV672" s="114"/>
      <c r="AW672" s="394"/>
      <c r="AX672" s="385"/>
      <c r="AY672" s="385"/>
      <c r="AZ672" s="385"/>
      <c r="BA672" s="385"/>
      <c r="BB672" s="385"/>
      <c r="BC672" s="385"/>
      <c r="BD672" s="385"/>
      <c r="BE672" s="385"/>
      <c r="BF672" s="385"/>
      <c r="BG672" s="385"/>
      <c r="BH672" s="385"/>
      <c r="BI672" s="385"/>
      <c r="BJ672" s="385"/>
      <c r="BK672" s="385"/>
      <c r="BL672" s="385"/>
      <c r="BM672" s="385"/>
      <c r="BN672" s="385"/>
      <c r="BO672" s="385"/>
      <c r="BP672" s="385"/>
      <c r="BQ672" s="385"/>
      <c r="BR672" s="385"/>
      <c r="BS672" s="385"/>
      <c r="BT672" s="385"/>
      <c r="BU672" s="385"/>
      <c r="BV672" s="385"/>
      <c r="BW672" s="385"/>
      <c r="BX672" s="385"/>
      <c r="BY672" s="385"/>
      <c r="BZ672" s="385"/>
      <c r="CA672" s="385"/>
    </row>
    <row r="673" spans="1:79" s="6" customFormat="1" ht="15" customHeight="1">
      <c r="A673" s="41" t="s">
        <v>183</v>
      </c>
      <c r="B673" s="402" t="s">
        <v>2499</v>
      </c>
      <c r="C673" s="113" t="s">
        <v>2500</v>
      </c>
      <c r="D673" s="393" t="s">
        <v>2501</v>
      </c>
      <c r="E673" s="394" t="s">
        <v>1859</v>
      </c>
      <c r="F673" s="402"/>
      <c r="G673" s="405" t="s">
        <v>2502</v>
      </c>
      <c r="H673" s="113">
        <v>3069</v>
      </c>
      <c r="I673" s="49"/>
      <c r="J673" s="48" t="s">
        <v>271</v>
      </c>
      <c r="K673" s="51">
        <v>40931</v>
      </c>
      <c r="L673" s="115">
        <v>40925</v>
      </c>
      <c r="M673" s="50">
        <f>K673-L673</f>
        <v>6</v>
      </c>
      <c r="N673" s="50" t="s">
        <v>1</v>
      </c>
      <c r="O673" s="131">
        <v>7.8</v>
      </c>
      <c r="P673" s="117">
        <v>5.52</v>
      </c>
      <c r="Q673" s="131">
        <v>6.5</v>
      </c>
      <c r="R673" s="50">
        <v>160</v>
      </c>
      <c r="S673" s="74">
        <v>19</v>
      </c>
      <c r="T673" s="50">
        <v>0.92</v>
      </c>
      <c r="U673" s="131">
        <v>8.8000000000000007</v>
      </c>
      <c r="V673" s="50">
        <v>1.8</v>
      </c>
      <c r="W673" s="74">
        <v>6.1999999999999998E-3</v>
      </c>
      <c r="X673" s="50">
        <v>0.13</v>
      </c>
      <c r="Y673" s="74">
        <f>0.002/2</f>
        <v>1E-3</v>
      </c>
      <c r="Z673" s="313">
        <v>1</v>
      </c>
      <c r="AA673" s="313">
        <v>1</v>
      </c>
      <c r="AB673" s="114">
        <v>52</v>
      </c>
      <c r="AC673" s="50">
        <v>757</v>
      </c>
      <c r="AD673" s="271">
        <v>1</v>
      </c>
      <c r="AE673" s="50"/>
      <c r="AF673" s="113"/>
      <c r="AG673" s="50"/>
      <c r="AH673" s="50"/>
      <c r="AI673" s="50"/>
      <c r="AJ673" s="50"/>
      <c r="AK673" s="114"/>
      <c r="AL673" s="114"/>
      <c r="AM673" s="114"/>
      <c r="AN673" s="114"/>
      <c r="AO673" s="114"/>
      <c r="AP673" s="114"/>
      <c r="AQ673" s="114"/>
      <c r="AR673" s="114"/>
      <c r="AS673" s="50"/>
      <c r="AT673" s="74"/>
      <c r="AU673" s="114"/>
      <c r="AV673" s="114"/>
      <c r="AW673" s="394"/>
      <c r="AX673" s="385"/>
      <c r="AY673" s="385"/>
      <c r="AZ673" s="385"/>
      <c r="BA673" s="385"/>
      <c r="BB673" s="385"/>
      <c r="BC673" s="385"/>
      <c r="BD673" s="385"/>
      <c r="BE673" s="385"/>
      <c r="BF673" s="385"/>
      <c r="BG673" s="385"/>
      <c r="BH673" s="385"/>
      <c r="BI673" s="385"/>
      <c r="BJ673" s="385"/>
      <c r="BK673" s="385"/>
      <c r="BL673" s="385"/>
      <c r="BM673" s="385"/>
      <c r="BN673" s="385"/>
      <c r="BO673" s="385"/>
      <c r="BP673" s="385"/>
      <c r="BQ673" s="385"/>
      <c r="BR673" s="385"/>
      <c r="BS673" s="385"/>
      <c r="BT673" s="385"/>
      <c r="BU673" s="385"/>
      <c r="BV673" s="385"/>
      <c r="BW673" s="385"/>
      <c r="BX673" s="385"/>
      <c r="BY673" s="385"/>
      <c r="BZ673" s="385"/>
      <c r="CA673" s="385"/>
    </row>
    <row r="674" spans="1:79" s="6" customFormat="1" ht="15" customHeight="1">
      <c r="A674" s="41" t="s">
        <v>183</v>
      </c>
      <c r="B674" s="402" t="s">
        <v>2499</v>
      </c>
      <c r="C674" s="113" t="s">
        <v>3191</v>
      </c>
      <c r="D674" s="393" t="s">
        <v>1490</v>
      </c>
      <c r="E674" s="394" t="s">
        <v>1859</v>
      </c>
      <c r="F674" s="402"/>
      <c r="G674" s="405" t="s">
        <v>3192</v>
      </c>
      <c r="H674" s="113"/>
      <c r="I674" s="49" t="s">
        <v>1</v>
      </c>
      <c r="J674" s="48" t="s">
        <v>2084</v>
      </c>
      <c r="K674" s="51">
        <v>40931</v>
      </c>
      <c r="L674" s="51">
        <v>40925</v>
      </c>
      <c r="M674" s="50">
        <v>6</v>
      </c>
      <c r="N674" s="50" t="s">
        <v>1</v>
      </c>
      <c r="O674" s="131">
        <f>2/2</f>
        <v>1</v>
      </c>
      <c r="P674" s="117">
        <v>5.35</v>
      </c>
      <c r="Q674" s="131">
        <v>5.0999999999999996</v>
      </c>
      <c r="R674" s="50">
        <v>17</v>
      </c>
      <c r="S674" s="74">
        <v>5</v>
      </c>
      <c r="T674" s="50">
        <v>1.2999999999999999E-2</v>
      </c>
      <c r="U674" s="131">
        <f>0.5/2</f>
        <v>0.25</v>
      </c>
      <c r="V674" s="50">
        <v>0.24</v>
      </c>
      <c r="W674" s="74">
        <v>6.4000000000000003E-3</v>
      </c>
      <c r="X674" s="50">
        <v>9.1999999999999998E-2</v>
      </c>
      <c r="Y674" s="74">
        <f>0.002/2</f>
        <v>1E-3</v>
      </c>
      <c r="Z674" s="313">
        <v>1</v>
      </c>
      <c r="AA674" s="313">
        <v>1</v>
      </c>
      <c r="AB674" s="114">
        <v>6</v>
      </c>
      <c r="AC674" s="50">
        <v>493</v>
      </c>
      <c r="AD674" s="271">
        <v>0.6</v>
      </c>
      <c r="AE674" s="50"/>
      <c r="AF674" s="49"/>
      <c r="AG674" s="114"/>
      <c r="AH674" s="114"/>
      <c r="AI674" s="114"/>
      <c r="AJ674" s="114"/>
      <c r="AK674" s="114"/>
      <c r="AL674" s="114"/>
      <c r="AM674" s="114"/>
      <c r="AN674" s="114"/>
      <c r="AO674" s="114"/>
      <c r="AP674" s="114"/>
      <c r="AQ674" s="114"/>
      <c r="AR674" s="114"/>
      <c r="AS674" s="50"/>
      <c r="AT674" s="74"/>
      <c r="AU674" s="114"/>
      <c r="AV674" s="114"/>
      <c r="AW674" s="394"/>
      <c r="AX674" s="385"/>
      <c r="AY674" s="385"/>
      <c r="AZ674" s="385"/>
      <c r="BA674" s="385"/>
      <c r="BB674" s="385"/>
      <c r="BC674" s="385"/>
      <c r="BD674" s="385"/>
      <c r="BE674" s="385"/>
      <c r="BF674" s="385"/>
      <c r="BG674" s="385"/>
      <c r="BH674" s="385"/>
      <c r="BI674" s="385"/>
      <c r="BJ674" s="385"/>
      <c r="BK674" s="385"/>
      <c r="BL674" s="385"/>
      <c r="BM674" s="385"/>
      <c r="BN674" s="385"/>
      <c r="BO674" s="385"/>
      <c r="BP674" s="385"/>
      <c r="BQ674" s="385"/>
      <c r="BR674" s="385"/>
      <c r="BS674" s="385"/>
      <c r="BT674" s="385"/>
      <c r="BU674" s="385"/>
      <c r="BV674" s="385"/>
      <c r="BW674" s="385"/>
      <c r="BX674" s="385"/>
      <c r="BY674" s="385"/>
      <c r="BZ674" s="385"/>
      <c r="CA674" s="385"/>
    </row>
    <row r="675" spans="1:79" s="6" customFormat="1" ht="15" customHeight="1">
      <c r="A675" s="41" t="s">
        <v>183</v>
      </c>
      <c r="B675" s="402" t="s">
        <v>2499</v>
      </c>
      <c r="C675" s="113" t="s">
        <v>3193</v>
      </c>
      <c r="D675" s="393" t="s">
        <v>1490</v>
      </c>
      <c r="E675" s="394" t="s">
        <v>1859</v>
      </c>
      <c r="F675" s="402"/>
      <c r="G675" s="405" t="s">
        <v>3192</v>
      </c>
      <c r="H675" s="113"/>
      <c r="I675" s="49" t="s">
        <v>1</v>
      </c>
      <c r="J675" s="48" t="s">
        <v>3194</v>
      </c>
      <c r="K675" s="51">
        <v>40931</v>
      </c>
      <c r="L675" s="51">
        <v>40925</v>
      </c>
      <c r="M675" s="50">
        <v>6</v>
      </c>
      <c r="N675" s="50" t="s">
        <v>1</v>
      </c>
      <c r="O675" s="131">
        <f>2/2</f>
        <v>1</v>
      </c>
      <c r="P675" s="117">
        <v>5.35</v>
      </c>
      <c r="Q675" s="131">
        <v>5.3</v>
      </c>
      <c r="R675" s="50">
        <v>52</v>
      </c>
      <c r="S675" s="74">
        <v>38</v>
      </c>
      <c r="T675" s="50">
        <v>8.5000000000000006E-2</v>
      </c>
      <c r="U675" s="131">
        <v>1.6</v>
      </c>
      <c r="V675" s="50">
        <v>0.27</v>
      </c>
      <c r="W675" s="74">
        <v>1.0999999999999999E-2</v>
      </c>
      <c r="X675" s="50">
        <v>0.14000000000000001</v>
      </c>
      <c r="Y675" s="74">
        <v>3.7000000000000002E-3</v>
      </c>
      <c r="Z675" s="313">
        <v>1</v>
      </c>
      <c r="AA675" s="313">
        <v>1</v>
      </c>
      <c r="AB675" s="114">
        <v>28</v>
      </c>
      <c r="AC675" s="50">
        <v>2100</v>
      </c>
      <c r="AD675" s="271">
        <v>1</v>
      </c>
      <c r="AE675" s="50"/>
      <c r="AF675" s="49"/>
      <c r="AG675" s="114"/>
      <c r="AH675" s="114"/>
      <c r="AI675" s="114"/>
      <c r="AJ675" s="114"/>
      <c r="AK675" s="114"/>
      <c r="AL675" s="114"/>
      <c r="AM675" s="114"/>
      <c r="AN675" s="114"/>
      <c r="AO675" s="114"/>
      <c r="AP675" s="114"/>
      <c r="AQ675" s="114"/>
      <c r="AR675" s="114"/>
      <c r="AS675" s="50"/>
      <c r="AT675" s="74"/>
      <c r="AU675" s="114"/>
      <c r="AV675" s="114"/>
      <c r="AW675" s="394"/>
      <c r="AX675" s="385"/>
      <c r="AY675" s="385"/>
      <c r="AZ675" s="385"/>
      <c r="BA675" s="385"/>
      <c r="BB675" s="385"/>
      <c r="BC675" s="385"/>
      <c r="BD675" s="385"/>
      <c r="BE675" s="385"/>
      <c r="BF675" s="385"/>
      <c r="BG675" s="385"/>
      <c r="BH675" s="385"/>
      <c r="BI675" s="385"/>
      <c r="BJ675" s="385"/>
      <c r="BK675" s="385"/>
      <c r="BL675" s="385"/>
      <c r="BM675" s="385"/>
      <c r="BN675" s="385"/>
      <c r="BO675" s="385"/>
      <c r="BP675" s="385"/>
      <c r="BQ675" s="385"/>
      <c r="BR675" s="385"/>
      <c r="BS675" s="385"/>
      <c r="BT675" s="385"/>
      <c r="BU675" s="385"/>
      <c r="BV675" s="385"/>
      <c r="BW675" s="385"/>
      <c r="BX675" s="385"/>
      <c r="BY675" s="385"/>
      <c r="BZ675" s="385"/>
      <c r="CA675" s="385"/>
    </row>
    <row r="676" spans="1:79" s="6" customFormat="1" ht="15" customHeight="1">
      <c r="A676" s="41" t="s">
        <v>183</v>
      </c>
      <c r="B676" s="402" t="s">
        <v>2499</v>
      </c>
      <c r="C676" s="113" t="s">
        <v>3193</v>
      </c>
      <c r="D676" s="393" t="s">
        <v>1490</v>
      </c>
      <c r="E676" s="394" t="s">
        <v>1859</v>
      </c>
      <c r="F676" s="402"/>
      <c r="G676" s="405" t="s">
        <v>3192</v>
      </c>
      <c r="H676" s="113"/>
      <c r="I676" s="49" t="s">
        <v>1</v>
      </c>
      <c r="J676" s="48" t="s">
        <v>2905</v>
      </c>
      <c r="K676" s="51">
        <v>40931</v>
      </c>
      <c r="L676" s="115">
        <v>40925</v>
      </c>
      <c r="M676" s="50">
        <v>6</v>
      </c>
      <c r="N676" s="50" t="s">
        <v>1</v>
      </c>
      <c r="O676" s="131">
        <f>2/2</f>
        <v>1</v>
      </c>
      <c r="P676" s="117">
        <v>5.35</v>
      </c>
      <c r="Q676" s="131">
        <v>5.4</v>
      </c>
      <c r="R676" s="50">
        <v>20</v>
      </c>
      <c r="S676" s="74">
        <v>76</v>
      </c>
      <c r="T676" s="50">
        <v>5.1999999999999998E-2</v>
      </c>
      <c r="U676" s="131">
        <v>0.76</v>
      </c>
      <c r="V676" s="50">
        <v>0.27</v>
      </c>
      <c r="W676" s="74">
        <v>1.7000000000000001E-2</v>
      </c>
      <c r="X676" s="50">
        <v>0.2</v>
      </c>
      <c r="Y676" s="74">
        <v>6.4000000000000003E-3</v>
      </c>
      <c r="Z676" s="313">
        <v>1</v>
      </c>
      <c r="AA676" s="313">
        <v>1</v>
      </c>
      <c r="AB676" s="114">
        <v>30</v>
      </c>
      <c r="AC676" s="50">
        <v>2090</v>
      </c>
      <c r="AD676" s="271">
        <v>1</v>
      </c>
      <c r="AE676" s="50"/>
      <c r="AF676" s="49"/>
      <c r="AG676" s="114"/>
      <c r="AH676" s="114"/>
      <c r="AI676" s="114"/>
      <c r="AJ676" s="114"/>
      <c r="AK676" s="114"/>
      <c r="AL676" s="114"/>
      <c r="AM676" s="114"/>
      <c r="AN676" s="114"/>
      <c r="AO676" s="114"/>
      <c r="AP676" s="114"/>
      <c r="AQ676" s="114"/>
      <c r="AR676" s="114"/>
      <c r="AS676" s="50"/>
      <c r="AT676" s="74"/>
      <c r="AU676" s="114"/>
      <c r="AV676" s="114"/>
      <c r="AW676" s="394"/>
      <c r="AX676" s="385"/>
      <c r="AY676" s="385"/>
      <c r="AZ676" s="385"/>
      <c r="BA676" s="385"/>
      <c r="BB676" s="385"/>
      <c r="BC676" s="385"/>
      <c r="BD676" s="385"/>
      <c r="BE676" s="385"/>
      <c r="BF676" s="385"/>
      <c r="BG676" s="385"/>
      <c r="BH676" s="385"/>
      <c r="BI676" s="385"/>
      <c r="BJ676" s="385"/>
      <c r="BK676" s="385"/>
      <c r="BL676" s="385"/>
      <c r="BM676" s="385"/>
      <c r="BN676" s="385"/>
      <c r="BO676" s="385"/>
      <c r="BP676" s="385"/>
      <c r="BQ676" s="385"/>
      <c r="BR676" s="385"/>
      <c r="BS676" s="385"/>
      <c r="BT676" s="385"/>
      <c r="BU676" s="385"/>
      <c r="BV676" s="385"/>
      <c r="BW676" s="385"/>
      <c r="BX676" s="385"/>
      <c r="BY676" s="385"/>
      <c r="BZ676" s="385"/>
      <c r="CA676" s="385"/>
    </row>
    <row r="677" spans="1:79" s="6" customFormat="1" ht="15" customHeight="1">
      <c r="A677" s="41" t="s">
        <v>183</v>
      </c>
      <c r="B677" s="402" t="s">
        <v>2505</v>
      </c>
      <c r="C677" s="113"/>
      <c r="D677" s="393" t="s">
        <v>480</v>
      </c>
      <c r="E677" s="394"/>
      <c r="F677" s="402"/>
      <c r="G677" s="405" t="s">
        <v>2506</v>
      </c>
      <c r="H677" s="74"/>
      <c r="I677" s="50" t="s">
        <v>2</v>
      </c>
      <c r="J677" s="339" t="s">
        <v>2507</v>
      </c>
      <c r="K677" s="51">
        <v>41118</v>
      </c>
      <c r="L677" s="115"/>
      <c r="M677" s="50"/>
      <c r="N677" s="50" t="s">
        <v>2</v>
      </c>
      <c r="O677" s="131">
        <f>1/2</f>
        <v>0.5</v>
      </c>
      <c r="P677" s="50"/>
      <c r="Q677" s="74">
        <v>4.1900000000000004</v>
      </c>
      <c r="R677" s="50">
        <v>53</v>
      </c>
      <c r="S677" s="74">
        <v>6</v>
      </c>
      <c r="T677" s="50">
        <v>0.11</v>
      </c>
      <c r="U677" s="131">
        <v>1.7</v>
      </c>
      <c r="V677" s="50">
        <f>0.1/2</f>
        <v>0.05</v>
      </c>
      <c r="W677" s="74">
        <v>1.2999999999999999E-2</v>
      </c>
      <c r="X677" s="50">
        <v>4.3999999999999997E-2</v>
      </c>
      <c r="Y677" s="74">
        <f>0.002/2</f>
        <v>1E-3</v>
      </c>
      <c r="Z677" s="271">
        <v>0.70699999999999996</v>
      </c>
      <c r="AA677" s="271">
        <v>0.66</v>
      </c>
      <c r="AB677" s="114">
        <v>2.94</v>
      </c>
      <c r="AC677" s="50">
        <v>49</v>
      </c>
      <c r="AD677" s="271">
        <v>0</v>
      </c>
      <c r="AE677" s="50"/>
      <c r="AF677" s="49"/>
      <c r="AG677" s="114"/>
      <c r="AH677" s="114"/>
      <c r="AI677" s="114"/>
      <c r="AJ677" s="114"/>
      <c r="AK677" s="114"/>
      <c r="AL677" s="114"/>
      <c r="AM677" s="114"/>
      <c r="AN677" s="114"/>
      <c r="AO677" s="114"/>
      <c r="AP677" s="114"/>
      <c r="AQ677" s="114"/>
      <c r="AR677" s="114"/>
      <c r="AS677" s="50"/>
      <c r="AT677" s="74"/>
      <c r="AU677" s="114"/>
      <c r="AV677" s="114"/>
      <c r="AW677" s="394"/>
      <c r="AX677" s="385"/>
      <c r="AY677" s="385"/>
      <c r="AZ677" s="385"/>
      <c r="BA677" s="385"/>
      <c r="BB677" s="385"/>
      <c r="BC677" s="385"/>
      <c r="BD677" s="385"/>
      <c r="BE677" s="385"/>
      <c r="BF677" s="385"/>
      <c r="BG677" s="385"/>
      <c r="BH677" s="385"/>
      <c r="BI677" s="385"/>
      <c r="BJ677" s="385"/>
      <c r="BK677" s="385"/>
      <c r="BL677" s="385"/>
      <c r="BM677" s="385"/>
      <c r="BN677" s="385"/>
      <c r="BO677" s="385"/>
      <c r="BP677" s="385"/>
      <c r="BQ677" s="385"/>
      <c r="BR677" s="385"/>
      <c r="BS677" s="385"/>
      <c r="BT677" s="385"/>
      <c r="BU677" s="385"/>
      <c r="BV677" s="385"/>
      <c r="BW677" s="385"/>
      <c r="BX677" s="385"/>
      <c r="BY677" s="385"/>
      <c r="BZ677" s="385"/>
      <c r="CA677" s="385"/>
    </row>
    <row r="678" spans="1:79" s="6" customFormat="1" ht="15" customHeight="1">
      <c r="A678" s="41" t="s">
        <v>183</v>
      </c>
      <c r="B678" s="402" t="s">
        <v>2508</v>
      </c>
      <c r="C678" s="113" t="s">
        <v>2509</v>
      </c>
      <c r="D678" s="393" t="s">
        <v>3286</v>
      </c>
      <c r="E678" s="394" t="s">
        <v>364</v>
      </c>
      <c r="F678" s="402"/>
      <c r="G678" s="405" t="s">
        <v>2510</v>
      </c>
      <c r="H678" s="74">
        <v>4911</v>
      </c>
      <c r="I678" s="50" t="s">
        <v>2</v>
      </c>
      <c r="J678" s="339" t="s">
        <v>473</v>
      </c>
      <c r="K678" s="51">
        <v>41030</v>
      </c>
      <c r="L678" s="115">
        <v>41022</v>
      </c>
      <c r="M678" s="50">
        <f>K678-L678</f>
        <v>8</v>
      </c>
      <c r="N678" s="50" t="s">
        <v>2</v>
      </c>
      <c r="O678" s="131">
        <f>1.8/2</f>
        <v>0.9</v>
      </c>
      <c r="P678" s="50">
        <v>4.8</v>
      </c>
      <c r="Q678" s="74">
        <v>6.9</v>
      </c>
      <c r="R678" s="50">
        <v>34</v>
      </c>
      <c r="S678" s="74">
        <v>29</v>
      </c>
      <c r="T678" s="50">
        <v>0.11600000000000001</v>
      </c>
      <c r="U678" s="131">
        <f>1/2</f>
        <v>0.5</v>
      </c>
      <c r="V678" s="50">
        <v>0.56999999999999995</v>
      </c>
      <c r="W678" s="74">
        <f>0.005/2</f>
        <v>2.5000000000000001E-3</v>
      </c>
      <c r="X678" s="50">
        <f>0.01/2</f>
        <v>5.0000000000000001E-3</v>
      </c>
      <c r="Y678" s="74">
        <f>0.005/2</f>
        <v>2.5000000000000001E-3</v>
      </c>
      <c r="Z678" s="271">
        <v>1</v>
      </c>
      <c r="AA678" s="271">
        <v>1</v>
      </c>
      <c r="AB678" s="114">
        <v>4</v>
      </c>
      <c r="AC678" s="50">
        <v>36</v>
      </c>
      <c r="AD678" s="271">
        <v>1</v>
      </c>
      <c r="AE678" s="50"/>
      <c r="AF678" s="49"/>
      <c r="AG678" s="114"/>
      <c r="AH678" s="114"/>
      <c r="AI678" s="114"/>
      <c r="AJ678" s="114"/>
      <c r="AK678" s="114"/>
      <c r="AL678" s="114"/>
      <c r="AM678" s="114"/>
      <c r="AN678" s="114"/>
      <c r="AO678" s="114"/>
      <c r="AP678" s="114"/>
      <c r="AQ678" s="114"/>
      <c r="AR678" s="114"/>
      <c r="AS678" s="50"/>
      <c r="AT678" s="74"/>
      <c r="AU678" s="114"/>
      <c r="AV678" s="114"/>
      <c r="AW678" s="394"/>
      <c r="AX678" s="385"/>
      <c r="AY678" s="385"/>
      <c r="AZ678" s="385"/>
      <c r="BA678" s="385"/>
      <c r="BB678" s="385"/>
      <c r="BC678" s="385"/>
      <c r="BD678" s="385"/>
      <c r="BE678" s="385"/>
      <c r="BF678" s="385"/>
      <c r="BG678" s="385"/>
      <c r="BH678" s="385"/>
      <c r="BI678" s="385"/>
      <c r="BJ678" s="385"/>
      <c r="BK678" s="385"/>
      <c r="BL678" s="385"/>
      <c r="BM678" s="385"/>
      <c r="BN678" s="385"/>
      <c r="BO678" s="385"/>
      <c r="BP678" s="385"/>
      <c r="BQ678" s="385"/>
      <c r="BR678" s="385"/>
      <c r="BS678" s="385"/>
      <c r="BT678" s="385"/>
      <c r="BU678" s="385"/>
      <c r="BV678" s="385"/>
      <c r="BW678" s="385"/>
      <c r="BX678" s="385"/>
      <c r="BY678" s="385"/>
      <c r="BZ678" s="385"/>
      <c r="CA678" s="385"/>
    </row>
    <row r="679" spans="1:79" s="6" customFormat="1" ht="15" customHeight="1">
      <c r="A679" s="41" t="s">
        <v>183</v>
      </c>
      <c r="B679" s="402" t="s">
        <v>2511</v>
      </c>
      <c r="C679" s="113"/>
      <c r="D679" s="393" t="s">
        <v>534</v>
      </c>
      <c r="E679" s="394" t="s">
        <v>304</v>
      </c>
      <c r="F679" s="402"/>
      <c r="G679" s="405" t="s">
        <v>2512</v>
      </c>
      <c r="H679" s="74"/>
      <c r="I679" s="50" t="s">
        <v>1</v>
      </c>
      <c r="J679" s="339" t="s">
        <v>2513</v>
      </c>
      <c r="K679" s="51">
        <v>41170</v>
      </c>
      <c r="L679" s="115">
        <v>41160</v>
      </c>
      <c r="M679" s="50">
        <f>K679-L679</f>
        <v>10</v>
      </c>
      <c r="N679" s="50" t="s">
        <v>2</v>
      </c>
      <c r="O679" s="131">
        <v>0.5</v>
      </c>
      <c r="P679" s="50">
        <v>4.87</v>
      </c>
      <c r="Q679" s="74">
        <v>7.3</v>
      </c>
      <c r="R679" s="50">
        <v>14</v>
      </c>
      <c r="S679" s="74">
        <v>6</v>
      </c>
      <c r="T679" s="50">
        <f>0.01/2</f>
        <v>5.0000000000000001E-3</v>
      </c>
      <c r="U679" s="131">
        <v>0.1</v>
      </c>
      <c r="V679" s="50">
        <v>0.15</v>
      </c>
      <c r="W679" s="74">
        <v>0.01</v>
      </c>
      <c r="X679" s="50">
        <v>0.12</v>
      </c>
      <c r="Y679" s="74">
        <v>1.6E-2</v>
      </c>
      <c r="Z679" s="271"/>
      <c r="AA679" s="271"/>
      <c r="AB679" s="114"/>
      <c r="AC679" s="50"/>
      <c r="AD679" s="271"/>
      <c r="AE679" s="50"/>
      <c r="AF679" s="49"/>
      <c r="AG679" s="114"/>
      <c r="AH679" s="114"/>
      <c r="AI679" s="114"/>
      <c r="AJ679" s="114"/>
      <c r="AK679" s="114"/>
      <c r="AL679" s="114"/>
      <c r="AM679" s="114"/>
      <c r="AN679" s="114"/>
      <c r="AO679" s="114"/>
      <c r="AP679" s="114"/>
      <c r="AQ679" s="114"/>
      <c r="AR679" s="114"/>
      <c r="AS679" s="50"/>
      <c r="AT679" s="74"/>
      <c r="AU679" s="114"/>
      <c r="AV679" s="114"/>
      <c r="AW679" s="394"/>
      <c r="AX679" s="385"/>
      <c r="AY679" s="385"/>
      <c r="AZ679" s="385"/>
      <c r="BA679" s="385"/>
      <c r="BB679" s="385"/>
      <c r="BC679" s="385"/>
      <c r="BD679" s="385"/>
      <c r="BE679" s="385"/>
      <c r="BF679" s="385"/>
      <c r="BG679" s="385"/>
      <c r="BH679" s="385"/>
      <c r="BI679" s="385"/>
      <c r="BJ679" s="385"/>
      <c r="BK679" s="385"/>
      <c r="BL679" s="385"/>
      <c r="BM679" s="385"/>
      <c r="BN679" s="385"/>
      <c r="BO679" s="385"/>
      <c r="BP679" s="385"/>
      <c r="BQ679" s="385"/>
      <c r="BR679" s="385"/>
      <c r="BS679" s="385"/>
      <c r="BT679" s="385"/>
      <c r="BU679" s="385"/>
      <c r="BV679" s="385"/>
      <c r="BW679" s="385"/>
      <c r="BX679" s="385"/>
      <c r="BY679" s="385"/>
      <c r="BZ679" s="385"/>
      <c r="CA679" s="385"/>
    </row>
    <row r="680" spans="1:79" s="6" customFormat="1" ht="15" customHeight="1">
      <c r="A680" s="41" t="s">
        <v>183</v>
      </c>
      <c r="B680" s="402" t="s">
        <v>2511</v>
      </c>
      <c r="C680" s="113"/>
      <c r="D680" s="393" t="s">
        <v>534</v>
      </c>
      <c r="E680" s="394" t="s">
        <v>304</v>
      </c>
      <c r="F680" s="402"/>
      <c r="G680" s="405" t="s">
        <v>2512</v>
      </c>
      <c r="H680" s="74"/>
      <c r="I680" s="50" t="s">
        <v>1</v>
      </c>
      <c r="J680" s="339" t="s">
        <v>2514</v>
      </c>
      <c r="K680" s="51">
        <v>41170</v>
      </c>
      <c r="L680" s="115">
        <v>41160</v>
      </c>
      <c r="M680" s="50">
        <f>K680-L680</f>
        <v>10</v>
      </c>
      <c r="N680" s="50" t="s">
        <v>2</v>
      </c>
      <c r="O680" s="131">
        <v>1.4</v>
      </c>
      <c r="P680" s="50">
        <v>4.87</v>
      </c>
      <c r="Q680" s="74">
        <v>7.3</v>
      </c>
      <c r="R680" s="50">
        <v>10</v>
      </c>
      <c r="S680" s="74">
        <v>10</v>
      </c>
      <c r="T680" s="50">
        <v>3.3000000000000002E-2</v>
      </c>
      <c r="U680" s="131">
        <f>0.05/2</f>
        <v>2.5000000000000001E-2</v>
      </c>
      <c r="V680" s="50">
        <v>0.21</v>
      </c>
      <c r="W680" s="74">
        <v>0.01</v>
      </c>
      <c r="X680" s="50">
        <v>0.11</v>
      </c>
      <c r="Y680" s="74">
        <v>1.7000000000000001E-2</v>
      </c>
      <c r="Z680" s="271"/>
      <c r="AA680" s="271"/>
      <c r="AB680" s="114"/>
      <c r="AC680" s="50"/>
      <c r="AD680" s="271"/>
      <c r="AE680" s="50"/>
      <c r="AF680" s="49"/>
      <c r="AG680" s="114"/>
      <c r="AH680" s="114"/>
      <c r="AI680" s="114"/>
      <c r="AJ680" s="114"/>
      <c r="AK680" s="114"/>
      <c r="AL680" s="114"/>
      <c r="AM680" s="114"/>
      <c r="AN680" s="114"/>
      <c r="AO680" s="114"/>
      <c r="AP680" s="114"/>
      <c r="AQ680" s="114"/>
      <c r="AR680" s="114"/>
      <c r="AS680" s="50"/>
      <c r="AT680" s="74"/>
      <c r="AU680" s="114"/>
      <c r="AV680" s="114"/>
      <c r="AW680" s="394"/>
      <c r="AX680" s="385"/>
      <c r="AY680" s="385"/>
      <c r="AZ680" s="385"/>
      <c r="BA680" s="385"/>
      <c r="BB680" s="385"/>
      <c r="BC680" s="385"/>
      <c r="BD680" s="385"/>
      <c r="BE680" s="385"/>
      <c r="BF680" s="385"/>
      <c r="BG680" s="385"/>
      <c r="BH680" s="385"/>
      <c r="BI680" s="385"/>
      <c r="BJ680" s="385"/>
      <c r="BK680" s="385"/>
      <c r="BL680" s="385"/>
      <c r="BM680" s="385"/>
      <c r="BN680" s="385"/>
      <c r="BO680" s="385"/>
      <c r="BP680" s="385"/>
      <c r="BQ680" s="385"/>
      <c r="BR680" s="385"/>
      <c r="BS680" s="385"/>
      <c r="BT680" s="385"/>
      <c r="BU680" s="385"/>
      <c r="BV680" s="385"/>
      <c r="BW680" s="385"/>
      <c r="BX680" s="385"/>
      <c r="BY680" s="385"/>
      <c r="BZ680" s="385"/>
      <c r="CA680" s="385"/>
    </row>
    <row r="681" spans="1:79" s="6" customFormat="1" ht="15" customHeight="1">
      <c r="A681" s="41" t="s">
        <v>183</v>
      </c>
      <c r="B681" s="402" t="s">
        <v>2511</v>
      </c>
      <c r="C681" s="113"/>
      <c r="D681" s="393" t="s">
        <v>534</v>
      </c>
      <c r="E681" s="394" t="s">
        <v>304</v>
      </c>
      <c r="F681" s="402"/>
      <c r="G681" s="405" t="s">
        <v>2512</v>
      </c>
      <c r="H681" s="74"/>
      <c r="I681" s="50" t="s">
        <v>1</v>
      </c>
      <c r="J681" s="339" t="s">
        <v>2515</v>
      </c>
      <c r="K681" s="51">
        <v>41170</v>
      </c>
      <c r="L681" s="115">
        <v>41160</v>
      </c>
      <c r="M681" s="50">
        <f>K681-L681</f>
        <v>10</v>
      </c>
      <c r="N681" s="50" t="s">
        <v>2</v>
      </c>
      <c r="O681" s="131">
        <f>0.5/2</f>
        <v>0.25</v>
      </c>
      <c r="P681" s="50">
        <v>4.87</v>
      </c>
      <c r="Q681" s="74">
        <v>7.7</v>
      </c>
      <c r="R681" s="50">
        <v>12</v>
      </c>
      <c r="S681" s="74">
        <v>5</v>
      </c>
      <c r="T681" s="50">
        <v>0.05</v>
      </c>
      <c r="U681" s="131">
        <f>0.05/2</f>
        <v>2.5000000000000001E-2</v>
      </c>
      <c r="V681" s="50">
        <v>0.32</v>
      </c>
      <c r="W681" s="74">
        <v>0.01</v>
      </c>
      <c r="X681" s="50">
        <v>0.08</v>
      </c>
      <c r="Y681" s="74">
        <v>6.0000000000000001E-3</v>
      </c>
      <c r="Z681" s="271"/>
      <c r="AA681" s="271"/>
      <c r="AB681" s="114"/>
      <c r="AC681" s="50"/>
      <c r="AD681" s="271"/>
      <c r="AE681" s="50"/>
      <c r="AF681" s="49"/>
      <c r="AG681" s="114"/>
      <c r="AH681" s="114"/>
      <c r="AI681" s="114"/>
      <c r="AJ681" s="114"/>
      <c r="AK681" s="114"/>
      <c r="AL681" s="114"/>
      <c r="AM681" s="114"/>
      <c r="AN681" s="114"/>
      <c r="AO681" s="114"/>
      <c r="AP681" s="114"/>
      <c r="AQ681" s="114"/>
      <c r="AR681" s="114"/>
      <c r="AS681" s="50"/>
      <c r="AT681" s="74"/>
      <c r="AU681" s="114"/>
      <c r="AV681" s="114"/>
      <c r="AW681" s="394"/>
      <c r="AX681" s="385"/>
      <c r="AY681" s="385"/>
      <c r="AZ681" s="385"/>
      <c r="BA681" s="385"/>
      <c r="BB681" s="385"/>
      <c r="BC681" s="385"/>
      <c r="BD681" s="385"/>
      <c r="BE681" s="385"/>
      <c r="BF681" s="385"/>
      <c r="BG681" s="385"/>
      <c r="BH681" s="385"/>
      <c r="BI681" s="385"/>
      <c r="BJ681" s="385"/>
      <c r="BK681" s="385"/>
      <c r="BL681" s="385"/>
      <c r="BM681" s="385"/>
      <c r="BN681" s="385"/>
      <c r="BO681" s="385"/>
      <c r="BP681" s="385"/>
      <c r="BQ681" s="385"/>
      <c r="BR681" s="385"/>
      <c r="BS681" s="385"/>
      <c r="BT681" s="385"/>
      <c r="BU681" s="385"/>
      <c r="BV681" s="385"/>
      <c r="BW681" s="385"/>
      <c r="BX681" s="385"/>
      <c r="BY681" s="385"/>
      <c r="BZ681" s="385"/>
      <c r="CA681" s="385"/>
    </row>
    <row r="682" spans="1:79" s="6" customFormat="1" ht="15" customHeight="1">
      <c r="A682" s="41" t="s">
        <v>183</v>
      </c>
      <c r="B682" s="402" t="s">
        <v>2516</v>
      </c>
      <c r="C682" s="113"/>
      <c r="D682" s="393" t="s">
        <v>89</v>
      </c>
      <c r="E682" s="394"/>
      <c r="F682" s="402"/>
      <c r="G682" s="405" t="s">
        <v>2517</v>
      </c>
      <c r="H682" s="74"/>
      <c r="I682" s="50"/>
      <c r="J682" s="339" t="s">
        <v>271</v>
      </c>
      <c r="K682" s="51">
        <v>41131</v>
      </c>
      <c r="L682" s="115"/>
      <c r="M682" s="50"/>
      <c r="N682" s="50"/>
      <c r="O682" s="131"/>
      <c r="P682" s="50"/>
      <c r="Q682" s="74"/>
      <c r="R682" s="50"/>
      <c r="S682" s="74"/>
      <c r="T682" s="50"/>
      <c r="U682" s="131"/>
      <c r="V682" s="50"/>
      <c r="W682" s="74"/>
      <c r="X682" s="50"/>
      <c r="Y682" s="74"/>
      <c r="Z682" s="271"/>
      <c r="AA682" s="271"/>
      <c r="AB682" s="114"/>
      <c r="AC682" s="50"/>
      <c r="AD682" s="271"/>
      <c r="AE682" s="77" t="s">
        <v>964</v>
      </c>
      <c r="AF682" s="272" t="s">
        <v>964</v>
      </c>
      <c r="AG682" s="114"/>
      <c r="AH682" s="114"/>
      <c r="AI682" s="114"/>
      <c r="AJ682" s="114"/>
      <c r="AK682" s="114"/>
      <c r="AL682" s="114"/>
      <c r="AM682" s="114"/>
      <c r="AN682" s="114"/>
      <c r="AO682" s="114"/>
      <c r="AP682" s="114"/>
      <c r="AQ682" s="114"/>
      <c r="AR682" s="114"/>
      <c r="AS682" s="50"/>
      <c r="AT682" s="74"/>
      <c r="AU682" s="114"/>
      <c r="AV682" s="114"/>
      <c r="AW682" s="394"/>
      <c r="AX682" s="385"/>
      <c r="AY682" s="385"/>
      <c r="AZ682" s="385"/>
      <c r="BA682" s="385"/>
      <c r="BB682" s="385"/>
      <c r="BC682" s="385"/>
      <c r="BD682" s="385"/>
      <c r="BE682" s="385"/>
      <c r="BF682" s="385"/>
      <c r="BG682" s="385"/>
      <c r="BH682" s="385"/>
      <c r="BI682" s="385"/>
      <c r="BJ682" s="385"/>
      <c r="BK682" s="385"/>
      <c r="BL682" s="385"/>
      <c r="BM682" s="385"/>
      <c r="BN682" s="385"/>
      <c r="BO682" s="385"/>
      <c r="BP682" s="385"/>
      <c r="BQ682" s="385"/>
      <c r="BR682" s="385"/>
      <c r="BS682" s="385"/>
      <c r="BT682" s="385"/>
      <c r="BU682" s="385"/>
      <c r="BV682" s="385"/>
      <c r="BW682" s="385"/>
      <c r="BX682" s="385"/>
      <c r="BY682" s="385"/>
      <c r="BZ682" s="385"/>
      <c r="CA682" s="385"/>
    </row>
    <row r="683" spans="1:79" s="6" customFormat="1" ht="15" customHeight="1">
      <c r="A683" s="41" t="s">
        <v>183</v>
      </c>
      <c r="B683" s="402" t="s">
        <v>2516</v>
      </c>
      <c r="C683" s="113"/>
      <c r="D683" s="393" t="s">
        <v>89</v>
      </c>
      <c r="E683" s="394"/>
      <c r="F683" s="402"/>
      <c r="G683" s="405" t="s">
        <v>2517</v>
      </c>
      <c r="H683" s="74"/>
      <c r="I683" s="50"/>
      <c r="J683" s="339" t="s">
        <v>272</v>
      </c>
      <c r="K683" s="51">
        <v>41131</v>
      </c>
      <c r="L683" s="115"/>
      <c r="M683" s="50"/>
      <c r="N683" s="50"/>
      <c r="O683" s="131"/>
      <c r="P683" s="50"/>
      <c r="Q683" s="74"/>
      <c r="R683" s="50"/>
      <c r="S683" s="74"/>
      <c r="T683" s="50"/>
      <c r="U683" s="131"/>
      <c r="V683" s="50"/>
      <c r="W683" s="74"/>
      <c r="X683" s="50"/>
      <c r="Y683" s="74"/>
      <c r="Z683" s="271"/>
      <c r="AA683" s="271"/>
      <c r="AB683" s="114"/>
      <c r="AC683" s="50"/>
      <c r="AD683" s="271"/>
      <c r="AE683" s="50">
        <v>11200</v>
      </c>
      <c r="AF683" s="113" t="s">
        <v>964</v>
      </c>
      <c r="AG683" s="114"/>
      <c r="AH683" s="114"/>
      <c r="AI683" s="114"/>
      <c r="AJ683" s="114"/>
      <c r="AK683" s="114"/>
      <c r="AL683" s="114"/>
      <c r="AM683" s="114"/>
      <c r="AN683" s="114"/>
      <c r="AO683" s="114"/>
      <c r="AP683" s="114"/>
      <c r="AQ683" s="114"/>
      <c r="AR683" s="114"/>
      <c r="AS683" s="50"/>
      <c r="AT683" s="74"/>
      <c r="AU683" s="114"/>
      <c r="AV683" s="114"/>
      <c r="AW683" s="394"/>
      <c r="AX683" s="385"/>
      <c r="AY683" s="385"/>
      <c r="AZ683" s="385"/>
      <c r="BA683" s="385"/>
      <c r="BB683" s="385"/>
      <c r="BC683" s="385"/>
      <c r="BD683" s="385"/>
      <c r="BE683" s="385"/>
      <c r="BF683" s="385"/>
      <c r="BG683" s="385"/>
      <c r="BH683" s="385"/>
      <c r="BI683" s="385"/>
      <c r="BJ683" s="385"/>
      <c r="BK683" s="385"/>
      <c r="BL683" s="385"/>
      <c r="BM683" s="385"/>
      <c r="BN683" s="385"/>
      <c r="BO683" s="385"/>
      <c r="BP683" s="385"/>
      <c r="BQ683" s="385"/>
      <c r="BR683" s="385"/>
      <c r="BS683" s="385"/>
      <c r="BT683" s="385"/>
      <c r="BU683" s="385"/>
      <c r="BV683" s="385"/>
      <c r="BW683" s="385"/>
      <c r="BX683" s="385"/>
      <c r="BY683" s="385"/>
      <c r="BZ683" s="385"/>
      <c r="CA683" s="385"/>
    </row>
    <row r="684" spans="1:79" s="6" customFormat="1" ht="15" customHeight="1">
      <c r="A684" s="41" t="s">
        <v>183</v>
      </c>
      <c r="B684" s="402" t="s">
        <v>2516</v>
      </c>
      <c r="C684" s="113"/>
      <c r="D684" s="393" t="s">
        <v>89</v>
      </c>
      <c r="E684" s="394"/>
      <c r="F684" s="402"/>
      <c r="G684" s="405" t="s">
        <v>2517</v>
      </c>
      <c r="H684" s="74"/>
      <c r="I684" s="50"/>
      <c r="J684" s="339" t="s">
        <v>270</v>
      </c>
      <c r="K684" s="51">
        <v>41131</v>
      </c>
      <c r="L684" s="115"/>
      <c r="M684" s="50"/>
      <c r="N684" s="50"/>
      <c r="O684" s="131"/>
      <c r="P684" s="50"/>
      <c r="Q684" s="74"/>
      <c r="R684" s="50"/>
      <c r="S684" s="74"/>
      <c r="T684" s="50"/>
      <c r="U684" s="131"/>
      <c r="V684" s="50"/>
      <c r="W684" s="74"/>
      <c r="X684" s="50"/>
      <c r="Y684" s="74"/>
      <c r="Z684" s="271"/>
      <c r="AA684" s="271"/>
      <c r="AB684" s="114"/>
      <c r="AC684" s="50"/>
      <c r="AD684" s="271"/>
      <c r="AE684" s="50">
        <v>20</v>
      </c>
      <c r="AF684" s="113">
        <v>24200</v>
      </c>
      <c r="AG684" s="114"/>
      <c r="AH684" s="114"/>
      <c r="AI684" s="114"/>
      <c r="AJ684" s="114"/>
      <c r="AK684" s="114"/>
      <c r="AL684" s="114"/>
      <c r="AM684" s="114"/>
      <c r="AN684" s="114"/>
      <c r="AO684" s="114"/>
      <c r="AP684" s="114"/>
      <c r="AQ684" s="114"/>
      <c r="AR684" s="114"/>
      <c r="AS684" s="50"/>
      <c r="AT684" s="74"/>
      <c r="AU684" s="114"/>
      <c r="AV684" s="114"/>
      <c r="AW684" s="394"/>
      <c r="AX684" s="385"/>
      <c r="AY684" s="385"/>
      <c r="AZ684" s="385"/>
      <c r="BA684" s="385"/>
      <c r="BB684" s="385"/>
      <c r="BC684" s="385"/>
      <c r="BD684" s="385"/>
      <c r="BE684" s="385"/>
      <c r="BF684" s="385"/>
      <c r="BG684" s="385"/>
      <c r="BH684" s="385"/>
      <c r="BI684" s="385"/>
      <c r="BJ684" s="385"/>
      <c r="BK684" s="385"/>
      <c r="BL684" s="385"/>
      <c r="BM684" s="385"/>
      <c r="BN684" s="385"/>
      <c r="BO684" s="385"/>
      <c r="BP684" s="385"/>
      <c r="BQ684" s="385"/>
      <c r="BR684" s="385"/>
      <c r="BS684" s="385"/>
      <c r="BT684" s="385"/>
      <c r="BU684" s="385"/>
      <c r="BV684" s="385"/>
      <c r="BW684" s="385"/>
      <c r="BX684" s="385"/>
      <c r="BY684" s="385"/>
      <c r="BZ684" s="385"/>
      <c r="CA684" s="385"/>
    </row>
    <row r="685" spans="1:79" s="6" customFormat="1" ht="15" customHeight="1">
      <c r="A685" s="41" t="s">
        <v>183</v>
      </c>
      <c r="B685" s="402" t="s">
        <v>2518</v>
      </c>
      <c r="C685" s="113"/>
      <c r="D685" s="393" t="s">
        <v>133</v>
      </c>
      <c r="E685" s="394" t="s">
        <v>2519</v>
      </c>
      <c r="F685" s="402"/>
      <c r="G685" s="405" t="s">
        <v>2520</v>
      </c>
      <c r="H685" s="74">
        <v>4173</v>
      </c>
      <c r="I685" s="50"/>
      <c r="J685" s="343" t="s">
        <v>1943</v>
      </c>
      <c r="K685" s="51">
        <v>41021</v>
      </c>
      <c r="L685" s="115">
        <v>41000</v>
      </c>
      <c r="M685" s="50">
        <f>K685-L685</f>
        <v>21</v>
      </c>
      <c r="N685" s="50"/>
      <c r="O685" s="131">
        <v>2.2000000000000002</v>
      </c>
      <c r="P685" s="50">
        <v>6.7</v>
      </c>
      <c r="Q685" s="74">
        <v>6.7</v>
      </c>
      <c r="R685" s="50">
        <f>5/2</f>
        <v>2.5</v>
      </c>
      <c r="S685" s="74">
        <v>7</v>
      </c>
      <c r="T685" s="50">
        <v>0.11</v>
      </c>
      <c r="U685" s="131">
        <v>0.65</v>
      </c>
      <c r="V685" s="50">
        <v>0.17</v>
      </c>
      <c r="W685" s="74">
        <v>0.01</v>
      </c>
      <c r="X685" s="50">
        <v>0.06</v>
      </c>
      <c r="Y685" s="74">
        <f>0.001/2</f>
        <v>5.0000000000000001E-4</v>
      </c>
      <c r="Z685" s="271">
        <v>1</v>
      </c>
      <c r="AA685" s="271">
        <v>1</v>
      </c>
      <c r="AB685" s="114">
        <v>1</v>
      </c>
      <c r="AC685" s="50">
        <v>30</v>
      </c>
      <c r="AD685" s="271">
        <v>1</v>
      </c>
      <c r="AE685" s="50"/>
      <c r="AF685" s="49"/>
      <c r="AG685" s="114"/>
      <c r="AH685" s="114"/>
      <c r="AI685" s="114"/>
      <c r="AJ685" s="114"/>
      <c r="AK685" s="114"/>
      <c r="AL685" s="114"/>
      <c r="AM685" s="114"/>
      <c r="AN685" s="114"/>
      <c r="AO685" s="114"/>
      <c r="AP685" s="114"/>
      <c r="AQ685" s="114"/>
      <c r="AR685" s="114"/>
      <c r="AS685" s="50"/>
      <c r="AT685" s="74"/>
      <c r="AU685" s="114"/>
      <c r="AV685" s="114"/>
      <c r="AW685" s="394"/>
      <c r="AX685" s="385"/>
      <c r="AY685" s="385"/>
      <c r="AZ685" s="385"/>
      <c r="BA685" s="385"/>
      <c r="BB685" s="385"/>
      <c r="BC685" s="385"/>
      <c r="BD685" s="385"/>
      <c r="BE685" s="385"/>
      <c r="BF685" s="385"/>
      <c r="BG685" s="385"/>
      <c r="BH685" s="385"/>
      <c r="BI685" s="385"/>
      <c r="BJ685" s="385"/>
      <c r="BK685" s="385"/>
      <c r="BL685" s="385"/>
      <c r="BM685" s="385"/>
      <c r="BN685" s="385"/>
      <c r="BO685" s="385"/>
      <c r="BP685" s="385"/>
      <c r="BQ685" s="385"/>
      <c r="BR685" s="385"/>
      <c r="BS685" s="385"/>
      <c r="BT685" s="385"/>
      <c r="BU685" s="385"/>
      <c r="BV685" s="385"/>
      <c r="BW685" s="385"/>
      <c r="BX685" s="385"/>
      <c r="BY685" s="385"/>
      <c r="BZ685" s="385"/>
      <c r="CA685" s="385"/>
    </row>
    <row r="686" spans="1:79" s="6" customFormat="1" ht="15" customHeight="1">
      <c r="A686" s="41" t="s">
        <v>183</v>
      </c>
      <c r="B686" s="402" t="s">
        <v>2518</v>
      </c>
      <c r="C686" s="113"/>
      <c r="D686" s="393" t="s">
        <v>133</v>
      </c>
      <c r="E686" s="394" t="s">
        <v>2519</v>
      </c>
      <c r="F686" s="402"/>
      <c r="G686" s="405" t="s">
        <v>2520</v>
      </c>
      <c r="H686" s="74">
        <v>4173</v>
      </c>
      <c r="I686" s="50"/>
      <c r="J686" s="343" t="s">
        <v>425</v>
      </c>
      <c r="K686" s="51">
        <v>41021</v>
      </c>
      <c r="L686" s="115">
        <v>41000</v>
      </c>
      <c r="M686" s="50">
        <f>K686-L686</f>
        <v>21</v>
      </c>
      <c r="N686" s="50"/>
      <c r="O686" s="131">
        <v>1.4</v>
      </c>
      <c r="P686" s="50">
        <v>6.7</v>
      </c>
      <c r="Q686" s="74">
        <v>7.2</v>
      </c>
      <c r="R686" s="50">
        <f>5/2</f>
        <v>2.5</v>
      </c>
      <c r="S686" s="74">
        <v>4</v>
      </c>
      <c r="T686" s="50">
        <v>0.01</v>
      </c>
      <c r="U686" s="131">
        <v>0.43</v>
      </c>
      <c r="V686" s="50">
        <v>0.16</v>
      </c>
      <c r="W686" s="74">
        <v>0.01</v>
      </c>
      <c r="X686" s="50">
        <v>7.0000000000000007E-2</v>
      </c>
      <c r="Y686" s="74">
        <f>0.001/2</f>
        <v>5.0000000000000001E-4</v>
      </c>
      <c r="Z686" s="271">
        <v>1</v>
      </c>
      <c r="AA686" s="271">
        <v>1</v>
      </c>
      <c r="AB686" s="114">
        <v>22</v>
      </c>
      <c r="AC686" s="50">
        <v>986</v>
      </c>
      <c r="AD686" s="271">
        <v>1</v>
      </c>
      <c r="AE686" s="50"/>
      <c r="AF686" s="49"/>
      <c r="AG686" s="114"/>
      <c r="AH686" s="114"/>
      <c r="AI686" s="114"/>
      <c r="AJ686" s="114"/>
      <c r="AK686" s="114"/>
      <c r="AL686" s="114"/>
      <c r="AM686" s="114"/>
      <c r="AN686" s="114"/>
      <c r="AO686" s="114"/>
      <c r="AP686" s="114"/>
      <c r="AQ686" s="114"/>
      <c r="AR686" s="114"/>
      <c r="AS686" s="50"/>
      <c r="AT686" s="74"/>
      <c r="AU686" s="114"/>
      <c r="AV686" s="114"/>
      <c r="AW686" s="394"/>
      <c r="AX686" s="385"/>
      <c r="AY686" s="385"/>
      <c r="AZ686" s="385"/>
      <c r="BA686" s="385"/>
      <c r="BB686" s="385"/>
      <c r="BC686" s="385"/>
      <c r="BD686" s="385"/>
      <c r="BE686" s="385"/>
      <c r="BF686" s="385"/>
      <c r="BG686" s="385"/>
      <c r="BH686" s="385"/>
      <c r="BI686" s="385"/>
      <c r="BJ686" s="385"/>
      <c r="BK686" s="385"/>
      <c r="BL686" s="385"/>
      <c r="BM686" s="385"/>
      <c r="BN686" s="385"/>
      <c r="BO686" s="385"/>
      <c r="BP686" s="385"/>
      <c r="BQ686" s="385"/>
      <c r="BR686" s="385"/>
      <c r="BS686" s="385"/>
      <c r="BT686" s="385"/>
      <c r="BU686" s="385"/>
      <c r="BV686" s="385"/>
      <c r="BW686" s="385"/>
      <c r="BX686" s="385"/>
      <c r="BY686" s="385"/>
      <c r="BZ686" s="385"/>
      <c r="CA686" s="385"/>
    </row>
    <row r="687" spans="1:79" s="6" customFormat="1" ht="15" customHeight="1">
      <c r="A687" s="41" t="s">
        <v>183</v>
      </c>
      <c r="B687" s="402" t="s">
        <v>2521</v>
      </c>
      <c r="C687" s="113"/>
      <c r="D687" s="393" t="s">
        <v>41</v>
      </c>
      <c r="E687" s="394"/>
      <c r="F687" s="402"/>
      <c r="G687" s="405" t="s">
        <v>153</v>
      </c>
      <c r="H687" s="74"/>
      <c r="I687" s="50"/>
      <c r="J687" s="339" t="s">
        <v>2522</v>
      </c>
      <c r="K687" s="51">
        <v>41030</v>
      </c>
      <c r="L687" s="115"/>
      <c r="M687" s="50"/>
      <c r="N687" s="50" t="s">
        <v>2</v>
      </c>
      <c r="O687" s="131">
        <f>1.5/2</f>
        <v>0.75</v>
      </c>
      <c r="P687" s="50"/>
      <c r="Q687" s="74">
        <v>5.54</v>
      </c>
      <c r="R687" s="50">
        <v>22</v>
      </c>
      <c r="S687" s="74">
        <f>5/2</f>
        <v>2.5</v>
      </c>
      <c r="T687" s="50">
        <v>0.08</v>
      </c>
      <c r="U687" s="131">
        <v>0.49</v>
      </c>
      <c r="V687" s="50">
        <v>0.23</v>
      </c>
      <c r="W687" s="74">
        <f>0.005/2</f>
        <v>2.5000000000000001E-3</v>
      </c>
      <c r="X687" s="50">
        <v>0.14199999999999999</v>
      </c>
      <c r="Y687" s="74">
        <f>0.002/2</f>
        <v>1E-3</v>
      </c>
      <c r="Z687" s="271"/>
      <c r="AA687" s="271"/>
      <c r="AB687" s="114"/>
      <c r="AC687" s="50"/>
      <c r="AD687" s="271"/>
      <c r="AE687" s="50"/>
      <c r="AF687" s="49"/>
      <c r="AG687" s="114"/>
      <c r="AH687" s="114"/>
      <c r="AI687" s="114"/>
      <c r="AJ687" s="114"/>
      <c r="AK687" s="114"/>
      <c r="AL687" s="114"/>
      <c r="AM687" s="114"/>
      <c r="AN687" s="114"/>
      <c r="AO687" s="114"/>
      <c r="AP687" s="114"/>
      <c r="AQ687" s="114"/>
      <c r="AR687" s="114"/>
      <c r="AS687" s="50"/>
      <c r="AT687" s="74"/>
      <c r="AU687" s="114"/>
      <c r="AV687" s="114"/>
      <c r="AW687" s="394"/>
      <c r="AX687" s="385"/>
      <c r="AY687" s="385"/>
      <c r="AZ687" s="385"/>
      <c r="BA687" s="385"/>
      <c r="BB687" s="385"/>
      <c r="BC687" s="385"/>
      <c r="BD687" s="385"/>
      <c r="BE687" s="385"/>
      <c r="BF687" s="385"/>
      <c r="BG687" s="385"/>
      <c r="BH687" s="385"/>
      <c r="BI687" s="385"/>
      <c r="BJ687" s="385"/>
      <c r="BK687" s="385"/>
      <c r="BL687" s="385"/>
      <c r="BM687" s="385"/>
      <c r="BN687" s="385"/>
      <c r="BO687" s="385"/>
      <c r="BP687" s="385"/>
      <c r="BQ687" s="385"/>
      <c r="BR687" s="385"/>
      <c r="BS687" s="385"/>
      <c r="BT687" s="385"/>
      <c r="BU687" s="385"/>
      <c r="BV687" s="385"/>
      <c r="BW687" s="385"/>
      <c r="BX687" s="385"/>
      <c r="BY687" s="385"/>
      <c r="BZ687" s="385"/>
      <c r="CA687" s="385"/>
    </row>
    <row r="688" spans="1:79" s="6" customFormat="1" ht="15" customHeight="1">
      <c r="A688" s="41" t="s">
        <v>183</v>
      </c>
      <c r="B688" s="402" t="s">
        <v>2523</v>
      </c>
      <c r="C688" s="113"/>
      <c r="D688" s="393" t="s">
        <v>205</v>
      </c>
      <c r="E688" s="394" t="s">
        <v>2524</v>
      </c>
      <c r="F688" s="402"/>
      <c r="G688" s="405" t="s">
        <v>318</v>
      </c>
      <c r="H688" s="74">
        <v>3519</v>
      </c>
      <c r="I688" s="50"/>
      <c r="J688" s="339" t="s">
        <v>2525</v>
      </c>
      <c r="K688" s="51">
        <v>41037</v>
      </c>
      <c r="L688" s="115">
        <v>41034</v>
      </c>
      <c r="M688" s="50">
        <f t="shared" ref="M688:M698" si="30">K688-L688</f>
        <v>3</v>
      </c>
      <c r="N688" s="50" t="s">
        <v>2</v>
      </c>
      <c r="O688" s="131">
        <f>1.4/2</f>
        <v>0.7</v>
      </c>
      <c r="P688" s="50">
        <v>6.5</v>
      </c>
      <c r="Q688" s="74">
        <v>7.44</v>
      </c>
      <c r="R688" s="50">
        <v>25</v>
      </c>
      <c r="S688" s="74">
        <v>9.5</v>
      </c>
      <c r="T688" s="50">
        <v>0.08</v>
      </c>
      <c r="U688" s="131">
        <v>1.5</v>
      </c>
      <c r="V688" s="50">
        <v>1.46</v>
      </c>
      <c r="W688" s="74">
        <v>2.7E-2</v>
      </c>
      <c r="X688" s="50">
        <v>0.192</v>
      </c>
      <c r="Y688" s="74">
        <v>1.4E-2</v>
      </c>
      <c r="Z688" s="271"/>
      <c r="AA688" s="271"/>
      <c r="AB688" s="114"/>
      <c r="AC688" s="50"/>
      <c r="AD688" s="271"/>
      <c r="AE688" s="50"/>
      <c r="AF688" s="49"/>
      <c r="AG688" s="114"/>
      <c r="AH688" s="114"/>
      <c r="AI688" s="114"/>
      <c r="AJ688" s="114"/>
      <c r="AK688" s="114"/>
      <c r="AL688" s="114"/>
      <c r="AM688" s="114"/>
      <c r="AN688" s="114"/>
      <c r="AO688" s="114"/>
      <c r="AP688" s="114"/>
      <c r="AQ688" s="114"/>
      <c r="AR688" s="114"/>
      <c r="AS688" s="50"/>
      <c r="AT688" s="74"/>
      <c r="AU688" s="114"/>
      <c r="AV688" s="114"/>
      <c r="AW688" s="394"/>
      <c r="AX688" s="385"/>
      <c r="AY688" s="385"/>
      <c r="AZ688" s="385"/>
      <c r="BA688" s="385"/>
      <c r="BB688" s="385"/>
      <c r="BC688" s="385"/>
      <c r="BD688" s="385"/>
      <c r="BE688" s="385"/>
      <c r="BF688" s="385"/>
      <c r="BG688" s="385"/>
      <c r="BH688" s="385"/>
      <c r="BI688" s="385"/>
      <c r="BJ688" s="385"/>
      <c r="BK688" s="385"/>
      <c r="BL688" s="385"/>
      <c r="BM688" s="385"/>
      <c r="BN688" s="385"/>
      <c r="BO688" s="385"/>
      <c r="BP688" s="385"/>
      <c r="BQ688" s="385"/>
      <c r="BR688" s="385"/>
      <c r="BS688" s="385"/>
      <c r="BT688" s="385"/>
      <c r="BU688" s="385"/>
      <c r="BV688" s="385"/>
      <c r="BW688" s="385"/>
      <c r="BX688" s="385"/>
      <c r="BY688" s="385"/>
      <c r="BZ688" s="385"/>
      <c r="CA688" s="385"/>
    </row>
    <row r="689" spans="1:79" s="6" customFormat="1" ht="15" customHeight="1">
      <c r="A689" s="41" t="s">
        <v>183</v>
      </c>
      <c r="B689" s="402" t="s">
        <v>2523</v>
      </c>
      <c r="C689" s="113"/>
      <c r="D689" s="393" t="s">
        <v>205</v>
      </c>
      <c r="E689" s="394" t="s">
        <v>2524</v>
      </c>
      <c r="F689" s="402"/>
      <c r="G689" s="405" t="s">
        <v>318</v>
      </c>
      <c r="H689" s="74">
        <v>3519</v>
      </c>
      <c r="I689" s="50"/>
      <c r="J689" s="339" t="s">
        <v>2526</v>
      </c>
      <c r="K689" s="51">
        <v>41037</v>
      </c>
      <c r="L689" s="115">
        <v>41034</v>
      </c>
      <c r="M689" s="50">
        <f t="shared" si="30"/>
        <v>3</v>
      </c>
      <c r="N689" s="50" t="s">
        <v>2</v>
      </c>
      <c r="O689" s="131">
        <f>1.4/2</f>
        <v>0.7</v>
      </c>
      <c r="P689" s="50">
        <v>6.5</v>
      </c>
      <c r="Q689" s="74">
        <v>6.98</v>
      </c>
      <c r="R689" s="50">
        <v>34</v>
      </c>
      <c r="S689" s="74">
        <v>34</v>
      </c>
      <c r="T689" s="50">
        <v>0.16</v>
      </c>
      <c r="U689" s="131">
        <v>1.34</v>
      </c>
      <c r="V689" s="50">
        <v>0.55000000000000004</v>
      </c>
      <c r="W689" s="74">
        <v>1.6E-2</v>
      </c>
      <c r="X689" s="50">
        <v>6.2E-2</v>
      </c>
      <c r="Y689" s="74">
        <v>7.0000000000000001E-3</v>
      </c>
      <c r="Z689" s="271"/>
      <c r="AA689" s="271"/>
      <c r="AB689" s="114"/>
      <c r="AC689" s="50"/>
      <c r="AD689" s="271"/>
      <c r="AE689" s="50"/>
      <c r="AF689" s="49"/>
      <c r="AG689" s="114"/>
      <c r="AH689" s="114"/>
      <c r="AI689" s="114"/>
      <c r="AJ689" s="114"/>
      <c r="AK689" s="114"/>
      <c r="AL689" s="114"/>
      <c r="AM689" s="114"/>
      <c r="AN689" s="114"/>
      <c r="AO689" s="114"/>
      <c r="AP689" s="114"/>
      <c r="AQ689" s="114"/>
      <c r="AR689" s="114"/>
      <c r="AS689" s="50"/>
      <c r="AT689" s="74"/>
      <c r="AU689" s="114"/>
      <c r="AV689" s="114"/>
      <c r="AW689" s="394"/>
      <c r="AX689" s="385"/>
      <c r="AY689" s="385"/>
      <c r="AZ689" s="385"/>
      <c r="BA689" s="385"/>
      <c r="BB689" s="385"/>
      <c r="BC689" s="385"/>
      <c r="BD689" s="385"/>
      <c r="BE689" s="385"/>
      <c r="BF689" s="385"/>
      <c r="BG689" s="385"/>
      <c r="BH689" s="385"/>
      <c r="BI689" s="385"/>
      <c r="BJ689" s="385"/>
      <c r="BK689" s="385"/>
      <c r="BL689" s="385"/>
      <c r="BM689" s="385"/>
      <c r="BN689" s="385"/>
      <c r="BO689" s="385"/>
      <c r="BP689" s="385"/>
      <c r="BQ689" s="385"/>
      <c r="BR689" s="385"/>
      <c r="BS689" s="385"/>
      <c r="BT689" s="385"/>
      <c r="BU689" s="385"/>
      <c r="BV689" s="385"/>
      <c r="BW689" s="385"/>
      <c r="BX689" s="385"/>
      <c r="BY689" s="385"/>
      <c r="BZ689" s="385"/>
      <c r="CA689" s="385"/>
    </row>
    <row r="690" spans="1:79" s="6" customFormat="1" ht="15" customHeight="1">
      <c r="A690" s="41" t="s">
        <v>183</v>
      </c>
      <c r="B690" s="402" t="s">
        <v>2523</v>
      </c>
      <c r="C690" s="113"/>
      <c r="D690" s="393" t="s">
        <v>205</v>
      </c>
      <c r="E690" s="394" t="s">
        <v>2524</v>
      </c>
      <c r="F690" s="402"/>
      <c r="G690" s="405" t="s">
        <v>318</v>
      </c>
      <c r="H690" s="74">
        <v>3519</v>
      </c>
      <c r="I690" s="50"/>
      <c r="J690" s="343" t="s">
        <v>425</v>
      </c>
      <c r="K690" s="51">
        <v>41037</v>
      </c>
      <c r="L690" s="115">
        <v>41034</v>
      </c>
      <c r="M690" s="50">
        <f t="shared" si="30"/>
        <v>3</v>
      </c>
      <c r="N690" s="50" t="s">
        <v>2</v>
      </c>
      <c r="O690" s="131">
        <f>1.4/2</f>
        <v>0.7</v>
      </c>
      <c r="P690" s="50">
        <v>6.5</v>
      </c>
      <c r="Q690" s="74">
        <v>8.31</v>
      </c>
      <c r="R690" s="50">
        <f>10/2</f>
        <v>5</v>
      </c>
      <c r="S690" s="74">
        <f>5/2</f>
        <v>2.5</v>
      </c>
      <c r="T690" s="50">
        <f>0.01/2</f>
        <v>5.0000000000000001E-3</v>
      </c>
      <c r="U690" s="131">
        <v>0.18</v>
      </c>
      <c r="V690" s="50">
        <v>0.18</v>
      </c>
      <c r="W690" s="74">
        <f>0.005/2</f>
        <v>2.5000000000000001E-3</v>
      </c>
      <c r="X690" s="50">
        <v>9.2999999999999999E-2</v>
      </c>
      <c r="Y690" s="74">
        <v>5.0000000000000001E-3</v>
      </c>
      <c r="Z690" s="271"/>
      <c r="AA690" s="271"/>
      <c r="AB690" s="114"/>
      <c r="AC690" s="50"/>
      <c r="AD690" s="271"/>
      <c r="AE690" s="50"/>
      <c r="AF690" s="49"/>
      <c r="AG690" s="114"/>
      <c r="AH690" s="114"/>
      <c r="AI690" s="114"/>
      <c r="AJ690" s="114"/>
      <c r="AK690" s="114"/>
      <c r="AL690" s="114"/>
      <c r="AM690" s="114"/>
      <c r="AN690" s="114"/>
      <c r="AO690" s="114"/>
      <c r="AP690" s="114"/>
      <c r="AQ690" s="114"/>
      <c r="AR690" s="114"/>
      <c r="AS690" s="50"/>
      <c r="AT690" s="74"/>
      <c r="AU690" s="114"/>
      <c r="AV690" s="114"/>
      <c r="AW690" s="394"/>
      <c r="AX690" s="385"/>
      <c r="AY690" s="385"/>
      <c r="AZ690" s="385"/>
      <c r="BA690" s="385"/>
      <c r="BB690" s="385"/>
      <c r="BC690" s="385"/>
      <c r="BD690" s="385"/>
      <c r="BE690" s="385"/>
      <c r="BF690" s="385"/>
      <c r="BG690" s="385"/>
      <c r="BH690" s="385"/>
      <c r="BI690" s="385"/>
      <c r="BJ690" s="385"/>
      <c r="BK690" s="385"/>
      <c r="BL690" s="385"/>
      <c r="BM690" s="385"/>
      <c r="BN690" s="385"/>
      <c r="BO690" s="385"/>
      <c r="BP690" s="385"/>
      <c r="BQ690" s="385"/>
      <c r="BR690" s="385"/>
      <c r="BS690" s="385"/>
      <c r="BT690" s="385"/>
      <c r="BU690" s="385"/>
      <c r="BV690" s="385"/>
      <c r="BW690" s="385"/>
      <c r="BX690" s="385"/>
      <c r="BY690" s="385"/>
      <c r="BZ690" s="385"/>
      <c r="CA690" s="385"/>
    </row>
    <row r="691" spans="1:79" s="6" customFormat="1" ht="15" customHeight="1">
      <c r="A691" s="41" t="s">
        <v>183</v>
      </c>
      <c r="B691" s="402" t="s">
        <v>2527</v>
      </c>
      <c r="C691" s="113"/>
      <c r="D691" s="393" t="s">
        <v>640</v>
      </c>
      <c r="E691" s="394" t="s">
        <v>2528</v>
      </c>
      <c r="F691" s="402"/>
      <c r="G691" s="405" t="s">
        <v>2529</v>
      </c>
      <c r="H691" s="74">
        <v>4213</v>
      </c>
      <c r="I691" s="50"/>
      <c r="J691" s="339"/>
      <c r="K691" s="51">
        <v>40815</v>
      </c>
      <c r="L691" s="115">
        <v>40804</v>
      </c>
      <c r="M691" s="50">
        <f t="shared" si="30"/>
        <v>11</v>
      </c>
      <c r="N691" s="50" t="s">
        <v>2</v>
      </c>
      <c r="O691" s="131">
        <f>1.4/2</f>
        <v>0.7</v>
      </c>
      <c r="P691" s="50">
        <v>6.9</v>
      </c>
      <c r="Q691" s="74">
        <v>7.21</v>
      </c>
      <c r="R691" s="50">
        <v>84</v>
      </c>
      <c r="S691" s="74">
        <v>86</v>
      </c>
      <c r="T691" s="50">
        <v>0.16</v>
      </c>
      <c r="U691" s="131">
        <v>1.1000000000000001</v>
      </c>
      <c r="V691" s="50">
        <v>0.75</v>
      </c>
      <c r="W691" s="74">
        <v>4.7E-2</v>
      </c>
      <c r="X691" s="50">
        <v>6.4000000000000001E-2</v>
      </c>
      <c r="Y691" s="74">
        <v>7.0000000000000001E-3</v>
      </c>
      <c r="Z691" s="271">
        <v>1</v>
      </c>
      <c r="AA691" s="271">
        <v>1</v>
      </c>
      <c r="AB691" s="114">
        <v>34</v>
      </c>
      <c r="AC691" s="50">
        <v>207</v>
      </c>
      <c r="AD691" s="271">
        <v>1</v>
      </c>
      <c r="AE691" s="50"/>
      <c r="AF691" s="49"/>
      <c r="AG691" s="114"/>
      <c r="AH691" s="114"/>
      <c r="AI691" s="114"/>
      <c r="AJ691" s="114"/>
      <c r="AK691" s="114"/>
      <c r="AL691" s="114"/>
      <c r="AM691" s="114"/>
      <c r="AN691" s="114"/>
      <c r="AO691" s="114"/>
      <c r="AP691" s="114"/>
      <c r="AQ691" s="114"/>
      <c r="AR691" s="114"/>
      <c r="AS691" s="50"/>
      <c r="AT691" s="74"/>
      <c r="AU691" s="114"/>
      <c r="AV691" s="114"/>
      <c r="AW691" s="394"/>
      <c r="AX691" s="385"/>
      <c r="AY691" s="385"/>
      <c r="AZ691" s="385"/>
      <c r="BA691" s="385"/>
      <c r="BB691" s="385"/>
      <c r="BC691" s="385"/>
      <c r="BD691" s="385"/>
      <c r="BE691" s="385"/>
      <c r="BF691" s="385"/>
      <c r="BG691" s="385"/>
      <c r="BH691" s="385"/>
      <c r="BI691" s="385"/>
      <c r="BJ691" s="385"/>
      <c r="BK691" s="385"/>
      <c r="BL691" s="385"/>
      <c r="BM691" s="385"/>
      <c r="BN691" s="385"/>
      <c r="BO691" s="385"/>
      <c r="BP691" s="385"/>
      <c r="BQ691" s="385"/>
      <c r="BR691" s="385"/>
      <c r="BS691" s="385"/>
      <c r="BT691" s="385"/>
      <c r="BU691" s="385"/>
      <c r="BV691" s="385"/>
      <c r="BW691" s="385"/>
      <c r="BX691" s="385"/>
      <c r="BY691" s="385"/>
      <c r="BZ691" s="385"/>
      <c r="CA691" s="385"/>
    </row>
    <row r="692" spans="1:79" s="6" customFormat="1" ht="15" customHeight="1">
      <c r="A692" s="41" t="s">
        <v>183</v>
      </c>
      <c r="B692" s="402" t="s">
        <v>2527</v>
      </c>
      <c r="C692" s="113"/>
      <c r="D692" s="393" t="s">
        <v>640</v>
      </c>
      <c r="E692" s="394" t="s">
        <v>44</v>
      </c>
      <c r="F692" s="402"/>
      <c r="G692" s="405" t="s">
        <v>2530</v>
      </c>
      <c r="H692" s="74">
        <v>4213</v>
      </c>
      <c r="I692" s="50"/>
      <c r="J692" s="339"/>
      <c r="K692" s="51">
        <v>40770</v>
      </c>
      <c r="L692" s="115">
        <v>40765</v>
      </c>
      <c r="M692" s="50">
        <f t="shared" si="30"/>
        <v>5</v>
      </c>
      <c r="N692" s="50" t="s">
        <v>2</v>
      </c>
      <c r="O692" s="131">
        <v>2.5</v>
      </c>
      <c r="P692" s="50">
        <v>7</v>
      </c>
      <c r="Q692" s="74">
        <v>7.09</v>
      </c>
      <c r="R692" s="50">
        <v>58</v>
      </c>
      <c r="S692" s="74">
        <v>59</v>
      </c>
      <c r="T692" s="50">
        <f>0.02/2</f>
        <v>0.01</v>
      </c>
      <c r="U692" s="131">
        <v>1.2</v>
      </c>
      <c r="V692" s="50">
        <v>0.21</v>
      </c>
      <c r="W692" s="74">
        <v>2.1000000000000001E-2</v>
      </c>
      <c r="X692" s="50">
        <v>0.215</v>
      </c>
      <c r="Y692" s="74">
        <v>5.0000000000000001E-3</v>
      </c>
      <c r="Z692" s="271">
        <v>1</v>
      </c>
      <c r="AA692" s="271">
        <v>1</v>
      </c>
      <c r="AB692" s="114">
        <v>18</v>
      </c>
      <c r="AC692" s="50">
        <v>55</v>
      </c>
      <c r="AD692" s="271">
        <v>0.95</v>
      </c>
      <c r="AE692" s="50"/>
      <c r="AF692" s="49"/>
      <c r="AG692" s="114"/>
      <c r="AH692" s="114"/>
      <c r="AI692" s="114"/>
      <c r="AJ692" s="114"/>
      <c r="AK692" s="114"/>
      <c r="AL692" s="114"/>
      <c r="AM692" s="114"/>
      <c r="AN692" s="114"/>
      <c r="AO692" s="114"/>
      <c r="AP692" s="114"/>
      <c r="AQ692" s="114"/>
      <c r="AR692" s="114"/>
      <c r="AS692" s="50"/>
      <c r="AT692" s="74"/>
      <c r="AU692" s="114"/>
      <c r="AV692" s="114"/>
      <c r="AW692" s="394"/>
      <c r="AX692" s="385"/>
      <c r="AY692" s="385"/>
      <c r="AZ692" s="385"/>
      <c r="BA692" s="385"/>
      <c r="BB692" s="385"/>
      <c r="BC692" s="385"/>
      <c r="BD692" s="385"/>
      <c r="BE692" s="385"/>
      <c r="BF692" s="385"/>
      <c r="BG692" s="385"/>
      <c r="BH692" s="385"/>
      <c r="BI692" s="385"/>
      <c r="BJ692" s="385"/>
      <c r="BK692" s="385"/>
      <c r="BL692" s="385"/>
      <c r="BM692" s="385"/>
      <c r="BN692" s="385"/>
      <c r="BO692" s="385"/>
      <c r="BP692" s="385"/>
      <c r="BQ692" s="385"/>
      <c r="BR692" s="385"/>
      <c r="BS692" s="385"/>
      <c r="BT692" s="385"/>
      <c r="BU692" s="385"/>
      <c r="BV692" s="385"/>
      <c r="BW692" s="385"/>
      <c r="BX692" s="385"/>
      <c r="BY692" s="385"/>
      <c r="BZ692" s="385"/>
      <c r="CA692" s="385"/>
    </row>
    <row r="693" spans="1:79" s="6" customFormat="1" ht="15" customHeight="1">
      <c r="A693" s="41" t="s">
        <v>183</v>
      </c>
      <c r="B693" s="402" t="s">
        <v>2531</v>
      </c>
      <c r="C693" s="113"/>
      <c r="D693" s="393" t="s">
        <v>257</v>
      </c>
      <c r="E693" s="394" t="s">
        <v>512</v>
      </c>
      <c r="F693" s="402" t="s">
        <v>2532</v>
      </c>
      <c r="G693" s="405" t="s">
        <v>2533</v>
      </c>
      <c r="H693" s="74">
        <v>3365</v>
      </c>
      <c r="I693" s="50"/>
      <c r="J693" s="339" t="s">
        <v>2534</v>
      </c>
      <c r="K693" s="51">
        <v>40835</v>
      </c>
      <c r="L693" s="115">
        <v>40830</v>
      </c>
      <c r="M693" s="50">
        <f t="shared" si="30"/>
        <v>5</v>
      </c>
      <c r="N693" s="50" t="s">
        <v>2</v>
      </c>
      <c r="O693" s="131">
        <f>1.5/2</f>
        <v>0.75</v>
      </c>
      <c r="P693" s="50">
        <v>4.8</v>
      </c>
      <c r="Q693" s="74">
        <v>5.6</v>
      </c>
      <c r="R693" s="50">
        <f>20/2</f>
        <v>10</v>
      </c>
      <c r="S693" s="74">
        <v>3.5</v>
      </c>
      <c r="T693" s="50">
        <v>2.7E-2</v>
      </c>
      <c r="U693" s="131">
        <f>1/2</f>
        <v>0.5</v>
      </c>
      <c r="V693" s="50">
        <f>0.46/2</f>
        <v>0.23</v>
      </c>
      <c r="W693" s="74">
        <v>2.5000000000000001E-2</v>
      </c>
      <c r="X693" s="50">
        <v>4.2000000000000003E-2</v>
      </c>
      <c r="Y693" s="74">
        <f>0.005/2</f>
        <v>2.5000000000000001E-3</v>
      </c>
      <c r="Z693" s="271"/>
      <c r="AA693" s="271"/>
      <c r="AB693" s="114"/>
      <c r="AC693" s="50"/>
      <c r="AD693" s="271"/>
      <c r="AE693" s="50"/>
      <c r="AF693" s="49"/>
      <c r="AG693" s="114"/>
      <c r="AH693" s="114"/>
      <c r="AI693" s="114"/>
      <c r="AJ693" s="114"/>
      <c r="AK693" s="114"/>
      <c r="AL693" s="114"/>
      <c r="AM693" s="114"/>
      <c r="AN693" s="114"/>
      <c r="AO693" s="114"/>
      <c r="AP693" s="114"/>
      <c r="AQ693" s="114"/>
      <c r="AR693" s="114"/>
      <c r="AS693" s="50"/>
      <c r="AT693" s="74"/>
      <c r="AU693" s="114"/>
      <c r="AV693" s="114"/>
      <c r="AW693" s="394"/>
      <c r="AX693" s="385"/>
      <c r="AY693" s="385"/>
      <c r="AZ693" s="385"/>
      <c r="BA693" s="385"/>
      <c r="BB693" s="385"/>
      <c r="BC693" s="385"/>
      <c r="BD693" s="385"/>
      <c r="BE693" s="385"/>
      <c r="BF693" s="385"/>
      <c r="BG693" s="385"/>
      <c r="BH693" s="385"/>
      <c r="BI693" s="385"/>
      <c r="BJ693" s="385"/>
      <c r="BK693" s="385"/>
      <c r="BL693" s="385"/>
      <c r="BM693" s="385"/>
      <c r="BN693" s="385"/>
      <c r="BO693" s="385"/>
      <c r="BP693" s="385"/>
      <c r="BQ693" s="385"/>
      <c r="BR693" s="385"/>
      <c r="BS693" s="385"/>
      <c r="BT693" s="385"/>
      <c r="BU693" s="385"/>
      <c r="BV693" s="385"/>
      <c r="BW693" s="385"/>
      <c r="BX693" s="385"/>
      <c r="BY693" s="385"/>
      <c r="BZ693" s="385"/>
      <c r="CA693" s="385"/>
    </row>
    <row r="694" spans="1:79" s="6" customFormat="1" ht="15" customHeight="1">
      <c r="A694" s="41" t="s">
        <v>183</v>
      </c>
      <c r="B694" s="402" t="s">
        <v>2535</v>
      </c>
      <c r="C694" s="113" t="s">
        <v>1338</v>
      </c>
      <c r="D694" s="393" t="s">
        <v>213</v>
      </c>
      <c r="E694" s="394" t="s">
        <v>2536</v>
      </c>
      <c r="F694" s="402" t="s">
        <v>2537</v>
      </c>
      <c r="G694" s="405" t="s">
        <v>1340</v>
      </c>
      <c r="H694" s="74">
        <v>3724</v>
      </c>
      <c r="I694" s="50" t="s">
        <v>2</v>
      </c>
      <c r="J694" s="339" t="s">
        <v>2538</v>
      </c>
      <c r="K694" s="51">
        <v>41021</v>
      </c>
      <c r="L694" s="115">
        <v>40999</v>
      </c>
      <c r="M694" s="50">
        <f t="shared" si="30"/>
        <v>22</v>
      </c>
      <c r="N694" s="50"/>
      <c r="O694" s="131">
        <f>1.8/2</f>
        <v>0.9</v>
      </c>
      <c r="P694" s="50">
        <v>6.2</v>
      </c>
      <c r="Q694" s="74">
        <v>5.8</v>
      </c>
      <c r="R694" s="50">
        <v>37</v>
      </c>
      <c r="S694" s="74">
        <v>71</v>
      </c>
      <c r="T694" s="50">
        <v>0.378</v>
      </c>
      <c r="U694" s="131">
        <v>1.6</v>
      </c>
      <c r="V694" s="50">
        <f>0.46/2</f>
        <v>0.23</v>
      </c>
      <c r="W694" s="74">
        <v>2.5999999999999999E-2</v>
      </c>
      <c r="X694" s="50">
        <v>9.0999999999999998E-2</v>
      </c>
      <c r="Y694" s="74">
        <v>1.49E-2</v>
      </c>
      <c r="Z694" s="271">
        <v>1</v>
      </c>
      <c r="AA694" s="271">
        <v>1</v>
      </c>
      <c r="AB694" s="114"/>
      <c r="AC694" s="50"/>
      <c r="AD694" s="271"/>
      <c r="AE694" s="50"/>
      <c r="AF694" s="49"/>
      <c r="AG694" s="114"/>
      <c r="AH694" s="114"/>
      <c r="AI694" s="114"/>
      <c r="AJ694" s="114"/>
      <c r="AK694" s="114"/>
      <c r="AL694" s="114"/>
      <c r="AM694" s="114"/>
      <c r="AN694" s="114"/>
      <c r="AO694" s="114"/>
      <c r="AP694" s="114"/>
      <c r="AQ694" s="114"/>
      <c r="AR694" s="114"/>
      <c r="AS694" s="50"/>
      <c r="AT694" s="74"/>
      <c r="AU694" s="114"/>
      <c r="AV694" s="114"/>
      <c r="AW694" s="394"/>
      <c r="AX694" s="385"/>
      <c r="AY694" s="385"/>
      <c r="AZ694" s="385"/>
      <c r="BA694" s="385"/>
      <c r="BB694" s="385"/>
      <c r="BC694" s="385"/>
      <c r="BD694" s="385"/>
      <c r="BE694" s="385"/>
      <c r="BF694" s="385"/>
      <c r="BG694" s="385"/>
      <c r="BH694" s="385"/>
      <c r="BI694" s="385"/>
      <c r="BJ694" s="385"/>
      <c r="BK694" s="385"/>
      <c r="BL694" s="385"/>
      <c r="BM694" s="385"/>
      <c r="BN694" s="385"/>
      <c r="BO694" s="385"/>
      <c r="BP694" s="385"/>
      <c r="BQ694" s="385"/>
      <c r="BR694" s="385"/>
      <c r="BS694" s="385"/>
      <c r="BT694" s="385"/>
      <c r="BU694" s="385"/>
      <c r="BV694" s="385"/>
      <c r="BW694" s="385"/>
      <c r="BX694" s="385"/>
      <c r="BY694" s="385"/>
      <c r="BZ694" s="385"/>
      <c r="CA694" s="385"/>
    </row>
    <row r="695" spans="1:79" s="6" customFormat="1" ht="15" customHeight="1">
      <c r="A695" s="41" t="s">
        <v>183</v>
      </c>
      <c r="B695" s="402" t="s">
        <v>2535</v>
      </c>
      <c r="C695" s="113" t="s">
        <v>1338</v>
      </c>
      <c r="D695" s="393" t="s">
        <v>213</v>
      </c>
      <c r="E695" s="394" t="s">
        <v>2536</v>
      </c>
      <c r="F695" s="402" t="s">
        <v>2537</v>
      </c>
      <c r="G695" s="405" t="s">
        <v>1340</v>
      </c>
      <c r="H695" s="74">
        <v>3724</v>
      </c>
      <c r="I695" s="50" t="s">
        <v>2</v>
      </c>
      <c r="J695" s="339" t="s">
        <v>2539</v>
      </c>
      <c r="K695" s="51">
        <v>41021</v>
      </c>
      <c r="L695" s="115">
        <v>40999</v>
      </c>
      <c r="M695" s="50">
        <f t="shared" si="30"/>
        <v>22</v>
      </c>
      <c r="N695" s="50"/>
      <c r="O695" s="131">
        <f>1.9/2</f>
        <v>0.95</v>
      </c>
      <c r="P695" s="50">
        <v>6.2</v>
      </c>
      <c r="Q695" s="74">
        <v>5.5</v>
      </c>
      <c r="R695" s="50">
        <f>20/2</f>
        <v>10</v>
      </c>
      <c r="S695" s="74">
        <v>1.8</v>
      </c>
      <c r="T695" s="50">
        <v>4.7E-2</v>
      </c>
      <c r="U695" s="131">
        <f>1/2</f>
        <v>0.5</v>
      </c>
      <c r="V695" s="50">
        <f>0.46/2</f>
        <v>0.23</v>
      </c>
      <c r="W695" s="74">
        <f>0.005/2</f>
        <v>2.5000000000000001E-3</v>
      </c>
      <c r="X695" s="50">
        <v>6.8000000000000005E-2</v>
      </c>
      <c r="Y695" s="74">
        <f>0.005/2</f>
        <v>2.5000000000000001E-3</v>
      </c>
      <c r="Z695" s="271">
        <v>1</v>
      </c>
      <c r="AA695" s="271">
        <v>0.73199999999999998</v>
      </c>
      <c r="AB695" s="114">
        <v>0</v>
      </c>
      <c r="AC695" s="50">
        <v>2</v>
      </c>
      <c r="AD695" s="271">
        <v>0.1</v>
      </c>
      <c r="AE695" s="50"/>
      <c r="AF695" s="49"/>
      <c r="AG695" s="114"/>
      <c r="AH695" s="114"/>
      <c r="AI695" s="114"/>
      <c r="AJ695" s="114"/>
      <c r="AK695" s="114"/>
      <c r="AL695" s="114"/>
      <c r="AM695" s="114"/>
      <c r="AN695" s="114"/>
      <c r="AO695" s="114"/>
      <c r="AP695" s="114"/>
      <c r="AQ695" s="114"/>
      <c r="AR695" s="114"/>
      <c r="AS695" s="50"/>
      <c r="AT695" s="74"/>
      <c r="AU695" s="114"/>
      <c r="AV695" s="114"/>
      <c r="AW695" s="394"/>
      <c r="AX695" s="385"/>
      <c r="AY695" s="385"/>
      <c r="AZ695" s="385"/>
      <c r="BA695" s="385"/>
      <c r="BB695" s="385"/>
      <c r="BC695" s="385"/>
      <c r="BD695" s="385"/>
      <c r="BE695" s="385"/>
      <c r="BF695" s="385"/>
      <c r="BG695" s="385"/>
      <c r="BH695" s="385"/>
      <c r="BI695" s="385"/>
      <c r="BJ695" s="385"/>
      <c r="BK695" s="385"/>
      <c r="BL695" s="385"/>
      <c r="BM695" s="385"/>
      <c r="BN695" s="385"/>
      <c r="BO695" s="385"/>
      <c r="BP695" s="385"/>
      <c r="BQ695" s="385"/>
      <c r="BR695" s="385"/>
      <c r="BS695" s="385"/>
      <c r="BT695" s="385"/>
      <c r="BU695" s="385"/>
      <c r="BV695" s="385"/>
      <c r="BW695" s="385"/>
      <c r="BX695" s="385"/>
      <c r="BY695" s="385"/>
      <c r="BZ695" s="385"/>
      <c r="CA695" s="385"/>
    </row>
    <row r="696" spans="1:79" s="6" customFormat="1" ht="15" customHeight="1">
      <c r="A696" s="41" t="s">
        <v>183</v>
      </c>
      <c r="B696" s="402" t="s">
        <v>2540</v>
      </c>
      <c r="C696" s="113"/>
      <c r="D696" s="393" t="s">
        <v>350</v>
      </c>
      <c r="E696" s="394"/>
      <c r="F696" s="402" t="s">
        <v>2541</v>
      </c>
      <c r="G696" s="405" t="s">
        <v>2542</v>
      </c>
      <c r="H696" s="74">
        <v>2657</v>
      </c>
      <c r="I696" s="50"/>
      <c r="J696" s="339" t="s">
        <v>1125</v>
      </c>
      <c r="K696" s="51">
        <v>40996</v>
      </c>
      <c r="L696" s="115">
        <v>40964</v>
      </c>
      <c r="M696" s="50">
        <f t="shared" si="30"/>
        <v>32</v>
      </c>
      <c r="N696" s="50"/>
      <c r="O696" s="131">
        <v>4</v>
      </c>
      <c r="P696" s="50">
        <v>7</v>
      </c>
      <c r="Q696" s="74">
        <v>5.73</v>
      </c>
      <c r="R696" s="50">
        <v>113</v>
      </c>
      <c r="S696" s="74">
        <v>140</v>
      </c>
      <c r="T696" s="50">
        <v>0.56000000000000005</v>
      </c>
      <c r="U696" s="131">
        <v>5.33</v>
      </c>
      <c r="V696" s="50">
        <v>2.5299999999999998</v>
      </c>
      <c r="W696" s="74">
        <v>7.5999999999999998E-2</v>
      </c>
      <c r="X696" s="50">
        <v>0.34699999999999998</v>
      </c>
      <c r="Y696" s="74">
        <v>1.2E-2</v>
      </c>
      <c r="Z696" s="271">
        <v>1</v>
      </c>
      <c r="AA696" s="271">
        <v>1</v>
      </c>
      <c r="AB696" s="114">
        <v>30</v>
      </c>
      <c r="AC696" s="50">
        <v>112</v>
      </c>
      <c r="AD696" s="271">
        <v>1</v>
      </c>
      <c r="AE696" s="50"/>
      <c r="AF696" s="49"/>
      <c r="AG696" s="114"/>
      <c r="AH696" s="114"/>
      <c r="AI696" s="114"/>
      <c r="AJ696" s="114"/>
      <c r="AK696" s="114"/>
      <c r="AL696" s="114"/>
      <c r="AM696" s="114"/>
      <c r="AN696" s="114"/>
      <c r="AO696" s="114"/>
      <c r="AP696" s="114"/>
      <c r="AQ696" s="114"/>
      <c r="AR696" s="114"/>
      <c r="AS696" s="50"/>
      <c r="AT696" s="74"/>
      <c r="AU696" s="114"/>
      <c r="AV696" s="114"/>
      <c r="AW696" s="394"/>
      <c r="AX696" s="385"/>
      <c r="AY696" s="385"/>
      <c r="AZ696" s="385"/>
      <c r="BA696" s="385"/>
      <c r="BB696" s="385"/>
      <c r="BC696" s="385"/>
      <c r="BD696" s="385"/>
      <c r="BE696" s="385"/>
      <c r="BF696" s="385"/>
      <c r="BG696" s="385"/>
      <c r="BH696" s="385"/>
      <c r="BI696" s="385"/>
      <c r="BJ696" s="385"/>
      <c r="BK696" s="385"/>
      <c r="BL696" s="385"/>
      <c r="BM696" s="385"/>
      <c r="BN696" s="385"/>
      <c r="BO696" s="385"/>
      <c r="BP696" s="385"/>
      <c r="BQ696" s="385"/>
      <c r="BR696" s="385"/>
      <c r="BS696" s="385"/>
      <c r="BT696" s="385"/>
      <c r="BU696" s="385"/>
      <c r="BV696" s="385"/>
      <c r="BW696" s="385"/>
      <c r="BX696" s="385"/>
      <c r="BY696" s="385"/>
      <c r="BZ696" s="385"/>
      <c r="CA696" s="385"/>
    </row>
    <row r="697" spans="1:79" s="6" customFormat="1" ht="15" customHeight="1">
      <c r="A697" s="41" t="s">
        <v>183</v>
      </c>
      <c r="B697" s="402" t="s">
        <v>438</v>
      </c>
      <c r="C697" s="149" t="s">
        <v>438</v>
      </c>
      <c r="D697" s="392" t="s">
        <v>251</v>
      </c>
      <c r="E697" s="258" t="s">
        <v>439</v>
      </c>
      <c r="F697" s="386">
        <v>4402</v>
      </c>
      <c r="G697" s="389" t="s">
        <v>440</v>
      </c>
      <c r="H697" s="55">
        <v>3471</v>
      </c>
      <c r="I697" s="54" t="s">
        <v>2</v>
      </c>
      <c r="J697" s="61" t="s">
        <v>441</v>
      </c>
      <c r="K697" s="51">
        <v>41030</v>
      </c>
      <c r="L697" s="115">
        <v>41022</v>
      </c>
      <c r="M697" s="50">
        <f t="shared" si="30"/>
        <v>8</v>
      </c>
      <c r="N697" s="50" t="s">
        <v>2</v>
      </c>
      <c r="O697" s="131">
        <f>1.4/2</f>
        <v>0.7</v>
      </c>
      <c r="P697" s="50">
        <v>6.8</v>
      </c>
      <c r="Q697" s="74">
        <v>6.96</v>
      </c>
      <c r="R697" s="50">
        <v>46</v>
      </c>
      <c r="S697" s="74">
        <f>5/2</f>
        <v>2.5</v>
      </c>
      <c r="T697" s="50">
        <v>0.34</v>
      </c>
      <c r="U697" s="131" t="s">
        <v>2543</v>
      </c>
      <c r="V697" s="50">
        <v>0.8</v>
      </c>
      <c r="W697" s="74">
        <v>0.24199999999999999</v>
      </c>
      <c r="X697" s="50">
        <v>0.14000000000000001</v>
      </c>
      <c r="Y697" s="74">
        <v>6.0000000000000001E-3</v>
      </c>
      <c r="Z697" s="271"/>
      <c r="AA697" s="271"/>
      <c r="AB697" s="114"/>
      <c r="AC697" s="50"/>
      <c r="AD697" s="271"/>
      <c r="AE697" s="50"/>
      <c r="AF697" s="49"/>
      <c r="AG697" s="114"/>
      <c r="AH697" s="114"/>
      <c r="AI697" s="114"/>
      <c r="AJ697" s="114"/>
      <c r="AK697" s="114"/>
      <c r="AL697" s="114"/>
      <c r="AM697" s="114"/>
      <c r="AN697" s="114"/>
      <c r="AO697" s="114"/>
      <c r="AP697" s="114"/>
      <c r="AQ697" s="114"/>
      <c r="AR697" s="114"/>
      <c r="AS697" s="50"/>
      <c r="AT697" s="74"/>
      <c r="AU697" s="114"/>
      <c r="AV697" s="114"/>
      <c r="AW697" s="394"/>
      <c r="AX697" s="385"/>
      <c r="AY697" s="385"/>
      <c r="AZ697" s="385"/>
      <c r="BA697" s="385"/>
      <c r="BB697" s="385"/>
      <c r="BC697" s="385"/>
      <c r="BD697" s="385"/>
      <c r="BE697" s="385"/>
      <c r="BF697" s="385"/>
      <c r="BG697" s="385"/>
      <c r="BH697" s="385"/>
      <c r="BI697" s="385"/>
      <c r="BJ697" s="385"/>
      <c r="BK697" s="385"/>
      <c r="BL697" s="385"/>
      <c r="BM697" s="385"/>
      <c r="BN697" s="385"/>
      <c r="BO697" s="385"/>
      <c r="BP697" s="385"/>
      <c r="BQ697" s="385"/>
      <c r="BR697" s="385"/>
      <c r="BS697" s="385"/>
      <c r="BT697" s="385"/>
      <c r="BU697" s="385"/>
      <c r="BV697" s="385"/>
      <c r="BW697" s="385"/>
      <c r="BX697" s="385"/>
      <c r="BY697" s="385"/>
      <c r="BZ697" s="385"/>
      <c r="CA697" s="385"/>
    </row>
    <row r="698" spans="1:79" s="6" customFormat="1" ht="15" customHeight="1">
      <c r="A698" s="41" t="s">
        <v>183</v>
      </c>
      <c r="B698" s="402" t="s">
        <v>2544</v>
      </c>
      <c r="C698" s="113" t="s">
        <v>1823</v>
      </c>
      <c r="D698" s="393" t="s">
        <v>827</v>
      </c>
      <c r="E698" s="394" t="s">
        <v>1824</v>
      </c>
      <c r="F698" s="402"/>
      <c r="G698" s="405" t="s">
        <v>1795</v>
      </c>
      <c r="H698" s="74">
        <v>3691</v>
      </c>
      <c r="I698" s="50" t="s">
        <v>2</v>
      </c>
      <c r="J698" s="339" t="s">
        <v>1796</v>
      </c>
      <c r="K698" s="51">
        <v>40869</v>
      </c>
      <c r="L698" s="115">
        <v>40863</v>
      </c>
      <c r="M698" s="50">
        <f t="shared" si="30"/>
        <v>6</v>
      </c>
      <c r="N698" s="50" t="s">
        <v>2</v>
      </c>
      <c r="O698" s="131">
        <f>1.4/2</f>
        <v>0.7</v>
      </c>
      <c r="P698" s="50">
        <v>7.5</v>
      </c>
      <c r="Q698" s="74">
        <v>6.67</v>
      </c>
      <c r="R698" s="50">
        <f>10/2</f>
        <v>5</v>
      </c>
      <c r="S698" s="74">
        <v>5</v>
      </c>
      <c r="T698" s="50">
        <v>0.02</v>
      </c>
      <c r="U698" s="131">
        <v>0.1</v>
      </c>
      <c r="V698" s="50">
        <v>2.2000000000000002</v>
      </c>
      <c r="W698" s="74">
        <v>3.0000000000000001E-3</v>
      </c>
      <c r="X698" s="50">
        <v>1.6E-2</v>
      </c>
      <c r="Y698" s="74">
        <f>0.002/2</f>
        <v>1E-3</v>
      </c>
      <c r="Z698" s="271">
        <v>1</v>
      </c>
      <c r="AA698" s="271">
        <v>1</v>
      </c>
      <c r="AB698" s="114">
        <v>30</v>
      </c>
      <c r="AC698" s="50">
        <v>156</v>
      </c>
      <c r="AD698" s="271">
        <v>1</v>
      </c>
      <c r="AE698" s="50"/>
      <c r="AF698" s="49"/>
      <c r="AG698" s="114"/>
      <c r="AH698" s="114"/>
      <c r="AI698" s="114"/>
      <c r="AJ698" s="114"/>
      <c r="AK698" s="114"/>
      <c r="AL698" s="114"/>
      <c r="AM698" s="114"/>
      <c r="AN698" s="114"/>
      <c r="AO698" s="114"/>
      <c r="AP698" s="114"/>
      <c r="AQ698" s="114"/>
      <c r="AR698" s="114"/>
      <c r="AS698" s="50"/>
      <c r="AT698" s="74"/>
      <c r="AU698" s="114"/>
      <c r="AV698" s="114"/>
      <c r="AW698" s="394"/>
      <c r="AX698" s="385"/>
      <c r="AY698" s="385"/>
      <c r="AZ698" s="385"/>
      <c r="BA698" s="385"/>
      <c r="BB698" s="385"/>
      <c r="BC698" s="385"/>
      <c r="BD698" s="385"/>
      <c r="BE698" s="385"/>
      <c r="BF698" s="385"/>
      <c r="BG698" s="385"/>
      <c r="BH698" s="385"/>
      <c r="BI698" s="385"/>
      <c r="BJ698" s="385"/>
      <c r="BK698" s="385"/>
      <c r="BL698" s="385"/>
      <c r="BM698" s="385"/>
      <c r="BN698" s="385"/>
      <c r="BO698" s="385"/>
      <c r="BP698" s="385"/>
      <c r="BQ698" s="385"/>
      <c r="BR698" s="385"/>
      <c r="BS698" s="385"/>
      <c r="BT698" s="385"/>
      <c r="BU698" s="385"/>
      <c r="BV698" s="385"/>
      <c r="BW698" s="385"/>
      <c r="BX698" s="385"/>
      <c r="BY698" s="385"/>
      <c r="BZ698" s="385"/>
      <c r="CA698" s="385"/>
    </row>
    <row r="699" spans="1:79" s="6" customFormat="1" ht="15" customHeight="1">
      <c r="A699" s="41" t="s">
        <v>183</v>
      </c>
      <c r="B699" s="402" t="s">
        <v>2595</v>
      </c>
      <c r="C699" s="113"/>
      <c r="D699" s="393" t="s">
        <v>2722</v>
      </c>
      <c r="E699" s="394" t="s">
        <v>1056</v>
      </c>
      <c r="F699" s="402"/>
      <c r="G699" s="405" t="s">
        <v>2596</v>
      </c>
      <c r="H699" s="74">
        <v>3842</v>
      </c>
      <c r="I699" s="50" t="s">
        <v>2</v>
      </c>
      <c r="J699" s="339" t="s">
        <v>510</v>
      </c>
      <c r="K699" s="51">
        <v>41324</v>
      </c>
      <c r="L699" s="115">
        <v>41316</v>
      </c>
      <c r="M699" s="50">
        <v>8</v>
      </c>
      <c r="N699" s="50" t="s">
        <v>1</v>
      </c>
      <c r="O699" s="131">
        <f>1.4/2</f>
        <v>0.7</v>
      </c>
      <c r="P699" s="50">
        <v>5.99</v>
      </c>
      <c r="Q699" s="74">
        <v>5.54</v>
      </c>
      <c r="R699" s="50">
        <v>21</v>
      </c>
      <c r="S699" s="74">
        <f>5/2</f>
        <v>2.5</v>
      </c>
      <c r="T699" s="50">
        <v>0.02</v>
      </c>
      <c r="U699" s="131">
        <v>0.46</v>
      </c>
      <c r="V699" s="50">
        <v>0.38</v>
      </c>
      <c r="W699" s="74">
        <v>1.0999999999999999E-2</v>
      </c>
      <c r="X699" s="50">
        <v>8.7999999999999995E-2</v>
      </c>
      <c r="Y699" s="74">
        <f>0.002/2</f>
        <v>1E-3</v>
      </c>
      <c r="Z699" s="271"/>
      <c r="AA699" s="271"/>
      <c r="AB699" s="114"/>
      <c r="AC699" s="50"/>
      <c r="AD699" s="271"/>
      <c r="AE699" s="50"/>
      <c r="AF699" s="49"/>
      <c r="AG699" s="114"/>
      <c r="AH699" s="114"/>
      <c r="AI699" s="114"/>
      <c r="AJ699" s="114"/>
      <c r="AK699" s="114"/>
      <c r="AL699" s="114"/>
      <c r="AM699" s="114"/>
      <c r="AN699" s="114"/>
      <c r="AO699" s="114"/>
      <c r="AP699" s="114"/>
      <c r="AQ699" s="114"/>
      <c r="AR699" s="114"/>
      <c r="AS699" s="50"/>
      <c r="AT699" s="74"/>
      <c r="AU699" s="114"/>
      <c r="AV699" s="114"/>
      <c r="AW699" s="394"/>
      <c r="AX699" s="385"/>
      <c r="AY699" s="385"/>
      <c r="AZ699" s="385"/>
      <c r="BA699" s="385"/>
      <c r="BB699" s="385"/>
      <c r="BC699" s="385"/>
      <c r="BD699" s="385"/>
      <c r="BE699" s="385"/>
      <c r="BF699" s="385"/>
      <c r="BG699" s="385"/>
      <c r="BH699" s="385"/>
      <c r="BI699" s="385"/>
      <c r="BJ699" s="385"/>
      <c r="BK699" s="385"/>
      <c r="BL699" s="385"/>
      <c r="BM699" s="385"/>
      <c r="BN699" s="385"/>
      <c r="BO699" s="385"/>
      <c r="BP699" s="385"/>
      <c r="BQ699" s="385"/>
      <c r="BR699" s="385"/>
      <c r="BS699" s="385"/>
      <c r="BT699" s="385"/>
      <c r="BU699" s="385"/>
      <c r="BV699" s="385"/>
      <c r="BW699" s="385"/>
      <c r="BX699" s="385"/>
      <c r="BY699" s="385"/>
      <c r="BZ699" s="385"/>
      <c r="CA699" s="385"/>
    </row>
    <row r="700" spans="1:79" s="6" customFormat="1" ht="15" customHeight="1">
      <c r="A700" s="41" t="s">
        <v>183</v>
      </c>
      <c r="B700" s="402" t="s">
        <v>1419</v>
      </c>
      <c r="C700" s="113" t="s">
        <v>1419</v>
      </c>
      <c r="D700" s="393" t="s">
        <v>379</v>
      </c>
      <c r="E700" s="394" t="s">
        <v>214</v>
      </c>
      <c r="F700" s="402" t="s">
        <v>1420</v>
      </c>
      <c r="G700" s="405" t="s">
        <v>1421</v>
      </c>
      <c r="H700" s="49">
        <v>3471</v>
      </c>
      <c r="I700" s="50" t="s">
        <v>1</v>
      </c>
      <c r="J700" s="76" t="s">
        <v>1424</v>
      </c>
      <c r="K700" s="51">
        <v>41170</v>
      </c>
      <c r="L700" s="115">
        <v>41161</v>
      </c>
      <c r="M700" s="50">
        <v>9</v>
      </c>
      <c r="N700" s="50" t="s">
        <v>2</v>
      </c>
      <c r="O700" s="131">
        <v>3.7</v>
      </c>
      <c r="P700" s="50">
        <v>6.27</v>
      </c>
      <c r="Q700" s="74">
        <v>6.87</v>
      </c>
      <c r="R700" s="50">
        <v>340</v>
      </c>
      <c r="S700" s="74">
        <v>120</v>
      </c>
      <c r="T700" s="50">
        <v>1.04</v>
      </c>
      <c r="U700" s="131">
        <v>22.8</v>
      </c>
      <c r="V700" s="50">
        <v>2.67</v>
      </c>
      <c r="W700" s="74">
        <v>3</v>
      </c>
      <c r="X700" s="50">
        <v>2.99</v>
      </c>
      <c r="Y700" s="74">
        <v>9.5000000000000001E-2</v>
      </c>
      <c r="Z700" s="271"/>
      <c r="AA700" s="271"/>
      <c r="AB700" s="114"/>
      <c r="AC700" s="50"/>
      <c r="AD700" s="271"/>
      <c r="AE700" s="50">
        <v>228</v>
      </c>
      <c r="AF700" s="73" t="s">
        <v>2597</v>
      </c>
      <c r="AG700" s="114"/>
      <c r="AH700" s="114"/>
      <c r="AI700" s="114"/>
      <c r="AJ700" s="114"/>
      <c r="AK700" s="114"/>
      <c r="AL700" s="114"/>
      <c r="AM700" s="114"/>
      <c r="AN700" s="114"/>
      <c r="AO700" s="114"/>
      <c r="AP700" s="114"/>
      <c r="AQ700" s="114"/>
      <c r="AR700" s="114"/>
      <c r="AS700" s="50"/>
      <c r="AT700" s="74"/>
      <c r="AU700" s="114"/>
      <c r="AV700" s="114"/>
      <c r="AW700" s="394"/>
      <c r="AX700" s="385"/>
      <c r="AY700" s="385"/>
      <c r="AZ700" s="385"/>
      <c r="BA700" s="385"/>
      <c r="BB700" s="385"/>
      <c r="BC700" s="385"/>
      <c r="BD700" s="385"/>
      <c r="BE700" s="385"/>
      <c r="BF700" s="385"/>
      <c r="BG700" s="385"/>
      <c r="BH700" s="385"/>
      <c r="BI700" s="385"/>
      <c r="BJ700" s="385"/>
      <c r="BK700" s="385"/>
      <c r="BL700" s="385"/>
      <c r="BM700" s="385"/>
      <c r="BN700" s="385"/>
      <c r="BO700" s="385"/>
      <c r="BP700" s="385"/>
      <c r="BQ700" s="385"/>
      <c r="BR700" s="385"/>
      <c r="BS700" s="385"/>
      <c r="BT700" s="385"/>
      <c r="BU700" s="385"/>
      <c r="BV700" s="385"/>
      <c r="BW700" s="385"/>
      <c r="BX700" s="385"/>
      <c r="BY700" s="385"/>
      <c r="BZ700" s="385"/>
      <c r="CA700" s="385"/>
    </row>
    <row r="701" spans="1:79" s="6" customFormat="1" ht="15" customHeight="1">
      <c r="A701" s="41" t="s">
        <v>183</v>
      </c>
      <c r="B701" s="402" t="s">
        <v>1419</v>
      </c>
      <c r="C701" s="113" t="s">
        <v>1419</v>
      </c>
      <c r="D701" s="393" t="s">
        <v>379</v>
      </c>
      <c r="E701" s="394" t="s">
        <v>214</v>
      </c>
      <c r="F701" s="402" t="s">
        <v>1423</v>
      </c>
      <c r="G701" s="405" t="s">
        <v>1421</v>
      </c>
      <c r="H701" s="49">
        <v>3471</v>
      </c>
      <c r="I701" s="50" t="s">
        <v>1</v>
      </c>
      <c r="J701" s="76" t="s">
        <v>1422</v>
      </c>
      <c r="K701" s="51">
        <v>41170</v>
      </c>
      <c r="L701" s="115">
        <v>41161</v>
      </c>
      <c r="M701" s="50">
        <v>9</v>
      </c>
      <c r="N701" s="50" t="s">
        <v>2</v>
      </c>
      <c r="O701" s="131">
        <f>1.4/2</f>
        <v>0.7</v>
      </c>
      <c r="P701" s="50">
        <v>6.27</v>
      </c>
      <c r="Q701" s="74">
        <v>6.14</v>
      </c>
      <c r="R701" s="50">
        <v>150</v>
      </c>
      <c r="S701" s="74">
        <v>61</v>
      </c>
      <c r="T701" s="50">
        <v>0.3</v>
      </c>
      <c r="U701" s="131">
        <v>2.83</v>
      </c>
      <c r="V701" s="50">
        <v>1.46</v>
      </c>
      <c r="W701" s="74">
        <v>5.5E-2</v>
      </c>
      <c r="X701" s="50">
        <v>0.33600000000000002</v>
      </c>
      <c r="Y701" s="74">
        <f>0.02/2</f>
        <v>0.01</v>
      </c>
      <c r="Z701" s="271"/>
      <c r="AA701" s="271"/>
      <c r="AB701" s="114"/>
      <c r="AC701" s="50"/>
      <c r="AD701" s="271"/>
      <c r="AE701" s="50">
        <v>156</v>
      </c>
      <c r="AF701" s="49" t="s">
        <v>2597</v>
      </c>
      <c r="AG701" s="114"/>
      <c r="AH701" s="114"/>
      <c r="AI701" s="114"/>
      <c r="AJ701" s="114"/>
      <c r="AK701" s="114"/>
      <c r="AL701" s="114"/>
      <c r="AM701" s="114"/>
      <c r="AN701" s="114"/>
      <c r="AO701" s="114"/>
      <c r="AP701" s="114"/>
      <c r="AQ701" s="114"/>
      <c r="AR701" s="114"/>
      <c r="AS701" s="50"/>
      <c r="AT701" s="74"/>
      <c r="AU701" s="114"/>
      <c r="AV701" s="114"/>
      <c r="AW701" s="394"/>
      <c r="AX701" s="385"/>
      <c r="AY701" s="385"/>
      <c r="AZ701" s="385"/>
      <c r="BA701" s="385"/>
      <c r="BB701" s="385"/>
      <c r="BC701" s="385"/>
      <c r="BD701" s="385"/>
      <c r="BE701" s="385"/>
      <c r="BF701" s="385"/>
      <c r="BG701" s="385"/>
      <c r="BH701" s="385"/>
      <c r="BI701" s="385"/>
      <c r="BJ701" s="385"/>
      <c r="BK701" s="385"/>
      <c r="BL701" s="385"/>
      <c r="BM701" s="385"/>
      <c r="BN701" s="385"/>
      <c r="BO701" s="385"/>
      <c r="BP701" s="385"/>
      <c r="BQ701" s="385"/>
      <c r="BR701" s="385"/>
      <c r="BS701" s="385"/>
      <c r="BT701" s="385"/>
      <c r="BU701" s="385"/>
      <c r="BV701" s="385"/>
      <c r="BW701" s="385"/>
      <c r="BX701" s="385"/>
      <c r="BY701" s="385"/>
      <c r="BZ701" s="385"/>
      <c r="CA701" s="385"/>
    </row>
    <row r="702" spans="1:79" s="6" customFormat="1" ht="15" customHeight="1">
      <c r="A702" s="41" t="s">
        <v>183</v>
      </c>
      <c r="B702" s="402" t="s">
        <v>2598</v>
      </c>
      <c r="C702" s="113" t="s">
        <v>2599</v>
      </c>
      <c r="D702" s="393" t="s">
        <v>156</v>
      </c>
      <c r="E702" s="394" t="s">
        <v>2600</v>
      </c>
      <c r="F702" s="402"/>
      <c r="G702" s="405" t="s">
        <v>2601</v>
      </c>
      <c r="H702" s="74">
        <v>3081</v>
      </c>
      <c r="I702" s="50" t="s">
        <v>2</v>
      </c>
      <c r="J702" s="339" t="s">
        <v>1030</v>
      </c>
      <c r="K702" s="51">
        <v>40996</v>
      </c>
      <c r="L702" s="115">
        <v>40977</v>
      </c>
      <c r="M702" s="50">
        <f t="shared" ref="M702:M743" si="31">K702-L702</f>
        <v>19</v>
      </c>
      <c r="N702" s="50" t="s">
        <v>2</v>
      </c>
      <c r="O702" s="131">
        <f>1.8/2</f>
        <v>0.9</v>
      </c>
      <c r="P702" s="50">
        <v>5.5</v>
      </c>
      <c r="Q702" s="74">
        <v>8.8000000000000007</v>
      </c>
      <c r="R702" s="50">
        <v>84</v>
      </c>
      <c r="S702" s="74">
        <v>86.5</v>
      </c>
      <c r="T702" s="50">
        <v>0.16</v>
      </c>
      <c r="U702" s="131">
        <v>1.1000000000000001</v>
      </c>
      <c r="V702" s="50">
        <v>0.57999999999999996</v>
      </c>
      <c r="W702" s="74">
        <v>1.0999999999999999E-2</v>
      </c>
      <c r="X702" s="50">
        <v>0.17199999999999999</v>
      </c>
      <c r="Y702" s="74">
        <v>7.0000000000000001E-3</v>
      </c>
      <c r="Z702" s="271">
        <v>1</v>
      </c>
      <c r="AA702" s="271">
        <v>1</v>
      </c>
      <c r="AB702" s="114">
        <v>26</v>
      </c>
      <c r="AC702" s="50">
        <v>290</v>
      </c>
      <c r="AD702" s="271">
        <v>1</v>
      </c>
      <c r="AE702" s="50"/>
      <c r="AF702" s="49"/>
      <c r="AG702" s="114"/>
      <c r="AH702" s="114"/>
      <c r="AI702" s="114"/>
      <c r="AJ702" s="114"/>
      <c r="AK702" s="114"/>
      <c r="AL702" s="114"/>
      <c r="AM702" s="114"/>
      <c r="AN702" s="114"/>
      <c r="AO702" s="114"/>
      <c r="AP702" s="114"/>
      <c r="AQ702" s="114"/>
      <c r="AR702" s="114"/>
      <c r="AS702" s="50"/>
      <c r="AT702" s="74"/>
      <c r="AU702" s="114"/>
      <c r="AV702" s="114"/>
      <c r="AW702" s="394"/>
      <c r="AX702" s="385"/>
      <c r="AY702" s="385"/>
      <c r="AZ702" s="385"/>
      <c r="BA702" s="385"/>
      <c r="BB702" s="385"/>
      <c r="BC702" s="385"/>
      <c r="BD702" s="385"/>
      <c r="BE702" s="385"/>
      <c r="BF702" s="385"/>
      <c r="BG702" s="385"/>
      <c r="BH702" s="385"/>
      <c r="BI702" s="385"/>
      <c r="BJ702" s="385"/>
      <c r="BK702" s="385"/>
      <c r="BL702" s="385"/>
      <c r="BM702" s="385"/>
      <c r="BN702" s="385"/>
      <c r="BO702" s="385"/>
      <c r="BP702" s="385"/>
      <c r="BQ702" s="385"/>
      <c r="BR702" s="385"/>
      <c r="BS702" s="385"/>
      <c r="BT702" s="385"/>
      <c r="BU702" s="385"/>
      <c r="BV702" s="385"/>
      <c r="BW702" s="385"/>
      <c r="BX702" s="385"/>
      <c r="BY702" s="385"/>
      <c r="BZ702" s="385"/>
      <c r="CA702" s="385"/>
    </row>
    <row r="703" spans="1:79" s="6" customFormat="1" ht="15" customHeight="1">
      <c r="A703" s="41" t="s">
        <v>183</v>
      </c>
      <c r="B703" s="402" t="s">
        <v>2598</v>
      </c>
      <c r="C703" s="113" t="s">
        <v>2599</v>
      </c>
      <c r="D703" s="393" t="s">
        <v>156</v>
      </c>
      <c r="E703" s="394" t="s">
        <v>2600</v>
      </c>
      <c r="F703" s="402"/>
      <c r="G703" s="405" t="s">
        <v>2601</v>
      </c>
      <c r="H703" s="74">
        <v>3081</v>
      </c>
      <c r="I703" s="50" t="s">
        <v>2</v>
      </c>
      <c r="J703" s="339" t="s">
        <v>1031</v>
      </c>
      <c r="K703" s="51">
        <v>40996</v>
      </c>
      <c r="L703" s="115">
        <v>40977</v>
      </c>
      <c r="M703" s="50">
        <f t="shared" si="31"/>
        <v>19</v>
      </c>
      <c r="N703" s="50" t="s">
        <v>2</v>
      </c>
      <c r="O703" s="131">
        <f>1.8/2</f>
        <v>0.9</v>
      </c>
      <c r="P703" s="50">
        <v>5.5</v>
      </c>
      <c r="Q703" s="74">
        <v>7.7</v>
      </c>
      <c r="R703" s="50">
        <v>110</v>
      </c>
      <c r="S703" s="74">
        <v>135</v>
      </c>
      <c r="T703" s="50">
        <v>0.13900000000000001</v>
      </c>
      <c r="U703" s="131">
        <v>1.2</v>
      </c>
      <c r="V703" s="50">
        <v>0.47</v>
      </c>
      <c r="W703" s="74">
        <v>6.0000000000000001E-3</v>
      </c>
      <c r="X703" s="50">
        <v>0.246</v>
      </c>
      <c r="Y703" s="74">
        <v>5.0000000000000001E-3</v>
      </c>
      <c r="Z703" s="271">
        <v>1</v>
      </c>
      <c r="AA703" s="271">
        <v>1</v>
      </c>
      <c r="AB703" s="114">
        <v>16</v>
      </c>
      <c r="AC703" s="50">
        <v>69</v>
      </c>
      <c r="AD703" s="271">
        <v>1</v>
      </c>
      <c r="AE703" s="50"/>
      <c r="AF703" s="49"/>
      <c r="AG703" s="114"/>
      <c r="AH703" s="114"/>
      <c r="AI703" s="114"/>
      <c r="AJ703" s="114"/>
      <c r="AK703" s="114"/>
      <c r="AL703" s="114"/>
      <c r="AM703" s="114"/>
      <c r="AN703" s="114"/>
      <c r="AO703" s="114"/>
      <c r="AP703" s="114"/>
      <c r="AQ703" s="114"/>
      <c r="AR703" s="114"/>
      <c r="AS703" s="50"/>
      <c r="AT703" s="74"/>
      <c r="AU703" s="114"/>
      <c r="AV703" s="114"/>
      <c r="AW703" s="394"/>
      <c r="AX703" s="385"/>
      <c r="AY703" s="385"/>
      <c r="AZ703" s="385"/>
      <c r="BA703" s="385"/>
      <c r="BB703" s="385"/>
      <c r="BC703" s="385"/>
      <c r="BD703" s="385"/>
      <c r="BE703" s="385"/>
      <c r="BF703" s="385"/>
      <c r="BG703" s="385"/>
      <c r="BH703" s="385"/>
      <c r="BI703" s="385"/>
      <c r="BJ703" s="385"/>
      <c r="BK703" s="385"/>
      <c r="BL703" s="385"/>
      <c r="BM703" s="385"/>
      <c r="BN703" s="385"/>
      <c r="BO703" s="385"/>
      <c r="BP703" s="385"/>
      <c r="BQ703" s="385"/>
      <c r="BR703" s="385"/>
      <c r="BS703" s="385"/>
      <c r="BT703" s="385"/>
      <c r="BU703" s="385"/>
      <c r="BV703" s="385"/>
      <c r="BW703" s="385"/>
      <c r="BX703" s="385"/>
      <c r="BY703" s="385"/>
      <c r="BZ703" s="385"/>
      <c r="CA703" s="385"/>
    </row>
    <row r="704" spans="1:79" s="6" customFormat="1" ht="15" customHeight="1">
      <c r="A704" s="41" t="s">
        <v>183</v>
      </c>
      <c r="B704" s="402" t="s">
        <v>2598</v>
      </c>
      <c r="C704" s="113" t="s">
        <v>2599</v>
      </c>
      <c r="D704" s="393" t="s">
        <v>156</v>
      </c>
      <c r="E704" s="394" t="s">
        <v>2600</v>
      </c>
      <c r="F704" s="402"/>
      <c r="G704" s="405" t="s">
        <v>2601</v>
      </c>
      <c r="H704" s="74">
        <v>3081</v>
      </c>
      <c r="I704" s="50" t="s">
        <v>2</v>
      </c>
      <c r="J704" s="339" t="s">
        <v>1030</v>
      </c>
      <c r="K704" s="51">
        <v>41324</v>
      </c>
      <c r="L704" s="115">
        <v>41316</v>
      </c>
      <c r="M704" s="50">
        <f t="shared" si="31"/>
        <v>8</v>
      </c>
      <c r="N704" s="50" t="s">
        <v>2</v>
      </c>
      <c r="O704" s="131">
        <f>1.6/2</f>
        <v>0.8</v>
      </c>
      <c r="P704" s="50">
        <v>4.7</v>
      </c>
      <c r="Q704" s="74">
        <v>7.8</v>
      </c>
      <c r="R704" s="50">
        <v>89</v>
      </c>
      <c r="S704" s="74">
        <v>101</v>
      </c>
      <c r="T704" s="50">
        <v>9.7000000000000003E-2</v>
      </c>
      <c r="U704" s="131">
        <v>1.8</v>
      </c>
      <c r="V704" s="50">
        <v>0.56999999999999995</v>
      </c>
      <c r="W704" s="74">
        <v>1.7000000000000001E-2</v>
      </c>
      <c r="X704" s="50">
        <v>0.16900000000000001</v>
      </c>
      <c r="Y704" s="74">
        <v>8.5000000000000006E-3</v>
      </c>
      <c r="Z704" s="271">
        <v>1</v>
      </c>
      <c r="AA704" s="271">
        <v>1</v>
      </c>
      <c r="AB704" s="114">
        <v>206</v>
      </c>
      <c r="AC704" s="50">
        <v>6130</v>
      </c>
      <c r="AD704" s="271">
        <v>0.65</v>
      </c>
      <c r="AE704" s="50"/>
      <c r="AF704" s="49"/>
      <c r="AG704" s="114"/>
      <c r="AH704" s="114"/>
      <c r="AI704" s="114"/>
      <c r="AJ704" s="114"/>
      <c r="AK704" s="114"/>
      <c r="AL704" s="114"/>
      <c r="AM704" s="114"/>
      <c r="AN704" s="114"/>
      <c r="AO704" s="114"/>
      <c r="AP704" s="114"/>
      <c r="AQ704" s="114"/>
      <c r="AR704" s="114"/>
      <c r="AS704" s="50"/>
      <c r="AT704" s="74"/>
      <c r="AU704" s="114"/>
      <c r="AV704" s="114"/>
      <c r="AW704" s="394"/>
      <c r="AX704" s="385"/>
      <c r="AY704" s="385"/>
      <c r="AZ704" s="385"/>
      <c r="BA704" s="385"/>
      <c r="BB704" s="385"/>
      <c r="BC704" s="385"/>
      <c r="BD704" s="385"/>
      <c r="BE704" s="385"/>
      <c r="BF704" s="385"/>
      <c r="BG704" s="385"/>
      <c r="BH704" s="385"/>
      <c r="BI704" s="385"/>
      <c r="BJ704" s="385"/>
      <c r="BK704" s="385"/>
      <c r="BL704" s="385"/>
      <c r="BM704" s="385"/>
      <c r="BN704" s="385"/>
      <c r="BO704" s="385"/>
      <c r="BP704" s="385"/>
      <c r="BQ704" s="385"/>
      <c r="BR704" s="385"/>
      <c r="BS704" s="385"/>
      <c r="BT704" s="385"/>
      <c r="BU704" s="385"/>
      <c r="BV704" s="385"/>
      <c r="BW704" s="385"/>
      <c r="BX704" s="385"/>
      <c r="BY704" s="385"/>
      <c r="BZ704" s="385"/>
      <c r="CA704" s="385"/>
    </row>
    <row r="705" spans="1:79" s="6" customFormat="1" ht="15" customHeight="1">
      <c r="A705" s="41" t="s">
        <v>183</v>
      </c>
      <c r="B705" s="402" t="s">
        <v>2598</v>
      </c>
      <c r="C705" s="113" t="s">
        <v>2599</v>
      </c>
      <c r="D705" s="393" t="s">
        <v>156</v>
      </c>
      <c r="E705" s="394" t="s">
        <v>2600</v>
      </c>
      <c r="F705" s="402"/>
      <c r="G705" s="405" t="s">
        <v>2601</v>
      </c>
      <c r="H705" s="74">
        <v>3081</v>
      </c>
      <c r="I705" s="50" t="s">
        <v>2</v>
      </c>
      <c r="J705" s="339" t="s">
        <v>1031</v>
      </c>
      <c r="K705" s="51">
        <v>41324</v>
      </c>
      <c r="L705" s="115">
        <v>41316</v>
      </c>
      <c r="M705" s="50">
        <f t="shared" si="31"/>
        <v>8</v>
      </c>
      <c r="N705" s="50" t="s">
        <v>2</v>
      </c>
      <c r="O705" s="131">
        <f>1.6/2</f>
        <v>0.8</v>
      </c>
      <c r="P705" s="50">
        <v>4.7</v>
      </c>
      <c r="Q705" s="74">
        <v>7.5</v>
      </c>
      <c r="R705" s="50">
        <v>44</v>
      </c>
      <c r="S705" s="74">
        <v>16</v>
      </c>
      <c r="T705" s="50">
        <v>2.3E-2</v>
      </c>
      <c r="U705" s="131">
        <v>1.2</v>
      </c>
      <c r="V705" s="50">
        <v>0.55000000000000004</v>
      </c>
      <c r="W705" s="74">
        <v>5.0000000000000001E-3</v>
      </c>
      <c r="X705" s="50">
        <v>0.17100000000000001</v>
      </c>
      <c r="Y705" s="74">
        <v>5.0000000000000001E-3</v>
      </c>
      <c r="Z705" s="271">
        <v>1</v>
      </c>
      <c r="AA705" s="271">
        <v>1</v>
      </c>
      <c r="AB705" s="114">
        <v>144</v>
      </c>
      <c r="AC705" s="50">
        <v>2230</v>
      </c>
      <c r="AD705" s="271">
        <v>1</v>
      </c>
      <c r="AE705" s="50"/>
      <c r="AF705" s="49"/>
      <c r="AG705" s="114"/>
      <c r="AH705" s="114"/>
      <c r="AI705" s="114"/>
      <c r="AJ705" s="114"/>
      <c r="AK705" s="114"/>
      <c r="AL705" s="114"/>
      <c r="AM705" s="114"/>
      <c r="AN705" s="114"/>
      <c r="AO705" s="114"/>
      <c r="AP705" s="114"/>
      <c r="AQ705" s="114"/>
      <c r="AR705" s="114"/>
      <c r="AS705" s="50"/>
      <c r="AT705" s="74"/>
      <c r="AU705" s="114"/>
      <c r="AV705" s="114"/>
      <c r="AW705" s="394"/>
      <c r="AX705" s="385"/>
      <c r="AY705" s="385"/>
      <c r="AZ705" s="385"/>
      <c r="BA705" s="385"/>
      <c r="BB705" s="385"/>
      <c r="BC705" s="385"/>
      <c r="BD705" s="385"/>
      <c r="BE705" s="385"/>
      <c r="BF705" s="385"/>
      <c r="BG705" s="385"/>
      <c r="BH705" s="385"/>
      <c r="BI705" s="385"/>
      <c r="BJ705" s="385"/>
      <c r="BK705" s="385"/>
      <c r="BL705" s="385"/>
      <c r="BM705" s="385"/>
      <c r="BN705" s="385"/>
      <c r="BO705" s="385"/>
      <c r="BP705" s="385"/>
      <c r="BQ705" s="385"/>
      <c r="BR705" s="385"/>
      <c r="BS705" s="385"/>
      <c r="BT705" s="385"/>
      <c r="BU705" s="385"/>
      <c r="BV705" s="385"/>
      <c r="BW705" s="385"/>
      <c r="BX705" s="385"/>
      <c r="BY705" s="385"/>
      <c r="BZ705" s="385"/>
      <c r="CA705" s="385"/>
    </row>
    <row r="706" spans="1:79" s="6" customFormat="1" ht="15" customHeight="1">
      <c r="A706" s="41" t="s">
        <v>183</v>
      </c>
      <c r="B706" s="402" t="s">
        <v>2602</v>
      </c>
      <c r="C706" s="113"/>
      <c r="D706" s="393" t="s">
        <v>117</v>
      </c>
      <c r="E706" s="394" t="s">
        <v>116</v>
      </c>
      <c r="F706" s="402"/>
      <c r="G706" s="405" t="s">
        <v>2603</v>
      </c>
      <c r="H706" s="74"/>
      <c r="I706" s="50"/>
      <c r="J706" s="339" t="s">
        <v>2604</v>
      </c>
      <c r="K706" s="51">
        <v>41170</v>
      </c>
      <c r="L706" s="115">
        <v>41156</v>
      </c>
      <c r="M706" s="50">
        <f t="shared" si="31"/>
        <v>14</v>
      </c>
      <c r="N706" s="50" t="s">
        <v>2</v>
      </c>
      <c r="O706" s="131">
        <f>0.5/2</f>
        <v>0.25</v>
      </c>
      <c r="P706" s="50">
        <v>4.5</v>
      </c>
      <c r="Q706" s="74">
        <v>6.8</v>
      </c>
      <c r="R706" s="50">
        <v>10</v>
      </c>
      <c r="S706" s="74">
        <v>3</v>
      </c>
      <c r="T706" s="50">
        <f>0.01/2</f>
        <v>5.0000000000000001E-3</v>
      </c>
      <c r="U706" s="131">
        <v>0.34</v>
      </c>
      <c r="V706" s="50">
        <v>0.46</v>
      </c>
      <c r="W706" s="74">
        <f>0.005/2</f>
        <v>2.5000000000000001E-3</v>
      </c>
      <c r="X706" s="50">
        <v>0.17</v>
      </c>
      <c r="Y706" s="74">
        <f>0.001/2</f>
        <v>5.0000000000000001E-4</v>
      </c>
      <c r="Z706" s="271">
        <v>1</v>
      </c>
      <c r="AA706" s="271">
        <v>1</v>
      </c>
      <c r="AB706" s="114">
        <v>6</v>
      </c>
      <c r="AC706" s="50">
        <v>45</v>
      </c>
      <c r="AD706" s="271">
        <v>1</v>
      </c>
      <c r="AE706" s="50"/>
      <c r="AF706" s="49"/>
      <c r="AG706" s="114"/>
      <c r="AH706" s="114"/>
      <c r="AI706" s="114"/>
      <c r="AJ706" s="114"/>
      <c r="AK706" s="114"/>
      <c r="AL706" s="114"/>
      <c r="AM706" s="114"/>
      <c r="AN706" s="114"/>
      <c r="AO706" s="114"/>
      <c r="AP706" s="114"/>
      <c r="AQ706" s="114"/>
      <c r="AR706" s="114"/>
      <c r="AS706" s="50"/>
      <c r="AT706" s="74"/>
      <c r="AU706" s="114"/>
      <c r="AV706" s="114"/>
      <c r="AW706" s="394"/>
      <c r="AX706" s="385"/>
      <c r="AY706" s="385"/>
      <c r="AZ706" s="385"/>
      <c r="BA706" s="385"/>
      <c r="BB706" s="385"/>
      <c r="BC706" s="385"/>
      <c r="BD706" s="385"/>
      <c r="BE706" s="385"/>
      <c r="BF706" s="385"/>
      <c r="BG706" s="385"/>
      <c r="BH706" s="385"/>
      <c r="BI706" s="385"/>
      <c r="BJ706" s="385"/>
      <c r="BK706" s="385"/>
      <c r="BL706" s="385"/>
      <c r="BM706" s="385"/>
      <c r="BN706" s="385"/>
      <c r="BO706" s="385"/>
      <c r="BP706" s="385"/>
      <c r="BQ706" s="385"/>
      <c r="BR706" s="385"/>
      <c r="BS706" s="385"/>
      <c r="BT706" s="385"/>
      <c r="BU706" s="385"/>
      <c r="BV706" s="385"/>
      <c r="BW706" s="385"/>
      <c r="BX706" s="385"/>
      <c r="BY706" s="385"/>
      <c r="BZ706" s="385"/>
      <c r="CA706" s="385"/>
    </row>
    <row r="707" spans="1:79" s="6" customFormat="1" ht="15" customHeight="1">
      <c r="A707" s="41" t="s">
        <v>183</v>
      </c>
      <c r="B707" s="402" t="s">
        <v>2605</v>
      </c>
      <c r="C707" s="113"/>
      <c r="D707" s="393" t="s">
        <v>1565</v>
      </c>
      <c r="E707" s="394" t="s">
        <v>2606</v>
      </c>
      <c r="F707" s="402"/>
      <c r="G707" s="405" t="s">
        <v>2607</v>
      </c>
      <c r="H707" s="74">
        <v>3429</v>
      </c>
      <c r="I707" s="50" t="s">
        <v>2</v>
      </c>
      <c r="J707" s="339" t="s">
        <v>2608</v>
      </c>
      <c r="K707" s="51">
        <v>41324</v>
      </c>
      <c r="L707" s="115">
        <v>41316</v>
      </c>
      <c r="M707" s="50">
        <f t="shared" si="31"/>
        <v>8</v>
      </c>
      <c r="N707" s="50" t="s">
        <v>1</v>
      </c>
      <c r="O707" s="131">
        <f>1.9/2</f>
        <v>0.95</v>
      </c>
      <c r="P707" s="50">
        <v>7.08</v>
      </c>
      <c r="Q707" s="74">
        <v>5.8</v>
      </c>
      <c r="R707" s="50">
        <f>20/2</f>
        <v>10</v>
      </c>
      <c r="S707" s="74">
        <v>11.8</v>
      </c>
      <c r="T707" s="50">
        <v>1.4999999999999999E-2</v>
      </c>
      <c r="U707" s="131">
        <v>1.6</v>
      </c>
      <c r="V707" s="50">
        <f>0.46/2</f>
        <v>0.23</v>
      </c>
      <c r="W707" s="74">
        <f>0.005/2</f>
        <v>2.5000000000000001E-3</v>
      </c>
      <c r="X707" s="50">
        <f>0.09</f>
        <v>0.09</v>
      </c>
      <c r="Y707" s="74">
        <f>0.0092/2</f>
        <v>4.5999999999999999E-3</v>
      </c>
      <c r="Z707" s="271"/>
      <c r="AA707" s="271"/>
      <c r="AB707" s="114"/>
      <c r="AC707" s="50"/>
      <c r="AD707" s="271"/>
      <c r="AE707" s="50"/>
      <c r="AF707" s="49"/>
      <c r="AG707" s="114"/>
      <c r="AH707" s="114"/>
      <c r="AI707" s="114"/>
      <c r="AJ707" s="114"/>
      <c r="AK707" s="114"/>
      <c r="AL707" s="114"/>
      <c r="AM707" s="114"/>
      <c r="AN707" s="114"/>
      <c r="AO707" s="114"/>
      <c r="AP707" s="114"/>
      <c r="AQ707" s="114"/>
      <c r="AR707" s="114"/>
      <c r="AS707" s="50"/>
      <c r="AT707" s="74"/>
      <c r="AU707" s="114"/>
      <c r="AV707" s="114"/>
      <c r="AW707" s="394"/>
      <c r="AX707" s="385"/>
      <c r="AY707" s="385"/>
      <c r="AZ707" s="385"/>
      <c r="BA707" s="385"/>
      <c r="BB707" s="385"/>
      <c r="BC707" s="385"/>
      <c r="BD707" s="385"/>
      <c r="BE707" s="385"/>
      <c r="BF707" s="385"/>
      <c r="BG707" s="385"/>
      <c r="BH707" s="385"/>
      <c r="BI707" s="385"/>
      <c r="BJ707" s="385"/>
      <c r="BK707" s="385"/>
      <c r="BL707" s="385"/>
      <c r="BM707" s="385"/>
      <c r="BN707" s="385"/>
      <c r="BO707" s="385"/>
      <c r="BP707" s="385"/>
      <c r="BQ707" s="385"/>
      <c r="BR707" s="385"/>
      <c r="BS707" s="385"/>
      <c r="BT707" s="385"/>
      <c r="BU707" s="385"/>
      <c r="BV707" s="385"/>
      <c r="BW707" s="385"/>
      <c r="BX707" s="385"/>
      <c r="BY707" s="385"/>
      <c r="BZ707" s="385"/>
      <c r="CA707" s="385"/>
    </row>
    <row r="708" spans="1:79" s="6" customFormat="1" ht="15" customHeight="1">
      <c r="A708" s="41" t="s">
        <v>183</v>
      </c>
      <c r="B708" s="402" t="s">
        <v>2643</v>
      </c>
      <c r="C708" s="113" t="s">
        <v>392</v>
      </c>
      <c r="D708" s="393" t="s">
        <v>290</v>
      </c>
      <c r="E708" s="394" t="s">
        <v>112</v>
      </c>
      <c r="F708" s="402"/>
      <c r="G708" s="405" t="s">
        <v>2644</v>
      </c>
      <c r="H708" s="74">
        <v>4953</v>
      </c>
      <c r="I708" s="50" t="s">
        <v>1</v>
      </c>
      <c r="J708" s="48" t="s">
        <v>2645</v>
      </c>
      <c r="K708" s="51">
        <v>41170</v>
      </c>
      <c r="L708" s="115">
        <v>41161</v>
      </c>
      <c r="M708" s="50">
        <f t="shared" si="31"/>
        <v>9</v>
      </c>
      <c r="N708" s="50" t="s">
        <v>2</v>
      </c>
      <c r="O708" s="131">
        <f>1.4/2</f>
        <v>0.7</v>
      </c>
      <c r="P708" s="50">
        <v>4.21</v>
      </c>
      <c r="Q708" s="74">
        <v>7.48</v>
      </c>
      <c r="R708" s="50">
        <v>47</v>
      </c>
      <c r="S708" s="74">
        <f>5/2</f>
        <v>2.5</v>
      </c>
      <c r="T708" s="50">
        <v>0.5</v>
      </c>
      <c r="U708" s="131">
        <v>1.62</v>
      </c>
      <c r="V708" s="50">
        <v>0.02</v>
      </c>
      <c r="W708" s="74">
        <v>6.0000000000000001E-3</v>
      </c>
      <c r="X708" s="50">
        <v>4.0000000000000001E-3</v>
      </c>
      <c r="Y708" s="74">
        <f>0.002/2</f>
        <v>1E-3</v>
      </c>
      <c r="Z708" s="271"/>
      <c r="AA708" s="271"/>
      <c r="AB708" s="114"/>
      <c r="AC708" s="50"/>
      <c r="AD708" s="271"/>
      <c r="AE708" s="50">
        <v>86</v>
      </c>
      <c r="AF708" s="49"/>
      <c r="AG708" s="114"/>
      <c r="AH708" s="114"/>
      <c r="AI708" s="114"/>
      <c r="AJ708" s="114"/>
      <c r="AK708" s="114"/>
      <c r="AL708" s="114"/>
      <c r="AM708" s="114"/>
      <c r="AN708" s="114"/>
      <c r="AO708" s="114"/>
      <c r="AP708" s="114"/>
      <c r="AQ708" s="114"/>
      <c r="AR708" s="114"/>
      <c r="AS708" s="50"/>
      <c r="AT708" s="74"/>
      <c r="AU708" s="114"/>
      <c r="AV708" s="114"/>
      <c r="AW708" s="394"/>
      <c r="AX708" s="385"/>
      <c r="AY708" s="385"/>
      <c r="AZ708" s="385"/>
      <c r="BA708" s="385"/>
      <c r="BB708" s="385"/>
      <c r="BC708" s="385"/>
      <c r="BD708" s="385"/>
      <c r="BE708" s="385"/>
      <c r="BF708" s="385"/>
      <c r="BG708" s="385"/>
      <c r="BH708" s="385"/>
      <c r="BI708" s="385"/>
      <c r="BJ708" s="385"/>
      <c r="BK708" s="385"/>
      <c r="BL708" s="385"/>
      <c r="BM708" s="385"/>
      <c r="BN708" s="385"/>
      <c r="BO708" s="385"/>
      <c r="BP708" s="385"/>
      <c r="BQ708" s="385"/>
      <c r="BR708" s="385"/>
      <c r="BS708" s="385"/>
      <c r="BT708" s="385"/>
      <c r="BU708" s="385"/>
      <c r="BV708" s="385"/>
      <c r="BW708" s="385"/>
      <c r="BX708" s="385"/>
      <c r="BY708" s="385"/>
      <c r="BZ708" s="385"/>
      <c r="CA708" s="385"/>
    </row>
    <row r="709" spans="1:79" s="6" customFormat="1" ht="15" customHeight="1">
      <c r="A709" s="41" t="s">
        <v>183</v>
      </c>
      <c r="B709" s="402" t="s">
        <v>2643</v>
      </c>
      <c r="C709" s="113" t="s">
        <v>392</v>
      </c>
      <c r="D709" s="393" t="s">
        <v>290</v>
      </c>
      <c r="E709" s="394" t="s">
        <v>112</v>
      </c>
      <c r="F709" s="402"/>
      <c r="G709" s="405" t="s">
        <v>2644</v>
      </c>
      <c r="H709" s="74">
        <v>4953</v>
      </c>
      <c r="I709" s="50" t="s">
        <v>1</v>
      </c>
      <c r="J709" s="48" t="s">
        <v>2645</v>
      </c>
      <c r="K709" s="51">
        <v>41044</v>
      </c>
      <c r="L709" s="115">
        <v>41039</v>
      </c>
      <c r="M709" s="50">
        <f t="shared" si="31"/>
        <v>5</v>
      </c>
      <c r="N709" s="50" t="s">
        <v>2</v>
      </c>
      <c r="O709" s="131">
        <f>1.4/2</f>
        <v>0.7</v>
      </c>
      <c r="P709" s="50">
        <v>5.21</v>
      </c>
      <c r="Q709" s="74">
        <v>7.13</v>
      </c>
      <c r="R709" s="50">
        <v>110</v>
      </c>
      <c r="S709" s="74">
        <v>19</v>
      </c>
      <c r="T709" s="50">
        <v>0.85</v>
      </c>
      <c r="U709" s="131">
        <v>2.3199999999999998</v>
      </c>
      <c r="V709" s="50">
        <v>0.44</v>
      </c>
      <c r="W709" s="74">
        <v>8.0000000000000002E-3</v>
      </c>
      <c r="X709" s="50">
        <v>2.8000000000000001E-2</v>
      </c>
      <c r="Y709" s="74">
        <v>5.0000000000000001E-3</v>
      </c>
      <c r="Z709" s="271">
        <v>1</v>
      </c>
      <c r="AA709" s="271">
        <v>1</v>
      </c>
      <c r="AB709" s="114">
        <v>36</v>
      </c>
      <c r="AC709" s="50">
        <v>125</v>
      </c>
      <c r="AD709" s="271"/>
      <c r="AE709" s="50"/>
      <c r="AF709" s="49"/>
      <c r="AG709" s="114"/>
      <c r="AH709" s="114"/>
      <c r="AI709" s="114"/>
      <c r="AJ709" s="114"/>
      <c r="AK709" s="114"/>
      <c r="AL709" s="114"/>
      <c r="AM709" s="114"/>
      <c r="AN709" s="114"/>
      <c r="AO709" s="114"/>
      <c r="AP709" s="114"/>
      <c r="AQ709" s="114"/>
      <c r="AR709" s="114"/>
      <c r="AS709" s="50"/>
      <c r="AT709" s="74"/>
      <c r="AU709" s="114"/>
      <c r="AV709" s="114"/>
      <c r="AW709" s="394"/>
      <c r="AX709" s="385"/>
      <c r="AY709" s="385"/>
      <c r="AZ709" s="385"/>
      <c r="BA709" s="385"/>
      <c r="BB709" s="385"/>
      <c r="BC709" s="385"/>
      <c r="BD709" s="385"/>
      <c r="BE709" s="385"/>
      <c r="BF709" s="385"/>
      <c r="BG709" s="385"/>
      <c r="BH709" s="385"/>
      <c r="BI709" s="385"/>
      <c r="BJ709" s="385"/>
      <c r="BK709" s="385"/>
      <c r="BL709" s="385"/>
      <c r="BM709" s="385"/>
      <c r="BN709" s="385"/>
      <c r="BO709" s="385"/>
      <c r="BP709" s="385"/>
      <c r="BQ709" s="385"/>
      <c r="BR709" s="385"/>
      <c r="BS709" s="385"/>
      <c r="BT709" s="385"/>
      <c r="BU709" s="385"/>
      <c r="BV709" s="385"/>
      <c r="BW709" s="385"/>
      <c r="BX709" s="385"/>
      <c r="BY709" s="385"/>
      <c r="BZ709" s="385"/>
      <c r="CA709" s="385"/>
    </row>
    <row r="710" spans="1:79" s="6" customFormat="1" ht="15" customHeight="1">
      <c r="A710" s="41" t="s">
        <v>183</v>
      </c>
      <c r="B710" s="402" t="s">
        <v>2643</v>
      </c>
      <c r="C710" s="113" t="s">
        <v>392</v>
      </c>
      <c r="D710" s="393" t="s">
        <v>290</v>
      </c>
      <c r="E710" s="394" t="s">
        <v>112</v>
      </c>
      <c r="F710" s="402"/>
      <c r="G710" s="405" t="s">
        <v>2644</v>
      </c>
      <c r="H710" s="74">
        <v>4953</v>
      </c>
      <c r="I710" s="50" t="s">
        <v>1</v>
      </c>
      <c r="J710" s="48" t="s">
        <v>2646</v>
      </c>
      <c r="K710" s="51">
        <v>41044</v>
      </c>
      <c r="L710" s="115">
        <v>41039</v>
      </c>
      <c r="M710" s="50">
        <f t="shared" si="31"/>
        <v>5</v>
      </c>
      <c r="N710" s="50" t="s">
        <v>2</v>
      </c>
      <c r="O710" s="131">
        <f>1.4/2</f>
        <v>0.7</v>
      </c>
      <c r="P710" s="50">
        <v>5.21</v>
      </c>
      <c r="Q710" s="74">
        <v>6.56</v>
      </c>
      <c r="R710" s="50">
        <v>76</v>
      </c>
      <c r="S710" s="74">
        <v>14</v>
      </c>
      <c r="T710" s="50">
        <v>0.21</v>
      </c>
      <c r="U710" s="131">
        <v>2.61</v>
      </c>
      <c r="V710" s="50">
        <v>0.48</v>
      </c>
      <c r="W710" s="74">
        <f>0.005/2</f>
        <v>2.5000000000000001E-3</v>
      </c>
      <c r="X710" s="50">
        <v>2.8000000000000001E-2</v>
      </c>
      <c r="Y710" s="74">
        <f>0.002/2</f>
        <v>1E-3</v>
      </c>
      <c r="Z710" s="271">
        <v>1</v>
      </c>
      <c r="AA710" s="271">
        <v>1</v>
      </c>
      <c r="AB710" s="114">
        <v>26</v>
      </c>
      <c r="AC710" s="50">
        <v>71</v>
      </c>
      <c r="AD710" s="271"/>
      <c r="AE710" s="50"/>
      <c r="AF710" s="49"/>
      <c r="AG710" s="114"/>
      <c r="AH710" s="114"/>
      <c r="AI710" s="114"/>
      <c r="AJ710" s="114"/>
      <c r="AK710" s="114"/>
      <c r="AL710" s="114"/>
      <c r="AM710" s="114"/>
      <c r="AN710" s="114"/>
      <c r="AO710" s="114"/>
      <c r="AP710" s="114"/>
      <c r="AQ710" s="114"/>
      <c r="AR710" s="114"/>
      <c r="AS710" s="50"/>
      <c r="AT710" s="74"/>
      <c r="AU710" s="114"/>
      <c r="AV710" s="114"/>
      <c r="AW710" s="394"/>
      <c r="AX710" s="385"/>
      <c r="AY710" s="385"/>
      <c r="AZ710" s="385"/>
      <c r="BA710" s="385"/>
      <c r="BB710" s="385"/>
      <c r="BC710" s="385"/>
      <c r="BD710" s="385"/>
      <c r="BE710" s="385"/>
      <c r="BF710" s="385"/>
      <c r="BG710" s="385"/>
      <c r="BH710" s="385"/>
      <c r="BI710" s="385"/>
      <c r="BJ710" s="385"/>
      <c r="BK710" s="385"/>
      <c r="BL710" s="385"/>
      <c r="BM710" s="385"/>
      <c r="BN710" s="385"/>
      <c r="BO710" s="385"/>
      <c r="BP710" s="385"/>
      <c r="BQ710" s="385"/>
      <c r="BR710" s="385"/>
      <c r="BS710" s="385"/>
      <c r="BT710" s="385"/>
      <c r="BU710" s="385"/>
      <c r="BV710" s="385"/>
      <c r="BW710" s="385"/>
      <c r="BX710" s="385"/>
      <c r="BY710" s="385"/>
      <c r="BZ710" s="385"/>
      <c r="CA710" s="385"/>
    </row>
    <row r="711" spans="1:79" s="6" customFormat="1" ht="15" customHeight="1">
      <c r="A711" s="41" t="s">
        <v>183</v>
      </c>
      <c r="B711" s="402" t="s">
        <v>2647</v>
      </c>
      <c r="C711" s="113" t="s">
        <v>2648</v>
      </c>
      <c r="D711" s="393" t="s">
        <v>1896</v>
      </c>
      <c r="E711" s="394" t="s">
        <v>1538</v>
      </c>
      <c r="F711" s="402"/>
      <c r="G711" s="405" t="s">
        <v>2649</v>
      </c>
      <c r="H711" s="74">
        <v>4952</v>
      </c>
      <c r="I711" s="50" t="s">
        <v>1</v>
      </c>
      <c r="J711" s="48" t="s">
        <v>460</v>
      </c>
      <c r="K711" s="51">
        <v>40996</v>
      </c>
      <c r="L711" s="115">
        <v>40981</v>
      </c>
      <c r="M711" s="50">
        <f t="shared" si="31"/>
        <v>15</v>
      </c>
      <c r="N711" s="50" t="s">
        <v>2</v>
      </c>
      <c r="O711" s="131">
        <v>3.8</v>
      </c>
      <c r="P711" s="50">
        <v>4.37</v>
      </c>
      <c r="Q711" s="74">
        <v>6.95</v>
      </c>
      <c r="R711" s="50">
        <v>126</v>
      </c>
      <c r="S711" s="74">
        <v>80</v>
      </c>
      <c r="T711" s="50">
        <v>0.4</v>
      </c>
      <c r="U711" s="131">
        <v>3.2</v>
      </c>
      <c r="V711" s="50">
        <v>0.6</v>
      </c>
      <c r="W711" s="74">
        <v>0.05</v>
      </c>
      <c r="X711" s="50">
        <v>0.192</v>
      </c>
      <c r="Y711" s="74">
        <v>3.7999999999999999E-2</v>
      </c>
      <c r="Z711" s="271">
        <v>1</v>
      </c>
      <c r="AA711" s="271">
        <v>1</v>
      </c>
      <c r="AB711" s="114">
        <v>46</v>
      </c>
      <c r="AC711" s="50">
        <v>131</v>
      </c>
      <c r="AD711" s="271">
        <v>1</v>
      </c>
      <c r="AE711" s="50"/>
      <c r="AF711" s="49"/>
      <c r="AG711" s="114"/>
      <c r="AH711" s="114"/>
      <c r="AI711" s="114"/>
      <c r="AJ711" s="114"/>
      <c r="AK711" s="114"/>
      <c r="AL711" s="114"/>
      <c r="AM711" s="114"/>
      <c r="AN711" s="114"/>
      <c r="AO711" s="114"/>
      <c r="AP711" s="114"/>
      <c r="AQ711" s="114"/>
      <c r="AR711" s="114"/>
      <c r="AS711" s="50"/>
      <c r="AT711" s="74"/>
      <c r="AU711" s="114"/>
      <c r="AV711" s="114"/>
      <c r="AW711" s="394"/>
      <c r="AX711" s="385"/>
      <c r="AY711" s="385"/>
      <c r="AZ711" s="385"/>
      <c r="BA711" s="385"/>
      <c r="BB711" s="385"/>
      <c r="BC711" s="385"/>
      <c r="BD711" s="385"/>
      <c r="BE711" s="385"/>
      <c r="BF711" s="385"/>
      <c r="BG711" s="385"/>
      <c r="BH711" s="385"/>
      <c r="BI711" s="385"/>
      <c r="BJ711" s="385"/>
      <c r="BK711" s="385"/>
      <c r="BL711" s="385"/>
      <c r="BM711" s="385"/>
      <c r="BN711" s="385"/>
      <c r="BO711" s="385"/>
      <c r="BP711" s="385"/>
      <c r="BQ711" s="385"/>
      <c r="BR711" s="385"/>
      <c r="BS711" s="385"/>
      <c r="BT711" s="385"/>
      <c r="BU711" s="385"/>
      <c r="BV711" s="385"/>
      <c r="BW711" s="385"/>
      <c r="BX711" s="385"/>
      <c r="BY711" s="385"/>
      <c r="BZ711" s="385"/>
      <c r="CA711" s="385"/>
    </row>
    <row r="712" spans="1:79" s="6" customFormat="1" ht="15" customHeight="1">
      <c r="A712" s="41" t="s">
        <v>183</v>
      </c>
      <c r="B712" s="402" t="s">
        <v>2617</v>
      </c>
      <c r="C712" s="113" t="s">
        <v>1332</v>
      </c>
      <c r="D712" s="393" t="s">
        <v>1569</v>
      </c>
      <c r="E712" s="394" t="s">
        <v>1579</v>
      </c>
      <c r="F712" s="402"/>
      <c r="G712" s="405" t="s">
        <v>2650</v>
      </c>
      <c r="H712" s="74">
        <v>4952</v>
      </c>
      <c r="I712" s="50" t="s">
        <v>1</v>
      </c>
      <c r="J712" s="48" t="s">
        <v>2651</v>
      </c>
      <c r="K712" s="51">
        <v>41171</v>
      </c>
      <c r="L712" s="115">
        <v>41157</v>
      </c>
      <c r="M712" s="50">
        <f t="shared" si="31"/>
        <v>14</v>
      </c>
      <c r="N712" s="50" t="s">
        <v>2</v>
      </c>
      <c r="O712" s="131">
        <f>1.4/2</f>
        <v>0.7</v>
      </c>
      <c r="P712" s="50">
        <v>6.78</v>
      </c>
      <c r="Q712" s="74">
        <v>5.04</v>
      </c>
      <c r="R712" s="50">
        <v>22</v>
      </c>
      <c r="S712" s="74">
        <f>5/2</f>
        <v>2.5</v>
      </c>
      <c r="T712" s="50">
        <v>0.09</v>
      </c>
      <c r="U712" s="131">
        <v>1.03</v>
      </c>
      <c r="V712" s="50">
        <v>0.45</v>
      </c>
      <c r="W712" s="74">
        <v>0.38</v>
      </c>
      <c r="X712" s="50">
        <v>0.49399999999999999</v>
      </c>
      <c r="Y712" s="74">
        <v>1.7999999999999999E-2</v>
      </c>
      <c r="Z712" s="271"/>
      <c r="AA712" s="271"/>
      <c r="AB712" s="114"/>
      <c r="AC712" s="50"/>
      <c r="AD712" s="271"/>
      <c r="AE712" s="50"/>
      <c r="AF712" s="49"/>
      <c r="AG712" s="114"/>
      <c r="AH712" s="114"/>
      <c r="AI712" s="114"/>
      <c r="AJ712" s="114"/>
      <c r="AK712" s="114"/>
      <c r="AL712" s="114"/>
      <c r="AM712" s="114"/>
      <c r="AN712" s="114"/>
      <c r="AO712" s="114"/>
      <c r="AP712" s="114"/>
      <c r="AQ712" s="114"/>
      <c r="AR712" s="114"/>
      <c r="AS712" s="50"/>
      <c r="AT712" s="74"/>
      <c r="AU712" s="114"/>
      <c r="AV712" s="114"/>
      <c r="AW712" s="394"/>
      <c r="AX712" s="385"/>
      <c r="AY712" s="385"/>
      <c r="AZ712" s="385"/>
      <c r="BA712" s="385"/>
      <c r="BB712" s="385"/>
      <c r="BC712" s="385"/>
      <c r="BD712" s="385"/>
      <c r="BE712" s="385"/>
      <c r="BF712" s="385"/>
      <c r="BG712" s="385"/>
      <c r="BH712" s="385"/>
      <c r="BI712" s="385"/>
      <c r="BJ712" s="385"/>
      <c r="BK712" s="385"/>
      <c r="BL712" s="385"/>
      <c r="BM712" s="385"/>
      <c r="BN712" s="385"/>
      <c r="BO712" s="385"/>
      <c r="BP712" s="385"/>
      <c r="BQ712" s="385"/>
      <c r="BR712" s="385"/>
      <c r="BS712" s="385"/>
      <c r="BT712" s="385"/>
      <c r="BU712" s="385"/>
      <c r="BV712" s="385"/>
      <c r="BW712" s="385"/>
      <c r="BX712" s="385"/>
      <c r="BY712" s="385"/>
      <c r="BZ712" s="385"/>
      <c r="CA712" s="385"/>
    </row>
    <row r="713" spans="1:79" s="6" customFormat="1" ht="15" customHeight="1">
      <c r="A713" s="41" t="s">
        <v>183</v>
      </c>
      <c r="B713" s="402" t="s">
        <v>2617</v>
      </c>
      <c r="C713" s="113" t="s">
        <v>1332</v>
      </c>
      <c r="D713" s="393" t="s">
        <v>1569</v>
      </c>
      <c r="E713" s="394" t="s">
        <v>1579</v>
      </c>
      <c r="F713" s="402"/>
      <c r="G713" s="405" t="s">
        <v>2650</v>
      </c>
      <c r="H713" s="74">
        <v>4952</v>
      </c>
      <c r="I713" s="50" t="s">
        <v>1</v>
      </c>
      <c r="J713" s="48" t="s">
        <v>2651</v>
      </c>
      <c r="K713" s="51">
        <v>41180</v>
      </c>
      <c r="L713" s="115">
        <v>41139</v>
      </c>
      <c r="M713" s="50">
        <f t="shared" si="31"/>
        <v>41</v>
      </c>
      <c r="N713" s="50" t="s">
        <v>2</v>
      </c>
      <c r="O713" s="131"/>
      <c r="P713" s="50"/>
      <c r="Q713" s="74"/>
      <c r="R713" s="50"/>
      <c r="S713" s="74"/>
      <c r="T713" s="50"/>
      <c r="U713" s="131"/>
      <c r="V713" s="50"/>
      <c r="W713" s="74"/>
      <c r="X713" s="50"/>
      <c r="Y713" s="74"/>
      <c r="Z713" s="271"/>
      <c r="AA713" s="271"/>
      <c r="AB713" s="114"/>
      <c r="AC713" s="50"/>
      <c r="AD713" s="271"/>
      <c r="AE713" s="50"/>
      <c r="AF713" s="49"/>
      <c r="AG713" s="114"/>
      <c r="AH713" s="114"/>
      <c r="AI713" s="114">
        <f>10/2</f>
        <v>5</v>
      </c>
      <c r="AJ713" s="114"/>
      <c r="AK713" s="114"/>
      <c r="AL713" s="114"/>
      <c r="AM713" s="114"/>
      <c r="AN713" s="114"/>
      <c r="AO713" s="114"/>
      <c r="AP713" s="114"/>
      <c r="AQ713" s="114"/>
      <c r="AR713" s="114"/>
      <c r="AS713" s="50"/>
      <c r="AT713" s="74"/>
      <c r="AU713" s="114"/>
      <c r="AV713" s="114"/>
      <c r="AW713" s="394"/>
      <c r="AX713" s="385"/>
      <c r="AY713" s="385"/>
      <c r="AZ713" s="385"/>
      <c r="BA713" s="385"/>
      <c r="BB713" s="385"/>
      <c r="BC713" s="385"/>
      <c r="BD713" s="385"/>
      <c r="BE713" s="385"/>
      <c r="BF713" s="385"/>
      <c r="BG713" s="385"/>
      <c r="BH713" s="385"/>
      <c r="BI713" s="385"/>
      <c r="BJ713" s="385"/>
      <c r="BK713" s="385"/>
      <c r="BL713" s="385"/>
      <c r="BM713" s="385"/>
      <c r="BN713" s="385"/>
      <c r="BO713" s="385"/>
      <c r="BP713" s="385"/>
      <c r="BQ713" s="385"/>
      <c r="BR713" s="385"/>
      <c r="BS713" s="385"/>
      <c r="BT713" s="385"/>
      <c r="BU713" s="385"/>
      <c r="BV713" s="385"/>
      <c r="BW713" s="385"/>
      <c r="BX713" s="385"/>
      <c r="BY713" s="385"/>
      <c r="BZ713" s="385"/>
      <c r="CA713" s="385"/>
    </row>
    <row r="714" spans="1:79" s="6" customFormat="1" ht="15" customHeight="1">
      <c r="A714" s="41" t="s">
        <v>183</v>
      </c>
      <c r="B714" s="402" t="s">
        <v>2617</v>
      </c>
      <c r="C714" s="113" t="s">
        <v>1332</v>
      </c>
      <c r="D714" s="393" t="s">
        <v>1569</v>
      </c>
      <c r="E714" s="394" t="s">
        <v>1579</v>
      </c>
      <c r="F714" s="402"/>
      <c r="G714" s="405" t="s">
        <v>2650</v>
      </c>
      <c r="H714" s="74">
        <v>4952</v>
      </c>
      <c r="I714" s="50" t="s">
        <v>1</v>
      </c>
      <c r="J714" s="48" t="s">
        <v>2652</v>
      </c>
      <c r="K714" s="51">
        <v>41021</v>
      </c>
      <c r="L714" s="115">
        <v>41011</v>
      </c>
      <c r="M714" s="50">
        <f t="shared" si="31"/>
        <v>10</v>
      </c>
      <c r="N714" s="50" t="s">
        <v>2</v>
      </c>
      <c r="O714" s="131">
        <f>1.4/2</f>
        <v>0.7</v>
      </c>
      <c r="P714" s="50">
        <v>6.58</v>
      </c>
      <c r="Q714" s="74">
        <v>3.78</v>
      </c>
      <c r="R714" s="50">
        <f>10/2</f>
        <v>5</v>
      </c>
      <c r="S714" s="74">
        <v>12</v>
      </c>
      <c r="T714" s="50">
        <v>0.03</v>
      </c>
      <c r="U714" s="131">
        <v>0.77</v>
      </c>
      <c r="V714" s="50">
        <v>0.73</v>
      </c>
      <c r="W714" s="74">
        <v>0.14299999999999999</v>
      </c>
      <c r="X714" s="50">
        <v>0.35899999999999999</v>
      </c>
      <c r="Y714" s="74">
        <v>0.01</v>
      </c>
      <c r="Z714" s="271">
        <v>6.25E-2</v>
      </c>
      <c r="AA714" s="271">
        <v>6.25E-2</v>
      </c>
      <c r="AB714" s="114">
        <v>4</v>
      </c>
      <c r="AC714" s="50">
        <v>13</v>
      </c>
      <c r="AD714" s="271">
        <v>0</v>
      </c>
      <c r="AE714" s="50"/>
      <c r="AF714" s="49"/>
      <c r="AG714" s="114"/>
      <c r="AH714" s="114"/>
      <c r="AI714" s="114"/>
      <c r="AJ714" s="114"/>
      <c r="AK714" s="114"/>
      <c r="AL714" s="114"/>
      <c r="AM714" s="114"/>
      <c r="AN714" s="114"/>
      <c r="AO714" s="114"/>
      <c r="AP714" s="114"/>
      <c r="AQ714" s="114"/>
      <c r="AR714" s="114"/>
      <c r="AS714" s="50"/>
      <c r="AT714" s="74"/>
      <c r="AU714" s="114"/>
      <c r="AV714" s="114"/>
      <c r="AW714" s="394"/>
      <c r="AX714" s="385"/>
      <c r="AY714" s="385"/>
      <c r="AZ714" s="385"/>
      <c r="BA714" s="385"/>
      <c r="BB714" s="385"/>
      <c r="BC714" s="385"/>
      <c r="BD714" s="385"/>
      <c r="BE714" s="385"/>
      <c r="BF714" s="385"/>
      <c r="BG714" s="385"/>
      <c r="BH714" s="385"/>
      <c r="BI714" s="385"/>
      <c r="BJ714" s="385"/>
      <c r="BK714" s="385"/>
      <c r="BL714" s="385"/>
      <c r="BM714" s="385"/>
      <c r="BN714" s="385"/>
      <c r="BO714" s="385"/>
      <c r="BP714" s="385"/>
      <c r="BQ714" s="385"/>
      <c r="BR714" s="385"/>
      <c r="BS714" s="385"/>
      <c r="BT714" s="385"/>
      <c r="BU714" s="385"/>
      <c r="BV714" s="385"/>
      <c r="BW714" s="385"/>
      <c r="BX714" s="385"/>
      <c r="BY714" s="385"/>
      <c r="BZ714" s="385"/>
      <c r="CA714" s="385"/>
    </row>
    <row r="715" spans="1:79" s="6" customFormat="1" ht="15" customHeight="1">
      <c r="A715" s="41" t="s">
        <v>183</v>
      </c>
      <c r="B715" s="402" t="s">
        <v>2622</v>
      </c>
      <c r="C715" s="113" t="s">
        <v>2653</v>
      </c>
      <c r="D715" s="393" t="s">
        <v>209</v>
      </c>
      <c r="E715" s="394" t="s">
        <v>2654</v>
      </c>
      <c r="F715" s="402"/>
      <c r="G715" s="405" t="s">
        <v>2655</v>
      </c>
      <c r="H715" s="74"/>
      <c r="I715" s="50" t="s">
        <v>2</v>
      </c>
      <c r="J715" s="48" t="s">
        <v>2656</v>
      </c>
      <c r="K715" s="51">
        <v>41184</v>
      </c>
      <c r="L715" s="115">
        <v>41179</v>
      </c>
      <c r="M715" s="50">
        <f t="shared" si="31"/>
        <v>5</v>
      </c>
      <c r="N715" s="50" t="s">
        <v>2</v>
      </c>
      <c r="O715" s="131">
        <v>1.5</v>
      </c>
      <c r="P715" s="50"/>
      <c r="Q715" s="74">
        <v>7.29</v>
      </c>
      <c r="R715" s="50">
        <v>21.1</v>
      </c>
      <c r="S715" s="74">
        <v>22</v>
      </c>
      <c r="T715" s="50">
        <v>0.312</v>
      </c>
      <c r="U715" s="131">
        <v>0.91</v>
      </c>
      <c r="V715" s="50">
        <v>0.13</v>
      </c>
      <c r="W715" s="74">
        <v>1.0200000000000001E-2</v>
      </c>
      <c r="X715" s="50">
        <v>4.2200000000000001E-2</v>
      </c>
      <c r="Y715" s="74">
        <f>0.0075/2</f>
        <v>3.7499999999999999E-3</v>
      </c>
      <c r="Z715" s="271">
        <v>1</v>
      </c>
      <c r="AA715" s="271">
        <v>1</v>
      </c>
      <c r="AB715" s="114">
        <v>18</v>
      </c>
      <c r="AC715" s="50">
        <v>30</v>
      </c>
      <c r="AD715" s="271">
        <v>1</v>
      </c>
      <c r="AE715" s="50"/>
      <c r="AF715" s="49"/>
      <c r="AG715" s="114"/>
      <c r="AH715" s="114"/>
      <c r="AI715" s="114"/>
      <c r="AJ715" s="114"/>
      <c r="AK715" s="114"/>
      <c r="AL715" s="114"/>
      <c r="AM715" s="114"/>
      <c r="AN715" s="114"/>
      <c r="AO715" s="114"/>
      <c r="AP715" s="114"/>
      <c r="AQ715" s="114"/>
      <c r="AR715" s="114"/>
      <c r="AS715" s="50"/>
      <c r="AT715" s="74"/>
      <c r="AU715" s="114"/>
      <c r="AV715" s="114"/>
      <c r="AW715" s="394"/>
      <c r="AX715" s="385"/>
      <c r="AY715" s="385"/>
      <c r="AZ715" s="385"/>
      <c r="BA715" s="385"/>
      <c r="BB715" s="385"/>
      <c r="BC715" s="385"/>
      <c r="BD715" s="385"/>
      <c r="BE715" s="385"/>
      <c r="BF715" s="385"/>
      <c r="BG715" s="385"/>
      <c r="BH715" s="385"/>
      <c r="BI715" s="385"/>
      <c r="BJ715" s="385"/>
      <c r="BK715" s="385"/>
      <c r="BL715" s="385"/>
      <c r="BM715" s="385"/>
      <c r="BN715" s="385"/>
      <c r="BO715" s="385"/>
      <c r="BP715" s="385"/>
      <c r="BQ715" s="385"/>
      <c r="BR715" s="385"/>
      <c r="BS715" s="385"/>
      <c r="BT715" s="385"/>
      <c r="BU715" s="385"/>
      <c r="BV715" s="385"/>
      <c r="BW715" s="385"/>
      <c r="BX715" s="385"/>
      <c r="BY715" s="385"/>
      <c r="BZ715" s="385"/>
      <c r="CA715" s="385"/>
    </row>
    <row r="716" spans="1:79" s="6" customFormat="1" ht="15" customHeight="1">
      <c r="A716" s="41" t="s">
        <v>183</v>
      </c>
      <c r="B716" s="402" t="s">
        <v>232</v>
      </c>
      <c r="C716" s="113" t="s">
        <v>2660</v>
      </c>
      <c r="D716" s="393" t="s">
        <v>234</v>
      </c>
      <c r="E716" s="394" t="s">
        <v>240</v>
      </c>
      <c r="F716" s="402"/>
      <c r="G716" s="405" t="s">
        <v>244</v>
      </c>
      <c r="H716" s="74">
        <v>4212</v>
      </c>
      <c r="I716" s="50" t="s">
        <v>2</v>
      </c>
      <c r="J716" s="48" t="s">
        <v>2661</v>
      </c>
      <c r="K716" s="51">
        <v>41044</v>
      </c>
      <c r="L716" s="115">
        <v>41039</v>
      </c>
      <c r="M716" s="50">
        <f t="shared" si="31"/>
        <v>5</v>
      </c>
      <c r="N716" s="50" t="s">
        <v>2</v>
      </c>
      <c r="O716" s="131">
        <v>3.4</v>
      </c>
      <c r="P716" s="50">
        <v>6.02</v>
      </c>
      <c r="Q716" s="74">
        <v>6.91</v>
      </c>
      <c r="R716" s="50">
        <v>130.80000000000001</v>
      </c>
      <c r="S716" s="74">
        <v>261</v>
      </c>
      <c r="T716" s="50">
        <v>0.75</v>
      </c>
      <c r="U716" s="131">
        <v>5.37</v>
      </c>
      <c r="V716" s="50">
        <v>0.3</v>
      </c>
      <c r="W716" s="74">
        <v>0.05</v>
      </c>
      <c r="X716" s="50">
        <v>0.39</v>
      </c>
      <c r="Y716" s="74">
        <v>0.06</v>
      </c>
      <c r="Z716" s="271">
        <v>1</v>
      </c>
      <c r="AA716" s="271">
        <v>1</v>
      </c>
      <c r="AB716" s="114">
        <v>37.799999999999997</v>
      </c>
      <c r="AC716" s="50">
        <v>259</v>
      </c>
      <c r="AD716" s="271">
        <v>1</v>
      </c>
      <c r="AE716" s="50"/>
      <c r="AF716" s="49"/>
      <c r="AG716" s="114"/>
      <c r="AH716" s="114"/>
      <c r="AI716" s="114"/>
      <c r="AJ716" s="114"/>
      <c r="AK716" s="114"/>
      <c r="AL716" s="114"/>
      <c r="AM716" s="114"/>
      <c r="AN716" s="114"/>
      <c r="AO716" s="114"/>
      <c r="AP716" s="114"/>
      <c r="AQ716" s="114"/>
      <c r="AR716" s="114"/>
      <c r="AS716" s="50"/>
      <c r="AT716" s="74"/>
      <c r="AU716" s="114"/>
      <c r="AV716" s="114"/>
      <c r="AW716" s="394"/>
      <c r="AX716" s="385"/>
      <c r="AY716" s="385"/>
      <c r="AZ716" s="385"/>
      <c r="BA716" s="385"/>
      <c r="BB716" s="385"/>
      <c r="BC716" s="385"/>
      <c r="BD716" s="385"/>
      <c r="BE716" s="385"/>
      <c r="BF716" s="385"/>
      <c r="BG716" s="385"/>
      <c r="BH716" s="385"/>
      <c r="BI716" s="385"/>
      <c r="BJ716" s="385"/>
      <c r="BK716" s="385"/>
      <c r="BL716" s="385"/>
      <c r="BM716" s="385"/>
      <c r="BN716" s="385"/>
      <c r="BO716" s="385"/>
      <c r="BP716" s="385"/>
      <c r="BQ716" s="385"/>
      <c r="BR716" s="385"/>
      <c r="BS716" s="385"/>
      <c r="BT716" s="385"/>
      <c r="BU716" s="385"/>
      <c r="BV716" s="385"/>
      <c r="BW716" s="385"/>
      <c r="BX716" s="385"/>
      <c r="BY716" s="385"/>
      <c r="BZ716" s="385"/>
      <c r="CA716" s="385"/>
    </row>
    <row r="717" spans="1:79" s="6" customFormat="1" ht="15" customHeight="1">
      <c r="A717" s="41" t="s">
        <v>183</v>
      </c>
      <c r="B717" s="402" t="s">
        <v>232</v>
      </c>
      <c r="C717" s="113" t="s">
        <v>237</v>
      </c>
      <c r="D717" s="393" t="s">
        <v>234</v>
      </c>
      <c r="E717" s="394" t="s">
        <v>235</v>
      </c>
      <c r="F717" s="402"/>
      <c r="G717" s="405" t="s">
        <v>236</v>
      </c>
      <c r="H717" s="74">
        <v>4952</v>
      </c>
      <c r="I717" s="50" t="s">
        <v>1</v>
      </c>
      <c r="J717" s="48" t="s">
        <v>237</v>
      </c>
      <c r="K717" s="51">
        <v>41044</v>
      </c>
      <c r="L717" s="115">
        <v>41039</v>
      </c>
      <c r="M717" s="50">
        <f t="shared" si="31"/>
        <v>5</v>
      </c>
      <c r="N717" s="50" t="s">
        <v>2</v>
      </c>
      <c r="O717" s="131">
        <f>1/2</f>
        <v>0.5</v>
      </c>
      <c r="P717" s="50">
        <v>6.24</v>
      </c>
      <c r="Q717" s="74">
        <v>6.9</v>
      </c>
      <c r="R717" s="50">
        <v>23.7</v>
      </c>
      <c r="S717" s="74">
        <v>9</v>
      </c>
      <c r="T717" s="50">
        <v>0.12</v>
      </c>
      <c r="U717" s="131">
        <v>1.34</v>
      </c>
      <c r="V717" s="50">
        <v>0.74</v>
      </c>
      <c r="W717" s="74">
        <v>0.01</v>
      </c>
      <c r="X717" s="50">
        <v>0.03</v>
      </c>
      <c r="Y717" s="74">
        <f>0.02/2</f>
        <v>0.01</v>
      </c>
      <c r="Z717" s="271">
        <v>1</v>
      </c>
      <c r="AA717" s="271">
        <v>1</v>
      </c>
      <c r="AB717" s="114">
        <v>28</v>
      </c>
      <c r="AC717" s="50">
        <v>127.9</v>
      </c>
      <c r="AD717" s="271">
        <v>0.95</v>
      </c>
      <c r="AE717" s="50"/>
      <c r="AF717" s="49"/>
      <c r="AG717" s="114"/>
      <c r="AH717" s="114"/>
      <c r="AI717" s="114"/>
      <c r="AJ717" s="114"/>
      <c r="AK717" s="114"/>
      <c r="AL717" s="114"/>
      <c r="AM717" s="114"/>
      <c r="AN717" s="114"/>
      <c r="AO717" s="114"/>
      <c r="AP717" s="114"/>
      <c r="AQ717" s="114"/>
      <c r="AR717" s="114"/>
      <c r="AS717" s="50"/>
      <c r="AT717" s="74"/>
      <c r="AU717" s="114"/>
      <c r="AV717" s="114"/>
      <c r="AW717" s="394"/>
      <c r="AX717" s="385"/>
      <c r="AY717" s="385"/>
      <c r="AZ717" s="385"/>
      <c r="BA717" s="385"/>
      <c r="BB717" s="385"/>
      <c r="BC717" s="385"/>
      <c r="BD717" s="385"/>
      <c r="BE717" s="385"/>
      <c r="BF717" s="385"/>
      <c r="BG717" s="385"/>
      <c r="BH717" s="385"/>
      <c r="BI717" s="385"/>
      <c r="BJ717" s="385"/>
      <c r="BK717" s="385"/>
      <c r="BL717" s="385"/>
      <c r="BM717" s="385"/>
      <c r="BN717" s="385"/>
      <c r="BO717" s="385"/>
      <c r="BP717" s="385"/>
      <c r="BQ717" s="385"/>
      <c r="BR717" s="385"/>
      <c r="BS717" s="385"/>
      <c r="BT717" s="385"/>
      <c r="BU717" s="385"/>
      <c r="BV717" s="385"/>
      <c r="BW717" s="385"/>
      <c r="BX717" s="385"/>
      <c r="BY717" s="385"/>
      <c r="BZ717" s="385"/>
      <c r="CA717" s="385"/>
    </row>
    <row r="718" spans="1:79" s="6" customFormat="1" ht="15" customHeight="1">
      <c r="A718" s="41" t="s">
        <v>183</v>
      </c>
      <c r="B718" s="402" t="s">
        <v>232</v>
      </c>
      <c r="C718" s="113" t="s">
        <v>238</v>
      </c>
      <c r="D718" s="393" t="s">
        <v>234</v>
      </c>
      <c r="E718" s="394" t="s">
        <v>235</v>
      </c>
      <c r="F718" s="402"/>
      <c r="G718" s="405" t="s">
        <v>236</v>
      </c>
      <c r="H718" s="74">
        <v>4952</v>
      </c>
      <c r="I718" s="50" t="s">
        <v>1</v>
      </c>
      <c r="J718" s="48" t="s">
        <v>238</v>
      </c>
      <c r="K718" s="51">
        <v>41044</v>
      </c>
      <c r="L718" s="115">
        <v>41039</v>
      </c>
      <c r="M718" s="50">
        <f t="shared" si="31"/>
        <v>5</v>
      </c>
      <c r="N718" s="50" t="s">
        <v>2</v>
      </c>
      <c r="O718" s="131">
        <f>1/2</f>
        <v>0.5</v>
      </c>
      <c r="P718" s="50">
        <v>6.32</v>
      </c>
      <c r="Q718" s="74">
        <v>6.91</v>
      </c>
      <c r="R718" s="50">
        <v>47</v>
      </c>
      <c r="S718" s="74">
        <v>36.5</v>
      </c>
      <c r="T718" s="50">
        <v>0.21</v>
      </c>
      <c r="U718" s="131">
        <v>2.4900000000000002</v>
      </c>
      <c r="V718" s="50">
        <v>0.75</v>
      </c>
      <c r="W718" s="74">
        <v>0.34</v>
      </c>
      <c r="X718" s="50">
        <v>7.0000000000000007E-2</v>
      </c>
      <c r="Y718" s="74">
        <f>0.02/2</f>
        <v>0.01</v>
      </c>
      <c r="Z718" s="271">
        <v>1</v>
      </c>
      <c r="AA718" s="271">
        <v>1</v>
      </c>
      <c r="AB718" s="114">
        <v>20</v>
      </c>
      <c r="AC718" s="50">
        <v>121.8</v>
      </c>
      <c r="AD718" s="271">
        <v>1</v>
      </c>
      <c r="AE718" s="50"/>
      <c r="AF718" s="49"/>
      <c r="AG718" s="114"/>
      <c r="AH718" s="114"/>
      <c r="AI718" s="114"/>
      <c r="AJ718" s="114"/>
      <c r="AK718" s="114"/>
      <c r="AL718" s="114"/>
      <c r="AM718" s="114"/>
      <c r="AN718" s="114"/>
      <c r="AO718" s="114"/>
      <c r="AP718" s="114"/>
      <c r="AQ718" s="114"/>
      <c r="AR718" s="114"/>
      <c r="AS718" s="50"/>
      <c r="AT718" s="74"/>
      <c r="AU718" s="114"/>
      <c r="AV718" s="114"/>
      <c r="AW718" s="394"/>
      <c r="AX718" s="385"/>
      <c r="AY718" s="385"/>
      <c r="AZ718" s="385"/>
      <c r="BA718" s="385"/>
      <c r="BB718" s="385"/>
      <c r="BC718" s="385"/>
      <c r="BD718" s="385"/>
      <c r="BE718" s="385"/>
      <c r="BF718" s="385"/>
      <c r="BG718" s="385"/>
      <c r="BH718" s="385"/>
      <c r="BI718" s="385"/>
      <c r="BJ718" s="385"/>
      <c r="BK718" s="385"/>
      <c r="BL718" s="385"/>
      <c r="BM718" s="385"/>
      <c r="BN718" s="385"/>
      <c r="BO718" s="385"/>
      <c r="BP718" s="385"/>
      <c r="BQ718" s="385"/>
      <c r="BR718" s="385"/>
      <c r="BS718" s="385"/>
      <c r="BT718" s="385"/>
      <c r="BU718" s="385"/>
      <c r="BV718" s="385"/>
      <c r="BW718" s="385"/>
      <c r="BX718" s="385"/>
      <c r="BY718" s="385"/>
      <c r="BZ718" s="385"/>
      <c r="CA718" s="385"/>
    </row>
    <row r="719" spans="1:79" s="6" customFormat="1" ht="15" customHeight="1">
      <c r="A719" s="41" t="s">
        <v>183</v>
      </c>
      <c r="B719" s="402" t="s">
        <v>2107</v>
      </c>
      <c r="C719" s="113" t="s">
        <v>1918</v>
      </c>
      <c r="D719" s="393" t="s">
        <v>884</v>
      </c>
      <c r="E719" s="394" t="s">
        <v>235</v>
      </c>
      <c r="F719" s="402"/>
      <c r="G719" s="405" t="s">
        <v>2662</v>
      </c>
      <c r="H719" s="74"/>
      <c r="I719" s="50" t="s">
        <v>1</v>
      </c>
      <c r="J719" s="48" t="s">
        <v>569</v>
      </c>
      <c r="K719" s="51">
        <v>41170</v>
      </c>
      <c r="L719" s="115">
        <v>41160</v>
      </c>
      <c r="M719" s="50">
        <f t="shared" si="31"/>
        <v>10</v>
      </c>
      <c r="N719" s="50" t="s">
        <v>2</v>
      </c>
      <c r="O719" s="131">
        <f>2/2</f>
        <v>1</v>
      </c>
      <c r="P719" s="50"/>
      <c r="Q719" s="74">
        <v>7.2</v>
      </c>
      <c r="R719" s="50">
        <v>19</v>
      </c>
      <c r="S719" s="74">
        <v>6</v>
      </c>
      <c r="T719" s="50">
        <v>0.32</v>
      </c>
      <c r="U719" s="131">
        <v>1.26</v>
      </c>
      <c r="V719" s="50">
        <v>0.81</v>
      </c>
      <c r="W719" s="74">
        <v>1.2E-2</v>
      </c>
      <c r="X719" s="50">
        <f>0.03/2</f>
        <v>1.4999999999999999E-2</v>
      </c>
      <c r="Y719" s="74">
        <f>0.03/2</f>
        <v>1.4999999999999999E-2</v>
      </c>
      <c r="Z719" s="271">
        <v>1</v>
      </c>
      <c r="AA719" s="271">
        <v>1</v>
      </c>
      <c r="AB719" s="114">
        <v>17</v>
      </c>
      <c r="AC719" s="50">
        <v>96</v>
      </c>
      <c r="AD719" s="271">
        <v>0.8</v>
      </c>
      <c r="AE719" s="50"/>
      <c r="AF719" s="49"/>
      <c r="AG719" s="114"/>
      <c r="AH719" s="114"/>
      <c r="AI719" s="114"/>
      <c r="AJ719" s="114"/>
      <c r="AK719" s="114"/>
      <c r="AL719" s="114"/>
      <c r="AM719" s="114"/>
      <c r="AN719" s="114"/>
      <c r="AO719" s="114"/>
      <c r="AP719" s="114"/>
      <c r="AQ719" s="114"/>
      <c r="AR719" s="114"/>
      <c r="AS719" s="50"/>
      <c r="AT719" s="74"/>
      <c r="AU719" s="114"/>
      <c r="AV719" s="114"/>
      <c r="AW719" s="394"/>
      <c r="AX719" s="385"/>
      <c r="AY719" s="385"/>
      <c r="AZ719" s="385"/>
      <c r="BA719" s="385"/>
      <c r="BB719" s="385"/>
      <c r="BC719" s="385"/>
      <c r="BD719" s="385"/>
      <c r="BE719" s="385"/>
      <c r="BF719" s="385"/>
      <c r="BG719" s="385"/>
      <c r="BH719" s="385"/>
      <c r="BI719" s="385"/>
      <c r="BJ719" s="385"/>
      <c r="BK719" s="385"/>
      <c r="BL719" s="385"/>
      <c r="BM719" s="385"/>
      <c r="BN719" s="385"/>
      <c r="BO719" s="385"/>
      <c r="BP719" s="385"/>
      <c r="BQ719" s="385"/>
      <c r="BR719" s="385"/>
      <c r="BS719" s="385"/>
      <c r="BT719" s="385"/>
      <c r="BU719" s="385"/>
      <c r="BV719" s="385"/>
      <c r="BW719" s="385"/>
      <c r="BX719" s="385"/>
      <c r="BY719" s="385"/>
      <c r="BZ719" s="385"/>
      <c r="CA719" s="385"/>
    </row>
    <row r="720" spans="1:79" s="6" customFormat="1" ht="15" customHeight="1">
      <c r="A720" s="41" t="s">
        <v>183</v>
      </c>
      <c r="B720" s="402" t="s">
        <v>519</v>
      </c>
      <c r="C720" s="113" t="s">
        <v>1332</v>
      </c>
      <c r="D720" s="393" t="s">
        <v>499</v>
      </c>
      <c r="E720" s="394" t="s">
        <v>49</v>
      </c>
      <c r="F720" s="402"/>
      <c r="G720" s="405" t="s">
        <v>1333</v>
      </c>
      <c r="H720" s="74">
        <v>4952</v>
      </c>
      <c r="I720" s="50" t="s">
        <v>1</v>
      </c>
      <c r="J720" s="48" t="s">
        <v>81</v>
      </c>
      <c r="K720" s="51">
        <v>41136</v>
      </c>
      <c r="L720" s="115">
        <v>41131</v>
      </c>
      <c r="M720" s="50">
        <f t="shared" si="31"/>
        <v>5</v>
      </c>
      <c r="N720" s="50" t="s">
        <v>2</v>
      </c>
      <c r="O720" s="131">
        <f>1.4/2</f>
        <v>0.7</v>
      </c>
      <c r="P720" s="50">
        <v>4.83</v>
      </c>
      <c r="Q720" s="74">
        <v>6.12</v>
      </c>
      <c r="R720" s="50">
        <v>133</v>
      </c>
      <c r="S720" s="74">
        <v>13</v>
      </c>
      <c r="T720" s="50">
        <v>0.11</v>
      </c>
      <c r="U720" s="131">
        <v>0.56999999999999995</v>
      </c>
      <c r="V720" s="50">
        <v>0.21</v>
      </c>
      <c r="W720" s="74">
        <v>5.0000000000000001E-3</v>
      </c>
      <c r="X720" s="50">
        <v>4.2999999999999997E-2</v>
      </c>
      <c r="Y720" s="74">
        <v>3.0000000000000001E-3</v>
      </c>
      <c r="Z720" s="271">
        <v>1</v>
      </c>
      <c r="AA720" s="271">
        <v>1</v>
      </c>
      <c r="AB720" s="114">
        <v>2</v>
      </c>
      <c r="AC720" s="50">
        <v>11</v>
      </c>
      <c r="AD720" s="271">
        <v>1</v>
      </c>
      <c r="AE720" s="50">
        <f>24200/2</f>
        <v>12100</v>
      </c>
      <c r="AF720" s="49"/>
      <c r="AG720" s="114"/>
      <c r="AH720" s="114"/>
      <c r="AI720" s="114"/>
      <c r="AJ720" s="114"/>
      <c r="AK720" s="114"/>
      <c r="AL720" s="114"/>
      <c r="AM720" s="114"/>
      <c r="AN720" s="114"/>
      <c r="AO720" s="114"/>
      <c r="AP720" s="114"/>
      <c r="AQ720" s="114"/>
      <c r="AR720" s="114"/>
      <c r="AS720" s="50"/>
      <c r="AT720" s="74"/>
      <c r="AU720" s="114"/>
      <c r="AV720" s="114"/>
      <c r="AW720" s="394"/>
      <c r="AX720" s="385"/>
      <c r="AY720" s="385"/>
      <c r="AZ720" s="385"/>
      <c r="BA720" s="385"/>
      <c r="BB720" s="385"/>
      <c r="BC720" s="385"/>
      <c r="BD720" s="385"/>
      <c r="BE720" s="385"/>
      <c r="BF720" s="385"/>
      <c r="BG720" s="385"/>
      <c r="BH720" s="385"/>
      <c r="BI720" s="385"/>
      <c r="BJ720" s="385"/>
      <c r="BK720" s="385"/>
      <c r="BL720" s="385"/>
      <c r="BM720" s="385"/>
      <c r="BN720" s="385"/>
      <c r="BO720" s="385"/>
      <c r="BP720" s="385"/>
      <c r="BQ720" s="385"/>
      <c r="BR720" s="385"/>
      <c r="BS720" s="385"/>
      <c r="BT720" s="385"/>
      <c r="BU720" s="385"/>
      <c r="BV720" s="385"/>
      <c r="BW720" s="385"/>
      <c r="BX720" s="385"/>
      <c r="BY720" s="385"/>
      <c r="BZ720" s="385"/>
      <c r="CA720" s="385"/>
    </row>
    <row r="721" spans="1:79" s="6" customFormat="1" ht="15" customHeight="1">
      <c r="A721" s="41" t="s">
        <v>183</v>
      </c>
      <c r="B721" s="402" t="s">
        <v>519</v>
      </c>
      <c r="C721" s="113" t="s">
        <v>1332</v>
      </c>
      <c r="D721" s="393" t="s">
        <v>499</v>
      </c>
      <c r="E721" s="394" t="s">
        <v>49</v>
      </c>
      <c r="F721" s="402"/>
      <c r="G721" s="405" t="s">
        <v>1333</v>
      </c>
      <c r="H721" s="74">
        <v>4952</v>
      </c>
      <c r="I721" s="50" t="s">
        <v>2</v>
      </c>
      <c r="J721" s="48" t="s">
        <v>81</v>
      </c>
      <c r="K721" s="51">
        <v>41259</v>
      </c>
      <c r="L721" s="115">
        <v>41253</v>
      </c>
      <c r="M721" s="50">
        <f t="shared" si="31"/>
        <v>6</v>
      </c>
      <c r="N721" s="50" t="s">
        <v>2</v>
      </c>
      <c r="O721" s="131">
        <f>1.4/2</f>
        <v>0.7</v>
      </c>
      <c r="P721" s="50">
        <v>5.48</v>
      </c>
      <c r="Q721" s="74">
        <v>6.12</v>
      </c>
      <c r="R721" s="50">
        <f>10/2</f>
        <v>5</v>
      </c>
      <c r="S721" s="74">
        <f>5/2</f>
        <v>2.5</v>
      </c>
      <c r="T721" s="50">
        <v>0.05</v>
      </c>
      <c r="U721" s="131">
        <v>0.67</v>
      </c>
      <c r="V721" s="50">
        <v>0.08</v>
      </c>
      <c r="W721" s="74">
        <v>4.0000000000000001E-3</v>
      </c>
      <c r="X721" s="50">
        <v>5.6000000000000001E-2</v>
      </c>
      <c r="Y721" s="74">
        <f>0.001/2</f>
        <v>5.0000000000000001E-4</v>
      </c>
      <c r="Z721" s="271">
        <v>1</v>
      </c>
      <c r="AA721" s="271">
        <v>1</v>
      </c>
      <c r="AB721" s="114">
        <v>4</v>
      </c>
      <c r="AC721" s="50">
        <v>13</v>
      </c>
      <c r="AD721" s="271"/>
      <c r="AE721" s="50">
        <v>960</v>
      </c>
      <c r="AF721" s="49"/>
      <c r="AG721" s="114"/>
      <c r="AH721" s="114"/>
      <c r="AI721" s="114"/>
      <c r="AJ721" s="114"/>
      <c r="AK721" s="114"/>
      <c r="AL721" s="114"/>
      <c r="AM721" s="114"/>
      <c r="AN721" s="114"/>
      <c r="AO721" s="114"/>
      <c r="AP721" s="114"/>
      <c r="AQ721" s="114"/>
      <c r="AR721" s="114"/>
      <c r="AS721" s="50"/>
      <c r="AT721" s="74"/>
      <c r="AU721" s="114"/>
      <c r="AV721" s="114"/>
      <c r="AW721" s="394"/>
      <c r="AX721" s="385"/>
      <c r="AY721" s="385"/>
      <c r="AZ721" s="385"/>
      <c r="BA721" s="385"/>
      <c r="BB721" s="385"/>
      <c r="BC721" s="385"/>
      <c r="BD721" s="385"/>
      <c r="BE721" s="385"/>
      <c r="BF721" s="385"/>
      <c r="BG721" s="385"/>
      <c r="BH721" s="385"/>
      <c r="BI721" s="385"/>
      <c r="BJ721" s="385"/>
      <c r="BK721" s="385"/>
      <c r="BL721" s="385"/>
      <c r="BM721" s="385"/>
      <c r="BN721" s="385"/>
      <c r="BO721" s="385"/>
      <c r="BP721" s="385"/>
      <c r="BQ721" s="385"/>
      <c r="BR721" s="385"/>
      <c r="BS721" s="385"/>
      <c r="BT721" s="385"/>
      <c r="BU721" s="385"/>
      <c r="BV721" s="385"/>
      <c r="BW721" s="385"/>
      <c r="BX721" s="385"/>
      <c r="BY721" s="385"/>
      <c r="BZ721" s="385"/>
      <c r="CA721" s="385"/>
    </row>
    <row r="722" spans="1:79" s="6" customFormat="1" ht="15" customHeight="1">
      <c r="A722" s="41" t="s">
        <v>183</v>
      </c>
      <c r="B722" s="402" t="s">
        <v>2663</v>
      </c>
      <c r="C722" s="113" t="s">
        <v>2664</v>
      </c>
      <c r="D722" s="393" t="s">
        <v>2665</v>
      </c>
      <c r="E722" s="394" t="s">
        <v>2666</v>
      </c>
      <c r="F722" s="402" t="s">
        <v>2667</v>
      </c>
      <c r="G722" s="405" t="s">
        <v>2668</v>
      </c>
      <c r="H722" s="74"/>
      <c r="I722" s="50" t="s">
        <v>1</v>
      </c>
      <c r="J722" s="48" t="s">
        <v>2669</v>
      </c>
      <c r="K722" s="51">
        <v>41170</v>
      </c>
      <c r="L722" s="115">
        <v>41160</v>
      </c>
      <c r="M722" s="50">
        <f t="shared" si="31"/>
        <v>10</v>
      </c>
      <c r="N722" s="50" t="s">
        <v>2</v>
      </c>
      <c r="O722" s="131">
        <v>5.8</v>
      </c>
      <c r="P722" s="50">
        <v>4.87</v>
      </c>
      <c r="Q722" s="74">
        <v>7.4</v>
      </c>
      <c r="R722" s="50">
        <v>37</v>
      </c>
      <c r="S722" s="74">
        <v>27</v>
      </c>
      <c r="T722" s="50">
        <f>0.01/2</f>
        <v>5.0000000000000001E-3</v>
      </c>
      <c r="U722" s="131">
        <v>1.43</v>
      </c>
      <c r="V722" s="50">
        <v>0.52</v>
      </c>
      <c r="W722" s="74">
        <v>0.02</v>
      </c>
      <c r="X722" s="50">
        <v>0.28999999999999998</v>
      </c>
      <c r="Y722" s="74">
        <v>8.0000000000000002E-3</v>
      </c>
      <c r="Z722" s="271"/>
      <c r="AA722" s="271"/>
      <c r="AB722" s="114"/>
      <c r="AC722" s="50"/>
      <c r="AD722" s="271"/>
      <c r="AE722" s="50"/>
      <c r="AF722" s="49"/>
      <c r="AG722" s="114"/>
      <c r="AH722" s="114"/>
      <c r="AI722" s="114"/>
      <c r="AJ722" s="114"/>
      <c r="AK722" s="114"/>
      <c r="AL722" s="114"/>
      <c r="AM722" s="114"/>
      <c r="AN722" s="114"/>
      <c r="AO722" s="114"/>
      <c r="AP722" s="114"/>
      <c r="AQ722" s="114"/>
      <c r="AR722" s="114"/>
      <c r="AS722" s="50"/>
      <c r="AT722" s="74"/>
      <c r="AU722" s="114"/>
      <c r="AV722" s="114"/>
      <c r="AW722" s="394"/>
      <c r="AX722" s="385"/>
      <c r="AY722" s="385"/>
      <c r="AZ722" s="385"/>
      <c r="BA722" s="385"/>
      <c r="BB722" s="385"/>
      <c r="BC722" s="385"/>
      <c r="BD722" s="385"/>
      <c r="BE722" s="385"/>
      <c r="BF722" s="385"/>
      <c r="BG722" s="385"/>
      <c r="BH722" s="385"/>
      <c r="BI722" s="385"/>
      <c r="BJ722" s="385"/>
      <c r="BK722" s="385"/>
      <c r="BL722" s="385"/>
      <c r="BM722" s="385"/>
      <c r="BN722" s="385"/>
      <c r="BO722" s="385"/>
      <c r="BP722" s="385"/>
      <c r="BQ722" s="385"/>
      <c r="BR722" s="385"/>
      <c r="BS722" s="385"/>
      <c r="BT722" s="385"/>
      <c r="BU722" s="385"/>
      <c r="BV722" s="385"/>
      <c r="BW722" s="385"/>
      <c r="BX722" s="385"/>
      <c r="BY722" s="385"/>
      <c r="BZ722" s="385"/>
      <c r="CA722" s="385"/>
    </row>
    <row r="723" spans="1:79" s="6" customFormat="1" ht="15" customHeight="1">
      <c r="A723" s="41" t="s">
        <v>183</v>
      </c>
      <c r="B723" s="402" t="s">
        <v>2663</v>
      </c>
      <c r="C723" s="113" t="s">
        <v>2670</v>
      </c>
      <c r="D723" s="393" t="s">
        <v>2665</v>
      </c>
      <c r="E723" s="394" t="s">
        <v>2666</v>
      </c>
      <c r="F723" s="402" t="s">
        <v>2667</v>
      </c>
      <c r="G723" s="405" t="s">
        <v>2668</v>
      </c>
      <c r="H723" s="74"/>
      <c r="I723" s="50"/>
      <c r="J723" s="48" t="s">
        <v>2670</v>
      </c>
      <c r="K723" s="51">
        <v>41170</v>
      </c>
      <c r="L723" s="115">
        <v>41160</v>
      </c>
      <c r="M723" s="50">
        <f t="shared" si="31"/>
        <v>10</v>
      </c>
      <c r="N723" s="50" t="s">
        <v>2</v>
      </c>
      <c r="O723" s="131">
        <v>0.7</v>
      </c>
      <c r="P723" s="50">
        <v>4.87</v>
      </c>
      <c r="Q723" s="74">
        <v>7.5</v>
      </c>
      <c r="R723" s="50">
        <v>34</v>
      </c>
      <c r="S723" s="74">
        <v>6</v>
      </c>
      <c r="T723" s="50">
        <v>0.1</v>
      </c>
      <c r="U723" s="131">
        <v>0.46</v>
      </c>
      <c r="V723" s="50">
        <v>0.36</v>
      </c>
      <c r="W723" s="74">
        <v>0.02</v>
      </c>
      <c r="X723" s="50">
        <v>0.03</v>
      </c>
      <c r="Y723" s="74">
        <f>0.001/2</f>
        <v>5.0000000000000001E-4</v>
      </c>
      <c r="Z723" s="271"/>
      <c r="AA723" s="271"/>
      <c r="AB723" s="114"/>
      <c r="AC723" s="50"/>
      <c r="AD723" s="271"/>
      <c r="AE723" s="50">
        <v>21</v>
      </c>
      <c r="AF723" s="49">
        <f>0.01/2</f>
        <v>5.0000000000000001E-3</v>
      </c>
      <c r="AG723" s="114"/>
      <c r="AH723" s="114"/>
      <c r="AI723" s="114"/>
      <c r="AJ723" s="114"/>
      <c r="AK723" s="114"/>
      <c r="AL723" s="114"/>
      <c r="AM723" s="114"/>
      <c r="AN723" s="114"/>
      <c r="AO723" s="114"/>
      <c r="AP723" s="114"/>
      <c r="AQ723" s="114"/>
      <c r="AR723" s="114"/>
      <c r="AS723" s="50"/>
      <c r="AT723" s="74"/>
      <c r="AU723" s="114"/>
      <c r="AV723" s="114"/>
      <c r="AW723" s="394"/>
      <c r="AX723" s="385"/>
      <c r="AY723" s="385"/>
      <c r="AZ723" s="385"/>
      <c r="BA723" s="385"/>
      <c r="BB723" s="385"/>
      <c r="BC723" s="385"/>
      <c r="BD723" s="385"/>
      <c r="BE723" s="385"/>
      <c r="BF723" s="385"/>
      <c r="BG723" s="385"/>
      <c r="BH723" s="385"/>
      <c r="BI723" s="385"/>
      <c r="BJ723" s="385"/>
      <c r="BK723" s="385"/>
      <c r="BL723" s="385"/>
      <c r="BM723" s="385"/>
      <c r="BN723" s="385"/>
      <c r="BO723" s="385"/>
      <c r="BP723" s="385"/>
      <c r="BQ723" s="385"/>
      <c r="BR723" s="385"/>
      <c r="BS723" s="385"/>
      <c r="BT723" s="385"/>
      <c r="BU723" s="385"/>
      <c r="BV723" s="385"/>
      <c r="BW723" s="385"/>
      <c r="BX723" s="385"/>
      <c r="BY723" s="385"/>
      <c r="BZ723" s="385"/>
      <c r="CA723" s="385"/>
    </row>
    <row r="724" spans="1:79" s="6" customFormat="1" ht="15" customHeight="1">
      <c r="A724" s="41" t="s">
        <v>183</v>
      </c>
      <c r="B724" s="402" t="s">
        <v>2663</v>
      </c>
      <c r="C724" s="113" t="s">
        <v>2671</v>
      </c>
      <c r="D724" s="393" t="s">
        <v>2665</v>
      </c>
      <c r="E724" s="394" t="s">
        <v>2666</v>
      </c>
      <c r="F724" s="402" t="s">
        <v>2667</v>
      </c>
      <c r="G724" s="405" t="s">
        <v>2668</v>
      </c>
      <c r="H724" s="74"/>
      <c r="I724" s="50" t="s">
        <v>1</v>
      </c>
      <c r="J724" s="48" t="s">
        <v>2672</v>
      </c>
      <c r="K724" s="51">
        <v>41021</v>
      </c>
      <c r="L724" s="115">
        <v>41000</v>
      </c>
      <c r="M724" s="50">
        <f t="shared" si="31"/>
        <v>21</v>
      </c>
      <c r="N724" s="50" t="s">
        <v>2</v>
      </c>
      <c r="O724" s="131">
        <v>7</v>
      </c>
      <c r="P724" s="50">
        <v>6.7</v>
      </c>
      <c r="Q724" s="74">
        <v>7</v>
      </c>
      <c r="R724" s="50">
        <v>5</v>
      </c>
      <c r="S724" s="74">
        <v>14</v>
      </c>
      <c r="T724" s="50">
        <v>0.03</v>
      </c>
      <c r="U724" s="131">
        <v>0.95</v>
      </c>
      <c r="V724" s="50">
        <v>0.27</v>
      </c>
      <c r="W724" s="74">
        <v>0.01</v>
      </c>
      <c r="X724" s="50">
        <v>0.11</v>
      </c>
      <c r="Y724" s="74">
        <f>0.001/2</f>
        <v>5.0000000000000001E-4</v>
      </c>
      <c r="Z724" s="271">
        <v>1</v>
      </c>
      <c r="AA724" s="271">
        <v>1</v>
      </c>
      <c r="AB724" s="114">
        <v>20</v>
      </c>
      <c r="AC724" s="50">
        <v>73</v>
      </c>
      <c r="AD724" s="271">
        <v>1</v>
      </c>
      <c r="AE724" s="50"/>
      <c r="AF724" s="49"/>
      <c r="AG724" s="114"/>
      <c r="AH724" s="114"/>
      <c r="AI724" s="114"/>
      <c r="AJ724" s="114"/>
      <c r="AK724" s="114"/>
      <c r="AL724" s="114"/>
      <c r="AM724" s="114"/>
      <c r="AN724" s="114"/>
      <c r="AO724" s="114"/>
      <c r="AP724" s="114"/>
      <c r="AQ724" s="114"/>
      <c r="AR724" s="114"/>
      <c r="AS724" s="50"/>
      <c r="AT724" s="74"/>
      <c r="AU724" s="114"/>
      <c r="AV724" s="114"/>
      <c r="AW724" s="394"/>
      <c r="AX724" s="385"/>
      <c r="AY724" s="385"/>
      <c r="AZ724" s="385"/>
      <c r="BA724" s="385"/>
      <c r="BB724" s="385"/>
      <c r="BC724" s="385"/>
      <c r="BD724" s="385"/>
      <c r="BE724" s="385"/>
      <c r="BF724" s="385"/>
      <c r="BG724" s="385"/>
      <c r="BH724" s="385"/>
      <c r="BI724" s="385"/>
      <c r="BJ724" s="385"/>
      <c r="BK724" s="385"/>
      <c r="BL724" s="385"/>
      <c r="BM724" s="385"/>
      <c r="BN724" s="385"/>
      <c r="BO724" s="385"/>
      <c r="BP724" s="385"/>
      <c r="BQ724" s="385"/>
      <c r="BR724" s="385"/>
      <c r="BS724" s="385"/>
      <c r="BT724" s="385"/>
      <c r="BU724" s="385"/>
      <c r="BV724" s="385"/>
      <c r="BW724" s="385"/>
      <c r="BX724" s="385"/>
      <c r="BY724" s="385"/>
      <c r="BZ724" s="385"/>
      <c r="CA724" s="385"/>
    </row>
    <row r="725" spans="1:79" s="6" customFormat="1" ht="15" customHeight="1">
      <c r="A725" s="41" t="s">
        <v>183</v>
      </c>
      <c r="B725" s="402" t="s">
        <v>2663</v>
      </c>
      <c r="C725" s="113" t="s">
        <v>2670</v>
      </c>
      <c r="D725" s="393" t="s">
        <v>2665</v>
      </c>
      <c r="E725" s="394" t="s">
        <v>2666</v>
      </c>
      <c r="F725" s="402" t="s">
        <v>2667</v>
      </c>
      <c r="G725" s="405" t="s">
        <v>2668</v>
      </c>
      <c r="H725" s="74"/>
      <c r="I725" s="50"/>
      <c r="J725" s="48" t="s">
        <v>2670</v>
      </c>
      <c r="K725" s="51">
        <v>41021</v>
      </c>
      <c r="L725" s="115">
        <v>41000</v>
      </c>
      <c r="M725" s="50">
        <f t="shared" si="31"/>
        <v>21</v>
      </c>
      <c r="N725" s="50" t="s">
        <v>2</v>
      </c>
      <c r="O725" s="131">
        <v>6.7</v>
      </c>
      <c r="P725" s="50">
        <v>6.7</v>
      </c>
      <c r="Q725" s="74">
        <v>9</v>
      </c>
      <c r="R725" s="50">
        <f>5/2</f>
        <v>2.5</v>
      </c>
      <c r="S725" s="74">
        <v>22</v>
      </c>
      <c r="T725" s="50">
        <v>0.06</v>
      </c>
      <c r="U725" s="131">
        <v>0.47</v>
      </c>
      <c r="V725" s="50">
        <v>0.52</v>
      </c>
      <c r="W725" s="74">
        <v>0.01</v>
      </c>
      <c r="X725" s="50">
        <v>0.05</v>
      </c>
      <c r="Y725" s="74">
        <f>0.001/2</f>
        <v>5.0000000000000001E-4</v>
      </c>
      <c r="Z725" s="271">
        <v>1</v>
      </c>
      <c r="AA725" s="271">
        <v>1</v>
      </c>
      <c r="AB725" s="114">
        <v>17</v>
      </c>
      <c r="AC725" s="50">
        <v>1910</v>
      </c>
      <c r="AD725" s="271">
        <v>1</v>
      </c>
      <c r="AE725" s="50"/>
      <c r="AF725" s="49">
        <f>0.01/2</f>
        <v>5.0000000000000001E-3</v>
      </c>
      <c r="AG725" s="114"/>
      <c r="AH725" s="114"/>
      <c r="AI725" s="114"/>
      <c r="AJ725" s="114"/>
      <c r="AK725" s="114"/>
      <c r="AL725" s="114"/>
      <c r="AM725" s="114"/>
      <c r="AN725" s="114"/>
      <c r="AO725" s="114"/>
      <c r="AP725" s="114"/>
      <c r="AQ725" s="114"/>
      <c r="AR725" s="114"/>
      <c r="AS725" s="50">
        <f>0.01/2</f>
        <v>5.0000000000000001E-3</v>
      </c>
      <c r="AT725" s="74"/>
      <c r="AU725" s="114"/>
      <c r="AV725" s="114"/>
      <c r="AW725" s="394"/>
      <c r="AX725" s="385"/>
      <c r="AY725" s="385"/>
      <c r="AZ725" s="385"/>
      <c r="BA725" s="385"/>
      <c r="BB725" s="385"/>
      <c r="BC725" s="385"/>
      <c r="BD725" s="385"/>
      <c r="BE725" s="385"/>
      <c r="BF725" s="385"/>
      <c r="BG725" s="385"/>
      <c r="BH725" s="385"/>
      <c r="BI725" s="385"/>
      <c r="BJ725" s="385"/>
      <c r="BK725" s="385"/>
      <c r="BL725" s="385"/>
      <c r="BM725" s="385"/>
      <c r="BN725" s="385"/>
      <c r="BO725" s="385"/>
      <c r="BP725" s="385"/>
      <c r="BQ725" s="385"/>
      <c r="BR725" s="385"/>
      <c r="BS725" s="385"/>
      <c r="BT725" s="385"/>
      <c r="BU725" s="385"/>
      <c r="BV725" s="385"/>
      <c r="BW725" s="385"/>
      <c r="BX725" s="385"/>
      <c r="BY725" s="385"/>
      <c r="BZ725" s="385"/>
      <c r="CA725" s="385"/>
    </row>
    <row r="726" spans="1:79" s="6" customFormat="1" ht="15" customHeight="1">
      <c r="A726" s="41" t="s">
        <v>183</v>
      </c>
      <c r="B726" s="402" t="s">
        <v>2673</v>
      </c>
      <c r="C726" s="113" t="s">
        <v>2223</v>
      </c>
      <c r="D726" s="393" t="s">
        <v>372</v>
      </c>
      <c r="E726" s="394" t="s">
        <v>2224</v>
      </c>
      <c r="F726" s="85" t="s">
        <v>2683</v>
      </c>
      <c r="G726" s="405" t="s">
        <v>2226</v>
      </c>
      <c r="H726" s="74">
        <v>4212</v>
      </c>
      <c r="I726" s="50"/>
      <c r="J726" s="48" t="s">
        <v>2674</v>
      </c>
      <c r="K726" s="51">
        <v>41021</v>
      </c>
      <c r="L726" s="115">
        <v>41018</v>
      </c>
      <c r="M726" s="50">
        <f t="shared" si="31"/>
        <v>3</v>
      </c>
      <c r="N726" s="50" t="s">
        <v>2</v>
      </c>
      <c r="O726" s="131">
        <f>5/2</f>
        <v>2.5</v>
      </c>
      <c r="P726" s="50">
        <v>6.9</v>
      </c>
      <c r="Q726" s="74">
        <v>6.34</v>
      </c>
      <c r="R726" s="50">
        <f>2/2</f>
        <v>1</v>
      </c>
      <c r="S726" s="74">
        <v>12</v>
      </c>
      <c r="T726" s="50">
        <v>0.32</v>
      </c>
      <c r="U726" s="131">
        <v>0.44</v>
      </c>
      <c r="V726" s="50">
        <f>0.25/2</f>
        <v>0.125</v>
      </c>
      <c r="W726" s="74">
        <v>0.05</v>
      </c>
      <c r="X726" s="50">
        <v>0.02</v>
      </c>
      <c r="Y726" s="74">
        <v>6.0000000000000001E-3</v>
      </c>
      <c r="Z726" s="271">
        <v>1</v>
      </c>
      <c r="AA726" s="271">
        <v>0.29799999999999999</v>
      </c>
      <c r="AB726" s="114">
        <v>2</v>
      </c>
      <c r="AC726" s="50">
        <v>42</v>
      </c>
      <c r="AD726" s="271">
        <v>0.2</v>
      </c>
      <c r="AE726" s="50"/>
      <c r="AF726" s="49"/>
      <c r="AG726" s="114"/>
      <c r="AH726" s="114"/>
      <c r="AI726" s="114"/>
      <c r="AJ726" s="114"/>
      <c r="AK726" s="114"/>
      <c r="AL726" s="114"/>
      <c r="AM726" s="114"/>
      <c r="AN726" s="114"/>
      <c r="AO726" s="114"/>
      <c r="AP726" s="114"/>
      <c r="AQ726" s="114"/>
      <c r="AR726" s="114"/>
      <c r="AS726" s="50"/>
      <c r="AT726" s="74"/>
      <c r="AU726" s="114"/>
      <c r="AV726" s="114"/>
      <c r="AW726" s="394"/>
      <c r="AX726" s="385"/>
      <c r="AY726" s="385"/>
      <c r="AZ726" s="385"/>
      <c r="BA726" s="385"/>
      <c r="BB726" s="385"/>
      <c r="BC726" s="385"/>
      <c r="BD726" s="385"/>
      <c r="BE726" s="385"/>
      <c r="BF726" s="385"/>
      <c r="BG726" s="385"/>
      <c r="BH726" s="385"/>
      <c r="BI726" s="385"/>
      <c r="BJ726" s="385"/>
      <c r="BK726" s="385"/>
      <c r="BL726" s="385"/>
      <c r="BM726" s="385"/>
      <c r="BN726" s="385"/>
      <c r="BO726" s="385"/>
      <c r="BP726" s="385"/>
      <c r="BQ726" s="385"/>
      <c r="BR726" s="385"/>
      <c r="BS726" s="385"/>
      <c r="BT726" s="385"/>
      <c r="BU726" s="385"/>
      <c r="BV726" s="385"/>
      <c r="BW726" s="385"/>
      <c r="BX726" s="385"/>
      <c r="BY726" s="385"/>
      <c r="BZ726" s="385"/>
      <c r="CA726" s="385"/>
    </row>
    <row r="727" spans="1:79" s="6" customFormat="1" ht="15" customHeight="1">
      <c r="A727" s="41" t="s">
        <v>183</v>
      </c>
      <c r="B727" s="402" t="s">
        <v>2673</v>
      </c>
      <c r="C727" s="113" t="s">
        <v>2223</v>
      </c>
      <c r="D727" s="393" t="s">
        <v>372</v>
      </c>
      <c r="E727" s="394" t="s">
        <v>2224</v>
      </c>
      <c r="F727" s="85" t="s">
        <v>2683</v>
      </c>
      <c r="G727" s="405" t="s">
        <v>2226</v>
      </c>
      <c r="H727" s="74">
        <v>4212</v>
      </c>
      <c r="I727" s="50"/>
      <c r="J727" s="48" t="s">
        <v>2674</v>
      </c>
      <c r="K727" s="51">
        <v>41247</v>
      </c>
      <c r="L727" s="115">
        <v>41244</v>
      </c>
      <c r="M727" s="50">
        <f t="shared" si="31"/>
        <v>3</v>
      </c>
      <c r="N727" s="50" t="s">
        <v>2</v>
      </c>
      <c r="O727" s="131">
        <f>5/2</f>
        <v>2.5</v>
      </c>
      <c r="P727" s="50">
        <v>6.41</v>
      </c>
      <c r="Q727" s="74">
        <v>6.94</v>
      </c>
      <c r="R727" s="50">
        <v>239</v>
      </c>
      <c r="S727" s="74">
        <v>189</v>
      </c>
      <c r="T727" s="50">
        <f>0.05/2</f>
        <v>2.5000000000000001E-2</v>
      </c>
      <c r="U727" s="131">
        <v>0.90300000000000002</v>
      </c>
      <c r="V727" s="50">
        <v>2.35</v>
      </c>
      <c r="W727" s="74">
        <v>0.04</v>
      </c>
      <c r="X727" s="50">
        <v>0.14000000000000001</v>
      </c>
      <c r="Y727" s="74">
        <v>1.2E-2</v>
      </c>
      <c r="Z727" s="271"/>
      <c r="AA727" s="271"/>
      <c r="AB727" s="114"/>
      <c r="AC727" s="50"/>
      <c r="AD727" s="271"/>
      <c r="AE727" s="50"/>
      <c r="AF727" s="49"/>
      <c r="AG727" s="114"/>
      <c r="AH727" s="114"/>
      <c r="AI727" s="114"/>
      <c r="AJ727" s="114"/>
      <c r="AK727" s="114"/>
      <c r="AL727" s="114"/>
      <c r="AM727" s="114"/>
      <c r="AN727" s="114"/>
      <c r="AO727" s="114"/>
      <c r="AP727" s="114"/>
      <c r="AQ727" s="114"/>
      <c r="AR727" s="114"/>
      <c r="AS727" s="50"/>
      <c r="AT727" s="74"/>
      <c r="AU727" s="114"/>
      <c r="AV727" s="114"/>
      <c r="AW727" s="394"/>
      <c r="AX727" s="385"/>
      <c r="AY727" s="385"/>
      <c r="AZ727" s="385"/>
      <c r="BA727" s="385"/>
      <c r="BB727" s="385"/>
      <c r="BC727" s="385"/>
      <c r="BD727" s="385"/>
      <c r="BE727" s="385"/>
      <c r="BF727" s="385"/>
      <c r="BG727" s="385"/>
      <c r="BH727" s="385"/>
      <c r="BI727" s="385"/>
      <c r="BJ727" s="385"/>
      <c r="BK727" s="385"/>
      <c r="BL727" s="385"/>
      <c r="BM727" s="385"/>
      <c r="BN727" s="385"/>
      <c r="BO727" s="385"/>
      <c r="BP727" s="385"/>
      <c r="BQ727" s="385"/>
      <c r="BR727" s="385"/>
      <c r="BS727" s="385"/>
      <c r="BT727" s="385"/>
      <c r="BU727" s="385"/>
      <c r="BV727" s="385"/>
      <c r="BW727" s="385"/>
      <c r="BX727" s="385"/>
      <c r="BY727" s="385"/>
      <c r="BZ727" s="385"/>
      <c r="CA727" s="385"/>
    </row>
    <row r="728" spans="1:79" s="6" customFormat="1" ht="15" customHeight="1">
      <c r="A728" s="41" t="s">
        <v>183</v>
      </c>
      <c r="B728" s="402" t="s">
        <v>2675</v>
      </c>
      <c r="C728" s="113" t="s">
        <v>2676</v>
      </c>
      <c r="D728" s="393" t="s">
        <v>1759</v>
      </c>
      <c r="E728" s="394" t="s">
        <v>95</v>
      </c>
      <c r="F728" s="402"/>
      <c r="G728" s="405" t="s">
        <v>2677</v>
      </c>
      <c r="H728" s="74">
        <v>4952</v>
      </c>
      <c r="I728" s="50" t="s">
        <v>2</v>
      </c>
      <c r="J728" s="48" t="s">
        <v>2678</v>
      </c>
      <c r="K728" s="51">
        <v>41220</v>
      </c>
      <c r="L728" s="115">
        <v>41217</v>
      </c>
      <c r="M728" s="50">
        <f t="shared" si="31"/>
        <v>3</v>
      </c>
      <c r="N728" s="50" t="s">
        <v>2</v>
      </c>
      <c r="O728" s="131">
        <f>5/2</f>
        <v>2.5</v>
      </c>
      <c r="P728" s="50">
        <v>6.83</v>
      </c>
      <c r="Q728" s="74">
        <v>6.69</v>
      </c>
      <c r="R728" s="50">
        <v>390</v>
      </c>
      <c r="S728" s="74">
        <v>230</v>
      </c>
      <c r="T728" s="50">
        <v>0.83</v>
      </c>
      <c r="U728" s="131">
        <v>6.4</v>
      </c>
      <c r="V728" s="50">
        <f>0.1/2</f>
        <v>0.05</v>
      </c>
      <c r="W728" s="74">
        <v>0.13</v>
      </c>
      <c r="X728" s="50">
        <v>1.1000000000000001</v>
      </c>
      <c r="Y728" s="74">
        <v>2.5000000000000001E-2</v>
      </c>
      <c r="Z728" s="271">
        <v>1</v>
      </c>
      <c r="AA728" s="271">
        <v>0.29699999999999999</v>
      </c>
      <c r="AB728" s="114">
        <v>460</v>
      </c>
      <c r="AC728" s="50">
        <v>3290</v>
      </c>
      <c r="AD728" s="271">
        <v>0</v>
      </c>
      <c r="AE728" s="50"/>
      <c r="AF728" s="49"/>
      <c r="AG728" s="114"/>
      <c r="AH728" s="114"/>
      <c r="AI728" s="114"/>
      <c r="AJ728" s="114"/>
      <c r="AK728" s="114"/>
      <c r="AL728" s="114"/>
      <c r="AM728" s="114"/>
      <c r="AN728" s="114"/>
      <c r="AO728" s="114"/>
      <c r="AP728" s="114"/>
      <c r="AQ728" s="114"/>
      <c r="AR728" s="114"/>
      <c r="AS728" s="50"/>
      <c r="AT728" s="74"/>
      <c r="AU728" s="114"/>
      <c r="AV728" s="114"/>
      <c r="AW728" s="394"/>
      <c r="AX728" s="385"/>
      <c r="AY728" s="385"/>
      <c r="AZ728" s="385"/>
      <c r="BA728" s="385"/>
      <c r="BB728" s="385"/>
      <c r="BC728" s="385"/>
      <c r="BD728" s="385"/>
      <c r="BE728" s="385"/>
      <c r="BF728" s="385"/>
      <c r="BG728" s="385"/>
      <c r="BH728" s="385"/>
      <c r="BI728" s="385"/>
      <c r="BJ728" s="385"/>
      <c r="BK728" s="385"/>
      <c r="BL728" s="385"/>
      <c r="BM728" s="385"/>
      <c r="BN728" s="385"/>
      <c r="BO728" s="385"/>
      <c r="BP728" s="385"/>
      <c r="BQ728" s="385"/>
      <c r="BR728" s="385"/>
      <c r="BS728" s="385"/>
      <c r="BT728" s="385"/>
      <c r="BU728" s="385"/>
      <c r="BV728" s="385"/>
      <c r="BW728" s="385"/>
      <c r="BX728" s="385"/>
      <c r="BY728" s="385"/>
      <c r="BZ728" s="385"/>
      <c r="CA728" s="385"/>
    </row>
    <row r="729" spans="1:79" s="6" customFormat="1" ht="15" customHeight="1">
      <c r="A729" s="41" t="s">
        <v>183</v>
      </c>
      <c r="B729" s="402" t="s">
        <v>2675</v>
      </c>
      <c r="C729" s="113" t="s">
        <v>2676</v>
      </c>
      <c r="D729" s="393" t="s">
        <v>1759</v>
      </c>
      <c r="E729" s="394" t="s">
        <v>95</v>
      </c>
      <c r="F729" s="402"/>
      <c r="G729" s="405" t="s">
        <v>2677</v>
      </c>
      <c r="H729" s="74">
        <v>4952</v>
      </c>
      <c r="I729" s="50" t="s">
        <v>2</v>
      </c>
      <c r="J729" s="48" t="s">
        <v>2679</v>
      </c>
      <c r="K729" s="51">
        <v>41220</v>
      </c>
      <c r="L729" s="115">
        <v>41217</v>
      </c>
      <c r="M729" s="50">
        <f t="shared" si="31"/>
        <v>3</v>
      </c>
      <c r="N729" s="50" t="s">
        <v>2</v>
      </c>
      <c r="O729" s="131">
        <f>5/2</f>
        <v>2.5</v>
      </c>
      <c r="P729" s="50">
        <v>6.83</v>
      </c>
      <c r="Q729" s="74">
        <v>6.92</v>
      </c>
      <c r="R729" s="50">
        <v>380</v>
      </c>
      <c r="S729" s="74">
        <v>200</v>
      </c>
      <c r="T729" s="50">
        <v>0.67</v>
      </c>
      <c r="U729" s="131">
        <v>18</v>
      </c>
      <c r="V729" s="50">
        <f>1/2</f>
        <v>0.5</v>
      </c>
      <c r="W729" s="74">
        <v>0.08</v>
      </c>
      <c r="X729" s="50">
        <v>1.2</v>
      </c>
      <c r="Y729" s="74">
        <v>2.1999999999999999E-2</v>
      </c>
      <c r="Z729" s="271">
        <v>1</v>
      </c>
      <c r="AA729" s="271">
        <v>1</v>
      </c>
      <c r="AB729" s="114">
        <v>1100</v>
      </c>
      <c r="AC729" s="50">
        <v>3110</v>
      </c>
      <c r="AD729" s="271">
        <v>0.5</v>
      </c>
      <c r="AE729" s="50"/>
      <c r="AF729" s="49"/>
      <c r="AG729" s="114"/>
      <c r="AH729" s="114"/>
      <c r="AI729" s="114"/>
      <c r="AJ729" s="114"/>
      <c r="AK729" s="114"/>
      <c r="AL729" s="114"/>
      <c r="AM729" s="114"/>
      <c r="AN729" s="114"/>
      <c r="AO729" s="114"/>
      <c r="AP729" s="114"/>
      <c r="AQ729" s="114"/>
      <c r="AR729" s="114"/>
      <c r="AS729" s="50"/>
      <c r="AT729" s="74"/>
      <c r="AU729" s="114"/>
      <c r="AV729" s="114"/>
      <c r="AW729" s="394"/>
      <c r="AX729" s="385"/>
      <c r="AY729" s="385"/>
      <c r="AZ729" s="385"/>
      <c r="BA729" s="385"/>
      <c r="BB729" s="385"/>
      <c r="BC729" s="385"/>
      <c r="BD729" s="385"/>
      <c r="BE729" s="385"/>
      <c r="BF729" s="385"/>
      <c r="BG729" s="385"/>
      <c r="BH729" s="385"/>
      <c r="BI729" s="385"/>
      <c r="BJ729" s="385"/>
      <c r="BK729" s="385"/>
      <c r="BL729" s="385"/>
      <c r="BM729" s="385"/>
      <c r="BN729" s="385"/>
      <c r="BO729" s="385"/>
      <c r="BP729" s="385"/>
      <c r="BQ729" s="385"/>
      <c r="BR729" s="385"/>
      <c r="BS729" s="385"/>
      <c r="BT729" s="385"/>
      <c r="BU729" s="385"/>
      <c r="BV729" s="385"/>
      <c r="BW729" s="385"/>
      <c r="BX729" s="385"/>
      <c r="BY729" s="385"/>
      <c r="BZ729" s="385"/>
      <c r="CA729" s="385"/>
    </row>
    <row r="730" spans="1:79" s="6" customFormat="1" ht="15" customHeight="1">
      <c r="A730" s="41" t="s">
        <v>183</v>
      </c>
      <c r="B730" s="402" t="s">
        <v>2675</v>
      </c>
      <c r="C730" s="113" t="s">
        <v>2676</v>
      </c>
      <c r="D730" s="393" t="s">
        <v>1759</v>
      </c>
      <c r="E730" s="394" t="s">
        <v>95</v>
      </c>
      <c r="F730" s="402"/>
      <c r="G730" s="405" t="s">
        <v>2677</v>
      </c>
      <c r="H730" s="74">
        <v>4952</v>
      </c>
      <c r="I730" s="50" t="s">
        <v>2</v>
      </c>
      <c r="J730" s="48" t="s">
        <v>2680</v>
      </c>
      <c r="K730" s="51">
        <v>41220</v>
      </c>
      <c r="L730" s="115">
        <v>41217</v>
      </c>
      <c r="M730" s="50">
        <f t="shared" si="31"/>
        <v>3</v>
      </c>
      <c r="N730" s="50" t="s">
        <v>2</v>
      </c>
      <c r="O730" s="131">
        <f>5/2</f>
        <v>2.5</v>
      </c>
      <c r="P730" s="50">
        <v>6.83</v>
      </c>
      <c r="Q730" s="74">
        <v>6.83</v>
      </c>
      <c r="R730" s="50">
        <v>360</v>
      </c>
      <c r="S730" s="74">
        <v>140</v>
      </c>
      <c r="T730" s="50">
        <v>0.66</v>
      </c>
      <c r="U730" s="131">
        <v>9.4</v>
      </c>
      <c r="V730" s="50">
        <f>0.1/2</f>
        <v>0.05</v>
      </c>
      <c r="W730" s="74">
        <v>8.2000000000000003E-2</v>
      </c>
      <c r="X730" s="50">
        <v>1.1000000000000001</v>
      </c>
      <c r="Y730" s="74">
        <v>1.7000000000000001E-2</v>
      </c>
      <c r="Z730" s="271">
        <v>1</v>
      </c>
      <c r="AA730" s="271">
        <v>0.95499999999999996</v>
      </c>
      <c r="AB730" s="114">
        <v>790</v>
      </c>
      <c r="AC730" s="50">
        <v>4260</v>
      </c>
      <c r="AD730" s="271">
        <v>0.45</v>
      </c>
      <c r="AE730" s="50"/>
      <c r="AF730" s="49"/>
      <c r="AG730" s="114"/>
      <c r="AH730" s="114"/>
      <c r="AI730" s="114"/>
      <c r="AJ730" s="114"/>
      <c r="AK730" s="114"/>
      <c r="AL730" s="114"/>
      <c r="AM730" s="114"/>
      <c r="AN730" s="114"/>
      <c r="AO730" s="114"/>
      <c r="AP730" s="114"/>
      <c r="AQ730" s="114"/>
      <c r="AR730" s="114"/>
      <c r="AS730" s="50"/>
      <c r="AT730" s="74"/>
      <c r="AU730" s="114"/>
      <c r="AV730" s="114"/>
      <c r="AW730" s="394"/>
      <c r="AX730" s="385"/>
      <c r="AY730" s="385"/>
      <c r="AZ730" s="385"/>
      <c r="BA730" s="385"/>
      <c r="BB730" s="385"/>
      <c r="BC730" s="385"/>
      <c r="BD730" s="385"/>
      <c r="BE730" s="385"/>
      <c r="BF730" s="385"/>
      <c r="BG730" s="385"/>
      <c r="BH730" s="385"/>
      <c r="BI730" s="385"/>
      <c r="BJ730" s="385"/>
      <c r="BK730" s="385"/>
      <c r="BL730" s="385"/>
      <c r="BM730" s="385"/>
      <c r="BN730" s="385"/>
      <c r="BO730" s="385"/>
      <c r="BP730" s="385"/>
      <c r="BQ730" s="385"/>
      <c r="BR730" s="385"/>
      <c r="BS730" s="385"/>
      <c r="BT730" s="385"/>
      <c r="BU730" s="385"/>
      <c r="BV730" s="385"/>
      <c r="BW730" s="385"/>
      <c r="BX730" s="385"/>
      <c r="BY730" s="385"/>
      <c r="BZ730" s="385"/>
      <c r="CA730" s="385"/>
    </row>
    <row r="731" spans="1:79" s="6" customFormat="1" ht="15" customHeight="1">
      <c r="A731" s="41" t="s">
        <v>183</v>
      </c>
      <c r="B731" s="402" t="s">
        <v>2675</v>
      </c>
      <c r="C731" s="113" t="s">
        <v>2676</v>
      </c>
      <c r="D731" s="393" t="s">
        <v>1759</v>
      </c>
      <c r="E731" s="394" t="s">
        <v>95</v>
      </c>
      <c r="F731" s="402"/>
      <c r="G731" s="405" t="s">
        <v>2677</v>
      </c>
      <c r="H731" s="74">
        <v>4952</v>
      </c>
      <c r="I731" s="50" t="s">
        <v>2</v>
      </c>
      <c r="J731" s="48" t="s">
        <v>2680</v>
      </c>
      <c r="K731" s="51">
        <v>41240</v>
      </c>
      <c r="L731" s="115">
        <v>41237</v>
      </c>
      <c r="M731" s="50">
        <f t="shared" si="31"/>
        <v>3</v>
      </c>
      <c r="N731" s="50" t="s">
        <v>2</v>
      </c>
      <c r="O731" s="131">
        <v>24</v>
      </c>
      <c r="P731" s="50">
        <v>7.22</v>
      </c>
      <c r="Q731" s="74">
        <v>6.79</v>
      </c>
      <c r="R731" s="50">
        <v>340</v>
      </c>
      <c r="S731" s="74">
        <v>99</v>
      </c>
      <c r="T731" s="50">
        <v>1.4</v>
      </c>
      <c r="U731" s="131">
        <v>12</v>
      </c>
      <c r="V731" s="50">
        <v>0.86</v>
      </c>
      <c r="W731" s="74">
        <v>0.06</v>
      </c>
      <c r="X731" s="50">
        <v>0.33</v>
      </c>
      <c r="Y731" s="74">
        <f>0.013/2</f>
        <v>6.4999999999999997E-3</v>
      </c>
      <c r="Z731" s="271"/>
      <c r="AA731" s="271"/>
      <c r="AB731" s="114"/>
      <c r="AC731" s="50"/>
      <c r="AD731" s="271"/>
      <c r="AE731" s="50"/>
      <c r="AF731" s="49"/>
      <c r="AG731" s="114"/>
      <c r="AH731" s="114"/>
      <c r="AI731" s="114"/>
      <c r="AJ731" s="114"/>
      <c r="AK731" s="114"/>
      <c r="AL731" s="114"/>
      <c r="AM731" s="114"/>
      <c r="AN731" s="114"/>
      <c r="AO731" s="114"/>
      <c r="AP731" s="114"/>
      <c r="AQ731" s="114"/>
      <c r="AR731" s="114"/>
      <c r="AS731" s="50"/>
      <c r="AT731" s="74"/>
      <c r="AU731" s="114"/>
      <c r="AV731" s="114"/>
      <c r="AW731" s="394"/>
      <c r="AX731" s="385"/>
      <c r="AY731" s="385"/>
      <c r="AZ731" s="385"/>
      <c r="BA731" s="385"/>
      <c r="BB731" s="385"/>
      <c r="BC731" s="385"/>
      <c r="BD731" s="385"/>
      <c r="BE731" s="385"/>
      <c r="BF731" s="385"/>
      <c r="BG731" s="385"/>
      <c r="BH731" s="385"/>
      <c r="BI731" s="385"/>
      <c r="BJ731" s="385"/>
      <c r="BK731" s="385"/>
      <c r="BL731" s="385"/>
      <c r="BM731" s="385"/>
      <c r="BN731" s="385"/>
      <c r="BO731" s="385"/>
      <c r="BP731" s="385"/>
      <c r="BQ731" s="385"/>
      <c r="BR731" s="385"/>
      <c r="BS731" s="385"/>
      <c r="BT731" s="385"/>
      <c r="BU731" s="385"/>
      <c r="BV731" s="385"/>
      <c r="BW731" s="385"/>
      <c r="BX731" s="385"/>
      <c r="BY731" s="385"/>
      <c r="BZ731" s="385"/>
      <c r="CA731" s="385"/>
    </row>
    <row r="732" spans="1:79" s="6" customFormat="1" ht="15" customHeight="1">
      <c r="A732" s="41" t="s">
        <v>183</v>
      </c>
      <c r="B732" s="402" t="s">
        <v>2675</v>
      </c>
      <c r="C732" s="113" t="s">
        <v>2676</v>
      </c>
      <c r="D732" s="393" t="s">
        <v>1759</v>
      </c>
      <c r="E732" s="394" t="s">
        <v>95</v>
      </c>
      <c r="F732" s="402"/>
      <c r="G732" s="405" t="s">
        <v>2677</v>
      </c>
      <c r="H732" s="74">
        <v>4952</v>
      </c>
      <c r="I732" s="50" t="s">
        <v>2</v>
      </c>
      <c r="J732" s="48" t="s">
        <v>2678</v>
      </c>
      <c r="K732" s="51">
        <v>41240</v>
      </c>
      <c r="L732" s="115">
        <v>41237</v>
      </c>
      <c r="M732" s="50">
        <f t="shared" si="31"/>
        <v>3</v>
      </c>
      <c r="N732" s="50" t="s">
        <v>2</v>
      </c>
      <c r="O732" s="131">
        <f>5/2</f>
        <v>2.5</v>
      </c>
      <c r="P732" s="50">
        <v>7.22</v>
      </c>
      <c r="Q732" s="74">
        <v>6.6</v>
      </c>
      <c r="R732" s="50">
        <v>86</v>
      </c>
      <c r="S732" s="74">
        <v>130</v>
      </c>
      <c r="T732" s="50">
        <v>0.36</v>
      </c>
      <c r="U732" s="131">
        <v>1.1000000000000001</v>
      </c>
      <c r="V732" s="50">
        <v>0.76</v>
      </c>
      <c r="W732" s="74">
        <v>0.06</v>
      </c>
      <c r="X732" s="50">
        <v>0.44</v>
      </c>
      <c r="Y732" s="74">
        <v>2.7E-2</v>
      </c>
      <c r="Z732" s="271"/>
      <c r="AA732" s="271"/>
      <c r="AB732" s="114"/>
      <c r="AC732" s="50"/>
      <c r="AD732" s="271"/>
      <c r="AE732" s="50"/>
      <c r="AF732" s="49"/>
      <c r="AG732" s="114"/>
      <c r="AH732" s="114"/>
      <c r="AI732" s="114"/>
      <c r="AJ732" s="114"/>
      <c r="AK732" s="114"/>
      <c r="AL732" s="114"/>
      <c r="AM732" s="114"/>
      <c r="AN732" s="114"/>
      <c r="AO732" s="114"/>
      <c r="AP732" s="114"/>
      <c r="AQ732" s="114"/>
      <c r="AR732" s="114"/>
      <c r="AS732" s="50"/>
      <c r="AT732" s="74"/>
      <c r="AU732" s="114"/>
      <c r="AV732" s="114"/>
      <c r="AW732" s="394"/>
      <c r="AX732" s="385"/>
      <c r="AY732" s="385"/>
      <c r="AZ732" s="385"/>
      <c r="BA732" s="385"/>
      <c r="BB732" s="385"/>
      <c r="BC732" s="385"/>
      <c r="BD732" s="385"/>
      <c r="BE732" s="385"/>
      <c r="BF732" s="385"/>
      <c r="BG732" s="385"/>
      <c r="BH732" s="385"/>
      <c r="BI732" s="385"/>
      <c r="BJ732" s="385"/>
      <c r="BK732" s="385"/>
      <c r="BL732" s="385"/>
      <c r="BM732" s="385"/>
      <c r="BN732" s="385"/>
      <c r="BO732" s="385"/>
      <c r="BP732" s="385"/>
      <c r="BQ732" s="385"/>
      <c r="BR732" s="385"/>
      <c r="BS732" s="385"/>
      <c r="BT732" s="385"/>
      <c r="BU732" s="385"/>
      <c r="BV732" s="385"/>
      <c r="BW732" s="385"/>
      <c r="BX732" s="385"/>
      <c r="BY732" s="385"/>
      <c r="BZ732" s="385"/>
      <c r="CA732" s="385"/>
    </row>
    <row r="733" spans="1:79" s="6" customFormat="1" ht="15" customHeight="1">
      <c r="A733" s="41" t="s">
        <v>183</v>
      </c>
      <c r="B733" s="402" t="s">
        <v>2675</v>
      </c>
      <c r="C733" s="113" t="s">
        <v>2676</v>
      </c>
      <c r="D733" s="393" t="s">
        <v>1759</v>
      </c>
      <c r="E733" s="394" t="s">
        <v>95</v>
      </c>
      <c r="F733" s="402"/>
      <c r="G733" s="405" t="s">
        <v>2677</v>
      </c>
      <c r="H733" s="74">
        <v>4952</v>
      </c>
      <c r="I733" s="50" t="s">
        <v>2</v>
      </c>
      <c r="J733" s="48" t="s">
        <v>2679</v>
      </c>
      <c r="K733" s="51">
        <v>41240</v>
      </c>
      <c r="L733" s="115">
        <v>41237</v>
      </c>
      <c r="M733" s="50">
        <f t="shared" si="31"/>
        <v>3</v>
      </c>
      <c r="N733" s="50" t="s">
        <v>2</v>
      </c>
      <c r="O733" s="131">
        <f>5/2</f>
        <v>2.5</v>
      </c>
      <c r="P733" s="50">
        <v>7.22</v>
      </c>
      <c r="Q733" s="74">
        <v>6.75</v>
      </c>
      <c r="R733" s="50">
        <v>100</v>
      </c>
      <c r="S733" s="74">
        <v>18</v>
      </c>
      <c r="T733" s="50">
        <v>0.33</v>
      </c>
      <c r="U733" s="131">
        <v>2.2999999999999998</v>
      </c>
      <c r="V733" s="50">
        <v>0.98</v>
      </c>
      <c r="W733" s="74">
        <f>0.04/2</f>
        <v>0.02</v>
      </c>
      <c r="X733" s="50">
        <v>7.3999999999999996E-2</v>
      </c>
      <c r="Y733" s="74">
        <f>0.013/2</f>
        <v>6.4999999999999997E-3</v>
      </c>
      <c r="Z733" s="271"/>
      <c r="AA733" s="271"/>
      <c r="AB733" s="114"/>
      <c r="AC733" s="50"/>
      <c r="AD733" s="271"/>
      <c r="AE733" s="50"/>
      <c r="AF733" s="49"/>
      <c r="AG733" s="114"/>
      <c r="AH733" s="114"/>
      <c r="AI733" s="114"/>
      <c r="AJ733" s="114"/>
      <c r="AK733" s="114"/>
      <c r="AL733" s="114"/>
      <c r="AM733" s="114"/>
      <c r="AN733" s="114"/>
      <c r="AO733" s="114"/>
      <c r="AP733" s="114"/>
      <c r="AQ733" s="114"/>
      <c r="AR733" s="114"/>
      <c r="AS733" s="50"/>
      <c r="AT733" s="74"/>
      <c r="AU733" s="114"/>
      <c r="AV733" s="114"/>
      <c r="AW733" s="394"/>
      <c r="AX733" s="385"/>
      <c r="AY733" s="385"/>
      <c r="AZ733" s="385"/>
      <c r="BA733" s="385"/>
      <c r="BB733" s="385"/>
      <c r="BC733" s="385"/>
      <c r="BD733" s="385"/>
      <c r="BE733" s="385"/>
      <c r="BF733" s="385"/>
      <c r="BG733" s="385"/>
      <c r="BH733" s="385"/>
      <c r="BI733" s="385"/>
      <c r="BJ733" s="385"/>
      <c r="BK733" s="385"/>
      <c r="BL733" s="385"/>
      <c r="BM733" s="385"/>
      <c r="BN733" s="385"/>
      <c r="BO733" s="385"/>
      <c r="BP733" s="385"/>
      <c r="BQ733" s="385"/>
      <c r="BR733" s="385"/>
      <c r="BS733" s="385"/>
      <c r="BT733" s="385"/>
      <c r="BU733" s="385"/>
      <c r="BV733" s="385"/>
      <c r="BW733" s="385"/>
      <c r="BX733" s="385"/>
      <c r="BY733" s="385"/>
      <c r="BZ733" s="385"/>
      <c r="CA733" s="385"/>
    </row>
    <row r="734" spans="1:79" s="6" customFormat="1" ht="15" customHeight="1">
      <c r="A734" s="41" t="s">
        <v>183</v>
      </c>
      <c r="B734" s="402" t="s">
        <v>2707</v>
      </c>
      <c r="C734" s="113" t="s">
        <v>1332</v>
      </c>
      <c r="D734" s="393" t="s">
        <v>379</v>
      </c>
      <c r="E734" s="394" t="s">
        <v>2709</v>
      </c>
      <c r="F734" s="402" t="s">
        <v>2667</v>
      </c>
      <c r="G734" s="405" t="s">
        <v>2925</v>
      </c>
      <c r="H734" s="74">
        <v>4952</v>
      </c>
      <c r="I734" s="50" t="s">
        <v>2</v>
      </c>
      <c r="J734" s="48" t="s">
        <v>2926</v>
      </c>
      <c r="K734" s="51">
        <v>40920</v>
      </c>
      <c r="L734" s="115">
        <v>40909</v>
      </c>
      <c r="M734" s="50">
        <f t="shared" si="31"/>
        <v>11</v>
      </c>
      <c r="N734" s="50" t="s">
        <v>2</v>
      </c>
      <c r="O734" s="131">
        <v>2.4</v>
      </c>
      <c r="P734" s="50">
        <v>5.89</v>
      </c>
      <c r="Q734" s="74">
        <v>6.92</v>
      </c>
      <c r="R734" s="50">
        <v>100</v>
      </c>
      <c r="S734" s="74">
        <v>390</v>
      </c>
      <c r="T734" s="50">
        <v>0.5</v>
      </c>
      <c r="U734" s="131">
        <v>1.46</v>
      </c>
      <c r="V734" s="50"/>
      <c r="W734" s="74">
        <v>2.4E-2</v>
      </c>
      <c r="X734" s="50">
        <v>0.125</v>
      </c>
      <c r="Y734" s="74">
        <v>1.2999999999999999E-2</v>
      </c>
      <c r="Z734" s="271">
        <v>1</v>
      </c>
      <c r="AA734" s="271">
        <v>1</v>
      </c>
      <c r="AB734" s="114">
        <v>4</v>
      </c>
      <c r="AC734" s="50">
        <v>38</v>
      </c>
      <c r="AD734" s="271">
        <v>1</v>
      </c>
      <c r="AE734" s="50"/>
      <c r="AF734" s="49"/>
      <c r="AG734" s="114"/>
      <c r="AH734" s="114"/>
      <c r="AI734" s="114"/>
      <c r="AJ734" s="114"/>
      <c r="AK734" s="114"/>
      <c r="AL734" s="114"/>
      <c r="AM734" s="114"/>
      <c r="AN734" s="114"/>
      <c r="AO734" s="114"/>
      <c r="AP734" s="114"/>
      <c r="AQ734" s="114"/>
      <c r="AR734" s="114"/>
      <c r="AS734" s="50"/>
      <c r="AT734" s="74"/>
      <c r="AU734" s="114"/>
      <c r="AV734" s="114"/>
      <c r="AW734" s="394"/>
      <c r="AX734" s="385"/>
      <c r="AY734" s="385"/>
      <c r="AZ734" s="385"/>
      <c r="BA734" s="385"/>
      <c r="BB734" s="385"/>
      <c r="BC734" s="385"/>
      <c r="BD734" s="385"/>
      <c r="BE734" s="385"/>
      <c r="BF734" s="385"/>
      <c r="BG734" s="385"/>
      <c r="BH734" s="385"/>
      <c r="BI734" s="385"/>
      <c r="BJ734" s="385"/>
      <c r="BK734" s="385"/>
      <c r="BL734" s="385"/>
      <c r="BM734" s="385"/>
      <c r="BN734" s="385"/>
      <c r="BO734" s="385"/>
      <c r="BP734" s="385"/>
      <c r="BQ734" s="385"/>
      <c r="BR734" s="385"/>
      <c r="BS734" s="385"/>
      <c r="BT734" s="385"/>
      <c r="BU734" s="385"/>
      <c r="BV734" s="385"/>
      <c r="BW734" s="385"/>
      <c r="BX734" s="385"/>
      <c r="BY734" s="385"/>
      <c r="BZ734" s="385"/>
      <c r="CA734" s="385"/>
    </row>
    <row r="735" spans="1:79" s="6" customFormat="1" ht="15" customHeight="1">
      <c r="A735" s="41" t="s">
        <v>183</v>
      </c>
      <c r="B735" s="402" t="s">
        <v>2744</v>
      </c>
      <c r="C735" s="113" t="s">
        <v>2746</v>
      </c>
      <c r="D735" s="393" t="s">
        <v>1881</v>
      </c>
      <c r="E735" s="394" t="s">
        <v>49</v>
      </c>
      <c r="F735" s="402"/>
      <c r="G735" s="405" t="s">
        <v>2745</v>
      </c>
      <c r="H735" s="74"/>
      <c r="I735" s="50" t="s">
        <v>2</v>
      </c>
      <c r="J735" s="48" t="s">
        <v>2937</v>
      </c>
      <c r="K735" s="51">
        <v>41030</v>
      </c>
      <c r="L735" s="115">
        <v>41022</v>
      </c>
      <c r="M735" s="50">
        <f t="shared" si="31"/>
        <v>8</v>
      </c>
      <c r="N735" s="50" t="s">
        <v>2</v>
      </c>
      <c r="O735" s="131">
        <v>5.2</v>
      </c>
      <c r="P735" s="50">
        <v>7</v>
      </c>
      <c r="Q735" s="74">
        <v>6.9</v>
      </c>
      <c r="R735" s="50">
        <v>84</v>
      </c>
      <c r="S735" s="74">
        <v>133</v>
      </c>
      <c r="T735" s="50">
        <v>0.45</v>
      </c>
      <c r="U735" s="131">
        <v>1.82</v>
      </c>
      <c r="V735" s="50">
        <v>0.12</v>
      </c>
      <c r="W735" s="74">
        <v>2.3E-2</v>
      </c>
      <c r="X735" s="50">
        <v>7.5999999999999998E-2</v>
      </c>
      <c r="Y735" s="74">
        <f>0.03/2</f>
        <v>1.4999999999999999E-2</v>
      </c>
      <c r="Z735" s="271"/>
      <c r="AA735" s="271"/>
      <c r="AB735" s="114"/>
      <c r="AC735" s="50"/>
      <c r="AD735" s="271"/>
      <c r="AE735" s="50"/>
      <c r="AF735" s="49"/>
      <c r="AG735" s="114"/>
      <c r="AH735" s="114"/>
      <c r="AI735" s="114"/>
      <c r="AJ735" s="114"/>
      <c r="AK735" s="114"/>
      <c r="AL735" s="114"/>
      <c r="AM735" s="114"/>
      <c r="AN735" s="114"/>
      <c r="AO735" s="114"/>
      <c r="AP735" s="114"/>
      <c r="AQ735" s="114"/>
      <c r="AR735" s="114"/>
      <c r="AS735" s="50"/>
      <c r="AT735" s="74"/>
      <c r="AU735" s="114"/>
      <c r="AV735" s="114"/>
      <c r="AW735" s="394"/>
      <c r="AX735" s="385"/>
      <c r="AY735" s="385"/>
      <c r="AZ735" s="385"/>
      <c r="BA735" s="385"/>
      <c r="BB735" s="385"/>
      <c r="BC735" s="385"/>
      <c r="BD735" s="385"/>
      <c r="BE735" s="385"/>
      <c r="BF735" s="385"/>
      <c r="BG735" s="385"/>
      <c r="BH735" s="385"/>
      <c r="BI735" s="385"/>
      <c r="BJ735" s="385"/>
      <c r="BK735" s="385"/>
      <c r="BL735" s="385"/>
      <c r="BM735" s="385"/>
      <c r="BN735" s="385"/>
      <c r="BO735" s="385"/>
      <c r="BP735" s="385"/>
      <c r="BQ735" s="385"/>
      <c r="BR735" s="385"/>
      <c r="BS735" s="385"/>
      <c r="BT735" s="385"/>
      <c r="BU735" s="385"/>
      <c r="BV735" s="385"/>
      <c r="BW735" s="385"/>
      <c r="BX735" s="385"/>
      <c r="BY735" s="385"/>
      <c r="BZ735" s="385"/>
      <c r="CA735" s="385"/>
    </row>
    <row r="736" spans="1:79" s="6" customFormat="1" ht="15" customHeight="1">
      <c r="A736" s="41" t="s">
        <v>183</v>
      </c>
      <c r="B736" s="402" t="s">
        <v>2744</v>
      </c>
      <c r="C736" s="113" t="s">
        <v>393</v>
      </c>
      <c r="D736" s="393" t="s">
        <v>1881</v>
      </c>
      <c r="E736" s="394" t="s">
        <v>49</v>
      </c>
      <c r="F736" s="402"/>
      <c r="G736" s="405" t="s">
        <v>2745</v>
      </c>
      <c r="H736" s="74"/>
      <c r="I736" s="50" t="s">
        <v>2</v>
      </c>
      <c r="J736" s="48" t="s">
        <v>2938</v>
      </c>
      <c r="K736" s="51">
        <v>41030</v>
      </c>
      <c r="L736" s="115">
        <v>41022</v>
      </c>
      <c r="M736" s="50">
        <f t="shared" si="31"/>
        <v>8</v>
      </c>
      <c r="N736" s="50" t="s">
        <v>2</v>
      </c>
      <c r="O736" s="131">
        <v>6.9</v>
      </c>
      <c r="P736" s="50">
        <v>7</v>
      </c>
      <c r="Q736" s="74">
        <v>6.9</v>
      </c>
      <c r="R736" s="50">
        <v>62</v>
      </c>
      <c r="S736" s="74">
        <v>92</v>
      </c>
      <c r="T736" s="50">
        <v>0.21</v>
      </c>
      <c r="U736" s="131">
        <v>1.1499999999999999</v>
      </c>
      <c r="V736" s="50">
        <v>0.21</v>
      </c>
      <c r="W736" s="74">
        <v>0.02</v>
      </c>
      <c r="X736" s="50">
        <v>7.2999999999999995E-2</v>
      </c>
      <c r="Y736" s="74">
        <f>0.03/2</f>
        <v>1.4999999999999999E-2</v>
      </c>
      <c r="Z736" s="271"/>
      <c r="AA736" s="271"/>
      <c r="AB736" s="114"/>
      <c r="AC736" s="50"/>
      <c r="AD736" s="271"/>
      <c r="AE736" s="50"/>
      <c r="AF736" s="49"/>
      <c r="AG736" s="114"/>
      <c r="AH736" s="114"/>
      <c r="AI736" s="114"/>
      <c r="AJ736" s="114"/>
      <c r="AK736" s="114"/>
      <c r="AL736" s="114"/>
      <c r="AM736" s="114"/>
      <c r="AN736" s="114"/>
      <c r="AO736" s="114"/>
      <c r="AP736" s="114"/>
      <c r="AQ736" s="114"/>
      <c r="AR736" s="114"/>
      <c r="AS736" s="50"/>
      <c r="AT736" s="74"/>
      <c r="AU736" s="114"/>
      <c r="AV736" s="114"/>
      <c r="AW736" s="394"/>
      <c r="AX736" s="385"/>
      <c r="AY736" s="385"/>
      <c r="AZ736" s="385"/>
      <c r="BA736" s="385"/>
      <c r="BB736" s="385"/>
      <c r="BC736" s="385"/>
      <c r="BD736" s="385"/>
      <c r="BE736" s="385"/>
      <c r="BF736" s="385"/>
      <c r="BG736" s="385"/>
      <c r="BH736" s="385"/>
      <c r="BI736" s="385"/>
      <c r="BJ736" s="385"/>
      <c r="BK736" s="385"/>
      <c r="BL736" s="385"/>
      <c r="BM736" s="385"/>
      <c r="BN736" s="385"/>
      <c r="BO736" s="385"/>
      <c r="BP736" s="385"/>
      <c r="BQ736" s="385"/>
      <c r="BR736" s="385"/>
      <c r="BS736" s="385"/>
      <c r="BT736" s="385"/>
      <c r="BU736" s="385"/>
      <c r="BV736" s="385"/>
      <c r="BW736" s="385"/>
      <c r="BX736" s="385"/>
      <c r="BY736" s="385"/>
      <c r="BZ736" s="385"/>
      <c r="CA736" s="385"/>
    </row>
    <row r="737" spans="1:79" s="6" customFormat="1" ht="15" customHeight="1">
      <c r="A737" s="41" t="s">
        <v>183</v>
      </c>
      <c r="B737" s="402" t="s">
        <v>2744</v>
      </c>
      <c r="C737" s="113" t="s">
        <v>393</v>
      </c>
      <c r="D737" s="393" t="s">
        <v>1881</v>
      </c>
      <c r="E737" s="394" t="s">
        <v>49</v>
      </c>
      <c r="F737" s="402"/>
      <c r="G737" s="405" t="s">
        <v>2745</v>
      </c>
      <c r="H737" s="74"/>
      <c r="I737" s="50" t="s">
        <v>2</v>
      </c>
      <c r="J737" s="48" t="s">
        <v>2939</v>
      </c>
      <c r="K737" s="51">
        <v>41030</v>
      </c>
      <c r="L737" s="115">
        <v>41022</v>
      </c>
      <c r="M737" s="50">
        <f t="shared" si="31"/>
        <v>8</v>
      </c>
      <c r="N737" s="50" t="s">
        <v>2</v>
      </c>
      <c r="O737" s="131">
        <f>2/2</f>
        <v>1</v>
      </c>
      <c r="P737" s="50">
        <v>7</v>
      </c>
      <c r="Q737" s="74">
        <v>6.6</v>
      </c>
      <c r="R737" s="50">
        <v>37</v>
      </c>
      <c r="S737" s="74">
        <v>21</v>
      </c>
      <c r="T737" s="50">
        <v>0.17</v>
      </c>
      <c r="U737" s="131">
        <v>1.87</v>
      </c>
      <c r="V737" s="50">
        <v>0.68</v>
      </c>
      <c r="W737" s="74">
        <v>1.9E-2</v>
      </c>
      <c r="X737" s="50">
        <v>0.33500000000000002</v>
      </c>
      <c r="Y737" s="74">
        <f>0.03/2</f>
        <v>1.4999999999999999E-2</v>
      </c>
      <c r="Z737" s="271"/>
      <c r="AA737" s="271"/>
      <c r="AB737" s="114"/>
      <c r="AC737" s="50"/>
      <c r="AD737" s="271"/>
      <c r="AE737" s="50"/>
      <c r="AF737" s="49"/>
      <c r="AG737" s="114"/>
      <c r="AH737" s="114"/>
      <c r="AI737" s="114"/>
      <c r="AJ737" s="114"/>
      <c r="AK737" s="114"/>
      <c r="AL737" s="114"/>
      <c r="AM737" s="114"/>
      <c r="AN737" s="114"/>
      <c r="AO737" s="114"/>
      <c r="AP737" s="114"/>
      <c r="AQ737" s="114"/>
      <c r="AR737" s="114"/>
      <c r="AS737" s="50"/>
      <c r="AT737" s="74"/>
      <c r="AU737" s="114"/>
      <c r="AV737" s="114"/>
      <c r="AW737" s="394"/>
      <c r="AX737" s="385"/>
      <c r="AY737" s="385"/>
      <c r="AZ737" s="385"/>
      <c r="BA737" s="385"/>
      <c r="BB737" s="385"/>
      <c r="BC737" s="385"/>
      <c r="BD737" s="385"/>
      <c r="BE737" s="385"/>
      <c r="BF737" s="385"/>
      <c r="BG737" s="385"/>
      <c r="BH737" s="385"/>
      <c r="BI737" s="385"/>
      <c r="BJ737" s="385"/>
      <c r="BK737" s="385"/>
      <c r="BL737" s="385"/>
      <c r="BM737" s="385"/>
      <c r="BN737" s="385"/>
      <c r="BO737" s="385"/>
      <c r="BP737" s="385"/>
      <c r="BQ737" s="385"/>
      <c r="BR737" s="385"/>
      <c r="BS737" s="385"/>
      <c r="BT737" s="385"/>
      <c r="BU737" s="385"/>
      <c r="BV737" s="385"/>
      <c r="BW737" s="385"/>
      <c r="BX737" s="385"/>
      <c r="BY737" s="385"/>
      <c r="BZ737" s="385"/>
      <c r="CA737" s="385"/>
    </row>
    <row r="738" spans="1:79" s="6" customFormat="1" ht="15" customHeight="1">
      <c r="A738" s="41" t="s">
        <v>183</v>
      </c>
      <c r="B738" s="402" t="s">
        <v>2744</v>
      </c>
      <c r="C738" s="113" t="s">
        <v>392</v>
      </c>
      <c r="D738" s="393" t="s">
        <v>1881</v>
      </c>
      <c r="E738" s="394" t="s">
        <v>49</v>
      </c>
      <c r="F738" s="402"/>
      <c r="G738" s="405" t="s">
        <v>2745</v>
      </c>
      <c r="H738" s="74"/>
      <c r="I738" s="50" t="s">
        <v>2</v>
      </c>
      <c r="J738" s="48" t="s">
        <v>2940</v>
      </c>
      <c r="K738" s="51">
        <v>41030</v>
      </c>
      <c r="L738" s="115">
        <v>41022</v>
      </c>
      <c r="M738" s="50">
        <f t="shared" si="31"/>
        <v>8</v>
      </c>
      <c r="N738" s="50" t="s">
        <v>2</v>
      </c>
      <c r="O738" s="131">
        <f>2/2</f>
        <v>1</v>
      </c>
      <c r="P738" s="50">
        <v>7</v>
      </c>
      <c r="Q738" s="74">
        <v>7.3</v>
      </c>
      <c r="R738" s="50">
        <v>27</v>
      </c>
      <c r="S738" s="74">
        <v>36</v>
      </c>
      <c r="T738" s="50">
        <v>0.34</v>
      </c>
      <c r="U738" s="131">
        <v>1.51</v>
      </c>
      <c r="V738" s="50">
        <v>0.28999999999999998</v>
      </c>
      <c r="W738" s="74">
        <v>2.1999999999999999E-2</v>
      </c>
      <c r="X738" s="50">
        <f>0.03/2</f>
        <v>1.4999999999999999E-2</v>
      </c>
      <c r="Y738" s="74">
        <f>0.03/2</f>
        <v>1.4999999999999999E-2</v>
      </c>
      <c r="Z738" s="271"/>
      <c r="AA738" s="271"/>
      <c r="AB738" s="114"/>
      <c r="AC738" s="50"/>
      <c r="AD738" s="271"/>
      <c r="AE738" s="50"/>
      <c r="AF738" s="49"/>
      <c r="AG738" s="114"/>
      <c r="AH738" s="114"/>
      <c r="AI738" s="114"/>
      <c r="AJ738" s="114"/>
      <c r="AK738" s="114"/>
      <c r="AL738" s="114"/>
      <c r="AM738" s="114"/>
      <c r="AN738" s="114"/>
      <c r="AO738" s="114"/>
      <c r="AP738" s="114"/>
      <c r="AQ738" s="114"/>
      <c r="AR738" s="114"/>
      <c r="AS738" s="50"/>
      <c r="AT738" s="74"/>
      <c r="AU738" s="114"/>
      <c r="AV738" s="114"/>
      <c r="AW738" s="394"/>
      <c r="AX738" s="385"/>
      <c r="AY738" s="385"/>
      <c r="AZ738" s="385"/>
      <c r="BA738" s="385"/>
      <c r="BB738" s="385"/>
      <c r="BC738" s="385"/>
      <c r="BD738" s="385"/>
      <c r="BE738" s="385"/>
      <c r="BF738" s="385"/>
      <c r="BG738" s="385"/>
      <c r="BH738" s="385"/>
      <c r="BI738" s="385"/>
      <c r="BJ738" s="385"/>
      <c r="BK738" s="385"/>
      <c r="BL738" s="385"/>
      <c r="BM738" s="385"/>
      <c r="BN738" s="385"/>
      <c r="BO738" s="385"/>
      <c r="BP738" s="385"/>
      <c r="BQ738" s="385"/>
      <c r="BR738" s="385"/>
      <c r="BS738" s="385"/>
      <c r="BT738" s="385"/>
      <c r="BU738" s="385"/>
      <c r="BV738" s="385"/>
      <c r="BW738" s="385"/>
      <c r="BX738" s="385"/>
      <c r="BY738" s="385"/>
      <c r="BZ738" s="385"/>
      <c r="CA738" s="385"/>
    </row>
    <row r="739" spans="1:79" s="6" customFormat="1" ht="15" customHeight="1">
      <c r="A739" s="41" t="s">
        <v>183</v>
      </c>
      <c r="B739" s="402" t="s">
        <v>2744</v>
      </c>
      <c r="C739" s="113" t="s">
        <v>392</v>
      </c>
      <c r="D739" s="393" t="s">
        <v>1881</v>
      </c>
      <c r="E739" s="394" t="s">
        <v>49</v>
      </c>
      <c r="F739" s="402"/>
      <c r="G739" s="405" t="s">
        <v>2745</v>
      </c>
      <c r="H739" s="74"/>
      <c r="I739" s="50" t="s">
        <v>2</v>
      </c>
      <c r="J739" s="48" t="s">
        <v>2941</v>
      </c>
      <c r="K739" s="51">
        <v>41030</v>
      </c>
      <c r="L739" s="115">
        <v>41022</v>
      </c>
      <c r="M739" s="50">
        <f t="shared" si="31"/>
        <v>8</v>
      </c>
      <c r="N739" s="50" t="s">
        <v>2</v>
      </c>
      <c r="O739" s="131">
        <v>2.9</v>
      </c>
      <c r="P739" s="50">
        <v>7</v>
      </c>
      <c r="Q739" s="74">
        <v>6.6</v>
      </c>
      <c r="R739" s="50">
        <v>83</v>
      </c>
      <c r="S739" s="74">
        <v>180</v>
      </c>
      <c r="T739" s="50">
        <v>0.45</v>
      </c>
      <c r="U739" s="131">
        <v>2.2999999999999998</v>
      </c>
      <c r="V739" s="50">
        <v>1.1000000000000001</v>
      </c>
      <c r="W739" s="74">
        <v>5.8999999999999997E-2</v>
      </c>
      <c r="X739" s="50">
        <v>0.16</v>
      </c>
      <c r="Y739" s="74">
        <v>7.5999999999999998E-2</v>
      </c>
      <c r="Z739" s="271"/>
      <c r="AA739" s="271"/>
      <c r="AB739" s="114"/>
      <c r="AC739" s="50"/>
      <c r="AD739" s="271"/>
      <c r="AE739" s="50"/>
      <c r="AF739" s="49"/>
      <c r="AG739" s="114"/>
      <c r="AH739" s="114"/>
      <c r="AI739" s="114"/>
      <c r="AJ739" s="114"/>
      <c r="AK739" s="114"/>
      <c r="AL739" s="114"/>
      <c r="AM739" s="114"/>
      <c r="AN739" s="114"/>
      <c r="AO739" s="114"/>
      <c r="AP739" s="114"/>
      <c r="AQ739" s="114"/>
      <c r="AR739" s="114"/>
      <c r="AS739" s="50"/>
      <c r="AT739" s="74"/>
      <c r="AU739" s="114"/>
      <c r="AV739" s="114"/>
      <c r="AW739" s="394"/>
      <c r="AX739" s="385"/>
      <c r="AY739" s="385"/>
      <c r="AZ739" s="385"/>
      <c r="BA739" s="385"/>
      <c r="BB739" s="385"/>
      <c r="BC739" s="385"/>
      <c r="BD739" s="385"/>
      <c r="BE739" s="385"/>
      <c r="BF739" s="385"/>
      <c r="BG739" s="385"/>
      <c r="BH739" s="385"/>
      <c r="BI739" s="385"/>
      <c r="BJ739" s="385"/>
      <c r="BK739" s="385"/>
      <c r="BL739" s="385"/>
      <c r="BM739" s="385"/>
      <c r="BN739" s="385"/>
      <c r="BO739" s="385"/>
      <c r="BP739" s="385"/>
      <c r="BQ739" s="385"/>
      <c r="BR739" s="385"/>
      <c r="BS739" s="385"/>
      <c r="BT739" s="385"/>
      <c r="BU739" s="385"/>
      <c r="BV739" s="385"/>
      <c r="BW739" s="385"/>
      <c r="BX739" s="385"/>
      <c r="BY739" s="385"/>
      <c r="BZ739" s="385"/>
      <c r="CA739" s="385"/>
    </row>
    <row r="740" spans="1:79" s="6" customFormat="1" ht="15" customHeight="1">
      <c r="A740" s="41" t="s">
        <v>183</v>
      </c>
      <c r="B740" s="402" t="s">
        <v>2942</v>
      </c>
      <c r="C740" s="113" t="s">
        <v>2943</v>
      </c>
      <c r="D740" s="393" t="s">
        <v>213</v>
      </c>
      <c r="E740" s="394" t="s">
        <v>364</v>
      </c>
      <c r="F740" s="402"/>
      <c r="G740" s="405" t="s">
        <v>2944</v>
      </c>
      <c r="H740" s="74">
        <v>4952</v>
      </c>
      <c r="I740" s="50" t="s">
        <v>2</v>
      </c>
      <c r="J740" s="48" t="s">
        <v>2945</v>
      </c>
      <c r="K740" s="51">
        <v>41113</v>
      </c>
      <c r="L740" s="115">
        <v>41110</v>
      </c>
      <c r="M740" s="50">
        <f t="shared" si="31"/>
        <v>3</v>
      </c>
      <c r="N740" s="50" t="s">
        <v>2</v>
      </c>
      <c r="O740" s="131">
        <v>7.5</v>
      </c>
      <c r="P740" s="50">
        <v>4.71</v>
      </c>
      <c r="Q740" s="74">
        <v>5.07</v>
      </c>
      <c r="R740" s="50">
        <v>23.7</v>
      </c>
      <c r="S740" s="74">
        <f>1/2</f>
        <v>0.5</v>
      </c>
      <c r="T740" s="50">
        <f>0.05/2</f>
        <v>2.5000000000000001E-2</v>
      </c>
      <c r="U740" s="131">
        <v>1.39</v>
      </c>
      <c r="V740" s="50">
        <v>0.28000000000000003</v>
      </c>
      <c r="W740" s="74">
        <f>0.01/2</f>
        <v>5.0000000000000001E-3</v>
      </c>
      <c r="X740" s="50">
        <v>0.02</v>
      </c>
      <c r="Y740" s="74">
        <f>0.02/2</f>
        <v>0.01</v>
      </c>
      <c r="Z740" s="271"/>
      <c r="AA740" s="271"/>
      <c r="AB740" s="114"/>
      <c r="AC740" s="50"/>
      <c r="AD740" s="271"/>
      <c r="AE740" s="50"/>
      <c r="AF740" s="49"/>
      <c r="AG740" s="114"/>
      <c r="AH740" s="114"/>
      <c r="AI740" s="114"/>
      <c r="AJ740" s="114"/>
      <c r="AK740" s="114"/>
      <c r="AL740" s="114"/>
      <c r="AM740" s="114"/>
      <c r="AN740" s="114"/>
      <c r="AO740" s="114"/>
      <c r="AP740" s="114"/>
      <c r="AQ740" s="114"/>
      <c r="AR740" s="114"/>
      <c r="AS740" s="50"/>
      <c r="AT740" s="74"/>
      <c r="AU740" s="114"/>
      <c r="AV740" s="114"/>
      <c r="AW740" s="394"/>
      <c r="AX740" s="385"/>
      <c r="AY740" s="385"/>
      <c r="AZ740" s="385"/>
      <c r="BA740" s="385"/>
      <c r="BB740" s="385"/>
      <c r="BC740" s="385"/>
      <c r="BD740" s="385"/>
      <c r="BE740" s="385"/>
      <c r="BF740" s="385"/>
      <c r="BG740" s="385"/>
      <c r="BH740" s="385"/>
      <c r="BI740" s="385"/>
      <c r="BJ740" s="385"/>
      <c r="BK740" s="385"/>
      <c r="BL740" s="385"/>
      <c r="BM740" s="385"/>
      <c r="BN740" s="385"/>
      <c r="BO740" s="385"/>
      <c r="BP740" s="385"/>
      <c r="BQ740" s="385"/>
      <c r="BR740" s="385"/>
      <c r="BS740" s="385"/>
      <c r="BT740" s="385"/>
      <c r="BU740" s="385"/>
      <c r="BV740" s="385"/>
      <c r="BW740" s="385"/>
      <c r="BX740" s="385"/>
      <c r="BY740" s="385"/>
      <c r="BZ740" s="385"/>
      <c r="CA740" s="385"/>
    </row>
    <row r="741" spans="1:79" s="6" customFormat="1" ht="15" customHeight="1">
      <c r="A741" s="41" t="s">
        <v>183</v>
      </c>
      <c r="B741" s="402" t="s">
        <v>2942</v>
      </c>
      <c r="C741" s="113" t="s">
        <v>2943</v>
      </c>
      <c r="D741" s="393" t="s">
        <v>213</v>
      </c>
      <c r="E741" s="394" t="s">
        <v>364</v>
      </c>
      <c r="F741" s="402"/>
      <c r="G741" s="405" t="s">
        <v>2944</v>
      </c>
      <c r="H741" s="74">
        <v>4952</v>
      </c>
      <c r="I741" s="50" t="s">
        <v>2</v>
      </c>
      <c r="J741" s="48" t="s">
        <v>2946</v>
      </c>
      <c r="K741" s="51">
        <v>41113</v>
      </c>
      <c r="L741" s="115">
        <v>41110</v>
      </c>
      <c r="M741" s="50">
        <f t="shared" si="31"/>
        <v>3</v>
      </c>
      <c r="N741" s="50" t="s">
        <v>2</v>
      </c>
      <c r="O741" s="131">
        <v>8.4</v>
      </c>
      <c r="P741" s="50">
        <v>4.7699999999999996</v>
      </c>
      <c r="Q741" s="74">
        <v>6.8</v>
      </c>
      <c r="R741" s="50">
        <v>41.6</v>
      </c>
      <c r="S741" s="74">
        <v>33</v>
      </c>
      <c r="T741" s="50">
        <v>0.19</v>
      </c>
      <c r="U741" s="131">
        <v>1.66</v>
      </c>
      <c r="V741" s="50">
        <v>0.52</v>
      </c>
      <c r="W741" s="74">
        <f>0.01/2</f>
        <v>5.0000000000000001E-3</v>
      </c>
      <c r="X741" s="50">
        <v>0.06</v>
      </c>
      <c r="Y741" s="74">
        <f>0.02/2</f>
        <v>0.01</v>
      </c>
      <c r="Z741" s="271"/>
      <c r="AA741" s="271"/>
      <c r="AB741" s="114"/>
      <c r="AC741" s="50"/>
      <c r="AD741" s="271"/>
      <c r="AE741" s="50"/>
      <c r="AF741" s="49"/>
      <c r="AG741" s="114"/>
      <c r="AH741" s="114"/>
      <c r="AI741" s="114"/>
      <c r="AJ741" s="114"/>
      <c r="AK741" s="114"/>
      <c r="AL741" s="114"/>
      <c r="AM741" s="114"/>
      <c r="AN741" s="114"/>
      <c r="AO741" s="114"/>
      <c r="AP741" s="114"/>
      <c r="AQ741" s="114"/>
      <c r="AR741" s="114"/>
      <c r="AS741" s="50"/>
      <c r="AT741" s="74"/>
      <c r="AU741" s="114"/>
      <c r="AV741" s="114"/>
      <c r="AW741" s="394"/>
      <c r="AX741" s="385"/>
      <c r="AY741" s="385"/>
      <c r="AZ741" s="385"/>
      <c r="BA741" s="385"/>
      <c r="BB741" s="385"/>
      <c r="BC741" s="385"/>
      <c r="BD741" s="385"/>
      <c r="BE741" s="385"/>
      <c r="BF741" s="385"/>
      <c r="BG741" s="385"/>
      <c r="BH741" s="385"/>
      <c r="BI741" s="385"/>
      <c r="BJ741" s="385"/>
      <c r="BK741" s="385"/>
      <c r="BL741" s="385"/>
      <c r="BM741" s="385"/>
      <c r="BN741" s="385"/>
      <c r="BO741" s="385"/>
      <c r="BP741" s="385"/>
      <c r="BQ741" s="385"/>
      <c r="BR741" s="385"/>
      <c r="BS741" s="385"/>
      <c r="BT741" s="385"/>
      <c r="BU741" s="385"/>
      <c r="BV741" s="385"/>
      <c r="BW741" s="385"/>
      <c r="BX741" s="385"/>
      <c r="BY741" s="385"/>
      <c r="BZ741" s="385"/>
      <c r="CA741" s="385"/>
    </row>
    <row r="742" spans="1:79" s="6" customFormat="1" ht="15" customHeight="1">
      <c r="A742" s="41" t="s">
        <v>183</v>
      </c>
      <c r="B742" s="402" t="s">
        <v>2942</v>
      </c>
      <c r="C742" s="113" t="s">
        <v>2942</v>
      </c>
      <c r="D742" s="393" t="s">
        <v>213</v>
      </c>
      <c r="E742" s="394"/>
      <c r="F742" s="402"/>
      <c r="G742" s="405" t="s">
        <v>2947</v>
      </c>
      <c r="H742" s="74"/>
      <c r="I742" s="50"/>
      <c r="J742" s="48" t="s">
        <v>2948</v>
      </c>
      <c r="K742" s="51">
        <v>41113</v>
      </c>
      <c r="L742" s="115">
        <v>41110</v>
      </c>
      <c r="M742" s="50">
        <f t="shared" si="31"/>
        <v>3</v>
      </c>
      <c r="N742" s="50" t="s">
        <v>2</v>
      </c>
      <c r="O742" s="131">
        <v>6.1</v>
      </c>
      <c r="P742" s="50">
        <v>6.55</v>
      </c>
      <c r="Q742" s="74">
        <v>6.55</v>
      </c>
      <c r="R742" s="50">
        <v>375</v>
      </c>
      <c r="S742" s="74">
        <v>30</v>
      </c>
      <c r="T742" s="50">
        <v>0.63</v>
      </c>
      <c r="U742" s="131">
        <v>22.91</v>
      </c>
      <c r="V742" s="50">
        <f>0.2/2</f>
        <v>0.1</v>
      </c>
      <c r="W742" s="74">
        <f>0.01/2</f>
        <v>5.0000000000000001E-3</v>
      </c>
      <c r="X742" s="50">
        <v>2.38</v>
      </c>
      <c r="Y742" s="74">
        <f>0.02/2</f>
        <v>0.01</v>
      </c>
      <c r="Z742" s="271">
        <v>1</v>
      </c>
      <c r="AA742" s="271">
        <v>1</v>
      </c>
      <c r="AB742" s="114">
        <v>113</v>
      </c>
      <c r="AC742" s="50">
        <v>654</v>
      </c>
      <c r="AD742" s="271">
        <v>0.95</v>
      </c>
      <c r="AE742" s="50"/>
      <c r="AF742" s="49"/>
      <c r="AG742" s="114"/>
      <c r="AH742" s="114"/>
      <c r="AI742" s="114"/>
      <c r="AJ742" s="114"/>
      <c r="AK742" s="114"/>
      <c r="AL742" s="114"/>
      <c r="AM742" s="114"/>
      <c r="AN742" s="114"/>
      <c r="AO742" s="114"/>
      <c r="AP742" s="114"/>
      <c r="AQ742" s="114"/>
      <c r="AR742" s="114"/>
      <c r="AS742" s="50"/>
      <c r="AT742" s="74"/>
      <c r="AU742" s="114"/>
      <c r="AV742" s="114"/>
      <c r="AW742" s="394"/>
      <c r="AX742" s="385"/>
      <c r="AY742" s="385"/>
      <c r="AZ742" s="385"/>
      <c r="BA742" s="385"/>
      <c r="BB742" s="385"/>
      <c r="BC742" s="385"/>
      <c r="BD742" s="385"/>
      <c r="BE742" s="385"/>
      <c r="BF742" s="385"/>
      <c r="BG742" s="385"/>
      <c r="BH742" s="385"/>
      <c r="BI742" s="385"/>
      <c r="BJ742" s="385"/>
      <c r="BK742" s="385"/>
      <c r="BL742" s="385"/>
      <c r="BM742" s="385"/>
      <c r="BN742" s="385"/>
      <c r="BO742" s="385"/>
      <c r="BP742" s="385"/>
      <c r="BQ742" s="385"/>
      <c r="BR742" s="385"/>
      <c r="BS742" s="385"/>
      <c r="BT742" s="385"/>
      <c r="BU742" s="385"/>
      <c r="BV742" s="385"/>
      <c r="BW742" s="385"/>
      <c r="BX742" s="385"/>
      <c r="BY742" s="385"/>
      <c r="BZ742" s="385"/>
      <c r="CA742" s="385"/>
    </row>
    <row r="743" spans="1:79" s="6" customFormat="1" ht="15" customHeight="1">
      <c r="A743" s="41" t="s">
        <v>183</v>
      </c>
      <c r="B743" s="402" t="s">
        <v>2942</v>
      </c>
      <c r="C743" s="113" t="s">
        <v>2942</v>
      </c>
      <c r="D743" s="393" t="s">
        <v>213</v>
      </c>
      <c r="E743" s="394"/>
      <c r="F743" s="402"/>
      <c r="G743" s="405" t="s">
        <v>2947</v>
      </c>
      <c r="H743" s="74"/>
      <c r="I743" s="50"/>
      <c r="J743" s="48" t="s">
        <v>2949</v>
      </c>
      <c r="K743" s="51">
        <v>41113</v>
      </c>
      <c r="L743" s="115">
        <v>41110</v>
      </c>
      <c r="M743" s="50">
        <f t="shared" si="31"/>
        <v>3</v>
      </c>
      <c r="N743" s="50" t="s">
        <v>2</v>
      </c>
      <c r="O743" s="131">
        <v>13.9</v>
      </c>
      <c r="P743" s="50">
        <v>6.66</v>
      </c>
      <c r="Q743" s="74">
        <v>6.67</v>
      </c>
      <c r="R743" s="50">
        <v>891</v>
      </c>
      <c r="S743" s="74">
        <v>52</v>
      </c>
      <c r="T743" s="50">
        <v>1.1599999999999999</v>
      </c>
      <c r="U743" s="131">
        <v>47.82</v>
      </c>
      <c r="V743" s="50">
        <f>0.2/2</f>
        <v>0.1</v>
      </c>
      <c r="W743" s="74">
        <f>0.01/2</f>
        <v>5.0000000000000001E-3</v>
      </c>
      <c r="X743" s="50">
        <v>1.27</v>
      </c>
      <c r="Y743" s="74">
        <f>0.02/2</f>
        <v>0.01</v>
      </c>
      <c r="Z743" s="271">
        <v>0.73699999999999999</v>
      </c>
      <c r="AA743" s="271">
        <v>0.70599999999999996</v>
      </c>
      <c r="AB743" s="114">
        <v>122</v>
      </c>
      <c r="AC743" s="50">
        <v>618</v>
      </c>
      <c r="AD743" s="271">
        <v>0</v>
      </c>
      <c r="AE743" s="50"/>
      <c r="AF743" s="49"/>
      <c r="AG743" s="114"/>
      <c r="AH743" s="114"/>
      <c r="AI743" s="114"/>
      <c r="AJ743" s="114"/>
      <c r="AK743" s="114"/>
      <c r="AL743" s="114"/>
      <c r="AM743" s="114"/>
      <c r="AN743" s="114"/>
      <c r="AO743" s="114"/>
      <c r="AP743" s="114"/>
      <c r="AQ743" s="114"/>
      <c r="AR743" s="114"/>
      <c r="AS743" s="50"/>
      <c r="AT743" s="74"/>
      <c r="AU743" s="114"/>
      <c r="AV743" s="114"/>
      <c r="AW743" s="394"/>
      <c r="AX743" s="385"/>
      <c r="AY743" s="385"/>
      <c r="AZ743" s="385"/>
      <c r="BA743" s="385"/>
      <c r="BB743" s="385"/>
      <c r="BC743" s="385"/>
      <c r="BD743" s="385"/>
      <c r="BE743" s="385"/>
      <c r="BF743" s="385"/>
      <c r="BG743" s="385"/>
      <c r="BH743" s="385"/>
      <c r="BI743" s="385"/>
      <c r="BJ743" s="385"/>
      <c r="BK743" s="385"/>
      <c r="BL743" s="385"/>
      <c r="BM743" s="385"/>
      <c r="BN743" s="385"/>
      <c r="BO743" s="385"/>
      <c r="BP743" s="385"/>
      <c r="BQ743" s="385"/>
      <c r="BR743" s="385"/>
      <c r="BS743" s="385"/>
      <c r="BT743" s="385"/>
      <c r="BU743" s="385"/>
      <c r="BV743" s="385"/>
      <c r="BW743" s="385"/>
      <c r="BX743" s="385"/>
      <c r="BY743" s="385"/>
      <c r="BZ743" s="385"/>
      <c r="CA743" s="385"/>
    </row>
    <row r="744" spans="1:79" s="6" customFormat="1" ht="15" customHeight="1">
      <c r="A744" s="41" t="s">
        <v>183</v>
      </c>
      <c r="B744" s="402" t="s">
        <v>2952</v>
      </c>
      <c r="C744" s="113" t="s">
        <v>393</v>
      </c>
      <c r="D744" s="393" t="s">
        <v>2953</v>
      </c>
      <c r="E744" s="394"/>
      <c r="F744" s="402"/>
      <c r="G744" s="405" t="s">
        <v>2954</v>
      </c>
      <c r="H744" s="74"/>
      <c r="I744" s="50"/>
      <c r="J744" s="48" t="s">
        <v>2955</v>
      </c>
      <c r="K744" s="51">
        <v>41072</v>
      </c>
      <c r="L744" s="115"/>
      <c r="M744" s="50"/>
      <c r="N744" s="50" t="s">
        <v>2</v>
      </c>
      <c r="O744" s="131">
        <f>2.5/2</f>
        <v>1.25</v>
      </c>
      <c r="P744" s="50">
        <v>6.88</v>
      </c>
      <c r="Q744" s="74">
        <v>6.27</v>
      </c>
      <c r="R744" s="50">
        <v>29.3</v>
      </c>
      <c r="S744" s="74">
        <v>101</v>
      </c>
      <c r="T744" s="50">
        <f>0.5/2</f>
        <v>0.25</v>
      </c>
      <c r="U744" s="131">
        <v>0.62</v>
      </c>
      <c r="V744" s="50">
        <v>1.89</v>
      </c>
      <c r="W744" s="74">
        <v>0.01</v>
      </c>
      <c r="X744" s="50">
        <v>0.02</v>
      </c>
      <c r="Y744" s="74">
        <f>0.004/2</f>
        <v>2E-3</v>
      </c>
      <c r="Z744" s="271"/>
      <c r="AA744" s="271"/>
      <c r="AB744" s="114"/>
      <c r="AC744" s="50"/>
      <c r="AD744" s="271"/>
      <c r="AE744" s="50"/>
      <c r="AF744" s="49"/>
      <c r="AG744" s="114"/>
      <c r="AH744" s="114"/>
      <c r="AI744" s="114"/>
      <c r="AJ744" s="114"/>
      <c r="AK744" s="114"/>
      <c r="AL744" s="114"/>
      <c r="AM744" s="114"/>
      <c r="AN744" s="114"/>
      <c r="AO744" s="114"/>
      <c r="AP744" s="114"/>
      <c r="AQ744" s="114"/>
      <c r="AR744" s="114"/>
      <c r="AS744" s="50"/>
      <c r="AT744" s="74"/>
      <c r="AU744" s="114"/>
      <c r="AV744" s="114"/>
      <c r="AW744" s="394"/>
      <c r="AX744" s="385"/>
      <c r="AY744" s="385"/>
      <c r="AZ744" s="385"/>
      <c r="BA744" s="385"/>
      <c r="BB744" s="385"/>
      <c r="BC744" s="385"/>
      <c r="BD744" s="385"/>
      <c r="BE744" s="385"/>
      <c r="BF744" s="385"/>
      <c r="BG744" s="385"/>
      <c r="BH744" s="385"/>
      <c r="BI744" s="385"/>
      <c r="BJ744" s="385"/>
      <c r="BK744" s="385"/>
      <c r="BL744" s="385"/>
      <c r="BM744" s="385"/>
      <c r="BN744" s="385"/>
      <c r="BO744" s="385"/>
      <c r="BP744" s="385"/>
      <c r="BQ744" s="385"/>
      <c r="BR744" s="385"/>
      <c r="BS744" s="385"/>
      <c r="BT744" s="385"/>
      <c r="BU744" s="385"/>
      <c r="BV744" s="385"/>
      <c r="BW744" s="385"/>
      <c r="BX744" s="385"/>
      <c r="BY744" s="385"/>
      <c r="BZ744" s="385"/>
      <c r="CA744" s="385"/>
    </row>
    <row r="745" spans="1:79" s="6" customFormat="1" ht="15" customHeight="1">
      <c r="A745" s="41" t="s">
        <v>183</v>
      </c>
      <c r="B745" s="402" t="s">
        <v>2280</v>
      </c>
      <c r="C745" s="113" t="s">
        <v>393</v>
      </c>
      <c r="D745" s="393" t="s">
        <v>195</v>
      </c>
      <c r="E745" s="394" t="s">
        <v>1831</v>
      </c>
      <c r="F745" s="402">
        <v>5302</v>
      </c>
      <c r="G745" s="405" t="s">
        <v>2767</v>
      </c>
      <c r="H745" s="74">
        <v>9199</v>
      </c>
      <c r="I745" s="50" t="s">
        <v>2</v>
      </c>
      <c r="J745" s="48" t="s">
        <v>114</v>
      </c>
      <c r="K745" s="51">
        <v>41073</v>
      </c>
      <c r="L745" s="115">
        <v>41065</v>
      </c>
      <c r="M745" s="50">
        <f>K745-L745</f>
        <v>8</v>
      </c>
      <c r="N745" s="50" t="s">
        <v>2</v>
      </c>
      <c r="O745" s="131">
        <f>2/2</f>
        <v>1</v>
      </c>
      <c r="P745" s="50">
        <v>7.8</v>
      </c>
      <c r="Q745" s="74">
        <v>6.9</v>
      </c>
      <c r="R745" s="50">
        <v>16</v>
      </c>
      <c r="S745" s="74">
        <v>492</v>
      </c>
      <c r="T745" s="50">
        <v>0.26</v>
      </c>
      <c r="U745" s="131">
        <v>1.27</v>
      </c>
      <c r="V745" s="50">
        <f>0.1/2</f>
        <v>0.05</v>
      </c>
      <c r="W745" s="74">
        <f>0.01/2</f>
        <v>5.0000000000000001E-3</v>
      </c>
      <c r="X745" s="50">
        <f t="shared" ref="X745:Y748" si="32">0.03/2</f>
        <v>1.4999999999999999E-2</v>
      </c>
      <c r="Y745" s="74">
        <f t="shared" si="32"/>
        <v>1.4999999999999999E-2</v>
      </c>
      <c r="Z745" s="271"/>
      <c r="AA745" s="271"/>
      <c r="AB745" s="114"/>
      <c r="AC745" s="50"/>
      <c r="AD745" s="271"/>
      <c r="AE745" s="50"/>
      <c r="AF745" s="49"/>
      <c r="AG745" s="114"/>
      <c r="AH745" s="114"/>
      <c r="AI745" s="114"/>
      <c r="AJ745" s="114"/>
      <c r="AK745" s="114"/>
      <c r="AL745" s="114"/>
      <c r="AM745" s="114"/>
      <c r="AN745" s="114"/>
      <c r="AO745" s="114"/>
      <c r="AP745" s="114"/>
      <c r="AQ745" s="114"/>
      <c r="AR745" s="114"/>
      <c r="AS745" s="50"/>
      <c r="AT745" s="74"/>
      <c r="AU745" s="114"/>
      <c r="AV745" s="114"/>
      <c r="AW745" s="394"/>
      <c r="AX745" s="385"/>
      <c r="AY745" s="385"/>
      <c r="AZ745" s="385"/>
      <c r="BA745" s="385"/>
      <c r="BB745" s="385"/>
      <c r="BC745" s="385"/>
      <c r="BD745" s="385"/>
      <c r="BE745" s="385"/>
      <c r="BF745" s="385"/>
      <c r="BG745" s="385"/>
      <c r="BH745" s="385"/>
      <c r="BI745" s="385"/>
      <c r="BJ745" s="385"/>
      <c r="BK745" s="385"/>
      <c r="BL745" s="385"/>
      <c r="BM745" s="385"/>
      <c r="BN745" s="385"/>
      <c r="BO745" s="385"/>
      <c r="BP745" s="385"/>
      <c r="BQ745" s="385"/>
      <c r="BR745" s="385"/>
      <c r="BS745" s="385"/>
      <c r="BT745" s="385"/>
      <c r="BU745" s="385"/>
      <c r="BV745" s="385"/>
      <c r="BW745" s="385"/>
      <c r="BX745" s="385"/>
      <c r="BY745" s="385"/>
      <c r="BZ745" s="385"/>
      <c r="CA745" s="385"/>
    </row>
    <row r="746" spans="1:79" s="6" customFormat="1" ht="15" customHeight="1">
      <c r="A746" s="41" t="s">
        <v>183</v>
      </c>
      <c r="B746" s="402" t="s">
        <v>2280</v>
      </c>
      <c r="C746" s="113" t="s">
        <v>393</v>
      </c>
      <c r="D746" s="393" t="s">
        <v>195</v>
      </c>
      <c r="E746" s="394" t="s">
        <v>1831</v>
      </c>
      <c r="F746" s="402">
        <v>5302</v>
      </c>
      <c r="G746" s="405" t="s">
        <v>2767</v>
      </c>
      <c r="H746" s="74">
        <v>9199</v>
      </c>
      <c r="I746" s="50" t="s">
        <v>2</v>
      </c>
      <c r="J746" s="48" t="s">
        <v>925</v>
      </c>
      <c r="K746" s="51">
        <v>41073</v>
      </c>
      <c r="L746" s="115">
        <v>41065</v>
      </c>
      <c r="M746" s="50">
        <f>K746-L746</f>
        <v>8</v>
      </c>
      <c r="N746" s="50" t="s">
        <v>2</v>
      </c>
      <c r="O746" s="131">
        <f>2/2</f>
        <v>1</v>
      </c>
      <c r="P746" s="50">
        <v>7.8</v>
      </c>
      <c r="Q746" s="74">
        <v>7.3</v>
      </c>
      <c r="R746" s="50">
        <f>10/2</f>
        <v>5</v>
      </c>
      <c r="S746" s="74">
        <v>8</v>
      </c>
      <c r="T746" s="50">
        <v>0.16</v>
      </c>
      <c r="U746" s="131">
        <v>0.26</v>
      </c>
      <c r="V746" s="50">
        <v>1.06</v>
      </c>
      <c r="W746" s="74">
        <f>0.01/2</f>
        <v>5.0000000000000001E-3</v>
      </c>
      <c r="X746" s="50">
        <f t="shared" si="32"/>
        <v>1.4999999999999999E-2</v>
      </c>
      <c r="Y746" s="74">
        <f t="shared" si="32"/>
        <v>1.4999999999999999E-2</v>
      </c>
      <c r="Z746" s="271"/>
      <c r="AA746" s="271"/>
      <c r="AB746" s="114"/>
      <c r="AC746" s="50"/>
      <c r="AD746" s="271"/>
      <c r="AE746" s="50"/>
      <c r="AF746" s="49"/>
      <c r="AG746" s="114"/>
      <c r="AH746" s="114"/>
      <c r="AI746" s="114"/>
      <c r="AJ746" s="114"/>
      <c r="AK746" s="114"/>
      <c r="AL746" s="114"/>
      <c r="AM746" s="114"/>
      <c r="AN746" s="114"/>
      <c r="AO746" s="114"/>
      <c r="AP746" s="114"/>
      <c r="AQ746" s="114"/>
      <c r="AR746" s="114"/>
      <c r="AS746" s="50"/>
      <c r="AT746" s="74"/>
      <c r="AU746" s="114"/>
      <c r="AV746" s="114"/>
      <c r="AW746" s="394"/>
      <c r="AX746" s="385"/>
      <c r="AY746" s="385"/>
      <c r="AZ746" s="385"/>
      <c r="BA746" s="385"/>
      <c r="BB746" s="385"/>
      <c r="BC746" s="385"/>
      <c r="BD746" s="385"/>
      <c r="BE746" s="385"/>
      <c r="BF746" s="385"/>
      <c r="BG746" s="385"/>
      <c r="BH746" s="385"/>
      <c r="BI746" s="385"/>
      <c r="BJ746" s="385"/>
      <c r="BK746" s="385"/>
      <c r="BL746" s="385"/>
      <c r="BM746" s="385"/>
      <c r="BN746" s="385"/>
      <c r="BO746" s="385"/>
      <c r="BP746" s="385"/>
      <c r="BQ746" s="385"/>
      <c r="BR746" s="385"/>
      <c r="BS746" s="385"/>
      <c r="BT746" s="385"/>
      <c r="BU746" s="385"/>
      <c r="BV746" s="385"/>
      <c r="BW746" s="385"/>
      <c r="BX746" s="385"/>
      <c r="BY746" s="385"/>
      <c r="BZ746" s="385"/>
      <c r="CA746" s="385"/>
    </row>
    <row r="747" spans="1:79" s="6" customFormat="1" ht="15" customHeight="1">
      <c r="A747" s="41" t="s">
        <v>183</v>
      </c>
      <c r="B747" s="402" t="s">
        <v>2280</v>
      </c>
      <c r="C747" s="113" t="s">
        <v>393</v>
      </c>
      <c r="D747" s="393" t="s">
        <v>195</v>
      </c>
      <c r="E747" s="394" t="s">
        <v>1831</v>
      </c>
      <c r="F747" s="402">
        <v>5302</v>
      </c>
      <c r="G747" s="405" t="s">
        <v>2767</v>
      </c>
      <c r="H747" s="74">
        <v>9199</v>
      </c>
      <c r="I747" s="50" t="s">
        <v>2</v>
      </c>
      <c r="J747" s="48" t="s">
        <v>114</v>
      </c>
      <c r="K747" s="51">
        <v>40898</v>
      </c>
      <c r="L747" s="115">
        <v>40892</v>
      </c>
      <c r="M747" s="50">
        <f>K747-L747</f>
        <v>6</v>
      </c>
      <c r="N747" s="50" t="s">
        <v>2</v>
      </c>
      <c r="O747" s="131">
        <f>2/2</f>
        <v>1</v>
      </c>
      <c r="P747" s="50">
        <v>5.5</v>
      </c>
      <c r="Q747" s="74">
        <v>7.1</v>
      </c>
      <c r="R747" s="50">
        <f>10/2</f>
        <v>5</v>
      </c>
      <c r="S747" s="74">
        <v>3</v>
      </c>
      <c r="T747" s="50">
        <f>0.05/2</f>
        <v>2.5000000000000001E-2</v>
      </c>
      <c r="U747" s="131">
        <v>0.21</v>
      </c>
      <c r="V747" s="50">
        <v>0.9</v>
      </c>
      <c r="W747" s="74">
        <f>0.01/2</f>
        <v>5.0000000000000001E-3</v>
      </c>
      <c r="X747" s="50">
        <f t="shared" si="32"/>
        <v>1.4999999999999999E-2</v>
      </c>
      <c r="Y747" s="74">
        <f t="shared" si="32"/>
        <v>1.4999999999999999E-2</v>
      </c>
      <c r="Z747" s="271">
        <v>1</v>
      </c>
      <c r="AA747" s="271">
        <v>1</v>
      </c>
      <c r="AB747" s="114">
        <v>218</v>
      </c>
      <c r="AC747" s="50">
        <v>1052</v>
      </c>
      <c r="AD747" s="271">
        <v>1</v>
      </c>
      <c r="AE747" s="50"/>
      <c r="AF747" s="49"/>
      <c r="AG747" s="114"/>
      <c r="AH747" s="114"/>
      <c r="AI747" s="114"/>
      <c r="AJ747" s="114"/>
      <c r="AK747" s="114"/>
      <c r="AL747" s="114"/>
      <c r="AM747" s="114"/>
      <c r="AN747" s="114"/>
      <c r="AO747" s="114"/>
      <c r="AP747" s="114"/>
      <c r="AQ747" s="114"/>
      <c r="AR747" s="114"/>
      <c r="AS747" s="50"/>
      <c r="AT747" s="74"/>
      <c r="AU747" s="114"/>
      <c r="AV747" s="114"/>
      <c r="AW747" s="394"/>
      <c r="AX747" s="385"/>
      <c r="AY747" s="385"/>
      <c r="AZ747" s="385"/>
      <c r="BA747" s="385"/>
      <c r="BB747" s="385"/>
      <c r="BC747" s="385"/>
      <c r="BD747" s="385"/>
      <c r="BE747" s="385"/>
      <c r="BF747" s="385"/>
      <c r="BG747" s="385"/>
      <c r="BH747" s="385"/>
      <c r="BI747" s="385"/>
      <c r="BJ747" s="385"/>
      <c r="BK747" s="385"/>
      <c r="BL747" s="385"/>
      <c r="BM747" s="385"/>
      <c r="BN747" s="385"/>
      <c r="BO747" s="385"/>
      <c r="BP747" s="385"/>
      <c r="BQ747" s="385"/>
      <c r="BR747" s="385"/>
      <c r="BS747" s="385"/>
      <c r="BT747" s="385"/>
      <c r="BU747" s="385"/>
      <c r="BV747" s="385"/>
      <c r="BW747" s="385"/>
      <c r="BX747" s="385"/>
      <c r="BY747" s="385"/>
      <c r="BZ747" s="385"/>
      <c r="CA747" s="385"/>
    </row>
    <row r="748" spans="1:79" s="6" customFormat="1" ht="15" customHeight="1">
      <c r="A748" s="41" t="s">
        <v>183</v>
      </c>
      <c r="B748" s="402" t="s">
        <v>2280</v>
      </c>
      <c r="C748" s="113" t="s">
        <v>393</v>
      </c>
      <c r="D748" s="393" t="s">
        <v>195</v>
      </c>
      <c r="E748" s="394" t="s">
        <v>1831</v>
      </c>
      <c r="F748" s="402">
        <v>5302</v>
      </c>
      <c r="G748" s="405" t="s">
        <v>2767</v>
      </c>
      <c r="H748" s="74">
        <v>9199</v>
      </c>
      <c r="I748" s="50" t="s">
        <v>2</v>
      </c>
      <c r="J748" s="48" t="s">
        <v>925</v>
      </c>
      <c r="K748" s="51">
        <v>40898</v>
      </c>
      <c r="L748" s="115">
        <v>40892</v>
      </c>
      <c r="M748" s="50">
        <f>K748-L748</f>
        <v>6</v>
      </c>
      <c r="N748" s="50" t="s">
        <v>2</v>
      </c>
      <c r="O748" s="131">
        <v>4.9000000000000004</v>
      </c>
      <c r="P748" s="50">
        <v>5.5</v>
      </c>
      <c r="Q748" s="74">
        <v>7</v>
      </c>
      <c r="R748" s="50">
        <v>280</v>
      </c>
      <c r="S748" s="74">
        <v>348</v>
      </c>
      <c r="T748" s="50">
        <v>3.74</v>
      </c>
      <c r="U748" s="131">
        <v>9.75</v>
      </c>
      <c r="V748" s="50">
        <f>0.1/2</f>
        <v>0.05</v>
      </c>
      <c r="W748" s="74">
        <v>1.2999999999999999E-2</v>
      </c>
      <c r="X748" s="50">
        <f t="shared" si="32"/>
        <v>1.4999999999999999E-2</v>
      </c>
      <c r="Y748" s="74">
        <f t="shared" si="32"/>
        <v>1.4999999999999999E-2</v>
      </c>
      <c r="Z748" s="271">
        <v>1</v>
      </c>
      <c r="AA748" s="271">
        <v>1</v>
      </c>
      <c r="AB748" s="114">
        <v>168</v>
      </c>
      <c r="AC748" s="50">
        <v>1470</v>
      </c>
      <c r="AD748" s="271">
        <v>0.5</v>
      </c>
      <c r="AE748" s="50"/>
      <c r="AF748" s="49"/>
      <c r="AG748" s="114"/>
      <c r="AH748" s="114"/>
      <c r="AI748" s="114"/>
      <c r="AJ748" s="114"/>
      <c r="AK748" s="114"/>
      <c r="AL748" s="114"/>
      <c r="AM748" s="114"/>
      <c r="AN748" s="114"/>
      <c r="AO748" s="114"/>
      <c r="AP748" s="114"/>
      <c r="AQ748" s="114"/>
      <c r="AR748" s="114"/>
      <c r="AS748" s="50"/>
      <c r="AT748" s="74"/>
      <c r="AU748" s="114"/>
      <c r="AV748" s="114"/>
      <c r="AW748" s="394"/>
      <c r="AX748" s="385"/>
      <c r="AY748" s="385"/>
      <c r="AZ748" s="385"/>
      <c r="BA748" s="385"/>
      <c r="BB748" s="385"/>
      <c r="BC748" s="385"/>
      <c r="BD748" s="385"/>
      <c r="BE748" s="385"/>
      <c r="BF748" s="385"/>
      <c r="BG748" s="385"/>
      <c r="BH748" s="385"/>
      <c r="BI748" s="385"/>
      <c r="BJ748" s="385"/>
      <c r="BK748" s="385"/>
      <c r="BL748" s="385"/>
      <c r="BM748" s="385"/>
      <c r="BN748" s="385"/>
      <c r="BO748" s="385"/>
      <c r="BP748" s="385"/>
      <c r="BQ748" s="385"/>
      <c r="BR748" s="385"/>
      <c r="BS748" s="385"/>
      <c r="BT748" s="385"/>
      <c r="BU748" s="385"/>
      <c r="BV748" s="385"/>
      <c r="BW748" s="385"/>
      <c r="BX748" s="385"/>
      <c r="BY748" s="385"/>
      <c r="BZ748" s="385"/>
      <c r="CA748" s="385"/>
    </row>
    <row r="749" spans="1:79" s="6" customFormat="1" ht="15" customHeight="1">
      <c r="A749" s="41" t="s">
        <v>183</v>
      </c>
      <c r="B749" s="402" t="s">
        <v>1488</v>
      </c>
      <c r="C749" s="113" t="s">
        <v>2956</v>
      </c>
      <c r="D749" s="393" t="s">
        <v>1490</v>
      </c>
      <c r="E749" s="394" t="s">
        <v>2957</v>
      </c>
      <c r="F749" s="402" t="s">
        <v>2667</v>
      </c>
      <c r="G749" s="405" t="s">
        <v>2958</v>
      </c>
      <c r="H749" s="74"/>
      <c r="I749" s="50" t="s">
        <v>1</v>
      </c>
      <c r="J749" s="48" t="s">
        <v>2959</v>
      </c>
      <c r="K749" s="51">
        <v>41136</v>
      </c>
      <c r="L749" s="115"/>
      <c r="M749" s="50"/>
      <c r="N749" s="50" t="s">
        <v>2</v>
      </c>
      <c r="O749" s="131">
        <f>2/2</f>
        <v>1</v>
      </c>
      <c r="P749" s="50">
        <v>5.5</v>
      </c>
      <c r="Q749" s="74">
        <v>4.5</v>
      </c>
      <c r="R749" s="50">
        <v>14</v>
      </c>
      <c r="S749" s="74">
        <v>11</v>
      </c>
      <c r="T749" s="50">
        <v>2.5999999999999999E-2</v>
      </c>
      <c r="U749" s="131">
        <f>2/2</f>
        <v>1</v>
      </c>
      <c r="V749" s="50">
        <v>0.18</v>
      </c>
      <c r="W749" s="74"/>
      <c r="X749" s="50"/>
      <c r="Y749" s="74"/>
      <c r="Z749" s="271"/>
      <c r="AA749" s="271"/>
      <c r="AB749" s="114"/>
      <c r="AC749" s="50"/>
      <c r="AD749" s="271"/>
      <c r="AE749" s="50"/>
      <c r="AF749" s="49"/>
      <c r="AG749" s="114"/>
      <c r="AH749" s="114"/>
      <c r="AI749" s="114"/>
      <c r="AJ749" s="114"/>
      <c r="AK749" s="114"/>
      <c r="AL749" s="114"/>
      <c r="AM749" s="114"/>
      <c r="AN749" s="114"/>
      <c r="AO749" s="114"/>
      <c r="AP749" s="114"/>
      <c r="AQ749" s="114"/>
      <c r="AR749" s="114"/>
      <c r="AS749" s="50"/>
      <c r="AT749" s="74"/>
      <c r="AU749" s="114"/>
      <c r="AV749" s="114"/>
      <c r="AW749" s="394"/>
      <c r="AX749" s="385"/>
      <c r="AY749" s="385"/>
      <c r="AZ749" s="385"/>
      <c r="BA749" s="385"/>
      <c r="BB749" s="385"/>
      <c r="BC749" s="385"/>
      <c r="BD749" s="385"/>
      <c r="BE749" s="385"/>
      <c r="BF749" s="385"/>
      <c r="BG749" s="385"/>
      <c r="BH749" s="385"/>
      <c r="BI749" s="385"/>
      <c r="BJ749" s="385"/>
      <c r="BK749" s="385"/>
      <c r="BL749" s="385"/>
      <c r="BM749" s="385"/>
      <c r="BN749" s="385"/>
      <c r="BO749" s="385"/>
      <c r="BP749" s="385"/>
      <c r="BQ749" s="385"/>
      <c r="BR749" s="385"/>
      <c r="BS749" s="385"/>
      <c r="BT749" s="385"/>
      <c r="BU749" s="385"/>
      <c r="BV749" s="385"/>
      <c r="BW749" s="385"/>
      <c r="BX749" s="385"/>
      <c r="BY749" s="385"/>
      <c r="BZ749" s="385"/>
      <c r="CA749" s="385"/>
    </row>
    <row r="750" spans="1:79" s="6" customFormat="1" ht="15" customHeight="1">
      <c r="A750" s="41" t="s">
        <v>183</v>
      </c>
      <c r="B750" s="402" t="s">
        <v>1488</v>
      </c>
      <c r="C750" s="113" t="s">
        <v>2956</v>
      </c>
      <c r="D750" s="393" t="s">
        <v>1490</v>
      </c>
      <c r="E750" s="394" t="s">
        <v>2957</v>
      </c>
      <c r="F750" s="402" t="s">
        <v>2667</v>
      </c>
      <c r="G750" s="405" t="s">
        <v>2958</v>
      </c>
      <c r="H750" s="74"/>
      <c r="I750" s="50" t="s">
        <v>1</v>
      </c>
      <c r="J750" s="48" t="s">
        <v>2960</v>
      </c>
      <c r="K750" s="51">
        <v>41108</v>
      </c>
      <c r="L750" s="115"/>
      <c r="M750" s="50"/>
      <c r="N750" s="50" t="s">
        <v>2</v>
      </c>
      <c r="O750" s="131">
        <v>3</v>
      </c>
      <c r="P750" s="50">
        <v>5.5</v>
      </c>
      <c r="Q750" s="74">
        <v>4.3</v>
      </c>
      <c r="R750" s="50">
        <v>350</v>
      </c>
      <c r="S750" s="74">
        <v>330</v>
      </c>
      <c r="T750" s="50">
        <v>1.6</v>
      </c>
      <c r="U750" s="131">
        <v>8</v>
      </c>
      <c r="V750" s="50">
        <v>1.9</v>
      </c>
      <c r="W750" s="74">
        <v>7.1999999999999995E-2</v>
      </c>
      <c r="X750" s="50">
        <v>0.74</v>
      </c>
      <c r="Y750" s="74">
        <v>2.7E-2</v>
      </c>
      <c r="Z750" s="271">
        <v>1</v>
      </c>
      <c r="AA750" s="271">
        <v>0.70699999999999996</v>
      </c>
      <c r="AB750" s="114">
        <v>16</v>
      </c>
      <c r="AC750" s="50">
        <v>92</v>
      </c>
      <c r="AD750" s="271">
        <v>0</v>
      </c>
      <c r="AE750" s="50"/>
      <c r="AF750" s="49"/>
      <c r="AG750" s="114"/>
      <c r="AH750" s="114"/>
      <c r="AI750" s="114"/>
      <c r="AJ750" s="114"/>
      <c r="AK750" s="114"/>
      <c r="AL750" s="114"/>
      <c r="AM750" s="114"/>
      <c r="AN750" s="114"/>
      <c r="AO750" s="114"/>
      <c r="AP750" s="114"/>
      <c r="AQ750" s="114"/>
      <c r="AR750" s="114"/>
      <c r="AS750" s="50"/>
      <c r="AT750" s="74"/>
      <c r="AU750" s="114"/>
      <c r="AV750" s="114"/>
      <c r="AW750" s="394"/>
      <c r="AX750" s="385"/>
      <c r="AY750" s="385"/>
      <c r="AZ750" s="385"/>
      <c r="BA750" s="385"/>
      <c r="BB750" s="385"/>
      <c r="BC750" s="385"/>
      <c r="BD750" s="385"/>
      <c r="BE750" s="385"/>
      <c r="BF750" s="385"/>
      <c r="BG750" s="385"/>
      <c r="BH750" s="385"/>
      <c r="BI750" s="385"/>
      <c r="BJ750" s="385"/>
      <c r="BK750" s="385"/>
      <c r="BL750" s="385"/>
      <c r="BM750" s="385"/>
      <c r="BN750" s="385"/>
      <c r="BO750" s="385"/>
      <c r="BP750" s="385"/>
      <c r="BQ750" s="385"/>
      <c r="BR750" s="385"/>
      <c r="BS750" s="385"/>
      <c r="BT750" s="385"/>
      <c r="BU750" s="385"/>
      <c r="BV750" s="385"/>
      <c r="BW750" s="385"/>
      <c r="BX750" s="385"/>
      <c r="BY750" s="385"/>
      <c r="BZ750" s="385"/>
      <c r="CA750" s="385"/>
    </row>
    <row r="751" spans="1:79" s="6" customFormat="1" ht="15" customHeight="1">
      <c r="A751" s="41" t="s">
        <v>183</v>
      </c>
      <c r="B751" s="402" t="s">
        <v>1488</v>
      </c>
      <c r="C751" s="113" t="s">
        <v>2956</v>
      </c>
      <c r="D751" s="393" t="s">
        <v>1490</v>
      </c>
      <c r="E751" s="394" t="s">
        <v>2957</v>
      </c>
      <c r="F751" s="402" t="s">
        <v>2667</v>
      </c>
      <c r="G751" s="405" t="s">
        <v>2958</v>
      </c>
      <c r="H751" s="74"/>
      <c r="I751" s="50" t="s">
        <v>1</v>
      </c>
      <c r="J751" s="48" t="s">
        <v>2959</v>
      </c>
      <c r="K751" s="51">
        <v>41108</v>
      </c>
      <c r="L751" s="115"/>
      <c r="M751" s="50"/>
      <c r="N751" s="50" t="s">
        <v>2</v>
      </c>
      <c r="O751" s="131">
        <f>2/2</f>
        <v>1</v>
      </c>
      <c r="P751" s="50">
        <v>5.5</v>
      </c>
      <c r="Q751" s="74">
        <v>4.8</v>
      </c>
      <c r="R751" s="50">
        <v>68</v>
      </c>
      <c r="S751" s="74">
        <v>120</v>
      </c>
      <c r="T751" s="50">
        <v>0.2</v>
      </c>
      <c r="U751" s="131">
        <v>2.6</v>
      </c>
      <c r="V751" s="50">
        <v>1</v>
      </c>
      <c r="W751" s="74">
        <v>0.01</v>
      </c>
      <c r="X751" s="50">
        <v>4.2000000000000003E-2</v>
      </c>
      <c r="Y751" s="74">
        <v>6.7000000000000002E-3</v>
      </c>
      <c r="Z751" s="271">
        <v>1</v>
      </c>
      <c r="AA751" s="271">
        <v>1</v>
      </c>
      <c r="AB751" s="114">
        <v>8</v>
      </c>
      <c r="AC751" s="50">
        <v>35</v>
      </c>
      <c r="AD751" s="271">
        <v>0.65</v>
      </c>
      <c r="AE751" s="50"/>
      <c r="AF751" s="49"/>
      <c r="AG751" s="114"/>
      <c r="AH751" s="114"/>
      <c r="AI751" s="114"/>
      <c r="AJ751" s="114"/>
      <c r="AK751" s="114"/>
      <c r="AL751" s="114"/>
      <c r="AM751" s="114"/>
      <c r="AN751" s="114"/>
      <c r="AO751" s="114"/>
      <c r="AP751" s="114"/>
      <c r="AQ751" s="114"/>
      <c r="AR751" s="114"/>
      <c r="AS751" s="50"/>
      <c r="AT751" s="74"/>
      <c r="AU751" s="114"/>
      <c r="AV751" s="114"/>
      <c r="AW751" s="394"/>
      <c r="AX751" s="385"/>
      <c r="AY751" s="385"/>
      <c r="AZ751" s="385"/>
      <c r="BA751" s="385"/>
      <c r="BB751" s="385"/>
      <c r="BC751" s="385"/>
      <c r="BD751" s="385"/>
      <c r="BE751" s="385"/>
      <c r="BF751" s="385"/>
      <c r="BG751" s="385"/>
      <c r="BH751" s="385"/>
      <c r="BI751" s="385"/>
      <c r="BJ751" s="385"/>
      <c r="BK751" s="385"/>
      <c r="BL751" s="385"/>
      <c r="BM751" s="385"/>
      <c r="BN751" s="385"/>
      <c r="BO751" s="385"/>
      <c r="BP751" s="385"/>
      <c r="BQ751" s="385"/>
      <c r="BR751" s="385"/>
      <c r="BS751" s="385"/>
      <c r="BT751" s="385"/>
      <c r="BU751" s="385"/>
      <c r="BV751" s="385"/>
      <c r="BW751" s="385"/>
      <c r="BX751" s="385"/>
      <c r="BY751" s="385"/>
      <c r="BZ751" s="385"/>
      <c r="CA751" s="385"/>
    </row>
    <row r="752" spans="1:79" s="6" customFormat="1" ht="15" customHeight="1">
      <c r="A752" s="41" t="s">
        <v>183</v>
      </c>
      <c r="B752" s="402" t="s">
        <v>1488</v>
      </c>
      <c r="C752" s="113" t="s">
        <v>2956</v>
      </c>
      <c r="D752" s="393" t="s">
        <v>1490</v>
      </c>
      <c r="E752" s="394" t="s">
        <v>2957</v>
      </c>
      <c r="F752" s="402" t="s">
        <v>2667</v>
      </c>
      <c r="G752" s="405" t="s">
        <v>2958</v>
      </c>
      <c r="H752" s="74"/>
      <c r="I752" s="50" t="s">
        <v>1</v>
      </c>
      <c r="J752" s="48" t="s">
        <v>2960</v>
      </c>
      <c r="K752" s="51">
        <v>41136</v>
      </c>
      <c r="L752" s="115"/>
      <c r="M752" s="50"/>
      <c r="N752" s="50" t="s">
        <v>2</v>
      </c>
      <c r="O752" s="131">
        <v>1.3</v>
      </c>
      <c r="P752" s="50">
        <v>5.5</v>
      </c>
      <c r="Q752" s="74">
        <v>4.2</v>
      </c>
      <c r="R752" s="50">
        <v>8</v>
      </c>
      <c r="S752" s="74">
        <v>25</v>
      </c>
      <c r="T752" s="50">
        <v>0.13</v>
      </c>
      <c r="U752" s="131">
        <v>0.53</v>
      </c>
      <c r="V752" s="50">
        <v>0.28000000000000003</v>
      </c>
      <c r="W752" s="74"/>
      <c r="X752" s="50"/>
      <c r="Y752" s="74"/>
      <c r="Z752" s="271"/>
      <c r="AA752" s="271"/>
      <c r="AB752" s="114"/>
      <c r="AC752" s="50"/>
      <c r="AD752" s="271"/>
      <c r="AE752" s="50"/>
      <c r="AF752" s="49"/>
      <c r="AG752" s="114"/>
      <c r="AH752" s="114"/>
      <c r="AI752" s="114"/>
      <c r="AJ752" s="114"/>
      <c r="AK752" s="114"/>
      <c r="AL752" s="114"/>
      <c r="AM752" s="114"/>
      <c r="AN752" s="114"/>
      <c r="AO752" s="114"/>
      <c r="AP752" s="114"/>
      <c r="AQ752" s="114"/>
      <c r="AR752" s="114"/>
      <c r="AS752" s="50"/>
      <c r="AT752" s="74"/>
      <c r="AU752" s="114"/>
      <c r="AV752" s="114"/>
      <c r="AW752" s="394"/>
      <c r="AX752" s="385"/>
      <c r="AY752" s="385"/>
      <c r="AZ752" s="385"/>
      <c r="BA752" s="385"/>
      <c r="BB752" s="385"/>
      <c r="BC752" s="385"/>
      <c r="BD752" s="385"/>
      <c r="BE752" s="385"/>
      <c r="BF752" s="385"/>
      <c r="BG752" s="385"/>
      <c r="BH752" s="385"/>
      <c r="BI752" s="385"/>
      <c r="BJ752" s="385"/>
      <c r="BK752" s="385"/>
      <c r="BL752" s="385"/>
      <c r="BM752" s="385"/>
      <c r="BN752" s="385"/>
      <c r="BO752" s="385"/>
      <c r="BP752" s="385"/>
      <c r="BQ752" s="385"/>
      <c r="BR752" s="385"/>
      <c r="BS752" s="385"/>
      <c r="BT752" s="385"/>
      <c r="BU752" s="385"/>
      <c r="BV752" s="385"/>
      <c r="BW752" s="385"/>
      <c r="BX752" s="385"/>
      <c r="BY752" s="385"/>
      <c r="BZ752" s="385"/>
      <c r="CA752" s="385"/>
    </row>
    <row r="753" spans="1:79" s="6" customFormat="1" ht="15" customHeight="1">
      <c r="A753" s="41" t="s">
        <v>4668</v>
      </c>
      <c r="B753" s="402" t="s">
        <v>2973</v>
      </c>
      <c r="C753" s="113" t="s">
        <v>388</v>
      </c>
      <c r="D753" s="393" t="s">
        <v>480</v>
      </c>
      <c r="E753" s="394" t="s">
        <v>2329</v>
      </c>
      <c r="F753" s="402"/>
      <c r="G753" s="405" t="s">
        <v>2979</v>
      </c>
      <c r="H753" s="74">
        <v>5093</v>
      </c>
      <c r="I753" s="50" t="s">
        <v>1</v>
      </c>
      <c r="J753" s="48" t="s">
        <v>2975</v>
      </c>
      <c r="K753" s="51">
        <v>41264</v>
      </c>
      <c r="L753" s="115">
        <v>41261</v>
      </c>
      <c r="M753" s="50">
        <f t="shared" ref="M753:M770" si="33">K753-L753</f>
        <v>3</v>
      </c>
      <c r="N753" s="50" t="s">
        <v>2</v>
      </c>
      <c r="O753" s="131">
        <v>13.3</v>
      </c>
      <c r="P753" s="50">
        <v>7</v>
      </c>
      <c r="Q753" s="74">
        <v>6.9</v>
      </c>
      <c r="R753" s="50">
        <v>186</v>
      </c>
      <c r="S753" s="74">
        <v>422</v>
      </c>
      <c r="T753" s="50">
        <v>0.46</v>
      </c>
      <c r="U753" s="131">
        <v>2.9</v>
      </c>
      <c r="V753" s="50">
        <v>0.25</v>
      </c>
      <c r="W753" s="74">
        <v>6.4000000000000001E-2</v>
      </c>
      <c r="X753" s="50">
        <v>0.499</v>
      </c>
      <c r="Y753" s="74">
        <v>8.5000000000000006E-2</v>
      </c>
      <c r="Z753" s="271">
        <v>1</v>
      </c>
      <c r="AA753" s="271">
        <v>1</v>
      </c>
      <c r="AB753" s="114">
        <v>27</v>
      </c>
      <c r="AC753" s="50">
        <v>36</v>
      </c>
      <c r="AD753" s="271">
        <v>1</v>
      </c>
      <c r="AE753" s="50"/>
      <c r="AF753" s="49"/>
      <c r="AG753" s="114"/>
      <c r="AH753" s="114"/>
      <c r="AI753" s="114"/>
      <c r="AJ753" s="114"/>
      <c r="AK753" s="114"/>
      <c r="AL753" s="114"/>
      <c r="AM753" s="114"/>
      <c r="AN753" s="114"/>
      <c r="AO753" s="114"/>
      <c r="AP753" s="114"/>
      <c r="AQ753" s="114"/>
      <c r="AR753" s="114"/>
      <c r="AS753" s="50"/>
      <c r="AT753" s="74"/>
      <c r="AU753" s="114"/>
      <c r="AV753" s="114"/>
      <c r="AW753" s="394"/>
      <c r="AX753" s="385"/>
      <c r="AY753" s="385"/>
      <c r="AZ753" s="385"/>
      <c r="BA753" s="385"/>
      <c r="BB753" s="385"/>
      <c r="BC753" s="385"/>
      <c r="BD753" s="385"/>
      <c r="BE753" s="385"/>
      <c r="BF753" s="385"/>
      <c r="BG753" s="385"/>
      <c r="BH753" s="385"/>
      <c r="BI753" s="385"/>
      <c r="BJ753" s="385"/>
      <c r="BK753" s="385"/>
      <c r="BL753" s="385"/>
      <c r="BM753" s="385"/>
      <c r="BN753" s="385"/>
      <c r="BO753" s="385"/>
      <c r="BP753" s="385"/>
      <c r="BQ753" s="385"/>
      <c r="BR753" s="385"/>
      <c r="BS753" s="385"/>
      <c r="BT753" s="385"/>
      <c r="BU753" s="385"/>
      <c r="BV753" s="385"/>
      <c r="BW753" s="385"/>
      <c r="BX753" s="385"/>
      <c r="BY753" s="385"/>
      <c r="BZ753" s="385"/>
      <c r="CA753" s="385"/>
    </row>
    <row r="754" spans="1:79" s="6" customFormat="1" ht="15" customHeight="1">
      <c r="A754" s="41" t="s">
        <v>4668</v>
      </c>
      <c r="B754" s="402" t="s">
        <v>2973</v>
      </c>
      <c r="C754" s="113" t="s">
        <v>388</v>
      </c>
      <c r="D754" s="393" t="s">
        <v>480</v>
      </c>
      <c r="E754" s="394" t="s">
        <v>2329</v>
      </c>
      <c r="F754" s="402"/>
      <c r="G754" s="405" t="s">
        <v>2979</v>
      </c>
      <c r="H754" s="74">
        <v>5093</v>
      </c>
      <c r="I754" s="50" t="s">
        <v>1</v>
      </c>
      <c r="J754" s="48" t="s">
        <v>2980</v>
      </c>
      <c r="K754" s="51">
        <v>41264</v>
      </c>
      <c r="L754" s="115">
        <v>41261</v>
      </c>
      <c r="M754" s="50">
        <f t="shared" si="33"/>
        <v>3</v>
      </c>
      <c r="N754" s="50" t="s">
        <v>2</v>
      </c>
      <c r="O754" s="131">
        <v>2.8</v>
      </c>
      <c r="P754" s="50">
        <v>7</v>
      </c>
      <c r="Q754" s="74">
        <v>6.9</v>
      </c>
      <c r="R754" s="50">
        <v>55</v>
      </c>
      <c r="S754" s="74">
        <v>141</v>
      </c>
      <c r="T754" s="50">
        <v>0.24</v>
      </c>
      <c r="U754" s="131">
        <v>0.92</v>
      </c>
      <c r="V754" s="50">
        <v>0.15</v>
      </c>
      <c r="W754" s="74">
        <v>2.7E-2</v>
      </c>
      <c r="X754" s="50">
        <v>0.105</v>
      </c>
      <c r="Y754" s="74">
        <f>0.03/2</f>
        <v>1.4999999999999999E-2</v>
      </c>
      <c r="Z754" s="271">
        <v>1</v>
      </c>
      <c r="AA754" s="271">
        <v>1</v>
      </c>
      <c r="AB754" s="114">
        <v>15</v>
      </c>
      <c r="AC754" s="50">
        <v>88</v>
      </c>
      <c r="AD754" s="271">
        <v>1</v>
      </c>
      <c r="AE754" s="50"/>
      <c r="AF754" s="49"/>
      <c r="AG754" s="114"/>
      <c r="AH754" s="114"/>
      <c r="AI754" s="114"/>
      <c r="AJ754" s="114"/>
      <c r="AK754" s="114"/>
      <c r="AL754" s="114"/>
      <c r="AM754" s="114"/>
      <c r="AN754" s="114"/>
      <c r="AO754" s="114"/>
      <c r="AP754" s="114"/>
      <c r="AQ754" s="114"/>
      <c r="AR754" s="114"/>
      <c r="AS754" s="50"/>
      <c r="AT754" s="74"/>
      <c r="AU754" s="114"/>
      <c r="AV754" s="114"/>
      <c r="AW754" s="394"/>
      <c r="AX754" s="385"/>
      <c r="AY754" s="385"/>
      <c r="AZ754" s="385"/>
      <c r="BA754" s="385"/>
      <c r="BB754" s="385"/>
      <c r="BC754" s="385"/>
      <c r="BD754" s="385"/>
      <c r="BE754" s="385"/>
      <c r="BF754" s="385"/>
      <c r="BG754" s="385"/>
      <c r="BH754" s="385"/>
      <c r="BI754" s="385"/>
      <c r="BJ754" s="385"/>
      <c r="BK754" s="385"/>
      <c r="BL754" s="385"/>
      <c r="BM754" s="385"/>
      <c r="BN754" s="385"/>
      <c r="BO754" s="385"/>
      <c r="BP754" s="385"/>
      <c r="BQ754" s="385"/>
      <c r="BR754" s="385"/>
      <c r="BS754" s="385"/>
      <c r="BT754" s="385"/>
      <c r="BU754" s="385"/>
      <c r="BV754" s="385"/>
      <c r="BW754" s="385"/>
      <c r="BX754" s="385"/>
      <c r="BY754" s="385"/>
      <c r="BZ754" s="385"/>
      <c r="CA754" s="385"/>
    </row>
    <row r="755" spans="1:79" s="6" customFormat="1" ht="15" customHeight="1">
      <c r="A755" s="41" t="s">
        <v>183</v>
      </c>
      <c r="B755" s="402" t="s">
        <v>2982</v>
      </c>
      <c r="C755" s="113" t="s">
        <v>393</v>
      </c>
      <c r="D755" s="393" t="s">
        <v>2983</v>
      </c>
      <c r="E755" s="394" t="s">
        <v>2984</v>
      </c>
      <c r="F755" s="402" t="s">
        <v>2667</v>
      </c>
      <c r="G755" s="405" t="s">
        <v>2985</v>
      </c>
      <c r="H755" s="74">
        <v>9199</v>
      </c>
      <c r="I755" s="50" t="s">
        <v>2</v>
      </c>
      <c r="J755" s="48" t="s">
        <v>194</v>
      </c>
      <c r="K755" s="51">
        <v>41201</v>
      </c>
      <c r="L755" s="115">
        <v>41197</v>
      </c>
      <c r="M755" s="50">
        <f t="shared" si="33"/>
        <v>4</v>
      </c>
      <c r="N755" s="50" t="s">
        <v>2</v>
      </c>
      <c r="O755" s="131">
        <f>2/2</f>
        <v>1</v>
      </c>
      <c r="P755" s="50">
        <v>8.1999999999999993</v>
      </c>
      <c r="Q755" s="74">
        <v>8.1</v>
      </c>
      <c r="R755" s="50">
        <v>16</v>
      </c>
      <c r="S755" s="74">
        <v>167</v>
      </c>
      <c r="T755" s="50">
        <v>0.34</v>
      </c>
      <c r="U755" s="131">
        <v>0.71</v>
      </c>
      <c r="V755" s="50">
        <v>0.14000000000000001</v>
      </c>
      <c r="W755" s="74">
        <v>1.9E-2</v>
      </c>
      <c r="X755" s="50">
        <v>5.0999999999999997E-2</v>
      </c>
      <c r="Y755" s="74">
        <f>0.03/2</f>
        <v>1.4999999999999999E-2</v>
      </c>
      <c r="Z755" s="271">
        <v>1</v>
      </c>
      <c r="AA755" s="271">
        <v>1</v>
      </c>
      <c r="AB755" s="114">
        <v>56</v>
      </c>
      <c r="AC755" s="50">
        <v>276</v>
      </c>
      <c r="AD755" s="271">
        <v>1</v>
      </c>
      <c r="AE755" s="50">
        <v>51.8</v>
      </c>
      <c r="AF755" s="49">
        <f>0.05/2</f>
        <v>2.5000000000000001E-2</v>
      </c>
      <c r="AG755" s="114"/>
      <c r="AH755" s="114"/>
      <c r="AI755" s="114"/>
      <c r="AJ755" s="114"/>
      <c r="AK755" s="114"/>
      <c r="AL755" s="114"/>
      <c r="AM755" s="114"/>
      <c r="AN755" s="114"/>
      <c r="AO755" s="114"/>
      <c r="AP755" s="114"/>
      <c r="AQ755" s="114"/>
      <c r="AR755" s="114"/>
      <c r="AS755" s="50"/>
      <c r="AT755" s="74"/>
      <c r="AU755" s="114"/>
      <c r="AV755" s="114"/>
      <c r="AW755" s="394"/>
      <c r="AX755" s="385"/>
      <c r="AY755" s="385"/>
      <c r="AZ755" s="385"/>
      <c r="BA755" s="385"/>
      <c r="BB755" s="385"/>
      <c r="BC755" s="385"/>
      <c r="BD755" s="385"/>
      <c r="BE755" s="385"/>
      <c r="BF755" s="385"/>
      <c r="BG755" s="385"/>
      <c r="BH755" s="385"/>
      <c r="BI755" s="385"/>
      <c r="BJ755" s="385"/>
      <c r="BK755" s="385"/>
      <c r="BL755" s="385"/>
      <c r="BM755" s="385"/>
      <c r="BN755" s="385"/>
      <c r="BO755" s="385"/>
      <c r="BP755" s="385"/>
      <c r="BQ755" s="385"/>
      <c r="BR755" s="385"/>
      <c r="BS755" s="385"/>
      <c r="BT755" s="385"/>
      <c r="BU755" s="385"/>
      <c r="BV755" s="385"/>
      <c r="BW755" s="385"/>
      <c r="BX755" s="385"/>
      <c r="BY755" s="385"/>
      <c r="BZ755" s="385"/>
      <c r="CA755" s="385"/>
    </row>
    <row r="756" spans="1:79" s="6" customFormat="1" ht="15" customHeight="1">
      <c r="A756" s="41" t="s">
        <v>183</v>
      </c>
      <c r="B756" s="402" t="s">
        <v>2986</v>
      </c>
      <c r="C756" s="113" t="s">
        <v>1332</v>
      </c>
      <c r="D756" s="393" t="s">
        <v>684</v>
      </c>
      <c r="E756" s="394" t="s">
        <v>2987</v>
      </c>
      <c r="F756" s="402" t="s">
        <v>2667</v>
      </c>
      <c r="G756" s="405" t="s">
        <v>2988</v>
      </c>
      <c r="H756" s="74">
        <v>9199</v>
      </c>
      <c r="I756" s="50" t="s">
        <v>2</v>
      </c>
      <c r="J756" s="48" t="s">
        <v>3019</v>
      </c>
      <c r="K756" s="51">
        <v>40996</v>
      </c>
      <c r="L756" s="115">
        <v>40993</v>
      </c>
      <c r="M756" s="50">
        <f t="shared" si="33"/>
        <v>3</v>
      </c>
      <c r="N756" s="50" t="s">
        <v>2</v>
      </c>
      <c r="O756" s="131">
        <v>10.5</v>
      </c>
      <c r="P756" s="50">
        <v>6.2</v>
      </c>
      <c r="Q756" s="74">
        <v>7</v>
      </c>
      <c r="R756" s="50">
        <v>37</v>
      </c>
      <c r="S756" s="74">
        <v>120</v>
      </c>
      <c r="T756" s="50">
        <v>0.21</v>
      </c>
      <c r="U756" s="131">
        <v>1.85</v>
      </c>
      <c r="V756" s="50">
        <v>0.93</v>
      </c>
      <c r="W756" s="74">
        <v>3.4000000000000002E-2</v>
      </c>
      <c r="X756" s="50">
        <v>8.5000000000000006E-2</v>
      </c>
      <c r="Y756" s="74">
        <f>0.03/2</f>
        <v>1.4999999999999999E-2</v>
      </c>
      <c r="Z756" s="271"/>
      <c r="AA756" s="271"/>
      <c r="AB756" s="114"/>
      <c r="AC756" s="50"/>
      <c r="AD756" s="271"/>
      <c r="AE756" s="50"/>
      <c r="AF756" s="49"/>
      <c r="AG756" s="114"/>
      <c r="AH756" s="114"/>
      <c r="AI756" s="114"/>
      <c r="AJ756" s="114"/>
      <c r="AK756" s="114"/>
      <c r="AL756" s="114"/>
      <c r="AM756" s="114"/>
      <c r="AN756" s="114"/>
      <c r="AO756" s="114"/>
      <c r="AP756" s="114"/>
      <c r="AQ756" s="114"/>
      <c r="AR756" s="114"/>
      <c r="AS756" s="50"/>
      <c r="AT756" s="74"/>
      <c r="AU756" s="114"/>
      <c r="AV756" s="114"/>
      <c r="AW756" s="394"/>
      <c r="AX756" s="385"/>
      <c r="AY756" s="385"/>
      <c r="AZ756" s="385"/>
      <c r="BA756" s="385"/>
      <c r="BB756" s="385"/>
      <c r="BC756" s="385"/>
      <c r="BD756" s="385"/>
      <c r="BE756" s="385"/>
      <c r="BF756" s="385"/>
      <c r="BG756" s="385"/>
      <c r="BH756" s="385"/>
      <c r="BI756" s="385"/>
      <c r="BJ756" s="385"/>
      <c r="BK756" s="385"/>
      <c r="BL756" s="385"/>
      <c r="BM756" s="385"/>
      <c r="BN756" s="385"/>
      <c r="BO756" s="385"/>
      <c r="BP756" s="385"/>
      <c r="BQ756" s="385"/>
      <c r="BR756" s="385"/>
      <c r="BS756" s="385"/>
      <c r="BT756" s="385"/>
      <c r="BU756" s="385"/>
      <c r="BV756" s="385"/>
      <c r="BW756" s="385"/>
      <c r="BX756" s="385"/>
      <c r="BY756" s="385"/>
      <c r="BZ756" s="385"/>
      <c r="CA756" s="385"/>
    </row>
    <row r="757" spans="1:79" s="6" customFormat="1" ht="15" customHeight="1">
      <c r="A757" s="41" t="s">
        <v>183</v>
      </c>
      <c r="B757" s="402" t="s">
        <v>2986</v>
      </c>
      <c r="C757" s="113" t="s">
        <v>1332</v>
      </c>
      <c r="D757" s="393" t="s">
        <v>684</v>
      </c>
      <c r="E757" s="394" t="s">
        <v>2987</v>
      </c>
      <c r="F757" s="402" t="s">
        <v>2667</v>
      </c>
      <c r="G757" s="405" t="s">
        <v>2988</v>
      </c>
      <c r="H757" s="74">
        <v>9199</v>
      </c>
      <c r="I757" s="50" t="s">
        <v>2</v>
      </c>
      <c r="J757" s="48" t="s">
        <v>3019</v>
      </c>
      <c r="K757" s="51">
        <v>41240</v>
      </c>
      <c r="L757" s="115">
        <v>41226</v>
      </c>
      <c r="M757" s="50">
        <f t="shared" si="33"/>
        <v>14</v>
      </c>
      <c r="N757" s="50" t="s">
        <v>2</v>
      </c>
      <c r="O757" s="131">
        <v>16.399999999999999</v>
      </c>
      <c r="P757" s="50">
        <v>6.5</v>
      </c>
      <c r="Q757" s="74">
        <v>7.4</v>
      </c>
      <c r="R757" s="50">
        <v>133</v>
      </c>
      <c r="S757" s="74">
        <v>133</v>
      </c>
      <c r="T757" s="50">
        <v>0.38</v>
      </c>
      <c r="U757" s="131">
        <v>2.84</v>
      </c>
      <c r="V757" s="50">
        <v>1.81</v>
      </c>
      <c r="W757" s="74">
        <v>6.4000000000000001E-2</v>
      </c>
      <c r="X757" s="50">
        <v>0.13700000000000001</v>
      </c>
      <c r="Y757" s="74">
        <f>0.03/2</f>
        <v>1.4999999999999999E-2</v>
      </c>
      <c r="Z757" s="271">
        <v>1</v>
      </c>
      <c r="AA757" s="271">
        <v>1</v>
      </c>
      <c r="AB757" s="114">
        <v>49</v>
      </c>
      <c r="AC757" s="50">
        <v>161</v>
      </c>
      <c r="AD757" s="271">
        <v>1</v>
      </c>
      <c r="AE757" s="50"/>
      <c r="AF757" s="49"/>
      <c r="AG757" s="114"/>
      <c r="AH757" s="114"/>
      <c r="AI757" s="114"/>
      <c r="AJ757" s="114"/>
      <c r="AK757" s="114"/>
      <c r="AL757" s="114"/>
      <c r="AM757" s="114"/>
      <c r="AN757" s="114"/>
      <c r="AO757" s="114"/>
      <c r="AP757" s="114"/>
      <c r="AQ757" s="114"/>
      <c r="AR757" s="114"/>
      <c r="AS757" s="50"/>
      <c r="AT757" s="74"/>
      <c r="AU757" s="114"/>
      <c r="AV757" s="114"/>
      <c r="AW757" s="394"/>
      <c r="AX757" s="385"/>
      <c r="AY757" s="385"/>
      <c r="AZ757" s="385"/>
      <c r="BA757" s="385"/>
      <c r="BB757" s="385"/>
      <c r="BC757" s="385"/>
      <c r="BD757" s="385"/>
      <c r="BE757" s="385"/>
      <c r="BF757" s="385"/>
      <c r="BG757" s="385"/>
      <c r="BH757" s="385"/>
      <c r="BI757" s="385"/>
      <c r="BJ757" s="385"/>
      <c r="BK757" s="385"/>
      <c r="BL757" s="385"/>
      <c r="BM757" s="385"/>
      <c r="BN757" s="385"/>
      <c r="BO757" s="385"/>
      <c r="BP757" s="385"/>
      <c r="BQ757" s="385"/>
      <c r="BR757" s="385"/>
      <c r="BS757" s="385"/>
      <c r="BT757" s="385"/>
      <c r="BU757" s="385"/>
      <c r="BV757" s="385"/>
      <c r="BW757" s="385"/>
      <c r="BX757" s="385"/>
      <c r="BY757" s="385"/>
      <c r="BZ757" s="385"/>
      <c r="CA757" s="385"/>
    </row>
    <row r="758" spans="1:79" s="6" customFormat="1" ht="15" customHeight="1">
      <c r="A758" s="41" t="s">
        <v>183</v>
      </c>
      <c r="B758" s="402" t="s">
        <v>1381</v>
      </c>
      <c r="C758" s="113" t="s">
        <v>1382</v>
      </c>
      <c r="D758" s="393" t="s">
        <v>200</v>
      </c>
      <c r="E758" s="394" t="s">
        <v>112</v>
      </c>
      <c r="F758" s="402"/>
      <c r="G758" s="405" t="s">
        <v>1384</v>
      </c>
      <c r="H758" s="74">
        <v>9199</v>
      </c>
      <c r="I758" s="50" t="s">
        <v>1</v>
      </c>
      <c r="J758" s="48" t="s">
        <v>1385</v>
      </c>
      <c r="K758" s="51">
        <v>41170</v>
      </c>
      <c r="L758" s="115">
        <v>41161</v>
      </c>
      <c r="M758" s="50">
        <f t="shared" si="33"/>
        <v>9</v>
      </c>
      <c r="N758" s="50" t="s">
        <v>2</v>
      </c>
      <c r="O758" s="131">
        <f>1.4/2</f>
        <v>0.7</v>
      </c>
      <c r="P758" s="50">
        <v>4.5599999999999996</v>
      </c>
      <c r="Q758" s="74">
        <v>6.14</v>
      </c>
      <c r="R758" s="50">
        <v>76</v>
      </c>
      <c r="S758" s="74">
        <v>93</v>
      </c>
      <c r="T758" s="50">
        <v>0.25</v>
      </c>
      <c r="U758" s="131">
        <v>1.89</v>
      </c>
      <c r="V758" s="50">
        <v>0.8</v>
      </c>
      <c r="W758" s="74">
        <v>3.6999999999999998E-2</v>
      </c>
      <c r="X758" s="50">
        <v>3.6999999999999998E-2</v>
      </c>
      <c r="Y758" s="74">
        <v>5.0000000000000001E-3</v>
      </c>
      <c r="Z758" s="271"/>
      <c r="AA758" s="271"/>
      <c r="AB758" s="114"/>
      <c r="AC758" s="50"/>
      <c r="AD758" s="271"/>
      <c r="AE758" s="50"/>
      <c r="AF758" s="49"/>
      <c r="AG758" s="114"/>
      <c r="AH758" s="114"/>
      <c r="AI758" s="114"/>
      <c r="AJ758" s="114"/>
      <c r="AK758" s="114"/>
      <c r="AL758" s="114"/>
      <c r="AM758" s="114"/>
      <c r="AN758" s="114"/>
      <c r="AO758" s="114"/>
      <c r="AP758" s="114"/>
      <c r="AQ758" s="114"/>
      <c r="AR758" s="114"/>
      <c r="AS758" s="50"/>
      <c r="AT758" s="74"/>
      <c r="AU758" s="114"/>
      <c r="AV758" s="114"/>
      <c r="AW758" s="394"/>
      <c r="AX758" s="385"/>
      <c r="AY758" s="385"/>
      <c r="AZ758" s="385"/>
      <c r="BA758" s="385"/>
      <c r="BB758" s="385"/>
      <c r="BC758" s="385"/>
      <c r="BD758" s="385"/>
      <c r="BE758" s="385"/>
      <c r="BF758" s="385"/>
      <c r="BG758" s="385"/>
      <c r="BH758" s="385"/>
      <c r="BI758" s="385"/>
      <c r="BJ758" s="385"/>
      <c r="BK758" s="385"/>
      <c r="BL758" s="385"/>
      <c r="BM758" s="385"/>
      <c r="BN758" s="385"/>
      <c r="BO758" s="385"/>
      <c r="BP758" s="385"/>
      <c r="BQ758" s="385"/>
      <c r="BR758" s="385"/>
      <c r="BS758" s="385"/>
      <c r="BT758" s="385"/>
      <c r="BU758" s="385"/>
      <c r="BV758" s="385"/>
      <c r="BW758" s="385"/>
      <c r="BX758" s="385"/>
      <c r="BY758" s="385"/>
      <c r="BZ758" s="385"/>
      <c r="CA758" s="385"/>
    </row>
    <row r="759" spans="1:79" s="6" customFormat="1" ht="15" customHeight="1">
      <c r="A759" s="41" t="s">
        <v>183</v>
      </c>
      <c r="B759" s="402" t="s">
        <v>2853</v>
      </c>
      <c r="C759" s="113" t="s">
        <v>2991</v>
      </c>
      <c r="D759" s="393" t="s">
        <v>1135</v>
      </c>
      <c r="E759" s="394" t="s">
        <v>235</v>
      </c>
      <c r="F759" s="85" t="s">
        <v>2855</v>
      </c>
      <c r="G759" s="405" t="s">
        <v>2992</v>
      </c>
      <c r="H759" s="74">
        <v>4952</v>
      </c>
      <c r="I759" s="50" t="s">
        <v>1</v>
      </c>
      <c r="J759" s="48" t="s">
        <v>938</v>
      </c>
      <c r="K759" s="51">
        <v>40843</v>
      </c>
      <c r="L759" s="115">
        <v>40836</v>
      </c>
      <c r="M759" s="50">
        <f t="shared" si="33"/>
        <v>7</v>
      </c>
      <c r="N759" s="50" t="s">
        <v>2</v>
      </c>
      <c r="O759" s="131">
        <f>2/2</f>
        <v>1</v>
      </c>
      <c r="P759" s="50">
        <v>4.7300000000000004</v>
      </c>
      <c r="Q759" s="74">
        <v>6.8</v>
      </c>
      <c r="R759" s="50">
        <v>25</v>
      </c>
      <c r="S759" s="74">
        <v>86</v>
      </c>
      <c r="T759" s="50">
        <v>0.18</v>
      </c>
      <c r="U759" s="131">
        <v>3.68</v>
      </c>
      <c r="V759" s="50">
        <v>0.3</v>
      </c>
      <c r="W759" s="74">
        <v>3.7999999999999999E-2</v>
      </c>
      <c r="X759" s="50">
        <v>4.7E-2</v>
      </c>
      <c r="Y759" s="74">
        <f>0.03/2</f>
        <v>1.4999999999999999E-2</v>
      </c>
      <c r="Z759" s="271">
        <v>1</v>
      </c>
      <c r="AA759" s="271">
        <v>1</v>
      </c>
      <c r="AB759" s="114">
        <v>16</v>
      </c>
      <c r="AC759" s="50">
        <v>685</v>
      </c>
      <c r="AD759" s="271">
        <v>1</v>
      </c>
      <c r="AE759" s="50"/>
      <c r="AF759" s="49"/>
      <c r="AG759" s="114"/>
      <c r="AH759" s="114"/>
      <c r="AI759" s="114"/>
      <c r="AJ759" s="114"/>
      <c r="AK759" s="114"/>
      <c r="AL759" s="114"/>
      <c r="AM759" s="114"/>
      <c r="AN759" s="114"/>
      <c r="AO759" s="114"/>
      <c r="AP759" s="114"/>
      <c r="AQ759" s="114"/>
      <c r="AR759" s="114"/>
      <c r="AS759" s="50"/>
      <c r="AT759" s="74"/>
      <c r="AU759" s="114"/>
      <c r="AV759" s="114"/>
      <c r="AW759" s="394"/>
      <c r="AX759" s="385"/>
      <c r="AY759" s="385"/>
      <c r="AZ759" s="385"/>
      <c r="BA759" s="385"/>
      <c r="BB759" s="385"/>
      <c r="BC759" s="385"/>
      <c r="BD759" s="385"/>
      <c r="BE759" s="385"/>
      <c r="BF759" s="385"/>
      <c r="BG759" s="385"/>
      <c r="BH759" s="385"/>
      <c r="BI759" s="385"/>
      <c r="BJ759" s="385"/>
      <c r="BK759" s="385"/>
      <c r="BL759" s="385"/>
      <c r="BM759" s="385"/>
      <c r="BN759" s="385"/>
      <c r="BO759" s="385"/>
      <c r="BP759" s="385"/>
      <c r="BQ759" s="385"/>
      <c r="BR759" s="385"/>
      <c r="BS759" s="385"/>
      <c r="BT759" s="385"/>
      <c r="BU759" s="385"/>
      <c r="BV759" s="385"/>
      <c r="BW759" s="385"/>
      <c r="BX759" s="385"/>
      <c r="BY759" s="385"/>
      <c r="BZ759" s="385"/>
      <c r="CA759" s="385"/>
    </row>
    <row r="760" spans="1:79" s="6" customFormat="1" ht="15" customHeight="1">
      <c r="A760" s="41" t="s">
        <v>183</v>
      </c>
      <c r="B760" s="402" t="s">
        <v>2853</v>
      </c>
      <c r="C760" s="113" t="s">
        <v>2991</v>
      </c>
      <c r="D760" s="393" t="s">
        <v>1135</v>
      </c>
      <c r="E760" s="394" t="s">
        <v>235</v>
      </c>
      <c r="F760" s="85" t="s">
        <v>2993</v>
      </c>
      <c r="G760" s="405" t="s">
        <v>2992</v>
      </c>
      <c r="H760" s="74">
        <v>4952</v>
      </c>
      <c r="I760" s="50" t="s">
        <v>1</v>
      </c>
      <c r="J760" s="48" t="s">
        <v>938</v>
      </c>
      <c r="K760" s="51">
        <v>41044</v>
      </c>
      <c r="L760" s="115">
        <v>41039</v>
      </c>
      <c r="M760" s="50">
        <f t="shared" si="33"/>
        <v>5</v>
      </c>
      <c r="N760" s="50" t="s">
        <v>2</v>
      </c>
      <c r="O760" s="131">
        <v>3.4</v>
      </c>
      <c r="P760" s="50">
        <v>4.26</v>
      </c>
      <c r="Q760" s="74">
        <v>6.2</v>
      </c>
      <c r="R760" s="50">
        <v>64</v>
      </c>
      <c r="S760" s="74">
        <v>19</v>
      </c>
      <c r="T760" s="50">
        <v>0.17</v>
      </c>
      <c r="U760" s="131">
        <v>2.13</v>
      </c>
      <c r="V760" s="50">
        <v>0.56999999999999995</v>
      </c>
      <c r="W760" s="74">
        <v>3.1E-2</v>
      </c>
      <c r="X760" s="50">
        <v>0.29199999999999998</v>
      </c>
      <c r="Y760" s="74">
        <f>0.03/2</f>
        <v>1.4999999999999999E-2</v>
      </c>
      <c r="Z760" s="271"/>
      <c r="AA760" s="271"/>
      <c r="AB760" s="114"/>
      <c r="AC760" s="50"/>
      <c r="AD760" s="271"/>
      <c r="AE760" s="50"/>
      <c r="AF760" s="49"/>
      <c r="AG760" s="114"/>
      <c r="AH760" s="114"/>
      <c r="AI760" s="114"/>
      <c r="AJ760" s="114"/>
      <c r="AK760" s="114"/>
      <c r="AL760" s="114"/>
      <c r="AM760" s="114"/>
      <c r="AN760" s="114"/>
      <c r="AO760" s="114"/>
      <c r="AP760" s="114"/>
      <c r="AQ760" s="114"/>
      <c r="AR760" s="114"/>
      <c r="AS760" s="50"/>
      <c r="AT760" s="74"/>
      <c r="AU760" s="114"/>
      <c r="AV760" s="114"/>
      <c r="AW760" s="394"/>
      <c r="AX760" s="385"/>
      <c r="AY760" s="385"/>
      <c r="AZ760" s="385"/>
      <c r="BA760" s="385"/>
      <c r="BB760" s="385"/>
      <c r="BC760" s="385"/>
      <c r="BD760" s="385"/>
      <c r="BE760" s="385"/>
      <c r="BF760" s="385"/>
      <c r="BG760" s="385"/>
      <c r="BH760" s="385"/>
      <c r="BI760" s="385"/>
      <c r="BJ760" s="385"/>
      <c r="BK760" s="385"/>
      <c r="BL760" s="385"/>
      <c r="BM760" s="385"/>
      <c r="BN760" s="385"/>
      <c r="BO760" s="385"/>
      <c r="BP760" s="385"/>
      <c r="BQ760" s="385"/>
      <c r="BR760" s="385"/>
      <c r="BS760" s="385"/>
      <c r="BT760" s="385"/>
      <c r="BU760" s="385"/>
      <c r="BV760" s="385"/>
      <c r="BW760" s="385"/>
      <c r="BX760" s="385"/>
      <c r="BY760" s="385"/>
      <c r="BZ760" s="385"/>
      <c r="CA760" s="385"/>
    </row>
    <row r="761" spans="1:79" s="6" customFormat="1" ht="15" customHeight="1">
      <c r="A761" s="41" t="s">
        <v>183</v>
      </c>
      <c r="B761" s="402" t="s">
        <v>2511</v>
      </c>
      <c r="C761" s="113"/>
      <c r="D761" s="393" t="s">
        <v>534</v>
      </c>
      <c r="E761" s="394" t="s">
        <v>304</v>
      </c>
      <c r="F761" s="85"/>
      <c r="G761" s="405" t="s">
        <v>2512</v>
      </c>
      <c r="H761" s="74"/>
      <c r="I761" s="50" t="s">
        <v>1</v>
      </c>
      <c r="J761" s="48" t="s">
        <v>2513</v>
      </c>
      <c r="K761" s="51">
        <v>40996</v>
      </c>
      <c r="L761" s="115">
        <v>40971</v>
      </c>
      <c r="M761" s="50">
        <f t="shared" si="33"/>
        <v>25</v>
      </c>
      <c r="N761" s="50" t="s">
        <v>2</v>
      </c>
      <c r="O761" s="131">
        <v>3.5</v>
      </c>
      <c r="P761" s="50">
        <v>6.6</v>
      </c>
      <c r="Q761" s="74">
        <v>7.5</v>
      </c>
      <c r="R761" s="50">
        <f>5/2</f>
        <v>2.5</v>
      </c>
      <c r="S761" s="74">
        <v>9</v>
      </c>
      <c r="T761" s="50">
        <f>0.01/2</f>
        <v>5.0000000000000001E-3</v>
      </c>
      <c r="U761" s="131">
        <v>0.81</v>
      </c>
      <c r="V761" s="50">
        <v>0.8</v>
      </c>
      <c r="W761" s="74">
        <v>0.02</v>
      </c>
      <c r="X761" s="50">
        <v>0.17</v>
      </c>
      <c r="Y761" s="74">
        <v>8.0000000000000002E-3</v>
      </c>
      <c r="Z761" s="271">
        <v>1</v>
      </c>
      <c r="AA761" s="271">
        <v>1</v>
      </c>
      <c r="AB761" s="114">
        <v>31</v>
      </c>
      <c r="AC761" s="50">
        <v>83</v>
      </c>
      <c r="AD761" s="271">
        <v>0.8</v>
      </c>
      <c r="AE761" s="50"/>
      <c r="AF761" s="49"/>
      <c r="AG761" s="114"/>
      <c r="AH761" s="114"/>
      <c r="AI761" s="114"/>
      <c r="AJ761" s="114"/>
      <c r="AK761" s="114"/>
      <c r="AL761" s="114"/>
      <c r="AM761" s="114"/>
      <c r="AN761" s="114"/>
      <c r="AO761" s="114"/>
      <c r="AP761" s="114"/>
      <c r="AQ761" s="114"/>
      <c r="AR761" s="114"/>
      <c r="AS761" s="50"/>
      <c r="AT761" s="74"/>
      <c r="AU761" s="114"/>
      <c r="AV761" s="114"/>
      <c r="AW761" s="394"/>
      <c r="AX761" s="385"/>
      <c r="AY761" s="385"/>
      <c r="AZ761" s="385"/>
      <c r="BA761" s="385"/>
      <c r="BB761" s="385"/>
      <c r="BC761" s="385"/>
      <c r="BD761" s="385"/>
      <c r="BE761" s="385"/>
      <c r="BF761" s="385"/>
      <c r="BG761" s="385"/>
      <c r="BH761" s="385"/>
      <c r="BI761" s="385"/>
      <c r="BJ761" s="385"/>
      <c r="BK761" s="385"/>
      <c r="BL761" s="385"/>
      <c r="BM761" s="385"/>
      <c r="BN761" s="385"/>
      <c r="BO761" s="385"/>
      <c r="BP761" s="385"/>
      <c r="BQ761" s="385"/>
      <c r="BR761" s="385"/>
      <c r="BS761" s="385"/>
      <c r="BT761" s="385"/>
      <c r="BU761" s="385"/>
      <c r="BV761" s="385"/>
      <c r="BW761" s="385"/>
      <c r="BX761" s="385"/>
      <c r="BY761" s="385"/>
      <c r="BZ761" s="385"/>
      <c r="CA761" s="385"/>
    </row>
    <row r="762" spans="1:79" s="6" customFormat="1" ht="15" customHeight="1">
      <c r="A762" s="41" t="s">
        <v>183</v>
      </c>
      <c r="B762" s="402" t="s">
        <v>2511</v>
      </c>
      <c r="C762" s="113"/>
      <c r="D762" s="393" t="s">
        <v>534</v>
      </c>
      <c r="E762" s="394" t="s">
        <v>304</v>
      </c>
      <c r="F762" s="85"/>
      <c r="G762" s="405" t="s">
        <v>2512</v>
      </c>
      <c r="H762" s="74"/>
      <c r="I762" s="50" t="s">
        <v>1</v>
      </c>
      <c r="J762" s="48" t="s">
        <v>2514</v>
      </c>
      <c r="K762" s="51">
        <v>40996</v>
      </c>
      <c r="L762" s="115">
        <v>40971</v>
      </c>
      <c r="M762" s="50">
        <f t="shared" si="33"/>
        <v>25</v>
      </c>
      <c r="N762" s="50" t="s">
        <v>2</v>
      </c>
      <c r="O762" s="131">
        <v>3.8</v>
      </c>
      <c r="P762" s="50">
        <v>6.6</v>
      </c>
      <c r="Q762" s="74">
        <v>7.4</v>
      </c>
      <c r="R762" s="50">
        <f>5/2</f>
        <v>2.5</v>
      </c>
      <c r="S762" s="74">
        <v>5</v>
      </c>
      <c r="T762" s="50">
        <f>0.01/2</f>
        <v>5.0000000000000001E-3</v>
      </c>
      <c r="U762" s="131">
        <v>0.63</v>
      </c>
      <c r="V762" s="50">
        <v>1.1299999999999999</v>
      </c>
      <c r="W762" s="74">
        <v>0.01</v>
      </c>
      <c r="X762" s="50">
        <v>0.15</v>
      </c>
      <c r="Y762" s="74">
        <f>0.005/2</f>
        <v>2.5000000000000001E-3</v>
      </c>
      <c r="Z762" s="271">
        <v>1</v>
      </c>
      <c r="AA762" s="271">
        <v>1</v>
      </c>
      <c r="AB762" s="114">
        <v>25.1</v>
      </c>
      <c r="AC762" s="50">
        <v>82</v>
      </c>
      <c r="AD762" s="271">
        <v>0.95</v>
      </c>
      <c r="AE762" s="50"/>
      <c r="AF762" s="49"/>
      <c r="AG762" s="114"/>
      <c r="AH762" s="114"/>
      <c r="AI762" s="114"/>
      <c r="AJ762" s="114"/>
      <c r="AK762" s="114"/>
      <c r="AL762" s="114"/>
      <c r="AM762" s="114"/>
      <c r="AN762" s="114"/>
      <c r="AO762" s="114"/>
      <c r="AP762" s="114"/>
      <c r="AQ762" s="114"/>
      <c r="AR762" s="114"/>
      <c r="AS762" s="50"/>
      <c r="AT762" s="74"/>
      <c r="AU762" s="114"/>
      <c r="AV762" s="114"/>
      <c r="AW762" s="394"/>
      <c r="AX762" s="385"/>
      <c r="AY762" s="385"/>
      <c r="AZ762" s="385"/>
      <c r="BA762" s="385"/>
      <c r="BB762" s="385"/>
      <c r="BC762" s="385"/>
      <c r="BD762" s="385"/>
      <c r="BE762" s="385"/>
      <c r="BF762" s="385"/>
      <c r="BG762" s="385"/>
      <c r="BH762" s="385"/>
      <c r="BI762" s="385"/>
      <c r="BJ762" s="385"/>
      <c r="BK762" s="385"/>
      <c r="BL762" s="385"/>
      <c r="BM762" s="385"/>
      <c r="BN762" s="385"/>
      <c r="BO762" s="385"/>
      <c r="BP762" s="385"/>
      <c r="BQ762" s="385"/>
      <c r="BR762" s="385"/>
      <c r="BS762" s="385"/>
      <c r="BT762" s="385"/>
      <c r="BU762" s="385"/>
      <c r="BV762" s="385"/>
      <c r="BW762" s="385"/>
      <c r="BX762" s="385"/>
      <c r="BY762" s="385"/>
      <c r="BZ762" s="385"/>
      <c r="CA762" s="385"/>
    </row>
    <row r="763" spans="1:79" s="6" customFormat="1" ht="15" customHeight="1">
      <c r="A763" s="41" t="s">
        <v>183</v>
      </c>
      <c r="B763" s="402" t="s">
        <v>2511</v>
      </c>
      <c r="C763" s="113"/>
      <c r="D763" s="393" t="s">
        <v>534</v>
      </c>
      <c r="E763" s="394" t="s">
        <v>304</v>
      </c>
      <c r="F763" s="85"/>
      <c r="G763" s="405" t="s">
        <v>2512</v>
      </c>
      <c r="H763" s="74"/>
      <c r="I763" s="50" t="s">
        <v>1</v>
      </c>
      <c r="J763" s="48" t="s">
        <v>2515</v>
      </c>
      <c r="K763" s="51">
        <v>40996</v>
      </c>
      <c r="L763" s="115">
        <v>40971</v>
      </c>
      <c r="M763" s="50">
        <f t="shared" si="33"/>
        <v>25</v>
      </c>
      <c r="N763" s="50" t="s">
        <v>2</v>
      </c>
      <c r="O763" s="131">
        <v>0.9</v>
      </c>
      <c r="P763" s="50">
        <v>6.6</v>
      </c>
      <c r="Q763" s="74">
        <v>7.8</v>
      </c>
      <c r="R763" s="50">
        <f>5/2</f>
        <v>2.5</v>
      </c>
      <c r="S763" s="74">
        <v>7</v>
      </c>
      <c r="T763" s="50">
        <f>0.01/2</f>
        <v>5.0000000000000001E-3</v>
      </c>
      <c r="U763" s="131">
        <v>0.6</v>
      </c>
      <c r="V763" s="50">
        <v>0.88</v>
      </c>
      <c r="W763" s="74">
        <v>0.01</v>
      </c>
      <c r="X763" s="50">
        <v>0.08</v>
      </c>
      <c r="Y763" s="74">
        <f>0.005/2</f>
        <v>2.5000000000000001E-3</v>
      </c>
      <c r="Z763" s="271">
        <v>1</v>
      </c>
      <c r="AA763" s="271">
        <v>1</v>
      </c>
      <c r="AB763" s="114">
        <v>58.6</v>
      </c>
      <c r="AC763" s="50">
        <v>234</v>
      </c>
      <c r="AD763" s="271">
        <v>0.95</v>
      </c>
      <c r="AE763" s="50"/>
      <c r="AF763" s="49"/>
      <c r="AG763" s="114"/>
      <c r="AH763" s="114"/>
      <c r="AI763" s="114"/>
      <c r="AJ763" s="114"/>
      <c r="AK763" s="114"/>
      <c r="AL763" s="114"/>
      <c r="AM763" s="114"/>
      <c r="AN763" s="114"/>
      <c r="AO763" s="114"/>
      <c r="AP763" s="114"/>
      <c r="AQ763" s="114"/>
      <c r="AR763" s="114"/>
      <c r="AS763" s="50"/>
      <c r="AT763" s="74"/>
      <c r="AU763" s="114"/>
      <c r="AV763" s="114"/>
      <c r="AW763" s="394"/>
      <c r="AX763" s="385"/>
      <c r="AY763" s="385"/>
      <c r="AZ763" s="385"/>
      <c r="BA763" s="385"/>
      <c r="BB763" s="385"/>
      <c r="BC763" s="385"/>
      <c r="BD763" s="385"/>
      <c r="BE763" s="385"/>
      <c r="BF763" s="385"/>
      <c r="BG763" s="385"/>
      <c r="BH763" s="385"/>
      <c r="BI763" s="385"/>
      <c r="BJ763" s="385"/>
      <c r="BK763" s="385"/>
      <c r="BL763" s="385"/>
      <c r="BM763" s="385"/>
      <c r="BN763" s="385"/>
      <c r="BO763" s="385"/>
      <c r="BP763" s="385"/>
      <c r="BQ763" s="385"/>
      <c r="BR763" s="385"/>
      <c r="BS763" s="385"/>
      <c r="BT763" s="385"/>
      <c r="BU763" s="385"/>
      <c r="BV763" s="385"/>
      <c r="BW763" s="385"/>
      <c r="BX763" s="385"/>
      <c r="BY763" s="385"/>
      <c r="BZ763" s="385"/>
      <c r="CA763" s="385"/>
    </row>
    <row r="764" spans="1:79" s="6" customFormat="1" ht="15" customHeight="1">
      <c r="A764" s="41" t="s">
        <v>183</v>
      </c>
      <c r="B764" s="402" t="s">
        <v>532</v>
      </c>
      <c r="C764" s="113" t="s">
        <v>1077</v>
      </c>
      <c r="D764" s="393" t="s">
        <v>262</v>
      </c>
      <c r="E764" s="394" t="s">
        <v>664</v>
      </c>
      <c r="F764" s="402"/>
      <c r="G764" s="405" t="s">
        <v>1078</v>
      </c>
      <c r="H764" s="49">
        <v>2951</v>
      </c>
      <c r="I764" s="50" t="s">
        <v>1</v>
      </c>
      <c r="J764" s="76" t="s">
        <v>593</v>
      </c>
      <c r="K764" s="51">
        <v>41201</v>
      </c>
      <c r="L764" s="115">
        <v>41197</v>
      </c>
      <c r="M764" s="50">
        <f t="shared" si="33"/>
        <v>4</v>
      </c>
      <c r="N764" s="50" t="s">
        <v>2</v>
      </c>
      <c r="O764" s="131">
        <f>5/2</f>
        <v>2.5</v>
      </c>
      <c r="P764" s="50">
        <v>5.5</v>
      </c>
      <c r="Q764" s="74">
        <v>9.5399999999999991</v>
      </c>
      <c r="R764" s="50">
        <v>63</v>
      </c>
      <c r="S764" s="74">
        <v>86</v>
      </c>
      <c r="T764" s="50">
        <f>0.1/2</f>
        <v>0.05</v>
      </c>
      <c r="U764" s="131">
        <f>1/2</f>
        <v>0.5</v>
      </c>
      <c r="V764" s="50">
        <v>0.17</v>
      </c>
      <c r="W764" s="74">
        <f>0.04/2</f>
        <v>0.02</v>
      </c>
      <c r="X764" s="50">
        <v>3.9E-2</v>
      </c>
      <c r="Y764" s="74">
        <f>0.013/2</f>
        <v>6.4999999999999997E-3</v>
      </c>
      <c r="Z764" s="271">
        <v>1</v>
      </c>
      <c r="AA764" s="271">
        <v>0.5</v>
      </c>
      <c r="AB764" s="114">
        <v>210</v>
      </c>
      <c r="AC764" s="50">
        <v>1813</v>
      </c>
      <c r="AD764" s="271">
        <v>0.85</v>
      </c>
      <c r="AE764" s="50"/>
      <c r="AF764" s="49"/>
      <c r="AG764" s="114"/>
      <c r="AH764" s="114"/>
      <c r="AI764" s="114">
        <v>2400</v>
      </c>
      <c r="AJ764" s="114">
        <v>1550</v>
      </c>
      <c r="AK764" s="114"/>
      <c r="AL764" s="114"/>
      <c r="AM764" s="114"/>
      <c r="AN764" s="114"/>
      <c r="AO764" s="114"/>
      <c r="AP764" s="114"/>
      <c r="AQ764" s="114"/>
      <c r="AR764" s="114"/>
      <c r="AS764" s="50"/>
      <c r="AT764" s="74"/>
      <c r="AU764" s="114"/>
      <c r="AV764" s="114"/>
      <c r="AW764" s="394"/>
      <c r="AX764" s="385"/>
      <c r="AY764" s="385"/>
      <c r="AZ764" s="385"/>
      <c r="BA764" s="385"/>
      <c r="BB764" s="385"/>
      <c r="BC764" s="385"/>
      <c r="BD764" s="385"/>
      <c r="BE764" s="385"/>
      <c r="BF764" s="385"/>
      <c r="BG764" s="385"/>
      <c r="BH764" s="385"/>
      <c r="BI764" s="385"/>
      <c r="BJ764" s="385"/>
      <c r="BK764" s="385"/>
      <c r="BL764" s="385"/>
      <c r="BM764" s="385"/>
      <c r="BN764" s="385"/>
      <c r="BO764" s="385"/>
      <c r="BP764" s="385"/>
      <c r="BQ764" s="385"/>
      <c r="BR764" s="385"/>
      <c r="BS764" s="385"/>
      <c r="BT764" s="385"/>
      <c r="BU764" s="385"/>
      <c r="BV764" s="385"/>
      <c r="BW764" s="385"/>
      <c r="BX764" s="385"/>
      <c r="BY764" s="385"/>
      <c r="BZ764" s="385"/>
      <c r="CA764" s="385"/>
    </row>
    <row r="765" spans="1:79" s="6" customFormat="1" ht="15" customHeight="1">
      <c r="A765" s="41" t="s">
        <v>183</v>
      </c>
      <c r="B765" s="402" t="s">
        <v>532</v>
      </c>
      <c r="C765" s="113" t="s">
        <v>1077</v>
      </c>
      <c r="D765" s="393" t="s">
        <v>262</v>
      </c>
      <c r="E765" s="394" t="s">
        <v>664</v>
      </c>
      <c r="F765" s="402"/>
      <c r="G765" s="405" t="s">
        <v>1078</v>
      </c>
      <c r="H765" s="49">
        <v>2951</v>
      </c>
      <c r="I765" s="50" t="s">
        <v>1</v>
      </c>
      <c r="J765" s="76" t="s">
        <v>504</v>
      </c>
      <c r="K765" s="51">
        <v>41201</v>
      </c>
      <c r="L765" s="115">
        <v>41197</v>
      </c>
      <c r="M765" s="50">
        <f t="shared" si="33"/>
        <v>4</v>
      </c>
      <c r="N765" s="50" t="s">
        <v>2</v>
      </c>
      <c r="O765" s="131">
        <f>5/2</f>
        <v>2.5</v>
      </c>
      <c r="P765" s="50">
        <v>5.5</v>
      </c>
      <c r="Q765" s="74">
        <v>7.65</v>
      </c>
      <c r="R765" s="50">
        <v>12</v>
      </c>
      <c r="S765" s="74">
        <v>11</v>
      </c>
      <c r="T765" s="50">
        <v>0.11</v>
      </c>
      <c r="U765" s="131">
        <f>1/2</f>
        <v>0.5</v>
      </c>
      <c r="V765" s="50">
        <f>0.1/2</f>
        <v>0.05</v>
      </c>
      <c r="W765" s="74">
        <f>0.04/2</f>
        <v>0.02</v>
      </c>
      <c r="X765" s="50">
        <v>0.25</v>
      </c>
      <c r="Y765" s="74">
        <f>0.013/2</f>
        <v>6.4999999999999997E-3</v>
      </c>
      <c r="Z765" s="271">
        <v>1</v>
      </c>
      <c r="AA765" s="271">
        <v>0.93899999999999995</v>
      </c>
      <c r="AB765" s="114">
        <v>43</v>
      </c>
      <c r="AC765" s="50">
        <v>186</v>
      </c>
      <c r="AD765" s="271">
        <v>0.45</v>
      </c>
      <c r="AE765" s="50"/>
      <c r="AF765" s="49"/>
      <c r="AG765" s="114"/>
      <c r="AH765" s="114"/>
      <c r="AI765" s="114">
        <v>12</v>
      </c>
      <c r="AJ765" s="114">
        <v>4</v>
      </c>
      <c r="AK765" s="114"/>
      <c r="AL765" s="114"/>
      <c r="AM765" s="114"/>
      <c r="AN765" s="114"/>
      <c r="AO765" s="114"/>
      <c r="AP765" s="114"/>
      <c r="AQ765" s="114"/>
      <c r="AR765" s="114"/>
      <c r="AS765" s="50"/>
      <c r="AT765" s="74"/>
      <c r="AU765" s="114"/>
      <c r="AV765" s="114"/>
      <c r="AW765" s="394"/>
      <c r="AX765" s="385"/>
      <c r="AY765" s="385"/>
      <c r="AZ765" s="385"/>
      <c r="BA765" s="385"/>
      <c r="BB765" s="385"/>
      <c r="BC765" s="385"/>
      <c r="BD765" s="385"/>
      <c r="BE765" s="385"/>
      <c r="BF765" s="385"/>
      <c r="BG765" s="385"/>
      <c r="BH765" s="385"/>
      <c r="BI765" s="385"/>
      <c r="BJ765" s="385"/>
      <c r="BK765" s="385"/>
      <c r="BL765" s="385"/>
      <c r="BM765" s="385"/>
      <c r="BN765" s="385"/>
      <c r="BO765" s="385"/>
      <c r="BP765" s="385"/>
      <c r="BQ765" s="385"/>
      <c r="BR765" s="385"/>
      <c r="BS765" s="385"/>
      <c r="BT765" s="385"/>
      <c r="BU765" s="385"/>
      <c r="BV765" s="385"/>
      <c r="BW765" s="385"/>
      <c r="BX765" s="385"/>
      <c r="BY765" s="385"/>
      <c r="BZ765" s="385"/>
      <c r="CA765" s="385"/>
    </row>
    <row r="766" spans="1:79" s="6" customFormat="1" ht="15" customHeight="1">
      <c r="A766" s="41" t="s">
        <v>183</v>
      </c>
      <c r="B766" s="386" t="s">
        <v>590</v>
      </c>
      <c r="C766" s="149" t="s">
        <v>604</v>
      </c>
      <c r="D766" s="392" t="s">
        <v>308</v>
      </c>
      <c r="E766" s="258" t="s">
        <v>235</v>
      </c>
      <c r="F766" s="386"/>
      <c r="G766" s="389" t="s">
        <v>605</v>
      </c>
      <c r="H766" s="55">
        <v>7538</v>
      </c>
      <c r="I766" s="54" t="s">
        <v>2</v>
      </c>
      <c r="J766" s="61" t="s">
        <v>366</v>
      </c>
      <c r="K766" s="51">
        <v>41201</v>
      </c>
      <c r="L766" s="115">
        <v>41197</v>
      </c>
      <c r="M766" s="50">
        <f t="shared" si="33"/>
        <v>4</v>
      </c>
      <c r="N766" s="50" t="s">
        <v>2</v>
      </c>
      <c r="O766" s="131">
        <f>1.4/2</f>
        <v>0.7</v>
      </c>
      <c r="P766" s="50">
        <v>6</v>
      </c>
      <c r="Q766" s="74">
        <v>6.83</v>
      </c>
      <c r="R766" s="50">
        <v>18</v>
      </c>
      <c r="S766" s="74">
        <v>73</v>
      </c>
      <c r="T766" s="50">
        <v>0.12</v>
      </c>
      <c r="U766" s="131">
        <v>0.69</v>
      </c>
      <c r="V766" s="50">
        <v>0.08</v>
      </c>
      <c r="W766" s="74">
        <v>1.4E-2</v>
      </c>
      <c r="X766" s="50">
        <v>7.0000000000000007E-2</v>
      </c>
      <c r="Y766" s="74">
        <v>8.0000000000000002E-3</v>
      </c>
      <c r="Z766" s="271">
        <v>1</v>
      </c>
      <c r="AA766" s="271">
        <v>1</v>
      </c>
      <c r="AB766" s="114">
        <v>10</v>
      </c>
      <c r="AC766" s="50">
        <v>38</v>
      </c>
      <c r="AD766" s="271">
        <v>0.95</v>
      </c>
      <c r="AE766" s="50"/>
      <c r="AF766" s="49"/>
      <c r="AG766" s="114"/>
      <c r="AH766" s="114"/>
      <c r="AI766" s="114"/>
      <c r="AJ766" s="114"/>
      <c r="AK766" s="114"/>
      <c r="AL766" s="114"/>
      <c r="AM766" s="114"/>
      <c r="AN766" s="114"/>
      <c r="AO766" s="114"/>
      <c r="AP766" s="114"/>
      <c r="AQ766" s="114"/>
      <c r="AR766" s="114"/>
      <c r="AS766" s="50"/>
      <c r="AT766" s="74"/>
      <c r="AU766" s="114"/>
      <c r="AV766" s="114"/>
      <c r="AW766" s="394"/>
      <c r="AX766" s="385"/>
      <c r="AY766" s="385"/>
      <c r="AZ766" s="385"/>
      <c r="BA766" s="385"/>
      <c r="BB766" s="385"/>
      <c r="BC766" s="385"/>
      <c r="BD766" s="385"/>
      <c r="BE766" s="385"/>
      <c r="BF766" s="385"/>
      <c r="BG766" s="385"/>
      <c r="BH766" s="385"/>
      <c r="BI766" s="385"/>
      <c r="BJ766" s="385"/>
      <c r="BK766" s="385"/>
      <c r="BL766" s="385"/>
      <c r="BM766" s="385"/>
      <c r="BN766" s="385"/>
      <c r="BO766" s="385"/>
      <c r="BP766" s="385"/>
      <c r="BQ766" s="385"/>
      <c r="BR766" s="385"/>
      <c r="BS766" s="385"/>
      <c r="BT766" s="385"/>
      <c r="BU766" s="385"/>
      <c r="BV766" s="385"/>
      <c r="BW766" s="385"/>
      <c r="BX766" s="385"/>
      <c r="BY766" s="385"/>
      <c r="BZ766" s="385"/>
      <c r="CA766" s="385"/>
    </row>
    <row r="767" spans="1:79" s="6" customFormat="1" ht="15" customHeight="1">
      <c r="A767" s="41" t="s">
        <v>183</v>
      </c>
      <c r="B767" s="386" t="s">
        <v>590</v>
      </c>
      <c r="C767" s="149" t="s">
        <v>604</v>
      </c>
      <c r="D767" s="392" t="s">
        <v>308</v>
      </c>
      <c r="E767" s="258" t="s">
        <v>235</v>
      </c>
      <c r="F767" s="386"/>
      <c r="G767" s="389" t="s">
        <v>605</v>
      </c>
      <c r="H767" s="55">
        <v>7538</v>
      </c>
      <c r="I767" s="54" t="s">
        <v>2</v>
      </c>
      <c r="J767" s="61" t="s">
        <v>593</v>
      </c>
      <c r="K767" s="51">
        <v>41201</v>
      </c>
      <c r="L767" s="115">
        <v>41197</v>
      </c>
      <c r="M767" s="50">
        <f t="shared" si="33"/>
        <v>4</v>
      </c>
      <c r="N767" s="50" t="s">
        <v>2</v>
      </c>
      <c r="O767" s="131">
        <v>1.9</v>
      </c>
      <c r="P767" s="50">
        <v>6</v>
      </c>
      <c r="Q767" s="74">
        <v>6.73</v>
      </c>
      <c r="R767" s="50">
        <v>18</v>
      </c>
      <c r="S767" s="74">
        <v>22</v>
      </c>
      <c r="T767" s="50">
        <v>0.11</v>
      </c>
      <c r="U767" s="131">
        <v>0.9</v>
      </c>
      <c r="V767" s="50">
        <v>0.13</v>
      </c>
      <c r="W767" s="74">
        <v>1.0999999999999999E-2</v>
      </c>
      <c r="X767" s="50">
        <v>3.5999999999999997E-2</v>
      </c>
      <c r="Y767" s="74">
        <f>0.002/2</f>
        <v>1E-3</v>
      </c>
      <c r="Z767" s="271">
        <v>1</v>
      </c>
      <c r="AA767" s="271">
        <v>1</v>
      </c>
      <c r="AB767" s="114">
        <v>8</v>
      </c>
      <c r="AC767" s="50">
        <v>23</v>
      </c>
      <c r="AD767" s="271">
        <v>1</v>
      </c>
      <c r="AE767" s="50"/>
      <c r="AF767" s="49"/>
      <c r="AG767" s="114"/>
      <c r="AH767" s="114"/>
      <c r="AI767" s="114"/>
      <c r="AJ767" s="114"/>
      <c r="AK767" s="114"/>
      <c r="AL767" s="114"/>
      <c r="AM767" s="114"/>
      <c r="AN767" s="114"/>
      <c r="AO767" s="114"/>
      <c r="AP767" s="114"/>
      <c r="AQ767" s="114"/>
      <c r="AR767" s="114"/>
      <c r="AS767" s="50"/>
      <c r="AT767" s="74"/>
      <c r="AU767" s="114"/>
      <c r="AV767" s="114"/>
      <c r="AW767" s="394"/>
      <c r="AX767" s="385"/>
      <c r="AY767" s="385"/>
      <c r="AZ767" s="385"/>
      <c r="BA767" s="385"/>
      <c r="BB767" s="385"/>
      <c r="BC767" s="385"/>
      <c r="BD767" s="385"/>
      <c r="BE767" s="385"/>
      <c r="BF767" s="385"/>
      <c r="BG767" s="385"/>
      <c r="BH767" s="385"/>
      <c r="BI767" s="385"/>
      <c r="BJ767" s="385"/>
      <c r="BK767" s="385"/>
      <c r="BL767" s="385"/>
      <c r="BM767" s="385"/>
      <c r="BN767" s="385"/>
      <c r="BO767" s="385"/>
      <c r="BP767" s="385"/>
      <c r="BQ767" s="385"/>
      <c r="BR767" s="385"/>
      <c r="BS767" s="385"/>
      <c r="BT767" s="385"/>
      <c r="BU767" s="385"/>
      <c r="BV767" s="385"/>
      <c r="BW767" s="385"/>
      <c r="BX767" s="385"/>
      <c r="BY767" s="385"/>
      <c r="BZ767" s="385"/>
      <c r="CA767" s="385"/>
    </row>
    <row r="768" spans="1:79" s="6" customFormat="1" ht="15" customHeight="1">
      <c r="A768" s="41" t="s">
        <v>183</v>
      </c>
      <c r="B768" s="386" t="s">
        <v>590</v>
      </c>
      <c r="C768" s="149" t="s">
        <v>604</v>
      </c>
      <c r="D768" s="392" t="s">
        <v>308</v>
      </c>
      <c r="E768" s="258" t="s">
        <v>235</v>
      </c>
      <c r="F768" s="386"/>
      <c r="G768" s="389" t="s">
        <v>605</v>
      </c>
      <c r="H768" s="55">
        <v>7538</v>
      </c>
      <c r="I768" s="54" t="s">
        <v>2</v>
      </c>
      <c r="J768" s="61" t="s">
        <v>477</v>
      </c>
      <c r="K768" s="51">
        <v>41201</v>
      </c>
      <c r="L768" s="115">
        <v>41197</v>
      </c>
      <c r="M768" s="50">
        <f t="shared" si="33"/>
        <v>4</v>
      </c>
      <c r="N768" s="50" t="s">
        <v>2</v>
      </c>
      <c r="O768" s="131">
        <f>1.4/2</f>
        <v>0.7</v>
      </c>
      <c r="P768" s="50">
        <v>6</v>
      </c>
      <c r="Q768" s="74">
        <v>6.74</v>
      </c>
      <c r="R768" s="50">
        <v>33</v>
      </c>
      <c r="S768" s="74">
        <v>8</v>
      </c>
      <c r="T768" s="50">
        <v>7.0000000000000007E-2</v>
      </c>
      <c r="U768" s="131">
        <v>0.34</v>
      </c>
      <c r="V768" s="50">
        <v>0.11</v>
      </c>
      <c r="W768" s="74">
        <v>6.0000000000000001E-3</v>
      </c>
      <c r="X768" s="50">
        <v>3.2000000000000001E-2</v>
      </c>
      <c r="Y768" s="74">
        <v>4.0000000000000001E-3</v>
      </c>
      <c r="Z768" s="271">
        <v>1</v>
      </c>
      <c r="AA768" s="271">
        <v>1</v>
      </c>
      <c r="AB768" s="114">
        <v>4</v>
      </c>
      <c r="AC768" s="50">
        <v>19</v>
      </c>
      <c r="AD768" s="271">
        <v>1</v>
      </c>
      <c r="AE768" s="50"/>
      <c r="AF768" s="49"/>
      <c r="AG768" s="114"/>
      <c r="AH768" s="114"/>
      <c r="AI768" s="114"/>
      <c r="AJ768" s="114"/>
      <c r="AK768" s="114"/>
      <c r="AL768" s="114"/>
      <c r="AM768" s="114"/>
      <c r="AN768" s="114"/>
      <c r="AO768" s="114"/>
      <c r="AP768" s="114"/>
      <c r="AQ768" s="114"/>
      <c r="AR768" s="114"/>
      <c r="AS768" s="50"/>
      <c r="AT768" s="74"/>
      <c r="AU768" s="114"/>
      <c r="AV768" s="114"/>
      <c r="AW768" s="394"/>
      <c r="AX768" s="385"/>
      <c r="AY768" s="385"/>
      <c r="AZ768" s="385"/>
      <c r="BA768" s="385"/>
      <c r="BB768" s="385"/>
      <c r="BC768" s="385"/>
      <c r="BD768" s="385"/>
      <c r="BE768" s="385"/>
      <c r="BF768" s="385"/>
      <c r="BG768" s="385"/>
      <c r="BH768" s="385"/>
      <c r="BI768" s="385"/>
      <c r="BJ768" s="385"/>
      <c r="BK768" s="385"/>
      <c r="BL768" s="385"/>
      <c r="BM768" s="385"/>
      <c r="BN768" s="385"/>
      <c r="BO768" s="385"/>
      <c r="BP768" s="385"/>
      <c r="BQ768" s="385"/>
      <c r="BR768" s="385"/>
      <c r="BS768" s="385"/>
      <c r="BT768" s="385"/>
      <c r="BU768" s="385"/>
      <c r="BV768" s="385"/>
      <c r="BW768" s="385"/>
      <c r="BX768" s="385"/>
      <c r="BY768" s="385"/>
      <c r="BZ768" s="385"/>
      <c r="CA768" s="385"/>
    </row>
    <row r="769" spans="1:79" s="6" customFormat="1" ht="15" customHeight="1">
      <c r="A769" s="41" t="s">
        <v>183</v>
      </c>
      <c r="B769" s="386" t="s">
        <v>590</v>
      </c>
      <c r="C769" s="149" t="s">
        <v>604</v>
      </c>
      <c r="D769" s="392" t="s">
        <v>308</v>
      </c>
      <c r="E769" s="258" t="s">
        <v>235</v>
      </c>
      <c r="F769" s="386"/>
      <c r="G769" s="389" t="s">
        <v>605</v>
      </c>
      <c r="H769" s="55">
        <v>7538</v>
      </c>
      <c r="I769" s="54" t="s">
        <v>2</v>
      </c>
      <c r="J769" s="61" t="s">
        <v>474</v>
      </c>
      <c r="K769" s="51">
        <v>41201</v>
      </c>
      <c r="L769" s="115">
        <v>41197</v>
      </c>
      <c r="M769" s="50">
        <f t="shared" si="33"/>
        <v>4</v>
      </c>
      <c r="N769" s="50" t="s">
        <v>2</v>
      </c>
      <c r="O769" s="131">
        <v>3.5</v>
      </c>
      <c r="P769" s="50">
        <v>6</v>
      </c>
      <c r="Q769" s="74">
        <v>6.87</v>
      </c>
      <c r="R769" s="50">
        <v>27</v>
      </c>
      <c r="S769" s="74">
        <v>94</v>
      </c>
      <c r="T769" s="50">
        <v>0.08</v>
      </c>
      <c r="U769" s="131">
        <v>0.46</v>
      </c>
      <c r="V769" s="50">
        <v>0.33</v>
      </c>
      <c r="W769" s="74">
        <v>1.2999999999999999E-2</v>
      </c>
      <c r="X769" s="50">
        <v>9.4E-2</v>
      </c>
      <c r="Y769" s="74">
        <v>6.0000000000000001E-3</v>
      </c>
      <c r="Z769" s="271">
        <v>1</v>
      </c>
      <c r="AA769" s="271">
        <v>1</v>
      </c>
      <c r="AB769" s="114">
        <v>6</v>
      </c>
      <c r="AC769" s="50">
        <v>22</v>
      </c>
      <c r="AD769" s="271">
        <v>1</v>
      </c>
      <c r="AE769" s="50"/>
      <c r="AF769" s="49"/>
      <c r="AG769" s="114"/>
      <c r="AH769" s="114"/>
      <c r="AI769" s="114"/>
      <c r="AJ769" s="114"/>
      <c r="AK769" s="114"/>
      <c r="AL769" s="114"/>
      <c r="AM769" s="114"/>
      <c r="AN769" s="114"/>
      <c r="AO769" s="114"/>
      <c r="AP769" s="114"/>
      <c r="AQ769" s="114"/>
      <c r="AR769" s="114"/>
      <c r="AS769" s="50"/>
      <c r="AT769" s="74"/>
      <c r="AU769" s="114"/>
      <c r="AV769" s="114"/>
      <c r="AW769" s="394"/>
      <c r="AX769" s="385"/>
      <c r="AY769" s="385"/>
      <c r="AZ769" s="385"/>
      <c r="BA769" s="385"/>
      <c r="BB769" s="385"/>
      <c r="BC769" s="385"/>
      <c r="BD769" s="385"/>
      <c r="BE769" s="385"/>
      <c r="BF769" s="385"/>
      <c r="BG769" s="385"/>
      <c r="BH769" s="385"/>
      <c r="BI769" s="385"/>
      <c r="BJ769" s="385"/>
      <c r="BK769" s="385"/>
      <c r="BL769" s="385"/>
      <c r="BM769" s="385"/>
      <c r="BN769" s="385"/>
      <c r="BO769" s="385"/>
      <c r="BP769" s="385"/>
      <c r="BQ769" s="385"/>
      <c r="BR769" s="385"/>
      <c r="BS769" s="385"/>
      <c r="BT769" s="385"/>
      <c r="BU769" s="385"/>
      <c r="BV769" s="385"/>
      <c r="BW769" s="385"/>
      <c r="BX769" s="385"/>
      <c r="BY769" s="385"/>
      <c r="BZ769" s="385"/>
      <c r="CA769" s="385"/>
    </row>
    <row r="770" spans="1:79" s="6" customFormat="1" ht="15" customHeight="1">
      <c r="A770" s="41" t="s">
        <v>183</v>
      </c>
      <c r="B770" s="402" t="s">
        <v>590</v>
      </c>
      <c r="C770" s="113" t="s">
        <v>604</v>
      </c>
      <c r="D770" s="393" t="s">
        <v>308</v>
      </c>
      <c r="E770" s="394" t="s">
        <v>235</v>
      </c>
      <c r="F770" s="402"/>
      <c r="G770" s="405" t="s">
        <v>605</v>
      </c>
      <c r="H770" s="74">
        <v>7538</v>
      </c>
      <c r="I770" s="50" t="s">
        <v>2</v>
      </c>
      <c r="J770" s="339" t="s">
        <v>606</v>
      </c>
      <c r="K770" s="51">
        <v>41201</v>
      </c>
      <c r="L770" s="115">
        <v>41197</v>
      </c>
      <c r="M770" s="50">
        <f t="shared" si="33"/>
        <v>4</v>
      </c>
      <c r="N770" s="50" t="s">
        <v>2</v>
      </c>
      <c r="O770" s="131">
        <v>6.1</v>
      </c>
      <c r="P770" s="50">
        <v>6</v>
      </c>
      <c r="Q770" s="74">
        <v>6.96</v>
      </c>
      <c r="R770" s="50">
        <v>31</v>
      </c>
      <c r="S770" s="74">
        <v>6.5</v>
      </c>
      <c r="T770" s="50">
        <v>0.09</v>
      </c>
      <c r="U770" s="131">
        <v>0.42</v>
      </c>
      <c r="V770" s="50">
        <f>0.05/2</f>
        <v>2.5000000000000001E-2</v>
      </c>
      <c r="W770" s="74">
        <v>7.0000000000000001E-3</v>
      </c>
      <c r="X770" s="50">
        <v>7.8E-2</v>
      </c>
      <c r="Y770" s="74">
        <f>0.002/2</f>
        <v>1E-3</v>
      </c>
      <c r="Z770" s="271">
        <v>1</v>
      </c>
      <c r="AA770" s="271">
        <v>1</v>
      </c>
      <c r="AB770" s="114">
        <v>12</v>
      </c>
      <c r="AC770" s="50">
        <v>31</v>
      </c>
      <c r="AD770" s="271">
        <v>1</v>
      </c>
      <c r="AE770" s="50"/>
      <c r="AF770" s="49"/>
      <c r="AG770" s="114"/>
      <c r="AH770" s="114"/>
      <c r="AI770" s="114"/>
      <c r="AJ770" s="114"/>
      <c r="AK770" s="114"/>
      <c r="AL770" s="114"/>
      <c r="AM770" s="114"/>
      <c r="AN770" s="114"/>
      <c r="AO770" s="114"/>
      <c r="AP770" s="114"/>
      <c r="AQ770" s="114"/>
      <c r="AR770" s="114"/>
      <c r="AS770" s="50"/>
      <c r="AT770" s="74"/>
      <c r="AU770" s="114"/>
      <c r="AV770" s="114"/>
      <c r="AW770" s="394"/>
      <c r="AX770" s="385"/>
      <c r="AY770" s="385"/>
      <c r="AZ770" s="385"/>
      <c r="BA770" s="385"/>
      <c r="BB770" s="385"/>
      <c r="BC770" s="385"/>
      <c r="BD770" s="385"/>
      <c r="BE770" s="385"/>
      <c r="BF770" s="385"/>
      <c r="BG770" s="385"/>
      <c r="BH770" s="385"/>
      <c r="BI770" s="385"/>
      <c r="BJ770" s="385"/>
      <c r="BK770" s="385"/>
      <c r="BL770" s="385"/>
      <c r="BM770" s="385"/>
      <c r="BN770" s="385"/>
      <c r="BO770" s="385"/>
      <c r="BP770" s="385"/>
      <c r="BQ770" s="385"/>
      <c r="BR770" s="385"/>
      <c r="BS770" s="385"/>
      <c r="BT770" s="385"/>
      <c r="BU770" s="385"/>
      <c r="BV770" s="385"/>
      <c r="BW770" s="385"/>
      <c r="BX770" s="385"/>
      <c r="BY770" s="385"/>
      <c r="BZ770" s="385"/>
      <c r="CA770" s="385"/>
    </row>
    <row r="771" spans="1:79" s="6" customFormat="1" ht="15" customHeight="1">
      <c r="A771" s="41" t="s">
        <v>183</v>
      </c>
      <c r="B771" s="402" t="s">
        <v>3025</v>
      </c>
      <c r="C771" s="113" t="s">
        <v>3026</v>
      </c>
      <c r="D771" s="393" t="s">
        <v>710</v>
      </c>
      <c r="E771" s="394" t="s">
        <v>3027</v>
      </c>
      <c r="F771" s="86"/>
      <c r="G771" s="405" t="s">
        <v>3028</v>
      </c>
      <c r="H771" s="74"/>
      <c r="I771" s="50" t="s">
        <v>1</v>
      </c>
      <c r="J771" s="48" t="s">
        <v>3029</v>
      </c>
      <c r="K771" s="51">
        <v>41185</v>
      </c>
      <c r="L771" s="115"/>
      <c r="M771" s="50"/>
      <c r="N771" s="50" t="s">
        <v>2</v>
      </c>
      <c r="O771" s="131">
        <f>1/2</f>
        <v>0.5</v>
      </c>
      <c r="P771" s="50">
        <v>5</v>
      </c>
      <c r="Q771" s="74">
        <v>6.7</v>
      </c>
      <c r="R771" s="50">
        <v>10</v>
      </c>
      <c r="S771" s="74">
        <v>6.7</v>
      </c>
      <c r="T771" s="50">
        <v>1.4E-2</v>
      </c>
      <c r="U771" s="131">
        <f>0.05/2</f>
        <v>2.5000000000000001E-2</v>
      </c>
      <c r="V771" s="50">
        <v>0.6</v>
      </c>
      <c r="W771" s="74">
        <v>1.7999999999999999E-2</v>
      </c>
      <c r="X771" s="50">
        <v>0.11</v>
      </c>
      <c r="Y771" s="74">
        <v>4.5999999999999999E-3</v>
      </c>
      <c r="Z771" s="271">
        <v>0.34200000000000003</v>
      </c>
      <c r="AA771" s="271">
        <v>0.183</v>
      </c>
      <c r="AB771" s="114">
        <v>8</v>
      </c>
      <c r="AC771" s="50">
        <v>11</v>
      </c>
      <c r="AD771" s="271">
        <v>0</v>
      </c>
      <c r="AE771" s="50"/>
      <c r="AF771" s="49"/>
      <c r="AG771" s="114"/>
      <c r="AH771" s="114"/>
      <c r="AI771" s="114"/>
      <c r="AJ771" s="114"/>
      <c r="AK771" s="114"/>
      <c r="AL771" s="114"/>
      <c r="AM771" s="114"/>
      <c r="AN771" s="114"/>
      <c r="AO771" s="114"/>
      <c r="AP771" s="114"/>
      <c r="AQ771" s="114"/>
      <c r="AR771" s="114"/>
      <c r="AS771" s="50"/>
      <c r="AT771" s="74"/>
      <c r="AU771" s="114"/>
      <c r="AV771" s="114"/>
      <c r="AW771" s="394"/>
      <c r="AX771" s="385"/>
      <c r="AY771" s="385"/>
      <c r="AZ771" s="385"/>
      <c r="BA771" s="385"/>
      <c r="BB771" s="385"/>
      <c r="BC771" s="385"/>
      <c r="BD771" s="385"/>
      <c r="BE771" s="385"/>
      <c r="BF771" s="385"/>
      <c r="BG771" s="385"/>
      <c r="BH771" s="385"/>
      <c r="BI771" s="385"/>
      <c r="BJ771" s="385"/>
      <c r="BK771" s="385"/>
      <c r="BL771" s="385"/>
      <c r="BM771" s="385"/>
      <c r="BN771" s="385"/>
      <c r="BO771" s="385"/>
      <c r="BP771" s="385"/>
      <c r="BQ771" s="385"/>
      <c r="BR771" s="385"/>
      <c r="BS771" s="385"/>
      <c r="BT771" s="385"/>
      <c r="BU771" s="385"/>
      <c r="BV771" s="385"/>
      <c r="BW771" s="385"/>
      <c r="BX771" s="385"/>
      <c r="BY771" s="385"/>
      <c r="BZ771" s="385"/>
      <c r="CA771" s="385"/>
    </row>
    <row r="772" spans="1:79" s="6" customFormat="1" ht="15" customHeight="1">
      <c r="A772" s="41" t="s">
        <v>183</v>
      </c>
      <c r="B772" s="402" t="s">
        <v>2280</v>
      </c>
      <c r="C772" s="113" t="s">
        <v>3030</v>
      </c>
      <c r="D772" s="393" t="s">
        <v>195</v>
      </c>
      <c r="E772" s="394" t="s">
        <v>1831</v>
      </c>
      <c r="F772" s="86">
        <v>5302</v>
      </c>
      <c r="G772" s="405" t="s">
        <v>2282</v>
      </c>
      <c r="H772" s="74">
        <v>9199</v>
      </c>
      <c r="I772" s="50" t="s">
        <v>2</v>
      </c>
      <c r="J772" s="339" t="s">
        <v>81</v>
      </c>
      <c r="K772" s="51">
        <v>41073</v>
      </c>
      <c r="L772" s="115">
        <v>41065</v>
      </c>
      <c r="M772" s="50">
        <f t="shared" ref="M772:M809" si="34">K772-L772</f>
        <v>8</v>
      </c>
      <c r="N772" s="50" t="s">
        <v>2</v>
      </c>
      <c r="O772" s="131">
        <f>2/2</f>
        <v>1</v>
      </c>
      <c r="P772" s="50">
        <v>7.8</v>
      </c>
      <c r="Q772" s="74">
        <v>6.8</v>
      </c>
      <c r="R772" s="50">
        <f>10/2</f>
        <v>5</v>
      </c>
      <c r="S772" s="74">
        <v>3</v>
      </c>
      <c r="T772" s="50">
        <f>0.05/2</f>
        <v>2.5000000000000001E-2</v>
      </c>
      <c r="U772" s="131">
        <v>0.12</v>
      </c>
      <c r="V772" s="50">
        <v>1.43</v>
      </c>
      <c r="W772" s="74">
        <v>2.3E-2</v>
      </c>
      <c r="X772" s="50">
        <f>0.03/2</f>
        <v>1.4999999999999999E-2</v>
      </c>
      <c r="Y772" s="74">
        <f>0.03/2</f>
        <v>1.4999999999999999E-2</v>
      </c>
      <c r="Z772" s="271"/>
      <c r="AA772" s="271"/>
      <c r="AB772" s="114"/>
      <c r="AC772" s="50"/>
      <c r="AD772" s="271"/>
      <c r="AE772" s="50"/>
      <c r="AF772" s="49"/>
      <c r="AG772" s="114"/>
      <c r="AH772" s="114"/>
      <c r="AI772" s="114"/>
      <c r="AJ772" s="114"/>
      <c r="AK772" s="114"/>
      <c r="AL772" s="114"/>
      <c r="AM772" s="114"/>
      <c r="AN772" s="114"/>
      <c r="AO772" s="114"/>
      <c r="AP772" s="114"/>
      <c r="AQ772" s="114"/>
      <c r="AR772" s="114"/>
      <c r="AS772" s="50"/>
      <c r="AT772" s="74"/>
      <c r="AU772" s="114"/>
      <c r="AV772" s="114"/>
      <c r="AW772" s="394"/>
      <c r="AX772" s="385"/>
      <c r="AY772" s="385"/>
      <c r="AZ772" s="385"/>
      <c r="BA772" s="385"/>
      <c r="BB772" s="385"/>
      <c r="BC772" s="385"/>
      <c r="BD772" s="385"/>
      <c r="BE772" s="385"/>
      <c r="BF772" s="385"/>
      <c r="BG772" s="385"/>
      <c r="BH772" s="385"/>
      <c r="BI772" s="385"/>
      <c r="BJ772" s="385"/>
      <c r="BK772" s="385"/>
      <c r="BL772" s="385"/>
      <c r="BM772" s="385"/>
      <c r="BN772" s="385"/>
      <c r="BO772" s="385"/>
      <c r="BP772" s="385"/>
      <c r="BQ772" s="385"/>
      <c r="BR772" s="385"/>
      <c r="BS772" s="385"/>
      <c r="BT772" s="385"/>
      <c r="BU772" s="385"/>
      <c r="BV772" s="385"/>
      <c r="BW772" s="385"/>
      <c r="BX772" s="385"/>
      <c r="BY772" s="385"/>
      <c r="BZ772" s="385"/>
      <c r="CA772" s="385"/>
    </row>
    <row r="773" spans="1:79" s="6" customFormat="1" ht="15" customHeight="1">
      <c r="A773" s="41" t="s">
        <v>183</v>
      </c>
      <c r="B773" s="402" t="s">
        <v>2280</v>
      </c>
      <c r="C773" s="113" t="s">
        <v>3030</v>
      </c>
      <c r="D773" s="393" t="s">
        <v>195</v>
      </c>
      <c r="E773" s="394" t="s">
        <v>1831</v>
      </c>
      <c r="F773" s="86">
        <v>5302</v>
      </c>
      <c r="G773" s="405" t="s">
        <v>2282</v>
      </c>
      <c r="H773" s="74">
        <v>9199</v>
      </c>
      <c r="I773" s="50" t="s">
        <v>2</v>
      </c>
      <c r="J773" s="339" t="s">
        <v>115</v>
      </c>
      <c r="K773" s="51">
        <v>41073</v>
      </c>
      <c r="L773" s="115">
        <v>41065</v>
      </c>
      <c r="M773" s="50">
        <f t="shared" si="34"/>
        <v>8</v>
      </c>
      <c r="N773" s="50" t="s">
        <v>2</v>
      </c>
      <c r="O773" s="131">
        <f>2/2</f>
        <v>1</v>
      </c>
      <c r="P773" s="50">
        <v>7.8</v>
      </c>
      <c r="Q773" s="74">
        <v>6.6</v>
      </c>
      <c r="R773" s="50">
        <f>10/2</f>
        <v>5</v>
      </c>
      <c r="S773" s="74">
        <v>2</v>
      </c>
      <c r="T773" s="50">
        <f>0.05/2</f>
        <v>2.5000000000000001E-2</v>
      </c>
      <c r="U773" s="131">
        <v>0.16</v>
      </c>
      <c r="V773" s="50">
        <v>1.48</v>
      </c>
      <c r="W773" s="74">
        <f>0.01/2</f>
        <v>5.0000000000000001E-3</v>
      </c>
      <c r="X773" s="50">
        <f>0.03/2</f>
        <v>1.4999999999999999E-2</v>
      </c>
      <c r="Y773" s="74">
        <f>0.03/2</f>
        <v>1.4999999999999999E-2</v>
      </c>
      <c r="Z773" s="271"/>
      <c r="AA773" s="271"/>
      <c r="AB773" s="114"/>
      <c r="AC773" s="50"/>
      <c r="AD773" s="271"/>
      <c r="AE773" s="50"/>
      <c r="AF773" s="49"/>
      <c r="AG773" s="114"/>
      <c r="AH773" s="114"/>
      <c r="AI773" s="114"/>
      <c r="AJ773" s="114"/>
      <c r="AK773" s="114"/>
      <c r="AL773" s="114"/>
      <c r="AM773" s="114"/>
      <c r="AN773" s="114"/>
      <c r="AO773" s="114"/>
      <c r="AP773" s="114"/>
      <c r="AQ773" s="114"/>
      <c r="AR773" s="114"/>
      <c r="AS773" s="50"/>
      <c r="AT773" s="74"/>
      <c r="AU773" s="114"/>
      <c r="AV773" s="114"/>
      <c r="AW773" s="394"/>
      <c r="AX773" s="385"/>
      <c r="AY773" s="385"/>
      <c r="AZ773" s="385"/>
      <c r="BA773" s="385"/>
      <c r="BB773" s="385"/>
      <c r="BC773" s="385"/>
      <c r="BD773" s="385"/>
      <c r="BE773" s="385"/>
      <c r="BF773" s="385"/>
      <c r="BG773" s="385"/>
      <c r="BH773" s="385"/>
      <c r="BI773" s="385"/>
      <c r="BJ773" s="385"/>
      <c r="BK773" s="385"/>
      <c r="BL773" s="385"/>
      <c r="BM773" s="385"/>
      <c r="BN773" s="385"/>
      <c r="BO773" s="385"/>
      <c r="BP773" s="385"/>
      <c r="BQ773" s="385"/>
      <c r="BR773" s="385"/>
      <c r="BS773" s="385"/>
      <c r="BT773" s="385"/>
      <c r="BU773" s="385"/>
      <c r="BV773" s="385"/>
      <c r="BW773" s="385"/>
      <c r="BX773" s="385"/>
      <c r="BY773" s="385"/>
      <c r="BZ773" s="385"/>
      <c r="CA773" s="385"/>
    </row>
    <row r="774" spans="1:79" s="6" customFormat="1" ht="15" customHeight="1">
      <c r="A774" s="41" t="s">
        <v>183</v>
      </c>
      <c r="B774" s="402" t="s">
        <v>2942</v>
      </c>
      <c r="C774" s="113" t="s">
        <v>3031</v>
      </c>
      <c r="D774" s="393" t="s">
        <v>213</v>
      </c>
      <c r="E774" s="394" t="s">
        <v>364</v>
      </c>
      <c r="F774" s="86"/>
      <c r="G774" s="405" t="s">
        <v>2944</v>
      </c>
      <c r="H774" s="74">
        <v>4952</v>
      </c>
      <c r="I774" s="50" t="s">
        <v>2</v>
      </c>
      <c r="J774" s="48" t="s">
        <v>3032</v>
      </c>
      <c r="K774" s="51">
        <v>40835</v>
      </c>
      <c r="L774" s="115">
        <v>40830</v>
      </c>
      <c r="M774" s="50">
        <f t="shared" si="34"/>
        <v>5</v>
      </c>
      <c r="N774" s="50" t="s">
        <v>2</v>
      </c>
      <c r="O774" s="131">
        <v>2</v>
      </c>
      <c r="P774" s="50">
        <v>6.39</v>
      </c>
      <c r="Q774" s="74">
        <v>6.39</v>
      </c>
      <c r="R774" s="50">
        <v>44.9</v>
      </c>
      <c r="S774" s="74">
        <v>24</v>
      </c>
      <c r="T774" s="50">
        <v>0.23</v>
      </c>
      <c r="U774" s="131">
        <v>2.19</v>
      </c>
      <c r="V774" s="50">
        <v>1.6</v>
      </c>
      <c r="W774" s="74">
        <v>0.01</v>
      </c>
      <c r="X774" s="50">
        <v>0.05</v>
      </c>
      <c r="Y774" s="74">
        <f>0.02/2</f>
        <v>0.01</v>
      </c>
      <c r="Z774" s="271">
        <v>1</v>
      </c>
      <c r="AA774" s="271">
        <v>1</v>
      </c>
      <c r="AB774" s="114">
        <v>29.9</v>
      </c>
      <c r="AC774" s="50">
        <v>288</v>
      </c>
      <c r="AD774" s="271">
        <v>1</v>
      </c>
      <c r="AE774" s="50"/>
      <c r="AF774" s="49"/>
      <c r="AG774" s="114"/>
      <c r="AH774" s="114"/>
      <c r="AI774" s="114"/>
      <c r="AJ774" s="114"/>
      <c r="AK774" s="114"/>
      <c r="AL774" s="114"/>
      <c r="AM774" s="114"/>
      <c r="AN774" s="114"/>
      <c r="AO774" s="114"/>
      <c r="AP774" s="114"/>
      <c r="AQ774" s="114"/>
      <c r="AR774" s="114"/>
      <c r="AS774" s="50"/>
      <c r="AT774" s="74"/>
      <c r="AU774" s="114"/>
      <c r="AV774" s="114"/>
      <c r="AW774" s="394"/>
      <c r="AX774" s="385"/>
      <c r="AY774" s="385"/>
      <c r="AZ774" s="385"/>
      <c r="BA774" s="385"/>
      <c r="BB774" s="385"/>
      <c r="BC774" s="385"/>
      <c r="BD774" s="385"/>
      <c r="BE774" s="385"/>
      <c r="BF774" s="385"/>
      <c r="BG774" s="385"/>
      <c r="BH774" s="385"/>
      <c r="BI774" s="385"/>
      <c r="BJ774" s="385"/>
      <c r="BK774" s="385"/>
      <c r="BL774" s="385"/>
      <c r="BM774" s="385"/>
      <c r="BN774" s="385"/>
      <c r="BO774" s="385"/>
      <c r="BP774" s="385"/>
      <c r="BQ774" s="385"/>
      <c r="BR774" s="385"/>
      <c r="BS774" s="385"/>
      <c r="BT774" s="385"/>
      <c r="BU774" s="385"/>
      <c r="BV774" s="385"/>
      <c r="BW774" s="385"/>
      <c r="BX774" s="385"/>
      <c r="BY774" s="385"/>
      <c r="BZ774" s="385"/>
      <c r="CA774" s="385"/>
    </row>
    <row r="775" spans="1:79" s="6" customFormat="1" ht="15" customHeight="1">
      <c r="A775" s="41" t="s">
        <v>183</v>
      </c>
      <c r="B775" s="402" t="s">
        <v>2942</v>
      </c>
      <c r="C775" s="113" t="s">
        <v>3031</v>
      </c>
      <c r="D775" s="393" t="s">
        <v>213</v>
      </c>
      <c r="E775" s="394" t="s">
        <v>364</v>
      </c>
      <c r="F775" s="86"/>
      <c r="G775" s="405" t="s">
        <v>2944</v>
      </c>
      <c r="H775" s="74">
        <v>4952</v>
      </c>
      <c r="I775" s="50" t="s">
        <v>2</v>
      </c>
      <c r="J775" s="48" t="s">
        <v>3033</v>
      </c>
      <c r="K775" s="51">
        <v>40835</v>
      </c>
      <c r="L775" s="115">
        <v>40830</v>
      </c>
      <c r="M775" s="50">
        <f t="shared" si="34"/>
        <v>5</v>
      </c>
      <c r="N775" s="50" t="s">
        <v>2</v>
      </c>
      <c r="O775" s="131">
        <v>1.2</v>
      </c>
      <c r="P775" s="50">
        <v>6.8</v>
      </c>
      <c r="Q775" s="74">
        <v>7.26</v>
      </c>
      <c r="R775" s="50">
        <v>51.5</v>
      </c>
      <c r="S775" s="74">
        <v>12</v>
      </c>
      <c r="T775" s="50">
        <v>0.21</v>
      </c>
      <c r="U775" s="131">
        <v>3.42</v>
      </c>
      <c r="V775" s="50">
        <v>1.6</v>
      </c>
      <c r="W775" s="74">
        <v>0.01</v>
      </c>
      <c r="X775" s="50">
        <v>0.05</v>
      </c>
      <c r="Y775" s="74">
        <f>0.02/2</f>
        <v>0.01</v>
      </c>
      <c r="Z775" s="271">
        <v>1</v>
      </c>
      <c r="AA775" s="271">
        <v>1</v>
      </c>
      <c r="AB775" s="114">
        <v>29.9</v>
      </c>
      <c r="AC775" s="50">
        <v>288</v>
      </c>
      <c r="AD775" s="271">
        <v>1</v>
      </c>
      <c r="AE775" s="50"/>
      <c r="AF775" s="49"/>
      <c r="AG775" s="114"/>
      <c r="AH775" s="114"/>
      <c r="AI775" s="114"/>
      <c r="AJ775" s="114"/>
      <c r="AK775" s="114"/>
      <c r="AL775" s="114"/>
      <c r="AM775" s="114"/>
      <c r="AN775" s="114"/>
      <c r="AO775" s="114"/>
      <c r="AP775" s="114"/>
      <c r="AQ775" s="114"/>
      <c r="AR775" s="114"/>
      <c r="AS775" s="50"/>
      <c r="AT775" s="74"/>
      <c r="AU775" s="114"/>
      <c r="AV775" s="114"/>
      <c r="AW775" s="394"/>
      <c r="AX775" s="385"/>
      <c r="AY775" s="385"/>
      <c r="AZ775" s="385"/>
      <c r="BA775" s="385"/>
      <c r="BB775" s="385"/>
      <c r="BC775" s="385"/>
      <c r="BD775" s="385"/>
      <c r="BE775" s="385"/>
      <c r="BF775" s="385"/>
      <c r="BG775" s="385"/>
      <c r="BH775" s="385"/>
      <c r="BI775" s="385"/>
      <c r="BJ775" s="385"/>
      <c r="BK775" s="385"/>
      <c r="BL775" s="385"/>
      <c r="BM775" s="385"/>
      <c r="BN775" s="385"/>
      <c r="BO775" s="385"/>
      <c r="BP775" s="385"/>
      <c r="BQ775" s="385"/>
      <c r="BR775" s="385"/>
      <c r="BS775" s="385"/>
      <c r="BT775" s="385"/>
      <c r="BU775" s="385"/>
      <c r="BV775" s="385"/>
      <c r="BW775" s="385"/>
      <c r="BX775" s="385"/>
      <c r="BY775" s="385"/>
      <c r="BZ775" s="385"/>
      <c r="CA775" s="385"/>
    </row>
    <row r="776" spans="1:79" s="6" customFormat="1" ht="15" customHeight="1">
      <c r="A776" s="41" t="s">
        <v>183</v>
      </c>
      <c r="B776" s="402" t="s">
        <v>3034</v>
      </c>
      <c r="C776" s="113" t="s">
        <v>3035</v>
      </c>
      <c r="D776" s="393" t="s">
        <v>567</v>
      </c>
      <c r="E776" s="394" t="s">
        <v>1714</v>
      </c>
      <c r="F776" s="86" t="s">
        <v>2667</v>
      </c>
      <c r="G776" s="405" t="s">
        <v>3036</v>
      </c>
      <c r="H776" s="74">
        <v>4493</v>
      </c>
      <c r="I776" s="50" t="s">
        <v>2</v>
      </c>
      <c r="J776" s="48" t="s">
        <v>1144</v>
      </c>
      <c r="K776" s="51">
        <v>41021</v>
      </c>
      <c r="L776" s="115">
        <v>41018</v>
      </c>
      <c r="M776" s="50">
        <f t="shared" si="34"/>
        <v>3</v>
      </c>
      <c r="N776" s="50" t="s">
        <v>2</v>
      </c>
      <c r="O776" s="131">
        <f>5/2</f>
        <v>2.5</v>
      </c>
      <c r="P776" s="50">
        <v>6.21</v>
      </c>
      <c r="Q776" s="74">
        <v>6.41</v>
      </c>
      <c r="R776" s="50">
        <v>110</v>
      </c>
      <c r="S776" s="74">
        <v>7</v>
      </c>
      <c r="T776" s="50">
        <v>0.1</v>
      </c>
      <c r="U776" s="131">
        <f>1/2</f>
        <v>0.5</v>
      </c>
      <c r="V776" s="50">
        <f>0.1/2</f>
        <v>0.05</v>
      </c>
      <c r="W776" s="74">
        <f>0.04/2</f>
        <v>0.02</v>
      </c>
      <c r="X776" s="50">
        <f>0.02/2</f>
        <v>0.01</v>
      </c>
      <c r="Y776" s="74">
        <f>0.013/2</f>
        <v>6.4999999999999997E-3</v>
      </c>
      <c r="Z776" s="271">
        <v>1</v>
      </c>
      <c r="AA776" s="271">
        <v>1</v>
      </c>
      <c r="AB776" s="114">
        <v>3.9</v>
      </c>
      <c r="AC776" s="50">
        <v>47</v>
      </c>
      <c r="AD776" s="271">
        <v>1</v>
      </c>
      <c r="AE776" s="50"/>
      <c r="AF776" s="49"/>
      <c r="AG776" s="114"/>
      <c r="AH776" s="114"/>
      <c r="AI776" s="114"/>
      <c r="AJ776" s="114"/>
      <c r="AK776" s="114"/>
      <c r="AL776" s="114"/>
      <c r="AM776" s="114"/>
      <c r="AN776" s="114"/>
      <c r="AO776" s="114"/>
      <c r="AP776" s="114"/>
      <c r="AQ776" s="114"/>
      <c r="AR776" s="114"/>
      <c r="AS776" s="50"/>
      <c r="AT776" s="74"/>
      <c r="AU776" s="114"/>
      <c r="AV776" s="114"/>
      <c r="AW776" s="394"/>
      <c r="AX776" s="385"/>
      <c r="AY776" s="385"/>
      <c r="AZ776" s="385"/>
      <c r="BA776" s="385"/>
      <c r="BB776" s="385"/>
      <c r="BC776" s="385"/>
      <c r="BD776" s="385"/>
      <c r="BE776" s="385"/>
      <c r="BF776" s="385"/>
      <c r="BG776" s="385"/>
      <c r="BH776" s="385"/>
      <c r="BI776" s="385"/>
      <c r="BJ776" s="385"/>
      <c r="BK776" s="385"/>
      <c r="BL776" s="385"/>
      <c r="BM776" s="385"/>
      <c r="BN776" s="385"/>
      <c r="BO776" s="385"/>
      <c r="BP776" s="385"/>
      <c r="BQ776" s="385"/>
      <c r="BR776" s="385"/>
      <c r="BS776" s="385"/>
      <c r="BT776" s="385"/>
      <c r="BU776" s="385"/>
      <c r="BV776" s="385"/>
      <c r="BW776" s="385"/>
      <c r="BX776" s="385"/>
      <c r="BY776" s="385"/>
      <c r="BZ776" s="385"/>
      <c r="CA776" s="385"/>
    </row>
    <row r="777" spans="1:79" s="6" customFormat="1" ht="15" customHeight="1">
      <c r="A777" s="41" t="s">
        <v>183</v>
      </c>
      <c r="B777" s="402" t="s">
        <v>1693</v>
      </c>
      <c r="C777" s="113" t="s">
        <v>1693</v>
      </c>
      <c r="D777" s="393" t="s">
        <v>276</v>
      </c>
      <c r="E777" s="394" t="s">
        <v>214</v>
      </c>
      <c r="F777" s="86"/>
      <c r="G777" s="405" t="s">
        <v>1694</v>
      </c>
      <c r="H777" s="74">
        <v>4952</v>
      </c>
      <c r="I777" s="50"/>
      <c r="J777" s="48" t="s">
        <v>1508</v>
      </c>
      <c r="K777" s="51">
        <v>41072</v>
      </c>
      <c r="L777" s="115">
        <v>41063</v>
      </c>
      <c r="M777" s="50">
        <f t="shared" si="34"/>
        <v>9</v>
      </c>
      <c r="N777" s="50" t="s">
        <v>2</v>
      </c>
      <c r="O777" s="131">
        <v>3.2</v>
      </c>
      <c r="P777" s="50">
        <v>5.07</v>
      </c>
      <c r="Q777" s="74">
        <v>6.81</v>
      </c>
      <c r="R777" s="50">
        <v>81.900000000000006</v>
      </c>
      <c r="S777" s="74">
        <v>24</v>
      </c>
      <c r="T777" s="50">
        <v>1.08</v>
      </c>
      <c r="U777" s="131">
        <v>4.2</v>
      </c>
      <c r="V777" s="50">
        <v>5.0999999999999996</v>
      </c>
      <c r="W777" s="74">
        <v>0.04</v>
      </c>
      <c r="X777" s="50">
        <v>0.13</v>
      </c>
      <c r="Y777" s="74">
        <f>0.02/2</f>
        <v>0.01</v>
      </c>
      <c r="Z777" s="271">
        <v>1</v>
      </c>
      <c r="AA777" s="271">
        <v>1</v>
      </c>
      <c r="AB777" s="114">
        <v>56.5</v>
      </c>
      <c r="AC777" s="50">
        <v>524</v>
      </c>
      <c r="AD777" s="271">
        <v>0.95</v>
      </c>
      <c r="AE777" s="50"/>
      <c r="AF777" s="49"/>
      <c r="AG777" s="114"/>
      <c r="AH777" s="114"/>
      <c r="AI777" s="114"/>
      <c r="AJ777" s="114"/>
      <c r="AK777" s="114"/>
      <c r="AL777" s="114"/>
      <c r="AM777" s="114"/>
      <c r="AN777" s="114"/>
      <c r="AO777" s="114"/>
      <c r="AP777" s="114"/>
      <c r="AQ777" s="114"/>
      <c r="AR777" s="114"/>
      <c r="AS777" s="50"/>
      <c r="AT777" s="74"/>
      <c r="AU777" s="114"/>
      <c r="AV777" s="114"/>
      <c r="AW777" s="394"/>
      <c r="AX777" s="385"/>
      <c r="AY777" s="385"/>
      <c r="AZ777" s="385"/>
      <c r="BA777" s="385"/>
      <c r="BB777" s="385"/>
      <c r="BC777" s="385"/>
      <c r="BD777" s="385"/>
      <c r="BE777" s="385"/>
      <c r="BF777" s="385"/>
      <c r="BG777" s="385"/>
      <c r="BH777" s="385"/>
      <c r="BI777" s="385"/>
      <c r="BJ777" s="385"/>
      <c r="BK777" s="385"/>
      <c r="BL777" s="385"/>
      <c r="BM777" s="385"/>
      <c r="BN777" s="385"/>
      <c r="BO777" s="385"/>
      <c r="BP777" s="385"/>
      <c r="BQ777" s="385"/>
      <c r="BR777" s="385"/>
      <c r="BS777" s="385"/>
      <c r="BT777" s="385"/>
      <c r="BU777" s="385"/>
      <c r="BV777" s="385"/>
      <c r="BW777" s="385"/>
      <c r="BX777" s="385"/>
      <c r="BY777" s="385"/>
      <c r="BZ777" s="385"/>
      <c r="CA777" s="385"/>
    </row>
    <row r="778" spans="1:79" s="6" customFormat="1" ht="15" customHeight="1">
      <c r="A778" s="41" t="s">
        <v>183</v>
      </c>
      <c r="B778" s="402" t="s">
        <v>3044</v>
      </c>
      <c r="C778" s="113" t="s">
        <v>392</v>
      </c>
      <c r="D778" s="393" t="s">
        <v>462</v>
      </c>
      <c r="E778" s="394" t="s">
        <v>530</v>
      </c>
      <c r="F778" s="86" t="s">
        <v>3045</v>
      </c>
      <c r="G778" s="405" t="s">
        <v>3046</v>
      </c>
      <c r="H778" s="74">
        <v>9511</v>
      </c>
      <c r="I778" s="50" t="s">
        <v>1</v>
      </c>
      <c r="J778" s="48" t="s">
        <v>3047</v>
      </c>
      <c r="K778" s="51">
        <v>41073</v>
      </c>
      <c r="L778" s="115">
        <v>41066</v>
      </c>
      <c r="M778" s="50">
        <f t="shared" si="34"/>
        <v>7</v>
      </c>
      <c r="N778" s="50" t="s">
        <v>2</v>
      </c>
      <c r="O778" s="131">
        <f>5/2</f>
        <v>2.5</v>
      </c>
      <c r="P778" s="50">
        <v>8</v>
      </c>
      <c r="Q778" s="74">
        <v>6.7</v>
      </c>
      <c r="R778" s="50">
        <v>260</v>
      </c>
      <c r="S778" s="74">
        <v>68</v>
      </c>
      <c r="T778" s="50">
        <v>2.6</v>
      </c>
      <c r="U778" s="131">
        <v>3.7</v>
      </c>
      <c r="V778" s="50">
        <f>0.1/2</f>
        <v>0.05</v>
      </c>
      <c r="W778" s="74">
        <f>0.04/2</f>
        <v>0.02</v>
      </c>
      <c r="X778" s="50">
        <v>7.0999999999999994E-2</v>
      </c>
      <c r="Y778" s="74">
        <f>0.013/2</f>
        <v>6.4999999999999997E-3</v>
      </c>
      <c r="Z778" s="271">
        <v>1</v>
      </c>
      <c r="AA778" s="271">
        <v>1</v>
      </c>
      <c r="AB778" s="114">
        <v>55</v>
      </c>
      <c r="AC778" s="50">
        <v>324</v>
      </c>
      <c r="AD778" s="271">
        <v>1</v>
      </c>
      <c r="AE778" s="50"/>
      <c r="AF778" s="49"/>
      <c r="AG778" s="114"/>
      <c r="AH778" s="114"/>
      <c r="AI778" s="114"/>
      <c r="AJ778" s="114"/>
      <c r="AK778" s="114"/>
      <c r="AL778" s="114"/>
      <c r="AM778" s="114"/>
      <c r="AN778" s="114"/>
      <c r="AO778" s="114"/>
      <c r="AP778" s="114"/>
      <c r="AQ778" s="114"/>
      <c r="AR778" s="114"/>
      <c r="AS778" s="50"/>
      <c r="AT778" s="74"/>
      <c r="AU778" s="114"/>
      <c r="AV778" s="114"/>
      <c r="AW778" s="394"/>
      <c r="AX778" s="385"/>
      <c r="AY778" s="385"/>
      <c r="AZ778" s="385"/>
      <c r="BA778" s="385"/>
      <c r="BB778" s="385"/>
      <c r="BC778" s="385"/>
      <c r="BD778" s="385"/>
      <c r="BE778" s="385"/>
      <c r="BF778" s="385"/>
      <c r="BG778" s="385"/>
      <c r="BH778" s="385"/>
      <c r="BI778" s="385"/>
      <c r="BJ778" s="385"/>
      <c r="BK778" s="385"/>
      <c r="BL778" s="385"/>
      <c r="BM778" s="385"/>
      <c r="BN778" s="385"/>
      <c r="BO778" s="385"/>
      <c r="BP778" s="385"/>
      <c r="BQ778" s="385"/>
      <c r="BR778" s="385"/>
      <c r="BS778" s="385"/>
      <c r="BT778" s="385"/>
      <c r="BU778" s="385"/>
      <c r="BV778" s="385"/>
      <c r="BW778" s="385"/>
      <c r="BX778" s="385"/>
      <c r="BY778" s="385"/>
      <c r="BZ778" s="385"/>
      <c r="CA778" s="385"/>
    </row>
    <row r="779" spans="1:79" s="6" customFormat="1" ht="15" customHeight="1">
      <c r="A779" s="41" t="s">
        <v>183</v>
      </c>
      <c r="B779" s="402" t="s">
        <v>3044</v>
      </c>
      <c r="C779" s="113" t="s">
        <v>3048</v>
      </c>
      <c r="D779" s="393" t="s">
        <v>462</v>
      </c>
      <c r="E779" s="394" t="s">
        <v>3049</v>
      </c>
      <c r="F779" s="86" t="s">
        <v>3050</v>
      </c>
      <c r="G779" s="405" t="s">
        <v>3051</v>
      </c>
      <c r="H779" s="74">
        <v>9199</v>
      </c>
      <c r="I779" s="50" t="s">
        <v>2</v>
      </c>
      <c r="J779" s="48" t="s">
        <v>3052</v>
      </c>
      <c r="K779" s="51">
        <v>41073</v>
      </c>
      <c r="L779" s="115">
        <v>41066</v>
      </c>
      <c r="M779" s="50">
        <f t="shared" si="34"/>
        <v>7</v>
      </c>
      <c r="N779" s="50" t="s">
        <v>2</v>
      </c>
      <c r="O779" s="131">
        <f>5/2</f>
        <v>2.5</v>
      </c>
      <c r="P779" s="50">
        <v>8</v>
      </c>
      <c r="Q779" s="74">
        <v>6.9</v>
      </c>
      <c r="R779" s="50">
        <v>51</v>
      </c>
      <c r="S779" s="74">
        <v>13</v>
      </c>
      <c r="T779" s="50">
        <f>0.1/2</f>
        <v>0.05</v>
      </c>
      <c r="U779" s="131">
        <f>0.1/2</f>
        <v>0.05</v>
      </c>
      <c r="V779" s="50">
        <v>0.27</v>
      </c>
      <c r="W779" s="74">
        <f>0.04/2</f>
        <v>0.02</v>
      </c>
      <c r="X779" s="50">
        <v>3.5000000000000003E-2</v>
      </c>
      <c r="Y779" s="74">
        <f>0.013/2</f>
        <v>6.4999999999999997E-3</v>
      </c>
      <c r="Z779" s="271">
        <v>1</v>
      </c>
      <c r="AA779" s="271">
        <v>1</v>
      </c>
      <c r="AB779" s="114">
        <v>23</v>
      </c>
      <c r="AC779" s="50">
        <v>280</v>
      </c>
      <c r="AD779" s="271">
        <v>1</v>
      </c>
      <c r="AE779" s="50"/>
      <c r="AF779" s="49"/>
      <c r="AG779" s="114"/>
      <c r="AH779" s="114"/>
      <c r="AI779" s="114"/>
      <c r="AJ779" s="114"/>
      <c r="AK779" s="114"/>
      <c r="AL779" s="114"/>
      <c r="AM779" s="114"/>
      <c r="AN779" s="114"/>
      <c r="AO779" s="114"/>
      <c r="AP779" s="114"/>
      <c r="AQ779" s="114"/>
      <c r="AR779" s="114"/>
      <c r="AS779" s="50"/>
      <c r="AT779" s="74"/>
      <c r="AU779" s="114"/>
      <c r="AV779" s="114"/>
      <c r="AW779" s="394"/>
      <c r="AX779" s="385"/>
      <c r="AY779" s="385"/>
      <c r="AZ779" s="385"/>
      <c r="BA779" s="385"/>
      <c r="BB779" s="385"/>
      <c r="BC779" s="385"/>
      <c r="BD779" s="385"/>
      <c r="BE779" s="385"/>
      <c r="BF779" s="385"/>
      <c r="BG779" s="385"/>
      <c r="BH779" s="385"/>
      <c r="BI779" s="385"/>
      <c r="BJ779" s="385"/>
      <c r="BK779" s="385"/>
      <c r="BL779" s="385"/>
      <c r="BM779" s="385"/>
      <c r="BN779" s="385"/>
      <c r="BO779" s="385"/>
      <c r="BP779" s="385"/>
      <c r="BQ779" s="385"/>
      <c r="BR779" s="385"/>
      <c r="BS779" s="385"/>
      <c r="BT779" s="385"/>
      <c r="BU779" s="385"/>
      <c r="BV779" s="385"/>
      <c r="BW779" s="385"/>
      <c r="BX779" s="385"/>
      <c r="BY779" s="385"/>
      <c r="BZ779" s="385"/>
      <c r="CA779" s="385"/>
    </row>
    <row r="780" spans="1:79" s="6" customFormat="1" ht="15" customHeight="1">
      <c r="A780" s="41" t="s">
        <v>183</v>
      </c>
      <c r="B780" s="402" t="s">
        <v>3053</v>
      </c>
      <c r="C780" s="113" t="s">
        <v>3054</v>
      </c>
      <c r="D780" s="393" t="s">
        <v>567</v>
      </c>
      <c r="E780" s="394" t="s">
        <v>1538</v>
      </c>
      <c r="F780" s="86"/>
      <c r="G780" s="405" t="s">
        <v>2414</v>
      </c>
      <c r="H780" s="74">
        <v>4952</v>
      </c>
      <c r="I780" s="50" t="s">
        <v>2</v>
      </c>
      <c r="J780" s="48" t="s">
        <v>1144</v>
      </c>
      <c r="K780" s="51">
        <v>41021</v>
      </c>
      <c r="L780" s="115">
        <v>41018</v>
      </c>
      <c r="M780" s="50">
        <f t="shared" si="34"/>
        <v>3</v>
      </c>
      <c r="N780" s="50" t="s">
        <v>2</v>
      </c>
      <c r="O780" s="131">
        <f>5/2</f>
        <v>2.5</v>
      </c>
      <c r="P780" s="50">
        <v>6.21</v>
      </c>
      <c r="Q780" s="74">
        <v>9.59</v>
      </c>
      <c r="R780" s="50">
        <v>22</v>
      </c>
      <c r="S780" s="74">
        <v>10</v>
      </c>
      <c r="T780" s="50">
        <f>0.1/2</f>
        <v>0.05</v>
      </c>
      <c r="U780" s="131">
        <f>1/2</f>
        <v>0.5</v>
      </c>
      <c r="V780" s="50">
        <f>0.1/2</f>
        <v>0.05</v>
      </c>
      <c r="W780" s="74">
        <f>0.04/2</f>
        <v>0.02</v>
      </c>
      <c r="X780" s="50">
        <f>0.02/2</f>
        <v>0.01</v>
      </c>
      <c r="Y780" s="74">
        <f>0.013/2</f>
        <v>6.4999999999999997E-3</v>
      </c>
      <c r="Z780" s="271">
        <v>1</v>
      </c>
      <c r="AA780" s="271">
        <v>1</v>
      </c>
      <c r="AB780" s="114">
        <v>23</v>
      </c>
      <c r="AC780" s="50">
        <v>71</v>
      </c>
      <c r="AD780" s="271">
        <v>1</v>
      </c>
      <c r="AE780" s="50"/>
      <c r="AF780" s="49"/>
      <c r="AG780" s="114"/>
      <c r="AH780" s="114"/>
      <c r="AI780" s="114"/>
      <c r="AJ780" s="114"/>
      <c r="AK780" s="114"/>
      <c r="AL780" s="114"/>
      <c r="AM780" s="114"/>
      <c r="AN780" s="114"/>
      <c r="AO780" s="114"/>
      <c r="AP780" s="114"/>
      <c r="AQ780" s="114"/>
      <c r="AR780" s="114"/>
      <c r="AS780" s="50"/>
      <c r="AT780" s="74"/>
      <c r="AU780" s="114"/>
      <c r="AV780" s="114"/>
      <c r="AW780" s="394"/>
      <c r="AX780" s="385"/>
      <c r="AY780" s="385"/>
      <c r="AZ780" s="385"/>
      <c r="BA780" s="385"/>
      <c r="BB780" s="385"/>
      <c r="BC780" s="385"/>
      <c r="BD780" s="385"/>
      <c r="BE780" s="385"/>
      <c r="BF780" s="385"/>
      <c r="BG780" s="385"/>
      <c r="BH780" s="385"/>
      <c r="BI780" s="385"/>
      <c r="BJ780" s="385"/>
      <c r="BK780" s="385"/>
      <c r="BL780" s="385"/>
      <c r="BM780" s="385"/>
      <c r="BN780" s="385"/>
      <c r="BO780" s="385"/>
      <c r="BP780" s="385"/>
      <c r="BQ780" s="385"/>
      <c r="BR780" s="385"/>
      <c r="BS780" s="385"/>
      <c r="BT780" s="385"/>
      <c r="BU780" s="385"/>
      <c r="BV780" s="385"/>
      <c r="BW780" s="385"/>
      <c r="BX780" s="385"/>
      <c r="BY780" s="385"/>
      <c r="BZ780" s="385"/>
      <c r="CA780" s="385"/>
    </row>
    <row r="781" spans="1:79" s="6" customFormat="1" ht="15" customHeight="1">
      <c r="A781" s="41" t="s">
        <v>183</v>
      </c>
      <c r="B781" s="402" t="s">
        <v>3053</v>
      </c>
      <c r="C781" s="113" t="s">
        <v>3054</v>
      </c>
      <c r="D781" s="393" t="s">
        <v>567</v>
      </c>
      <c r="E781" s="394" t="s">
        <v>1538</v>
      </c>
      <c r="F781" s="86"/>
      <c r="G781" s="405" t="s">
        <v>2414</v>
      </c>
      <c r="H781" s="74">
        <v>4952</v>
      </c>
      <c r="I781" s="50" t="s">
        <v>2</v>
      </c>
      <c r="J781" s="48" t="s">
        <v>1716</v>
      </c>
      <c r="K781" s="51">
        <v>41021</v>
      </c>
      <c r="L781" s="115">
        <v>41018</v>
      </c>
      <c r="M781" s="50">
        <f t="shared" si="34"/>
        <v>3</v>
      </c>
      <c r="N781" s="50" t="s">
        <v>2</v>
      </c>
      <c r="O781" s="131">
        <f>5/2</f>
        <v>2.5</v>
      </c>
      <c r="P781" s="50">
        <v>6.21</v>
      </c>
      <c r="Q781" s="74">
        <v>7.51</v>
      </c>
      <c r="R781" s="50">
        <v>690</v>
      </c>
      <c r="S781" s="74">
        <v>150</v>
      </c>
      <c r="T781" s="50">
        <v>0.56999999999999995</v>
      </c>
      <c r="U781" s="131">
        <f>1/2</f>
        <v>0.5</v>
      </c>
      <c r="V781" s="50">
        <f>0.1/2</f>
        <v>0.05</v>
      </c>
      <c r="W781" s="74">
        <f>0.04/2</f>
        <v>0.02</v>
      </c>
      <c r="X781" s="50">
        <v>0.04</v>
      </c>
      <c r="Y781" s="74">
        <f>0.013/2</f>
        <v>6.4999999999999997E-3</v>
      </c>
      <c r="Z781" s="271">
        <v>0.22500000000000001</v>
      </c>
      <c r="AA781" s="271">
        <v>0.16300000000000001</v>
      </c>
      <c r="AB781" s="114">
        <v>3600</v>
      </c>
      <c r="AC781" s="50">
        <v>32100</v>
      </c>
      <c r="AD781" s="271">
        <v>0</v>
      </c>
      <c r="AE781" s="50"/>
      <c r="AF781" s="49"/>
      <c r="AG781" s="114"/>
      <c r="AH781" s="114"/>
      <c r="AI781" s="114"/>
      <c r="AJ781" s="114"/>
      <c r="AK781" s="114"/>
      <c r="AL781" s="114"/>
      <c r="AM781" s="114"/>
      <c r="AN781" s="114"/>
      <c r="AO781" s="114"/>
      <c r="AP781" s="114"/>
      <c r="AQ781" s="114"/>
      <c r="AR781" s="114"/>
      <c r="AS781" s="50"/>
      <c r="AT781" s="74"/>
      <c r="AU781" s="114"/>
      <c r="AV781" s="114"/>
      <c r="AW781" s="394"/>
      <c r="AX781" s="385"/>
      <c r="AY781" s="385"/>
      <c r="AZ781" s="385"/>
      <c r="BA781" s="385"/>
      <c r="BB781" s="385"/>
      <c r="BC781" s="385"/>
      <c r="BD781" s="385"/>
      <c r="BE781" s="385"/>
      <c r="BF781" s="385"/>
      <c r="BG781" s="385"/>
      <c r="BH781" s="385"/>
      <c r="BI781" s="385"/>
      <c r="BJ781" s="385"/>
      <c r="BK781" s="385"/>
      <c r="BL781" s="385"/>
      <c r="BM781" s="385"/>
      <c r="BN781" s="385"/>
      <c r="BO781" s="385"/>
      <c r="BP781" s="385"/>
      <c r="BQ781" s="385"/>
      <c r="BR781" s="385"/>
      <c r="BS781" s="385"/>
      <c r="BT781" s="385"/>
      <c r="BU781" s="385"/>
      <c r="BV781" s="385"/>
      <c r="BW781" s="385"/>
      <c r="BX781" s="385"/>
      <c r="BY781" s="385"/>
      <c r="BZ781" s="385"/>
      <c r="CA781" s="385"/>
    </row>
    <row r="782" spans="1:79" s="6" customFormat="1" ht="15" customHeight="1">
      <c r="A782" s="41" t="s">
        <v>183</v>
      </c>
      <c r="B782" s="402" t="s">
        <v>3059</v>
      </c>
      <c r="C782" s="113" t="s">
        <v>3059</v>
      </c>
      <c r="D782" s="393" t="s">
        <v>1490</v>
      </c>
      <c r="E782" s="394" t="s">
        <v>1859</v>
      </c>
      <c r="F782" s="86"/>
      <c r="G782" s="405" t="s">
        <v>3060</v>
      </c>
      <c r="H782" s="74">
        <v>2844</v>
      </c>
      <c r="I782" s="50" t="s">
        <v>2</v>
      </c>
      <c r="J782" s="48" t="s">
        <v>366</v>
      </c>
      <c r="K782" s="51">
        <v>40984</v>
      </c>
      <c r="L782" s="115">
        <v>40976</v>
      </c>
      <c r="M782" s="50">
        <f t="shared" si="34"/>
        <v>8</v>
      </c>
      <c r="N782" s="50" t="s">
        <v>2</v>
      </c>
      <c r="O782" s="131">
        <f>2/2</f>
        <v>1</v>
      </c>
      <c r="P782" s="50">
        <v>5</v>
      </c>
      <c r="Q782" s="74">
        <v>7.7</v>
      </c>
      <c r="R782" s="50">
        <f>1/2</f>
        <v>0.5</v>
      </c>
      <c r="S782" s="74">
        <v>1</v>
      </c>
      <c r="T782" s="50">
        <f>0.01/2</f>
        <v>5.0000000000000001E-3</v>
      </c>
      <c r="U782" s="131">
        <f>0.5/2</f>
        <v>0.25</v>
      </c>
      <c r="V782" s="50">
        <v>1.1000000000000001</v>
      </c>
      <c r="W782" s="74">
        <f>0.02/2</f>
        <v>0.01</v>
      </c>
      <c r="X782" s="50">
        <v>2.9000000000000001E-2</v>
      </c>
      <c r="Y782" s="74">
        <f>0.02/2</f>
        <v>0.01</v>
      </c>
      <c r="Z782" s="271"/>
      <c r="AA782" s="271"/>
      <c r="AB782" s="114"/>
      <c r="AC782" s="50"/>
      <c r="AD782" s="271"/>
      <c r="AE782" s="50"/>
      <c r="AF782" s="49"/>
      <c r="AG782" s="114"/>
      <c r="AH782" s="114"/>
      <c r="AI782" s="114"/>
      <c r="AJ782" s="114"/>
      <c r="AK782" s="114"/>
      <c r="AL782" s="114"/>
      <c r="AM782" s="114"/>
      <c r="AN782" s="114"/>
      <c r="AO782" s="114"/>
      <c r="AP782" s="114"/>
      <c r="AQ782" s="114"/>
      <c r="AR782" s="114"/>
      <c r="AS782" s="50"/>
      <c r="AT782" s="74"/>
      <c r="AU782" s="114"/>
      <c r="AV782" s="114"/>
      <c r="AW782" s="394"/>
      <c r="AX782" s="385"/>
      <c r="AY782" s="385"/>
      <c r="AZ782" s="385"/>
      <c r="BA782" s="385"/>
      <c r="BB782" s="385"/>
      <c r="BC782" s="385"/>
      <c r="BD782" s="385"/>
      <c r="BE782" s="385"/>
      <c r="BF782" s="385"/>
      <c r="BG782" s="385"/>
      <c r="BH782" s="385"/>
      <c r="BI782" s="385"/>
      <c r="BJ782" s="385"/>
      <c r="BK782" s="385"/>
      <c r="BL782" s="385"/>
      <c r="BM782" s="385"/>
      <c r="BN782" s="385"/>
      <c r="BO782" s="385"/>
      <c r="BP782" s="385"/>
      <c r="BQ782" s="385"/>
      <c r="BR782" s="385"/>
      <c r="BS782" s="385"/>
      <c r="BT782" s="385"/>
      <c r="BU782" s="385"/>
      <c r="BV782" s="385"/>
      <c r="BW782" s="385"/>
      <c r="BX782" s="385"/>
      <c r="BY782" s="385"/>
      <c r="BZ782" s="385"/>
      <c r="CA782" s="385"/>
    </row>
    <row r="783" spans="1:79" s="6" customFormat="1" ht="15" customHeight="1">
      <c r="A783" s="41" t="s">
        <v>183</v>
      </c>
      <c r="B783" s="402" t="s">
        <v>3059</v>
      </c>
      <c r="C783" s="113" t="s">
        <v>3059</v>
      </c>
      <c r="D783" s="393" t="s">
        <v>1490</v>
      </c>
      <c r="E783" s="394" t="s">
        <v>1859</v>
      </c>
      <c r="F783" s="86"/>
      <c r="G783" s="405" t="s">
        <v>3061</v>
      </c>
      <c r="H783" s="74">
        <v>2844</v>
      </c>
      <c r="I783" s="50" t="s">
        <v>2</v>
      </c>
      <c r="J783" s="48" t="s">
        <v>593</v>
      </c>
      <c r="K783" s="51">
        <v>40984</v>
      </c>
      <c r="L783" s="115">
        <v>40976</v>
      </c>
      <c r="M783" s="50">
        <f t="shared" si="34"/>
        <v>8</v>
      </c>
      <c r="N783" s="50" t="s">
        <v>2</v>
      </c>
      <c r="O783" s="131">
        <f>2/2</f>
        <v>1</v>
      </c>
      <c r="P783" s="50">
        <v>5</v>
      </c>
      <c r="Q783" s="74">
        <v>6.7</v>
      </c>
      <c r="R783" s="50">
        <v>22</v>
      </c>
      <c r="S783" s="74">
        <v>35</v>
      </c>
      <c r="T783" s="50">
        <v>8.3000000000000004E-2</v>
      </c>
      <c r="U783" s="131">
        <v>2.2999999999999998</v>
      </c>
      <c r="V783" s="50">
        <v>1.3</v>
      </c>
      <c r="W783" s="74">
        <v>0.11</v>
      </c>
      <c r="X783" s="50">
        <v>0.48</v>
      </c>
      <c r="Y783" s="74">
        <f>0.002/2</f>
        <v>1E-3</v>
      </c>
      <c r="Z783" s="271"/>
      <c r="AA783" s="271"/>
      <c r="AB783" s="114"/>
      <c r="AC783" s="50"/>
      <c r="AD783" s="271"/>
      <c r="AE783" s="50"/>
      <c r="AF783" s="49"/>
      <c r="AG783" s="114"/>
      <c r="AH783" s="114"/>
      <c r="AI783" s="114"/>
      <c r="AJ783" s="114"/>
      <c r="AK783" s="114"/>
      <c r="AL783" s="114"/>
      <c r="AM783" s="114"/>
      <c r="AN783" s="114"/>
      <c r="AO783" s="114"/>
      <c r="AP783" s="114"/>
      <c r="AQ783" s="114"/>
      <c r="AR783" s="114"/>
      <c r="AS783" s="50"/>
      <c r="AT783" s="74"/>
      <c r="AU783" s="114"/>
      <c r="AV783" s="114"/>
      <c r="AW783" s="394"/>
      <c r="AX783" s="385"/>
      <c r="AY783" s="385"/>
      <c r="AZ783" s="385"/>
      <c r="BA783" s="385"/>
      <c r="BB783" s="385"/>
      <c r="BC783" s="385"/>
      <c r="BD783" s="385"/>
      <c r="BE783" s="385"/>
      <c r="BF783" s="385"/>
      <c r="BG783" s="385"/>
      <c r="BH783" s="385"/>
      <c r="BI783" s="385"/>
      <c r="BJ783" s="385"/>
      <c r="BK783" s="385"/>
      <c r="BL783" s="385"/>
      <c r="BM783" s="385"/>
      <c r="BN783" s="385"/>
      <c r="BO783" s="385"/>
      <c r="BP783" s="385"/>
      <c r="BQ783" s="385"/>
      <c r="BR783" s="385"/>
      <c r="BS783" s="385"/>
      <c r="BT783" s="385"/>
      <c r="BU783" s="385"/>
      <c r="BV783" s="385"/>
      <c r="BW783" s="385"/>
      <c r="BX783" s="385"/>
      <c r="BY783" s="385"/>
      <c r="BZ783" s="385"/>
      <c r="CA783" s="385"/>
    </row>
    <row r="784" spans="1:79" s="6" customFormat="1" ht="15" customHeight="1">
      <c r="A784" s="41" t="s">
        <v>183</v>
      </c>
      <c r="B784" s="402" t="s">
        <v>3059</v>
      </c>
      <c r="C784" s="113" t="s">
        <v>3059</v>
      </c>
      <c r="D784" s="393" t="s">
        <v>1490</v>
      </c>
      <c r="E784" s="394" t="s">
        <v>1859</v>
      </c>
      <c r="F784" s="86"/>
      <c r="G784" s="405" t="s">
        <v>3060</v>
      </c>
      <c r="H784" s="74">
        <v>2844</v>
      </c>
      <c r="I784" s="50" t="s">
        <v>2</v>
      </c>
      <c r="J784" s="48" t="s">
        <v>366</v>
      </c>
      <c r="K784" s="51">
        <v>41170</v>
      </c>
      <c r="L784" s="115">
        <v>41160</v>
      </c>
      <c r="M784" s="50">
        <f t="shared" si="34"/>
        <v>10</v>
      </c>
      <c r="N784" s="50" t="s">
        <v>2</v>
      </c>
      <c r="O784" s="131">
        <f>1/2</f>
        <v>0.5</v>
      </c>
      <c r="P784" s="50">
        <v>6</v>
      </c>
      <c r="Q784" s="74">
        <v>7.3</v>
      </c>
      <c r="R784" s="50">
        <f>1/2</f>
        <v>0.5</v>
      </c>
      <c r="S784" s="74">
        <f>1/2</f>
        <v>0.5</v>
      </c>
      <c r="T784" s="50">
        <v>2.7E-2</v>
      </c>
      <c r="U784" s="131">
        <f>0.5/2</f>
        <v>0.25</v>
      </c>
      <c r="V784" s="50">
        <v>1.3</v>
      </c>
      <c r="W784" s="74">
        <v>2.3E-3</v>
      </c>
      <c r="X784" s="50">
        <v>0.27</v>
      </c>
      <c r="Y784" s="74">
        <f>0.002/2</f>
        <v>1E-3</v>
      </c>
      <c r="Z784" s="271">
        <v>1</v>
      </c>
      <c r="AA784" s="271">
        <v>0.81200000000000006</v>
      </c>
      <c r="AB784" s="114">
        <v>20</v>
      </c>
      <c r="AC784" s="50">
        <v>50</v>
      </c>
      <c r="AD784" s="271">
        <v>0.35</v>
      </c>
      <c r="AE784" s="50"/>
      <c r="AF784" s="49"/>
      <c r="AG784" s="114"/>
      <c r="AH784" s="114"/>
      <c r="AI784" s="114"/>
      <c r="AJ784" s="114"/>
      <c r="AK784" s="114"/>
      <c r="AL784" s="114"/>
      <c r="AM784" s="114"/>
      <c r="AN784" s="114"/>
      <c r="AO784" s="114"/>
      <c r="AP784" s="114"/>
      <c r="AQ784" s="114"/>
      <c r="AR784" s="114"/>
      <c r="AS784" s="50"/>
      <c r="AT784" s="74"/>
      <c r="AU784" s="114"/>
      <c r="AV784" s="114"/>
      <c r="AW784" s="394"/>
      <c r="AX784" s="385"/>
      <c r="AY784" s="385"/>
      <c r="AZ784" s="385"/>
      <c r="BA784" s="385"/>
      <c r="BB784" s="385"/>
      <c r="BC784" s="385"/>
      <c r="BD784" s="385"/>
      <c r="BE784" s="385"/>
      <c r="BF784" s="385"/>
      <c r="BG784" s="385"/>
      <c r="BH784" s="385"/>
      <c r="BI784" s="385"/>
      <c r="BJ784" s="385"/>
      <c r="BK784" s="385"/>
      <c r="BL784" s="385"/>
      <c r="BM784" s="385"/>
      <c r="BN784" s="385"/>
      <c r="BO784" s="385"/>
      <c r="BP784" s="385"/>
      <c r="BQ784" s="385"/>
      <c r="BR784" s="385"/>
      <c r="BS784" s="385"/>
      <c r="BT784" s="385"/>
      <c r="BU784" s="385"/>
      <c r="BV784" s="385"/>
      <c r="BW784" s="385"/>
      <c r="BX784" s="385"/>
      <c r="BY784" s="385"/>
      <c r="BZ784" s="385"/>
      <c r="CA784" s="385"/>
    </row>
    <row r="785" spans="1:79" s="6" customFormat="1" ht="15" customHeight="1">
      <c r="A785" s="41" t="s">
        <v>183</v>
      </c>
      <c r="B785" s="402" t="s">
        <v>3059</v>
      </c>
      <c r="C785" s="113" t="s">
        <v>3059</v>
      </c>
      <c r="D785" s="393" t="s">
        <v>1490</v>
      </c>
      <c r="E785" s="394" t="s">
        <v>1859</v>
      </c>
      <c r="F785" s="86"/>
      <c r="G785" s="405" t="s">
        <v>3061</v>
      </c>
      <c r="H785" s="74">
        <v>2844</v>
      </c>
      <c r="I785" s="50" t="s">
        <v>2</v>
      </c>
      <c r="J785" s="48" t="s">
        <v>593</v>
      </c>
      <c r="K785" s="51">
        <v>41170</v>
      </c>
      <c r="L785" s="115">
        <v>41160</v>
      </c>
      <c r="M785" s="50">
        <f t="shared" si="34"/>
        <v>10</v>
      </c>
      <c r="N785" s="50" t="s">
        <v>2</v>
      </c>
      <c r="O785" s="131">
        <f>1/2</f>
        <v>0.5</v>
      </c>
      <c r="P785" s="50">
        <v>6</v>
      </c>
      <c r="Q785" s="74">
        <v>7.1</v>
      </c>
      <c r="R785" s="50">
        <v>49</v>
      </c>
      <c r="S785" s="74">
        <v>44</v>
      </c>
      <c r="T785" s="50">
        <v>0.21</v>
      </c>
      <c r="U785" s="131">
        <v>1.4</v>
      </c>
      <c r="V785" s="50">
        <v>0.64</v>
      </c>
      <c r="W785" s="74">
        <v>1.2999999999999999E-2</v>
      </c>
      <c r="X785" s="50">
        <v>0.32</v>
      </c>
      <c r="Y785" s="74">
        <f>0.002/2</f>
        <v>1E-3</v>
      </c>
      <c r="Z785" s="271">
        <v>1</v>
      </c>
      <c r="AA785" s="271">
        <v>0.61599999999999999</v>
      </c>
      <c r="AB785" s="114">
        <v>10</v>
      </c>
      <c r="AC785" s="50">
        <v>46</v>
      </c>
      <c r="AD785" s="271">
        <v>0</v>
      </c>
      <c r="AE785" s="50"/>
      <c r="AF785" s="49"/>
      <c r="AG785" s="114"/>
      <c r="AH785" s="114"/>
      <c r="AI785" s="114"/>
      <c r="AJ785" s="114"/>
      <c r="AK785" s="114"/>
      <c r="AL785" s="114"/>
      <c r="AM785" s="114"/>
      <c r="AN785" s="114"/>
      <c r="AO785" s="114"/>
      <c r="AP785" s="114"/>
      <c r="AQ785" s="114"/>
      <c r="AR785" s="114"/>
      <c r="AS785" s="50"/>
      <c r="AT785" s="74"/>
      <c r="AU785" s="114"/>
      <c r="AV785" s="114"/>
      <c r="AW785" s="394"/>
      <c r="AX785" s="385"/>
      <c r="AY785" s="385"/>
      <c r="AZ785" s="385"/>
      <c r="BA785" s="385"/>
      <c r="BB785" s="385"/>
      <c r="BC785" s="385"/>
      <c r="BD785" s="385"/>
      <c r="BE785" s="385"/>
      <c r="BF785" s="385"/>
      <c r="BG785" s="385"/>
      <c r="BH785" s="385"/>
      <c r="BI785" s="385"/>
      <c r="BJ785" s="385"/>
      <c r="BK785" s="385"/>
      <c r="BL785" s="385"/>
      <c r="BM785" s="385"/>
      <c r="BN785" s="385"/>
      <c r="BO785" s="385"/>
      <c r="BP785" s="385"/>
      <c r="BQ785" s="385"/>
      <c r="BR785" s="385"/>
      <c r="BS785" s="385"/>
      <c r="BT785" s="385"/>
      <c r="BU785" s="385"/>
      <c r="BV785" s="385"/>
      <c r="BW785" s="385"/>
      <c r="BX785" s="385"/>
      <c r="BY785" s="385"/>
      <c r="BZ785" s="385"/>
      <c r="CA785" s="385"/>
    </row>
    <row r="786" spans="1:79" s="6" customFormat="1" ht="15" customHeight="1">
      <c r="A786" s="41" t="s">
        <v>183</v>
      </c>
      <c r="B786" s="402" t="s">
        <v>3062</v>
      </c>
      <c r="C786" s="113" t="s">
        <v>3063</v>
      </c>
      <c r="D786" s="393" t="s">
        <v>735</v>
      </c>
      <c r="E786" s="394" t="s">
        <v>1293</v>
      </c>
      <c r="F786" s="86"/>
      <c r="G786" s="405" t="s">
        <v>3064</v>
      </c>
      <c r="H786" s="74">
        <v>4952</v>
      </c>
      <c r="I786" s="50" t="s">
        <v>2</v>
      </c>
      <c r="J786" s="48" t="s">
        <v>3065</v>
      </c>
      <c r="K786" s="51">
        <v>41305</v>
      </c>
      <c r="L786" s="115">
        <v>41291</v>
      </c>
      <c r="M786" s="50">
        <f t="shared" si="34"/>
        <v>14</v>
      </c>
      <c r="N786" s="50" t="s">
        <v>2</v>
      </c>
      <c r="O786" s="131">
        <v>8</v>
      </c>
      <c r="P786" s="50">
        <v>7.4</v>
      </c>
      <c r="Q786" s="74">
        <v>6.5</v>
      </c>
      <c r="R786" s="50">
        <v>35.700000000000003</v>
      </c>
      <c r="S786" s="74">
        <v>17</v>
      </c>
      <c r="T786" s="50">
        <v>0.06</v>
      </c>
      <c r="U786" s="131">
        <v>1.1299999999999999</v>
      </c>
      <c r="V786" s="50">
        <v>1.2</v>
      </c>
      <c r="W786" s="74">
        <v>4.8000000000000001E-2</v>
      </c>
      <c r="X786" s="50">
        <v>0.25</v>
      </c>
      <c r="Y786" s="74">
        <v>1.2999999999999999E-2</v>
      </c>
      <c r="Z786" s="271">
        <v>0.63700000000000001</v>
      </c>
      <c r="AA786" s="271">
        <v>0.53600000000000003</v>
      </c>
      <c r="AB786" s="114">
        <v>25.7</v>
      </c>
      <c r="AC786" s="50">
        <v>115</v>
      </c>
      <c r="AD786" s="271">
        <v>0</v>
      </c>
      <c r="AE786" s="50"/>
      <c r="AF786" s="49"/>
      <c r="AG786" s="114"/>
      <c r="AH786" s="114"/>
      <c r="AI786" s="114"/>
      <c r="AJ786" s="114"/>
      <c r="AK786" s="114"/>
      <c r="AL786" s="114"/>
      <c r="AM786" s="114"/>
      <c r="AN786" s="114"/>
      <c r="AO786" s="114"/>
      <c r="AP786" s="114"/>
      <c r="AQ786" s="114"/>
      <c r="AR786" s="114"/>
      <c r="AS786" s="50"/>
      <c r="AT786" s="74"/>
      <c r="AU786" s="114"/>
      <c r="AV786" s="114"/>
      <c r="AW786" s="394"/>
      <c r="AX786" s="385"/>
      <c r="AY786" s="385"/>
      <c r="AZ786" s="385"/>
      <c r="BA786" s="385"/>
      <c r="BB786" s="385"/>
      <c r="BC786" s="385"/>
      <c r="BD786" s="385"/>
      <c r="BE786" s="385"/>
      <c r="BF786" s="385"/>
      <c r="BG786" s="385"/>
      <c r="BH786" s="385"/>
      <c r="BI786" s="385"/>
      <c r="BJ786" s="385"/>
      <c r="BK786" s="385"/>
      <c r="BL786" s="385"/>
      <c r="BM786" s="385"/>
      <c r="BN786" s="385"/>
      <c r="BO786" s="385"/>
      <c r="BP786" s="385"/>
      <c r="BQ786" s="385"/>
      <c r="BR786" s="385"/>
      <c r="BS786" s="385"/>
      <c r="BT786" s="385"/>
      <c r="BU786" s="385"/>
      <c r="BV786" s="385"/>
      <c r="BW786" s="385"/>
      <c r="BX786" s="385"/>
      <c r="BY786" s="385"/>
      <c r="BZ786" s="385"/>
      <c r="CA786" s="385"/>
    </row>
    <row r="787" spans="1:79" s="6" customFormat="1" ht="15" customHeight="1">
      <c r="A787" s="41" t="s">
        <v>183</v>
      </c>
      <c r="B787" s="402" t="s">
        <v>3062</v>
      </c>
      <c r="C787" s="113" t="s">
        <v>3063</v>
      </c>
      <c r="D787" s="393" t="s">
        <v>735</v>
      </c>
      <c r="E787" s="394" t="s">
        <v>1293</v>
      </c>
      <c r="F787" s="86"/>
      <c r="G787" s="405" t="s">
        <v>3064</v>
      </c>
      <c r="H787" s="74">
        <v>4952</v>
      </c>
      <c r="I787" s="50" t="s">
        <v>2</v>
      </c>
      <c r="J787" s="48" t="s">
        <v>3066</v>
      </c>
      <c r="K787" s="51">
        <v>41305</v>
      </c>
      <c r="L787" s="115">
        <v>41291</v>
      </c>
      <c r="M787" s="50">
        <f t="shared" si="34"/>
        <v>14</v>
      </c>
      <c r="N787" s="50" t="s">
        <v>2</v>
      </c>
      <c r="O787" s="131">
        <v>10</v>
      </c>
      <c r="P787" s="50">
        <v>7.6</v>
      </c>
      <c r="Q787" s="74">
        <v>5.8</v>
      </c>
      <c r="R787" s="50">
        <v>27.9</v>
      </c>
      <c r="S787" s="74">
        <v>28</v>
      </c>
      <c r="T787" s="50">
        <v>0.11</v>
      </c>
      <c r="U787" s="131">
        <v>1.29</v>
      </c>
      <c r="V787" s="50">
        <v>0.56000000000000005</v>
      </c>
      <c r="W787" s="74">
        <v>0.13</v>
      </c>
      <c r="X787" s="50">
        <v>0.11</v>
      </c>
      <c r="Y787" s="74">
        <v>3.1E-2</v>
      </c>
      <c r="Z787" s="271">
        <v>0.54500000000000004</v>
      </c>
      <c r="AA787" s="271">
        <v>0.19</v>
      </c>
      <c r="AB787" s="114">
        <v>13.2</v>
      </c>
      <c r="AC787" s="50">
        <v>61</v>
      </c>
      <c r="AD787" s="271">
        <v>0</v>
      </c>
      <c r="AE787" s="50"/>
      <c r="AF787" s="49"/>
      <c r="AG787" s="114"/>
      <c r="AH787" s="114"/>
      <c r="AI787" s="114"/>
      <c r="AJ787" s="114"/>
      <c r="AK787" s="114"/>
      <c r="AL787" s="114"/>
      <c r="AM787" s="114"/>
      <c r="AN787" s="114"/>
      <c r="AO787" s="114"/>
      <c r="AP787" s="114"/>
      <c r="AQ787" s="114"/>
      <c r="AR787" s="114"/>
      <c r="AS787" s="50"/>
      <c r="AT787" s="74"/>
      <c r="AU787" s="114"/>
      <c r="AV787" s="114"/>
      <c r="AW787" s="394"/>
      <c r="AX787" s="385"/>
      <c r="AY787" s="385"/>
      <c r="AZ787" s="385"/>
      <c r="BA787" s="385"/>
      <c r="BB787" s="385"/>
      <c r="BC787" s="385"/>
      <c r="BD787" s="385"/>
      <c r="BE787" s="385"/>
      <c r="BF787" s="385"/>
      <c r="BG787" s="385"/>
      <c r="BH787" s="385"/>
      <c r="BI787" s="385"/>
      <c r="BJ787" s="385"/>
      <c r="BK787" s="385"/>
      <c r="BL787" s="385"/>
      <c r="BM787" s="385"/>
      <c r="BN787" s="385"/>
      <c r="BO787" s="385"/>
      <c r="BP787" s="385"/>
      <c r="BQ787" s="385"/>
      <c r="BR787" s="385"/>
      <c r="BS787" s="385"/>
      <c r="BT787" s="385"/>
      <c r="BU787" s="385"/>
      <c r="BV787" s="385"/>
      <c r="BW787" s="385"/>
      <c r="BX787" s="385"/>
      <c r="BY787" s="385"/>
      <c r="BZ787" s="385"/>
      <c r="CA787" s="385"/>
    </row>
    <row r="788" spans="1:79" s="6" customFormat="1" ht="15" customHeight="1">
      <c r="A788" s="41" t="s">
        <v>183</v>
      </c>
      <c r="B788" s="402" t="s">
        <v>506</v>
      </c>
      <c r="C788" s="113"/>
      <c r="D788" s="393" t="s">
        <v>507</v>
      </c>
      <c r="E788" s="394" t="s">
        <v>508</v>
      </c>
      <c r="F788" s="86" t="s">
        <v>2667</v>
      </c>
      <c r="G788" s="405" t="s">
        <v>509</v>
      </c>
      <c r="H788" s="74">
        <v>4215</v>
      </c>
      <c r="I788" s="50" t="s">
        <v>2</v>
      </c>
      <c r="J788" s="48" t="s">
        <v>510</v>
      </c>
      <c r="K788" s="51">
        <v>41305</v>
      </c>
      <c r="L788" s="115">
        <v>41285</v>
      </c>
      <c r="M788" s="50">
        <f t="shared" si="34"/>
        <v>20</v>
      </c>
      <c r="N788" s="50" t="s">
        <v>1</v>
      </c>
      <c r="O788" s="131">
        <f>1.4/2</f>
        <v>0.7</v>
      </c>
      <c r="P788" s="50">
        <v>4.45</v>
      </c>
      <c r="Q788" s="74">
        <v>4.82</v>
      </c>
      <c r="R788" s="50">
        <v>23</v>
      </c>
      <c r="S788" s="74">
        <f>5/2</f>
        <v>2.5</v>
      </c>
      <c r="T788" s="50">
        <v>0.02</v>
      </c>
      <c r="U788" s="131">
        <v>0.35</v>
      </c>
      <c r="V788" s="50">
        <v>0.03</v>
      </c>
      <c r="W788" s="74">
        <f>0.005/2</f>
        <v>2.5000000000000001E-3</v>
      </c>
      <c r="X788" s="50">
        <v>0.14000000000000001</v>
      </c>
      <c r="Y788" s="74">
        <v>3.0000000000000001E-3</v>
      </c>
      <c r="Z788" s="271">
        <v>1</v>
      </c>
      <c r="AA788" s="271">
        <v>1</v>
      </c>
      <c r="AB788" s="114">
        <v>88</v>
      </c>
      <c r="AC788" s="50">
        <v>1264</v>
      </c>
      <c r="AD788" s="271">
        <v>1</v>
      </c>
      <c r="AE788" s="50"/>
      <c r="AF788" s="49"/>
      <c r="AG788" s="114"/>
      <c r="AH788" s="114"/>
      <c r="AI788" s="114"/>
      <c r="AJ788" s="114"/>
      <c r="AK788" s="114"/>
      <c r="AL788" s="114"/>
      <c r="AM788" s="114"/>
      <c r="AN788" s="114"/>
      <c r="AO788" s="114"/>
      <c r="AP788" s="114"/>
      <c r="AQ788" s="114"/>
      <c r="AR788" s="114"/>
      <c r="AS788" s="50"/>
      <c r="AT788" s="74"/>
      <c r="AU788" s="114"/>
      <c r="AV788" s="114"/>
      <c r="AW788" s="394"/>
      <c r="AX788" s="385"/>
      <c r="AY788" s="385"/>
      <c r="AZ788" s="385"/>
      <c r="BA788" s="385"/>
      <c r="BB788" s="385"/>
      <c r="BC788" s="385"/>
      <c r="BD788" s="385"/>
      <c r="BE788" s="385"/>
      <c r="BF788" s="385"/>
      <c r="BG788" s="385"/>
      <c r="BH788" s="385"/>
      <c r="BI788" s="385"/>
      <c r="BJ788" s="385"/>
      <c r="BK788" s="385"/>
      <c r="BL788" s="385"/>
      <c r="BM788" s="385"/>
      <c r="BN788" s="385"/>
      <c r="BO788" s="385"/>
      <c r="BP788" s="385"/>
      <c r="BQ788" s="385"/>
      <c r="BR788" s="385"/>
      <c r="BS788" s="385"/>
      <c r="BT788" s="385"/>
      <c r="BU788" s="385"/>
      <c r="BV788" s="385"/>
      <c r="BW788" s="385"/>
      <c r="BX788" s="385"/>
      <c r="BY788" s="385"/>
      <c r="BZ788" s="385"/>
      <c r="CA788" s="385"/>
    </row>
    <row r="789" spans="1:79" s="6" customFormat="1" ht="15" customHeight="1">
      <c r="A789" s="41" t="s">
        <v>183</v>
      </c>
      <c r="B789" s="402" t="s">
        <v>3067</v>
      </c>
      <c r="C789" s="113" t="s">
        <v>3067</v>
      </c>
      <c r="D789" s="393" t="s">
        <v>111</v>
      </c>
      <c r="E789" s="394" t="s">
        <v>112</v>
      </c>
      <c r="F789" s="86">
        <v>5200</v>
      </c>
      <c r="G789" s="405" t="s">
        <v>1972</v>
      </c>
      <c r="H789" s="74">
        <v>3672</v>
      </c>
      <c r="I789" s="50" t="s">
        <v>1</v>
      </c>
      <c r="J789" s="48" t="s">
        <v>81</v>
      </c>
      <c r="K789" s="51">
        <v>41305</v>
      </c>
      <c r="L789" s="115">
        <v>41303</v>
      </c>
      <c r="M789" s="50">
        <f t="shared" si="34"/>
        <v>2</v>
      </c>
      <c r="N789" s="50" t="s">
        <v>2</v>
      </c>
      <c r="O789" s="131">
        <f>1/2</f>
        <v>0.5</v>
      </c>
      <c r="P789" s="50">
        <v>5</v>
      </c>
      <c r="Q789" s="74">
        <v>6.88</v>
      </c>
      <c r="R789" s="50">
        <v>15</v>
      </c>
      <c r="S789" s="74">
        <v>18</v>
      </c>
      <c r="T789" s="50">
        <v>0.23</v>
      </c>
      <c r="U789" s="131">
        <v>0.62</v>
      </c>
      <c r="V789" s="50">
        <v>0.19</v>
      </c>
      <c r="W789" s="74">
        <v>3.9E-2</v>
      </c>
      <c r="X789" s="50">
        <v>7.1999999999999995E-2</v>
      </c>
      <c r="Y789" s="74">
        <v>7.0000000000000001E-3</v>
      </c>
      <c r="Z789" s="271">
        <v>1</v>
      </c>
      <c r="AA789" s="271">
        <v>1</v>
      </c>
      <c r="AB789" s="114">
        <v>67.760000000000005</v>
      </c>
      <c r="AC789" s="50">
        <v>299</v>
      </c>
      <c r="AD789" s="271">
        <v>1</v>
      </c>
      <c r="AE789" s="50"/>
      <c r="AF789" s="49"/>
      <c r="AG789" s="114"/>
      <c r="AH789" s="114"/>
      <c r="AI789" s="114"/>
      <c r="AJ789" s="114"/>
      <c r="AK789" s="114"/>
      <c r="AL789" s="114"/>
      <c r="AM789" s="114"/>
      <c r="AN789" s="114"/>
      <c r="AO789" s="114"/>
      <c r="AP789" s="114"/>
      <c r="AQ789" s="114"/>
      <c r="AR789" s="114"/>
      <c r="AS789" s="50"/>
      <c r="AT789" s="74"/>
      <c r="AU789" s="114"/>
      <c r="AV789" s="114"/>
      <c r="AW789" s="394"/>
      <c r="AX789" s="385"/>
      <c r="AY789" s="385"/>
      <c r="AZ789" s="385"/>
      <c r="BA789" s="385"/>
      <c r="BB789" s="385"/>
      <c r="BC789" s="385"/>
      <c r="BD789" s="385"/>
      <c r="BE789" s="385"/>
      <c r="BF789" s="385"/>
      <c r="BG789" s="385"/>
      <c r="BH789" s="385"/>
      <c r="BI789" s="385"/>
      <c r="BJ789" s="385"/>
      <c r="BK789" s="385"/>
      <c r="BL789" s="385"/>
      <c r="BM789" s="385"/>
      <c r="BN789" s="385"/>
      <c r="BO789" s="385"/>
      <c r="BP789" s="385"/>
      <c r="BQ789" s="385"/>
      <c r="BR789" s="385"/>
      <c r="BS789" s="385"/>
      <c r="BT789" s="385"/>
      <c r="BU789" s="385"/>
      <c r="BV789" s="385"/>
      <c r="BW789" s="385"/>
      <c r="BX789" s="385"/>
      <c r="BY789" s="385"/>
      <c r="BZ789" s="385"/>
      <c r="CA789" s="385"/>
    </row>
    <row r="790" spans="1:79" s="6" customFormat="1" ht="15" customHeight="1">
      <c r="A790" s="41" t="s">
        <v>183</v>
      </c>
      <c r="B790" s="402" t="s">
        <v>3068</v>
      </c>
      <c r="C790" s="113" t="s">
        <v>3068</v>
      </c>
      <c r="D790" s="393" t="s">
        <v>290</v>
      </c>
      <c r="E790" s="394" t="s">
        <v>112</v>
      </c>
      <c r="F790" s="86"/>
      <c r="G790" s="405" t="s">
        <v>3069</v>
      </c>
      <c r="H790" s="74">
        <v>3356</v>
      </c>
      <c r="I790" s="50" t="s">
        <v>2</v>
      </c>
      <c r="J790" s="48" t="s">
        <v>3068</v>
      </c>
      <c r="K790" s="51">
        <v>41264</v>
      </c>
      <c r="L790" s="115">
        <v>41261</v>
      </c>
      <c r="M790" s="50">
        <f t="shared" si="34"/>
        <v>3</v>
      </c>
      <c r="N790" s="50" t="s">
        <v>2</v>
      </c>
      <c r="O790" s="131">
        <f>1.4/2</f>
        <v>0.7</v>
      </c>
      <c r="P790" s="50"/>
      <c r="Q790" s="74">
        <v>5.7</v>
      </c>
      <c r="R790" s="50">
        <f>20/2</f>
        <v>10</v>
      </c>
      <c r="S790" s="74">
        <v>12.4</v>
      </c>
      <c r="T790" s="50">
        <v>1.4999999999999999E-2</v>
      </c>
      <c r="U790" s="131">
        <f>1/2</f>
        <v>0.5</v>
      </c>
      <c r="V790" s="50">
        <f>0.23/2</f>
        <v>0.115</v>
      </c>
      <c r="W790" s="74">
        <v>7.0000000000000001E-3</v>
      </c>
      <c r="X790" s="50">
        <v>3.1E-2</v>
      </c>
      <c r="Y790" s="74">
        <v>0.23499999999999999</v>
      </c>
      <c r="Z790" s="271" t="s">
        <v>2475</v>
      </c>
      <c r="AA790" s="271" t="s">
        <v>2475</v>
      </c>
      <c r="AB790" s="114">
        <f>2/2</f>
        <v>1</v>
      </c>
      <c r="AC790" s="50">
        <v>5</v>
      </c>
      <c r="AD790" s="271">
        <v>0</v>
      </c>
      <c r="AE790" s="50"/>
      <c r="AF790" s="49"/>
      <c r="AG790" s="114"/>
      <c r="AH790" s="114"/>
      <c r="AI790" s="114"/>
      <c r="AJ790" s="114"/>
      <c r="AK790" s="114"/>
      <c r="AL790" s="114"/>
      <c r="AM790" s="114"/>
      <c r="AN790" s="114"/>
      <c r="AO790" s="114"/>
      <c r="AP790" s="114"/>
      <c r="AQ790" s="114"/>
      <c r="AR790" s="114"/>
      <c r="AS790" s="50"/>
      <c r="AT790" s="74"/>
      <c r="AU790" s="114"/>
      <c r="AV790" s="114"/>
      <c r="AW790" s="394"/>
      <c r="AX790" s="385"/>
      <c r="AY790" s="385"/>
      <c r="AZ790" s="385"/>
      <c r="BA790" s="385"/>
      <c r="BB790" s="385"/>
      <c r="BC790" s="385"/>
      <c r="BD790" s="385"/>
      <c r="BE790" s="385"/>
      <c r="BF790" s="385"/>
      <c r="BG790" s="385"/>
      <c r="BH790" s="385"/>
      <c r="BI790" s="385"/>
      <c r="BJ790" s="385"/>
      <c r="BK790" s="385"/>
      <c r="BL790" s="385"/>
      <c r="BM790" s="385"/>
      <c r="BN790" s="385"/>
      <c r="BO790" s="385"/>
      <c r="BP790" s="385"/>
      <c r="BQ790" s="385"/>
      <c r="BR790" s="385"/>
      <c r="BS790" s="385"/>
      <c r="BT790" s="385"/>
      <c r="BU790" s="385"/>
      <c r="BV790" s="385"/>
      <c r="BW790" s="385"/>
      <c r="BX790" s="385"/>
      <c r="BY790" s="385"/>
      <c r="BZ790" s="385"/>
      <c r="CA790" s="385"/>
    </row>
    <row r="791" spans="1:79" s="6" customFormat="1" ht="15" customHeight="1">
      <c r="A791" s="41" t="s">
        <v>183</v>
      </c>
      <c r="B791" s="402" t="s">
        <v>3070</v>
      </c>
      <c r="C791" s="113" t="s">
        <v>3071</v>
      </c>
      <c r="D791" s="393" t="s">
        <v>1830</v>
      </c>
      <c r="E791" s="394" t="s">
        <v>81</v>
      </c>
      <c r="F791" s="86"/>
      <c r="G791" s="405" t="s">
        <v>3072</v>
      </c>
      <c r="H791" s="74">
        <v>3273</v>
      </c>
      <c r="I791" s="50" t="s">
        <v>1</v>
      </c>
      <c r="J791" s="48" t="s">
        <v>81</v>
      </c>
      <c r="K791" s="51">
        <v>41240</v>
      </c>
      <c r="L791" s="115">
        <v>41226</v>
      </c>
      <c r="M791" s="50">
        <f t="shared" si="34"/>
        <v>14</v>
      </c>
      <c r="N791" s="50" t="s">
        <v>2</v>
      </c>
      <c r="O791" s="131">
        <f>5/2</f>
        <v>2.5</v>
      </c>
      <c r="P791" s="50">
        <v>6.14</v>
      </c>
      <c r="Q791" s="74">
        <v>6.39</v>
      </c>
      <c r="R791" s="50">
        <v>31</v>
      </c>
      <c r="S791" s="74">
        <v>61</v>
      </c>
      <c r="T791" s="50">
        <v>0.26</v>
      </c>
      <c r="U791" s="131">
        <v>1.4</v>
      </c>
      <c r="V791" s="50">
        <v>4.0999999999999996</v>
      </c>
      <c r="W791" s="74">
        <f>0.04/2</f>
        <v>0.02</v>
      </c>
      <c r="X791" s="50">
        <v>0.16</v>
      </c>
      <c r="Y791" s="74">
        <v>1.6E-2</v>
      </c>
      <c r="Z791" s="271">
        <v>1</v>
      </c>
      <c r="AA791" s="271">
        <v>1</v>
      </c>
      <c r="AB791" s="114">
        <v>38</v>
      </c>
      <c r="AC791" s="50">
        <v>115</v>
      </c>
      <c r="AD791" s="271">
        <v>1</v>
      </c>
      <c r="AE791" s="50"/>
      <c r="AF791" s="49"/>
      <c r="AG791" s="114"/>
      <c r="AH791" s="114"/>
      <c r="AI791" s="114"/>
      <c r="AJ791" s="114"/>
      <c r="AK791" s="114"/>
      <c r="AL791" s="114"/>
      <c r="AM791" s="114"/>
      <c r="AN791" s="114"/>
      <c r="AO791" s="114"/>
      <c r="AP791" s="114"/>
      <c r="AQ791" s="114"/>
      <c r="AR791" s="114"/>
      <c r="AS791" s="50"/>
      <c r="AT791" s="74"/>
      <c r="AU791" s="114"/>
      <c r="AV791" s="114"/>
      <c r="AW791" s="394"/>
      <c r="AX791" s="385"/>
      <c r="AY791" s="385"/>
      <c r="AZ791" s="385"/>
      <c r="BA791" s="385"/>
      <c r="BB791" s="385"/>
      <c r="BC791" s="385"/>
      <c r="BD791" s="385"/>
      <c r="BE791" s="385"/>
      <c r="BF791" s="385"/>
      <c r="BG791" s="385"/>
      <c r="BH791" s="385"/>
      <c r="BI791" s="385"/>
      <c r="BJ791" s="385"/>
      <c r="BK791" s="385"/>
      <c r="BL791" s="385"/>
      <c r="BM791" s="385"/>
      <c r="BN791" s="385"/>
      <c r="BO791" s="385"/>
      <c r="BP791" s="385"/>
      <c r="BQ791" s="385"/>
      <c r="BR791" s="385"/>
      <c r="BS791" s="385"/>
      <c r="BT791" s="385"/>
      <c r="BU791" s="385"/>
      <c r="BV791" s="385"/>
      <c r="BW791" s="385"/>
      <c r="BX791" s="385"/>
      <c r="BY791" s="385"/>
      <c r="BZ791" s="385"/>
      <c r="CA791" s="385"/>
    </row>
    <row r="792" spans="1:79" s="6" customFormat="1" ht="15" customHeight="1">
      <c r="A792" s="41" t="s">
        <v>183</v>
      </c>
      <c r="B792" s="402" t="s">
        <v>3074</v>
      </c>
      <c r="C792" s="113" t="s">
        <v>3074</v>
      </c>
      <c r="D792" s="393" t="s">
        <v>257</v>
      </c>
      <c r="E792" s="394" t="s">
        <v>823</v>
      </c>
      <c r="F792" s="86" t="s">
        <v>3075</v>
      </c>
      <c r="G792" s="405" t="s">
        <v>258</v>
      </c>
      <c r="H792" s="74">
        <v>3471</v>
      </c>
      <c r="I792" s="50" t="s">
        <v>2</v>
      </c>
      <c r="J792" s="48" t="s">
        <v>3076</v>
      </c>
      <c r="K792" s="51">
        <v>41072</v>
      </c>
      <c r="L792" s="115">
        <v>41062</v>
      </c>
      <c r="M792" s="50">
        <f t="shared" si="34"/>
        <v>10</v>
      </c>
      <c r="N792" s="50" t="s">
        <v>2</v>
      </c>
      <c r="O792" s="131">
        <f>1/2</f>
        <v>0.5</v>
      </c>
      <c r="P792" s="50">
        <v>5.82</v>
      </c>
      <c r="Q792" s="74">
        <v>7.3</v>
      </c>
      <c r="R792" s="50">
        <v>47.3</v>
      </c>
      <c r="S792" s="74">
        <v>1</v>
      </c>
      <c r="T792" s="50">
        <v>0.48</v>
      </c>
      <c r="U792" s="131">
        <v>0.95</v>
      </c>
      <c r="V792" s="50">
        <v>0.31</v>
      </c>
      <c r="W792" s="74">
        <v>1.4E-2</v>
      </c>
      <c r="X792" s="50">
        <v>5.1999999999999998E-2</v>
      </c>
      <c r="Y792" s="74">
        <f>0.002/2</f>
        <v>1E-3</v>
      </c>
      <c r="Z792" s="271"/>
      <c r="AA792" s="271"/>
      <c r="AB792" s="114"/>
      <c r="AC792" s="50"/>
      <c r="AD792" s="271"/>
      <c r="AE792" s="50"/>
      <c r="AF792" s="49"/>
      <c r="AG792" s="114"/>
      <c r="AH792" s="114"/>
      <c r="AI792" s="114"/>
      <c r="AJ792" s="114"/>
      <c r="AK792" s="114"/>
      <c r="AL792" s="114"/>
      <c r="AM792" s="114"/>
      <c r="AN792" s="114"/>
      <c r="AO792" s="114"/>
      <c r="AP792" s="114"/>
      <c r="AQ792" s="114"/>
      <c r="AR792" s="114"/>
      <c r="AS792" s="50"/>
      <c r="AT792" s="74"/>
      <c r="AU792" s="114"/>
      <c r="AV792" s="114"/>
      <c r="AW792" s="394"/>
      <c r="AX792" s="385"/>
      <c r="AY792" s="385"/>
      <c r="AZ792" s="385"/>
      <c r="BA792" s="385"/>
      <c r="BB792" s="385"/>
      <c r="BC792" s="385"/>
      <c r="BD792" s="385"/>
      <c r="BE792" s="385"/>
      <c r="BF792" s="385"/>
      <c r="BG792" s="385"/>
      <c r="BH792" s="385"/>
      <c r="BI792" s="385"/>
      <c r="BJ792" s="385"/>
      <c r="BK792" s="385"/>
      <c r="BL792" s="385"/>
      <c r="BM792" s="385"/>
      <c r="BN792" s="385"/>
      <c r="BO792" s="385"/>
      <c r="BP792" s="385"/>
      <c r="BQ792" s="385"/>
      <c r="BR792" s="385"/>
      <c r="BS792" s="385"/>
      <c r="BT792" s="385"/>
      <c r="BU792" s="385"/>
      <c r="BV792" s="385"/>
      <c r="BW792" s="385"/>
      <c r="BX792" s="385"/>
      <c r="BY792" s="385"/>
      <c r="BZ792" s="385"/>
      <c r="CA792" s="385"/>
    </row>
    <row r="793" spans="1:79" s="6" customFormat="1" ht="15" customHeight="1">
      <c r="A793" s="41" t="s">
        <v>183</v>
      </c>
      <c r="B793" s="402" t="s">
        <v>3074</v>
      </c>
      <c r="C793" s="113" t="s">
        <v>3074</v>
      </c>
      <c r="D793" s="393" t="s">
        <v>257</v>
      </c>
      <c r="E793" s="394" t="s">
        <v>823</v>
      </c>
      <c r="F793" s="86" t="s">
        <v>3075</v>
      </c>
      <c r="G793" s="405" t="s">
        <v>258</v>
      </c>
      <c r="H793" s="74">
        <v>3471</v>
      </c>
      <c r="I793" s="50" t="s">
        <v>2</v>
      </c>
      <c r="J793" s="48" t="s">
        <v>3076</v>
      </c>
      <c r="K793" s="51">
        <v>41192</v>
      </c>
      <c r="L793" s="115">
        <v>41187</v>
      </c>
      <c r="M793" s="50">
        <f t="shared" si="34"/>
        <v>5</v>
      </c>
      <c r="N793" s="50" t="s">
        <v>2</v>
      </c>
      <c r="O793" s="131">
        <v>2.4</v>
      </c>
      <c r="P793" s="50">
        <v>5.65</v>
      </c>
      <c r="Q793" s="74">
        <v>6.89</v>
      </c>
      <c r="R793" s="50">
        <v>11.3</v>
      </c>
      <c r="S793" s="74">
        <v>1</v>
      </c>
      <c r="T793" s="50">
        <v>0.23</v>
      </c>
      <c r="U793" s="131">
        <v>1.36</v>
      </c>
      <c r="V793" s="50">
        <f>0.1/2</f>
        <v>0.05</v>
      </c>
      <c r="W793" s="74">
        <v>8.9999999999999993E-3</v>
      </c>
      <c r="X793" s="50">
        <v>0.09</v>
      </c>
      <c r="Y793" s="74">
        <f>0.002/2</f>
        <v>1E-3</v>
      </c>
      <c r="Z793" s="271">
        <v>1</v>
      </c>
      <c r="AA793" s="271">
        <v>1</v>
      </c>
      <c r="AB793" s="114">
        <v>10.36</v>
      </c>
      <c r="AC793" s="50">
        <v>48</v>
      </c>
      <c r="AD793" s="271">
        <v>0.6</v>
      </c>
      <c r="AE793" s="50"/>
      <c r="AF793" s="49"/>
      <c r="AG793" s="114"/>
      <c r="AH793" s="114"/>
      <c r="AI793" s="114"/>
      <c r="AJ793" s="114"/>
      <c r="AK793" s="114"/>
      <c r="AL793" s="114"/>
      <c r="AM793" s="114"/>
      <c r="AN793" s="114"/>
      <c r="AO793" s="114"/>
      <c r="AP793" s="114"/>
      <c r="AQ793" s="114"/>
      <c r="AR793" s="114"/>
      <c r="AS793" s="50"/>
      <c r="AT793" s="74"/>
      <c r="AU793" s="114"/>
      <c r="AV793" s="114"/>
      <c r="AW793" s="394"/>
      <c r="AX793" s="385"/>
      <c r="AY793" s="385"/>
      <c r="AZ793" s="385"/>
      <c r="BA793" s="385"/>
      <c r="BB793" s="385"/>
      <c r="BC793" s="385"/>
      <c r="BD793" s="385"/>
      <c r="BE793" s="385"/>
      <c r="BF793" s="385"/>
      <c r="BG793" s="385"/>
      <c r="BH793" s="385"/>
      <c r="BI793" s="385"/>
      <c r="BJ793" s="385"/>
      <c r="BK793" s="385"/>
      <c r="BL793" s="385"/>
      <c r="BM793" s="385"/>
      <c r="BN793" s="385"/>
      <c r="BO793" s="385"/>
      <c r="BP793" s="385"/>
      <c r="BQ793" s="385"/>
      <c r="BR793" s="385"/>
      <c r="BS793" s="385"/>
      <c r="BT793" s="385"/>
      <c r="BU793" s="385"/>
      <c r="BV793" s="385"/>
      <c r="BW793" s="385"/>
      <c r="BX793" s="385"/>
      <c r="BY793" s="385"/>
      <c r="BZ793" s="385"/>
      <c r="CA793" s="385"/>
    </row>
    <row r="794" spans="1:79" s="6" customFormat="1" ht="15" customHeight="1">
      <c r="A794" s="41" t="s">
        <v>183</v>
      </c>
      <c r="B794" s="402" t="s">
        <v>3077</v>
      </c>
      <c r="C794" s="113" t="s">
        <v>3078</v>
      </c>
      <c r="D794" s="393" t="s">
        <v>192</v>
      </c>
      <c r="E794" s="394" t="s">
        <v>1546</v>
      </c>
      <c r="F794" s="86" t="s">
        <v>3079</v>
      </c>
      <c r="G794" s="405" t="s">
        <v>3080</v>
      </c>
      <c r="H794" s="74">
        <v>4931</v>
      </c>
      <c r="I794" s="50" t="s">
        <v>1</v>
      </c>
      <c r="J794" s="48" t="s">
        <v>840</v>
      </c>
      <c r="K794" s="51">
        <v>41201</v>
      </c>
      <c r="L794" s="115">
        <v>41197</v>
      </c>
      <c r="M794" s="50">
        <f t="shared" si="34"/>
        <v>4</v>
      </c>
      <c r="N794" s="50" t="s">
        <v>2</v>
      </c>
      <c r="O794" s="131">
        <f>1.4/2</f>
        <v>0.7</v>
      </c>
      <c r="P794" s="50">
        <v>6.09</v>
      </c>
      <c r="Q794" s="74">
        <v>6.69</v>
      </c>
      <c r="R794" s="50">
        <v>10</v>
      </c>
      <c r="S794" s="74">
        <v>5</v>
      </c>
      <c r="T794" s="50">
        <v>0.38</v>
      </c>
      <c r="U794" s="131">
        <v>1.37</v>
      </c>
      <c r="V794" s="50">
        <v>0.16</v>
      </c>
      <c r="W794" s="74">
        <v>2.1999999999999999E-2</v>
      </c>
      <c r="X794" s="50">
        <v>0.192</v>
      </c>
      <c r="Y794" s="74">
        <v>8.0000000000000002E-3</v>
      </c>
      <c r="Z794" s="271"/>
      <c r="AA794" s="271"/>
      <c r="AB794" s="114"/>
      <c r="AC794" s="50"/>
      <c r="AD794" s="271"/>
      <c r="AE794" s="50"/>
      <c r="AF794" s="49"/>
      <c r="AG794" s="114"/>
      <c r="AH794" s="114"/>
      <c r="AI794" s="114"/>
      <c r="AJ794" s="114"/>
      <c r="AK794" s="114"/>
      <c r="AL794" s="114"/>
      <c r="AM794" s="114"/>
      <c r="AN794" s="114"/>
      <c r="AO794" s="114"/>
      <c r="AP794" s="114"/>
      <c r="AQ794" s="114"/>
      <c r="AR794" s="114"/>
      <c r="AS794" s="50"/>
      <c r="AT794" s="74"/>
      <c r="AU794" s="114"/>
      <c r="AV794" s="114"/>
      <c r="AW794" s="394"/>
      <c r="AX794" s="385"/>
      <c r="AY794" s="385"/>
      <c r="AZ794" s="385"/>
      <c r="BA794" s="385"/>
      <c r="BB794" s="385"/>
      <c r="BC794" s="385"/>
      <c r="BD794" s="385"/>
      <c r="BE794" s="385"/>
      <c r="BF794" s="385"/>
      <c r="BG794" s="385"/>
      <c r="BH794" s="385"/>
      <c r="BI794" s="385"/>
      <c r="BJ794" s="385"/>
      <c r="BK794" s="385"/>
      <c r="BL794" s="385"/>
      <c r="BM794" s="385"/>
      <c r="BN794" s="385"/>
      <c r="BO794" s="385"/>
      <c r="BP794" s="385"/>
      <c r="BQ794" s="385"/>
      <c r="BR794" s="385"/>
      <c r="BS794" s="385"/>
      <c r="BT794" s="385"/>
      <c r="BU794" s="385"/>
      <c r="BV794" s="385"/>
      <c r="BW794" s="385"/>
      <c r="BX794" s="385"/>
      <c r="BY794" s="385"/>
      <c r="BZ794" s="385"/>
      <c r="CA794" s="385"/>
    </row>
    <row r="795" spans="1:79" s="6" customFormat="1" ht="15" customHeight="1">
      <c r="A795" s="41" t="s">
        <v>183</v>
      </c>
      <c r="B795" s="402" t="s">
        <v>3081</v>
      </c>
      <c r="C795" s="113" t="s">
        <v>3082</v>
      </c>
      <c r="D795" s="393" t="s">
        <v>308</v>
      </c>
      <c r="E795" s="394" t="s">
        <v>3083</v>
      </c>
      <c r="F795" s="86" t="s">
        <v>2667</v>
      </c>
      <c r="G795" s="405" t="s">
        <v>3084</v>
      </c>
      <c r="H795" s="74">
        <v>3086</v>
      </c>
      <c r="I795" s="50" t="s">
        <v>2</v>
      </c>
      <c r="J795" s="48" t="s">
        <v>74</v>
      </c>
      <c r="K795" s="51">
        <v>41201</v>
      </c>
      <c r="L795" s="115">
        <v>41197</v>
      </c>
      <c r="M795" s="50">
        <f t="shared" si="34"/>
        <v>4</v>
      </c>
      <c r="N795" s="50" t="s">
        <v>2</v>
      </c>
      <c r="O795" s="131">
        <f>1.4/2</f>
        <v>0.7</v>
      </c>
      <c r="P795" s="50">
        <v>3.9</v>
      </c>
      <c r="Q795" s="74">
        <v>5.49</v>
      </c>
      <c r="R795" s="50">
        <f>10/2</f>
        <v>5</v>
      </c>
      <c r="S795" s="74">
        <f>5/2</f>
        <v>2.5</v>
      </c>
      <c r="T795" s="50">
        <f>0.01/2</f>
        <v>5.0000000000000001E-3</v>
      </c>
      <c r="U795" s="131">
        <v>0.34</v>
      </c>
      <c r="V795" s="50">
        <f>0.05/2</f>
        <v>2.5000000000000001E-2</v>
      </c>
      <c r="W795" s="74">
        <v>6.0000000000000001E-3</v>
      </c>
      <c r="X795" s="50">
        <v>1.7999999999999999E-2</v>
      </c>
      <c r="Y795" s="74">
        <v>1.2E-2</v>
      </c>
      <c r="Z795" s="271">
        <v>1</v>
      </c>
      <c r="AA795" s="271">
        <v>0.70399999999999996</v>
      </c>
      <c r="AB795" s="114">
        <v>2</v>
      </c>
      <c r="AC795" s="50">
        <v>11</v>
      </c>
      <c r="AD795" s="271">
        <v>0</v>
      </c>
      <c r="AE795" s="50"/>
      <c r="AF795" s="49"/>
      <c r="AG795" s="114"/>
      <c r="AH795" s="114"/>
      <c r="AI795" s="114"/>
      <c r="AJ795" s="114"/>
      <c r="AK795" s="114"/>
      <c r="AL795" s="114"/>
      <c r="AM795" s="114"/>
      <c r="AN795" s="114"/>
      <c r="AO795" s="114"/>
      <c r="AP795" s="114"/>
      <c r="AQ795" s="114"/>
      <c r="AR795" s="114"/>
      <c r="AS795" s="50"/>
      <c r="AT795" s="74"/>
      <c r="AU795" s="114"/>
      <c r="AV795" s="114"/>
      <c r="AW795" s="394"/>
      <c r="AX795" s="385"/>
      <c r="AY795" s="385"/>
      <c r="AZ795" s="385"/>
      <c r="BA795" s="385"/>
      <c r="BB795" s="385"/>
      <c r="BC795" s="385"/>
      <c r="BD795" s="385"/>
      <c r="BE795" s="385"/>
      <c r="BF795" s="385"/>
      <c r="BG795" s="385"/>
      <c r="BH795" s="385"/>
      <c r="BI795" s="385"/>
      <c r="BJ795" s="385"/>
      <c r="BK795" s="385"/>
      <c r="BL795" s="385"/>
      <c r="BM795" s="385"/>
      <c r="BN795" s="385"/>
      <c r="BO795" s="385"/>
      <c r="BP795" s="385"/>
      <c r="BQ795" s="385"/>
      <c r="BR795" s="385"/>
      <c r="BS795" s="385"/>
      <c r="BT795" s="385"/>
      <c r="BU795" s="385"/>
      <c r="BV795" s="385"/>
      <c r="BW795" s="385"/>
      <c r="BX795" s="385"/>
      <c r="BY795" s="385"/>
      <c r="BZ795" s="385"/>
      <c r="CA795" s="385"/>
    </row>
    <row r="796" spans="1:79" s="6" customFormat="1" ht="15" customHeight="1">
      <c r="A796" s="41" t="s">
        <v>183</v>
      </c>
      <c r="B796" s="402" t="s">
        <v>3081</v>
      </c>
      <c r="C796" s="113" t="s">
        <v>3082</v>
      </c>
      <c r="D796" s="393" t="s">
        <v>308</v>
      </c>
      <c r="E796" s="394" t="s">
        <v>3083</v>
      </c>
      <c r="F796" s="86" t="s">
        <v>2667</v>
      </c>
      <c r="G796" s="405" t="s">
        <v>3084</v>
      </c>
      <c r="H796" s="74">
        <v>3086</v>
      </c>
      <c r="I796" s="50" t="s">
        <v>2</v>
      </c>
      <c r="J796" s="48" t="s">
        <v>75</v>
      </c>
      <c r="K796" s="51">
        <v>41201</v>
      </c>
      <c r="L796" s="115">
        <v>41197</v>
      </c>
      <c r="M796" s="50">
        <f t="shared" si="34"/>
        <v>4</v>
      </c>
      <c r="N796" s="50" t="s">
        <v>2</v>
      </c>
      <c r="O796" s="131">
        <f>1.4/2</f>
        <v>0.7</v>
      </c>
      <c r="P796" s="50">
        <v>4.55</v>
      </c>
      <c r="Q796" s="74">
        <v>5.37</v>
      </c>
      <c r="R796" s="50">
        <v>12</v>
      </c>
      <c r="S796" s="74">
        <f>5/2</f>
        <v>2.5</v>
      </c>
      <c r="T796" s="50">
        <f>0.01/2</f>
        <v>5.0000000000000001E-3</v>
      </c>
      <c r="U796" s="131">
        <v>0.4</v>
      </c>
      <c r="V796" s="50">
        <f>0.05/2</f>
        <v>2.5000000000000001E-2</v>
      </c>
      <c r="W796" s="74">
        <v>6.0000000000000001E-3</v>
      </c>
      <c r="X796" s="50">
        <v>1.7999999999999999E-2</v>
      </c>
      <c r="Y796" s="74">
        <v>1.4E-2</v>
      </c>
      <c r="Z796" s="271">
        <v>0.77100000000000002</v>
      </c>
      <c r="AA796" s="271">
        <v>0.71399999999999997</v>
      </c>
      <c r="AB796" s="114">
        <v>2</v>
      </c>
      <c r="AC796" s="50">
        <v>11</v>
      </c>
      <c r="AD796" s="271">
        <v>0.05</v>
      </c>
      <c r="AE796" s="50"/>
      <c r="AF796" s="49"/>
      <c r="AG796" s="114"/>
      <c r="AH796" s="114"/>
      <c r="AI796" s="114"/>
      <c r="AJ796" s="114"/>
      <c r="AK796" s="114"/>
      <c r="AL796" s="114"/>
      <c r="AM796" s="114"/>
      <c r="AN796" s="114"/>
      <c r="AO796" s="114"/>
      <c r="AP796" s="114"/>
      <c r="AQ796" s="114"/>
      <c r="AR796" s="114"/>
      <c r="AS796" s="50"/>
      <c r="AT796" s="74"/>
      <c r="AU796" s="114"/>
      <c r="AV796" s="114"/>
      <c r="AW796" s="394"/>
      <c r="AX796" s="385"/>
      <c r="AY796" s="385"/>
      <c r="AZ796" s="385"/>
      <c r="BA796" s="385"/>
      <c r="BB796" s="385"/>
      <c r="BC796" s="385"/>
      <c r="BD796" s="385"/>
      <c r="BE796" s="385"/>
      <c r="BF796" s="385"/>
      <c r="BG796" s="385"/>
      <c r="BH796" s="385"/>
      <c r="BI796" s="385"/>
      <c r="BJ796" s="385"/>
      <c r="BK796" s="385"/>
      <c r="BL796" s="385"/>
      <c r="BM796" s="385"/>
      <c r="BN796" s="385"/>
      <c r="BO796" s="385"/>
      <c r="BP796" s="385"/>
      <c r="BQ796" s="385"/>
      <c r="BR796" s="385"/>
      <c r="BS796" s="385"/>
      <c r="BT796" s="385"/>
      <c r="BU796" s="385"/>
      <c r="BV796" s="385"/>
      <c r="BW796" s="385"/>
      <c r="BX796" s="385"/>
      <c r="BY796" s="385"/>
      <c r="BZ796" s="385"/>
      <c r="CA796" s="385"/>
    </row>
    <row r="797" spans="1:79" s="6" customFormat="1" ht="15" customHeight="1">
      <c r="A797" s="41" t="s">
        <v>183</v>
      </c>
      <c r="B797" s="402" t="s">
        <v>3081</v>
      </c>
      <c r="C797" s="113" t="s">
        <v>3082</v>
      </c>
      <c r="D797" s="393" t="s">
        <v>308</v>
      </c>
      <c r="E797" s="394" t="s">
        <v>3083</v>
      </c>
      <c r="F797" s="86" t="s">
        <v>2667</v>
      </c>
      <c r="G797" s="405" t="s">
        <v>3084</v>
      </c>
      <c r="H797" s="74">
        <v>3086</v>
      </c>
      <c r="I797" s="50" t="s">
        <v>2</v>
      </c>
      <c r="J797" s="48" t="s">
        <v>687</v>
      </c>
      <c r="K797" s="51">
        <v>41201</v>
      </c>
      <c r="L797" s="115">
        <v>41197</v>
      </c>
      <c r="M797" s="50">
        <f t="shared" si="34"/>
        <v>4</v>
      </c>
      <c r="N797" s="50" t="s">
        <v>2</v>
      </c>
      <c r="O797" s="131">
        <f>1.4/2</f>
        <v>0.7</v>
      </c>
      <c r="P797" s="50">
        <v>5.12</v>
      </c>
      <c r="Q797" s="74">
        <v>5.95</v>
      </c>
      <c r="R797" s="50">
        <f>10/2</f>
        <v>5</v>
      </c>
      <c r="S797" s="74">
        <f>5/2</f>
        <v>2.5</v>
      </c>
      <c r="T797" s="50">
        <f>0.01/2</f>
        <v>5.0000000000000001E-3</v>
      </c>
      <c r="U797" s="131">
        <v>0.4</v>
      </c>
      <c r="V797" s="50">
        <f>0.05/2</f>
        <v>2.5000000000000001E-2</v>
      </c>
      <c r="W797" s="74">
        <v>5.0000000000000001E-3</v>
      </c>
      <c r="X797" s="50">
        <v>1.7000000000000001E-2</v>
      </c>
      <c r="Y797" s="74">
        <v>8.9999999999999993E-3</v>
      </c>
      <c r="Z797" s="271">
        <v>1</v>
      </c>
      <c r="AA797" s="271">
        <v>0.76800000000000002</v>
      </c>
      <c r="AB797" s="114">
        <v>2</v>
      </c>
      <c r="AC797" s="50">
        <v>7</v>
      </c>
      <c r="AD797" s="271">
        <v>0.2</v>
      </c>
      <c r="AE797" s="50"/>
      <c r="AF797" s="49"/>
      <c r="AG797" s="114"/>
      <c r="AH797" s="114"/>
      <c r="AI797" s="114"/>
      <c r="AJ797" s="114"/>
      <c r="AK797" s="114"/>
      <c r="AL797" s="114"/>
      <c r="AM797" s="114"/>
      <c r="AN797" s="114"/>
      <c r="AO797" s="114"/>
      <c r="AP797" s="114"/>
      <c r="AQ797" s="114"/>
      <c r="AR797" s="114"/>
      <c r="AS797" s="50"/>
      <c r="AT797" s="74"/>
      <c r="AU797" s="114"/>
      <c r="AV797" s="114"/>
      <c r="AW797" s="394"/>
      <c r="AX797" s="385"/>
      <c r="AY797" s="385"/>
      <c r="AZ797" s="385"/>
      <c r="BA797" s="385"/>
      <c r="BB797" s="385"/>
      <c r="BC797" s="385"/>
      <c r="BD797" s="385"/>
      <c r="BE797" s="385"/>
      <c r="BF797" s="385"/>
      <c r="BG797" s="385"/>
      <c r="BH797" s="385"/>
      <c r="BI797" s="385"/>
      <c r="BJ797" s="385"/>
      <c r="BK797" s="385"/>
      <c r="BL797" s="385"/>
      <c r="BM797" s="385"/>
      <c r="BN797" s="385"/>
      <c r="BO797" s="385"/>
      <c r="BP797" s="385"/>
      <c r="BQ797" s="385"/>
      <c r="BR797" s="385"/>
      <c r="BS797" s="385"/>
      <c r="BT797" s="385"/>
      <c r="BU797" s="385"/>
      <c r="BV797" s="385"/>
      <c r="BW797" s="385"/>
      <c r="BX797" s="385"/>
      <c r="BY797" s="385"/>
      <c r="BZ797" s="385"/>
      <c r="CA797" s="385"/>
    </row>
    <row r="798" spans="1:79" s="6" customFormat="1" ht="15" customHeight="1">
      <c r="A798" s="41" t="s">
        <v>183</v>
      </c>
      <c r="B798" s="402" t="s">
        <v>3085</v>
      </c>
      <c r="C798" s="113" t="s">
        <v>3085</v>
      </c>
      <c r="D798" s="393" t="s">
        <v>84</v>
      </c>
      <c r="E798" s="394"/>
      <c r="F798" s="86"/>
      <c r="G798" s="405" t="s">
        <v>3086</v>
      </c>
      <c r="H798" s="74">
        <v>3499</v>
      </c>
      <c r="I798" s="50" t="s">
        <v>1</v>
      </c>
      <c r="J798" s="48" t="s">
        <v>3087</v>
      </c>
      <c r="K798" s="51">
        <v>40996</v>
      </c>
      <c r="L798" s="115">
        <v>40992</v>
      </c>
      <c r="M798" s="50">
        <f t="shared" si="34"/>
        <v>4</v>
      </c>
      <c r="N798" s="50" t="s">
        <v>2</v>
      </c>
      <c r="O798" s="131">
        <v>2.9</v>
      </c>
      <c r="P798" s="50">
        <v>6</v>
      </c>
      <c r="Q798" s="74">
        <v>6.5</v>
      </c>
      <c r="R798" s="50">
        <v>27.4</v>
      </c>
      <c r="S798" s="74">
        <v>95</v>
      </c>
      <c r="T798" s="50">
        <v>0.38</v>
      </c>
      <c r="U798" s="131">
        <v>1.71</v>
      </c>
      <c r="V798" s="50">
        <v>0.59</v>
      </c>
      <c r="W798" s="74">
        <v>6.28</v>
      </c>
      <c r="X798" s="50">
        <v>1.88</v>
      </c>
      <c r="Y798" s="74">
        <v>0.87</v>
      </c>
      <c r="Z798" s="271">
        <v>6.25E-2</v>
      </c>
      <c r="AA798" s="271">
        <v>6.25E-2</v>
      </c>
      <c r="AB798" s="114">
        <v>23.7</v>
      </c>
      <c r="AC798" s="50">
        <v>32.4</v>
      </c>
      <c r="AD798" s="271">
        <v>0</v>
      </c>
      <c r="AE798" s="50"/>
      <c r="AF798" s="49"/>
      <c r="AG798" s="114"/>
      <c r="AH798" s="114"/>
      <c r="AI798" s="114"/>
      <c r="AJ798" s="114"/>
      <c r="AK798" s="114"/>
      <c r="AL798" s="114"/>
      <c r="AM798" s="114"/>
      <c r="AN798" s="114"/>
      <c r="AO798" s="114"/>
      <c r="AP798" s="114"/>
      <c r="AQ798" s="114"/>
      <c r="AR798" s="114"/>
      <c r="AS798" s="50"/>
      <c r="AT798" s="74"/>
      <c r="AU798" s="114"/>
      <c r="AV798" s="114"/>
      <c r="AW798" s="394"/>
      <c r="AX798" s="385"/>
      <c r="AY798" s="385"/>
      <c r="AZ798" s="385"/>
      <c r="BA798" s="385"/>
      <c r="BB798" s="385"/>
      <c r="BC798" s="385"/>
      <c r="BD798" s="385"/>
      <c r="BE798" s="385"/>
      <c r="BF798" s="385"/>
      <c r="BG798" s="385"/>
      <c r="BH798" s="385"/>
      <c r="BI798" s="385"/>
      <c r="BJ798" s="385"/>
      <c r="BK798" s="385"/>
      <c r="BL798" s="385"/>
      <c r="BM798" s="385"/>
      <c r="BN798" s="385"/>
      <c r="BO798" s="385"/>
      <c r="BP798" s="385"/>
      <c r="BQ798" s="385"/>
      <c r="BR798" s="385"/>
      <c r="BS798" s="385"/>
      <c r="BT798" s="385"/>
      <c r="BU798" s="385"/>
      <c r="BV798" s="385"/>
      <c r="BW798" s="385"/>
      <c r="BX798" s="385"/>
      <c r="BY798" s="385"/>
      <c r="BZ798" s="385"/>
      <c r="CA798" s="385"/>
    </row>
    <row r="799" spans="1:79" s="6" customFormat="1" ht="15" customHeight="1">
      <c r="A799" s="41" t="s">
        <v>183</v>
      </c>
      <c r="B799" s="402" t="s">
        <v>3085</v>
      </c>
      <c r="C799" s="113" t="s">
        <v>3085</v>
      </c>
      <c r="D799" s="393" t="s">
        <v>84</v>
      </c>
      <c r="E799" s="394"/>
      <c r="F799" s="86"/>
      <c r="G799" s="405" t="s">
        <v>3086</v>
      </c>
      <c r="H799" s="74">
        <v>3499</v>
      </c>
      <c r="I799" s="50" t="s">
        <v>1</v>
      </c>
      <c r="J799" s="48" t="s">
        <v>3087</v>
      </c>
      <c r="K799" s="51">
        <v>41108</v>
      </c>
      <c r="L799" s="115">
        <v>41105</v>
      </c>
      <c r="M799" s="50">
        <f t="shared" si="34"/>
        <v>3</v>
      </c>
      <c r="N799" s="50" t="s">
        <v>2</v>
      </c>
      <c r="O799" s="131">
        <v>9.9</v>
      </c>
      <c r="P799" s="50">
        <v>4.49</v>
      </c>
      <c r="Q799" s="74">
        <v>6.35</v>
      </c>
      <c r="R799" s="50">
        <v>23.7</v>
      </c>
      <c r="S799" s="74">
        <v>9</v>
      </c>
      <c r="T799" s="50">
        <v>0.11</v>
      </c>
      <c r="U799" s="131">
        <v>0.99</v>
      </c>
      <c r="V799" s="50">
        <v>0.56999999999999995</v>
      </c>
      <c r="W799" s="74">
        <v>1.33</v>
      </c>
      <c r="X799" s="50">
        <v>3.6999999999999998E-2</v>
      </c>
      <c r="Y799" s="74">
        <v>3.4000000000000002E-2</v>
      </c>
      <c r="Z799" s="271">
        <v>0.151</v>
      </c>
      <c r="AA799" s="271">
        <v>8.5599999999999996E-2</v>
      </c>
      <c r="AB799" s="114">
        <v>13.9</v>
      </c>
      <c r="AC799" s="50">
        <v>35.299999999999997</v>
      </c>
      <c r="AD799" s="271">
        <v>0.15</v>
      </c>
      <c r="AE799" s="50"/>
      <c r="AF799" s="49"/>
      <c r="AG799" s="114"/>
      <c r="AH799" s="114"/>
      <c r="AI799" s="114"/>
      <c r="AJ799" s="114"/>
      <c r="AK799" s="114"/>
      <c r="AL799" s="114"/>
      <c r="AM799" s="114"/>
      <c r="AN799" s="114"/>
      <c r="AO799" s="114"/>
      <c r="AP799" s="114"/>
      <c r="AQ799" s="114"/>
      <c r="AR799" s="114"/>
      <c r="AS799" s="50"/>
      <c r="AT799" s="74"/>
      <c r="AU799" s="114"/>
      <c r="AV799" s="114"/>
      <c r="AW799" s="394"/>
      <c r="AX799" s="385"/>
      <c r="AY799" s="385"/>
      <c r="AZ799" s="385"/>
      <c r="BA799" s="385"/>
      <c r="BB799" s="385"/>
      <c r="BC799" s="385"/>
      <c r="BD799" s="385"/>
      <c r="BE799" s="385"/>
      <c r="BF799" s="385"/>
      <c r="BG799" s="385"/>
      <c r="BH799" s="385"/>
      <c r="BI799" s="385"/>
      <c r="BJ799" s="385"/>
      <c r="BK799" s="385"/>
      <c r="BL799" s="385"/>
      <c r="BM799" s="385"/>
      <c r="BN799" s="385"/>
      <c r="BO799" s="385"/>
      <c r="BP799" s="385"/>
      <c r="BQ799" s="385"/>
      <c r="BR799" s="385"/>
      <c r="BS799" s="385"/>
      <c r="BT799" s="385"/>
      <c r="BU799" s="385"/>
      <c r="BV799" s="385"/>
      <c r="BW799" s="385"/>
      <c r="BX799" s="385"/>
      <c r="BY799" s="385"/>
      <c r="BZ799" s="385"/>
      <c r="CA799" s="385"/>
    </row>
    <row r="800" spans="1:79" s="6" customFormat="1" ht="15" customHeight="1">
      <c r="A800" s="41" t="s">
        <v>183</v>
      </c>
      <c r="B800" s="402" t="s">
        <v>3088</v>
      </c>
      <c r="C800" s="113" t="s">
        <v>3089</v>
      </c>
      <c r="D800" s="393" t="s">
        <v>3090</v>
      </c>
      <c r="E800" s="394" t="s">
        <v>3091</v>
      </c>
      <c r="F800" s="86"/>
      <c r="G800" s="405" t="s">
        <v>3092</v>
      </c>
      <c r="H800" s="74">
        <v>4200</v>
      </c>
      <c r="I800" s="50" t="s">
        <v>2</v>
      </c>
      <c r="J800" s="48" t="s">
        <v>3093</v>
      </c>
      <c r="K800" s="51">
        <v>41021</v>
      </c>
      <c r="L800" s="115">
        <v>41011</v>
      </c>
      <c r="M800" s="50">
        <f t="shared" si="34"/>
        <v>10</v>
      </c>
      <c r="N800" s="50" t="s">
        <v>2</v>
      </c>
      <c r="O800" s="131">
        <v>1.1000000000000001</v>
      </c>
      <c r="P800" s="50">
        <v>5.5</v>
      </c>
      <c r="Q800" s="74">
        <v>6.6</v>
      </c>
      <c r="R800" s="50">
        <v>39</v>
      </c>
      <c r="S800" s="74">
        <v>26</v>
      </c>
      <c r="T800" s="50">
        <v>1</v>
      </c>
      <c r="U800" s="131">
        <v>1</v>
      </c>
      <c r="V800" s="50">
        <v>0.56000000000000005</v>
      </c>
      <c r="W800" s="74">
        <v>0.01</v>
      </c>
      <c r="X800" s="50">
        <v>7.2999999999999995E-2</v>
      </c>
      <c r="Y800" s="74">
        <v>1.2E-2</v>
      </c>
      <c r="Z800" s="271">
        <v>1</v>
      </c>
      <c r="AA800" s="271">
        <v>1</v>
      </c>
      <c r="AB800" s="114">
        <v>36</v>
      </c>
      <c r="AC800" s="50">
        <v>136</v>
      </c>
      <c r="AD800" s="271">
        <v>1</v>
      </c>
      <c r="AE800" s="50"/>
      <c r="AF800" s="49"/>
      <c r="AG800" s="114"/>
      <c r="AH800" s="114"/>
      <c r="AI800" s="114"/>
      <c r="AJ800" s="114"/>
      <c r="AK800" s="114"/>
      <c r="AL800" s="114"/>
      <c r="AM800" s="114"/>
      <c r="AN800" s="114"/>
      <c r="AO800" s="114"/>
      <c r="AP800" s="114"/>
      <c r="AQ800" s="114"/>
      <c r="AR800" s="114"/>
      <c r="AS800" s="50"/>
      <c r="AT800" s="74"/>
      <c r="AU800" s="114"/>
      <c r="AV800" s="114"/>
      <c r="AW800" s="394"/>
      <c r="AX800" s="385"/>
      <c r="AY800" s="385"/>
      <c r="AZ800" s="385"/>
      <c r="BA800" s="385"/>
      <c r="BB800" s="385"/>
      <c r="BC800" s="385"/>
      <c r="BD800" s="385"/>
      <c r="BE800" s="385"/>
      <c r="BF800" s="385"/>
      <c r="BG800" s="385"/>
      <c r="BH800" s="385"/>
      <c r="BI800" s="385"/>
      <c r="BJ800" s="385"/>
      <c r="BK800" s="385"/>
      <c r="BL800" s="385"/>
      <c r="BM800" s="385"/>
      <c r="BN800" s="385"/>
      <c r="BO800" s="385"/>
      <c r="BP800" s="385"/>
      <c r="BQ800" s="385"/>
      <c r="BR800" s="385"/>
      <c r="BS800" s="385"/>
      <c r="BT800" s="385"/>
      <c r="BU800" s="385"/>
      <c r="BV800" s="385"/>
      <c r="BW800" s="385"/>
      <c r="BX800" s="385"/>
      <c r="BY800" s="385"/>
      <c r="BZ800" s="385"/>
      <c r="CA800" s="385"/>
    </row>
    <row r="801" spans="1:79" s="6" customFormat="1" ht="15" customHeight="1">
      <c r="A801" s="41" t="s">
        <v>183</v>
      </c>
      <c r="B801" s="402" t="s">
        <v>3088</v>
      </c>
      <c r="C801" s="113" t="s">
        <v>3089</v>
      </c>
      <c r="D801" s="393" t="s">
        <v>3090</v>
      </c>
      <c r="E801" s="394" t="s">
        <v>3091</v>
      </c>
      <c r="F801" s="86"/>
      <c r="G801" s="405" t="s">
        <v>3092</v>
      </c>
      <c r="H801" s="74">
        <v>4200</v>
      </c>
      <c r="I801" s="50" t="s">
        <v>2</v>
      </c>
      <c r="J801" s="48" t="s">
        <v>3094</v>
      </c>
      <c r="K801" s="51">
        <v>41021</v>
      </c>
      <c r="L801" s="115">
        <v>41011</v>
      </c>
      <c r="M801" s="50">
        <f t="shared" si="34"/>
        <v>10</v>
      </c>
      <c r="N801" s="50" t="s">
        <v>2</v>
      </c>
      <c r="O801" s="131">
        <f>1/2</f>
        <v>0.5</v>
      </c>
      <c r="P801" s="50">
        <v>5.5</v>
      </c>
      <c r="Q801" s="74">
        <v>6.8</v>
      </c>
      <c r="R801" s="50">
        <v>30</v>
      </c>
      <c r="S801" s="74">
        <v>48</v>
      </c>
      <c r="T801" s="50">
        <v>0.43</v>
      </c>
      <c r="U801" s="131">
        <v>0.62</v>
      </c>
      <c r="V801" s="50">
        <v>0.27</v>
      </c>
      <c r="W801" s="74">
        <v>0.15</v>
      </c>
      <c r="X801" s="50">
        <v>0.25</v>
      </c>
      <c r="Y801" s="74">
        <v>1.2E-2</v>
      </c>
      <c r="Z801" s="271">
        <v>1</v>
      </c>
      <c r="AA801" s="271">
        <v>1</v>
      </c>
      <c r="AB801" s="114">
        <v>20</v>
      </c>
      <c r="AC801" s="50">
        <v>75</v>
      </c>
      <c r="AD801" s="271">
        <v>1</v>
      </c>
      <c r="AE801" s="50"/>
      <c r="AF801" s="49"/>
      <c r="AG801" s="114"/>
      <c r="AH801" s="114"/>
      <c r="AI801" s="114"/>
      <c r="AJ801" s="114"/>
      <c r="AK801" s="114"/>
      <c r="AL801" s="114"/>
      <c r="AM801" s="114"/>
      <c r="AN801" s="114"/>
      <c r="AO801" s="114"/>
      <c r="AP801" s="114"/>
      <c r="AQ801" s="114"/>
      <c r="AR801" s="114"/>
      <c r="AS801" s="50"/>
      <c r="AT801" s="74"/>
      <c r="AU801" s="114"/>
      <c r="AV801" s="114"/>
      <c r="AW801" s="394"/>
      <c r="AX801" s="385"/>
      <c r="AY801" s="385"/>
      <c r="AZ801" s="385"/>
      <c r="BA801" s="385"/>
      <c r="BB801" s="385"/>
      <c r="BC801" s="385"/>
      <c r="BD801" s="385"/>
      <c r="BE801" s="385"/>
      <c r="BF801" s="385"/>
      <c r="BG801" s="385"/>
      <c r="BH801" s="385"/>
      <c r="BI801" s="385"/>
      <c r="BJ801" s="385"/>
      <c r="BK801" s="385"/>
      <c r="BL801" s="385"/>
      <c r="BM801" s="385"/>
      <c r="BN801" s="385"/>
      <c r="BO801" s="385"/>
      <c r="BP801" s="385"/>
      <c r="BQ801" s="385"/>
      <c r="BR801" s="385"/>
      <c r="BS801" s="385"/>
      <c r="BT801" s="385"/>
      <c r="BU801" s="385"/>
      <c r="BV801" s="385"/>
      <c r="BW801" s="385"/>
      <c r="BX801" s="385"/>
      <c r="BY801" s="385"/>
      <c r="BZ801" s="385"/>
      <c r="CA801" s="385"/>
    </row>
    <row r="802" spans="1:79" s="6" customFormat="1" ht="15" customHeight="1">
      <c r="A802" s="41" t="s">
        <v>183</v>
      </c>
      <c r="B802" s="402" t="s">
        <v>3081</v>
      </c>
      <c r="C802" s="113" t="s">
        <v>3082</v>
      </c>
      <c r="D802" s="393" t="s">
        <v>308</v>
      </c>
      <c r="E802" s="394" t="s">
        <v>3083</v>
      </c>
      <c r="F802" s="86" t="s">
        <v>2667</v>
      </c>
      <c r="G802" s="405" t="s">
        <v>3084</v>
      </c>
      <c r="H802" s="74">
        <v>3086</v>
      </c>
      <c r="I802" s="50" t="s">
        <v>2</v>
      </c>
      <c r="J802" s="48" t="s">
        <v>74</v>
      </c>
      <c r="K802" s="51">
        <v>41184</v>
      </c>
      <c r="L802" s="115">
        <v>41170</v>
      </c>
      <c r="M802" s="50">
        <f t="shared" si="34"/>
        <v>14</v>
      </c>
      <c r="N802" s="50" t="s">
        <v>2</v>
      </c>
      <c r="O802" s="131">
        <f>1.4/2</f>
        <v>0.7</v>
      </c>
      <c r="P802" s="50"/>
      <c r="Q802" s="74">
        <v>6.72</v>
      </c>
      <c r="R802" s="50">
        <v>14</v>
      </c>
      <c r="S802" s="74">
        <f>5/2</f>
        <v>2.5</v>
      </c>
      <c r="T802" s="50">
        <f>0.01/2</f>
        <v>5.0000000000000001E-3</v>
      </c>
      <c r="U802" s="131">
        <v>0.93</v>
      </c>
      <c r="V802" s="50">
        <f>0.01/2</f>
        <v>5.0000000000000001E-3</v>
      </c>
      <c r="W802" s="74">
        <v>1.9E-2</v>
      </c>
      <c r="X802" s="50">
        <v>6.6000000000000003E-2</v>
      </c>
      <c r="Y802" s="74">
        <f>0.002/2</f>
        <v>1E-3</v>
      </c>
      <c r="Z802" s="271">
        <v>0.70699999999999996</v>
      </c>
      <c r="AA802" s="271">
        <v>0.53600000000000003</v>
      </c>
      <c r="AB802" s="114">
        <v>20</v>
      </c>
      <c r="AC802" s="50">
        <v>11</v>
      </c>
      <c r="AD802" s="271">
        <v>0</v>
      </c>
      <c r="AE802" s="50"/>
      <c r="AF802" s="49"/>
      <c r="AG802" s="114"/>
      <c r="AH802" s="114"/>
      <c r="AI802" s="114"/>
      <c r="AJ802" s="114"/>
      <c r="AK802" s="114"/>
      <c r="AL802" s="114"/>
      <c r="AM802" s="114"/>
      <c r="AN802" s="114"/>
      <c r="AO802" s="114"/>
      <c r="AP802" s="114"/>
      <c r="AQ802" s="114"/>
      <c r="AR802" s="114"/>
      <c r="AS802" s="50"/>
      <c r="AT802" s="74"/>
      <c r="AU802" s="114"/>
      <c r="AV802" s="114"/>
      <c r="AW802" s="394"/>
      <c r="AX802" s="385"/>
      <c r="AY802" s="385"/>
      <c r="AZ802" s="385"/>
      <c r="BA802" s="385"/>
      <c r="BB802" s="385"/>
      <c r="BC802" s="385"/>
      <c r="BD802" s="385"/>
      <c r="BE802" s="385"/>
      <c r="BF802" s="385"/>
      <c r="BG802" s="385"/>
      <c r="BH802" s="385"/>
      <c r="BI802" s="385"/>
      <c r="BJ802" s="385"/>
      <c r="BK802" s="385"/>
      <c r="BL802" s="385"/>
      <c r="BM802" s="385"/>
      <c r="BN802" s="385"/>
      <c r="BO802" s="385"/>
      <c r="BP802" s="385"/>
      <c r="BQ802" s="385"/>
      <c r="BR802" s="385"/>
      <c r="BS802" s="385"/>
      <c r="BT802" s="385"/>
      <c r="BU802" s="385"/>
      <c r="BV802" s="385"/>
      <c r="BW802" s="385"/>
      <c r="BX802" s="385"/>
      <c r="BY802" s="385"/>
      <c r="BZ802" s="385"/>
      <c r="CA802" s="385"/>
    </row>
    <row r="803" spans="1:79" s="6" customFormat="1" ht="15" customHeight="1">
      <c r="A803" s="41" t="s">
        <v>183</v>
      </c>
      <c r="B803" s="402" t="s">
        <v>3081</v>
      </c>
      <c r="C803" s="113" t="s">
        <v>3082</v>
      </c>
      <c r="D803" s="393" t="s">
        <v>308</v>
      </c>
      <c r="E803" s="394" t="s">
        <v>3083</v>
      </c>
      <c r="F803" s="86" t="s">
        <v>2667</v>
      </c>
      <c r="G803" s="405" t="s">
        <v>3084</v>
      </c>
      <c r="H803" s="74">
        <v>3086</v>
      </c>
      <c r="I803" s="50" t="s">
        <v>2</v>
      </c>
      <c r="J803" s="48" t="s">
        <v>75</v>
      </c>
      <c r="K803" s="51">
        <v>41184</v>
      </c>
      <c r="L803" s="115">
        <v>41170</v>
      </c>
      <c r="M803" s="50">
        <f t="shared" si="34"/>
        <v>14</v>
      </c>
      <c r="N803" s="50" t="s">
        <v>2</v>
      </c>
      <c r="O803" s="131">
        <f>1.4/2</f>
        <v>0.7</v>
      </c>
      <c r="P803" s="50"/>
      <c r="Q803" s="74">
        <v>6.57</v>
      </c>
      <c r="R803" s="50">
        <v>14</v>
      </c>
      <c r="S803" s="74">
        <f>5/2</f>
        <v>2.5</v>
      </c>
      <c r="T803" s="50">
        <f>0.01/2</f>
        <v>5.0000000000000001E-3</v>
      </c>
      <c r="U803" s="131">
        <v>0.62</v>
      </c>
      <c r="V803" s="50">
        <f>0.01/2</f>
        <v>5.0000000000000001E-3</v>
      </c>
      <c r="W803" s="74">
        <v>1.6E-2</v>
      </c>
      <c r="X803" s="50">
        <v>5.5E-2</v>
      </c>
      <c r="Y803" s="74">
        <f>0.002/2</f>
        <v>1E-3</v>
      </c>
      <c r="Z803" s="271">
        <v>0.70699999999999996</v>
      </c>
      <c r="AA803" s="271">
        <v>0.45100000000000001</v>
      </c>
      <c r="AB803" s="114">
        <v>8</v>
      </c>
      <c r="AC803" s="50">
        <v>8</v>
      </c>
      <c r="AD803" s="271">
        <v>0</v>
      </c>
      <c r="AE803" s="50"/>
      <c r="AF803" s="49"/>
      <c r="AG803" s="114"/>
      <c r="AH803" s="114"/>
      <c r="AI803" s="114"/>
      <c r="AJ803" s="114"/>
      <c r="AK803" s="114"/>
      <c r="AL803" s="114"/>
      <c r="AM803" s="114"/>
      <c r="AN803" s="114"/>
      <c r="AO803" s="114"/>
      <c r="AP803" s="114"/>
      <c r="AQ803" s="114"/>
      <c r="AR803" s="114"/>
      <c r="AS803" s="50"/>
      <c r="AT803" s="74"/>
      <c r="AU803" s="114"/>
      <c r="AV803" s="114"/>
      <c r="AW803" s="394"/>
      <c r="AX803" s="385"/>
      <c r="AY803" s="385"/>
      <c r="AZ803" s="385"/>
      <c r="BA803" s="385"/>
      <c r="BB803" s="385"/>
      <c r="BC803" s="385"/>
      <c r="BD803" s="385"/>
      <c r="BE803" s="385"/>
      <c r="BF803" s="385"/>
      <c r="BG803" s="385"/>
      <c r="BH803" s="385"/>
      <c r="BI803" s="385"/>
      <c r="BJ803" s="385"/>
      <c r="BK803" s="385"/>
      <c r="BL803" s="385"/>
      <c r="BM803" s="385"/>
      <c r="BN803" s="385"/>
      <c r="BO803" s="385"/>
      <c r="BP803" s="385"/>
      <c r="BQ803" s="385"/>
      <c r="BR803" s="385"/>
      <c r="BS803" s="385"/>
      <c r="BT803" s="385"/>
      <c r="BU803" s="385"/>
      <c r="BV803" s="385"/>
      <c r="BW803" s="385"/>
      <c r="BX803" s="385"/>
      <c r="BY803" s="385"/>
      <c r="BZ803" s="385"/>
      <c r="CA803" s="385"/>
    </row>
    <row r="804" spans="1:79" s="6" customFormat="1" ht="15" customHeight="1">
      <c r="A804" s="41" t="s">
        <v>183</v>
      </c>
      <c r="B804" s="402" t="s">
        <v>3081</v>
      </c>
      <c r="C804" s="113" t="s">
        <v>3082</v>
      </c>
      <c r="D804" s="393" t="s">
        <v>308</v>
      </c>
      <c r="E804" s="394" t="s">
        <v>3083</v>
      </c>
      <c r="F804" s="86" t="s">
        <v>2667</v>
      </c>
      <c r="G804" s="405" t="s">
        <v>3084</v>
      </c>
      <c r="H804" s="74">
        <v>3086</v>
      </c>
      <c r="I804" s="50" t="s">
        <v>2</v>
      </c>
      <c r="J804" s="48" t="s">
        <v>687</v>
      </c>
      <c r="K804" s="51">
        <v>41184</v>
      </c>
      <c r="L804" s="115">
        <v>41170</v>
      </c>
      <c r="M804" s="50">
        <f t="shared" si="34"/>
        <v>14</v>
      </c>
      <c r="N804" s="50" t="s">
        <v>2</v>
      </c>
      <c r="O804" s="131">
        <f>1.4/2</f>
        <v>0.7</v>
      </c>
      <c r="P804" s="50"/>
      <c r="Q804" s="74">
        <v>6.33</v>
      </c>
      <c r="R804" s="50">
        <v>18</v>
      </c>
      <c r="S804" s="74">
        <f>5/2</f>
        <v>2.5</v>
      </c>
      <c r="T804" s="50">
        <f>0.01/2</f>
        <v>5.0000000000000001E-3</v>
      </c>
      <c r="U804" s="131">
        <v>0.56999999999999995</v>
      </c>
      <c r="V804" s="50">
        <v>0.01</v>
      </c>
      <c r="W804" s="74">
        <v>1.0999999999999999E-2</v>
      </c>
      <c r="X804" s="50">
        <v>4.2999999999999997E-2</v>
      </c>
      <c r="Y804" s="74">
        <f>0.002/2</f>
        <v>1E-3</v>
      </c>
      <c r="Z804" s="271">
        <v>0.70699999999999996</v>
      </c>
      <c r="AA804" s="271">
        <v>0.61599999999999999</v>
      </c>
      <c r="AB804" s="114">
        <v>4</v>
      </c>
      <c r="AC804" s="50">
        <v>6</v>
      </c>
      <c r="AD804" s="271">
        <v>0</v>
      </c>
      <c r="AE804" s="50"/>
      <c r="AF804" s="49"/>
      <c r="AG804" s="114"/>
      <c r="AH804" s="114"/>
      <c r="AI804" s="114"/>
      <c r="AJ804" s="114"/>
      <c r="AK804" s="114"/>
      <c r="AL804" s="114"/>
      <c r="AM804" s="114"/>
      <c r="AN804" s="114"/>
      <c r="AO804" s="114"/>
      <c r="AP804" s="114"/>
      <c r="AQ804" s="114"/>
      <c r="AR804" s="114"/>
      <c r="AS804" s="50"/>
      <c r="AT804" s="74"/>
      <c r="AU804" s="114"/>
      <c r="AV804" s="114"/>
      <c r="AW804" s="394"/>
      <c r="AX804" s="385"/>
      <c r="AY804" s="385"/>
      <c r="AZ804" s="385"/>
      <c r="BA804" s="385"/>
      <c r="BB804" s="385"/>
      <c r="BC804" s="385"/>
      <c r="BD804" s="385"/>
      <c r="BE804" s="385"/>
      <c r="BF804" s="385"/>
      <c r="BG804" s="385"/>
      <c r="BH804" s="385"/>
      <c r="BI804" s="385"/>
      <c r="BJ804" s="385"/>
      <c r="BK804" s="385"/>
      <c r="BL804" s="385"/>
      <c r="BM804" s="385"/>
      <c r="BN804" s="385"/>
      <c r="BO804" s="385"/>
      <c r="BP804" s="385"/>
      <c r="BQ804" s="385"/>
      <c r="BR804" s="385"/>
      <c r="BS804" s="385"/>
      <c r="BT804" s="385"/>
      <c r="BU804" s="385"/>
      <c r="BV804" s="385"/>
      <c r="BW804" s="385"/>
      <c r="BX804" s="385"/>
      <c r="BY804" s="385"/>
      <c r="BZ804" s="385"/>
      <c r="CA804" s="385"/>
    </row>
    <row r="805" spans="1:79" s="6" customFormat="1" ht="15" customHeight="1">
      <c r="A805" s="41" t="s">
        <v>183</v>
      </c>
      <c r="B805" s="402" t="s">
        <v>432</v>
      </c>
      <c r="C805" s="113" t="s">
        <v>432</v>
      </c>
      <c r="D805" s="393" t="s">
        <v>434</v>
      </c>
      <c r="E805" s="394" t="s">
        <v>433</v>
      </c>
      <c r="F805" s="86" t="s">
        <v>2667</v>
      </c>
      <c r="G805" s="405" t="s">
        <v>435</v>
      </c>
      <c r="H805" s="74">
        <v>3644</v>
      </c>
      <c r="I805" s="50" t="s">
        <v>2</v>
      </c>
      <c r="J805" s="48" t="s">
        <v>81</v>
      </c>
      <c r="K805" s="51">
        <v>41324</v>
      </c>
      <c r="L805" s="115">
        <v>41319</v>
      </c>
      <c r="M805" s="50">
        <f t="shared" si="34"/>
        <v>5</v>
      </c>
      <c r="N805" s="50" t="s">
        <v>1</v>
      </c>
      <c r="O805" s="131">
        <f>5/2</f>
        <v>2.5</v>
      </c>
      <c r="P805" s="50">
        <v>4.46</v>
      </c>
      <c r="Q805" s="74">
        <v>4.53</v>
      </c>
      <c r="R805" s="50">
        <v>53</v>
      </c>
      <c r="S805" s="74">
        <v>12</v>
      </c>
      <c r="T805" s="50">
        <f>0.1/2</f>
        <v>0.05</v>
      </c>
      <c r="U805" s="131">
        <v>1.7</v>
      </c>
      <c r="V805" s="50">
        <v>0.45</v>
      </c>
      <c r="W805" s="74">
        <f>0.04/2</f>
        <v>0.02</v>
      </c>
      <c r="X805" s="50">
        <v>0.57999999999999996</v>
      </c>
      <c r="Y805" s="74">
        <f>0.013/2</f>
        <v>6.4999999999999997E-3</v>
      </c>
      <c r="Z805" s="271">
        <v>0.68300000000000005</v>
      </c>
      <c r="AA805" s="271">
        <v>0.35399999999999998</v>
      </c>
      <c r="AB805" s="114">
        <v>5.4</v>
      </c>
      <c r="AC805" s="50">
        <v>82</v>
      </c>
      <c r="AD805" s="271">
        <v>0</v>
      </c>
      <c r="AE805" s="50"/>
      <c r="AF805" s="49"/>
      <c r="AG805" s="114"/>
      <c r="AH805" s="114"/>
      <c r="AI805" s="114"/>
      <c r="AJ805" s="114"/>
      <c r="AK805" s="114"/>
      <c r="AL805" s="114"/>
      <c r="AM805" s="114"/>
      <c r="AN805" s="114"/>
      <c r="AO805" s="114"/>
      <c r="AP805" s="114"/>
      <c r="AQ805" s="114"/>
      <c r="AR805" s="114"/>
      <c r="AS805" s="50"/>
      <c r="AT805" s="74"/>
      <c r="AU805" s="114"/>
      <c r="AV805" s="114"/>
      <c r="AW805" s="394"/>
      <c r="AX805" s="385"/>
      <c r="AY805" s="385"/>
      <c r="AZ805" s="385"/>
      <c r="BA805" s="385"/>
      <c r="BB805" s="385"/>
      <c r="BC805" s="385"/>
      <c r="BD805" s="385"/>
      <c r="BE805" s="385"/>
      <c r="BF805" s="385"/>
      <c r="BG805" s="385"/>
      <c r="BH805" s="385"/>
      <c r="BI805" s="385"/>
      <c r="BJ805" s="385"/>
      <c r="BK805" s="385"/>
      <c r="BL805" s="385"/>
      <c r="BM805" s="385"/>
      <c r="BN805" s="385"/>
      <c r="BO805" s="385"/>
      <c r="BP805" s="385"/>
      <c r="BQ805" s="385"/>
      <c r="BR805" s="385"/>
      <c r="BS805" s="385"/>
      <c r="BT805" s="385"/>
      <c r="BU805" s="385"/>
      <c r="BV805" s="385"/>
      <c r="BW805" s="385"/>
      <c r="BX805" s="385"/>
      <c r="BY805" s="385"/>
      <c r="BZ805" s="385"/>
      <c r="CA805" s="385"/>
    </row>
    <row r="806" spans="1:79" s="6" customFormat="1" ht="15" customHeight="1">
      <c r="A806" s="41" t="s">
        <v>183</v>
      </c>
      <c r="B806" s="402" t="s">
        <v>3095</v>
      </c>
      <c r="C806" s="113" t="s">
        <v>3095</v>
      </c>
      <c r="D806" s="393" t="s">
        <v>314</v>
      </c>
      <c r="E806" s="394" t="s">
        <v>3096</v>
      </c>
      <c r="F806" s="86"/>
      <c r="G806" s="405" t="s">
        <v>3097</v>
      </c>
      <c r="H806" s="74">
        <v>3544</v>
      </c>
      <c r="I806" s="50" t="s">
        <v>2</v>
      </c>
      <c r="J806" s="48" t="s">
        <v>510</v>
      </c>
      <c r="K806" s="51">
        <v>41264</v>
      </c>
      <c r="L806" s="115">
        <v>41261</v>
      </c>
      <c r="M806" s="50">
        <f t="shared" si="34"/>
        <v>3</v>
      </c>
      <c r="N806" s="50" t="s">
        <v>2</v>
      </c>
      <c r="O806" s="131">
        <f>1.4/2</f>
        <v>0.7</v>
      </c>
      <c r="P806" s="50">
        <v>5.67</v>
      </c>
      <c r="Q806" s="74">
        <v>6.39</v>
      </c>
      <c r="R806" s="50">
        <v>23</v>
      </c>
      <c r="S806" s="74">
        <v>6.5</v>
      </c>
      <c r="T806" s="50">
        <v>0.02</v>
      </c>
      <c r="U806" s="131">
        <v>0.5</v>
      </c>
      <c r="V806" s="50">
        <v>0.37</v>
      </c>
      <c r="W806" s="74">
        <v>6.0000000000000001E-3</v>
      </c>
      <c r="X806" s="50">
        <v>0.36799999999999999</v>
      </c>
      <c r="Y806" s="74">
        <v>3.0000000000000001E-3</v>
      </c>
      <c r="Z806" s="271">
        <v>0.95799999999999996</v>
      </c>
      <c r="AA806" s="271">
        <v>0.47399999999999998</v>
      </c>
      <c r="AB806" s="114">
        <v>6</v>
      </c>
      <c r="AC806" s="50">
        <v>44</v>
      </c>
      <c r="AD806" s="271">
        <v>0</v>
      </c>
      <c r="AE806" s="50"/>
      <c r="AF806" s="49"/>
      <c r="AG806" s="114"/>
      <c r="AH806" s="114"/>
      <c r="AI806" s="114"/>
      <c r="AJ806" s="114"/>
      <c r="AK806" s="114"/>
      <c r="AL806" s="114"/>
      <c r="AM806" s="114"/>
      <c r="AN806" s="114"/>
      <c r="AO806" s="114"/>
      <c r="AP806" s="114"/>
      <c r="AQ806" s="114"/>
      <c r="AR806" s="114"/>
      <c r="AS806" s="50"/>
      <c r="AT806" s="74"/>
      <c r="AU806" s="114"/>
      <c r="AV806" s="114"/>
      <c r="AW806" s="394"/>
      <c r="AX806" s="385"/>
      <c r="AY806" s="385"/>
      <c r="AZ806" s="385"/>
      <c r="BA806" s="385"/>
      <c r="BB806" s="385"/>
      <c r="BC806" s="385"/>
      <c r="BD806" s="385"/>
      <c r="BE806" s="385"/>
      <c r="BF806" s="385"/>
      <c r="BG806" s="385"/>
      <c r="BH806" s="385"/>
      <c r="BI806" s="385"/>
      <c r="BJ806" s="385"/>
      <c r="BK806" s="385"/>
      <c r="BL806" s="385"/>
      <c r="BM806" s="385"/>
      <c r="BN806" s="385"/>
      <c r="BO806" s="385"/>
      <c r="BP806" s="385"/>
      <c r="BQ806" s="385"/>
      <c r="BR806" s="385"/>
      <c r="BS806" s="385"/>
      <c r="BT806" s="385"/>
      <c r="BU806" s="385"/>
      <c r="BV806" s="385"/>
      <c r="BW806" s="385"/>
      <c r="BX806" s="385"/>
      <c r="BY806" s="385"/>
      <c r="BZ806" s="385"/>
      <c r="CA806" s="385"/>
    </row>
    <row r="807" spans="1:79" s="6" customFormat="1" ht="15" customHeight="1">
      <c r="A807" s="41" t="s">
        <v>183</v>
      </c>
      <c r="B807" s="402" t="s">
        <v>3098</v>
      </c>
      <c r="C807" s="113" t="s">
        <v>3098</v>
      </c>
      <c r="D807" s="393" t="s">
        <v>2501</v>
      </c>
      <c r="E807" s="394" t="s">
        <v>3099</v>
      </c>
      <c r="F807" s="86"/>
      <c r="G807" s="405" t="s">
        <v>3100</v>
      </c>
      <c r="H807" s="74">
        <v>2841</v>
      </c>
      <c r="I807" s="50" t="s">
        <v>2</v>
      </c>
      <c r="J807" s="48" t="s">
        <v>3101</v>
      </c>
      <c r="K807" s="51">
        <v>41302</v>
      </c>
      <c r="L807" s="115">
        <v>41299</v>
      </c>
      <c r="M807" s="50">
        <f t="shared" si="34"/>
        <v>3</v>
      </c>
      <c r="N807" s="50" t="s">
        <v>1</v>
      </c>
      <c r="O807" s="131">
        <v>3.6</v>
      </c>
      <c r="P807" s="50">
        <v>5</v>
      </c>
      <c r="Q807" s="74">
        <v>7</v>
      </c>
      <c r="R807" s="50">
        <v>22</v>
      </c>
      <c r="S807" s="74">
        <v>25</v>
      </c>
      <c r="T807" s="50">
        <v>5.3999999999999999E-2</v>
      </c>
      <c r="U807" s="131">
        <v>0.83</v>
      </c>
      <c r="V807" s="50">
        <v>1.5</v>
      </c>
      <c r="W807" s="74">
        <v>3.7000000000000002E-3</v>
      </c>
      <c r="X807" s="50">
        <v>2.5</v>
      </c>
      <c r="Y807" s="74">
        <f>0.002/2</f>
        <v>1E-3</v>
      </c>
      <c r="Z807" s="271">
        <v>0.29899999999999999</v>
      </c>
      <c r="AA807" s="271">
        <v>0.186</v>
      </c>
      <c r="AB807" s="114">
        <v>18</v>
      </c>
      <c r="AC807" s="50">
        <v>348</v>
      </c>
      <c r="AD807" s="271">
        <v>0</v>
      </c>
      <c r="AE807" s="50"/>
      <c r="AF807" s="49"/>
      <c r="AG807" s="114"/>
      <c r="AH807" s="114"/>
      <c r="AI807" s="114"/>
      <c r="AJ807" s="114"/>
      <c r="AK807" s="114"/>
      <c r="AL807" s="114"/>
      <c r="AM807" s="114"/>
      <c r="AN807" s="114"/>
      <c r="AO807" s="114"/>
      <c r="AP807" s="114"/>
      <c r="AQ807" s="114"/>
      <c r="AR807" s="114"/>
      <c r="AS807" s="50"/>
      <c r="AT807" s="74"/>
      <c r="AU807" s="114"/>
      <c r="AV807" s="114"/>
      <c r="AW807" s="394"/>
      <c r="AX807" s="385"/>
      <c r="AY807" s="385"/>
      <c r="AZ807" s="385"/>
      <c r="BA807" s="385"/>
      <c r="BB807" s="385"/>
      <c r="BC807" s="385"/>
      <c r="BD807" s="385"/>
      <c r="BE807" s="385"/>
      <c r="BF807" s="385"/>
      <c r="BG807" s="385"/>
      <c r="BH807" s="385"/>
      <c r="BI807" s="385"/>
      <c r="BJ807" s="385"/>
      <c r="BK807" s="385"/>
      <c r="BL807" s="385"/>
      <c r="BM807" s="385"/>
      <c r="BN807" s="385"/>
      <c r="BO807" s="385"/>
      <c r="BP807" s="385"/>
      <c r="BQ807" s="385"/>
      <c r="BR807" s="385"/>
      <c r="BS807" s="385"/>
      <c r="BT807" s="385"/>
      <c r="BU807" s="385"/>
      <c r="BV807" s="385"/>
      <c r="BW807" s="385"/>
      <c r="BX807" s="385"/>
      <c r="BY807" s="385"/>
      <c r="BZ807" s="385"/>
      <c r="CA807" s="385"/>
    </row>
    <row r="808" spans="1:79" s="6" customFormat="1" ht="15" customHeight="1">
      <c r="A808" s="41" t="s">
        <v>183</v>
      </c>
      <c r="B808" s="402" t="s">
        <v>3102</v>
      </c>
      <c r="C808" s="113" t="s">
        <v>3103</v>
      </c>
      <c r="D808" s="393" t="s">
        <v>262</v>
      </c>
      <c r="E808" s="394" t="s">
        <v>3104</v>
      </c>
      <c r="F808" s="86" t="s">
        <v>2667</v>
      </c>
      <c r="G808" s="405" t="s">
        <v>2373</v>
      </c>
      <c r="H808" s="74">
        <v>3316</v>
      </c>
      <c r="I808" s="50" t="s">
        <v>2</v>
      </c>
      <c r="J808" s="48" t="s">
        <v>114</v>
      </c>
      <c r="K808" s="51">
        <v>41305</v>
      </c>
      <c r="L808" s="115">
        <v>41300</v>
      </c>
      <c r="M808" s="50">
        <f t="shared" si="34"/>
        <v>5</v>
      </c>
      <c r="N808" s="50" t="s">
        <v>2</v>
      </c>
      <c r="O808" s="131">
        <f>5/2</f>
        <v>2.5</v>
      </c>
      <c r="P808" s="50">
        <v>7</v>
      </c>
      <c r="Q808" s="74">
        <v>6.25</v>
      </c>
      <c r="R808" s="50">
        <f>5/2</f>
        <v>2.5</v>
      </c>
      <c r="S808" s="49">
        <f>5/2</f>
        <v>2.5</v>
      </c>
      <c r="T808" s="50">
        <f>0.1/2</f>
        <v>0.05</v>
      </c>
      <c r="U808" s="131">
        <f>1/2</f>
        <v>0.5</v>
      </c>
      <c r="V808" s="50">
        <f>0.1/2</f>
        <v>0.05</v>
      </c>
      <c r="W808" s="74">
        <f>0.04/2</f>
        <v>0.02</v>
      </c>
      <c r="X808" s="50">
        <f>0.02/2</f>
        <v>0.01</v>
      </c>
      <c r="Y808" s="74">
        <f>0.013/2</f>
        <v>6.4999999999999997E-3</v>
      </c>
      <c r="Z808" s="271">
        <v>1</v>
      </c>
      <c r="AA808" s="271">
        <v>1</v>
      </c>
      <c r="AB808" s="114">
        <v>5.0999999999999996</v>
      </c>
      <c r="AC808" s="50">
        <v>77</v>
      </c>
      <c r="AD808" s="271">
        <v>1</v>
      </c>
      <c r="AE808" s="50"/>
      <c r="AF808" s="49"/>
      <c r="AG808" s="114"/>
      <c r="AH808" s="114"/>
      <c r="AI808" s="114"/>
      <c r="AJ808" s="114"/>
      <c r="AK808" s="114"/>
      <c r="AL808" s="114"/>
      <c r="AM808" s="114"/>
      <c r="AN808" s="114"/>
      <c r="AO808" s="114"/>
      <c r="AP808" s="114"/>
      <c r="AQ808" s="114"/>
      <c r="AR808" s="114"/>
      <c r="AS808" s="50"/>
      <c r="AT808" s="74"/>
      <c r="AU808" s="114"/>
      <c r="AV808" s="114"/>
      <c r="AW808" s="394"/>
      <c r="AX808" s="385"/>
      <c r="AY808" s="385"/>
      <c r="AZ808" s="385"/>
      <c r="BA808" s="385"/>
      <c r="BB808" s="385"/>
      <c r="BC808" s="385"/>
      <c r="BD808" s="385"/>
      <c r="BE808" s="385"/>
      <c r="BF808" s="385"/>
      <c r="BG808" s="385"/>
      <c r="BH808" s="385"/>
      <c r="BI808" s="385"/>
      <c r="BJ808" s="385"/>
      <c r="BK808" s="385"/>
      <c r="BL808" s="385"/>
      <c r="BM808" s="385"/>
      <c r="BN808" s="385"/>
      <c r="BO808" s="385"/>
      <c r="BP808" s="385"/>
      <c r="BQ808" s="385"/>
      <c r="BR808" s="385"/>
      <c r="BS808" s="385"/>
      <c r="BT808" s="385"/>
      <c r="BU808" s="385"/>
      <c r="BV808" s="385"/>
      <c r="BW808" s="385"/>
      <c r="BX808" s="385"/>
      <c r="BY808" s="385"/>
      <c r="BZ808" s="385"/>
      <c r="CA808" s="385"/>
    </row>
    <row r="809" spans="1:79" s="6" customFormat="1" ht="15" customHeight="1">
      <c r="A809" s="41" t="s">
        <v>183</v>
      </c>
      <c r="B809" s="402" t="s">
        <v>3102</v>
      </c>
      <c r="C809" s="113" t="s">
        <v>3103</v>
      </c>
      <c r="D809" s="393" t="s">
        <v>262</v>
      </c>
      <c r="E809" s="394" t="s">
        <v>3104</v>
      </c>
      <c r="F809" s="86" t="s">
        <v>2667</v>
      </c>
      <c r="G809" s="405" t="s">
        <v>2373</v>
      </c>
      <c r="H809" s="74">
        <v>3316</v>
      </c>
      <c r="I809" s="50" t="s">
        <v>2</v>
      </c>
      <c r="J809" s="48" t="s">
        <v>81</v>
      </c>
      <c r="K809" s="51">
        <v>41305</v>
      </c>
      <c r="L809" s="115">
        <v>41300</v>
      </c>
      <c r="M809" s="50">
        <f t="shared" si="34"/>
        <v>5</v>
      </c>
      <c r="N809" s="50" t="s">
        <v>2</v>
      </c>
      <c r="O809" s="131">
        <f>5/2</f>
        <v>2.5</v>
      </c>
      <c r="P809" s="50">
        <v>7</v>
      </c>
      <c r="Q809" s="74">
        <v>6.21</v>
      </c>
      <c r="R809" s="50">
        <f>5/2</f>
        <v>2.5</v>
      </c>
      <c r="S809" s="74">
        <v>5</v>
      </c>
      <c r="T809" s="50">
        <f>0.1/2</f>
        <v>0.05</v>
      </c>
      <c r="U809" s="131">
        <f>1/2</f>
        <v>0.5</v>
      </c>
      <c r="V809" s="50">
        <f>0.1/2</f>
        <v>0.05</v>
      </c>
      <c r="W809" s="74">
        <f>0.04/2</f>
        <v>0.02</v>
      </c>
      <c r="X809" s="50">
        <v>4.4999999999999998E-2</v>
      </c>
      <c r="Y809" s="74">
        <f>0.013/2</f>
        <v>6.4999999999999997E-3</v>
      </c>
      <c r="Z809" s="271">
        <v>1</v>
      </c>
      <c r="AA809" s="271">
        <v>1</v>
      </c>
      <c r="AB809" s="114">
        <v>1.6</v>
      </c>
      <c r="AC809" s="50">
        <v>25</v>
      </c>
      <c r="AD809" s="271">
        <v>1</v>
      </c>
      <c r="AE809" s="50"/>
      <c r="AF809" s="49"/>
      <c r="AG809" s="114"/>
      <c r="AH809" s="114"/>
      <c r="AI809" s="114"/>
      <c r="AJ809" s="114"/>
      <c r="AK809" s="114"/>
      <c r="AL809" s="114"/>
      <c r="AM809" s="114"/>
      <c r="AN809" s="114"/>
      <c r="AO809" s="114"/>
      <c r="AP809" s="114"/>
      <c r="AQ809" s="114"/>
      <c r="AR809" s="114"/>
      <c r="AS809" s="50"/>
      <c r="AT809" s="74"/>
      <c r="AU809" s="114"/>
      <c r="AV809" s="114"/>
      <c r="AW809" s="394"/>
      <c r="AX809" s="385"/>
      <c r="AY809" s="385"/>
      <c r="AZ809" s="385"/>
      <c r="BA809" s="385"/>
      <c r="BB809" s="385"/>
      <c r="BC809" s="385"/>
      <c r="BD809" s="385"/>
      <c r="BE809" s="385"/>
      <c r="BF809" s="385"/>
      <c r="BG809" s="385"/>
      <c r="BH809" s="385"/>
      <c r="BI809" s="385"/>
      <c r="BJ809" s="385"/>
      <c r="BK809" s="385"/>
      <c r="BL809" s="385"/>
      <c r="BM809" s="385"/>
      <c r="BN809" s="385"/>
      <c r="BO809" s="385"/>
      <c r="BP809" s="385"/>
      <c r="BQ809" s="385"/>
      <c r="BR809" s="385"/>
      <c r="BS809" s="385"/>
      <c r="BT809" s="385"/>
      <c r="BU809" s="385"/>
      <c r="BV809" s="385"/>
      <c r="BW809" s="385"/>
      <c r="BX809" s="385"/>
      <c r="BY809" s="385"/>
      <c r="BZ809" s="385"/>
      <c r="CA809" s="385"/>
    </row>
    <row r="810" spans="1:79" s="6" customFormat="1" ht="15" customHeight="1">
      <c r="A810" s="41" t="s">
        <v>183</v>
      </c>
      <c r="B810" s="402" t="s">
        <v>2794</v>
      </c>
      <c r="C810" s="113" t="s">
        <v>1918</v>
      </c>
      <c r="D810" s="393" t="s">
        <v>397</v>
      </c>
      <c r="E810" s="394" t="s">
        <v>2795</v>
      </c>
      <c r="F810" s="402"/>
      <c r="G810" s="405" t="s">
        <v>2796</v>
      </c>
      <c r="H810" s="113">
        <v>4952</v>
      </c>
      <c r="I810" s="49" t="s">
        <v>1</v>
      </c>
      <c r="J810" s="48" t="s">
        <v>194</v>
      </c>
      <c r="K810" s="51">
        <v>41332</v>
      </c>
      <c r="L810" s="115"/>
      <c r="M810" s="50"/>
      <c r="N810" s="50" t="s">
        <v>2</v>
      </c>
      <c r="O810" s="131">
        <f>1.6/2</f>
        <v>0.8</v>
      </c>
      <c r="P810" s="50">
        <v>6.06</v>
      </c>
      <c r="Q810" s="74">
        <v>6.41</v>
      </c>
      <c r="R810" s="50">
        <v>11</v>
      </c>
      <c r="S810" s="74">
        <v>8</v>
      </c>
      <c r="T810" s="50">
        <v>0.03</v>
      </c>
      <c r="U810" s="131">
        <v>0.42</v>
      </c>
      <c r="V810" s="50">
        <v>0.04</v>
      </c>
      <c r="W810" s="74">
        <f>0.005/2</f>
        <v>2.5000000000000001E-3</v>
      </c>
      <c r="X810" s="50">
        <v>3.0000000000000001E-3</v>
      </c>
      <c r="Y810" s="74">
        <f>0.002/2</f>
        <v>1E-3</v>
      </c>
      <c r="Z810" s="271"/>
      <c r="AA810" s="271"/>
      <c r="AB810" s="114"/>
      <c r="AC810" s="50"/>
      <c r="AD810" s="271"/>
      <c r="AE810" s="50"/>
      <c r="AF810" s="49"/>
      <c r="AG810" s="114"/>
      <c r="AH810" s="114"/>
      <c r="AI810" s="114">
        <f>10/2</f>
        <v>5</v>
      </c>
      <c r="AJ810" s="114">
        <v>10</v>
      </c>
      <c r="AK810" s="114"/>
      <c r="AL810" s="114"/>
      <c r="AM810" s="114"/>
      <c r="AN810" s="114"/>
      <c r="AO810" s="114"/>
      <c r="AP810" s="114"/>
      <c r="AQ810" s="114"/>
      <c r="AR810" s="114"/>
      <c r="AS810" s="50"/>
      <c r="AT810" s="74"/>
      <c r="AU810" s="114"/>
      <c r="AV810" s="114"/>
      <c r="AW810" s="394"/>
      <c r="AX810" s="385"/>
      <c r="AY810" s="385"/>
      <c r="AZ810" s="385"/>
      <c r="BA810" s="385"/>
      <c r="BB810" s="385"/>
      <c r="BC810" s="385"/>
      <c r="BD810" s="385"/>
      <c r="BE810" s="385"/>
      <c r="BF810" s="385"/>
      <c r="BG810" s="385"/>
      <c r="BH810" s="385"/>
      <c r="BI810" s="385"/>
      <c r="BJ810" s="385"/>
      <c r="BK810" s="385"/>
      <c r="BL810" s="385"/>
      <c r="BM810" s="385"/>
      <c r="BN810" s="385"/>
      <c r="BO810" s="385"/>
      <c r="BP810" s="385"/>
      <c r="BQ810" s="385"/>
      <c r="BR810" s="385"/>
      <c r="BS810" s="385"/>
      <c r="BT810" s="385"/>
      <c r="BU810" s="385"/>
      <c r="BV810" s="385"/>
      <c r="BW810" s="385"/>
      <c r="BX810" s="385"/>
      <c r="BY810" s="385"/>
      <c r="BZ810" s="385"/>
      <c r="CA810" s="385"/>
    </row>
    <row r="811" spans="1:79" s="6" customFormat="1" ht="15" customHeight="1">
      <c r="A811" s="41" t="s">
        <v>183</v>
      </c>
      <c r="B811" s="402" t="s">
        <v>3155</v>
      </c>
      <c r="C811" s="113"/>
      <c r="D811" s="393" t="s">
        <v>303</v>
      </c>
      <c r="E811" s="394" t="s">
        <v>3156</v>
      </c>
      <c r="F811" s="402"/>
      <c r="G811" s="405" t="s">
        <v>682</v>
      </c>
      <c r="H811" s="74">
        <v>3999</v>
      </c>
      <c r="I811" s="50" t="s">
        <v>2</v>
      </c>
      <c r="J811" s="339" t="s">
        <v>81</v>
      </c>
      <c r="K811" s="51">
        <v>41332</v>
      </c>
      <c r="L811" s="115">
        <v>41328</v>
      </c>
      <c r="M811" s="50">
        <f t="shared" ref="M811:M816" si="35">K811-L811</f>
        <v>4</v>
      </c>
      <c r="N811" s="50" t="s">
        <v>1</v>
      </c>
      <c r="O811" s="131">
        <f>5/2</f>
        <v>2.5</v>
      </c>
      <c r="P811" s="50">
        <v>6</v>
      </c>
      <c r="Q811" s="74">
        <v>6.42</v>
      </c>
      <c r="R811" s="50">
        <f>5/2</f>
        <v>2.5</v>
      </c>
      <c r="S811" s="74">
        <v>10</v>
      </c>
      <c r="T811" s="50">
        <v>0.16</v>
      </c>
      <c r="U811" s="131">
        <f>1/2</f>
        <v>0.5</v>
      </c>
      <c r="V811" s="50">
        <v>0.16</v>
      </c>
      <c r="W811" s="74">
        <f>0.04/2</f>
        <v>0.02</v>
      </c>
      <c r="X811" s="50">
        <v>0.1</v>
      </c>
      <c r="Y811" s="74">
        <f>0.013/2</f>
        <v>6.4999999999999997E-3</v>
      </c>
      <c r="Z811" s="271"/>
      <c r="AA811" s="271"/>
      <c r="AB811" s="114"/>
      <c r="AC811" s="50"/>
      <c r="AD811" s="271"/>
      <c r="AE811" s="50"/>
      <c r="AF811" s="49"/>
      <c r="AG811" s="114"/>
      <c r="AH811" s="114"/>
      <c r="AI811" s="114"/>
      <c r="AJ811" s="114"/>
      <c r="AK811" s="114"/>
      <c r="AL811" s="114"/>
      <c r="AM811" s="114"/>
      <c r="AN811" s="114"/>
      <c r="AO811" s="114"/>
      <c r="AP811" s="114"/>
      <c r="AQ811" s="114"/>
      <c r="AR811" s="114"/>
      <c r="AS811" s="50"/>
      <c r="AT811" s="74"/>
      <c r="AU811" s="114"/>
      <c r="AV811" s="114"/>
      <c r="AW811" s="394"/>
      <c r="AX811" s="385"/>
      <c r="AY811" s="385"/>
      <c r="AZ811" s="385"/>
      <c r="BA811" s="385"/>
      <c r="BB811" s="385"/>
      <c r="BC811" s="385"/>
      <c r="BD811" s="385"/>
      <c r="BE811" s="385"/>
      <c r="BF811" s="385"/>
      <c r="BG811" s="385"/>
      <c r="BH811" s="385"/>
      <c r="BI811" s="385"/>
      <c r="BJ811" s="385"/>
      <c r="BK811" s="385"/>
      <c r="BL811" s="385"/>
      <c r="BM811" s="385"/>
      <c r="BN811" s="385"/>
      <c r="BO811" s="385"/>
      <c r="BP811" s="385"/>
      <c r="BQ811" s="385"/>
      <c r="BR811" s="385"/>
      <c r="BS811" s="385"/>
      <c r="BT811" s="385"/>
      <c r="BU811" s="385"/>
      <c r="BV811" s="385"/>
      <c r="BW811" s="385"/>
      <c r="BX811" s="385"/>
      <c r="BY811" s="385"/>
      <c r="BZ811" s="385"/>
      <c r="CA811" s="385"/>
    </row>
    <row r="812" spans="1:79" s="6" customFormat="1" ht="15" customHeight="1">
      <c r="A812" s="41" t="s">
        <v>183</v>
      </c>
      <c r="B812" s="402" t="s">
        <v>2598</v>
      </c>
      <c r="C812" s="113" t="s">
        <v>2599</v>
      </c>
      <c r="D812" s="393" t="s">
        <v>156</v>
      </c>
      <c r="E812" s="394" t="s">
        <v>2600</v>
      </c>
      <c r="F812" s="402"/>
      <c r="G812" s="405" t="s">
        <v>2601</v>
      </c>
      <c r="H812" s="74">
        <v>3081</v>
      </c>
      <c r="I812" s="50" t="s">
        <v>2</v>
      </c>
      <c r="J812" s="339" t="s">
        <v>1030</v>
      </c>
      <c r="K812" s="51">
        <v>41345</v>
      </c>
      <c r="L812" s="115">
        <v>41324</v>
      </c>
      <c r="M812" s="50">
        <f t="shared" si="35"/>
        <v>21</v>
      </c>
      <c r="N812" s="50" t="s">
        <v>2</v>
      </c>
      <c r="O812" s="131">
        <f>1.7/2</f>
        <v>0.85</v>
      </c>
      <c r="P812" s="50">
        <v>5.5</v>
      </c>
      <c r="Q812" s="74">
        <v>8.6</v>
      </c>
      <c r="R812" s="50">
        <v>41</v>
      </c>
      <c r="S812" s="74">
        <v>60.7</v>
      </c>
      <c r="T812" s="50">
        <v>0.126</v>
      </c>
      <c r="U812" s="131">
        <v>1.7</v>
      </c>
      <c r="V812" s="50">
        <f>0.46/2</f>
        <v>0.23</v>
      </c>
      <c r="W812" s="74">
        <v>1.2999999999999999E-2</v>
      </c>
      <c r="X812" s="50">
        <v>0.111</v>
      </c>
      <c r="Y812" s="74">
        <v>6.1000000000000004E-3</v>
      </c>
      <c r="Z812" s="271">
        <v>1</v>
      </c>
      <c r="AA812" s="271">
        <v>1</v>
      </c>
      <c r="AB812" s="114">
        <v>44</v>
      </c>
      <c r="AC812" s="50">
        <v>1705</v>
      </c>
      <c r="AD812" s="271">
        <v>1</v>
      </c>
      <c r="AE812" s="50"/>
      <c r="AF812" s="49"/>
      <c r="AG812" s="114"/>
      <c r="AH812" s="114"/>
      <c r="AI812" s="114"/>
      <c r="AJ812" s="114"/>
      <c r="AK812" s="114"/>
      <c r="AL812" s="114"/>
      <c r="AM812" s="114"/>
      <c r="AN812" s="114"/>
      <c r="AO812" s="114"/>
      <c r="AP812" s="114"/>
      <c r="AQ812" s="114"/>
      <c r="AR812" s="114"/>
      <c r="AS812" s="50"/>
      <c r="AT812" s="74"/>
      <c r="AU812" s="114"/>
      <c r="AV812" s="114"/>
      <c r="AW812" s="394"/>
      <c r="AX812" s="385"/>
      <c r="AY812" s="385"/>
      <c r="AZ812" s="385"/>
      <c r="BA812" s="385"/>
      <c r="BB812" s="385"/>
      <c r="BC812" s="385"/>
      <c r="BD812" s="385"/>
      <c r="BE812" s="385"/>
      <c r="BF812" s="385"/>
      <c r="BG812" s="385"/>
      <c r="BH812" s="385"/>
      <c r="BI812" s="385"/>
      <c r="BJ812" s="385"/>
      <c r="BK812" s="385"/>
      <c r="BL812" s="385"/>
      <c r="BM812" s="385"/>
      <c r="BN812" s="385"/>
      <c r="BO812" s="385"/>
      <c r="BP812" s="385"/>
      <c r="BQ812" s="385"/>
      <c r="BR812" s="385"/>
      <c r="BS812" s="385"/>
      <c r="BT812" s="385"/>
      <c r="BU812" s="385"/>
      <c r="BV812" s="385"/>
      <c r="BW812" s="385"/>
      <c r="BX812" s="385"/>
      <c r="BY812" s="385"/>
      <c r="BZ812" s="385"/>
      <c r="CA812" s="385"/>
    </row>
    <row r="813" spans="1:79" s="6" customFormat="1" ht="15" customHeight="1">
      <c r="A813" s="41" t="s">
        <v>183</v>
      </c>
      <c r="B813" s="402" t="s">
        <v>2598</v>
      </c>
      <c r="C813" s="113" t="s">
        <v>2599</v>
      </c>
      <c r="D813" s="393" t="s">
        <v>156</v>
      </c>
      <c r="E813" s="394" t="s">
        <v>2600</v>
      </c>
      <c r="F813" s="402"/>
      <c r="G813" s="405" t="s">
        <v>2601</v>
      </c>
      <c r="H813" s="74">
        <v>3081</v>
      </c>
      <c r="I813" s="50" t="s">
        <v>2</v>
      </c>
      <c r="J813" s="339" t="s">
        <v>1031</v>
      </c>
      <c r="K813" s="51">
        <v>41345</v>
      </c>
      <c r="L813" s="115">
        <v>41324</v>
      </c>
      <c r="M813" s="50">
        <f t="shared" si="35"/>
        <v>21</v>
      </c>
      <c r="N813" s="50" t="s">
        <v>2</v>
      </c>
      <c r="O813" s="131">
        <f>1.7/2</f>
        <v>0.85</v>
      </c>
      <c r="P813" s="50">
        <v>5.5</v>
      </c>
      <c r="Q813" s="74">
        <v>7.5</v>
      </c>
      <c r="R813" s="50">
        <v>80</v>
      </c>
      <c r="S813" s="74">
        <v>82.7</v>
      </c>
      <c r="T813" s="50">
        <v>0.17899999999999999</v>
      </c>
      <c r="U813" s="131">
        <v>3.2</v>
      </c>
      <c r="V813" s="50">
        <f>0.46/2</f>
        <v>0.23</v>
      </c>
      <c r="W813" s="74">
        <v>2.4E-2</v>
      </c>
      <c r="X813" s="50">
        <v>0.126</v>
      </c>
      <c r="Y813" s="74">
        <v>7.1999999999999998E-3</v>
      </c>
      <c r="Z813" s="271">
        <v>1</v>
      </c>
      <c r="AA813" s="271">
        <v>1</v>
      </c>
      <c r="AB813" s="114">
        <v>24</v>
      </c>
      <c r="AC813" s="50">
        <v>1216</v>
      </c>
      <c r="AD813" s="271">
        <v>1</v>
      </c>
      <c r="AE813" s="50"/>
      <c r="AF813" s="49"/>
      <c r="AG813" s="114"/>
      <c r="AH813" s="114"/>
      <c r="AI813" s="114"/>
      <c r="AJ813" s="114"/>
      <c r="AK813" s="114"/>
      <c r="AL813" s="114"/>
      <c r="AM813" s="114"/>
      <c r="AN813" s="114"/>
      <c r="AO813" s="114"/>
      <c r="AP813" s="114"/>
      <c r="AQ813" s="114"/>
      <c r="AR813" s="114"/>
      <c r="AS813" s="50"/>
      <c r="AT813" s="74"/>
      <c r="AU813" s="114"/>
      <c r="AV813" s="114"/>
      <c r="AW813" s="394"/>
      <c r="AX813" s="385"/>
      <c r="AY813" s="385"/>
      <c r="AZ813" s="385"/>
      <c r="BA813" s="385"/>
      <c r="BB813" s="385"/>
      <c r="BC813" s="385"/>
      <c r="BD813" s="385"/>
      <c r="BE813" s="385"/>
      <c r="BF813" s="385"/>
      <c r="BG813" s="385"/>
      <c r="BH813" s="385"/>
      <c r="BI813" s="385"/>
      <c r="BJ813" s="385"/>
      <c r="BK813" s="385"/>
      <c r="BL813" s="385"/>
      <c r="BM813" s="385"/>
      <c r="BN813" s="385"/>
      <c r="BO813" s="385"/>
      <c r="BP813" s="385"/>
      <c r="BQ813" s="385"/>
      <c r="BR813" s="385"/>
      <c r="BS813" s="385"/>
      <c r="BT813" s="385"/>
      <c r="BU813" s="385"/>
      <c r="BV813" s="385"/>
      <c r="BW813" s="385"/>
      <c r="BX813" s="385"/>
      <c r="BY813" s="385"/>
      <c r="BZ813" s="385"/>
      <c r="CA813" s="385"/>
    </row>
    <row r="814" spans="1:79" s="6" customFormat="1" ht="15" customHeight="1">
      <c r="A814" s="41" t="s">
        <v>183</v>
      </c>
      <c r="B814" s="402" t="s">
        <v>3157</v>
      </c>
      <c r="C814" s="113"/>
      <c r="D814" s="393" t="s">
        <v>347</v>
      </c>
      <c r="E814" s="394" t="s">
        <v>112</v>
      </c>
      <c r="F814" s="402"/>
      <c r="G814" s="405" t="s">
        <v>3158</v>
      </c>
      <c r="H814" s="74">
        <v>3069</v>
      </c>
      <c r="I814" s="50" t="s">
        <v>2</v>
      </c>
      <c r="J814" s="339" t="s">
        <v>3159</v>
      </c>
      <c r="K814" s="51">
        <v>41116</v>
      </c>
      <c r="L814" s="115">
        <v>41113</v>
      </c>
      <c r="M814" s="50">
        <f t="shared" si="35"/>
        <v>3</v>
      </c>
      <c r="N814" s="50" t="s">
        <v>2</v>
      </c>
      <c r="O814" s="131">
        <v>32</v>
      </c>
      <c r="P814" s="50">
        <v>5.5</v>
      </c>
      <c r="Q814" s="74">
        <v>4.7</v>
      </c>
      <c r="R814" s="50">
        <f>10/2</f>
        <v>5</v>
      </c>
      <c r="S814" s="74">
        <f>12.3/2</f>
        <v>6.15</v>
      </c>
      <c r="T814" s="50">
        <f>0.1/2</f>
        <v>0.05</v>
      </c>
      <c r="U814" s="131">
        <v>1.7</v>
      </c>
      <c r="V814" s="50">
        <v>0.85</v>
      </c>
      <c r="W814" s="74">
        <f>0.02/2</f>
        <v>0.01</v>
      </c>
      <c r="X814" s="50">
        <v>0.17</v>
      </c>
      <c r="Y814" s="74">
        <f>0.001/2</f>
        <v>5.0000000000000001E-4</v>
      </c>
      <c r="Z814" s="271">
        <v>0.752</v>
      </c>
      <c r="AA814" s="271">
        <v>0.68300000000000005</v>
      </c>
      <c r="AB814" s="114">
        <v>6</v>
      </c>
      <c r="AC814" s="50">
        <v>32</v>
      </c>
      <c r="AD814" s="271">
        <v>0</v>
      </c>
      <c r="AE814" s="50"/>
      <c r="AF814" s="49"/>
      <c r="AG814" s="114"/>
      <c r="AH814" s="114"/>
      <c r="AI814" s="114"/>
      <c r="AJ814" s="114"/>
      <c r="AK814" s="114"/>
      <c r="AL814" s="114"/>
      <c r="AM814" s="114"/>
      <c r="AN814" s="114"/>
      <c r="AO814" s="114"/>
      <c r="AP814" s="114"/>
      <c r="AQ814" s="114"/>
      <c r="AR814" s="114"/>
      <c r="AS814" s="50"/>
      <c r="AT814" s="74"/>
      <c r="AU814" s="114"/>
      <c r="AV814" s="114"/>
      <c r="AW814" s="394"/>
      <c r="AX814" s="385"/>
      <c r="AY814" s="385"/>
      <c r="AZ814" s="385"/>
      <c r="BA814" s="385"/>
      <c r="BB814" s="385"/>
      <c r="BC814" s="385"/>
      <c r="BD814" s="385"/>
      <c r="BE814" s="385"/>
      <c r="BF814" s="385"/>
      <c r="BG814" s="385"/>
      <c r="BH814" s="385"/>
      <c r="BI814" s="385"/>
      <c r="BJ814" s="385"/>
      <c r="BK814" s="385"/>
      <c r="BL814" s="385"/>
      <c r="BM814" s="385"/>
      <c r="BN814" s="385"/>
      <c r="BO814" s="385"/>
      <c r="BP814" s="385"/>
      <c r="BQ814" s="385"/>
      <c r="BR814" s="385"/>
      <c r="BS814" s="385"/>
      <c r="BT814" s="385"/>
      <c r="BU814" s="385"/>
      <c r="BV814" s="385"/>
      <c r="BW814" s="385"/>
      <c r="BX814" s="385"/>
      <c r="BY814" s="385"/>
      <c r="BZ814" s="385"/>
      <c r="CA814" s="385"/>
    </row>
    <row r="815" spans="1:79" s="6" customFormat="1" ht="15" customHeight="1">
      <c r="A815" s="41" t="s">
        <v>183</v>
      </c>
      <c r="B815" s="402" t="s">
        <v>3157</v>
      </c>
      <c r="C815" s="113"/>
      <c r="D815" s="393" t="s">
        <v>347</v>
      </c>
      <c r="E815" s="394" t="s">
        <v>112</v>
      </c>
      <c r="F815" s="402"/>
      <c r="G815" s="405" t="s">
        <v>3158</v>
      </c>
      <c r="H815" s="74">
        <v>3069</v>
      </c>
      <c r="I815" s="50" t="s">
        <v>2</v>
      </c>
      <c r="J815" s="339" t="s">
        <v>3160</v>
      </c>
      <c r="K815" s="51">
        <v>41116</v>
      </c>
      <c r="L815" s="115">
        <v>41113</v>
      </c>
      <c r="M815" s="50">
        <f t="shared" si="35"/>
        <v>3</v>
      </c>
      <c r="N815" s="50" t="s">
        <v>2</v>
      </c>
      <c r="O815" s="131">
        <v>15</v>
      </c>
      <c r="P815" s="50">
        <v>5.5</v>
      </c>
      <c r="Q815" s="74">
        <v>6.2</v>
      </c>
      <c r="R815" s="50">
        <f>10/2</f>
        <v>5</v>
      </c>
      <c r="S815" s="74">
        <v>17.5</v>
      </c>
      <c r="T815" s="50">
        <f>0.1/2</f>
        <v>0.05</v>
      </c>
      <c r="U815" s="131">
        <f>1/2</f>
        <v>0.5</v>
      </c>
      <c r="V815" s="50">
        <v>0.81</v>
      </c>
      <c r="W815" s="74">
        <f>0.02/2</f>
        <v>0.01</v>
      </c>
      <c r="X815" s="50">
        <f>0.05/2</f>
        <v>2.5000000000000001E-2</v>
      </c>
      <c r="Y815" s="74">
        <v>2E-3</v>
      </c>
      <c r="Z815" s="271">
        <v>1</v>
      </c>
      <c r="AA815" s="271">
        <v>1</v>
      </c>
      <c r="AB815" s="114">
        <v>4</v>
      </c>
      <c r="AC815" s="50">
        <v>59</v>
      </c>
      <c r="AD815" s="271">
        <v>1</v>
      </c>
      <c r="AE815" s="50"/>
      <c r="AF815" s="49"/>
      <c r="AG815" s="114"/>
      <c r="AH815" s="114"/>
      <c r="AI815" s="114"/>
      <c r="AJ815" s="114"/>
      <c r="AK815" s="114"/>
      <c r="AL815" s="114"/>
      <c r="AM815" s="114"/>
      <c r="AN815" s="114"/>
      <c r="AO815" s="114"/>
      <c r="AP815" s="114"/>
      <c r="AQ815" s="114"/>
      <c r="AR815" s="114"/>
      <c r="AS815" s="50"/>
      <c r="AT815" s="74"/>
      <c r="AU815" s="114"/>
      <c r="AV815" s="114"/>
      <c r="AW815" s="394"/>
      <c r="AX815" s="385"/>
      <c r="AY815" s="385"/>
      <c r="AZ815" s="385"/>
      <c r="BA815" s="385"/>
      <c r="BB815" s="385"/>
      <c r="BC815" s="385"/>
      <c r="BD815" s="385"/>
      <c r="BE815" s="385"/>
      <c r="BF815" s="385"/>
      <c r="BG815" s="385"/>
      <c r="BH815" s="385"/>
      <c r="BI815" s="385"/>
      <c r="BJ815" s="385"/>
      <c r="BK815" s="385"/>
      <c r="BL815" s="385"/>
      <c r="BM815" s="385"/>
      <c r="BN815" s="385"/>
      <c r="BO815" s="385"/>
      <c r="BP815" s="385"/>
      <c r="BQ815" s="385"/>
      <c r="BR815" s="385"/>
      <c r="BS815" s="385"/>
      <c r="BT815" s="385"/>
      <c r="BU815" s="385"/>
      <c r="BV815" s="385"/>
      <c r="BW815" s="385"/>
      <c r="BX815" s="385"/>
      <c r="BY815" s="385"/>
      <c r="BZ815" s="385"/>
      <c r="CA815" s="385"/>
    </row>
    <row r="816" spans="1:79" s="6" customFormat="1" ht="15" customHeight="1">
      <c r="A816" s="404" t="s">
        <v>5618</v>
      </c>
      <c r="B816" s="402" t="s">
        <v>3162</v>
      </c>
      <c r="C816" s="113" t="s">
        <v>3163</v>
      </c>
      <c r="D816" s="393" t="s">
        <v>133</v>
      </c>
      <c r="E816" s="394" t="s">
        <v>44</v>
      </c>
      <c r="F816" s="402"/>
      <c r="G816" s="405" t="s">
        <v>3164</v>
      </c>
      <c r="H816" s="74">
        <v>5169</v>
      </c>
      <c r="I816" s="50" t="s">
        <v>2</v>
      </c>
      <c r="J816" s="339" t="s">
        <v>1125</v>
      </c>
      <c r="K816" s="51">
        <v>41345</v>
      </c>
      <c r="L816" s="115">
        <v>41341</v>
      </c>
      <c r="M816" s="50">
        <f t="shared" si="35"/>
        <v>4</v>
      </c>
      <c r="N816" s="50" t="s">
        <v>2</v>
      </c>
      <c r="O816" s="131">
        <f>5/2</f>
        <v>2.5</v>
      </c>
      <c r="P816" s="50">
        <v>7.5</v>
      </c>
      <c r="Q816" s="74">
        <v>6.5</v>
      </c>
      <c r="R816" s="50">
        <v>930</v>
      </c>
      <c r="S816" s="74">
        <v>320</v>
      </c>
      <c r="T816" s="50">
        <v>6.8</v>
      </c>
      <c r="U816" s="131">
        <v>3</v>
      </c>
      <c r="V816" s="50">
        <v>1.8</v>
      </c>
      <c r="W816" s="74">
        <f>0.04/2</f>
        <v>0.02</v>
      </c>
      <c r="X816" s="50">
        <f>0.02/2</f>
        <v>0.01</v>
      </c>
      <c r="Y816" s="74">
        <v>8.7999999999999995E-2</v>
      </c>
      <c r="Z816" s="271">
        <v>6.54E-2</v>
      </c>
      <c r="AA816" s="271">
        <v>6.25E-2</v>
      </c>
      <c r="AB816" s="114">
        <v>960</v>
      </c>
      <c r="AC816" s="50">
        <v>85500</v>
      </c>
      <c r="AD816" s="271">
        <v>0</v>
      </c>
      <c r="AE816" s="50"/>
      <c r="AF816" s="49"/>
      <c r="AG816" s="114"/>
      <c r="AH816" s="114"/>
      <c r="AI816" s="114"/>
      <c r="AJ816" s="114"/>
      <c r="AK816" s="114"/>
      <c r="AL816" s="114"/>
      <c r="AM816" s="114"/>
      <c r="AN816" s="114"/>
      <c r="AO816" s="114"/>
      <c r="AP816" s="114"/>
      <c r="AQ816" s="114"/>
      <c r="AR816" s="114"/>
      <c r="AS816" s="50"/>
      <c r="AT816" s="74"/>
      <c r="AU816" s="114"/>
      <c r="AV816" s="114"/>
      <c r="AW816" s="394"/>
      <c r="AX816" s="385"/>
      <c r="AY816" s="385"/>
      <c r="AZ816" s="385"/>
      <c r="BA816" s="385"/>
      <c r="BB816" s="385"/>
      <c r="BC816" s="385"/>
      <c r="BD816" s="385"/>
      <c r="BE816" s="385"/>
      <c r="BF816" s="385"/>
      <c r="BG816" s="385"/>
      <c r="BH816" s="385"/>
      <c r="BI816" s="385"/>
      <c r="BJ816" s="385"/>
      <c r="BK816" s="385"/>
      <c r="BL816" s="385"/>
      <c r="BM816" s="385"/>
      <c r="BN816" s="385"/>
      <c r="BO816" s="385"/>
      <c r="BP816" s="385"/>
      <c r="BQ816" s="385"/>
      <c r="BR816" s="385"/>
      <c r="BS816" s="385"/>
      <c r="BT816" s="385"/>
      <c r="BU816" s="385"/>
      <c r="BV816" s="385"/>
      <c r="BW816" s="385"/>
      <c r="BX816" s="385"/>
      <c r="BY816" s="385"/>
      <c r="BZ816" s="385"/>
      <c r="CA816" s="385"/>
    </row>
    <row r="817" spans="1:79" s="6" customFormat="1" ht="15" customHeight="1">
      <c r="A817" s="41" t="s">
        <v>183</v>
      </c>
      <c r="B817" s="402" t="s">
        <v>3195</v>
      </c>
      <c r="C817" s="113" t="s">
        <v>3195</v>
      </c>
      <c r="D817" s="393" t="s">
        <v>89</v>
      </c>
      <c r="E817" s="394" t="s">
        <v>535</v>
      </c>
      <c r="F817" s="402"/>
      <c r="G817" s="405" t="s">
        <v>2517</v>
      </c>
      <c r="H817" s="113">
        <v>3827</v>
      </c>
      <c r="I817" s="49" t="s">
        <v>2</v>
      </c>
      <c r="J817" s="48" t="s">
        <v>3196</v>
      </c>
      <c r="K817" s="51">
        <v>40869</v>
      </c>
      <c r="L817" s="115">
        <v>40863</v>
      </c>
      <c r="M817" s="50">
        <v>5</v>
      </c>
      <c r="N817" s="50" t="s">
        <v>2</v>
      </c>
      <c r="O817" s="131">
        <f>1.4/2</f>
        <v>0.7</v>
      </c>
      <c r="P817" s="117">
        <v>6.53</v>
      </c>
      <c r="Q817" s="131">
        <v>8.0399999999999991</v>
      </c>
      <c r="R817" s="50">
        <f>10/2</f>
        <v>5</v>
      </c>
      <c r="S817" s="74">
        <f>5/2</f>
        <v>2.5</v>
      </c>
      <c r="T817" s="50">
        <v>0.01</v>
      </c>
      <c r="U817" s="131">
        <f>0.1/2</f>
        <v>0.05</v>
      </c>
      <c r="V817" s="50">
        <v>0.1</v>
      </c>
      <c r="W817" s="74">
        <v>5.0000000000000001E-3</v>
      </c>
      <c r="X817" s="50">
        <v>1.4E-2</v>
      </c>
      <c r="Y817" s="74">
        <f>0.002/2</f>
        <v>1E-3</v>
      </c>
      <c r="Z817" s="313">
        <v>1</v>
      </c>
      <c r="AA817" s="313">
        <v>1</v>
      </c>
      <c r="AB817" s="114">
        <v>142</v>
      </c>
      <c r="AC817" s="50">
        <v>567</v>
      </c>
      <c r="AD817" s="271">
        <v>1</v>
      </c>
      <c r="AE817" s="50"/>
      <c r="AF817" s="49"/>
      <c r="AG817" s="114"/>
      <c r="AH817" s="114"/>
      <c r="AI817" s="114"/>
      <c r="AJ817" s="114"/>
      <c r="AK817" s="114"/>
      <c r="AL817" s="114"/>
      <c r="AM817" s="114"/>
      <c r="AN817" s="114"/>
      <c r="AO817" s="114"/>
      <c r="AP817" s="114"/>
      <c r="AQ817" s="114"/>
      <c r="AR817" s="114"/>
      <c r="AS817" s="50"/>
      <c r="AT817" s="74"/>
      <c r="AU817" s="114"/>
      <c r="AV817" s="114"/>
      <c r="AW817" s="394"/>
      <c r="AX817" s="385"/>
      <c r="AY817" s="385"/>
      <c r="AZ817" s="385"/>
      <c r="BA817" s="385"/>
      <c r="BB817" s="385"/>
      <c r="BC817" s="385"/>
      <c r="BD817" s="385"/>
      <c r="BE817" s="385"/>
      <c r="BF817" s="385"/>
      <c r="BG817" s="385"/>
      <c r="BH817" s="385"/>
      <c r="BI817" s="385"/>
      <c r="BJ817" s="385"/>
      <c r="BK817" s="385"/>
      <c r="BL817" s="385"/>
      <c r="BM817" s="385"/>
      <c r="BN817" s="385"/>
      <c r="BO817" s="385"/>
      <c r="BP817" s="385"/>
      <c r="BQ817" s="385"/>
      <c r="BR817" s="385"/>
      <c r="BS817" s="385"/>
      <c r="BT817" s="385"/>
      <c r="BU817" s="385"/>
      <c r="BV817" s="385"/>
      <c r="BW817" s="385"/>
      <c r="BX817" s="385"/>
      <c r="BY817" s="385"/>
      <c r="BZ817" s="385"/>
      <c r="CA817" s="385"/>
    </row>
    <row r="818" spans="1:79" s="6" customFormat="1" ht="15" customHeight="1">
      <c r="A818" s="41" t="s">
        <v>183</v>
      </c>
      <c r="B818" s="402" t="s">
        <v>3195</v>
      </c>
      <c r="C818" s="113" t="s">
        <v>3195</v>
      </c>
      <c r="D818" s="393" t="s">
        <v>89</v>
      </c>
      <c r="E818" s="394" t="s">
        <v>535</v>
      </c>
      <c r="F818" s="402"/>
      <c r="G818" s="405" t="s">
        <v>2517</v>
      </c>
      <c r="H818" s="113">
        <v>3827</v>
      </c>
      <c r="I818" s="49" t="s">
        <v>2</v>
      </c>
      <c r="J818" s="48" t="s">
        <v>2141</v>
      </c>
      <c r="K818" s="51">
        <v>40869</v>
      </c>
      <c r="L818" s="115">
        <v>40863</v>
      </c>
      <c r="M818" s="50">
        <v>5</v>
      </c>
      <c r="N818" s="50" t="s">
        <v>2</v>
      </c>
      <c r="O818" s="131">
        <v>3.3</v>
      </c>
      <c r="P818" s="117">
        <v>6.53</v>
      </c>
      <c r="Q818" s="131">
        <v>7.92</v>
      </c>
      <c r="R818" s="50">
        <v>82</v>
      </c>
      <c r="S818" s="74">
        <v>70</v>
      </c>
      <c r="T818" s="50">
        <v>0.28000000000000003</v>
      </c>
      <c r="U818" s="131">
        <v>1.5</v>
      </c>
      <c r="V818" s="50">
        <v>1.1000000000000001</v>
      </c>
      <c r="W818" s="74">
        <v>3.3000000000000002E-2</v>
      </c>
      <c r="X818" s="50">
        <v>0.124</v>
      </c>
      <c r="Y818" s="74">
        <v>8.9999999999999993E-3</v>
      </c>
      <c r="Z818" s="313">
        <v>1</v>
      </c>
      <c r="AA818" s="313">
        <v>1</v>
      </c>
      <c r="AB818" s="114">
        <v>52</v>
      </c>
      <c r="AC818" s="50">
        <v>398</v>
      </c>
      <c r="AD818" s="271">
        <v>1</v>
      </c>
      <c r="AE818" s="50"/>
      <c r="AF818" s="49"/>
      <c r="AG818" s="114"/>
      <c r="AH818" s="114"/>
      <c r="AI818" s="114"/>
      <c r="AJ818" s="114"/>
      <c r="AK818" s="114"/>
      <c r="AL818" s="114"/>
      <c r="AM818" s="114"/>
      <c r="AN818" s="114"/>
      <c r="AO818" s="114"/>
      <c r="AP818" s="114"/>
      <c r="AQ818" s="114"/>
      <c r="AR818" s="114"/>
      <c r="AS818" s="50"/>
      <c r="AT818" s="74"/>
      <c r="AU818" s="114"/>
      <c r="AV818" s="114"/>
      <c r="AW818" s="394"/>
      <c r="AX818" s="385"/>
      <c r="AY818" s="385"/>
      <c r="AZ818" s="385"/>
      <c r="BA818" s="385"/>
      <c r="BB818" s="385"/>
      <c r="BC818" s="385"/>
      <c r="BD818" s="385"/>
      <c r="BE818" s="385"/>
      <c r="BF818" s="385"/>
      <c r="BG818" s="385"/>
      <c r="BH818" s="385"/>
      <c r="BI818" s="385"/>
      <c r="BJ818" s="385"/>
      <c r="BK818" s="385"/>
      <c r="BL818" s="385"/>
      <c r="BM818" s="385"/>
      <c r="BN818" s="385"/>
      <c r="BO818" s="385"/>
      <c r="BP818" s="385"/>
      <c r="BQ818" s="385"/>
      <c r="BR818" s="385"/>
      <c r="BS818" s="385"/>
      <c r="BT818" s="385"/>
      <c r="BU818" s="385"/>
      <c r="BV818" s="385"/>
      <c r="BW818" s="385"/>
      <c r="BX818" s="385"/>
      <c r="BY818" s="385"/>
      <c r="BZ818" s="385"/>
      <c r="CA818" s="385"/>
    </row>
    <row r="819" spans="1:79" s="6" customFormat="1" ht="15" customHeight="1">
      <c r="A819" s="41" t="s">
        <v>183</v>
      </c>
      <c r="B819" s="402" t="s">
        <v>3195</v>
      </c>
      <c r="C819" s="113" t="s">
        <v>3195</v>
      </c>
      <c r="D819" s="393" t="s">
        <v>89</v>
      </c>
      <c r="E819" s="394" t="s">
        <v>535</v>
      </c>
      <c r="F819" s="402"/>
      <c r="G819" s="405" t="s">
        <v>2517</v>
      </c>
      <c r="H819" s="113">
        <v>3827</v>
      </c>
      <c r="I819" s="49" t="s">
        <v>2</v>
      </c>
      <c r="J819" s="48" t="s">
        <v>3197</v>
      </c>
      <c r="K819" s="51">
        <v>40869</v>
      </c>
      <c r="L819" s="115">
        <v>40863</v>
      </c>
      <c r="M819" s="50">
        <v>5</v>
      </c>
      <c r="N819" s="50" t="s">
        <v>2</v>
      </c>
      <c r="O819" s="131">
        <f>1.4/2</f>
        <v>0.7</v>
      </c>
      <c r="P819" s="117">
        <v>6.53</v>
      </c>
      <c r="Q819" s="131">
        <v>8.0299999999999994</v>
      </c>
      <c r="R819" s="50">
        <v>19</v>
      </c>
      <c r="S819" s="74">
        <f>5/2</f>
        <v>2.5</v>
      </c>
      <c r="T819" s="50">
        <v>0.17</v>
      </c>
      <c r="U819" s="131">
        <v>1.1000000000000001</v>
      </c>
      <c r="V819" s="50">
        <v>1.4</v>
      </c>
      <c r="W819" s="74">
        <v>1.0999999999999999E-2</v>
      </c>
      <c r="X819" s="50">
        <v>0.183</v>
      </c>
      <c r="Y819" s="74">
        <f>0.002/2</f>
        <v>1E-3</v>
      </c>
      <c r="Z819" s="313">
        <v>1</v>
      </c>
      <c r="AA819" s="313">
        <v>1</v>
      </c>
      <c r="AB819" s="114">
        <v>142</v>
      </c>
      <c r="AC819" s="50">
        <v>567</v>
      </c>
      <c r="AD819" s="271">
        <v>1</v>
      </c>
      <c r="AE819" s="50"/>
      <c r="AF819" s="49"/>
      <c r="AG819" s="114"/>
      <c r="AH819" s="114"/>
      <c r="AI819" s="114"/>
      <c r="AJ819" s="114"/>
      <c r="AK819" s="114"/>
      <c r="AL819" s="114"/>
      <c r="AM819" s="114"/>
      <c r="AN819" s="114"/>
      <c r="AO819" s="114"/>
      <c r="AP819" s="114"/>
      <c r="AQ819" s="114"/>
      <c r="AR819" s="114"/>
      <c r="AS819" s="50"/>
      <c r="AT819" s="74"/>
      <c r="AU819" s="114"/>
      <c r="AV819" s="114"/>
      <c r="AW819" s="394"/>
      <c r="AX819" s="385"/>
      <c r="AY819" s="385"/>
      <c r="AZ819" s="385"/>
      <c r="BA819" s="385"/>
      <c r="BB819" s="385"/>
      <c r="BC819" s="385"/>
      <c r="BD819" s="385"/>
      <c r="BE819" s="385"/>
      <c r="BF819" s="385"/>
      <c r="BG819" s="385"/>
      <c r="BH819" s="385"/>
      <c r="BI819" s="385"/>
      <c r="BJ819" s="385"/>
      <c r="BK819" s="385"/>
      <c r="BL819" s="385"/>
      <c r="BM819" s="385"/>
      <c r="BN819" s="385"/>
      <c r="BO819" s="385"/>
      <c r="BP819" s="385"/>
      <c r="BQ819" s="385"/>
      <c r="BR819" s="385"/>
      <c r="BS819" s="385"/>
      <c r="BT819" s="385"/>
      <c r="BU819" s="385"/>
      <c r="BV819" s="385"/>
      <c r="BW819" s="385"/>
      <c r="BX819" s="385"/>
      <c r="BY819" s="385"/>
      <c r="BZ819" s="385"/>
      <c r="CA819" s="385"/>
    </row>
    <row r="820" spans="1:79" s="6" customFormat="1" ht="15" customHeight="1">
      <c r="A820" s="41" t="s">
        <v>183</v>
      </c>
      <c r="B820" s="402" t="s">
        <v>3198</v>
      </c>
      <c r="C820" s="113" t="s">
        <v>3199</v>
      </c>
      <c r="D820" s="393" t="s">
        <v>443</v>
      </c>
      <c r="E820" s="394" t="s">
        <v>3200</v>
      </c>
      <c r="F820" s="402"/>
      <c r="G820" s="405" t="s">
        <v>3201</v>
      </c>
      <c r="H820" s="113">
        <v>4151</v>
      </c>
      <c r="I820" s="49" t="s">
        <v>2</v>
      </c>
      <c r="J820" s="48" t="s">
        <v>3144</v>
      </c>
      <c r="K820" s="51">
        <v>40883</v>
      </c>
      <c r="L820" s="115">
        <v>40877</v>
      </c>
      <c r="M820" s="50">
        <v>6</v>
      </c>
      <c r="N820" s="50" t="s">
        <v>2</v>
      </c>
      <c r="O820" s="131">
        <v>8.6</v>
      </c>
      <c r="P820" s="117">
        <v>6.6</v>
      </c>
      <c r="Q820" s="131">
        <v>6.7</v>
      </c>
      <c r="R820" s="50">
        <v>55</v>
      </c>
      <c r="S820" s="74">
        <v>135</v>
      </c>
      <c r="T820" s="50">
        <v>0.22</v>
      </c>
      <c r="U820" s="131">
        <v>1.66</v>
      </c>
      <c r="V820" s="50">
        <f>0.1/2</f>
        <v>0.05</v>
      </c>
      <c r="W820" s="74">
        <v>5.1999999999999998E-2</v>
      </c>
      <c r="X820" s="50">
        <v>9.9000000000000005E-2</v>
      </c>
      <c r="Y820" s="74">
        <f>0.03/2</f>
        <v>1.4999999999999999E-2</v>
      </c>
      <c r="Z820" s="313">
        <v>1</v>
      </c>
      <c r="AA820" s="313">
        <v>1</v>
      </c>
      <c r="AB820" s="114">
        <v>29</v>
      </c>
      <c r="AC820" s="50">
        <v>54</v>
      </c>
      <c r="AD820" s="271">
        <v>0.95</v>
      </c>
      <c r="AE820" s="50"/>
      <c r="AF820" s="49"/>
      <c r="AG820" s="114"/>
      <c r="AH820" s="114"/>
      <c r="AI820" s="114"/>
      <c r="AJ820" s="114"/>
      <c r="AK820" s="114"/>
      <c r="AL820" s="114"/>
      <c r="AM820" s="114"/>
      <c r="AN820" s="114"/>
      <c r="AO820" s="114"/>
      <c r="AP820" s="114"/>
      <c r="AQ820" s="114"/>
      <c r="AR820" s="114"/>
      <c r="AS820" s="50"/>
      <c r="AT820" s="74"/>
      <c r="AU820" s="114"/>
      <c r="AV820" s="114"/>
      <c r="AW820" s="394"/>
      <c r="AX820" s="385"/>
      <c r="AY820" s="385"/>
      <c r="AZ820" s="385"/>
      <c r="BA820" s="385"/>
      <c r="BB820" s="385"/>
      <c r="BC820" s="385"/>
      <c r="BD820" s="385"/>
      <c r="BE820" s="385"/>
      <c r="BF820" s="385"/>
      <c r="BG820" s="385"/>
      <c r="BH820" s="385"/>
      <c r="BI820" s="385"/>
      <c r="BJ820" s="385"/>
      <c r="BK820" s="385"/>
      <c r="BL820" s="385"/>
      <c r="BM820" s="385"/>
      <c r="BN820" s="385"/>
      <c r="BO820" s="385"/>
      <c r="BP820" s="385"/>
      <c r="BQ820" s="385"/>
      <c r="BR820" s="385"/>
      <c r="BS820" s="385"/>
      <c r="BT820" s="385"/>
      <c r="BU820" s="385"/>
      <c r="BV820" s="385"/>
      <c r="BW820" s="385"/>
      <c r="BX820" s="385"/>
      <c r="BY820" s="385"/>
      <c r="BZ820" s="385"/>
      <c r="CA820" s="385"/>
    </row>
    <row r="821" spans="1:79" s="6" customFormat="1" ht="15" customHeight="1">
      <c r="A821" s="41" t="s">
        <v>183</v>
      </c>
      <c r="B821" s="402" t="s">
        <v>3198</v>
      </c>
      <c r="C821" s="113" t="s">
        <v>3202</v>
      </c>
      <c r="D821" s="393" t="s">
        <v>559</v>
      </c>
      <c r="E821" s="394" t="s">
        <v>560</v>
      </c>
      <c r="F821" s="402"/>
      <c r="G821" s="405" t="s">
        <v>3203</v>
      </c>
      <c r="H821" s="113">
        <v>4151</v>
      </c>
      <c r="I821" s="49" t="s">
        <v>2</v>
      </c>
      <c r="J821" s="48" t="s">
        <v>3144</v>
      </c>
      <c r="K821" s="51">
        <v>40883</v>
      </c>
      <c r="L821" s="115">
        <v>40877</v>
      </c>
      <c r="M821" s="50">
        <v>6</v>
      </c>
      <c r="N821" s="50" t="s">
        <v>2</v>
      </c>
      <c r="O821" s="131">
        <v>11.8</v>
      </c>
      <c r="P821" s="117">
        <v>6.5</v>
      </c>
      <c r="Q821" s="131">
        <v>7.3</v>
      </c>
      <c r="R821" s="50">
        <v>79</v>
      </c>
      <c r="S821" s="74">
        <v>117</v>
      </c>
      <c r="T821" s="50">
        <v>0.09</v>
      </c>
      <c r="U821" s="131">
        <v>1.39</v>
      </c>
      <c r="V821" s="50">
        <v>0.6</v>
      </c>
      <c r="W821" s="74">
        <v>2.3E-2</v>
      </c>
      <c r="X821" s="50">
        <v>9.4E-2</v>
      </c>
      <c r="Y821" s="74">
        <f>0.03/2</f>
        <v>1.4999999999999999E-2</v>
      </c>
      <c r="Z821" s="313">
        <v>1</v>
      </c>
      <c r="AA821" s="313">
        <v>1</v>
      </c>
      <c r="AB821" s="114">
        <v>26</v>
      </c>
      <c r="AC821" s="50">
        <v>71</v>
      </c>
      <c r="AD821" s="271">
        <v>1</v>
      </c>
      <c r="AE821" s="50"/>
      <c r="AF821" s="49"/>
      <c r="AG821" s="114"/>
      <c r="AH821" s="114"/>
      <c r="AI821" s="114"/>
      <c r="AJ821" s="114"/>
      <c r="AK821" s="114"/>
      <c r="AL821" s="114"/>
      <c r="AM821" s="114"/>
      <c r="AN821" s="114"/>
      <c r="AO821" s="114"/>
      <c r="AP821" s="114"/>
      <c r="AQ821" s="114"/>
      <c r="AR821" s="114"/>
      <c r="AS821" s="50"/>
      <c r="AT821" s="74"/>
      <c r="AU821" s="114"/>
      <c r="AV821" s="114"/>
      <c r="AW821" s="394"/>
      <c r="AX821" s="385"/>
      <c r="AY821" s="385"/>
      <c r="AZ821" s="385"/>
      <c r="BA821" s="385"/>
      <c r="BB821" s="385"/>
      <c r="BC821" s="385"/>
      <c r="BD821" s="385"/>
      <c r="BE821" s="385"/>
      <c r="BF821" s="385"/>
      <c r="BG821" s="385"/>
      <c r="BH821" s="385"/>
      <c r="BI821" s="385"/>
      <c r="BJ821" s="385"/>
      <c r="BK821" s="385"/>
      <c r="BL821" s="385"/>
      <c r="BM821" s="385"/>
      <c r="BN821" s="385"/>
      <c r="BO821" s="385"/>
      <c r="BP821" s="385"/>
      <c r="BQ821" s="385"/>
      <c r="BR821" s="385"/>
      <c r="BS821" s="385"/>
      <c r="BT821" s="385"/>
      <c r="BU821" s="385"/>
      <c r="BV821" s="385"/>
      <c r="BW821" s="385"/>
      <c r="BX821" s="385"/>
      <c r="BY821" s="385"/>
      <c r="BZ821" s="385"/>
      <c r="CA821" s="385"/>
    </row>
    <row r="822" spans="1:79" s="6" customFormat="1" ht="15" customHeight="1">
      <c r="A822" s="41" t="s">
        <v>183</v>
      </c>
      <c r="B822" s="402" t="s">
        <v>3198</v>
      </c>
      <c r="C822" s="113" t="s">
        <v>3204</v>
      </c>
      <c r="D822" s="393" t="s">
        <v>499</v>
      </c>
      <c r="E822" s="394" t="s">
        <v>3205</v>
      </c>
      <c r="F822" s="402"/>
      <c r="G822" s="405" t="s">
        <v>3206</v>
      </c>
      <c r="H822" s="113">
        <v>4151</v>
      </c>
      <c r="I822" s="49" t="s">
        <v>2</v>
      </c>
      <c r="J822" s="48" t="s">
        <v>3144</v>
      </c>
      <c r="K822" s="51">
        <v>40863</v>
      </c>
      <c r="L822" s="115">
        <v>40877</v>
      </c>
      <c r="M822" s="50">
        <v>6</v>
      </c>
      <c r="N822" s="50" t="s">
        <v>2</v>
      </c>
      <c r="O822" s="131">
        <v>2.8</v>
      </c>
      <c r="P822" s="117">
        <v>6.07</v>
      </c>
      <c r="Q822" s="131">
        <v>5.81</v>
      </c>
      <c r="R822" s="50">
        <v>42</v>
      </c>
      <c r="S822" s="74">
        <v>62</v>
      </c>
      <c r="T822" s="50">
        <v>0.15</v>
      </c>
      <c r="U822" s="131">
        <v>1.03</v>
      </c>
      <c r="V822" s="50">
        <v>0.22</v>
      </c>
      <c r="W822" s="74">
        <v>0.01</v>
      </c>
      <c r="X822" s="50">
        <v>0.1</v>
      </c>
      <c r="Y822" s="74">
        <f>0.02/2</f>
        <v>0.01</v>
      </c>
      <c r="Z822" s="313"/>
      <c r="AA822" s="313"/>
      <c r="AB822" s="114"/>
      <c r="AC822" s="50"/>
      <c r="AD822" s="271"/>
      <c r="AE822" s="50"/>
      <c r="AF822" s="49"/>
      <c r="AG822" s="114"/>
      <c r="AH822" s="114"/>
      <c r="AI822" s="114"/>
      <c r="AJ822" s="114"/>
      <c r="AK822" s="114"/>
      <c r="AL822" s="114"/>
      <c r="AM822" s="114"/>
      <c r="AN822" s="114"/>
      <c r="AO822" s="114"/>
      <c r="AP822" s="114"/>
      <c r="AQ822" s="114"/>
      <c r="AR822" s="114"/>
      <c r="AS822" s="50"/>
      <c r="AT822" s="74"/>
      <c r="AU822" s="114"/>
      <c r="AV822" s="114"/>
      <c r="AW822" s="394"/>
      <c r="AX822" s="385"/>
      <c r="AY822" s="385"/>
      <c r="AZ822" s="385"/>
      <c r="BA822" s="385"/>
      <c r="BB822" s="385"/>
      <c r="BC822" s="385"/>
      <c r="BD822" s="385"/>
      <c r="BE822" s="385"/>
      <c r="BF822" s="385"/>
      <c r="BG822" s="385"/>
      <c r="BH822" s="385"/>
      <c r="BI822" s="385"/>
      <c r="BJ822" s="385"/>
      <c r="BK822" s="385"/>
      <c r="BL822" s="385"/>
      <c r="BM822" s="385"/>
      <c r="BN822" s="385"/>
      <c r="BO822" s="385"/>
      <c r="BP822" s="385"/>
      <c r="BQ822" s="385"/>
      <c r="BR822" s="385"/>
      <c r="BS822" s="385"/>
      <c r="BT822" s="385"/>
      <c r="BU822" s="385"/>
      <c r="BV822" s="385"/>
      <c r="BW822" s="385"/>
      <c r="BX822" s="385"/>
      <c r="BY822" s="385"/>
      <c r="BZ822" s="385"/>
      <c r="CA822" s="385"/>
    </row>
    <row r="823" spans="1:79" s="6" customFormat="1" ht="15" customHeight="1">
      <c r="A823" s="41" t="s">
        <v>183</v>
      </c>
      <c r="B823" s="402" t="s">
        <v>3207</v>
      </c>
      <c r="C823" s="113" t="s">
        <v>3207</v>
      </c>
      <c r="D823" s="393" t="s">
        <v>350</v>
      </c>
      <c r="E823" s="394" t="s">
        <v>3208</v>
      </c>
      <c r="F823" s="402"/>
      <c r="G823" s="405" t="s">
        <v>3209</v>
      </c>
      <c r="H823" s="113">
        <v>3629</v>
      </c>
      <c r="I823" s="49" t="s">
        <v>2</v>
      </c>
      <c r="J823" s="48" t="s">
        <v>510</v>
      </c>
      <c r="K823" s="51">
        <v>40863</v>
      </c>
      <c r="L823" s="115">
        <v>40855</v>
      </c>
      <c r="M823" s="50">
        <v>8</v>
      </c>
      <c r="N823" s="50" t="s">
        <v>2</v>
      </c>
      <c r="O823" s="131">
        <f>1.4/2</f>
        <v>0.7</v>
      </c>
      <c r="P823" s="117">
        <v>4.9000000000000004</v>
      </c>
      <c r="Q823" s="131">
        <v>6.38</v>
      </c>
      <c r="R823" s="50">
        <v>23</v>
      </c>
      <c r="S823" s="74">
        <f>5/2</f>
        <v>2.5</v>
      </c>
      <c r="T823" s="50">
        <f>0.01/2</f>
        <v>5.0000000000000001E-3</v>
      </c>
      <c r="U823" s="131">
        <v>1</v>
      </c>
      <c r="V823" s="50">
        <v>2.2000000000000002</v>
      </c>
      <c r="W823" s="74">
        <v>3.0000000000000001E-3</v>
      </c>
      <c r="X823" s="50">
        <v>8.6999999999999994E-2</v>
      </c>
      <c r="Y823" s="74">
        <f>0.002/2</f>
        <v>1E-3</v>
      </c>
      <c r="Z823" s="313">
        <v>1</v>
      </c>
      <c r="AA823" s="313">
        <v>1</v>
      </c>
      <c r="AB823" s="114">
        <v>96</v>
      </c>
      <c r="AC823" s="50">
        <v>948</v>
      </c>
      <c r="AD823" s="271">
        <v>1</v>
      </c>
      <c r="AE823" s="50"/>
      <c r="AF823" s="49"/>
      <c r="AG823" s="114"/>
      <c r="AH823" s="114"/>
      <c r="AI823" s="114"/>
      <c r="AJ823" s="114"/>
      <c r="AK823" s="114"/>
      <c r="AL823" s="114"/>
      <c r="AM823" s="114"/>
      <c r="AN823" s="114"/>
      <c r="AO823" s="114"/>
      <c r="AP823" s="114"/>
      <c r="AQ823" s="114"/>
      <c r="AR823" s="114"/>
      <c r="AS823" s="50"/>
      <c r="AT823" s="74"/>
      <c r="AU823" s="114"/>
      <c r="AV823" s="114"/>
      <c r="AW823" s="394"/>
      <c r="AX823" s="385"/>
      <c r="AY823" s="385"/>
      <c r="AZ823" s="385"/>
      <c r="BA823" s="385"/>
      <c r="BB823" s="385"/>
      <c r="BC823" s="385"/>
      <c r="BD823" s="385"/>
      <c r="BE823" s="385"/>
      <c r="BF823" s="385"/>
      <c r="BG823" s="385"/>
      <c r="BH823" s="385"/>
      <c r="BI823" s="385"/>
      <c r="BJ823" s="385"/>
      <c r="BK823" s="385"/>
      <c r="BL823" s="385"/>
      <c r="BM823" s="385"/>
      <c r="BN823" s="385"/>
      <c r="BO823" s="385"/>
      <c r="BP823" s="385"/>
      <c r="BQ823" s="385"/>
      <c r="BR823" s="385"/>
      <c r="BS823" s="385"/>
      <c r="BT823" s="385"/>
      <c r="BU823" s="385"/>
      <c r="BV823" s="385"/>
      <c r="BW823" s="385"/>
      <c r="BX823" s="385"/>
      <c r="BY823" s="385"/>
      <c r="BZ823" s="385"/>
      <c r="CA823" s="385"/>
    </row>
    <row r="824" spans="1:79" s="6" customFormat="1" ht="15" customHeight="1">
      <c r="A824" s="41" t="s">
        <v>183</v>
      </c>
      <c r="B824" s="402" t="s">
        <v>3207</v>
      </c>
      <c r="C824" s="113" t="s">
        <v>3207</v>
      </c>
      <c r="D824" s="393" t="s">
        <v>350</v>
      </c>
      <c r="E824" s="394" t="s">
        <v>3210</v>
      </c>
      <c r="F824" s="402"/>
      <c r="G824" s="405" t="s">
        <v>3209</v>
      </c>
      <c r="H824" s="113">
        <v>3629</v>
      </c>
      <c r="I824" s="49" t="s">
        <v>2</v>
      </c>
      <c r="J824" s="48" t="s">
        <v>357</v>
      </c>
      <c r="K824" s="51">
        <v>40863</v>
      </c>
      <c r="L824" s="115">
        <v>40855</v>
      </c>
      <c r="M824" s="50">
        <v>8</v>
      </c>
      <c r="N824" s="50" t="s">
        <v>2</v>
      </c>
      <c r="O824" s="131">
        <f>1.4/2</f>
        <v>0.7</v>
      </c>
      <c r="P824" s="117">
        <v>4.9000000000000004</v>
      </c>
      <c r="Q824" s="131">
        <v>4.7</v>
      </c>
      <c r="R824" s="50">
        <v>30</v>
      </c>
      <c r="S824" s="74">
        <f>5/2</f>
        <v>2.5</v>
      </c>
      <c r="T824" s="50">
        <v>0.13</v>
      </c>
      <c r="U824" s="131">
        <v>0.54</v>
      </c>
      <c r="V824" s="50">
        <v>0.27</v>
      </c>
      <c r="W824" s="74">
        <v>8.0000000000000002E-3</v>
      </c>
      <c r="X824" s="50">
        <v>0.17</v>
      </c>
      <c r="Y824" s="74">
        <v>6.0000000000000001E-3</v>
      </c>
      <c r="Z824" s="313">
        <v>0.88600000000000001</v>
      </c>
      <c r="AA824" s="313">
        <v>0.68300000000000005</v>
      </c>
      <c r="AB824" s="114">
        <v>2</v>
      </c>
      <c r="AC824" s="50">
        <v>14</v>
      </c>
      <c r="AD824" s="271">
        <v>0</v>
      </c>
      <c r="AE824" s="50"/>
      <c r="AF824" s="49"/>
      <c r="AG824" s="114"/>
      <c r="AH824" s="114"/>
      <c r="AI824" s="114"/>
      <c r="AJ824" s="114"/>
      <c r="AK824" s="114"/>
      <c r="AL824" s="114"/>
      <c r="AM824" s="114"/>
      <c r="AN824" s="114"/>
      <c r="AO824" s="114"/>
      <c r="AP824" s="114"/>
      <c r="AQ824" s="114"/>
      <c r="AR824" s="114"/>
      <c r="AS824" s="50"/>
      <c r="AT824" s="74"/>
      <c r="AU824" s="114"/>
      <c r="AV824" s="114"/>
      <c r="AW824" s="394"/>
      <c r="AX824" s="385"/>
      <c r="AY824" s="385"/>
      <c r="AZ824" s="385"/>
      <c r="BA824" s="385"/>
      <c r="BB824" s="385"/>
      <c r="BC824" s="385"/>
      <c r="BD824" s="385"/>
      <c r="BE824" s="385"/>
      <c r="BF824" s="385"/>
      <c r="BG824" s="385"/>
      <c r="BH824" s="385"/>
      <c r="BI824" s="385"/>
      <c r="BJ824" s="385"/>
      <c r="BK824" s="385"/>
      <c r="BL824" s="385"/>
      <c r="BM824" s="385"/>
      <c r="BN824" s="385"/>
      <c r="BO824" s="385"/>
      <c r="BP824" s="385"/>
      <c r="BQ824" s="385"/>
      <c r="BR824" s="385"/>
      <c r="BS824" s="385"/>
      <c r="BT824" s="385"/>
      <c r="BU824" s="385"/>
      <c r="BV824" s="385"/>
      <c r="BW824" s="385"/>
      <c r="BX824" s="385"/>
      <c r="BY824" s="385"/>
      <c r="BZ824" s="385"/>
      <c r="CA824" s="385"/>
    </row>
    <row r="825" spans="1:79" s="6" customFormat="1" ht="15" customHeight="1">
      <c r="A825" s="41" t="s">
        <v>183</v>
      </c>
      <c r="B825" s="402" t="s">
        <v>3207</v>
      </c>
      <c r="C825" s="113" t="s">
        <v>3207</v>
      </c>
      <c r="D825" s="393" t="s">
        <v>350</v>
      </c>
      <c r="E825" s="394" t="s">
        <v>3210</v>
      </c>
      <c r="F825" s="402"/>
      <c r="G825" s="405" t="s">
        <v>3209</v>
      </c>
      <c r="H825" s="113">
        <v>3629</v>
      </c>
      <c r="I825" s="49" t="s">
        <v>2</v>
      </c>
      <c r="J825" s="48" t="s">
        <v>890</v>
      </c>
      <c r="K825" s="51">
        <v>40863</v>
      </c>
      <c r="L825" s="115">
        <v>40855</v>
      </c>
      <c r="M825" s="50">
        <v>8</v>
      </c>
      <c r="N825" s="50" t="s">
        <v>2</v>
      </c>
      <c r="O825" s="131">
        <v>1.4</v>
      </c>
      <c r="P825" s="117">
        <v>4.9000000000000004</v>
      </c>
      <c r="Q825" s="131">
        <v>7.26</v>
      </c>
      <c r="R825" s="50">
        <v>28</v>
      </c>
      <c r="S825" s="74">
        <v>28</v>
      </c>
      <c r="T825" s="50">
        <v>0.27</v>
      </c>
      <c r="U825" s="131">
        <v>1.2</v>
      </c>
      <c r="V825" s="50">
        <v>0.12</v>
      </c>
      <c r="W825" s="74">
        <v>5.0000000000000001E-3</v>
      </c>
      <c r="X825" s="50">
        <v>9.6000000000000002E-2</v>
      </c>
      <c r="Y825" s="74">
        <f>0.002/2</f>
        <v>1E-3</v>
      </c>
      <c r="Z825" s="313">
        <v>1</v>
      </c>
      <c r="AA825" s="313">
        <v>1</v>
      </c>
      <c r="AB825" s="114">
        <v>4</v>
      </c>
      <c r="AC825" s="50">
        <v>29</v>
      </c>
      <c r="AD825" s="271">
        <v>1</v>
      </c>
      <c r="AE825" s="50"/>
      <c r="AF825" s="49"/>
      <c r="AG825" s="114"/>
      <c r="AH825" s="114"/>
      <c r="AI825" s="114"/>
      <c r="AJ825" s="114"/>
      <c r="AK825" s="114"/>
      <c r="AL825" s="114"/>
      <c r="AM825" s="114"/>
      <c r="AN825" s="114"/>
      <c r="AO825" s="114"/>
      <c r="AP825" s="114"/>
      <c r="AQ825" s="114"/>
      <c r="AR825" s="114"/>
      <c r="AS825" s="50"/>
      <c r="AT825" s="74"/>
      <c r="AU825" s="114"/>
      <c r="AV825" s="114"/>
      <c r="AW825" s="394"/>
      <c r="AX825" s="385"/>
      <c r="AY825" s="385"/>
      <c r="AZ825" s="385"/>
      <c r="BA825" s="385"/>
      <c r="BB825" s="385"/>
      <c r="BC825" s="385"/>
      <c r="BD825" s="385"/>
      <c r="BE825" s="385"/>
      <c r="BF825" s="385"/>
      <c r="BG825" s="385"/>
      <c r="BH825" s="385"/>
      <c r="BI825" s="385"/>
      <c r="BJ825" s="385"/>
      <c r="BK825" s="385"/>
      <c r="BL825" s="385"/>
      <c r="BM825" s="385"/>
      <c r="BN825" s="385"/>
      <c r="BO825" s="385"/>
      <c r="BP825" s="385"/>
      <c r="BQ825" s="385"/>
      <c r="BR825" s="385"/>
      <c r="BS825" s="385"/>
      <c r="BT825" s="385"/>
      <c r="BU825" s="385"/>
      <c r="BV825" s="385"/>
      <c r="BW825" s="385"/>
      <c r="BX825" s="385"/>
      <c r="BY825" s="385"/>
      <c r="BZ825" s="385"/>
      <c r="CA825" s="385"/>
    </row>
    <row r="826" spans="1:79" s="6" customFormat="1" ht="15" customHeight="1">
      <c r="A826" s="41" t="s">
        <v>183</v>
      </c>
      <c r="B826" s="402" t="s">
        <v>3211</v>
      </c>
      <c r="C826" s="113" t="s">
        <v>3211</v>
      </c>
      <c r="D826" s="393" t="s">
        <v>234</v>
      </c>
      <c r="E826" s="394" t="s">
        <v>235</v>
      </c>
      <c r="F826" s="402"/>
      <c r="G826" s="405" t="s">
        <v>3212</v>
      </c>
      <c r="H826" s="113">
        <v>3356</v>
      </c>
      <c r="I826" s="49"/>
      <c r="J826" s="48"/>
      <c r="K826" s="51">
        <v>40935</v>
      </c>
      <c r="L826" s="115">
        <v>40931</v>
      </c>
      <c r="M826" s="50">
        <v>4</v>
      </c>
      <c r="N826" s="50" t="s">
        <v>2</v>
      </c>
      <c r="O826" s="131">
        <f>1/2</f>
        <v>0.5</v>
      </c>
      <c r="P826" s="117"/>
      <c r="Q826" s="131">
        <v>5.03</v>
      </c>
      <c r="R826" s="50">
        <v>7.6</v>
      </c>
      <c r="S826" s="74">
        <v>6</v>
      </c>
      <c r="T826" s="50">
        <f>0.05/2</f>
        <v>2.5000000000000001E-2</v>
      </c>
      <c r="U826" s="131">
        <v>0.28000000000000003</v>
      </c>
      <c r="V826" s="50">
        <f>0.2/2</f>
        <v>0.1</v>
      </c>
      <c r="W826" s="74">
        <f>0.01/2</f>
        <v>5.0000000000000001E-3</v>
      </c>
      <c r="X826" s="50">
        <v>0.05</v>
      </c>
      <c r="Y826" s="74">
        <f>0.02/2</f>
        <v>0.01</v>
      </c>
      <c r="Z826" s="313">
        <v>1</v>
      </c>
      <c r="AA826" s="313">
        <v>0.42099999999999999</v>
      </c>
      <c r="AB826" s="114">
        <v>9.0299999999999994</v>
      </c>
      <c r="AC826" s="50">
        <v>9.4</v>
      </c>
      <c r="AD826" s="271">
        <v>0.05</v>
      </c>
      <c r="AE826" s="50"/>
      <c r="AF826" s="49"/>
      <c r="AG826" s="114"/>
      <c r="AH826" s="114"/>
      <c r="AI826" s="114"/>
      <c r="AJ826" s="114"/>
      <c r="AK826" s="114"/>
      <c r="AL826" s="114"/>
      <c r="AM826" s="114"/>
      <c r="AN826" s="114"/>
      <c r="AO826" s="114"/>
      <c r="AP826" s="114"/>
      <c r="AQ826" s="114"/>
      <c r="AR826" s="114"/>
      <c r="AS826" s="50"/>
      <c r="AT826" s="74"/>
      <c r="AU826" s="114"/>
      <c r="AV826" s="114"/>
      <c r="AW826" s="394"/>
      <c r="AX826" s="385"/>
      <c r="AY826" s="385"/>
      <c r="AZ826" s="385"/>
      <c r="BA826" s="385"/>
      <c r="BB826" s="385"/>
      <c r="BC826" s="385"/>
      <c r="BD826" s="385"/>
      <c r="BE826" s="385"/>
      <c r="BF826" s="385"/>
      <c r="BG826" s="385"/>
      <c r="BH826" s="385"/>
      <c r="BI826" s="385"/>
      <c r="BJ826" s="385"/>
      <c r="BK826" s="385"/>
      <c r="BL826" s="385"/>
      <c r="BM826" s="385"/>
      <c r="BN826" s="385"/>
      <c r="BO826" s="385"/>
      <c r="BP826" s="385"/>
      <c r="BQ826" s="385"/>
      <c r="BR826" s="385"/>
      <c r="BS826" s="385"/>
      <c r="BT826" s="385"/>
      <c r="BU826" s="385"/>
      <c r="BV826" s="385"/>
      <c r="BW826" s="385"/>
      <c r="BX826" s="385"/>
      <c r="BY826" s="385"/>
      <c r="BZ826" s="385"/>
      <c r="CA826" s="385"/>
    </row>
    <row r="827" spans="1:79" s="6" customFormat="1" ht="15" customHeight="1">
      <c r="A827" s="41" t="s">
        <v>183</v>
      </c>
      <c r="B827" s="402" t="s">
        <v>3213</v>
      </c>
      <c r="C827" s="113" t="s">
        <v>3213</v>
      </c>
      <c r="D827" s="393" t="s">
        <v>2691</v>
      </c>
      <c r="E827" s="394" t="s">
        <v>3214</v>
      </c>
      <c r="F827" s="402"/>
      <c r="G827" s="405" t="s">
        <v>3215</v>
      </c>
      <c r="H827" s="113">
        <v>4142</v>
      </c>
      <c r="I827" s="49" t="s">
        <v>2</v>
      </c>
      <c r="J827" s="48" t="s">
        <v>3144</v>
      </c>
      <c r="K827" s="51">
        <v>40904</v>
      </c>
      <c r="L827" s="115">
        <v>40900</v>
      </c>
      <c r="M827" s="50">
        <v>4</v>
      </c>
      <c r="N827" s="50" t="s">
        <v>2</v>
      </c>
      <c r="O827" s="131">
        <f>2/2</f>
        <v>1</v>
      </c>
      <c r="P827" s="117">
        <v>5.5</v>
      </c>
      <c r="Q827" s="131">
        <v>6.3</v>
      </c>
      <c r="R827" s="50">
        <v>18</v>
      </c>
      <c r="S827" s="74">
        <v>7</v>
      </c>
      <c r="T827" s="50">
        <v>0.06</v>
      </c>
      <c r="U827" s="131">
        <v>0.78</v>
      </c>
      <c r="V827" s="50">
        <f>0.1/2</f>
        <v>0.05</v>
      </c>
      <c r="W827" s="74">
        <v>2.3E-2</v>
      </c>
      <c r="X827" s="50">
        <v>5.1999999999999998E-2</v>
      </c>
      <c r="Y827" s="74">
        <f>0.03/2</f>
        <v>1.4999999999999999E-2</v>
      </c>
      <c r="Z827" s="313">
        <v>1</v>
      </c>
      <c r="AA827" s="313">
        <v>1</v>
      </c>
      <c r="AB827" s="114">
        <v>6</v>
      </c>
      <c r="AC827" s="50">
        <v>58</v>
      </c>
      <c r="AD827" s="271">
        <v>1</v>
      </c>
      <c r="AE827" s="50"/>
      <c r="AF827" s="49"/>
      <c r="AG827" s="114"/>
      <c r="AH827" s="114"/>
      <c r="AI827" s="114"/>
      <c r="AJ827" s="114"/>
      <c r="AK827" s="114"/>
      <c r="AL827" s="114"/>
      <c r="AM827" s="114"/>
      <c r="AN827" s="114"/>
      <c r="AO827" s="114"/>
      <c r="AP827" s="114"/>
      <c r="AQ827" s="114"/>
      <c r="AR827" s="114"/>
      <c r="AS827" s="50"/>
      <c r="AT827" s="74"/>
      <c r="AU827" s="114"/>
      <c r="AV827" s="114"/>
      <c r="AW827" s="394"/>
      <c r="AX827" s="385"/>
      <c r="AY827" s="385"/>
      <c r="AZ827" s="385"/>
      <c r="BA827" s="385"/>
      <c r="BB827" s="385"/>
      <c r="BC827" s="385"/>
      <c r="BD827" s="385"/>
      <c r="BE827" s="385"/>
      <c r="BF827" s="385"/>
      <c r="BG827" s="385"/>
      <c r="BH827" s="385"/>
      <c r="BI827" s="385"/>
      <c r="BJ827" s="385"/>
      <c r="BK827" s="385"/>
      <c r="BL827" s="385"/>
      <c r="BM827" s="385"/>
      <c r="BN827" s="385"/>
      <c r="BO827" s="385"/>
      <c r="BP827" s="385"/>
      <c r="BQ827" s="385"/>
      <c r="BR827" s="385"/>
      <c r="BS827" s="385"/>
      <c r="BT827" s="385"/>
      <c r="BU827" s="385"/>
      <c r="BV827" s="385"/>
      <c r="BW827" s="385"/>
      <c r="BX827" s="385"/>
      <c r="BY827" s="385"/>
      <c r="BZ827" s="385"/>
      <c r="CA827" s="385"/>
    </row>
    <row r="828" spans="1:79" s="6" customFormat="1" ht="15" customHeight="1">
      <c r="A828" s="41" t="s">
        <v>183</v>
      </c>
      <c r="B828" s="402" t="s">
        <v>1817</v>
      </c>
      <c r="C828" s="113" t="s">
        <v>1817</v>
      </c>
      <c r="D828" s="393" t="s">
        <v>684</v>
      </c>
      <c r="E828" s="394" t="s">
        <v>322</v>
      </c>
      <c r="F828" s="402" t="s">
        <v>1911</v>
      </c>
      <c r="G828" s="405" t="s">
        <v>1792</v>
      </c>
      <c r="H828" s="113">
        <v>3353</v>
      </c>
      <c r="I828" s="49" t="s">
        <v>2</v>
      </c>
      <c r="J828" s="48" t="s">
        <v>1793</v>
      </c>
      <c r="K828" s="51">
        <v>40920</v>
      </c>
      <c r="L828" s="115">
        <v>40909</v>
      </c>
      <c r="M828" s="50">
        <v>11</v>
      </c>
      <c r="N828" s="50" t="s">
        <v>2</v>
      </c>
      <c r="O828" s="131">
        <f>1.4/2</f>
        <v>0.7</v>
      </c>
      <c r="P828" s="117">
        <v>6.6</v>
      </c>
      <c r="Q828" s="131">
        <v>6.25</v>
      </c>
      <c r="R828" s="50">
        <f>10/2</f>
        <v>5</v>
      </c>
      <c r="S828" s="74">
        <f>5/2</f>
        <v>2.5</v>
      </c>
      <c r="T828" s="50">
        <f>0.01/2</f>
        <v>5.0000000000000001E-3</v>
      </c>
      <c r="U828" s="131">
        <v>0.13</v>
      </c>
      <c r="V828" s="50">
        <v>0.04</v>
      </c>
      <c r="W828" s="74">
        <v>3.0000000000000001E-3</v>
      </c>
      <c r="X828" s="50">
        <v>3.1E-2</v>
      </c>
      <c r="Y828" s="74">
        <f>0.002/2</f>
        <v>1E-3</v>
      </c>
      <c r="Z828" s="313">
        <v>1</v>
      </c>
      <c r="AA828" s="313">
        <v>0.78100000000000003</v>
      </c>
      <c r="AB828" s="114">
        <v>0</v>
      </c>
      <c r="AC828" s="50">
        <v>0</v>
      </c>
      <c r="AD828" s="271">
        <v>0.25</v>
      </c>
      <c r="AE828" s="50"/>
      <c r="AF828" s="49"/>
      <c r="AG828" s="114"/>
      <c r="AH828" s="114"/>
      <c r="AI828" s="114"/>
      <c r="AJ828" s="114"/>
      <c r="AK828" s="114"/>
      <c r="AL828" s="114"/>
      <c r="AM828" s="114"/>
      <c r="AN828" s="114"/>
      <c r="AO828" s="114"/>
      <c r="AP828" s="114"/>
      <c r="AQ828" s="114"/>
      <c r="AR828" s="114"/>
      <c r="AS828" s="50"/>
      <c r="AT828" s="74"/>
      <c r="AU828" s="114"/>
      <c r="AV828" s="114"/>
      <c r="AW828" s="394"/>
      <c r="AX828" s="385"/>
      <c r="AY828" s="385"/>
      <c r="AZ828" s="385"/>
      <c r="BA828" s="385"/>
      <c r="BB828" s="385"/>
      <c r="BC828" s="385"/>
      <c r="BD828" s="385"/>
      <c r="BE828" s="385"/>
      <c r="BF828" s="385"/>
      <c r="BG828" s="385"/>
      <c r="BH828" s="385"/>
      <c r="BI828" s="385"/>
      <c r="BJ828" s="385"/>
      <c r="BK828" s="385"/>
      <c r="BL828" s="385"/>
      <c r="BM828" s="385"/>
      <c r="BN828" s="385"/>
      <c r="BO828" s="385"/>
      <c r="BP828" s="385"/>
      <c r="BQ828" s="385"/>
      <c r="BR828" s="385"/>
      <c r="BS828" s="385"/>
      <c r="BT828" s="385"/>
      <c r="BU828" s="385"/>
      <c r="BV828" s="385"/>
      <c r="BW828" s="385"/>
      <c r="BX828" s="385"/>
      <c r="BY828" s="385"/>
      <c r="BZ828" s="385"/>
      <c r="CA828" s="385"/>
    </row>
    <row r="829" spans="1:79" s="6" customFormat="1" ht="15" customHeight="1">
      <c r="A829" s="41" t="s">
        <v>183</v>
      </c>
      <c r="B829" s="402" t="s">
        <v>3216</v>
      </c>
      <c r="C829" s="113" t="s">
        <v>3217</v>
      </c>
      <c r="D829" s="393" t="s">
        <v>818</v>
      </c>
      <c r="E829" s="394" t="s">
        <v>3218</v>
      </c>
      <c r="F829" s="402"/>
      <c r="G829" s="405" t="s">
        <v>3219</v>
      </c>
      <c r="H829" s="113">
        <v>3714</v>
      </c>
      <c r="I829" s="49" t="s">
        <v>2</v>
      </c>
      <c r="J829" s="48" t="s">
        <v>3144</v>
      </c>
      <c r="K829" s="51">
        <v>40857</v>
      </c>
      <c r="L829" s="115">
        <v>40845</v>
      </c>
      <c r="M829" s="50">
        <v>12</v>
      </c>
      <c r="N829" s="50" t="s">
        <v>2</v>
      </c>
      <c r="O829" s="131">
        <f>5/2</f>
        <v>2.5</v>
      </c>
      <c r="P829" s="117">
        <v>6.3</v>
      </c>
      <c r="Q829" s="131">
        <v>5.52</v>
      </c>
      <c r="R829" s="50">
        <v>39</v>
      </c>
      <c r="S829" s="74">
        <v>6</v>
      </c>
      <c r="T829" s="50">
        <f>0.1/2</f>
        <v>0.05</v>
      </c>
      <c r="U829" s="131">
        <v>1.1000000000000001</v>
      </c>
      <c r="V829" s="50">
        <v>0.75</v>
      </c>
      <c r="W829" s="74">
        <f>0.04/2</f>
        <v>0.02</v>
      </c>
      <c r="X829" s="50">
        <v>0.14000000000000001</v>
      </c>
      <c r="Y829" s="74">
        <f>0.013/2</f>
        <v>6.4999999999999997E-3</v>
      </c>
      <c r="Z829" s="313">
        <v>0.82</v>
      </c>
      <c r="AA829" s="313">
        <v>0.70699999999999996</v>
      </c>
      <c r="AB829" s="114">
        <v>12</v>
      </c>
      <c r="AC829" s="50">
        <v>79</v>
      </c>
      <c r="AD829" s="271">
        <v>0</v>
      </c>
      <c r="AE829" s="50"/>
      <c r="AF829" s="49"/>
      <c r="AG829" s="114"/>
      <c r="AH829" s="114"/>
      <c r="AI829" s="114"/>
      <c r="AJ829" s="114"/>
      <c r="AK829" s="114"/>
      <c r="AL829" s="114"/>
      <c r="AM829" s="114"/>
      <c r="AN829" s="114"/>
      <c r="AO829" s="114"/>
      <c r="AP829" s="114"/>
      <c r="AQ829" s="114"/>
      <c r="AR829" s="114"/>
      <c r="AS829" s="50"/>
      <c r="AT829" s="74"/>
      <c r="AU829" s="114"/>
      <c r="AV829" s="114"/>
      <c r="AW829" s="394"/>
      <c r="AX829" s="385"/>
      <c r="AY829" s="385"/>
      <c r="AZ829" s="385"/>
      <c r="BA829" s="385"/>
      <c r="BB829" s="385"/>
      <c r="BC829" s="385"/>
      <c r="BD829" s="385"/>
      <c r="BE829" s="385"/>
      <c r="BF829" s="385"/>
      <c r="BG829" s="385"/>
      <c r="BH829" s="385"/>
      <c r="BI829" s="385"/>
      <c r="BJ829" s="385"/>
      <c r="BK829" s="385"/>
      <c r="BL829" s="385"/>
      <c r="BM829" s="385"/>
      <c r="BN829" s="385"/>
      <c r="BO829" s="385"/>
      <c r="BP829" s="385"/>
      <c r="BQ829" s="385"/>
      <c r="BR829" s="385"/>
      <c r="BS829" s="385"/>
      <c r="BT829" s="385"/>
      <c r="BU829" s="385"/>
      <c r="BV829" s="385"/>
      <c r="BW829" s="385"/>
      <c r="BX829" s="385"/>
      <c r="BY829" s="385"/>
      <c r="BZ829" s="385"/>
      <c r="CA829" s="385"/>
    </row>
    <row r="830" spans="1:79" s="6" customFormat="1" ht="15" customHeight="1">
      <c r="A830" s="41" t="s">
        <v>183</v>
      </c>
      <c r="B830" s="402" t="s">
        <v>325</v>
      </c>
      <c r="C830" s="113" t="s">
        <v>2161</v>
      </c>
      <c r="D830" s="393" t="s">
        <v>56</v>
      </c>
      <c r="E830" s="394" t="s">
        <v>95</v>
      </c>
      <c r="F830" s="402"/>
      <c r="G830" s="405" t="s">
        <v>995</v>
      </c>
      <c r="H830" s="113">
        <v>5171</v>
      </c>
      <c r="I830" s="49" t="s">
        <v>3279</v>
      </c>
      <c r="J830" s="48" t="s">
        <v>3144</v>
      </c>
      <c r="K830" s="51">
        <v>40920</v>
      </c>
      <c r="L830" s="115">
        <v>40909</v>
      </c>
      <c r="M830" s="50">
        <v>11</v>
      </c>
      <c r="N830" s="50" t="s">
        <v>2</v>
      </c>
      <c r="O830" s="131"/>
      <c r="P830" s="117">
        <v>6.3</v>
      </c>
      <c r="Q830" s="131"/>
      <c r="R830" s="50"/>
      <c r="S830" s="74">
        <v>57</v>
      </c>
      <c r="T830" s="50"/>
      <c r="U830" s="131"/>
      <c r="V830" s="50"/>
      <c r="W830" s="74"/>
      <c r="X830" s="50">
        <v>0.25</v>
      </c>
      <c r="Y830" s="74"/>
      <c r="Z830" s="313"/>
      <c r="AA830" s="313"/>
      <c r="AB830" s="114"/>
      <c r="AC830" s="50"/>
      <c r="AD830" s="271"/>
      <c r="AE830" s="50"/>
      <c r="AF830" s="49"/>
      <c r="AG830" s="114"/>
      <c r="AH830" s="114"/>
      <c r="AI830" s="114"/>
      <c r="AJ830" s="114"/>
      <c r="AK830" s="114"/>
      <c r="AL830" s="114"/>
      <c r="AM830" s="114"/>
      <c r="AN830" s="114"/>
      <c r="AO830" s="114"/>
      <c r="AP830" s="114"/>
      <c r="AQ830" s="114"/>
      <c r="AR830" s="114"/>
      <c r="AS830" s="50"/>
      <c r="AT830" s="74"/>
      <c r="AU830" s="114"/>
      <c r="AV830" s="114"/>
      <c r="AW830" s="394"/>
      <c r="AX830" s="385"/>
      <c r="AY830" s="385"/>
      <c r="AZ830" s="385"/>
      <c r="BA830" s="385"/>
      <c r="BB830" s="385"/>
      <c r="BC830" s="385"/>
      <c r="BD830" s="385"/>
      <c r="BE830" s="385"/>
      <c r="BF830" s="385"/>
      <c r="BG830" s="385"/>
      <c r="BH830" s="385"/>
      <c r="BI830" s="385"/>
      <c r="BJ830" s="385"/>
      <c r="BK830" s="385"/>
      <c r="BL830" s="385"/>
      <c r="BM830" s="385"/>
      <c r="BN830" s="385"/>
      <c r="BO830" s="385"/>
      <c r="BP830" s="385"/>
      <c r="BQ830" s="385"/>
      <c r="BR830" s="385"/>
      <c r="BS830" s="385"/>
      <c r="BT830" s="385"/>
      <c r="BU830" s="385"/>
      <c r="BV830" s="385"/>
      <c r="BW830" s="385"/>
      <c r="BX830" s="385"/>
      <c r="BY830" s="385"/>
      <c r="BZ830" s="385"/>
      <c r="CA830" s="385"/>
    </row>
    <row r="831" spans="1:79" s="6" customFormat="1" ht="15" customHeight="1">
      <c r="A831" s="41" t="s">
        <v>183</v>
      </c>
      <c r="B831" s="402" t="s">
        <v>3220</v>
      </c>
      <c r="C831" s="113" t="s">
        <v>3220</v>
      </c>
      <c r="D831" s="393" t="s">
        <v>295</v>
      </c>
      <c r="E831" s="394" t="s">
        <v>535</v>
      </c>
      <c r="F831" s="402"/>
      <c r="G831" s="405" t="s">
        <v>3221</v>
      </c>
      <c r="H831" s="113">
        <v>2834</v>
      </c>
      <c r="I831" s="49" t="s">
        <v>1</v>
      </c>
      <c r="J831" s="48" t="s">
        <v>4736</v>
      </c>
      <c r="K831" s="51">
        <v>40863</v>
      </c>
      <c r="L831" s="115">
        <v>40845</v>
      </c>
      <c r="M831" s="50">
        <v>18</v>
      </c>
      <c r="N831" s="50" t="s">
        <v>2</v>
      </c>
      <c r="O831" s="131">
        <f>1.4/2</f>
        <v>0.7</v>
      </c>
      <c r="P831" s="117">
        <v>5.5</v>
      </c>
      <c r="Q831" s="131">
        <v>7.88</v>
      </c>
      <c r="R831" s="50">
        <v>23</v>
      </c>
      <c r="S831" s="74">
        <f>5/2</f>
        <v>2.5</v>
      </c>
      <c r="T831" s="50">
        <v>0.04</v>
      </c>
      <c r="U831" s="131">
        <v>0.35</v>
      </c>
      <c r="V831" s="50">
        <v>0.23</v>
      </c>
      <c r="W831" s="74">
        <v>2E-3</v>
      </c>
      <c r="X831" s="50">
        <v>3.0000000000000001E-3</v>
      </c>
      <c r="Y831" s="74">
        <f>0.002/2</f>
        <v>1E-3</v>
      </c>
      <c r="Z831" s="313">
        <v>1</v>
      </c>
      <c r="AA831" s="313">
        <v>1</v>
      </c>
      <c r="AB831" s="114">
        <v>234</v>
      </c>
      <c r="AC831" s="50">
        <v>723</v>
      </c>
      <c r="AD831" s="271">
        <v>0.95</v>
      </c>
      <c r="AE831" s="50">
        <v>44</v>
      </c>
      <c r="AF831" s="49"/>
      <c r="AG831" s="114"/>
      <c r="AH831" s="114"/>
      <c r="AI831" s="114"/>
      <c r="AJ831" s="114"/>
      <c r="AK831" s="114"/>
      <c r="AL831" s="114"/>
      <c r="AM831" s="114"/>
      <c r="AN831" s="114"/>
      <c r="AO831" s="114"/>
      <c r="AP831" s="114"/>
      <c r="AQ831" s="114"/>
      <c r="AR831" s="114"/>
      <c r="AS831" s="50"/>
      <c r="AT831" s="74"/>
      <c r="AU831" s="114"/>
      <c r="AV831" s="114"/>
      <c r="AW831" s="394"/>
      <c r="AX831" s="385"/>
      <c r="AY831" s="385"/>
      <c r="AZ831" s="385"/>
      <c r="BA831" s="385"/>
      <c r="BB831" s="385"/>
      <c r="BC831" s="385"/>
      <c r="BD831" s="385"/>
      <c r="BE831" s="385"/>
      <c r="BF831" s="385"/>
      <c r="BG831" s="385"/>
      <c r="BH831" s="385"/>
      <c r="BI831" s="385"/>
      <c r="BJ831" s="385"/>
      <c r="BK831" s="385"/>
      <c r="BL831" s="385"/>
      <c r="BM831" s="385"/>
      <c r="BN831" s="385"/>
      <c r="BO831" s="385"/>
      <c r="BP831" s="385"/>
      <c r="BQ831" s="385"/>
      <c r="BR831" s="385"/>
      <c r="BS831" s="385"/>
      <c r="BT831" s="385"/>
      <c r="BU831" s="385"/>
      <c r="BV831" s="385"/>
      <c r="BW831" s="385"/>
      <c r="BX831" s="385"/>
      <c r="BY831" s="385"/>
      <c r="BZ831" s="385"/>
      <c r="CA831" s="385"/>
    </row>
    <row r="832" spans="1:79" s="6" customFormat="1" ht="15" customHeight="1">
      <c r="A832" s="41" t="s">
        <v>183</v>
      </c>
      <c r="B832" s="402" t="s">
        <v>3220</v>
      </c>
      <c r="C832" s="113" t="s">
        <v>3220</v>
      </c>
      <c r="D832" s="393" t="s">
        <v>295</v>
      </c>
      <c r="E832" s="394" t="s">
        <v>535</v>
      </c>
      <c r="F832" s="402"/>
      <c r="G832" s="405" t="s">
        <v>3221</v>
      </c>
      <c r="H832" s="113">
        <v>2834</v>
      </c>
      <c r="I832" s="49" t="s">
        <v>1</v>
      </c>
      <c r="J832" s="48" t="s">
        <v>2362</v>
      </c>
      <c r="K832" s="51">
        <v>40863</v>
      </c>
      <c r="L832" s="115">
        <v>40845</v>
      </c>
      <c r="M832" s="50">
        <v>18</v>
      </c>
      <c r="N832" s="50" t="s">
        <v>2</v>
      </c>
      <c r="O832" s="131">
        <f>1.6/2</f>
        <v>0.8</v>
      </c>
      <c r="P832" s="117">
        <v>5.5</v>
      </c>
      <c r="Q832" s="131">
        <v>7.49</v>
      </c>
      <c r="R832" s="50">
        <v>84</v>
      </c>
      <c r="S832" s="74">
        <v>83</v>
      </c>
      <c r="T832" s="50">
        <v>0.26</v>
      </c>
      <c r="U832" s="131">
        <v>1.7</v>
      </c>
      <c r="V832" s="50">
        <v>0.13</v>
      </c>
      <c r="W832" s="74">
        <v>4.0000000000000001E-3</v>
      </c>
      <c r="X832" s="50">
        <v>1.6E-2</v>
      </c>
      <c r="Y832" s="74">
        <v>3.0000000000000001E-3</v>
      </c>
      <c r="Z832" s="313">
        <v>1</v>
      </c>
      <c r="AA832" s="313">
        <v>1</v>
      </c>
      <c r="AB832" s="114">
        <v>144</v>
      </c>
      <c r="AC832" s="50">
        <v>497</v>
      </c>
      <c r="AD832" s="271">
        <v>1</v>
      </c>
      <c r="AE832" s="50">
        <v>1553</v>
      </c>
      <c r="AF832" s="49"/>
      <c r="AG832" s="114"/>
      <c r="AH832" s="114"/>
      <c r="AI832" s="114"/>
      <c r="AJ832" s="114"/>
      <c r="AK832" s="114"/>
      <c r="AL832" s="114"/>
      <c r="AM832" s="114"/>
      <c r="AN832" s="114"/>
      <c r="AO832" s="114"/>
      <c r="AP832" s="114"/>
      <c r="AQ832" s="114"/>
      <c r="AR832" s="114"/>
      <c r="AS832" s="50"/>
      <c r="AT832" s="74"/>
      <c r="AU832" s="114"/>
      <c r="AV832" s="114"/>
      <c r="AW832" s="394"/>
      <c r="AX832" s="385"/>
      <c r="AY832" s="385"/>
      <c r="AZ832" s="385"/>
      <c r="BA832" s="385"/>
      <c r="BB832" s="385"/>
      <c r="BC832" s="385"/>
      <c r="BD832" s="385"/>
      <c r="BE832" s="385"/>
      <c r="BF832" s="385"/>
      <c r="BG832" s="385"/>
      <c r="BH832" s="385"/>
      <c r="BI832" s="385"/>
      <c r="BJ832" s="385"/>
      <c r="BK832" s="385"/>
      <c r="BL832" s="385"/>
      <c r="BM832" s="385"/>
      <c r="BN832" s="385"/>
      <c r="BO832" s="385"/>
      <c r="BP832" s="385"/>
      <c r="BQ832" s="385"/>
      <c r="BR832" s="385"/>
      <c r="BS832" s="385"/>
      <c r="BT832" s="385"/>
      <c r="BU832" s="385"/>
      <c r="BV832" s="385"/>
      <c r="BW832" s="385"/>
      <c r="BX832" s="385"/>
      <c r="BY832" s="385"/>
      <c r="BZ832" s="385"/>
      <c r="CA832" s="385"/>
    </row>
    <row r="833" spans="1:79" s="6" customFormat="1" ht="15" customHeight="1">
      <c r="A833" s="41" t="s">
        <v>183</v>
      </c>
      <c r="B833" s="402" t="s">
        <v>3220</v>
      </c>
      <c r="C833" s="113" t="s">
        <v>3220</v>
      </c>
      <c r="D833" s="393" t="s">
        <v>295</v>
      </c>
      <c r="E833" s="394" t="s">
        <v>535</v>
      </c>
      <c r="F833" s="402"/>
      <c r="G833" s="405" t="s">
        <v>3221</v>
      </c>
      <c r="H833" s="113">
        <v>2834</v>
      </c>
      <c r="I833" s="49" t="s">
        <v>1</v>
      </c>
      <c r="J833" s="48" t="s">
        <v>3223</v>
      </c>
      <c r="K833" s="51">
        <v>40863</v>
      </c>
      <c r="L833" s="115">
        <v>40845</v>
      </c>
      <c r="M833" s="50">
        <v>18</v>
      </c>
      <c r="N833" s="50" t="s">
        <v>2</v>
      </c>
      <c r="O833" s="131">
        <f>1.4/2</f>
        <v>0.7</v>
      </c>
      <c r="P833" s="117">
        <v>5.5</v>
      </c>
      <c r="Q833" s="131">
        <v>7.72</v>
      </c>
      <c r="R833" s="50">
        <v>25</v>
      </c>
      <c r="S833" s="74">
        <f>5/2</f>
        <v>2.5</v>
      </c>
      <c r="T833" s="50">
        <f>0.01/2</f>
        <v>5.0000000000000001E-3</v>
      </c>
      <c r="U833" s="131">
        <v>0.34</v>
      </c>
      <c r="V833" s="50">
        <f>0.01/2</f>
        <v>5.0000000000000001E-3</v>
      </c>
      <c r="W833" s="74">
        <v>2E-3</v>
      </c>
      <c r="X833" s="50">
        <v>6.0000000000000001E-3</v>
      </c>
      <c r="Y833" s="74">
        <f>0.002/2</f>
        <v>1E-3</v>
      </c>
      <c r="Z833" s="313">
        <v>1</v>
      </c>
      <c r="AA833" s="313">
        <v>1</v>
      </c>
      <c r="AB833" s="114">
        <v>180</v>
      </c>
      <c r="AC833" s="50">
        <v>694</v>
      </c>
      <c r="AD833" s="271">
        <v>0.9</v>
      </c>
      <c r="AE833" s="50">
        <v>0</v>
      </c>
      <c r="AF833" s="49"/>
      <c r="AG833" s="114"/>
      <c r="AH833" s="114"/>
      <c r="AI833" s="114"/>
      <c r="AJ833" s="114"/>
      <c r="AK833" s="114"/>
      <c r="AL833" s="114"/>
      <c r="AM833" s="114"/>
      <c r="AN833" s="114"/>
      <c r="AO833" s="114"/>
      <c r="AP833" s="114"/>
      <c r="AQ833" s="114"/>
      <c r="AR833" s="114"/>
      <c r="AS833" s="50"/>
      <c r="AT833" s="74"/>
      <c r="AU833" s="114"/>
      <c r="AV833" s="114"/>
      <c r="AW833" s="394"/>
      <c r="AX833" s="385"/>
      <c r="AY833" s="385"/>
      <c r="AZ833" s="385"/>
      <c r="BA833" s="385"/>
      <c r="BB833" s="385"/>
      <c r="BC833" s="385"/>
      <c r="BD833" s="385"/>
      <c r="BE833" s="385"/>
      <c r="BF833" s="385"/>
      <c r="BG833" s="385"/>
      <c r="BH833" s="385"/>
      <c r="BI833" s="385"/>
      <c r="BJ833" s="385"/>
      <c r="BK833" s="385"/>
      <c r="BL833" s="385"/>
      <c r="BM833" s="385"/>
      <c r="BN833" s="385"/>
      <c r="BO833" s="385"/>
      <c r="BP833" s="385"/>
      <c r="BQ833" s="385"/>
      <c r="BR833" s="385"/>
      <c r="BS833" s="385"/>
      <c r="BT833" s="385"/>
      <c r="BU833" s="385"/>
      <c r="BV833" s="385"/>
      <c r="BW833" s="385"/>
      <c r="BX833" s="385"/>
      <c r="BY833" s="385"/>
      <c r="BZ833" s="385"/>
      <c r="CA833" s="385"/>
    </row>
    <row r="834" spans="1:79" s="6" customFormat="1" ht="15" customHeight="1">
      <c r="A834" s="41" t="s">
        <v>183</v>
      </c>
      <c r="B834" s="402" t="s">
        <v>3220</v>
      </c>
      <c r="C834" s="113" t="s">
        <v>3220</v>
      </c>
      <c r="D834" s="393" t="s">
        <v>295</v>
      </c>
      <c r="E834" s="394" t="s">
        <v>535</v>
      </c>
      <c r="F834" s="402"/>
      <c r="G834" s="405" t="s">
        <v>3221</v>
      </c>
      <c r="H834" s="113">
        <v>2834</v>
      </c>
      <c r="I834" s="49" t="s">
        <v>1</v>
      </c>
      <c r="J834" s="48" t="s">
        <v>3224</v>
      </c>
      <c r="K834" s="51">
        <v>40863</v>
      </c>
      <c r="L834" s="115">
        <v>40845</v>
      </c>
      <c r="M834" s="50">
        <v>18</v>
      </c>
      <c r="N834" s="50" t="s">
        <v>2</v>
      </c>
      <c r="O834" s="131">
        <f>1.4/2</f>
        <v>0.7</v>
      </c>
      <c r="P834" s="117">
        <v>5.5</v>
      </c>
      <c r="Q834" s="131">
        <v>8.1999999999999993</v>
      </c>
      <c r="R834" s="50">
        <v>37</v>
      </c>
      <c r="S834" s="74">
        <v>35</v>
      </c>
      <c r="T834" s="50">
        <v>0.05</v>
      </c>
      <c r="U834" s="131">
        <v>0.74</v>
      </c>
      <c r="V834" s="50">
        <v>0.5</v>
      </c>
      <c r="W834" s="74">
        <v>7.0000000000000001E-3</v>
      </c>
      <c r="X834" s="50">
        <v>6.0999999999999999E-2</v>
      </c>
      <c r="Y834" s="74">
        <f>0.002/2</f>
        <v>1E-3</v>
      </c>
      <c r="Z834" s="313">
        <v>1</v>
      </c>
      <c r="AA834" s="313">
        <v>1</v>
      </c>
      <c r="AB834" s="114">
        <v>182</v>
      </c>
      <c r="AC834" s="50">
        <v>887</v>
      </c>
      <c r="AD834" s="271">
        <v>1</v>
      </c>
      <c r="AE834" s="50">
        <v>11</v>
      </c>
      <c r="AF834" s="49"/>
      <c r="AG834" s="114"/>
      <c r="AH834" s="114"/>
      <c r="AI834" s="114"/>
      <c r="AJ834" s="114"/>
      <c r="AK834" s="114"/>
      <c r="AL834" s="114"/>
      <c r="AM834" s="114"/>
      <c r="AN834" s="114"/>
      <c r="AO834" s="114"/>
      <c r="AP834" s="114"/>
      <c r="AQ834" s="114"/>
      <c r="AR834" s="114"/>
      <c r="AS834" s="50"/>
      <c r="AT834" s="74"/>
      <c r="AU834" s="114"/>
      <c r="AV834" s="114"/>
      <c r="AW834" s="394"/>
      <c r="AX834" s="385"/>
      <c r="AY834" s="385"/>
      <c r="AZ834" s="385"/>
      <c r="BA834" s="385"/>
      <c r="BB834" s="385"/>
      <c r="BC834" s="385"/>
      <c r="BD834" s="385"/>
      <c r="BE834" s="385"/>
      <c r="BF834" s="385"/>
      <c r="BG834" s="385"/>
      <c r="BH834" s="385"/>
      <c r="BI834" s="385"/>
      <c r="BJ834" s="385"/>
      <c r="BK834" s="385"/>
      <c r="BL834" s="385"/>
      <c r="BM834" s="385"/>
      <c r="BN834" s="385"/>
      <c r="BO834" s="385"/>
      <c r="BP834" s="385"/>
      <c r="BQ834" s="385"/>
      <c r="BR834" s="385"/>
      <c r="BS834" s="385"/>
      <c r="BT834" s="385"/>
      <c r="BU834" s="385"/>
      <c r="BV834" s="385"/>
      <c r="BW834" s="385"/>
      <c r="BX834" s="385"/>
      <c r="BY834" s="385"/>
      <c r="BZ834" s="385"/>
      <c r="CA834" s="385"/>
    </row>
    <row r="835" spans="1:79" s="6" customFormat="1" ht="15" customHeight="1">
      <c r="A835" s="41" t="s">
        <v>183</v>
      </c>
      <c r="B835" s="402" t="s">
        <v>3225</v>
      </c>
      <c r="C835" s="113" t="s">
        <v>3226</v>
      </c>
      <c r="D835" s="393" t="s">
        <v>818</v>
      </c>
      <c r="E835" s="394"/>
      <c r="F835" s="402"/>
      <c r="G835" s="405" t="s">
        <v>3227</v>
      </c>
      <c r="H835" s="113">
        <v>3351</v>
      </c>
      <c r="I835" s="49" t="s">
        <v>2</v>
      </c>
      <c r="J835" s="48" t="s">
        <v>3144</v>
      </c>
      <c r="K835" s="51">
        <v>40898</v>
      </c>
      <c r="L835" s="115">
        <v>40885</v>
      </c>
      <c r="M835" s="50">
        <v>13</v>
      </c>
      <c r="N835" s="50" t="s">
        <v>2</v>
      </c>
      <c r="O835" s="131">
        <f>5/2</f>
        <v>2.5</v>
      </c>
      <c r="P835" s="117">
        <v>6.3</v>
      </c>
      <c r="Q835" s="131">
        <v>6.5</v>
      </c>
      <c r="R835" s="50">
        <v>14</v>
      </c>
      <c r="S835" s="74">
        <f>5/2</f>
        <v>2.5</v>
      </c>
      <c r="T835" s="50">
        <f>0.1/2</f>
        <v>0.05</v>
      </c>
      <c r="U835" s="131">
        <f>1/2</f>
        <v>0.5</v>
      </c>
      <c r="V835" s="50">
        <v>0.94</v>
      </c>
      <c r="W835" s="74">
        <f>0.04/2</f>
        <v>0.02</v>
      </c>
      <c r="X835" s="50">
        <v>0.31</v>
      </c>
      <c r="Y835" s="74">
        <f>0.013/2</f>
        <v>6.4999999999999997E-3</v>
      </c>
      <c r="Z835" s="313">
        <v>1</v>
      </c>
      <c r="AA835" s="313">
        <v>0.57199999999999995</v>
      </c>
      <c r="AB835" s="114">
        <v>15</v>
      </c>
      <c r="AC835" s="50">
        <v>30</v>
      </c>
      <c r="AD835" s="271">
        <v>0</v>
      </c>
      <c r="AE835" s="50"/>
      <c r="AF835" s="49"/>
      <c r="AG835" s="114"/>
      <c r="AH835" s="114"/>
      <c r="AI835" s="114"/>
      <c r="AJ835" s="114"/>
      <c r="AK835" s="114"/>
      <c r="AL835" s="114"/>
      <c r="AM835" s="114"/>
      <c r="AN835" s="114"/>
      <c r="AO835" s="114"/>
      <c r="AP835" s="114"/>
      <c r="AQ835" s="114"/>
      <c r="AR835" s="114"/>
      <c r="AS835" s="50"/>
      <c r="AT835" s="74"/>
      <c r="AU835" s="114"/>
      <c r="AV835" s="114"/>
      <c r="AW835" s="394"/>
      <c r="AX835" s="385"/>
      <c r="AY835" s="385"/>
      <c r="AZ835" s="385"/>
      <c r="BA835" s="385"/>
      <c r="BB835" s="385"/>
      <c r="BC835" s="385"/>
      <c r="BD835" s="385"/>
      <c r="BE835" s="385"/>
      <c r="BF835" s="385"/>
      <c r="BG835" s="385"/>
      <c r="BH835" s="385"/>
      <c r="BI835" s="385"/>
      <c r="BJ835" s="385"/>
      <c r="BK835" s="385"/>
      <c r="BL835" s="385"/>
      <c r="BM835" s="385"/>
      <c r="BN835" s="385"/>
      <c r="BO835" s="385"/>
      <c r="BP835" s="385"/>
      <c r="BQ835" s="385"/>
      <c r="BR835" s="385"/>
      <c r="BS835" s="385"/>
      <c r="BT835" s="385"/>
      <c r="BU835" s="385"/>
      <c r="BV835" s="385"/>
      <c r="BW835" s="385"/>
      <c r="BX835" s="385"/>
      <c r="BY835" s="385"/>
      <c r="BZ835" s="385"/>
      <c r="CA835" s="385"/>
    </row>
    <row r="836" spans="1:79" s="6" customFormat="1" ht="15" customHeight="1">
      <c r="A836" s="41" t="s">
        <v>183</v>
      </c>
      <c r="B836" s="402" t="s">
        <v>3225</v>
      </c>
      <c r="C836" s="113" t="s">
        <v>3226</v>
      </c>
      <c r="D836" s="393" t="s">
        <v>818</v>
      </c>
      <c r="E836" s="394"/>
      <c r="F836" s="402"/>
      <c r="G836" s="405" t="s">
        <v>3227</v>
      </c>
      <c r="H836" s="113">
        <v>3351</v>
      </c>
      <c r="I836" s="49" t="s">
        <v>2</v>
      </c>
      <c r="J836" s="48" t="s">
        <v>3228</v>
      </c>
      <c r="K836" s="51">
        <v>40898</v>
      </c>
      <c r="L836" s="115">
        <v>40885</v>
      </c>
      <c r="M836" s="50">
        <v>13</v>
      </c>
      <c r="N836" s="50" t="s">
        <v>2</v>
      </c>
      <c r="O836" s="131">
        <f>5/2</f>
        <v>2.5</v>
      </c>
      <c r="P836" s="117">
        <v>6.3</v>
      </c>
      <c r="Q836" s="131">
        <v>5.47</v>
      </c>
      <c r="R836" s="50">
        <v>95</v>
      </c>
      <c r="S836" s="74">
        <v>120</v>
      </c>
      <c r="T836" s="50">
        <f>0.1/2</f>
        <v>0.05</v>
      </c>
      <c r="U836" s="131">
        <f>1/2</f>
        <v>0.5</v>
      </c>
      <c r="V836" s="50">
        <v>0.95</v>
      </c>
      <c r="W836" s="74">
        <v>0.25</v>
      </c>
      <c r="X836" s="50">
        <v>1.3</v>
      </c>
      <c r="Y836" s="74">
        <f>0.013/2</f>
        <v>6.4999999999999997E-3</v>
      </c>
      <c r="Z836" s="313">
        <v>1</v>
      </c>
      <c r="AA836" s="313">
        <v>0.51800000000000002</v>
      </c>
      <c r="AB836" s="114">
        <v>18</v>
      </c>
      <c r="AC836" s="50">
        <v>68</v>
      </c>
      <c r="AD836" s="271">
        <v>0.4</v>
      </c>
      <c r="AE836" s="50"/>
      <c r="AF836" s="49"/>
      <c r="AG836" s="114"/>
      <c r="AH836" s="114"/>
      <c r="AI836" s="114"/>
      <c r="AJ836" s="114"/>
      <c r="AK836" s="114"/>
      <c r="AL836" s="114"/>
      <c r="AM836" s="114"/>
      <c r="AN836" s="114"/>
      <c r="AO836" s="114"/>
      <c r="AP836" s="114"/>
      <c r="AQ836" s="114"/>
      <c r="AR836" s="114"/>
      <c r="AS836" s="50"/>
      <c r="AT836" s="74"/>
      <c r="AU836" s="114"/>
      <c r="AV836" s="114"/>
      <c r="AW836" s="394"/>
      <c r="AX836" s="385"/>
      <c r="AY836" s="385"/>
      <c r="AZ836" s="385"/>
      <c r="BA836" s="385"/>
      <c r="BB836" s="385"/>
      <c r="BC836" s="385"/>
      <c r="BD836" s="385"/>
      <c r="BE836" s="385"/>
      <c r="BF836" s="385"/>
      <c r="BG836" s="385"/>
      <c r="BH836" s="385"/>
      <c r="BI836" s="385"/>
      <c r="BJ836" s="385"/>
      <c r="BK836" s="385"/>
      <c r="BL836" s="385"/>
      <c r="BM836" s="385"/>
      <c r="BN836" s="385"/>
      <c r="BO836" s="385"/>
      <c r="BP836" s="385"/>
      <c r="BQ836" s="385"/>
      <c r="BR836" s="385"/>
      <c r="BS836" s="385"/>
      <c r="BT836" s="385"/>
      <c r="BU836" s="385"/>
      <c r="BV836" s="385"/>
      <c r="BW836" s="385"/>
      <c r="BX836" s="385"/>
      <c r="BY836" s="385"/>
      <c r="BZ836" s="385"/>
      <c r="CA836" s="385"/>
    </row>
    <row r="837" spans="1:79" s="6" customFormat="1" ht="15" customHeight="1">
      <c r="A837" s="41" t="s">
        <v>183</v>
      </c>
      <c r="B837" s="402" t="s">
        <v>3229</v>
      </c>
      <c r="C837" s="113"/>
      <c r="D837" s="393" t="s">
        <v>3230</v>
      </c>
      <c r="E837" s="394" t="s">
        <v>1555</v>
      </c>
      <c r="F837" s="402"/>
      <c r="G837" s="405" t="s">
        <v>3231</v>
      </c>
      <c r="H837" s="113">
        <v>3827</v>
      </c>
      <c r="I837" s="49" t="s">
        <v>1</v>
      </c>
      <c r="J837" s="48" t="s">
        <v>3280</v>
      </c>
      <c r="K837" s="51">
        <v>40920</v>
      </c>
      <c r="L837" s="115"/>
      <c r="M837" s="50"/>
      <c r="N837" s="50" t="s">
        <v>2</v>
      </c>
      <c r="O837" s="131">
        <v>0.5</v>
      </c>
      <c r="P837" s="117">
        <v>5.03</v>
      </c>
      <c r="Q837" s="131">
        <v>7.31</v>
      </c>
      <c r="R837" s="50">
        <v>13</v>
      </c>
      <c r="S837" s="74">
        <v>8</v>
      </c>
      <c r="T837" s="50">
        <f>0.1/2</f>
        <v>0.05</v>
      </c>
      <c r="U837" s="131">
        <v>0.14000000000000001</v>
      </c>
      <c r="V837" s="50">
        <v>1.03</v>
      </c>
      <c r="W837" s="74">
        <f>0.05/2</f>
        <v>2.5000000000000001E-2</v>
      </c>
      <c r="X837" s="50">
        <v>7.0000000000000007E-2</v>
      </c>
      <c r="Y837" s="74">
        <f>0.05/2</f>
        <v>2.5000000000000001E-2</v>
      </c>
      <c r="Z837" s="313">
        <v>1</v>
      </c>
      <c r="AA837" s="313">
        <v>1</v>
      </c>
      <c r="AB837" s="114">
        <v>48</v>
      </c>
      <c r="AC837" s="50">
        <v>185</v>
      </c>
      <c r="AD837" s="271">
        <v>1</v>
      </c>
      <c r="AE837" s="50">
        <v>0</v>
      </c>
      <c r="AF837" s="49"/>
      <c r="AG837" s="114"/>
      <c r="AH837" s="114"/>
      <c r="AI837" s="114"/>
      <c r="AJ837" s="114"/>
      <c r="AK837" s="114"/>
      <c r="AL837" s="114"/>
      <c r="AM837" s="114"/>
      <c r="AN837" s="114">
        <v>0.21</v>
      </c>
      <c r="AO837" s="114"/>
      <c r="AP837" s="114"/>
      <c r="AQ837" s="114"/>
      <c r="AR837" s="114"/>
      <c r="AS837" s="50"/>
      <c r="AT837" s="74"/>
      <c r="AU837" s="114"/>
      <c r="AV837" s="114"/>
      <c r="AW837" s="394"/>
      <c r="AX837" s="385"/>
      <c r="AY837" s="385"/>
      <c r="AZ837" s="385"/>
      <c r="BA837" s="385"/>
      <c r="BB837" s="385"/>
      <c r="BC837" s="385"/>
      <c r="BD837" s="385"/>
      <c r="BE837" s="385"/>
      <c r="BF837" s="385"/>
      <c r="BG837" s="385"/>
      <c r="BH837" s="385"/>
      <c r="BI837" s="385"/>
      <c r="BJ837" s="385"/>
      <c r="BK837" s="385"/>
      <c r="BL837" s="385"/>
      <c r="BM837" s="385"/>
      <c r="BN837" s="385"/>
      <c r="BO837" s="385"/>
      <c r="BP837" s="385"/>
      <c r="BQ837" s="385"/>
      <c r="BR837" s="385"/>
      <c r="BS837" s="385"/>
      <c r="BT837" s="385"/>
      <c r="BU837" s="385"/>
      <c r="BV837" s="385"/>
      <c r="BW837" s="385"/>
      <c r="BX837" s="385"/>
      <c r="BY837" s="385"/>
      <c r="BZ837" s="385"/>
      <c r="CA837" s="385"/>
    </row>
    <row r="838" spans="1:79" s="6" customFormat="1" ht="15" customHeight="1">
      <c r="A838" s="41" t="s">
        <v>183</v>
      </c>
      <c r="B838" s="402" t="s">
        <v>3229</v>
      </c>
      <c r="C838" s="113"/>
      <c r="D838" s="393" t="s">
        <v>3230</v>
      </c>
      <c r="E838" s="394" t="s">
        <v>1555</v>
      </c>
      <c r="F838" s="402"/>
      <c r="G838" s="405" t="s">
        <v>3231</v>
      </c>
      <c r="H838" s="113">
        <v>3827</v>
      </c>
      <c r="I838" s="49" t="s">
        <v>1</v>
      </c>
      <c r="J838" s="48" t="s">
        <v>3281</v>
      </c>
      <c r="K838" s="51">
        <v>40920</v>
      </c>
      <c r="L838" s="115"/>
      <c r="M838" s="50"/>
      <c r="N838" s="50" t="s">
        <v>2</v>
      </c>
      <c r="O838" s="131">
        <v>0.5</v>
      </c>
      <c r="P838" s="117">
        <v>5.03</v>
      </c>
      <c r="Q838" s="131">
        <v>6.38</v>
      </c>
      <c r="R838" s="50">
        <v>10</v>
      </c>
      <c r="S838" s="74">
        <v>5</v>
      </c>
      <c r="T838" s="50">
        <f>0.1/2</f>
        <v>0.05</v>
      </c>
      <c r="U838" s="131">
        <v>7.0000000000000007E-2</v>
      </c>
      <c r="V838" s="50">
        <v>0.1</v>
      </c>
      <c r="W838" s="74">
        <f>0.05/2</f>
        <v>2.5000000000000001E-2</v>
      </c>
      <c r="X838" s="50">
        <v>7.0000000000000007E-2</v>
      </c>
      <c r="Y838" s="74">
        <f>0.05/2</f>
        <v>2.5000000000000001E-2</v>
      </c>
      <c r="Z838" s="313">
        <v>1</v>
      </c>
      <c r="AA838" s="313">
        <v>1</v>
      </c>
      <c r="AB838" s="114">
        <v>1</v>
      </c>
      <c r="AC838" s="50">
        <v>12</v>
      </c>
      <c r="AD838" s="271">
        <v>0.7</v>
      </c>
      <c r="AE838" s="50">
        <v>0</v>
      </c>
      <c r="AF838" s="49"/>
      <c r="AG838" s="114"/>
      <c r="AH838" s="114"/>
      <c r="AI838" s="114"/>
      <c r="AJ838" s="114"/>
      <c r="AK838" s="114"/>
      <c r="AL838" s="114"/>
      <c r="AM838" s="114"/>
      <c r="AN838" s="114">
        <v>0.21</v>
      </c>
      <c r="AO838" s="114"/>
      <c r="AP838" s="114"/>
      <c r="AQ838" s="114"/>
      <c r="AR838" s="114"/>
      <c r="AS838" s="50"/>
      <c r="AT838" s="74"/>
      <c r="AU838" s="114"/>
      <c r="AV838" s="114"/>
      <c r="AW838" s="394"/>
      <c r="AX838" s="385"/>
      <c r="AY838" s="385"/>
      <c r="AZ838" s="385"/>
      <c r="BA838" s="385"/>
      <c r="BB838" s="385"/>
      <c r="BC838" s="385"/>
      <c r="BD838" s="385"/>
      <c r="BE838" s="385"/>
      <c r="BF838" s="385"/>
      <c r="BG838" s="385"/>
      <c r="BH838" s="385"/>
      <c r="BI838" s="385"/>
      <c r="BJ838" s="385"/>
      <c r="BK838" s="385"/>
      <c r="BL838" s="385"/>
      <c r="BM838" s="385"/>
      <c r="BN838" s="385"/>
      <c r="BO838" s="385"/>
      <c r="BP838" s="385"/>
      <c r="BQ838" s="385"/>
      <c r="BR838" s="385"/>
      <c r="BS838" s="385"/>
      <c r="BT838" s="385"/>
      <c r="BU838" s="385"/>
      <c r="BV838" s="385"/>
      <c r="BW838" s="385"/>
      <c r="BX838" s="385"/>
      <c r="BY838" s="385"/>
      <c r="BZ838" s="385"/>
      <c r="CA838" s="385"/>
    </row>
    <row r="839" spans="1:79" s="6" customFormat="1" ht="15" customHeight="1">
      <c r="A839" s="41" t="s">
        <v>183</v>
      </c>
      <c r="B839" s="402" t="s">
        <v>3232</v>
      </c>
      <c r="C839" s="113" t="s">
        <v>3232</v>
      </c>
      <c r="D839" s="393" t="s">
        <v>710</v>
      </c>
      <c r="E839" s="394" t="s">
        <v>711</v>
      </c>
      <c r="F839" s="402"/>
      <c r="G839" s="405" t="s">
        <v>3233</v>
      </c>
      <c r="H839" s="113">
        <v>1442</v>
      </c>
      <c r="I839" s="49"/>
      <c r="J839" s="48" t="s">
        <v>3234</v>
      </c>
      <c r="K839" s="51">
        <v>40904</v>
      </c>
      <c r="L839" s="115">
        <v>40899</v>
      </c>
      <c r="M839" s="50">
        <v>5</v>
      </c>
      <c r="N839" s="50" t="s">
        <v>2</v>
      </c>
      <c r="O839" s="131">
        <f>1.6/2</f>
        <v>0.8</v>
      </c>
      <c r="P839" s="117">
        <v>6.11</v>
      </c>
      <c r="Q839" s="131">
        <v>5.48</v>
      </c>
      <c r="R839" s="50">
        <v>25</v>
      </c>
      <c r="S839" s="74">
        <v>140</v>
      </c>
      <c r="T839" s="50">
        <v>0.18</v>
      </c>
      <c r="U839" s="131">
        <v>0.79</v>
      </c>
      <c r="V839" s="50">
        <v>0.39</v>
      </c>
      <c r="W839" s="74">
        <v>3.6999999999999998E-2</v>
      </c>
      <c r="X839" s="50">
        <v>0.10199999999999999</v>
      </c>
      <c r="Y839" s="74">
        <v>3.0000000000000001E-3</v>
      </c>
      <c r="Z839" s="313">
        <v>1</v>
      </c>
      <c r="AA839" s="313">
        <v>1</v>
      </c>
      <c r="AB839" s="114">
        <v>198</v>
      </c>
      <c r="AC839" s="50">
        <v>457</v>
      </c>
      <c r="AD839" s="271">
        <v>1</v>
      </c>
      <c r="AE839" s="50"/>
      <c r="AF839" s="49"/>
      <c r="AG839" s="114"/>
      <c r="AH839" s="114"/>
      <c r="AI839" s="114"/>
      <c r="AJ839" s="114"/>
      <c r="AK839" s="114"/>
      <c r="AL839" s="114"/>
      <c r="AM839" s="114"/>
      <c r="AN839" s="114"/>
      <c r="AO839" s="114"/>
      <c r="AP839" s="114"/>
      <c r="AQ839" s="114"/>
      <c r="AR839" s="114"/>
      <c r="AS839" s="50"/>
      <c r="AT839" s="74"/>
      <c r="AU839" s="114"/>
      <c r="AV839" s="114"/>
      <c r="AW839" s="394"/>
      <c r="AX839" s="385"/>
      <c r="AY839" s="385"/>
      <c r="AZ839" s="385"/>
      <c r="BA839" s="385"/>
      <c r="BB839" s="385"/>
      <c r="BC839" s="385"/>
      <c r="BD839" s="385"/>
      <c r="BE839" s="385"/>
      <c r="BF839" s="385"/>
      <c r="BG839" s="385"/>
      <c r="BH839" s="385"/>
      <c r="BI839" s="385"/>
      <c r="BJ839" s="385"/>
      <c r="BK839" s="385"/>
      <c r="BL839" s="385"/>
      <c r="BM839" s="385"/>
      <c r="BN839" s="385"/>
      <c r="BO839" s="385"/>
      <c r="BP839" s="385"/>
      <c r="BQ839" s="385"/>
      <c r="BR839" s="385"/>
      <c r="BS839" s="385"/>
      <c r="BT839" s="385"/>
      <c r="BU839" s="385"/>
      <c r="BV839" s="385"/>
      <c r="BW839" s="385"/>
      <c r="BX839" s="385"/>
      <c r="BY839" s="385"/>
      <c r="BZ839" s="385"/>
      <c r="CA839" s="385"/>
    </row>
    <row r="840" spans="1:79" s="6" customFormat="1" ht="15" customHeight="1">
      <c r="A840" s="41" t="s">
        <v>183</v>
      </c>
      <c r="B840" s="402" t="s">
        <v>3235</v>
      </c>
      <c r="C840" s="113" t="s">
        <v>5270</v>
      </c>
      <c r="D840" s="393" t="s">
        <v>111</v>
      </c>
      <c r="E840" s="394" t="s">
        <v>112</v>
      </c>
      <c r="F840" s="402"/>
      <c r="G840" s="405" t="s">
        <v>3236</v>
      </c>
      <c r="H840" s="113">
        <v>3273</v>
      </c>
      <c r="I840" s="49" t="s">
        <v>1</v>
      </c>
      <c r="J840" s="48" t="s">
        <v>3144</v>
      </c>
      <c r="K840" s="51">
        <v>40920</v>
      </c>
      <c r="L840" s="115">
        <v>40904</v>
      </c>
      <c r="M840" s="50">
        <v>16</v>
      </c>
      <c r="N840" s="50" t="s">
        <v>2</v>
      </c>
      <c r="O840" s="131">
        <f>5/2</f>
        <v>2.5</v>
      </c>
      <c r="P840" s="117">
        <v>6.3</v>
      </c>
      <c r="Q840" s="131">
        <v>7.39</v>
      </c>
      <c r="R840" s="50">
        <v>36</v>
      </c>
      <c r="S840" s="74">
        <v>120</v>
      </c>
      <c r="T840" s="50">
        <f>0.1/2</f>
        <v>0.05</v>
      </c>
      <c r="U840" s="131">
        <f>1/2</f>
        <v>0.5</v>
      </c>
      <c r="V840" s="50">
        <v>0.15</v>
      </c>
      <c r="W840" s="74">
        <f>0.04/2</f>
        <v>0.02</v>
      </c>
      <c r="X840" s="50">
        <v>4.5999999999999999E-2</v>
      </c>
      <c r="Y840" s="74">
        <f>0.013/2</f>
        <v>6.4999999999999997E-3</v>
      </c>
      <c r="Z840" s="313">
        <v>1</v>
      </c>
      <c r="AA840" s="313">
        <v>1</v>
      </c>
      <c r="AB840" s="114">
        <v>30</v>
      </c>
      <c r="AC840" s="50">
        <v>65</v>
      </c>
      <c r="AD840" s="271">
        <v>0.85</v>
      </c>
      <c r="AE840" s="50">
        <v>178.2</v>
      </c>
      <c r="AF840" s="49"/>
      <c r="AG840" s="114"/>
      <c r="AH840" s="114"/>
      <c r="AI840" s="114"/>
      <c r="AJ840" s="114"/>
      <c r="AK840" s="114"/>
      <c r="AL840" s="114"/>
      <c r="AM840" s="114"/>
      <c r="AN840" s="114"/>
      <c r="AO840" s="114"/>
      <c r="AP840" s="114"/>
      <c r="AQ840" s="114"/>
      <c r="AR840" s="114"/>
      <c r="AS840" s="50"/>
      <c r="AT840" s="74"/>
      <c r="AU840" s="114"/>
      <c r="AV840" s="114"/>
      <c r="AW840" s="394"/>
      <c r="AX840" s="385"/>
      <c r="AY840" s="385"/>
      <c r="AZ840" s="385"/>
      <c r="BA840" s="385"/>
      <c r="BB840" s="385"/>
      <c r="BC840" s="385"/>
      <c r="BD840" s="385"/>
      <c r="BE840" s="385"/>
      <c r="BF840" s="385"/>
      <c r="BG840" s="385"/>
      <c r="BH840" s="385"/>
      <c r="BI840" s="385"/>
      <c r="BJ840" s="385"/>
      <c r="BK840" s="385"/>
      <c r="BL840" s="385"/>
      <c r="BM840" s="385"/>
      <c r="BN840" s="385"/>
      <c r="BO840" s="385"/>
      <c r="BP840" s="385"/>
      <c r="BQ840" s="385"/>
      <c r="BR840" s="385"/>
      <c r="BS840" s="385"/>
      <c r="BT840" s="385"/>
      <c r="BU840" s="385"/>
      <c r="BV840" s="385"/>
      <c r="BW840" s="385"/>
      <c r="BX840" s="385"/>
      <c r="BY840" s="385"/>
      <c r="BZ840" s="385"/>
      <c r="CA840" s="385"/>
    </row>
    <row r="841" spans="1:79" s="6" customFormat="1" ht="15" customHeight="1">
      <c r="A841" s="41" t="s">
        <v>183</v>
      </c>
      <c r="B841" s="402" t="s">
        <v>3237</v>
      </c>
      <c r="C841" s="113" t="s">
        <v>3237</v>
      </c>
      <c r="D841" s="393" t="s">
        <v>200</v>
      </c>
      <c r="E841" s="394" t="s">
        <v>2537</v>
      </c>
      <c r="F841" s="402"/>
      <c r="G841" s="405" t="s">
        <v>3238</v>
      </c>
      <c r="H841" s="113">
        <v>3444</v>
      </c>
      <c r="I841" s="49" t="s">
        <v>2</v>
      </c>
      <c r="J841" s="48" t="s">
        <v>3239</v>
      </c>
      <c r="K841" s="51">
        <v>40869</v>
      </c>
      <c r="L841" s="115">
        <v>40863</v>
      </c>
      <c r="M841" s="50">
        <v>5</v>
      </c>
      <c r="N841" s="50" t="s">
        <v>2</v>
      </c>
      <c r="O841" s="131">
        <f>1.9/2</f>
        <v>0.95</v>
      </c>
      <c r="P841" s="117">
        <v>6</v>
      </c>
      <c r="Q841" s="131">
        <v>6.3</v>
      </c>
      <c r="R841" s="50">
        <f>20/2</f>
        <v>10</v>
      </c>
      <c r="S841" s="74">
        <v>3.8</v>
      </c>
      <c r="T841" s="50">
        <f>0.01/2</f>
        <v>5.0000000000000001E-3</v>
      </c>
      <c r="U841" s="131">
        <f>1/2</f>
        <v>0.5</v>
      </c>
      <c r="V841" s="50">
        <f>0.46/2</f>
        <v>0.23</v>
      </c>
      <c r="W841" s="74">
        <f>0.005/2</f>
        <v>2.5000000000000001E-3</v>
      </c>
      <c r="X841" s="50">
        <f>0.01/2</f>
        <v>5.0000000000000001E-3</v>
      </c>
      <c r="Y841" s="74">
        <f>0.005/2</f>
        <v>2.5000000000000001E-3</v>
      </c>
      <c r="Z841" s="313"/>
      <c r="AA841" s="313"/>
      <c r="AB841" s="114"/>
      <c r="AC841" s="50"/>
      <c r="AD841" s="271"/>
      <c r="AE841" s="50"/>
      <c r="AF841" s="49"/>
      <c r="AG841" s="114"/>
      <c r="AH841" s="114"/>
      <c r="AI841" s="114"/>
      <c r="AJ841" s="114"/>
      <c r="AK841" s="114"/>
      <c r="AL841" s="114"/>
      <c r="AM841" s="114"/>
      <c r="AN841" s="114"/>
      <c r="AO841" s="114"/>
      <c r="AP841" s="114"/>
      <c r="AQ841" s="114"/>
      <c r="AR841" s="114"/>
      <c r="AS841" s="50"/>
      <c r="AT841" s="74"/>
      <c r="AU841" s="114"/>
      <c r="AV841" s="114"/>
      <c r="AW841" s="394"/>
      <c r="AX841" s="385"/>
      <c r="AY841" s="385"/>
      <c r="AZ841" s="385"/>
      <c r="BA841" s="385"/>
      <c r="BB841" s="385"/>
      <c r="BC841" s="385"/>
      <c r="BD841" s="385"/>
      <c r="BE841" s="385"/>
      <c r="BF841" s="385"/>
      <c r="BG841" s="385"/>
      <c r="BH841" s="385"/>
      <c r="BI841" s="385"/>
      <c r="BJ841" s="385"/>
      <c r="BK841" s="385"/>
      <c r="BL841" s="385"/>
      <c r="BM841" s="385"/>
      <c r="BN841" s="385"/>
      <c r="BO841" s="385"/>
      <c r="BP841" s="385"/>
      <c r="BQ841" s="385"/>
      <c r="BR841" s="385"/>
      <c r="BS841" s="385"/>
      <c r="BT841" s="385"/>
      <c r="BU841" s="385"/>
      <c r="BV841" s="385"/>
      <c r="BW841" s="385"/>
      <c r="BX841" s="385"/>
      <c r="BY841" s="385"/>
      <c r="BZ841" s="385"/>
      <c r="CA841" s="385"/>
    </row>
    <row r="842" spans="1:79" s="6" customFormat="1" ht="15" customHeight="1">
      <c r="A842" s="41" t="s">
        <v>183</v>
      </c>
      <c r="B842" s="402" t="s">
        <v>2488</v>
      </c>
      <c r="C842" s="113" t="s">
        <v>2488</v>
      </c>
      <c r="D842" s="393" t="s">
        <v>338</v>
      </c>
      <c r="E842" s="394" t="s">
        <v>1670</v>
      </c>
      <c r="F842" s="402"/>
      <c r="G842" s="405" t="s">
        <v>1671</v>
      </c>
      <c r="H842" s="113">
        <v>3471</v>
      </c>
      <c r="I842" s="49" t="s">
        <v>1</v>
      </c>
      <c r="J842" s="48" t="s">
        <v>271</v>
      </c>
      <c r="K842" s="51">
        <v>40883</v>
      </c>
      <c r="L842" s="115">
        <v>40876</v>
      </c>
      <c r="M842" s="50">
        <v>7</v>
      </c>
      <c r="N842" s="50" t="s">
        <v>2</v>
      </c>
      <c r="O842" s="131">
        <f>1/2</f>
        <v>0.5</v>
      </c>
      <c r="P842" s="117">
        <v>5.08</v>
      </c>
      <c r="Q842" s="131">
        <v>8.4600000000000009</v>
      </c>
      <c r="R842" s="50">
        <v>3</v>
      </c>
      <c r="S842" s="74">
        <v>10</v>
      </c>
      <c r="T842" s="50">
        <v>0.24</v>
      </c>
      <c r="U842" s="131">
        <v>1.47</v>
      </c>
      <c r="V842" s="50">
        <v>0.33</v>
      </c>
      <c r="W842" s="74">
        <f>0.05/2</f>
        <v>2.5000000000000001E-2</v>
      </c>
      <c r="X842" s="50">
        <v>0.04</v>
      </c>
      <c r="Y842" s="74">
        <f>0.05/2</f>
        <v>2.5000000000000001E-2</v>
      </c>
      <c r="Z842" s="313">
        <v>1</v>
      </c>
      <c r="AA842" s="313">
        <v>1</v>
      </c>
      <c r="AB842" s="114">
        <f>1/2</f>
        <v>0.5</v>
      </c>
      <c r="AC842" s="50">
        <v>16</v>
      </c>
      <c r="AD842" s="271">
        <v>1</v>
      </c>
      <c r="AE842" s="50">
        <v>0</v>
      </c>
      <c r="AF842" s="49"/>
      <c r="AG842" s="114"/>
      <c r="AH842" s="114"/>
      <c r="AI842" s="114"/>
      <c r="AJ842" s="114"/>
      <c r="AK842" s="114"/>
      <c r="AL842" s="114"/>
      <c r="AM842" s="114"/>
      <c r="AN842" s="114">
        <v>0.21</v>
      </c>
      <c r="AO842" s="114"/>
      <c r="AP842" s="114"/>
      <c r="AQ842" s="114"/>
      <c r="AR842" s="114"/>
      <c r="AS842" s="50"/>
      <c r="AT842" s="74"/>
      <c r="AU842" s="114"/>
      <c r="AV842" s="114"/>
      <c r="AW842" s="394"/>
      <c r="AX842" s="385"/>
      <c r="AY842" s="385"/>
      <c r="AZ842" s="385"/>
      <c r="BA842" s="385"/>
      <c r="BB842" s="385"/>
      <c r="BC842" s="385"/>
      <c r="BD842" s="385"/>
      <c r="BE842" s="385"/>
      <c r="BF842" s="385"/>
      <c r="BG842" s="385"/>
      <c r="BH842" s="385"/>
      <c r="BI842" s="385"/>
      <c r="BJ842" s="385"/>
      <c r="BK842" s="385"/>
      <c r="BL842" s="385"/>
      <c r="BM842" s="385"/>
      <c r="BN842" s="385"/>
      <c r="BO842" s="385"/>
      <c r="BP842" s="385"/>
      <c r="BQ842" s="385"/>
      <c r="BR842" s="385"/>
      <c r="BS842" s="385"/>
      <c r="BT842" s="385"/>
      <c r="BU842" s="385"/>
      <c r="BV842" s="385"/>
      <c r="BW842" s="385"/>
      <c r="BX842" s="385"/>
      <c r="BY842" s="385"/>
      <c r="BZ842" s="385"/>
      <c r="CA842" s="385"/>
    </row>
    <row r="843" spans="1:79" s="6" customFormat="1" ht="15" customHeight="1">
      <c r="A843" s="41" t="s">
        <v>183</v>
      </c>
      <c r="B843" s="402" t="s">
        <v>2488</v>
      </c>
      <c r="C843" s="113" t="s">
        <v>2488</v>
      </c>
      <c r="D843" s="393" t="s">
        <v>338</v>
      </c>
      <c r="E843" s="394" t="s">
        <v>1670</v>
      </c>
      <c r="F843" s="402"/>
      <c r="G843" s="405" t="s">
        <v>1671</v>
      </c>
      <c r="H843" s="113">
        <v>3471</v>
      </c>
      <c r="I843" s="49" t="s">
        <v>1</v>
      </c>
      <c r="J843" s="48" t="s">
        <v>272</v>
      </c>
      <c r="K843" s="51">
        <v>40883</v>
      </c>
      <c r="L843" s="115">
        <v>40876</v>
      </c>
      <c r="M843" s="50">
        <v>7</v>
      </c>
      <c r="N843" s="50" t="s">
        <v>2</v>
      </c>
      <c r="O843" s="131">
        <v>2.4</v>
      </c>
      <c r="P843" s="117">
        <v>5.14</v>
      </c>
      <c r="Q843" s="131">
        <v>6.15</v>
      </c>
      <c r="R843" s="50">
        <v>10</v>
      </c>
      <c r="S843" s="74">
        <v>29</v>
      </c>
      <c r="T843" s="50">
        <v>0.3</v>
      </c>
      <c r="U843" s="131">
        <v>0.84</v>
      </c>
      <c r="V843" s="50">
        <v>0.23</v>
      </c>
      <c r="W843" s="74">
        <f>0.05/2</f>
        <v>2.5000000000000001E-2</v>
      </c>
      <c r="X843" s="50">
        <v>0.08</v>
      </c>
      <c r="Y843" s="74">
        <f>0.05/2</f>
        <v>2.5000000000000001E-2</v>
      </c>
      <c r="Z843" s="313">
        <v>1</v>
      </c>
      <c r="AA843" s="313">
        <v>1</v>
      </c>
      <c r="AB843" s="114">
        <v>38</v>
      </c>
      <c r="AC843" s="50">
        <v>11</v>
      </c>
      <c r="AD843" s="271">
        <v>1</v>
      </c>
      <c r="AE843" s="77" t="s">
        <v>2489</v>
      </c>
      <c r="AF843" s="49"/>
      <c r="AG843" s="114"/>
      <c r="AH843" s="114"/>
      <c r="AI843" s="114"/>
      <c r="AJ843" s="114"/>
      <c r="AK843" s="114"/>
      <c r="AL843" s="114"/>
      <c r="AM843" s="114"/>
      <c r="AN843" s="114">
        <v>2.54</v>
      </c>
      <c r="AO843" s="114"/>
      <c r="AP843" s="114"/>
      <c r="AQ843" s="114"/>
      <c r="AR843" s="114"/>
      <c r="AS843" s="50"/>
      <c r="AT843" s="74"/>
      <c r="AU843" s="114"/>
      <c r="AV843" s="114"/>
      <c r="AW843" s="394"/>
      <c r="AX843" s="385"/>
      <c r="AY843" s="385"/>
      <c r="AZ843" s="385"/>
      <c r="BA843" s="385"/>
      <c r="BB843" s="385"/>
      <c r="BC843" s="385"/>
      <c r="BD843" s="385"/>
      <c r="BE843" s="385"/>
      <c r="BF843" s="385"/>
      <c r="BG843" s="385"/>
      <c r="BH843" s="385"/>
      <c r="BI843" s="385"/>
      <c r="BJ843" s="385"/>
      <c r="BK843" s="385"/>
      <c r="BL843" s="385"/>
      <c r="BM843" s="385"/>
      <c r="BN843" s="385"/>
      <c r="BO843" s="385"/>
      <c r="BP843" s="385"/>
      <c r="BQ843" s="385"/>
      <c r="BR843" s="385"/>
      <c r="BS843" s="385"/>
      <c r="BT843" s="385"/>
      <c r="BU843" s="385"/>
      <c r="BV843" s="385"/>
      <c r="BW843" s="385"/>
      <c r="BX843" s="385"/>
      <c r="BY843" s="385"/>
      <c r="BZ843" s="385"/>
      <c r="CA843" s="385"/>
    </row>
    <row r="844" spans="1:79" s="6" customFormat="1" ht="15" customHeight="1">
      <c r="A844" s="41" t="s">
        <v>183</v>
      </c>
      <c r="B844" s="402" t="s">
        <v>2490</v>
      </c>
      <c r="C844" s="113" t="s">
        <v>2490</v>
      </c>
      <c r="D844" s="393" t="s">
        <v>111</v>
      </c>
      <c r="E844" s="394" t="s">
        <v>112</v>
      </c>
      <c r="F844" s="402"/>
      <c r="G844" s="405" t="s">
        <v>1891</v>
      </c>
      <c r="H844" s="113">
        <v>3547</v>
      </c>
      <c r="I844" s="49" t="s">
        <v>1</v>
      </c>
      <c r="J844" s="48" t="s">
        <v>510</v>
      </c>
      <c r="K844" s="51">
        <v>40920</v>
      </c>
      <c r="L844" s="115">
        <v>40909</v>
      </c>
      <c r="M844" s="50">
        <v>11</v>
      </c>
      <c r="N844" s="50" t="s">
        <v>2</v>
      </c>
      <c r="O844" s="131">
        <v>4</v>
      </c>
      <c r="P844" s="117">
        <v>6.28</v>
      </c>
      <c r="Q844" s="131">
        <v>6.52</v>
      </c>
      <c r="R844" s="50">
        <v>41.4</v>
      </c>
      <c r="S844" s="74">
        <v>71</v>
      </c>
      <c r="T844" s="50">
        <v>0.14000000000000001</v>
      </c>
      <c r="U844" s="131">
        <v>1.4</v>
      </c>
      <c r="V844" s="50">
        <v>0.28999999999999998</v>
      </c>
      <c r="W844" s="74">
        <v>2.1999999999999999E-2</v>
      </c>
      <c r="X844" s="50">
        <v>0.17899999999999999</v>
      </c>
      <c r="Y844" s="74">
        <v>4.0000000000000001E-3</v>
      </c>
      <c r="Z844" s="313">
        <v>1</v>
      </c>
      <c r="AA844" s="313">
        <v>1</v>
      </c>
      <c r="AB844" s="114">
        <v>7.81</v>
      </c>
      <c r="AC844" s="50">
        <v>34</v>
      </c>
      <c r="AD844" s="271">
        <v>0.5</v>
      </c>
      <c r="AE844" s="50">
        <v>64</v>
      </c>
      <c r="AF844" s="49"/>
      <c r="AG844" s="114"/>
      <c r="AH844" s="114"/>
      <c r="AI844" s="114"/>
      <c r="AJ844" s="114"/>
      <c r="AK844" s="114"/>
      <c r="AL844" s="114"/>
      <c r="AM844" s="114"/>
      <c r="AN844" s="114"/>
      <c r="AO844" s="114"/>
      <c r="AP844" s="114"/>
      <c r="AQ844" s="114"/>
      <c r="AR844" s="114"/>
      <c r="AS844" s="50"/>
      <c r="AT844" s="74"/>
      <c r="AU844" s="114"/>
      <c r="AV844" s="114"/>
      <c r="AW844" s="394"/>
      <c r="AX844" s="385"/>
      <c r="AY844" s="385"/>
      <c r="AZ844" s="385"/>
      <c r="BA844" s="385"/>
      <c r="BB844" s="385"/>
      <c r="BC844" s="385"/>
      <c r="BD844" s="385"/>
      <c r="BE844" s="385"/>
      <c r="BF844" s="385"/>
      <c r="BG844" s="385"/>
      <c r="BH844" s="385"/>
      <c r="BI844" s="385"/>
      <c r="BJ844" s="385"/>
      <c r="BK844" s="385"/>
      <c r="BL844" s="385"/>
      <c r="BM844" s="385"/>
      <c r="BN844" s="385"/>
      <c r="BO844" s="385"/>
      <c r="BP844" s="385"/>
      <c r="BQ844" s="385"/>
      <c r="BR844" s="385"/>
      <c r="BS844" s="385"/>
      <c r="BT844" s="385"/>
      <c r="BU844" s="385"/>
      <c r="BV844" s="385"/>
      <c r="BW844" s="385"/>
      <c r="BX844" s="385"/>
      <c r="BY844" s="385"/>
      <c r="BZ844" s="385"/>
      <c r="CA844" s="385"/>
    </row>
    <row r="845" spans="1:79" s="6" customFormat="1" ht="15" customHeight="1">
      <c r="A845" s="41" t="s">
        <v>183</v>
      </c>
      <c r="B845" s="402" t="s">
        <v>666</v>
      </c>
      <c r="C845" s="113" t="s">
        <v>3240</v>
      </c>
      <c r="D845" s="393" t="s">
        <v>251</v>
      </c>
      <c r="E845" s="394" t="s">
        <v>823</v>
      </c>
      <c r="F845" s="402"/>
      <c r="G845" s="405" t="s">
        <v>824</v>
      </c>
      <c r="H845" s="113">
        <v>3724</v>
      </c>
      <c r="I845" s="49" t="s">
        <v>2</v>
      </c>
      <c r="J845" s="48" t="s">
        <v>460</v>
      </c>
      <c r="K845" s="51">
        <v>40920</v>
      </c>
      <c r="L845" s="115">
        <v>40909</v>
      </c>
      <c r="M845" s="50">
        <v>11</v>
      </c>
      <c r="N845" s="50" t="s">
        <v>2</v>
      </c>
      <c r="O845" s="131">
        <f>1/2</f>
        <v>0.5</v>
      </c>
      <c r="P845" s="117">
        <v>6.15</v>
      </c>
      <c r="Q845" s="131">
        <v>6.83</v>
      </c>
      <c r="R845" s="50">
        <v>11.3</v>
      </c>
      <c r="S845" s="74">
        <v>10</v>
      </c>
      <c r="T845" s="50">
        <f>0.05/2</f>
        <v>2.5000000000000001E-2</v>
      </c>
      <c r="U845" s="131">
        <v>0.76</v>
      </c>
      <c r="V845" s="50">
        <v>0.64</v>
      </c>
      <c r="W845" s="74">
        <v>1.2E-2</v>
      </c>
      <c r="X845" s="50">
        <v>9.2999999999999999E-2</v>
      </c>
      <c r="Y845" s="74">
        <v>3.0000000000000001E-3</v>
      </c>
      <c r="Z845" s="313">
        <v>1</v>
      </c>
      <c r="AA845" s="313">
        <v>1</v>
      </c>
      <c r="AB845" s="114">
        <v>15.7</v>
      </c>
      <c r="AC845" s="50">
        <v>43</v>
      </c>
      <c r="AD845" s="271">
        <v>1</v>
      </c>
      <c r="AE845" s="50"/>
      <c r="AF845" s="49"/>
      <c r="AG845" s="114"/>
      <c r="AH845" s="114"/>
      <c r="AI845" s="114"/>
      <c r="AJ845" s="114"/>
      <c r="AK845" s="114"/>
      <c r="AL845" s="114"/>
      <c r="AM845" s="114"/>
      <c r="AN845" s="114"/>
      <c r="AO845" s="114"/>
      <c r="AP845" s="114"/>
      <c r="AQ845" s="114"/>
      <c r="AR845" s="114"/>
      <c r="AS845" s="50"/>
      <c r="AT845" s="74"/>
      <c r="AU845" s="114"/>
      <c r="AV845" s="114"/>
      <c r="AW845" s="394"/>
      <c r="AX845" s="385"/>
      <c r="AY845" s="385"/>
      <c r="AZ845" s="385"/>
      <c r="BA845" s="385"/>
      <c r="BB845" s="385"/>
      <c r="BC845" s="385"/>
      <c r="BD845" s="385"/>
      <c r="BE845" s="385"/>
      <c r="BF845" s="385"/>
      <c r="BG845" s="385"/>
      <c r="BH845" s="385"/>
      <c r="BI845" s="385"/>
      <c r="BJ845" s="385"/>
      <c r="BK845" s="385"/>
      <c r="BL845" s="385"/>
      <c r="BM845" s="385"/>
      <c r="BN845" s="385"/>
      <c r="BO845" s="385"/>
      <c r="BP845" s="385"/>
      <c r="BQ845" s="385"/>
      <c r="BR845" s="385"/>
      <c r="BS845" s="385"/>
      <c r="BT845" s="385"/>
      <c r="BU845" s="385"/>
      <c r="BV845" s="385"/>
      <c r="BW845" s="385"/>
      <c r="BX845" s="385"/>
      <c r="BY845" s="385"/>
      <c r="BZ845" s="385"/>
      <c r="CA845" s="385"/>
    </row>
    <row r="846" spans="1:79" s="6" customFormat="1" ht="15" customHeight="1">
      <c r="A846" s="41" t="s">
        <v>183</v>
      </c>
      <c r="B846" s="402" t="s">
        <v>3241</v>
      </c>
      <c r="C846" s="113" t="s">
        <v>3242</v>
      </c>
      <c r="D846" s="393" t="s">
        <v>836</v>
      </c>
      <c r="E846" s="394" t="s">
        <v>3243</v>
      </c>
      <c r="F846" s="402"/>
      <c r="G846" s="405" t="s">
        <v>3244</v>
      </c>
      <c r="H846" s="113">
        <v>2754</v>
      </c>
      <c r="I846" s="49" t="s">
        <v>2</v>
      </c>
      <c r="J846" s="48" t="s">
        <v>3144</v>
      </c>
      <c r="K846" s="51">
        <v>40898</v>
      </c>
      <c r="L846" s="115">
        <v>40885</v>
      </c>
      <c r="M846" s="50">
        <v>13</v>
      </c>
      <c r="N846" s="50" t="s">
        <v>2</v>
      </c>
      <c r="O846" s="131">
        <f>5/2</f>
        <v>2.5</v>
      </c>
      <c r="P846" s="117">
        <v>5.6</v>
      </c>
      <c r="Q846" s="131">
        <v>6.57</v>
      </c>
      <c r="R846" s="50">
        <v>12</v>
      </c>
      <c r="S846" s="74">
        <f>5/2</f>
        <v>2.5</v>
      </c>
      <c r="T846" s="50">
        <f>0.1/2</f>
        <v>0.05</v>
      </c>
      <c r="U846" s="131">
        <f>1/2</f>
        <v>0.5</v>
      </c>
      <c r="V846" s="50">
        <v>1</v>
      </c>
      <c r="W846" s="74">
        <f>0.04/2</f>
        <v>0.02</v>
      </c>
      <c r="X846" s="50">
        <v>7.8E-2</v>
      </c>
      <c r="Y846" s="74">
        <f>0.013/2</f>
        <v>6.4999999999999997E-3</v>
      </c>
      <c r="Z846" s="313">
        <v>1</v>
      </c>
      <c r="AA846" s="313">
        <v>1</v>
      </c>
      <c r="AB846" s="114">
        <v>37</v>
      </c>
      <c r="AC846" s="50">
        <v>180</v>
      </c>
      <c r="AD846" s="271">
        <v>1</v>
      </c>
      <c r="AE846" s="50"/>
      <c r="AF846" s="49"/>
      <c r="AG846" s="114"/>
      <c r="AH846" s="114"/>
      <c r="AI846" s="114"/>
      <c r="AJ846" s="114"/>
      <c r="AK846" s="114"/>
      <c r="AL846" s="114"/>
      <c r="AM846" s="114"/>
      <c r="AN846" s="114"/>
      <c r="AO846" s="114"/>
      <c r="AP846" s="114"/>
      <c r="AQ846" s="114"/>
      <c r="AR846" s="114"/>
      <c r="AS846" s="50"/>
      <c r="AT846" s="74"/>
      <c r="AU846" s="114"/>
      <c r="AV846" s="114"/>
      <c r="AW846" s="394"/>
      <c r="AX846" s="385"/>
      <c r="AY846" s="385"/>
      <c r="AZ846" s="385"/>
      <c r="BA846" s="385"/>
      <c r="BB846" s="385"/>
      <c r="BC846" s="385"/>
      <c r="BD846" s="385"/>
      <c r="BE846" s="385"/>
      <c r="BF846" s="385"/>
      <c r="BG846" s="385"/>
      <c r="BH846" s="385"/>
      <c r="BI846" s="385"/>
      <c r="BJ846" s="385"/>
      <c r="BK846" s="385"/>
      <c r="BL846" s="385"/>
      <c r="BM846" s="385"/>
      <c r="BN846" s="385"/>
      <c r="BO846" s="385"/>
      <c r="BP846" s="385"/>
      <c r="BQ846" s="385"/>
      <c r="BR846" s="385"/>
      <c r="BS846" s="385"/>
      <c r="BT846" s="385"/>
      <c r="BU846" s="385"/>
      <c r="BV846" s="385"/>
      <c r="BW846" s="385"/>
      <c r="BX846" s="385"/>
      <c r="BY846" s="385"/>
      <c r="BZ846" s="385"/>
      <c r="CA846" s="385"/>
    </row>
    <row r="847" spans="1:79" s="6" customFormat="1" ht="15" customHeight="1">
      <c r="A847" s="41" t="s">
        <v>183</v>
      </c>
      <c r="B847" s="402" t="s">
        <v>3241</v>
      </c>
      <c r="C847" s="113" t="s">
        <v>3242</v>
      </c>
      <c r="D847" s="393" t="s">
        <v>836</v>
      </c>
      <c r="E847" s="394" t="s">
        <v>3243</v>
      </c>
      <c r="F847" s="402"/>
      <c r="G847" s="405" t="s">
        <v>3244</v>
      </c>
      <c r="H847" s="113">
        <v>2754</v>
      </c>
      <c r="I847" s="49"/>
      <c r="J847" s="48" t="s">
        <v>3145</v>
      </c>
      <c r="K847" s="51">
        <v>40898</v>
      </c>
      <c r="L847" s="115">
        <v>40885</v>
      </c>
      <c r="M847" s="50">
        <v>13</v>
      </c>
      <c r="N847" s="50" t="s">
        <v>2</v>
      </c>
      <c r="O847" s="131">
        <f>5/2</f>
        <v>2.5</v>
      </c>
      <c r="P847" s="117">
        <v>5.6</v>
      </c>
      <c r="Q847" s="131">
        <v>5.99</v>
      </c>
      <c r="R847" s="50">
        <v>18</v>
      </c>
      <c r="S847" s="74">
        <f>5/2</f>
        <v>2.5</v>
      </c>
      <c r="T847" s="50">
        <f>0.1/2</f>
        <v>0.05</v>
      </c>
      <c r="U847" s="131">
        <f>1/2</f>
        <v>0.5</v>
      </c>
      <c r="V847" s="50">
        <v>0.64</v>
      </c>
      <c r="W847" s="74">
        <f>0.04/2</f>
        <v>0.02</v>
      </c>
      <c r="X847" s="50">
        <v>0.18</v>
      </c>
      <c r="Y847" s="74">
        <f>0.013/2</f>
        <v>6.4999999999999997E-3</v>
      </c>
      <c r="Z847" s="313">
        <v>1</v>
      </c>
      <c r="AA847" s="313">
        <v>0.77100000000000002</v>
      </c>
      <c r="AB847" s="114">
        <v>4.3</v>
      </c>
      <c r="AC847" s="50">
        <v>32</v>
      </c>
      <c r="AD847" s="271">
        <v>0.2</v>
      </c>
      <c r="AE847" s="50"/>
      <c r="AF847" s="49"/>
      <c r="AG847" s="114"/>
      <c r="AH847" s="114"/>
      <c r="AI847" s="114"/>
      <c r="AJ847" s="114"/>
      <c r="AK847" s="114"/>
      <c r="AL847" s="114"/>
      <c r="AM847" s="114"/>
      <c r="AN847" s="114"/>
      <c r="AO847" s="114"/>
      <c r="AP847" s="114"/>
      <c r="AQ847" s="114"/>
      <c r="AR847" s="114"/>
      <c r="AS847" s="50"/>
      <c r="AT847" s="74"/>
      <c r="AU847" s="114"/>
      <c r="AV847" s="114"/>
      <c r="AW847" s="394"/>
      <c r="AX847" s="385"/>
      <c r="AY847" s="385"/>
      <c r="AZ847" s="385"/>
      <c r="BA847" s="385"/>
      <c r="BB847" s="385"/>
      <c r="BC847" s="385"/>
      <c r="BD847" s="385"/>
      <c r="BE847" s="385"/>
      <c r="BF847" s="385"/>
      <c r="BG847" s="385"/>
      <c r="BH847" s="385"/>
      <c r="BI847" s="385"/>
      <c r="BJ847" s="385"/>
      <c r="BK847" s="385"/>
      <c r="BL847" s="385"/>
      <c r="BM847" s="385"/>
      <c r="BN847" s="385"/>
      <c r="BO847" s="385"/>
      <c r="BP847" s="385"/>
      <c r="BQ847" s="385"/>
      <c r="BR847" s="385"/>
      <c r="BS847" s="385"/>
      <c r="BT847" s="385"/>
      <c r="BU847" s="385"/>
      <c r="BV847" s="385"/>
      <c r="BW847" s="385"/>
      <c r="BX847" s="385"/>
      <c r="BY847" s="385"/>
      <c r="BZ847" s="385"/>
      <c r="CA847" s="385"/>
    </row>
    <row r="848" spans="1:79" s="6" customFormat="1" ht="15" customHeight="1">
      <c r="A848" s="41" t="s">
        <v>183</v>
      </c>
      <c r="B848" s="402" t="s">
        <v>3245</v>
      </c>
      <c r="C848" s="113" t="s">
        <v>3245</v>
      </c>
      <c r="D848" s="393" t="s">
        <v>314</v>
      </c>
      <c r="E848" s="394" t="s">
        <v>3096</v>
      </c>
      <c r="F848" s="402"/>
      <c r="G848" s="405" t="s">
        <v>3097</v>
      </c>
      <c r="H848" s="113">
        <v>3544</v>
      </c>
      <c r="I848" s="49" t="s">
        <v>2</v>
      </c>
      <c r="J848" s="48" t="s">
        <v>510</v>
      </c>
      <c r="K848" s="51">
        <v>40883</v>
      </c>
      <c r="L848" s="115">
        <v>40876</v>
      </c>
      <c r="M848" s="50">
        <v>7</v>
      </c>
      <c r="N848" s="50" t="s">
        <v>2</v>
      </c>
      <c r="O848" s="131">
        <f>1.5/2</f>
        <v>0.75</v>
      </c>
      <c r="P848" s="117">
        <v>4.9000000000000004</v>
      </c>
      <c r="Q848" s="131">
        <v>5.3</v>
      </c>
      <c r="R848" s="50">
        <f>10/2</f>
        <v>5</v>
      </c>
      <c r="S848" s="74">
        <f>5/2</f>
        <v>2.5</v>
      </c>
      <c r="T848" s="50">
        <f>0.01/2</f>
        <v>5.0000000000000001E-3</v>
      </c>
      <c r="U848" s="131">
        <v>0.41</v>
      </c>
      <c r="V848" s="50">
        <v>0.13</v>
      </c>
      <c r="W848" s="74">
        <v>6.0000000000000001E-3</v>
      </c>
      <c r="X848" s="50">
        <v>0.48299999999999998</v>
      </c>
      <c r="Y848" s="74">
        <f>0.002/2</f>
        <v>1E-3</v>
      </c>
      <c r="Z848" s="313">
        <v>0.72</v>
      </c>
      <c r="AA848" s="313">
        <v>0.70699999999999996</v>
      </c>
      <c r="AB848" s="114">
        <v>4</v>
      </c>
      <c r="AC848" s="50">
        <v>10</v>
      </c>
      <c r="AD848" s="271">
        <v>0</v>
      </c>
      <c r="AE848" s="50"/>
      <c r="AF848" s="49"/>
      <c r="AG848" s="114"/>
      <c r="AH848" s="114"/>
      <c r="AI848" s="114"/>
      <c r="AJ848" s="114"/>
      <c r="AK848" s="114"/>
      <c r="AL848" s="114"/>
      <c r="AM848" s="114"/>
      <c r="AN848" s="114"/>
      <c r="AO848" s="114"/>
      <c r="AP848" s="114"/>
      <c r="AQ848" s="114"/>
      <c r="AR848" s="114"/>
      <c r="AS848" s="50"/>
      <c r="AT848" s="74"/>
      <c r="AU848" s="114"/>
      <c r="AV848" s="114"/>
      <c r="AW848" s="394"/>
      <c r="AX848" s="385"/>
      <c r="AY848" s="385"/>
      <c r="AZ848" s="385"/>
      <c r="BA848" s="385"/>
      <c r="BB848" s="385"/>
      <c r="BC848" s="385"/>
      <c r="BD848" s="385"/>
      <c r="BE848" s="385"/>
      <c r="BF848" s="385"/>
      <c r="BG848" s="385"/>
      <c r="BH848" s="385"/>
      <c r="BI848" s="385"/>
      <c r="BJ848" s="385"/>
      <c r="BK848" s="385"/>
      <c r="BL848" s="385"/>
      <c r="BM848" s="385"/>
      <c r="BN848" s="385"/>
      <c r="BO848" s="385"/>
      <c r="BP848" s="385"/>
      <c r="BQ848" s="385"/>
      <c r="BR848" s="385"/>
      <c r="BS848" s="385"/>
      <c r="BT848" s="385"/>
      <c r="BU848" s="385"/>
      <c r="BV848" s="385"/>
      <c r="BW848" s="385"/>
      <c r="BX848" s="385"/>
      <c r="BY848" s="385"/>
      <c r="BZ848" s="385"/>
      <c r="CA848" s="385"/>
    </row>
    <row r="849" spans="1:79" s="6" customFormat="1" ht="15" customHeight="1">
      <c r="A849" s="41" t="s">
        <v>183</v>
      </c>
      <c r="B849" s="402" t="s">
        <v>3246</v>
      </c>
      <c r="C849" s="113" t="s">
        <v>3246</v>
      </c>
      <c r="D849" s="393" t="s">
        <v>480</v>
      </c>
      <c r="E849" s="394" t="s">
        <v>1486</v>
      </c>
      <c r="F849" s="402"/>
      <c r="G849" s="405" t="s">
        <v>3247</v>
      </c>
      <c r="H849" s="113">
        <v>5093</v>
      </c>
      <c r="I849" s="49" t="s">
        <v>1</v>
      </c>
      <c r="J849" s="48" t="s">
        <v>510</v>
      </c>
      <c r="K849" s="51">
        <v>40857</v>
      </c>
      <c r="L849" s="115">
        <v>40846</v>
      </c>
      <c r="M849" s="50">
        <v>11</v>
      </c>
      <c r="N849" s="50" t="s">
        <v>2</v>
      </c>
      <c r="O849" s="131">
        <f>1/2</f>
        <v>0.5</v>
      </c>
      <c r="P849" s="117">
        <v>6.24</v>
      </c>
      <c r="Q849" s="131">
        <v>7.56</v>
      </c>
      <c r="R849" s="50">
        <v>432</v>
      </c>
      <c r="S849" s="74">
        <v>330</v>
      </c>
      <c r="T849" s="50">
        <v>0.67</v>
      </c>
      <c r="U849" s="131">
        <v>5.4</v>
      </c>
      <c r="V849" s="50">
        <v>0.17</v>
      </c>
      <c r="W849" s="74">
        <v>5.7000000000000002E-2</v>
      </c>
      <c r="X849" s="50">
        <v>0.745</v>
      </c>
      <c r="Y849" s="74">
        <v>0.04</v>
      </c>
      <c r="Z849" s="313">
        <v>1</v>
      </c>
      <c r="AA849" s="313">
        <v>1</v>
      </c>
      <c r="AB849" s="114">
        <v>93.56</v>
      </c>
      <c r="AC849" s="50">
        <v>140</v>
      </c>
      <c r="AD849" s="271">
        <v>1</v>
      </c>
      <c r="AE849" s="50">
        <v>3300</v>
      </c>
      <c r="AF849" s="49"/>
      <c r="AG849" s="114"/>
      <c r="AH849" s="114"/>
      <c r="AI849" s="114"/>
      <c r="AJ849" s="114"/>
      <c r="AK849" s="114"/>
      <c r="AL849" s="114"/>
      <c r="AM849" s="114"/>
      <c r="AN849" s="114"/>
      <c r="AO849" s="114"/>
      <c r="AP849" s="114"/>
      <c r="AQ849" s="114"/>
      <c r="AR849" s="114"/>
      <c r="AS849" s="50"/>
      <c r="AT849" s="74"/>
      <c r="AU849" s="114"/>
      <c r="AV849" s="114"/>
      <c r="AW849" s="394"/>
      <c r="AX849" s="385"/>
      <c r="AY849" s="385"/>
      <c r="AZ849" s="385"/>
      <c r="BA849" s="385"/>
      <c r="BB849" s="385"/>
      <c r="BC849" s="385"/>
      <c r="BD849" s="385"/>
      <c r="BE849" s="385"/>
      <c r="BF849" s="385"/>
      <c r="BG849" s="385"/>
      <c r="BH849" s="385"/>
      <c r="BI849" s="385"/>
      <c r="BJ849" s="385"/>
      <c r="BK849" s="385"/>
      <c r="BL849" s="385"/>
      <c r="BM849" s="385"/>
      <c r="BN849" s="385"/>
      <c r="BO849" s="385"/>
      <c r="BP849" s="385"/>
      <c r="BQ849" s="385"/>
      <c r="BR849" s="385"/>
      <c r="BS849" s="385"/>
      <c r="BT849" s="385"/>
      <c r="BU849" s="385"/>
      <c r="BV849" s="385"/>
      <c r="BW849" s="385"/>
      <c r="BX849" s="385"/>
      <c r="BY849" s="385"/>
      <c r="BZ849" s="385"/>
      <c r="CA849" s="385"/>
    </row>
    <row r="850" spans="1:79" s="6" customFormat="1" ht="15" customHeight="1">
      <c r="A850" s="41" t="s">
        <v>183</v>
      </c>
      <c r="B850" s="402" t="s">
        <v>3246</v>
      </c>
      <c r="C850" s="113" t="s">
        <v>3246</v>
      </c>
      <c r="D850" s="393" t="s">
        <v>480</v>
      </c>
      <c r="E850" s="394" t="s">
        <v>1486</v>
      </c>
      <c r="F850" s="402"/>
      <c r="G850" s="405" t="s">
        <v>3247</v>
      </c>
      <c r="H850" s="113">
        <v>5093</v>
      </c>
      <c r="I850" s="49" t="s">
        <v>1</v>
      </c>
      <c r="J850" s="48" t="s">
        <v>460</v>
      </c>
      <c r="K850" s="51">
        <v>40857</v>
      </c>
      <c r="L850" s="115">
        <v>40846</v>
      </c>
      <c r="M850" s="50">
        <v>11</v>
      </c>
      <c r="N850" s="50" t="s">
        <v>2</v>
      </c>
      <c r="O850" s="131">
        <f>1/2</f>
        <v>0.5</v>
      </c>
      <c r="P850" s="117">
        <v>6.24</v>
      </c>
      <c r="Q850" s="131">
        <v>8.4600000000000009</v>
      </c>
      <c r="R850" s="50">
        <v>148.6</v>
      </c>
      <c r="S850" s="74">
        <v>1440</v>
      </c>
      <c r="T850" s="50">
        <v>2.04</v>
      </c>
      <c r="U850" s="131">
        <v>2.3199999999999998</v>
      </c>
      <c r="V850" s="50">
        <v>0.48</v>
      </c>
      <c r="W850" s="74">
        <v>0.06</v>
      </c>
      <c r="X850" s="50">
        <v>1.018</v>
      </c>
      <c r="Y850" s="74">
        <v>4.2999999999999997E-2</v>
      </c>
      <c r="Z850" s="313">
        <v>1</v>
      </c>
      <c r="AA850" s="313">
        <v>1</v>
      </c>
      <c r="AB850" s="114">
        <v>120.5</v>
      </c>
      <c r="AC850" s="50">
        <v>178</v>
      </c>
      <c r="AD850" s="271">
        <v>0.8</v>
      </c>
      <c r="AE850" s="50">
        <v>4500</v>
      </c>
      <c r="AF850" s="49"/>
      <c r="AG850" s="114"/>
      <c r="AH850" s="114"/>
      <c r="AI850" s="114"/>
      <c r="AJ850" s="114"/>
      <c r="AK850" s="114"/>
      <c r="AL850" s="114"/>
      <c r="AM850" s="114"/>
      <c r="AN850" s="114"/>
      <c r="AO850" s="114"/>
      <c r="AP850" s="114"/>
      <c r="AQ850" s="114"/>
      <c r="AR850" s="114"/>
      <c r="AS850" s="50"/>
      <c r="AT850" s="74"/>
      <c r="AU850" s="114"/>
      <c r="AV850" s="114"/>
      <c r="AW850" s="394"/>
      <c r="AX850" s="385"/>
      <c r="AY850" s="385"/>
      <c r="AZ850" s="385"/>
      <c r="BA850" s="385"/>
      <c r="BB850" s="385"/>
      <c r="BC850" s="385"/>
      <c r="BD850" s="385"/>
      <c r="BE850" s="385"/>
      <c r="BF850" s="385"/>
      <c r="BG850" s="385"/>
      <c r="BH850" s="385"/>
      <c r="BI850" s="385"/>
      <c r="BJ850" s="385"/>
      <c r="BK850" s="385"/>
      <c r="BL850" s="385"/>
      <c r="BM850" s="385"/>
      <c r="BN850" s="385"/>
      <c r="BO850" s="385"/>
      <c r="BP850" s="385"/>
      <c r="BQ850" s="385"/>
      <c r="BR850" s="385"/>
      <c r="BS850" s="385"/>
      <c r="BT850" s="385"/>
      <c r="BU850" s="385"/>
      <c r="BV850" s="385"/>
      <c r="BW850" s="385"/>
      <c r="BX850" s="385"/>
      <c r="BY850" s="385"/>
      <c r="BZ850" s="385"/>
      <c r="CA850" s="385"/>
    </row>
    <row r="851" spans="1:79" s="6" customFormat="1" ht="15" customHeight="1">
      <c r="A851" s="41" t="s">
        <v>183</v>
      </c>
      <c r="B851" s="402" t="s">
        <v>3246</v>
      </c>
      <c r="C851" s="113" t="s">
        <v>3246</v>
      </c>
      <c r="D851" s="393" t="s">
        <v>480</v>
      </c>
      <c r="E851" s="394" t="s">
        <v>1486</v>
      </c>
      <c r="F851" s="402"/>
      <c r="G851" s="405" t="s">
        <v>3247</v>
      </c>
      <c r="H851" s="113">
        <v>5093</v>
      </c>
      <c r="I851" s="49" t="s">
        <v>1</v>
      </c>
      <c r="J851" s="48" t="s">
        <v>357</v>
      </c>
      <c r="K851" s="51">
        <v>40857</v>
      </c>
      <c r="L851" s="115">
        <v>40846</v>
      </c>
      <c r="M851" s="50">
        <v>11</v>
      </c>
      <c r="N851" s="50" t="s">
        <v>2</v>
      </c>
      <c r="O851" s="131">
        <f>1/2</f>
        <v>0.5</v>
      </c>
      <c r="P851" s="117">
        <v>6.24</v>
      </c>
      <c r="Q851" s="131">
        <v>7.82</v>
      </c>
      <c r="R851" s="50">
        <v>136.1</v>
      </c>
      <c r="S851" s="74">
        <v>350</v>
      </c>
      <c r="T851" s="50">
        <v>0.64</v>
      </c>
      <c r="U851" s="131">
        <v>3.2</v>
      </c>
      <c r="V851" s="50">
        <f>0.1/2</f>
        <v>0.05</v>
      </c>
      <c r="W851" s="74">
        <v>8.0000000000000002E-3</v>
      </c>
      <c r="X851" s="50">
        <v>0.17699999999999999</v>
      </c>
      <c r="Y851" s="74">
        <v>3.0000000000000001E-3</v>
      </c>
      <c r="Z851" s="313">
        <v>1</v>
      </c>
      <c r="AA851" s="313">
        <v>1</v>
      </c>
      <c r="AB851" s="114">
        <v>21.23</v>
      </c>
      <c r="AC851" s="50">
        <v>97</v>
      </c>
      <c r="AD851" s="271">
        <v>1</v>
      </c>
      <c r="AE851" s="50">
        <v>6200</v>
      </c>
      <c r="AF851" s="49"/>
      <c r="AG851" s="114"/>
      <c r="AH851" s="114"/>
      <c r="AI851" s="114"/>
      <c r="AJ851" s="114"/>
      <c r="AK851" s="114"/>
      <c r="AL851" s="114"/>
      <c r="AM851" s="114"/>
      <c r="AN851" s="114"/>
      <c r="AO851" s="114"/>
      <c r="AP851" s="114"/>
      <c r="AQ851" s="114"/>
      <c r="AR851" s="114"/>
      <c r="AS851" s="50"/>
      <c r="AT851" s="74"/>
      <c r="AU851" s="114"/>
      <c r="AV851" s="114"/>
      <c r="AW851" s="394"/>
      <c r="AX851" s="385"/>
      <c r="AY851" s="385"/>
      <c r="AZ851" s="385"/>
      <c r="BA851" s="385"/>
      <c r="BB851" s="385"/>
      <c r="BC851" s="385"/>
      <c r="BD851" s="385"/>
      <c r="BE851" s="385"/>
      <c r="BF851" s="385"/>
      <c r="BG851" s="385"/>
      <c r="BH851" s="385"/>
      <c r="BI851" s="385"/>
      <c r="BJ851" s="385"/>
      <c r="BK851" s="385"/>
      <c r="BL851" s="385"/>
      <c r="BM851" s="385"/>
      <c r="BN851" s="385"/>
      <c r="BO851" s="385"/>
      <c r="BP851" s="385"/>
      <c r="BQ851" s="385"/>
      <c r="BR851" s="385"/>
      <c r="BS851" s="385"/>
      <c r="BT851" s="385"/>
      <c r="BU851" s="385"/>
      <c r="BV851" s="385"/>
      <c r="BW851" s="385"/>
      <c r="BX851" s="385"/>
      <c r="BY851" s="385"/>
      <c r="BZ851" s="385"/>
      <c r="CA851" s="385"/>
    </row>
    <row r="852" spans="1:79" s="6" customFormat="1" ht="15" customHeight="1">
      <c r="A852" s="41" t="s">
        <v>183</v>
      </c>
      <c r="B852" s="402" t="s">
        <v>3248</v>
      </c>
      <c r="C852" s="113"/>
      <c r="D852" s="393" t="s">
        <v>347</v>
      </c>
      <c r="E852" s="394" t="s">
        <v>3249</v>
      </c>
      <c r="F852" s="402"/>
      <c r="G852" s="405" t="s">
        <v>3250</v>
      </c>
      <c r="H852" s="113">
        <v>5171</v>
      </c>
      <c r="I852" s="49" t="s">
        <v>1</v>
      </c>
      <c r="J852" s="48" t="s">
        <v>3251</v>
      </c>
      <c r="K852" s="51">
        <v>40857</v>
      </c>
      <c r="L852" s="115">
        <v>40845</v>
      </c>
      <c r="M852" s="50">
        <v>12</v>
      </c>
      <c r="N852" s="50" t="s">
        <v>2</v>
      </c>
      <c r="O852" s="131">
        <v>4.9000000000000004</v>
      </c>
      <c r="P852" s="117">
        <v>7.1</v>
      </c>
      <c r="Q852" s="131">
        <v>7.8</v>
      </c>
      <c r="R852" s="50">
        <v>74</v>
      </c>
      <c r="S852" s="74">
        <v>41</v>
      </c>
      <c r="T852" s="50">
        <v>0.24</v>
      </c>
      <c r="U852" s="131">
        <v>1.54</v>
      </c>
      <c r="V852" s="50">
        <v>0.1</v>
      </c>
      <c r="W852" s="74">
        <v>4.3999999999999997E-2</v>
      </c>
      <c r="X852" s="50">
        <v>8.1000000000000003E-2</v>
      </c>
      <c r="Y852" s="74">
        <f>0.03/2</f>
        <v>1.4999999999999999E-2</v>
      </c>
      <c r="Z852" s="313">
        <v>1</v>
      </c>
      <c r="AA852" s="313">
        <v>1</v>
      </c>
      <c r="AB852" s="114">
        <v>20</v>
      </c>
      <c r="AC852" s="50">
        <v>70</v>
      </c>
      <c r="AD852" s="271">
        <v>1</v>
      </c>
      <c r="AE852" s="50"/>
      <c r="AF852" s="49"/>
      <c r="AG852" s="114"/>
      <c r="AH852" s="114"/>
      <c r="AI852" s="114"/>
      <c r="AJ852" s="114"/>
      <c r="AK852" s="114"/>
      <c r="AL852" s="114"/>
      <c r="AM852" s="114"/>
      <c r="AN852" s="114"/>
      <c r="AO852" s="114"/>
      <c r="AP852" s="114"/>
      <c r="AQ852" s="114"/>
      <c r="AR852" s="114"/>
      <c r="AS852" s="50"/>
      <c r="AT852" s="74"/>
      <c r="AU852" s="114"/>
      <c r="AV852" s="114"/>
      <c r="AW852" s="394"/>
      <c r="AX852" s="385"/>
      <c r="AY852" s="385"/>
      <c r="AZ852" s="385"/>
      <c r="BA852" s="385"/>
      <c r="BB852" s="385"/>
      <c r="BC852" s="385"/>
      <c r="BD852" s="385"/>
      <c r="BE852" s="385"/>
      <c r="BF852" s="385"/>
      <c r="BG852" s="385"/>
      <c r="BH852" s="385"/>
      <c r="BI852" s="385"/>
      <c r="BJ852" s="385"/>
      <c r="BK852" s="385"/>
      <c r="BL852" s="385"/>
      <c r="BM852" s="385"/>
      <c r="BN852" s="385"/>
      <c r="BO852" s="385"/>
      <c r="BP852" s="385"/>
      <c r="BQ852" s="385"/>
      <c r="BR852" s="385"/>
      <c r="BS852" s="385"/>
      <c r="BT852" s="385"/>
      <c r="BU852" s="385"/>
      <c r="BV852" s="385"/>
      <c r="BW852" s="385"/>
      <c r="BX852" s="385"/>
      <c r="BY852" s="385"/>
      <c r="BZ852" s="385"/>
      <c r="CA852" s="385"/>
    </row>
    <row r="853" spans="1:79" s="6" customFormat="1" ht="15" customHeight="1">
      <c r="A853" s="41" t="s">
        <v>183</v>
      </c>
      <c r="B853" s="402" t="s">
        <v>3252</v>
      </c>
      <c r="C853" s="113"/>
      <c r="D853" s="393" t="s">
        <v>347</v>
      </c>
      <c r="E853" s="394" t="s">
        <v>3249</v>
      </c>
      <c r="F853" s="402"/>
      <c r="G853" s="405" t="s">
        <v>3253</v>
      </c>
      <c r="H853" s="113">
        <v>4212</v>
      </c>
      <c r="I853" s="49" t="s">
        <v>2</v>
      </c>
      <c r="J853" s="48" t="s">
        <v>3254</v>
      </c>
      <c r="K853" s="51">
        <v>40857</v>
      </c>
      <c r="L853" s="115">
        <v>40845</v>
      </c>
      <c r="M853" s="50">
        <v>12</v>
      </c>
      <c r="N853" s="50" t="s">
        <v>2</v>
      </c>
      <c r="O853" s="131">
        <f>2/2</f>
        <v>1</v>
      </c>
      <c r="P853" s="117">
        <v>7.1</v>
      </c>
      <c r="Q853" s="131">
        <v>7.2</v>
      </c>
      <c r="R853" s="50">
        <f>10/2</f>
        <v>5</v>
      </c>
      <c r="S853" s="74">
        <f>1/2</f>
        <v>0.5</v>
      </c>
      <c r="T853" s="50">
        <f>0.05/2</f>
        <v>2.5000000000000001E-2</v>
      </c>
      <c r="U853" s="131">
        <v>0.23</v>
      </c>
      <c r="V853" s="50">
        <v>1.06</v>
      </c>
      <c r="W853" s="74">
        <v>3.3000000000000002E-2</v>
      </c>
      <c r="X853" s="50">
        <v>0.19500000000000001</v>
      </c>
      <c r="Y853" s="74">
        <f>0.03/2</f>
        <v>1.4999999999999999E-2</v>
      </c>
      <c r="Z853" s="313">
        <v>0.19600000000000001</v>
      </c>
      <c r="AA853" s="313">
        <v>0.17699999999999999</v>
      </c>
      <c r="AB853" s="114">
        <v>190</v>
      </c>
      <c r="AC853" s="50">
        <v>882</v>
      </c>
      <c r="AD853" s="271">
        <v>0</v>
      </c>
      <c r="AE853" s="50"/>
      <c r="AF853" s="49"/>
      <c r="AG853" s="114"/>
      <c r="AH853" s="114"/>
      <c r="AI853" s="114"/>
      <c r="AJ853" s="114"/>
      <c r="AK853" s="114"/>
      <c r="AL853" s="114"/>
      <c r="AM853" s="114"/>
      <c r="AN853" s="114"/>
      <c r="AO853" s="114"/>
      <c r="AP853" s="114"/>
      <c r="AQ853" s="114"/>
      <c r="AR853" s="114"/>
      <c r="AS853" s="50"/>
      <c r="AT853" s="74"/>
      <c r="AU853" s="114"/>
      <c r="AV853" s="114"/>
      <c r="AW853" s="394"/>
      <c r="AX853" s="385"/>
      <c r="AY853" s="385"/>
      <c r="AZ853" s="385"/>
      <c r="BA853" s="385"/>
      <c r="BB853" s="385"/>
      <c r="BC853" s="385"/>
      <c r="BD853" s="385"/>
      <c r="BE853" s="385"/>
      <c r="BF853" s="385"/>
      <c r="BG853" s="385"/>
      <c r="BH853" s="385"/>
      <c r="BI853" s="385"/>
      <c r="BJ853" s="385"/>
      <c r="BK853" s="385"/>
      <c r="BL853" s="385"/>
      <c r="BM853" s="385"/>
      <c r="BN853" s="385"/>
      <c r="BO853" s="385"/>
      <c r="BP853" s="385"/>
      <c r="BQ853" s="385"/>
      <c r="BR853" s="385"/>
      <c r="BS853" s="385"/>
      <c r="BT853" s="385"/>
      <c r="BU853" s="385"/>
      <c r="BV853" s="385"/>
      <c r="BW853" s="385"/>
      <c r="BX853" s="385"/>
      <c r="BY853" s="385"/>
      <c r="BZ853" s="385"/>
      <c r="CA853" s="385"/>
    </row>
    <row r="854" spans="1:79" s="6" customFormat="1" ht="15" customHeight="1">
      <c r="A854" s="41" t="s">
        <v>183</v>
      </c>
      <c r="B854" s="402" t="s">
        <v>3255</v>
      </c>
      <c r="C854" s="113" t="s">
        <v>3255</v>
      </c>
      <c r="D854" s="393" t="s">
        <v>1490</v>
      </c>
      <c r="E854" s="394"/>
      <c r="F854" s="402" t="s">
        <v>3256</v>
      </c>
      <c r="G854" s="405" t="s">
        <v>3257</v>
      </c>
      <c r="H854" s="113">
        <v>3089</v>
      </c>
      <c r="I854" s="49" t="s">
        <v>1</v>
      </c>
      <c r="J854" s="48" t="s">
        <v>700</v>
      </c>
      <c r="K854" s="51">
        <v>40876</v>
      </c>
      <c r="L854" s="115">
        <v>40870</v>
      </c>
      <c r="M854" s="50">
        <v>6</v>
      </c>
      <c r="N854" s="50" t="s">
        <v>2</v>
      </c>
      <c r="O854" s="131">
        <f>1.8/2</f>
        <v>0.9</v>
      </c>
      <c r="P854" s="117">
        <v>7.14</v>
      </c>
      <c r="Q854" s="131">
        <v>7.14</v>
      </c>
      <c r="R854" s="50">
        <v>25</v>
      </c>
      <c r="S854" s="74">
        <v>7.1</v>
      </c>
      <c r="T854" s="50">
        <v>7.4999999999999997E-2</v>
      </c>
      <c r="U854" s="131">
        <v>1.6</v>
      </c>
      <c r="V854" s="50">
        <v>0.55000000000000004</v>
      </c>
      <c r="W854" s="74">
        <v>5.0000000000000001E-3</v>
      </c>
      <c r="X854" s="50">
        <v>0.23799999999999999</v>
      </c>
      <c r="Y854" s="74">
        <f>0.005/2</f>
        <v>2.5000000000000001E-3</v>
      </c>
      <c r="Z854" s="313"/>
      <c r="AA854" s="313"/>
      <c r="AB854" s="114"/>
      <c r="AC854" s="50"/>
      <c r="AD854" s="271"/>
      <c r="AE854" s="50"/>
      <c r="AF854" s="49"/>
      <c r="AG854" s="114"/>
      <c r="AH854" s="114"/>
      <c r="AI854" s="114"/>
      <c r="AJ854" s="114"/>
      <c r="AK854" s="114"/>
      <c r="AL854" s="114"/>
      <c r="AM854" s="114"/>
      <c r="AN854" s="114"/>
      <c r="AO854" s="114"/>
      <c r="AP854" s="114"/>
      <c r="AQ854" s="114"/>
      <c r="AR854" s="114"/>
      <c r="AS854" s="50"/>
      <c r="AT854" s="74"/>
      <c r="AU854" s="114"/>
      <c r="AV854" s="114"/>
      <c r="AW854" s="394"/>
      <c r="AX854" s="385"/>
      <c r="AY854" s="385"/>
      <c r="AZ854" s="385"/>
      <c r="BA854" s="385"/>
      <c r="BB854" s="385"/>
      <c r="BC854" s="385"/>
      <c r="BD854" s="385"/>
      <c r="BE854" s="385"/>
      <c r="BF854" s="385"/>
      <c r="BG854" s="385"/>
      <c r="BH854" s="385"/>
      <c r="BI854" s="385"/>
      <c r="BJ854" s="385"/>
      <c r="BK854" s="385"/>
      <c r="BL854" s="385"/>
      <c r="BM854" s="385"/>
      <c r="BN854" s="385"/>
      <c r="BO854" s="385"/>
      <c r="BP854" s="385"/>
      <c r="BQ854" s="385"/>
      <c r="BR854" s="385"/>
      <c r="BS854" s="385"/>
      <c r="BT854" s="385"/>
      <c r="BU854" s="385"/>
      <c r="BV854" s="385"/>
      <c r="BW854" s="385"/>
      <c r="BX854" s="385"/>
      <c r="BY854" s="385"/>
      <c r="BZ854" s="385"/>
      <c r="CA854" s="385"/>
    </row>
    <row r="855" spans="1:79" s="6" customFormat="1" ht="15" customHeight="1">
      <c r="A855" s="41" t="s">
        <v>183</v>
      </c>
      <c r="B855" s="402" t="s">
        <v>1853</v>
      </c>
      <c r="C855" s="113" t="s">
        <v>1854</v>
      </c>
      <c r="D855" s="393" t="s">
        <v>290</v>
      </c>
      <c r="E855" s="394"/>
      <c r="F855" s="402" t="s">
        <v>1855</v>
      </c>
      <c r="G855" s="405" t="s">
        <v>1856</v>
      </c>
      <c r="H855" s="113">
        <v>2819</v>
      </c>
      <c r="I855" s="49" t="s">
        <v>2</v>
      </c>
      <c r="J855" s="48" t="s">
        <v>700</v>
      </c>
      <c r="K855" s="51">
        <v>40857</v>
      </c>
      <c r="L855" s="115">
        <v>40846</v>
      </c>
      <c r="M855" s="50">
        <v>11</v>
      </c>
      <c r="N855" s="50" t="s">
        <v>2</v>
      </c>
      <c r="O855" s="131">
        <f>1.7/2</f>
        <v>0.85</v>
      </c>
      <c r="P855" s="117">
        <v>7.36</v>
      </c>
      <c r="Q855" s="131">
        <v>6.62</v>
      </c>
      <c r="R855" s="50">
        <v>46</v>
      </c>
      <c r="S855" s="74">
        <v>17</v>
      </c>
      <c r="T855" s="50">
        <v>5.5E-2</v>
      </c>
      <c r="U855" s="131">
        <f>1/2</f>
        <v>0.5</v>
      </c>
      <c r="V855" s="50">
        <f>0.46/2</f>
        <v>0.23</v>
      </c>
      <c r="W855" s="74">
        <v>5.0000000000000001E-3</v>
      </c>
      <c r="X855" s="50">
        <v>0.12</v>
      </c>
      <c r="Y855" s="74">
        <f>0.005/2</f>
        <v>2.5000000000000001E-3</v>
      </c>
      <c r="Z855" s="313"/>
      <c r="AA855" s="313"/>
      <c r="AB855" s="114"/>
      <c r="AC855" s="50"/>
      <c r="AD855" s="271"/>
      <c r="AE855" s="50"/>
      <c r="AF855" s="49"/>
      <c r="AG855" s="114"/>
      <c r="AH855" s="114"/>
      <c r="AI855" s="114"/>
      <c r="AJ855" s="114"/>
      <c r="AK855" s="114"/>
      <c r="AL855" s="114"/>
      <c r="AM855" s="114"/>
      <c r="AN855" s="114"/>
      <c r="AO855" s="114"/>
      <c r="AP855" s="114"/>
      <c r="AQ855" s="114"/>
      <c r="AR855" s="114"/>
      <c r="AS855" s="50"/>
      <c r="AT855" s="74"/>
      <c r="AU855" s="114"/>
      <c r="AV855" s="114"/>
      <c r="AW855" s="394"/>
      <c r="AX855" s="385"/>
      <c r="AY855" s="385"/>
      <c r="AZ855" s="385"/>
      <c r="BA855" s="385"/>
      <c r="BB855" s="385"/>
      <c r="BC855" s="385"/>
      <c r="BD855" s="385"/>
      <c r="BE855" s="385"/>
      <c r="BF855" s="385"/>
      <c r="BG855" s="385"/>
      <c r="BH855" s="385"/>
      <c r="BI855" s="385"/>
      <c r="BJ855" s="385"/>
      <c r="BK855" s="385"/>
      <c r="BL855" s="385"/>
      <c r="BM855" s="385"/>
      <c r="BN855" s="385"/>
      <c r="BO855" s="385"/>
      <c r="BP855" s="385"/>
      <c r="BQ855" s="385"/>
      <c r="BR855" s="385"/>
      <c r="BS855" s="385"/>
      <c r="BT855" s="385"/>
      <c r="BU855" s="385"/>
      <c r="BV855" s="385"/>
      <c r="BW855" s="385"/>
      <c r="BX855" s="385"/>
      <c r="BY855" s="385"/>
      <c r="BZ855" s="385"/>
      <c r="CA855" s="385"/>
    </row>
    <row r="856" spans="1:79" s="6" customFormat="1" ht="15" customHeight="1">
      <c r="A856" s="41" t="s">
        <v>183</v>
      </c>
      <c r="B856" s="402" t="s">
        <v>3282</v>
      </c>
      <c r="C856" s="113" t="s">
        <v>3282</v>
      </c>
      <c r="D856" s="393" t="s">
        <v>213</v>
      </c>
      <c r="E856" s="394" t="s">
        <v>671</v>
      </c>
      <c r="F856" s="402" t="s">
        <v>3258</v>
      </c>
      <c r="G856" s="405" t="s">
        <v>3259</v>
      </c>
      <c r="H856" s="113">
        <v>3829</v>
      </c>
      <c r="I856" s="49" t="s">
        <v>2</v>
      </c>
      <c r="J856" s="48" t="s">
        <v>700</v>
      </c>
      <c r="K856" s="51">
        <v>40857</v>
      </c>
      <c r="L856" s="115">
        <v>40846</v>
      </c>
      <c r="M856" s="50">
        <v>11</v>
      </c>
      <c r="N856" s="50" t="s">
        <v>2</v>
      </c>
      <c r="O856" s="131">
        <f>1.8/2</f>
        <v>0.9</v>
      </c>
      <c r="P856" s="117">
        <v>7.36</v>
      </c>
      <c r="Q856" s="131">
        <v>5.7</v>
      </c>
      <c r="R856" s="50">
        <v>820</v>
      </c>
      <c r="S856" s="74">
        <v>156</v>
      </c>
      <c r="T856" s="50">
        <v>1.26</v>
      </c>
      <c r="U856" s="131">
        <v>5.6</v>
      </c>
      <c r="V856" s="50">
        <f>0.46/2</f>
        <v>0.23</v>
      </c>
      <c r="W856" s="74">
        <v>3.2000000000000001E-2</v>
      </c>
      <c r="X856" s="50">
        <v>0.40799999999999997</v>
      </c>
      <c r="Y856" s="74">
        <v>2.8000000000000001E-2</v>
      </c>
      <c r="Z856" s="313"/>
      <c r="AA856" s="313"/>
      <c r="AB856" s="114"/>
      <c r="AC856" s="50"/>
      <c r="AD856" s="271"/>
      <c r="AE856" s="50"/>
      <c r="AF856" s="49"/>
      <c r="AG856" s="114"/>
      <c r="AH856" s="114"/>
      <c r="AI856" s="114"/>
      <c r="AJ856" s="114"/>
      <c r="AK856" s="114"/>
      <c r="AL856" s="114"/>
      <c r="AM856" s="114"/>
      <c r="AN856" s="114"/>
      <c r="AO856" s="114"/>
      <c r="AP856" s="114"/>
      <c r="AQ856" s="114"/>
      <c r="AR856" s="114"/>
      <c r="AS856" s="50"/>
      <c r="AT856" s="74"/>
      <c r="AU856" s="114"/>
      <c r="AV856" s="114"/>
      <c r="AW856" s="394"/>
      <c r="AX856" s="385"/>
      <c r="AY856" s="385"/>
      <c r="AZ856" s="385"/>
      <c r="BA856" s="385"/>
      <c r="BB856" s="385"/>
      <c r="BC856" s="385"/>
      <c r="BD856" s="385"/>
      <c r="BE856" s="385"/>
      <c r="BF856" s="385"/>
      <c r="BG856" s="385"/>
      <c r="BH856" s="385"/>
      <c r="BI856" s="385"/>
      <c r="BJ856" s="385"/>
      <c r="BK856" s="385"/>
      <c r="BL856" s="385"/>
      <c r="BM856" s="385"/>
      <c r="BN856" s="385"/>
      <c r="BO856" s="385"/>
      <c r="BP856" s="385"/>
      <c r="BQ856" s="385"/>
      <c r="BR856" s="385"/>
      <c r="BS856" s="385"/>
      <c r="BT856" s="385"/>
      <c r="BU856" s="385"/>
      <c r="BV856" s="385"/>
      <c r="BW856" s="385"/>
      <c r="BX856" s="385"/>
      <c r="BY856" s="385"/>
      <c r="BZ856" s="385"/>
      <c r="CA856" s="385"/>
    </row>
    <row r="857" spans="1:79" s="6" customFormat="1" ht="15" customHeight="1">
      <c r="A857" s="41" t="s">
        <v>183</v>
      </c>
      <c r="B857" s="402" t="s">
        <v>3260</v>
      </c>
      <c r="C857" s="113" t="s">
        <v>3260</v>
      </c>
      <c r="D857" s="393" t="s">
        <v>78</v>
      </c>
      <c r="E857" s="394" t="s">
        <v>1538</v>
      </c>
      <c r="F857" s="402" t="s">
        <v>664</v>
      </c>
      <c r="G857" s="405" t="s">
        <v>3261</v>
      </c>
      <c r="H857" s="113">
        <v>3679</v>
      </c>
      <c r="I857" s="49" t="s">
        <v>2</v>
      </c>
      <c r="J857" s="48" t="s">
        <v>1030</v>
      </c>
      <c r="K857" s="51">
        <v>40834</v>
      </c>
      <c r="L857" s="115">
        <v>40830</v>
      </c>
      <c r="M857" s="50">
        <v>4</v>
      </c>
      <c r="N857" s="50" t="s">
        <v>2</v>
      </c>
      <c r="O857" s="131">
        <f>5/2</f>
        <v>2.5</v>
      </c>
      <c r="P857" s="117">
        <v>6.05</v>
      </c>
      <c r="Q857" s="131">
        <v>6.48</v>
      </c>
      <c r="R857" s="50">
        <v>12</v>
      </c>
      <c r="S857" s="74">
        <f>5/2</f>
        <v>2.5</v>
      </c>
      <c r="T857" s="50">
        <f>0.1/2</f>
        <v>0.05</v>
      </c>
      <c r="U857" s="131">
        <f>1/2</f>
        <v>0.5</v>
      </c>
      <c r="V857" s="50">
        <v>0.15</v>
      </c>
      <c r="W857" s="74">
        <f>0.04/2</f>
        <v>0.02</v>
      </c>
      <c r="X857" s="50">
        <f>0.02/2</f>
        <v>0.01</v>
      </c>
      <c r="Y857" s="74">
        <f>0.013/2</f>
        <v>6.4999999999999997E-3</v>
      </c>
      <c r="Z857" s="313">
        <v>1</v>
      </c>
      <c r="AA857" s="313">
        <v>1</v>
      </c>
      <c r="AB857" s="114">
        <v>2.8</v>
      </c>
      <c r="AC857" s="50">
        <v>29</v>
      </c>
      <c r="AD857" s="271">
        <v>1</v>
      </c>
      <c r="AE857" s="50"/>
      <c r="AF857" s="49"/>
      <c r="AG857" s="114"/>
      <c r="AH857" s="114"/>
      <c r="AI857" s="114"/>
      <c r="AJ857" s="114"/>
      <c r="AK857" s="114"/>
      <c r="AL857" s="114"/>
      <c r="AM857" s="114"/>
      <c r="AN857" s="114"/>
      <c r="AO857" s="114"/>
      <c r="AP857" s="114"/>
      <c r="AQ857" s="114"/>
      <c r="AR857" s="114"/>
      <c r="AS857" s="50"/>
      <c r="AT857" s="74"/>
      <c r="AU857" s="114"/>
      <c r="AV857" s="114"/>
      <c r="AW857" s="394"/>
      <c r="AX857" s="385"/>
      <c r="AY857" s="385"/>
      <c r="AZ857" s="385"/>
      <c r="BA857" s="385"/>
      <c r="BB857" s="385"/>
      <c r="BC857" s="385"/>
      <c r="BD857" s="385"/>
      <c r="BE857" s="385"/>
      <c r="BF857" s="385"/>
      <c r="BG857" s="385"/>
      <c r="BH857" s="385"/>
      <c r="BI857" s="385"/>
      <c r="BJ857" s="385"/>
      <c r="BK857" s="385"/>
      <c r="BL857" s="385"/>
      <c r="BM857" s="385"/>
      <c r="BN857" s="385"/>
      <c r="BO857" s="385"/>
      <c r="BP857" s="385"/>
      <c r="BQ857" s="385"/>
      <c r="BR857" s="385"/>
      <c r="BS857" s="385"/>
      <c r="BT857" s="385"/>
      <c r="BU857" s="385"/>
      <c r="BV857" s="385"/>
      <c r="BW857" s="385"/>
      <c r="BX857" s="385"/>
      <c r="BY857" s="385"/>
      <c r="BZ857" s="385"/>
      <c r="CA857" s="385"/>
    </row>
    <row r="858" spans="1:79" s="6" customFormat="1" ht="15" customHeight="1">
      <c r="A858" s="41" t="s">
        <v>183</v>
      </c>
      <c r="B858" s="402" t="s">
        <v>3262</v>
      </c>
      <c r="C858" s="113" t="s">
        <v>3263</v>
      </c>
      <c r="D858" s="393" t="s">
        <v>1129</v>
      </c>
      <c r="E858" s="394" t="s">
        <v>398</v>
      </c>
      <c r="F858" s="402"/>
      <c r="G858" s="405" t="s">
        <v>3181</v>
      </c>
      <c r="H858" s="113">
        <v>4563</v>
      </c>
      <c r="I858" s="49" t="s">
        <v>1</v>
      </c>
      <c r="J858" s="48" t="s">
        <v>1376</v>
      </c>
      <c r="K858" s="51">
        <v>40885</v>
      </c>
      <c r="L858" s="115">
        <v>40877</v>
      </c>
      <c r="M858" s="50">
        <v>8</v>
      </c>
      <c r="N858" s="50" t="s">
        <v>2</v>
      </c>
      <c r="O858" s="131">
        <f>2/2</f>
        <v>1</v>
      </c>
      <c r="P858" s="117"/>
      <c r="Q858" s="131">
        <v>6.7</v>
      </c>
      <c r="R858" s="50">
        <v>60</v>
      </c>
      <c r="S858" s="74">
        <v>44</v>
      </c>
      <c r="T858" s="50">
        <v>0.53</v>
      </c>
      <c r="U858" s="131">
        <v>1.4</v>
      </c>
      <c r="V858" s="50">
        <f>0.1/2</f>
        <v>0.05</v>
      </c>
      <c r="W858" s="74">
        <v>2.8000000000000001E-2</v>
      </c>
      <c r="X858" s="50">
        <v>0.17</v>
      </c>
      <c r="Y858" s="74">
        <v>3.2000000000000001E-2</v>
      </c>
      <c r="Z858" s="313">
        <v>1</v>
      </c>
      <c r="AA858" s="313">
        <v>1</v>
      </c>
      <c r="AB858" s="114">
        <v>64</v>
      </c>
      <c r="AC858" s="50">
        <v>342</v>
      </c>
      <c r="AD858" s="271">
        <v>1</v>
      </c>
      <c r="AE858" s="50"/>
      <c r="AF858" s="49"/>
      <c r="AG858" s="114"/>
      <c r="AH858" s="114"/>
      <c r="AI858" s="114"/>
      <c r="AJ858" s="114"/>
      <c r="AK858" s="114"/>
      <c r="AL858" s="114"/>
      <c r="AM858" s="114"/>
      <c r="AN858" s="114"/>
      <c r="AO858" s="114"/>
      <c r="AP858" s="114"/>
      <c r="AQ858" s="114"/>
      <c r="AR858" s="114"/>
      <c r="AS858" s="50"/>
      <c r="AT858" s="74"/>
      <c r="AU858" s="114"/>
      <c r="AV858" s="114"/>
      <c r="AW858" s="394"/>
      <c r="AX858" s="385"/>
      <c r="AY858" s="385"/>
      <c r="AZ858" s="385"/>
      <c r="BA858" s="385"/>
      <c r="BB858" s="385"/>
      <c r="BC858" s="385"/>
      <c r="BD858" s="385"/>
      <c r="BE858" s="385"/>
      <c r="BF858" s="385"/>
      <c r="BG858" s="385"/>
      <c r="BH858" s="385"/>
      <c r="BI858" s="385"/>
      <c r="BJ858" s="385"/>
      <c r="BK858" s="385"/>
      <c r="BL858" s="385"/>
      <c r="BM858" s="385"/>
      <c r="BN858" s="385"/>
      <c r="BO858" s="385"/>
      <c r="BP858" s="385"/>
      <c r="BQ858" s="385"/>
      <c r="BR858" s="385"/>
      <c r="BS858" s="385"/>
      <c r="BT858" s="385"/>
      <c r="BU858" s="385"/>
      <c r="BV858" s="385"/>
      <c r="BW858" s="385"/>
      <c r="BX858" s="385"/>
      <c r="BY858" s="385"/>
      <c r="BZ858" s="385"/>
      <c r="CA858" s="385"/>
    </row>
    <row r="859" spans="1:79" s="6" customFormat="1" ht="15" customHeight="1">
      <c r="A859" s="41" t="s">
        <v>183</v>
      </c>
      <c r="B859" s="402" t="s">
        <v>3235</v>
      </c>
      <c r="C859" s="113" t="s">
        <v>3264</v>
      </c>
      <c r="D859" s="393" t="s">
        <v>1748</v>
      </c>
      <c r="E859" s="394" t="s">
        <v>3265</v>
      </c>
      <c r="F859" s="402"/>
      <c r="G859" s="405" t="s">
        <v>3266</v>
      </c>
      <c r="H859" s="113">
        <v>3273</v>
      </c>
      <c r="I859" s="49"/>
      <c r="J859" s="48" t="s">
        <v>3144</v>
      </c>
      <c r="K859" s="51">
        <v>40898</v>
      </c>
      <c r="L859" s="115">
        <v>40885</v>
      </c>
      <c r="M859" s="50">
        <v>13</v>
      </c>
      <c r="N859" s="50" t="s">
        <v>2</v>
      </c>
      <c r="O859" s="131">
        <f>5/2</f>
        <v>2.5</v>
      </c>
      <c r="P859" s="117">
        <v>5.6</v>
      </c>
      <c r="Q859" s="131">
        <v>7.22</v>
      </c>
      <c r="R859" s="50">
        <v>14</v>
      </c>
      <c r="S859" s="74">
        <f>5/2</f>
        <v>2.5</v>
      </c>
      <c r="T859" s="50">
        <f>0.1/2</f>
        <v>0.05</v>
      </c>
      <c r="U859" s="131">
        <f>1/2</f>
        <v>0.5</v>
      </c>
      <c r="V859" s="50">
        <v>2.5</v>
      </c>
      <c r="W859" s="74">
        <f>0.04/2</f>
        <v>0.02</v>
      </c>
      <c r="X859" s="50">
        <v>5.2999999999999999E-2</v>
      </c>
      <c r="Y859" s="74">
        <f>0.013/2</f>
        <v>6.4999999999999997E-3</v>
      </c>
      <c r="Z859" s="313">
        <v>1</v>
      </c>
      <c r="AA859" s="313">
        <v>1</v>
      </c>
      <c r="AB859" s="114">
        <v>98</v>
      </c>
      <c r="AC859" s="50">
        <v>357</v>
      </c>
      <c r="AD859" s="271">
        <v>0.95</v>
      </c>
      <c r="AE859" s="50"/>
      <c r="AF859" s="49"/>
      <c r="AG859" s="114"/>
      <c r="AH859" s="114"/>
      <c r="AI859" s="114"/>
      <c r="AJ859" s="114"/>
      <c r="AK859" s="114"/>
      <c r="AL859" s="114"/>
      <c r="AM859" s="114"/>
      <c r="AN859" s="114"/>
      <c r="AO859" s="114"/>
      <c r="AP859" s="114"/>
      <c r="AQ859" s="114"/>
      <c r="AR859" s="114"/>
      <c r="AS859" s="50"/>
      <c r="AT859" s="74"/>
      <c r="AU859" s="114"/>
      <c r="AV859" s="114"/>
      <c r="AW859" s="394"/>
      <c r="AX859" s="385"/>
      <c r="AY859" s="385"/>
      <c r="AZ859" s="385"/>
      <c r="BA859" s="385"/>
      <c r="BB859" s="385"/>
      <c r="BC859" s="385"/>
      <c r="BD859" s="385"/>
      <c r="BE859" s="385"/>
      <c r="BF859" s="385"/>
      <c r="BG859" s="385"/>
      <c r="BH859" s="385"/>
      <c r="BI859" s="385"/>
      <c r="BJ859" s="385"/>
      <c r="BK859" s="385"/>
      <c r="BL859" s="385"/>
      <c r="BM859" s="385"/>
      <c r="BN859" s="385"/>
      <c r="BO859" s="385"/>
      <c r="BP859" s="385"/>
      <c r="BQ859" s="385"/>
      <c r="BR859" s="385"/>
      <c r="BS859" s="385"/>
      <c r="BT859" s="385"/>
      <c r="BU859" s="385"/>
      <c r="BV859" s="385"/>
      <c r="BW859" s="385"/>
      <c r="BX859" s="385"/>
      <c r="BY859" s="385"/>
      <c r="BZ859" s="385"/>
      <c r="CA859" s="385"/>
    </row>
    <row r="860" spans="1:79" s="6" customFormat="1" ht="15" customHeight="1">
      <c r="A860" s="41" t="s">
        <v>183</v>
      </c>
      <c r="B860" s="402" t="s">
        <v>3283</v>
      </c>
      <c r="C860" s="113" t="s">
        <v>1833</v>
      </c>
      <c r="D860" s="393" t="s">
        <v>111</v>
      </c>
      <c r="E860" s="394" t="s">
        <v>382</v>
      </c>
      <c r="F860" s="402" t="s">
        <v>1915</v>
      </c>
      <c r="G860" s="405" t="s">
        <v>1801</v>
      </c>
      <c r="H860" s="113">
        <v>3272</v>
      </c>
      <c r="I860" s="49"/>
      <c r="J860" s="48" t="s">
        <v>3251</v>
      </c>
      <c r="K860" s="51">
        <v>40934</v>
      </c>
      <c r="L860" s="115"/>
      <c r="M860" s="50"/>
      <c r="N860" s="50" t="s">
        <v>2</v>
      </c>
      <c r="O860" s="131">
        <f>2.5/2</f>
        <v>1.25</v>
      </c>
      <c r="P860" s="117"/>
      <c r="Q860" s="131">
        <v>5.71</v>
      </c>
      <c r="R860" s="50">
        <v>11.3</v>
      </c>
      <c r="S860" s="74">
        <f>45/2</f>
        <v>22.5</v>
      </c>
      <c r="T860" s="50">
        <f>0.2/2</f>
        <v>0.1</v>
      </c>
      <c r="U860" s="131">
        <v>0.63</v>
      </c>
      <c r="V860" s="50">
        <v>0.1</v>
      </c>
      <c r="W860" s="74">
        <f>0.03/2</f>
        <v>1.4999999999999999E-2</v>
      </c>
      <c r="X860" s="50">
        <v>4.8000000000000001E-2</v>
      </c>
      <c r="Y860" s="74">
        <f>0.038/2</f>
        <v>1.9E-2</v>
      </c>
      <c r="Z860" s="313">
        <v>1</v>
      </c>
      <c r="AA860" s="313">
        <v>1</v>
      </c>
      <c r="AB860" s="114">
        <v>1.32</v>
      </c>
      <c r="AC860" s="50">
        <v>25</v>
      </c>
      <c r="AD860" s="271">
        <v>1</v>
      </c>
      <c r="AE860" s="50"/>
      <c r="AF860" s="49"/>
      <c r="AG860" s="114"/>
      <c r="AH860" s="114"/>
      <c r="AI860" s="114"/>
      <c r="AJ860" s="114"/>
      <c r="AK860" s="114"/>
      <c r="AL860" s="114"/>
      <c r="AM860" s="114"/>
      <c r="AN860" s="114"/>
      <c r="AO860" s="114"/>
      <c r="AP860" s="114"/>
      <c r="AQ860" s="114"/>
      <c r="AR860" s="114"/>
      <c r="AS860" s="50"/>
      <c r="AT860" s="74"/>
      <c r="AU860" s="114"/>
      <c r="AV860" s="114"/>
      <c r="AW860" s="394"/>
      <c r="AX860" s="385"/>
      <c r="AY860" s="385"/>
      <c r="AZ860" s="385"/>
      <c r="BA860" s="385"/>
      <c r="BB860" s="385"/>
      <c r="BC860" s="385"/>
      <c r="BD860" s="385"/>
      <c r="BE860" s="385"/>
      <c r="BF860" s="385"/>
      <c r="BG860" s="385"/>
      <c r="BH860" s="385"/>
      <c r="BI860" s="385"/>
      <c r="BJ860" s="385"/>
      <c r="BK860" s="385"/>
      <c r="BL860" s="385"/>
      <c r="BM860" s="385"/>
      <c r="BN860" s="385"/>
      <c r="BO860" s="385"/>
      <c r="BP860" s="385"/>
      <c r="BQ860" s="385"/>
      <c r="BR860" s="385"/>
      <c r="BS860" s="385"/>
      <c r="BT860" s="385"/>
      <c r="BU860" s="385"/>
      <c r="BV860" s="385"/>
      <c r="BW860" s="385"/>
      <c r="BX860" s="385"/>
      <c r="BY860" s="385"/>
      <c r="BZ860" s="385"/>
      <c r="CA860" s="385"/>
    </row>
    <row r="861" spans="1:79" s="6" customFormat="1" ht="15" customHeight="1">
      <c r="A861" s="41" t="s">
        <v>183</v>
      </c>
      <c r="B861" s="402" t="s">
        <v>3283</v>
      </c>
      <c r="C861" s="113" t="s">
        <v>3284</v>
      </c>
      <c r="D861" s="393" t="s">
        <v>111</v>
      </c>
      <c r="E861" s="394" t="s">
        <v>382</v>
      </c>
      <c r="F861" s="402" t="s">
        <v>1915</v>
      </c>
      <c r="G861" s="405" t="s">
        <v>1809</v>
      </c>
      <c r="H861" s="113">
        <v>3272</v>
      </c>
      <c r="I861" s="49"/>
      <c r="J861" s="48" t="s">
        <v>3251</v>
      </c>
      <c r="K861" s="51">
        <v>40934</v>
      </c>
      <c r="L861" s="115"/>
      <c r="M861" s="50"/>
      <c r="N861" s="50" t="s">
        <v>2</v>
      </c>
      <c r="O861" s="131">
        <f>2.5/2</f>
        <v>1.25</v>
      </c>
      <c r="P861" s="117"/>
      <c r="Q861" s="131">
        <v>6.81</v>
      </c>
      <c r="R861" s="50">
        <v>11.3</v>
      </c>
      <c r="S861" s="74">
        <v>22</v>
      </c>
      <c r="T861" s="50">
        <f>0.2/2</f>
        <v>0.1</v>
      </c>
      <c r="U861" s="131">
        <v>0.74</v>
      </c>
      <c r="V861" s="50">
        <v>1.71</v>
      </c>
      <c r="W861" s="74">
        <v>1.2E-2</v>
      </c>
      <c r="X861" s="50">
        <v>2.7E-2</v>
      </c>
      <c r="Y861" s="74">
        <f>0.038/2</f>
        <v>1.9E-2</v>
      </c>
      <c r="Z861" s="313">
        <v>1</v>
      </c>
      <c r="AA861" s="313">
        <v>1</v>
      </c>
      <c r="AB861" s="114">
        <v>109</v>
      </c>
      <c r="AC861" s="50">
        <v>339</v>
      </c>
      <c r="AD861" s="271">
        <v>1</v>
      </c>
      <c r="AE861" s="50"/>
      <c r="AF861" s="49"/>
      <c r="AG861" s="114"/>
      <c r="AH861" s="114"/>
      <c r="AI861" s="114"/>
      <c r="AJ861" s="114"/>
      <c r="AK861" s="114"/>
      <c r="AL861" s="114"/>
      <c r="AM861" s="114"/>
      <c r="AN861" s="114"/>
      <c r="AO861" s="114"/>
      <c r="AP861" s="114"/>
      <c r="AQ861" s="114"/>
      <c r="AR861" s="114"/>
      <c r="AS861" s="50"/>
      <c r="AT861" s="74"/>
      <c r="AU861" s="114"/>
      <c r="AV861" s="114"/>
      <c r="AW861" s="394"/>
      <c r="AX861" s="385"/>
      <c r="AY861" s="385"/>
      <c r="AZ861" s="385"/>
      <c r="BA861" s="385"/>
      <c r="BB861" s="385"/>
      <c r="BC861" s="385"/>
      <c r="BD861" s="385"/>
      <c r="BE861" s="385"/>
      <c r="BF861" s="385"/>
      <c r="BG861" s="385"/>
      <c r="BH861" s="385"/>
      <c r="BI861" s="385"/>
      <c r="BJ861" s="385"/>
      <c r="BK861" s="385"/>
      <c r="BL861" s="385"/>
      <c r="BM861" s="385"/>
      <c r="BN861" s="385"/>
      <c r="BO861" s="385"/>
      <c r="BP861" s="385"/>
      <c r="BQ861" s="385"/>
      <c r="BR861" s="385"/>
      <c r="BS861" s="385"/>
      <c r="BT861" s="385"/>
      <c r="BU861" s="385"/>
      <c r="BV861" s="385"/>
      <c r="BW861" s="385"/>
      <c r="BX861" s="385"/>
      <c r="BY861" s="385"/>
      <c r="BZ861" s="385"/>
      <c r="CA861" s="385"/>
    </row>
    <row r="862" spans="1:79" s="6" customFormat="1" ht="15" customHeight="1">
      <c r="A862" s="41" t="s">
        <v>183</v>
      </c>
      <c r="B862" s="402" t="s">
        <v>3267</v>
      </c>
      <c r="C862" s="113" t="s">
        <v>3267</v>
      </c>
      <c r="D862" s="393" t="s">
        <v>434</v>
      </c>
      <c r="E862" s="394" t="s">
        <v>304</v>
      </c>
      <c r="F862" s="402"/>
      <c r="G862" s="405" t="s">
        <v>3268</v>
      </c>
      <c r="H862" s="113">
        <v>3823</v>
      </c>
      <c r="I862" s="49" t="s">
        <v>1</v>
      </c>
      <c r="J862" s="48" t="s">
        <v>3269</v>
      </c>
      <c r="K862" s="51">
        <v>40863</v>
      </c>
      <c r="L862" s="115">
        <v>40857</v>
      </c>
      <c r="M862" s="50">
        <v>6</v>
      </c>
      <c r="N862" s="50" t="s">
        <v>2</v>
      </c>
      <c r="O862" s="131">
        <f>1/2</f>
        <v>0.5</v>
      </c>
      <c r="P862" s="117">
        <v>6.12</v>
      </c>
      <c r="Q862" s="131">
        <v>6.53</v>
      </c>
      <c r="R862" s="50">
        <v>15</v>
      </c>
      <c r="S862" s="74">
        <v>7</v>
      </c>
      <c r="T862" s="50">
        <v>0.16</v>
      </c>
      <c r="U862" s="131">
        <v>0.84</v>
      </c>
      <c r="V862" s="50">
        <v>0.85</v>
      </c>
      <c r="W862" s="74">
        <v>7.0000000000000001E-3</v>
      </c>
      <c r="X862" s="50">
        <v>2.4E-2</v>
      </c>
      <c r="Y862" s="74">
        <f>0.002/2</f>
        <v>1E-3</v>
      </c>
      <c r="Z862" s="313">
        <v>1</v>
      </c>
      <c r="AA862" s="313">
        <v>1</v>
      </c>
      <c r="AB862" s="114">
        <v>155.30000000000001</v>
      </c>
      <c r="AC862" s="50">
        <v>1070</v>
      </c>
      <c r="AD862" s="271">
        <v>1</v>
      </c>
      <c r="AE862" s="50"/>
      <c r="AF862" s="49"/>
      <c r="AG862" s="114"/>
      <c r="AH862" s="114"/>
      <c r="AI862" s="114">
        <v>232</v>
      </c>
      <c r="AJ862" s="114"/>
      <c r="AK862" s="114"/>
      <c r="AL862" s="114"/>
      <c r="AM862" s="114"/>
      <c r="AN862" s="114"/>
      <c r="AO862" s="114"/>
      <c r="AP862" s="114"/>
      <c r="AQ862" s="114"/>
      <c r="AR862" s="114"/>
      <c r="AS862" s="50"/>
      <c r="AT862" s="74"/>
      <c r="AU862" s="114"/>
      <c r="AV862" s="114"/>
      <c r="AW862" s="394"/>
      <c r="AX862" s="385"/>
      <c r="AY862" s="385"/>
      <c r="AZ862" s="385"/>
      <c r="BA862" s="385"/>
      <c r="BB862" s="385"/>
      <c r="BC862" s="385"/>
      <c r="BD862" s="385"/>
      <c r="BE862" s="385"/>
      <c r="BF862" s="385"/>
      <c r="BG862" s="385"/>
      <c r="BH862" s="385"/>
      <c r="BI862" s="385"/>
      <c r="BJ862" s="385"/>
      <c r="BK862" s="385"/>
      <c r="BL862" s="385"/>
      <c r="BM862" s="385"/>
      <c r="BN862" s="385"/>
      <c r="BO862" s="385"/>
      <c r="BP862" s="385"/>
      <c r="BQ862" s="385"/>
      <c r="BR862" s="385"/>
      <c r="BS862" s="385"/>
      <c r="BT862" s="385"/>
      <c r="BU862" s="385"/>
      <c r="BV862" s="385"/>
      <c r="BW862" s="385"/>
      <c r="BX862" s="385"/>
      <c r="BY862" s="385"/>
      <c r="BZ862" s="385"/>
      <c r="CA862" s="385"/>
    </row>
    <row r="863" spans="1:79" s="6" customFormat="1" ht="15" customHeight="1">
      <c r="A863" s="41" t="s">
        <v>183</v>
      </c>
      <c r="B863" s="402" t="s">
        <v>3198</v>
      </c>
      <c r="C863" s="113" t="s">
        <v>3270</v>
      </c>
      <c r="D863" s="393" t="s">
        <v>1830</v>
      </c>
      <c r="E863" s="394" t="s">
        <v>3271</v>
      </c>
      <c r="F863" s="402"/>
      <c r="G863" s="405" t="s">
        <v>3272</v>
      </c>
      <c r="H863" s="113">
        <v>4151</v>
      </c>
      <c r="I863" s="49" t="s">
        <v>2</v>
      </c>
      <c r="J863" s="48" t="s">
        <v>3144</v>
      </c>
      <c r="K863" s="51">
        <v>40920</v>
      </c>
      <c r="L863" s="115">
        <v>40909</v>
      </c>
      <c r="M863" s="50">
        <v>11</v>
      </c>
      <c r="N863" s="50" t="s">
        <v>2</v>
      </c>
      <c r="O863" s="131">
        <v>24.4</v>
      </c>
      <c r="P863" s="117">
        <v>8.6999999999999993</v>
      </c>
      <c r="Q863" s="131">
        <v>8.8000000000000007</v>
      </c>
      <c r="R863" s="50">
        <v>143</v>
      </c>
      <c r="S863" s="74">
        <v>181</v>
      </c>
      <c r="T863" s="50">
        <v>0.23</v>
      </c>
      <c r="U863" s="131">
        <v>1.44</v>
      </c>
      <c r="V863" s="50">
        <v>0.11</v>
      </c>
      <c r="W863" s="74">
        <v>4.2999999999999997E-2</v>
      </c>
      <c r="X863" s="50">
        <v>0.11700000000000001</v>
      </c>
      <c r="Y863" s="74">
        <f>0.03/2</f>
        <v>1.4999999999999999E-2</v>
      </c>
      <c r="Z863" s="313">
        <v>1</v>
      </c>
      <c r="AA863" s="313">
        <v>1</v>
      </c>
      <c r="AB863" s="114">
        <v>58</v>
      </c>
      <c r="AC863" s="50">
        <v>88</v>
      </c>
      <c r="AD863" s="271">
        <v>1</v>
      </c>
      <c r="AE863" s="50"/>
      <c r="AF863" s="49"/>
      <c r="AG863" s="114"/>
      <c r="AH863" s="114"/>
      <c r="AI863" s="114"/>
      <c r="AJ863" s="114"/>
      <c r="AK863" s="114"/>
      <c r="AL863" s="114"/>
      <c r="AM863" s="114"/>
      <c r="AN863" s="114"/>
      <c r="AO863" s="114"/>
      <c r="AP863" s="114"/>
      <c r="AQ863" s="114"/>
      <c r="AR863" s="114"/>
      <c r="AS863" s="50"/>
      <c r="AT863" s="74"/>
      <c r="AU863" s="114"/>
      <c r="AV863" s="114"/>
      <c r="AW863" s="394"/>
      <c r="AX863" s="385"/>
      <c r="AY863" s="385"/>
      <c r="AZ863" s="385"/>
      <c r="BA863" s="385"/>
      <c r="BB863" s="385"/>
      <c r="BC863" s="385"/>
      <c r="BD863" s="385"/>
      <c r="BE863" s="385"/>
      <c r="BF863" s="385"/>
      <c r="BG863" s="385"/>
      <c r="BH863" s="385"/>
      <c r="BI863" s="385"/>
      <c r="BJ863" s="385"/>
      <c r="BK863" s="385"/>
      <c r="BL863" s="385"/>
      <c r="BM863" s="385"/>
      <c r="BN863" s="385"/>
      <c r="BO863" s="385"/>
      <c r="BP863" s="385"/>
      <c r="BQ863" s="385"/>
      <c r="BR863" s="385"/>
      <c r="BS863" s="385"/>
      <c r="BT863" s="385"/>
      <c r="BU863" s="385"/>
      <c r="BV863" s="385"/>
      <c r="BW863" s="385"/>
      <c r="BX863" s="385"/>
      <c r="BY863" s="385"/>
      <c r="BZ863" s="385"/>
      <c r="CA863" s="385"/>
    </row>
    <row r="864" spans="1:79" s="6" customFormat="1" ht="15" customHeight="1">
      <c r="A864" s="41" t="s">
        <v>183</v>
      </c>
      <c r="B864" s="402" t="s">
        <v>3273</v>
      </c>
      <c r="C864" s="113" t="s">
        <v>3274</v>
      </c>
      <c r="D864" s="393" t="s">
        <v>684</v>
      </c>
      <c r="E864" s="394" t="s">
        <v>112</v>
      </c>
      <c r="F864" s="402"/>
      <c r="G864" s="405" t="s">
        <v>3275</v>
      </c>
      <c r="H864" s="113">
        <v>3841</v>
      </c>
      <c r="I864" s="49" t="s">
        <v>2</v>
      </c>
      <c r="J864" s="48" t="s">
        <v>3276</v>
      </c>
      <c r="K864" s="51">
        <v>40883</v>
      </c>
      <c r="L864" s="115">
        <v>40877</v>
      </c>
      <c r="M864" s="50">
        <v>6</v>
      </c>
      <c r="N864" s="50" t="s">
        <v>2</v>
      </c>
      <c r="O864" s="131">
        <v>10.3</v>
      </c>
      <c r="P864" s="117">
        <v>4.9000000000000004</v>
      </c>
      <c r="Q864" s="131">
        <v>6.7</v>
      </c>
      <c r="R864" s="50">
        <v>15</v>
      </c>
      <c r="S864" s="74">
        <v>36</v>
      </c>
      <c r="T864" s="50">
        <v>7.0000000000000007E-2</v>
      </c>
      <c r="U864" s="131">
        <v>1.39</v>
      </c>
      <c r="V864" s="50">
        <v>0.7</v>
      </c>
      <c r="W864" s="74">
        <v>2.5999999999999999E-2</v>
      </c>
      <c r="X864" s="50">
        <v>0.32500000000000001</v>
      </c>
      <c r="Y864" s="74">
        <f>0.03/2</f>
        <v>1.4999999999999999E-2</v>
      </c>
      <c r="Z864" s="313">
        <v>0.70699999999999996</v>
      </c>
      <c r="AA864" s="313">
        <v>0.68300000000000005</v>
      </c>
      <c r="AB864" s="114">
        <v>6</v>
      </c>
      <c r="AC864" s="50">
        <v>6</v>
      </c>
      <c r="AD864" s="271">
        <v>0</v>
      </c>
      <c r="AE864" s="50"/>
      <c r="AF864" s="49"/>
      <c r="AG864" s="114"/>
      <c r="AH864" s="114"/>
      <c r="AI864" s="114"/>
      <c r="AJ864" s="114"/>
      <c r="AK864" s="114"/>
      <c r="AL864" s="114"/>
      <c r="AM864" s="114"/>
      <c r="AN864" s="114"/>
      <c r="AO864" s="114"/>
      <c r="AP864" s="114"/>
      <c r="AQ864" s="114"/>
      <c r="AR864" s="114"/>
      <c r="AS864" s="50"/>
      <c r="AT864" s="74"/>
      <c r="AU864" s="114"/>
      <c r="AV864" s="114"/>
      <c r="AW864" s="394"/>
      <c r="AX864" s="385"/>
      <c r="AY864" s="385"/>
      <c r="AZ864" s="385"/>
      <c r="BA864" s="385"/>
      <c r="BB864" s="385"/>
      <c r="BC864" s="385"/>
      <c r="BD864" s="385"/>
      <c r="BE864" s="385"/>
      <c r="BF864" s="385"/>
      <c r="BG864" s="385"/>
      <c r="BH864" s="385"/>
      <c r="BI864" s="385"/>
      <c r="BJ864" s="385"/>
      <c r="BK864" s="385"/>
      <c r="BL864" s="385"/>
      <c r="BM864" s="385"/>
      <c r="BN864" s="385"/>
      <c r="BO864" s="385"/>
      <c r="BP864" s="385"/>
      <c r="BQ864" s="385"/>
      <c r="BR864" s="385"/>
      <c r="BS864" s="385"/>
      <c r="BT864" s="385"/>
      <c r="BU864" s="385"/>
      <c r="BV864" s="385"/>
      <c r="BW864" s="385"/>
      <c r="BX864" s="385"/>
      <c r="BY864" s="385"/>
      <c r="BZ864" s="385"/>
      <c r="CA864" s="385"/>
    </row>
    <row r="865" spans="1:79" s="6" customFormat="1" ht="15" customHeight="1">
      <c r="A865" s="41" t="s">
        <v>183</v>
      </c>
      <c r="B865" s="402" t="s">
        <v>3273</v>
      </c>
      <c r="C865" s="113" t="s">
        <v>3274</v>
      </c>
      <c r="D865" s="393" t="s">
        <v>684</v>
      </c>
      <c r="E865" s="394" t="s">
        <v>112</v>
      </c>
      <c r="F865" s="402"/>
      <c r="G865" s="405" t="s">
        <v>3275</v>
      </c>
      <c r="H865" s="113">
        <v>3841</v>
      </c>
      <c r="I865" s="49" t="s">
        <v>2</v>
      </c>
      <c r="J865" s="48" t="s">
        <v>3277</v>
      </c>
      <c r="K865" s="51">
        <v>40883</v>
      </c>
      <c r="L865" s="115">
        <v>40877</v>
      </c>
      <c r="M865" s="50">
        <v>6</v>
      </c>
      <c r="N865" s="50" t="s">
        <v>2</v>
      </c>
      <c r="O865" s="131">
        <v>8.6</v>
      </c>
      <c r="P865" s="117">
        <v>4.9000000000000004</v>
      </c>
      <c r="Q865" s="131">
        <v>7.3</v>
      </c>
      <c r="R865" s="50">
        <f>10/2</f>
        <v>5</v>
      </c>
      <c r="S865" s="74">
        <f>1/2</f>
        <v>0.5</v>
      </c>
      <c r="T865" s="50">
        <f>0.05/2</f>
        <v>2.5000000000000001E-2</v>
      </c>
      <c r="U865" s="131">
        <v>0.34</v>
      </c>
      <c r="V865" s="50">
        <v>3</v>
      </c>
      <c r="W865" s="74">
        <f>0.01/2</f>
        <v>5.0000000000000001E-3</v>
      </c>
      <c r="X865" s="50">
        <f>0.03/2</f>
        <v>1.4999999999999999E-2</v>
      </c>
      <c r="Y865" s="74">
        <f>0.03/2</f>
        <v>1.4999999999999999E-2</v>
      </c>
      <c r="Z865" s="313">
        <v>1</v>
      </c>
      <c r="AA865" s="313">
        <v>1</v>
      </c>
      <c r="AB865" s="114">
        <v>138</v>
      </c>
      <c r="AC865" s="50">
        <v>715</v>
      </c>
      <c r="AD865" s="271">
        <v>0.95</v>
      </c>
      <c r="AE865" s="50"/>
      <c r="AF865" s="49"/>
      <c r="AG865" s="114"/>
      <c r="AH865" s="114"/>
      <c r="AI865" s="114"/>
      <c r="AJ865" s="114"/>
      <c r="AK865" s="114"/>
      <c r="AL865" s="114"/>
      <c r="AM865" s="114"/>
      <c r="AN865" s="114"/>
      <c r="AO865" s="114"/>
      <c r="AP865" s="114"/>
      <c r="AQ865" s="114"/>
      <c r="AR865" s="114"/>
      <c r="AS865" s="50"/>
      <c r="AT865" s="74"/>
      <c r="AU865" s="114"/>
      <c r="AV865" s="114"/>
      <c r="AW865" s="394"/>
      <c r="AX865" s="385"/>
      <c r="AY865" s="385"/>
      <c r="AZ865" s="385"/>
      <c r="BA865" s="385"/>
      <c r="BB865" s="385"/>
      <c r="BC865" s="385"/>
      <c r="BD865" s="385"/>
      <c r="BE865" s="385"/>
      <c r="BF865" s="385"/>
      <c r="BG865" s="385"/>
      <c r="BH865" s="385"/>
      <c r="BI865" s="385"/>
      <c r="BJ865" s="385"/>
      <c r="BK865" s="385"/>
      <c r="BL865" s="385"/>
      <c r="BM865" s="385"/>
      <c r="BN865" s="385"/>
      <c r="BO865" s="385"/>
      <c r="BP865" s="385"/>
      <c r="BQ865" s="385"/>
      <c r="BR865" s="385"/>
      <c r="BS865" s="385"/>
      <c r="BT865" s="385"/>
      <c r="BU865" s="385"/>
      <c r="BV865" s="385"/>
      <c r="BW865" s="385"/>
      <c r="BX865" s="385"/>
      <c r="BY865" s="385"/>
      <c r="BZ865" s="385"/>
      <c r="CA865" s="385"/>
    </row>
    <row r="866" spans="1:79" s="6" customFormat="1" ht="15" customHeight="1">
      <c r="A866" s="41" t="s">
        <v>183</v>
      </c>
      <c r="B866" s="402" t="s">
        <v>3273</v>
      </c>
      <c r="C866" s="113" t="s">
        <v>3274</v>
      </c>
      <c r="D866" s="393" t="s">
        <v>684</v>
      </c>
      <c r="E866" s="394" t="s">
        <v>112</v>
      </c>
      <c r="F866" s="402"/>
      <c r="G866" s="405" t="s">
        <v>3275</v>
      </c>
      <c r="H866" s="113">
        <v>3841</v>
      </c>
      <c r="I866" s="49" t="s">
        <v>2</v>
      </c>
      <c r="J866" s="48" t="s">
        <v>3278</v>
      </c>
      <c r="K866" s="51">
        <v>40883</v>
      </c>
      <c r="L866" s="115">
        <v>40877</v>
      </c>
      <c r="M866" s="50">
        <v>6</v>
      </c>
      <c r="N866" s="50" t="s">
        <v>2</v>
      </c>
      <c r="O866" s="131">
        <v>8.8000000000000007</v>
      </c>
      <c r="P866" s="117">
        <v>4.9000000000000004</v>
      </c>
      <c r="Q866" s="131">
        <v>6.8</v>
      </c>
      <c r="R866" s="50">
        <f>10/2</f>
        <v>5</v>
      </c>
      <c r="S866" s="74">
        <v>8</v>
      </c>
      <c r="T866" s="50">
        <f>0.05/2</f>
        <v>2.5000000000000001E-2</v>
      </c>
      <c r="U866" s="131">
        <v>1.1100000000000001</v>
      </c>
      <c r="V866" s="50">
        <v>1</v>
      </c>
      <c r="W866" s="74">
        <f>0.01/2</f>
        <v>5.0000000000000001E-3</v>
      </c>
      <c r="X866" s="50">
        <v>0.09</v>
      </c>
      <c r="Y866" s="74">
        <f>0.03/2</f>
        <v>1.4999999999999999E-2</v>
      </c>
      <c r="Z866" s="313">
        <v>1</v>
      </c>
      <c r="AA866" s="313">
        <v>1</v>
      </c>
      <c r="AB866" s="114">
        <v>73</v>
      </c>
      <c r="AC866" s="50">
        <v>478</v>
      </c>
      <c r="AD866" s="271">
        <v>0.85</v>
      </c>
      <c r="AE866" s="50"/>
      <c r="AF866" s="49"/>
      <c r="AG866" s="114"/>
      <c r="AH866" s="114"/>
      <c r="AI866" s="114"/>
      <c r="AJ866" s="114"/>
      <c r="AK866" s="114"/>
      <c r="AL866" s="114"/>
      <c r="AM866" s="114"/>
      <c r="AN866" s="114"/>
      <c r="AO866" s="114"/>
      <c r="AP866" s="114"/>
      <c r="AQ866" s="114"/>
      <c r="AR866" s="114"/>
      <c r="AS866" s="50"/>
      <c r="AT866" s="74"/>
      <c r="AU866" s="114"/>
      <c r="AV866" s="114"/>
      <c r="AW866" s="394"/>
      <c r="AX866" s="385"/>
      <c r="AY866" s="385"/>
      <c r="AZ866" s="385"/>
      <c r="BA866" s="385"/>
      <c r="BB866" s="385"/>
      <c r="BC866" s="385"/>
      <c r="BD866" s="385"/>
      <c r="BE866" s="385"/>
      <c r="BF866" s="385"/>
      <c r="BG866" s="385"/>
      <c r="BH866" s="385"/>
      <c r="BI866" s="385"/>
      <c r="BJ866" s="385"/>
      <c r="BK866" s="385"/>
      <c r="BL866" s="385"/>
      <c r="BM866" s="385"/>
      <c r="BN866" s="385"/>
      <c r="BO866" s="385"/>
      <c r="BP866" s="385"/>
      <c r="BQ866" s="385"/>
      <c r="BR866" s="385"/>
      <c r="BS866" s="385"/>
      <c r="BT866" s="385"/>
      <c r="BU866" s="385"/>
      <c r="BV866" s="385"/>
      <c r="BW866" s="385"/>
      <c r="BX866" s="385"/>
      <c r="BY866" s="385"/>
      <c r="BZ866" s="385"/>
      <c r="CA866" s="385"/>
    </row>
    <row r="867" spans="1:79" s="6" customFormat="1" ht="15" customHeight="1">
      <c r="A867" s="41" t="s">
        <v>183</v>
      </c>
      <c r="B867" s="402" t="s">
        <v>3287</v>
      </c>
      <c r="C867" s="113"/>
      <c r="D867" s="393" t="s">
        <v>462</v>
      </c>
      <c r="E867" s="394" t="s">
        <v>3288</v>
      </c>
      <c r="F867" s="402"/>
      <c r="G867" s="405" t="s">
        <v>3289</v>
      </c>
      <c r="H867" s="74">
        <v>3471</v>
      </c>
      <c r="I867" s="50" t="s">
        <v>2</v>
      </c>
      <c r="J867" s="339" t="s">
        <v>255</v>
      </c>
      <c r="K867" s="51">
        <v>41330</v>
      </c>
      <c r="L867" s="115">
        <v>41324</v>
      </c>
      <c r="M867" s="50">
        <f>K867-L867</f>
        <v>6</v>
      </c>
      <c r="N867" s="50" t="s">
        <v>2</v>
      </c>
      <c r="O867" s="74">
        <f>1.5/2</f>
        <v>0.75</v>
      </c>
      <c r="P867" s="50">
        <v>6.9</v>
      </c>
      <c r="Q867" s="74">
        <v>6.8</v>
      </c>
      <c r="R867" s="50">
        <f>15/2</f>
        <v>7.5</v>
      </c>
      <c r="S867" s="74">
        <f>5/2</f>
        <v>2.5</v>
      </c>
      <c r="T867" s="50">
        <v>0.1</v>
      </c>
      <c r="U867" s="131">
        <f>1/2</f>
        <v>0.5</v>
      </c>
      <c r="V867" s="50">
        <v>2</v>
      </c>
      <c r="W867" s="74">
        <f>0.005/2</f>
        <v>2.5000000000000001E-3</v>
      </c>
      <c r="X867" s="50">
        <f>0.001/2</f>
        <v>5.0000000000000001E-4</v>
      </c>
      <c r="Y867" s="74">
        <f>0.005/2</f>
        <v>2.5000000000000001E-3</v>
      </c>
      <c r="Z867" s="271">
        <v>1</v>
      </c>
      <c r="AA867" s="271">
        <v>1</v>
      </c>
      <c r="AB867" s="114">
        <v>80</v>
      </c>
      <c r="AC867" s="50">
        <v>465</v>
      </c>
      <c r="AD867" s="271">
        <v>1</v>
      </c>
      <c r="AE867" s="50"/>
      <c r="AF867" s="49"/>
      <c r="AG867" s="114"/>
      <c r="AH867" s="114"/>
      <c r="AI867" s="114"/>
      <c r="AJ867" s="114"/>
      <c r="AK867" s="114"/>
      <c r="AL867" s="114"/>
      <c r="AM867" s="114"/>
      <c r="AN867" s="114"/>
      <c r="AO867" s="114"/>
      <c r="AP867" s="114"/>
      <c r="AQ867" s="114"/>
      <c r="AR867" s="114"/>
      <c r="AS867" s="50"/>
      <c r="AT867" s="74"/>
      <c r="AU867" s="114"/>
      <c r="AV867" s="114"/>
      <c r="AW867" s="394"/>
      <c r="AX867" s="385"/>
      <c r="AY867" s="385"/>
      <c r="AZ867" s="385"/>
      <c r="BA867" s="385"/>
      <c r="BB867" s="385"/>
      <c r="BC867" s="385"/>
      <c r="BD867" s="385"/>
      <c r="BE867" s="385"/>
      <c r="BF867" s="385"/>
      <c r="BG867" s="385"/>
      <c r="BH867" s="385"/>
      <c r="BI867" s="385"/>
      <c r="BJ867" s="385"/>
      <c r="BK867" s="385"/>
      <c r="BL867" s="385"/>
      <c r="BM867" s="385"/>
      <c r="BN867" s="385"/>
      <c r="BO867" s="385"/>
      <c r="BP867" s="385"/>
      <c r="BQ867" s="385"/>
      <c r="BR867" s="385"/>
      <c r="BS867" s="385"/>
      <c r="BT867" s="385"/>
      <c r="BU867" s="385"/>
      <c r="BV867" s="385"/>
      <c r="BW867" s="385"/>
      <c r="BX867" s="385"/>
      <c r="BY867" s="385"/>
      <c r="BZ867" s="385"/>
      <c r="CA867" s="385"/>
    </row>
    <row r="868" spans="1:79" s="6" customFormat="1" ht="15" customHeight="1">
      <c r="A868" s="41" t="s">
        <v>183</v>
      </c>
      <c r="B868" s="402" t="s">
        <v>3287</v>
      </c>
      <c r="C868" s="113"/>
      <c r="D868" s="393" t="s">
        <v>462</v>
      </c>
      <c r="E868" s="394" t="s">
        <v>3290</v>
      </c>
      <c r="F868" s="402"/>
      <c r="G868" s="405" t="s">
        <v>3291</v>
      </c>
      <c r="H868" s="74">
        <v>3471</v>
      </c>
      <c r="I868" s="50" t="s">
        <v>2</v>
      </c>
      <c r="J868" s="339" t="s">
        <v>3187</v>
      </c>
      <c r="K868" s="51">
        <v>41330</v>
      </c>
      <c r="L868" s="115">
        <v>41324</v>
      </c>
      <c r="M868" s="50">
        <f>K868-L868</f>
        <v>6</v>
      </c>
      <c r="N868" s="50" t="s">
        <v>2</v>
      </c>
      <c r="O868" s="74">
        <f>1.6/2</f>
        <v>0.8</v>
      </c>
      <c r="P868" s="50">
        <v>6.4</v>
      </c>
      <c r="Q868" s="74">
        <v>6.6</v>
      </c>
      <c r="R868" s="50">
        <f>15/2</f>
        <v>7.5</v>
      </c>
      <c r="S868" s="74">
        <v>21</v>
      </c>
      <c r="T868" s="50">
        <v>0.31</v>
      </c>
      <c r="U868" s="131">
        <f>1/2</f>
        <v>0.5</v>
      </c>
      <c r="V868" s="50">
        <v>0.2</v>
      </c>
      <c r="W868" s="74">
        <f>0.005/2</f>
        <v>2.5000000000000001E-3</v>
      </c>
      <c r="X868" s="50">
        <v>7.0999999999999994E-2</v>
      </c>
      <c r="Y868" s="74">
        <f>0.005/2</f>
        <v>2.5000000000000001E-3</v>
      </c>
      <c r="Z868" s="271">
        <v>1</v>
      </c>
      <c r="AA868" s="271">
        <v>1</v>
      </c>
      <c r="AB868" s="114">
        <v>28</v>
      </c>
      <c r="AC868" s="50">
        <v>866</v>
      </c>
      <c r="AD868" s="271">
        <v>1</v>
      </c>
      <c r="AE868" s="50"/>
      <c r="AF868" s="49"/>
      <c r="AG868" s="114"/>
      <c r="AH868" s="114"/>
      <c r="AI868" s="114"/>
      <c r="AJ868" s="114"/>
      <c r="AK868" s="114"/>
      <c r="AL868" s="114"/>
      <c r="AM868" s="114"/>
      <c r="AN868" s="114"/>
      <c r="AO868" s="114"/>
      <c r="AP868" s="114"/>
      <c r="AQ868" s="114"/>
      <c r="AR868" s="114"/>
      <c r="AS868" s="50"/>
      <c r="AT868" s="74"/>
      <c r="AU868" s="114"/>
      <c r="AV868" s="114"/>
      <c r="AW868" s="394"/>
      <c r="AX868" s="385"/>
      <c r="AY868" s="385"/>
      <c r="AZ868" s="385"/>
      <c r="BA868" s="385"/>
      <c r="BB868" s="385"/>
      <c r="BC868" s="385"/>
      <c r="BD868" s="385"/>
      <c r="BE868" s="385"/>
      <c r="BF868" s="385"/>
      <c r="BG868" s="385"/>
      <c r="BH868" s="385"/>
      <c r="BI868" s="385"/>
      <c r="BJ868" s="385"/>
      <c r="BK868" s="385"/>
      <c r="BL868" s="385"/>
      <c r="BM868" s="385"/>
      <c r="BN868" s="385"/>
      <c r="BO868" s="385"/>
      <c r="BP868" s="385"/>
      <c r="BQ868" s="385"/>
      <c r="BR868" s="385"/>
      <c r="BS868" s="385"/>
      <c r="BT868" s="385"/>
      <c r="BU868" s="385"/>
      <c r="BV868" s="385"/>
      <c r="BW868" s="385"/>
      <c r="BX868" s="385"/>
      <c r="BY868" s="385"/>
      <c r="BZ868" s="385"/>
      <c r="CA868" s="385"/>
    </row>
    <row r="869" spans="1:79" s="6" customFormat="1" ht="15" customHeight="1">
      <c r="A869" s="41" t="s">
        <v>183</v>
      </c>
      <c r="B869" s="402" t="s">
        <v>3287</v>
      </c>
      <c r="C869" s="113"/>
      <c r="D869" s="393" t="s">
        <v>462</v>
      </c>
      <c r="E869" s="394" t="s">
        <v>3290</v>
      </c>
      <c r="F869" s="402"/>
      <c r="G869" s="405" t="s">
        <v>3291</v>
      </c>
      <c r="H869" s="74">
        <v>3471</v>
      </c>
      <c r="I869" s="50" t="s">
        <v>2</v>
      </c>
      <c r="J869" s="339" t="s">
        <v>3292</v>
      </c>
      <c r="K869" s="51">
        <v>41330</v>
      </c>
      <c r="L869" s="115">
        <v>41324</v>
      </c>
      <c r="M869" s="50">
        <f>K869-L869</f>
        <v>6</v>
      </c>
      <c r="N869" s="50" t="s">
        <v>2</v>
      </c>
      <c r="O869" s="74">
        <f>1.6/2</f>
        <v>0.8</v>
      </c>
      <c r="P869" s="50">
        <v>6.4</v>
      </c>
      <c r="Q869" s="74">
        <v>6.4</v>
      </c>
      <c r="R869" s="50">
        <v>23</v>
      </c>
      <c r="S869" s="74">
        <v>5</v>
      </c>
      <c r="T869" s="50">
        <v>0.15</v>
      </c>
      <c r="U869" s="131">
        <f>1/2</f>
        <v>0.5</v>
      </c>
      <c r="V869" s="50">
        <v>6.7000000000000004E-2</v>
      </c>
      <c r="W869" s="74">
        <f>0.005/2</f>
        <v>2.5000000000000001E-3</v>
      </c>
      <c r="X869" s="50">
        <v>6.8000000000000005E-2</v>
      </c>
      <c r="Y869" s="74">
        <f>0.005/2</f>
        <v>2.5000000000000001E-3</v>
      </c>
      <c r="Z869" s="271">
        <v>1</v>
      </c>
      <c r="AA869" s="271">
        <v>1</v>
      </c>
      <c r="AB869" s="114">
        <v>30</v>
      </c>
      <c r="AC869" s="50">
        <v>871</v>
      </c>
      <c r="AD869" s="271">
        <v>1</v>
      </c>
      <c r="AE869" s="50"/>
      <c r="AF869" s="49"/>
      <c r="AG869" s="114"/>
      <c r="AH869" s="114"/>
      <c r="AI869" s="114"/>
      <c r="AJ869" s="114"/>
      <c r="AK869" s="114"/>
      <c r="AL869" s="114"/>
      <c r="AM869" s="114"/>
      <c r="AN869" s="114"/>
      <c r="AO869" s="114"/>
      <c r="AP869" s="114"/>
      <c r="AQ869" s="114"/>
      <c r="AR869" s="114"/>
      <c r="AS869" s="50"/>
      <c r="AT869" s="74"/>
      <c r="AU869" s="114"/>
      <c r="AV869" s="114"/>
      <c r="AW869" s="394"/>
      <c r="AX869" s="385"/>
      <c r="AY869" s="385"/>
      <c r="AZ869" s="385"/>
      <c r="BA869" s="385"/>
      <c r="BB869" s="385"/>
      <c r="BC869" s="385"/>
      <c r="BD869" s="385"/>
      <c r="BE869" s="385"/>
      <c r="BF869" s="385"/>
      <c r="BG869" s="385"/>
      <c r="BH869" s="385"/>
      <c r="BI869" s="385"/>
      <c r="BJ869" s="385"/>
      <c r="BK869" s="385"/>
      <c r="BL869" s="385"/>
      <c r="BM869" s="385"/>
      <c r="BN869" s="385"/>
      <c r="BO869" s="385"/>
      <c r="BP869" s="385"/>
      <c r="BQ869" s="385"/>
      <c r="BR869" s="385"/>
      <c r="BS869" s="385"/>
      <c r="BT869" s="385"/>
      <c r="BU869" s="385"/>
      <c r="BV869" s="385"/>
      <c r="BW869" s="385"/>
      <c r="BX869" s="385"/>
      <c r="BY869" s="385"/>
      <c r="BZ869" s="385"/>
      <c r="CA869" s="385"/>
    </row>
    <row r="870" spans="1:79" s="6" customFormat="1" ht="15" customHeight="1">
      <c r="A870" s="41" t="s">
        <v>183</v>
      </c>
      <c r="B870" s="402" t="s">
        <v>3293</v>
      </c>
      <c r="C870" s="113" t="s">
        <v>3294</v>
      </c>
      <c r="D870" s="393" t="s">
        <v>1837</v>
      </c>
      <c r="E870" s="394" t="s">
        <v>3295</v>
      </c>
      <c r="F870" s="402"/>
      <c r="G870" s="405" t="s">
        <v>3296</v>
      </c>
      <c r="H870" s="74">
        <v>4225</v>
      </c>
      <c r="I870" s="50" t="s">
        <v>2</v>
      </c>
      <c r="J870" s="339" t="s">
        <v>2191</v>
      </c>
      <c r="K870" s="51">
        <v>40877</v>
      </c>
      <c r="L870" s="115"/>
      <c r="M870" s="50"/>
      <c r="N870" s="50" t="s">
        <v>2</v>
      </c>
      <c r="O870" s="74">
        <v>1.4</v>
      </c>
      <c r="P870" s="50"/>
      <c r="Q870" s="74">
        <v>6.34</v>
      </c>
      <c r="R870" s="50">
        <v>24</v>
      </c>
      <c r="S870" s="74">
        <v>7</v>
      </c>
      <c r="T870" s="50">
        <v>0.14000000000000001</v>
      </c>
      <c r="U870" s="131">
        <f>1/2</f>
        <v>0.5</v>
      </c>
      <c r="V870" s="50">
        <f>0.05/2</f>
        <v>2.5000000000000001E-2</v>
      </c>
      <c r="W870" s="74">
        <v>5.0000000000000001E-3</v>
      </c>
      <c r="X870" s="50">
        <v>2.4E-2</v>
      </c>
      <c r="Y870" s="74">
        <f>0.001/2</f>
        <v>5.0000000000000001E-4</v>
      </c>
      <c r="Z870" s="271">
        <v>1</v>
      </c>
      <c r="AA870" s="271">
        <v>1</v>
      </c>
      <c r="AB870" s="114">
        <v>29</v>
      </c>
      <c r="AC870" s="50">
        <v>62</v>
      </c>
      <c r="AD870" s="271">
        <v>1</v>
      </c>
      <c r="AE870" s="50"/>
      <c r="AF870" s="49"/>
      <c r="AG870" s="114"/>
      <c r="AH870" s="114"/>
      <c r="AI870" s="114"/>
      <c r="AJ870" s="114"/>
      <c r="AK870" s="114"/>
      <c r="AL870" s="114"/>
      <c r="AM870" s="114"/>
      <c r="AN870" s="114"/>
      <c r="AO870" s="114"/>
      <c r="AP870" s="114"/>
      <c r="AQ870" s="114"/>
      <c r="AR870" s="114"/>
      <c r="AS870" s="50"/>
      <c r="AT870" s="74"/>
      <c r="AU870" s="114"/>
      <c r="AV870" s="114"/>
      <c r="AW870" s="394"/>
      <c r="AX870" s="385"/>
      <c r="AY870" s="385"/>
      <c r="AZ870" s="385"/>
      <c r="BA870" s="385"/>
      <c r="BB870" s="385"/>
      <c r="BC870" s="385"/>
      <c r="BD870" s="385"/>
      <c r="BE870" s="385"/>
      <c r="BF870" s="385"/>
      <c r="BG870" s="385"/>
      <c r="BH870" s="385"/>
      <c r="BI870" s="385"/>
      <c r="BJ870" s="385"/>
      <c r="BK870" s="385"/>
      <c r="BL870" s="385"/>
      <c r="BM870" s="385"/>
      <c r="BN870" s="385"/>
      <c r="BO870" s="385"/>
      <c r="BP870" s="385"/>
      <c r="BQ870" s="385"/>
      <c r="BR870" s="385"/>
      <c r="BS870" s="385"/>
      <c r="BT870" s="385"/>
      <c r="BU870" s="385"/>
      <c r="BV870" s="385"/>
      <c r="BW870" s="385"/>
      <c r="BX870" s="385"/>
      <c r="BY870" s="385"/>
      <c r="BZ870" s="385"/>
      <c r="CA870" s="385"/>
    </row>
    <row r="871" spans="1:79" s="6" customFormat="1" ht="15" customHeight="1">
      <c r="A871" s="41" t="s">
        <v>183</v>
      </c>
      <c r="B871" s="402" t="s">
        <v>3584</v>
      </c>
      <c r="C871" s="113"/>
      <c r="D871" s="393" t="s">
        <v>276</v>
      </c>
      <c r="E871" s="394" t="s">
        <v>214</v>
      </c>
      <c r="F871" s="402"/>
      <c r="G871" s="405" t="s">
        <v>3585</v>
      </c>
      <c r="H871" s="74">
        <v>3471</v>
      </c>
      <c r="I871" s="50" t="s">
        <v>1</v>
      </c>
      <c r="J871" s="339" t="s">
        <v>255</v>
      </c>
      <c r="K871" s="51">
        <v>41345</v>
      </c>
      <c r="L871" s="115">
        <v>41341</v>
      </c>
      <c r="M871" s="50">
        <f>K871-L871</f>
        <v>4</v>
      </c>
      <c r="N871" s="50" t="s">
        <v>2</v>
      </c>
      <c r="O871" s="74">
        <f>1.9/2</f>
        <v>0.95</v>
      </c>
      <c r="P871" s="50">
        <v>8.1999999999999993</v>
      </c>
      <c r="Q871" s="74">
        <v>6.1</v>
      </c>
      <c r="R871" s="50">
        <f>20/2</f>
        <v>10</v>
      </c>
      <c r="S871" s="74">
        <v>8</v>
      </c>
      <c r="T871" s="50">
        <v>3.5999999999999997E-2</v>
      </c>
      <c r="U871" s="131">
        <v>1.4</v>
      </c>
      <c r="V871" s="50">
        <f>0.46/2</f>
        <v>0.23</v>
      </c>
      <c r="W871" s="74">
        <v>6.0000000000000001E-3</v>
      </c>
      <c r="X871" s="50">
        <v>5.8999999999999997E-2</v>
      </c>
      <c r="Y871" s="74">
        <f>0.005/2</f>
        <v>2.5000000000000001E-3</v>
      </c>
      <c r="Z871" s="271">
        <v>1</v>
      </c>
      <c r="AA871" s="271">
        <v>1</v>
      </c>
      <c r="AB871" s="114">
        <v>20</v>
      </c>
      <c r="AC871" s="50">
        <v>80</v>
      </c>
      <c r="AD871" s="271">
        <v>1</v>
      </c>
      <c r="AE871" s="50"/>
      <c r="AF871" s="49"/>
      <c r="AG871" s="114"/>
      <c r="AH871" s="114"/>
      <c r="AI871" s="114"/>
      <c r="AJ871" s="114"/>
      <c r="AK871" s="114"/>
      <c r="AL871" s="114"/>
      <c r="AM871" s="114"/>
      <c r="AN871" s="114"/>
      <c r="AO871" s="114"/>
      <c r="AP871" s="114"/>
      <c r="AQ871" s="114"/>
      <c r="AR871" s="114"/>
      <c r="AS871" s="50"/>
      <c r="AT871" s="74"/>
      <c r="AU871" s="114"/>
      <c r="AV871" s="114"/>
      <c r="AW871" s="394"/>
      <c r="AX871" s="385"/>
      <c r="AY871" s="385"/>
      <c r="AZ871" s="385"/>
      <c r="BA871" s="385"/>
      <c r="BB871" s="385"/>
      <c r="BC871" s="385"/>
      <c r="BD871" s="385"/>
      <c r="BE871" s="385"/>
      <c r="BF871" s="385"/>
      <c r="BG871" s="385"/>
      <c r="BH871" s="385"/>
      <c r="BI871" s="385"/>
      <c r="BJ871" s="385"/>
      <c r="BK871" s="385"/>
      <c r="BL871" s="385"/>
      <c r="BM871" s="385"/>
      <c r="BN871" s="385"/>
      <c r="BO871" s="385"/>
      <c r="BP871" s="385"/>
      <c r="BQ871" s="385"/>
      <c r="BR871" s="385"/>
      <c r="BS871" s="385"/>
      <c r="BT871" s="385"/>
      <c r="BU871" s="385"/>
      <c r="BV871" s="385"/>
      <c r="BW871" s="385"/>
      <c r="BX871" s="385"/>
      <c r="BY871" s="385"/>
      <c r="BZ871" s="385"/>
      <c r="CA871" s="385"/>
    </row>
    <row r="872" spans="1:79" s="6" customFormat="1" ht="15" customHeight="1">
      <c r="A872" s="41" t="s">
        <v>183</v>
      </c>
      <c r="B872" s="402" t="s">
        <v>139</v>
      </c>
      <c r="C872" s="113"/>
      <c r="D872" s="393" t="s">
        <v>133</v>
      </c>
      <c r="E872" s="394" t="s">
        <v>140</v>
      </c>
      <c r="F872" s="402" t="s">
        <v>971</v>
      </c>
      <c r="G872" s="405" t="s">
        <v>141</v>
      </c>
      <c r="H872" s="113"/>
      <c r="I872" s="49" t="s">
        <v>2</v>
      </c>
      <c r="J872" s="48" t="s">
        <v>74</v>
      </c>
      <c r="K872" s="51">
        <v>41226</v>
      </c>
      <c r="L872" s="115">
        <v>41221</v>
      </c>
      <c r="M872" s="50">
        <v>5</v>
      </c>
      <c r="N872" s="50" t="s">
        <v>2</v>
      </c>
      <c r="O872" s="74">
        <f>2/2</f>
        <v>1</v>
      </c>
      <c r="P872" s="50">
        <v>5.9</v>
      </c>
      <c r="Q872" s="74">
        <v>7.6</v>
      </c>
      <c r="R872" s="50">
        <f>10/2</f>
        <v>5</v>
      </c>
      <c r="S872" s="74">
        <v>11</v>
      </c>
      <c r="T872" s="50">
        <v>7.0000000000000007E-2</v>
      </c>
      <c r="U872" s="131">
        <v>0.47</v>
      </c>
      <c r="V872" s="50">
        <v>0.23</v>
      </c>
      <c r="W872" s="74">
        <f>0.01/2</f>
        <v>5.0000000000000001E-3</v>
      </c>
      <c r="X872" s="50">
        <v>8.5000000000000006E-2</v>
      </c>
      <c r="Y872" s="74">
        <f>0.03/2</f>
        <v>1.4999999999999999E-2</v>
      </c>
      <c r="Z872" s="349">
        <v>1</v>
      </c>
      <c r="AA872" s="349">
        <v>1</v>
      </c>
      <c r="AB872" s="114">
        <v>89</v>
      </c>
      <c r="AC872" s="50">
        <v>267</v>
      </c>
      <c r="AD872" s="271">
        <v>1</v>
      </c>
      <c r="AE872" s="50">
        <f>100/2</f>
        <v>50</v>
      </c>
      <c r="AF872" s="113"/>
      <c r="AG872" s="50"/>
      <c r="AH872" s="50"/>
      <c r="AI872" s="50"/>
      <c r="AJ872" s="50"/>
      <c r="AK872" s="50"/>
      <c r="AL872" s="50"/>
      <c r="AM872" s="50"/>
      <c r="AN872" s="50"/>
      <c r="AO872" s="49"/>
      <c r="AP872" s="49"/>
      <c r="AQ872" s="49"/>
      <c r="AR872" s="49"/>
      <c r="AS872" s="49"/>
      <c r="AT872" s="49"/>
      <c r="AU872" s="113"/>
      <c r="AV872" s="49"/>
      <c r="AW872" s="394"/>
      <c r="AX872" s="385"/>
      <c r="AY872" s="385"/>
      <c r="AZ872" s="385"/>
      <c r="BA872" s="385"/>
      <c r="BB872" s="385"/>
      <c r="BC872" s="385"/>
      <c r="BD872" s="385"/>
      <c r="BE872" s="385"/>
      <c r="BF872" s="385"/>
      <c r="BG872" s="385"/>
      <c r="BH872" s="385"/>
      <c r="BI872" s="385"/>
      <c r="BJ872" s="385"/>
      <c r="BK872" s="385"/>
      <c r="BL872" s="385"/>
      <c r="BM872" s="385"/>
      <c r="BN872" s="385"/>
      <c r="BO872" s="385"/>
      <c r="BP872" s="385"/>
      <c r="BQ872" s="385"/>
      <c r="BR872" s="385"/>
      <c r="BS872" s="385"/>
      <c r="BT872" s="385"/>
      <c r="BU872" s="385"/>
      <c r="BV872" s="385"/>
      <c r="BW872" s="385"/>
      <c r="BX872" s="385"/>
      <c r="BY872" s="385"/>
      <c r="BZ872" s="385"/>
      <c r="CA872" s="385"/>
    </row>
    <row r="873" spans="1:79" s="6" customFormat="1" ht="15" customHeight="1">
      <c r="A873" s="41" t="s">
        <v>183</v>
      </c>
      <c r="B873" s="402" t="s">
        <v>139</v>
      </c>
      <c r="C873" s="113"/>
      <c r="D873" s="393" t="s">
        <v>133</v>
      </c>
      <c r="E873" s="394" t="s">
        <v>140</v>
      </c>
      <c r="F873" s="402" t="s">
        <v>971</v>
      </c>
      <c r="G873" s="405" t="s">
        <v>141</v>
      </c>
      <c r="H873" s="113"/>
      <c r="I873" s="49" t="s">
        <v>2</v>
      </c>
      <c r="J873" s="48" t="s">
        <v>75</v>
      </c>
      <c r="K873" s="51">
        <v>41226</v>
      </c>
      <c r="L873" s="115">
        <v>41221</v>
      </c>
      <c r="M873" s="50">
        <v>5</v>
      </c>
      <c r="N873" s="50" t="s">
        <v>2</v>
      </c>
      <c r="O873" s="74">
        <f>2/2</f>
        <v>1</v>
      </c>
      <c r="P873" s="50">
        <v>5.9</v>
      </c>
      <c r="Q873" s="74">
        <v>7.1</v>
      </c>
      <c r="R873" s="50">
        <f>10/2</f>
        <v>5</v>
      </c>
      <c r="S873" s="74">
        <v>4</v>
      </c>
      <c r="T873" s="50">
        <v>0.11</v>
      </c>
      <c r="U873" s="131">
        <v>4.6100000000000003</v>
      </c>
      <c r="V873" s="50">
        <f>0.1/2</f>
        <v>0.05</v>
      </c>
      <c r="W873" s="74">
        <f>0.01/2</f>
        <v>5.0000000000000001E-3</v>
      </c>
      <c r="X873" s="50">
        <v>0.03</v>
      </c>
      <c r="Y873" s="74">
        <f>0.03/2</f>
        <v>1.4999999999999999E-2</v>
      </c>
      <c r="Z873" s="349">
        <v>1</v>
      </c>
      <c r="AA873" s="349">
        <v>1</v>
      </c>
      <c r="AB873" s="114">
        <v>452</v>
      </c>
      <c r="AC873" s="50">
        <v>1240</v>
      </c>
      <c r="AD873" s="271">
        <v>1</v>
      </c>
      <c r="AE873" s="50">
        <f>100/2</f>
        <v>50</v>
      </c>
      <c r="AF873" s="113"/>
      <c r="AG873" s="50"/>
      <c r="AH873" s="50"/>
      <c r="AI873" s="50"/>
      <c r="AJ873" s="50"/>
      <c r="AK873" s="50"/>
      <c r="AL873" s="50"/>
      <c r="AM873" s="50"/>
      <c r="AN873" s="50"/>
      <c r="AO873" s="49"/>
      <c r="AP873" s="49"/>
      <c r="AQ873" s="49"/>
      <c r="AR873" s="49"/>
      <c r="AS873" s="49"/>
      <c r="AT873" s="49"/>
      <c r="AU873" s="113"/>
      <c r="AV873" s="49"/>
      <c r="AW873" s="394"/>
      <c r="AX873" s="385"/>
      <c r="AY873" s="385"/>
      <c r="AZ873" s="385"/>
      <c r="BA873" s="385"/>
      <c r="BB873" s="385"/>
      <c r="BC873" s="385"/>
      <c r="BD873" s="385"/>
      <c r="BE873" s="385"/>
      <c r="BF873" s="385"/>
      <c r="BG873" s="385"/>
      <c r="BH873" s="385"/>
      <c r="BI873" s="385"/>
      <c r="BJ873" s="385"/>
      <c r="BK873" s="385"/>
      <c r="BL873" s="385"/>
      <c r="BM873" s="385"/>
      <c r="BN873" s="385"/>
      <c r="BO873" s="385"/>
      <c r="BP873" s="385"/>
      <c r="BQ873" s="385"/>
      <c r="BR873" s="385"/>
      <c r="BS873" s="385"/>
      <c r="BT873" s="385"/>
      <c r="BU873" s="385"/>
      <c r="BV873" s="385"/>
      <c r="BW873" s="385"/>
      <c r="BX873" s="385"/>
      <c r="BY873" s="385"/>
      <c r="BZ873" s="385"/>
      <c r="CA873" s="385"/>
    </row>
    <row r="874" spans="1:79" s="6" customFormat="1" ht="15" customHeight="1">
      <c r="A874" s="41" t="s">
        <v>183</v>
      </c>
      <c r="B874" s="402" t="s">
        <v>139</v>
      </c>
      <c r="C874" s="113"/>
      <c r="D874" s="393" t="s">
        <v>133</v>
      </c>
      <c r="E874" s="394" t="s">
        <v>140</v>
      </c>
      <c r="F874" s="402" t="s">
        <v>971</v>
      </c>
      <c r="G874" s="405" t="s">
        <v>141</v>
      </c>
      <c r="H874" s="113"/>
      <c r="I874" s="49" t="s">
        <v>2</v>
      </c>
      <c r="J874" s="48" t="s">
        <v>687</v>
      </c>
      <c r="K874" s="51">
        <v>41226</v>
      </c>
      <c r="L874" s="115">
        <v>41221</v>
      </c>
      <c r="M874" s="50">
        <v>5</v>
      </c>
      <c r="N874" s="50" t="s">
        <v>2</v>
      </c>
      <c r="O874" s="74">
        <f>2/2</f>
        <v>1</v>
      </c>
      <c r="P874" s="50">
        <v>5.9</v>
      </c>
      <c r="Q874" s="74">
        <v>7.4</v>
      </c>
      <c r="R874" s="50">
        <f>10/2</f>
        <v>5</v>
      </c>
      <c r="S874" s="74">
        <v>9</v>
      </c>
      <c r="T874" s="50">
        <f>0.05/2</f>
        <v>2.5000000000000001E-2</v>
      </c>
      <c r="U874" s="131">
        <v>0.3</v>
      </c>
      <c r="V874" s="50">
        <f>0.1/2</f>
        <v>0.05</v>
      </c>
      <c r="W874" s="74">
        <v>1.4E-2</v>
      </c>
      <c r="X874" s="50">
        <v>0.06</v>
      </c>
      <c r="Y874" s="74">
        <f>0.03/2</f>
        <v>1.4999999999999999E-2</v>
      </c>
      <c r="Z874" s="349">
        <v>1</v>
      </c>
      <c r="AA874" s="349">
        <v>1</v>
      </c>
      <c r="AB874" s="114">
        <v>87</v>
      </c>
      <c r="AC874" s="50">
        <v>253</v>
      </c>
      <c r="AD874" s="271">
        <v>0.8</v>
      </c>
      <c r="AE874" s="50">
        <f>100/2</f>
        <v>50</v>
      </c>
      <c r="AF874" s="113"/>
      <c r="AG874" s="50"/>
      <c r="AH874" s="50"/>
      <c r="AI874" s="50"/>
      <c r="AJ874" s="50"/>
      <c r="AK874" s="50"/>
      <c r="AL874" s="50"/>
      <c r="AM874" s="50"/>
      <c r="AN874" s="50"/>
      <c r="AO874" s="49"/>
      <c r="AP874" s="49"/>
      <c r="AQ874" s="49"/>
      <c r="AR874" s="49"/>
      <c r="AS874" s="49"/>
      <c r="AT874" s="49"/>
      <c r="AU874" s="113"/>
      <c r="AV874" s="49"/>
      <c r="AW874" s="394"/>
      <c r="AX874" s="385"/>
      <c r="AY874" s="385"/>
      <c r="AZ874" s="385"/>
      <c r="BA874" s="385"/>
      <c r="BB874" s="385"/>
      <c r="BC874" s="385"/>
      <c r="BD874" s="385"/>
      <c r="BE874" s="385"/>
      <c r="BF874" s="385"/>
      <c r="BG874" s="385"/>
      <c r="BH874" s="385"/>
      <c r="BI874" s="385"/>
      <c r="BJ874" s="385"/>
      <c r="BK874" s="385"/>
      <c r="BL874" s="385"/>
      <c r="BM874" s="385"/>
      <c r="BN874" s="385"/>
      <c r="BO874" s="385"/>
      <c r="BP874" s="385"/>
      <c r="BQ874" s="385"/>
      <c r="BR874" s="385"/>
      <c r="BS874" s="385"/>
      <c r="BT874" s="385"/>
      <c r="BU874" s="385"/>
      <c r="BV874" s="385"/>
      <c r="BW874" s="385"/>
      <c r="BX874" s="385"/>
      <c r="BY874" s="385"/>
      <c r="BZ874" s="385"/>
      <c r="CA874" s="385"/>
    </row>
    <row r="875" spans="1:79" s="6" customFormat="1" ht="15" customHeight="1">
      <c r="A875" s="41" t="s">
        <v>183</v>
      </c>
      <c r="B875" s="402" t="s">
        <v>139</v>
      </c>
      <c r="C875" s="113"/>
      <c r="D875" s="393" t="s">
        <v>133</v>
      </c>
      <c r="E875" s="394" t="s">
        <v>140</v>
      </c>
      <c r="F875" s="402" t="s">
        <v>971</v>
      </c>
      <c r="G875" s="405" t="s">
        <v>141</v>
      </c>
      <c r="H875" s="113"/>
      <c r="I875" s="49" t="s">
        <v>2</v>
      </c>
      <c r="J875" s="48" t="s">
        <v>135</v>
      </c>
      <c r="K875" s="51">
        <v>41226</v>
      </c>
      <c r="L875" s="115">
        <v>41221</v>
      </c>
      <c r="M875" s="50">
        <v>5</v>
      </c>
      <c r="N875" s="50" t="s">
        <v>2</v>
      </c>
      <c r="O875" s="74">
        <f>2/2</f>
        <v>1</v>
      </c>
      <c r="P875" s="50">
        <v>5.9</v>
      </c>
      <c r="Q875" s="74">
        <v>7.3</v>
      </c>
      <c r="R875" s="50">
        <f>10/2</f>
        <v>5</v>
      </c>
      <c r="S875" s="74">
        <v>3</v>
      </c>
      <c r="T875" s="50">
        <f>0.05/2</f>
        <v>2.5000000000000001E-2</v>
      </c>
      <c r="U875" s="131">
        <v>0.93</v>
      </c>
      <c r="V875" s="50">
        <v>1.01</v>
      </c>
      <c r="W875" s="74">
        <f>0.01/2</f>
        <v>5.0000000000000001E-3</v>
      </c>
      <c r="X875" s="50">
        <v>3.3000000000000002E-2</v>
      </c>
      <c r="Y875" s="74">
        <f>0.03/2</f>
        <v>1.4999999999999999E-2</v>
      </c>
      <c r="Z875" s="349">
        <v>1</v>
      </c>
      <c r="AA875" s="349">
        <v>1</v>
      </c>
      <c r="AB875" s="114">
        <v>135</v>
      </c>
      <c r="AC875" s="50">
        <v>358</v>
      </c>
      <c r="AD875" s="271">
        <v>0.95</v>
      </c>
      <c r="AE875" s="50">
        <v>100</v>
      </c>
      <c r="AF875" s="113"/>
      <c r="AG875" s="50"/>
      <c r="AH875" s="50"/>
      <c r="AI875" s="50"/>
      <c r="AJ875" s="50"/>
      <c r="AK875" s="50"/>
      <c r="AL875" s="50"/>
      <c r="AM875" s="50"/>
      <c r="AN875" s="50"/>
      <c r="AO875" s="49"/>
      <c r="AP875" s="49"/>
      <c r="AQ875" s="49"/>
      <c r="AR875" s="49"/>
      <c r="AS875" s="49"/>
      <c r="AT875" s="49"/>
      <c r="AU875" s="113"/>
      <c r="AV875" s="49"/>
      <c r="AW875" s="394"/>
      <c r="AX875" s="385"/>
      <c r="AY875" s="385"/>
      <c r="AZ875" s="385"/>
      <c r="BA875" s="385"/>
      <c r="BB875" s="385"/>
      <c r="BC875" s="385"/>
      <c r="BD875" s="385"/>
      <c r="BE875" s="385"/>
      <c r="BF875" s="385"/>
      <c r="BG875" s="385"/>
      <c r="BH875" s="385"/>
      <c r="BI875" s="385"/>
      <c r="BJ875" s="385"/>
      <c r="BK875" s="385"/>
      <c r="BL875" s="385"/>
      <c r="BM875" s="385"/>
      <c r="BN875" s="385"/>
      <c r="BO875" s="385"/>
      <c r="BP875" s="385"/>
      <c r="BQ875" s="385"/>
      <c r="BR875" s="385"/>
      <c r="BS875" s="385"/>
      <c r="BT875" s="385"/>
      <c r="BU875" s="385"/>
      <c r="BV875" s="385"/>
      <c r="BW875" s="385"/>
      <c r="BX875" s="385"/>
      <c r="BY875" s="385"/>
      <c r="BZ875" s="385"/>
      <c r="CA875" s="385"/>
    </row>
    <row r="876" spans="1:79" s="6" customFormat="1" ht="15" customHeight="1">
      <c r="A876" s="41" t="s">
        <v>183</v>
      </c>
      <c r="B876" s="402" t="s">
        <v>1843</v>
      </c>
      <c r="C876" s="113" t="s">
        <v>3679</v>
      </c>
      <c r="D876" s="393" t="s">
        <v>480</v>
      </c>
      <c r="E876" s="394" t="s">
        <v>3680</v>
      </c>
      <c r="F876" s="401"/>
      <c r="G876" s="405" t="s">
        <v>3681</v>
      </c>
      <c r="H876" s="113">
        <v>4151</v>
      </c>
      <c r="I876" s="49" t="s">
        <v>2</v>
      </c>
      <c r="J876" s="48" t="s">
        <v>1030</v>
      </c>
      <c r="K876" s="51">
        <v>41201</v>
      </c>
      <c r="L876" s="115">
        <v>41198</v>
      </c>
      <c r="M876" s="50">
        <v>3</v>
      </c>
      <c r="N876" s="50" t="s">
        <v>2</v>
      </c>
      <c r="O876" s="74">
        <v>20</v>
      </c>
      <c r="P876" s="50">
        <v>6.39</v>
      </c>
      <c r="Q876" s="74">
        <v>7.18</v>
      </c>
      <c r="R876" s="50">
        <v>18</v>
      </c>
      <c r="S876" s="74">
        <v>550</v>
      </c>
      <c r="T876" s="50">
        <v>0.62</v>
      </c>
      <c r="U876" s="131">
        <v>1.7</v>
      </c>
      <c r="V876" s="50">
        <f>0.01/2</f>
        <v>5.0000000000000001E-3</v>
      </c>
      <c r="W876" s="74">
        <v>7.3999999999999996E-2</v>
      </c>
      <c r="X876" s="50">
        <v>0.23599999999999999</v>
      </c>
      <c r="Y876" s="74">
        <v>3.9E-2</v>
      </c>
      <c r="Z876" s="349">
        <v>1</v>
      </c>
      <c r="AA876" s="349">
        <v>1</v>
      </c>
      <c r="AB876" s="114">
        <v>14</v>
      </c>
      <c r="AC876" s="50">
        <v>160</v>
      </c>
      <c r="AD876" s="271">
        <v>1</v>
      </c>
      <c r="AE876" s="50"/>
      <c r="AF876" s="113"/>
      <c r="AG876" s="50"/>
      <c r="AH876" s="50"/>
      <c r="AI876" s="50"/>
      <c r="AJ876" s="50"/>
      <c r="AK876" s="50"/>
      <c r="AL876" s="50"/>
      <c r="AM876" s="50"/>
      <c r="AN876" s="50"/>
      <c r="AO876" s="49"/>
      <c r="AP876" s="49"/>
      <c r="AQ876" s="49"/>
      <c r="AR876" s="49"/>
      <c r="AS876" s="49"/>
      <c r="AT876" s="49"/>
      <c r="AU876" s="113"/>
      <c r="AV876" s="49"/>
      <c r="AW876" s="394"/>
      <c r="AX876" s="385"/>
      <c r="AY876" s="385"/>
      <c r="AZ876" s="385"/>
      <c r="BA876" s="385"/>
      <c r="BB876" s="385"/>
      <c r="BC876" s="385"/>
      <c r="BD876" s="385"/>
      <c r="BE876" s="385"/>
      <c r="BF876" s="385"/>
      <c r="BG876" s="385"/>
      <c r="BH876" s="385"/>
      <c r="BI876" s="385"/>
      <c r="BJ876" s="385"/>
      <c r="BK876" s="385"/>
      <c r="BL876" s="385"/>
      <c r="BM876" s="385"/>
      <c r="BN876" s="385"/>
      <c r="BO876" s="385"/>
      <c r="BP876" s="385"/>
      <c r="BQ876" s="385"/>
      <c r="BR876" s="385"/>
      <c r="BS876" s="385"/>
      <c r="BT876" s="385"/>
      <c r="BU876" s="385"/>
      <c r="BV876" s="385"/>
      <c r="BW876" s="385"/>
      <c r="BX876" s="385"/>
      <c r="BY876" s="385"/>
      <c r="BZ876" s="385"/>
      <c r="CA876" s="385"/>
    </row>
    <row r="877" spans="1:79" s="6" customFormat="1" ht="15" customHeight="1">
      <c r="A877" s="41" t="s">
        <v>183</v>
      </c>
      <c r="B877" s="402" t="s">
        <v>1843</v>
      </c>
      <c r="C877" s="113" t="s">
        <v>1243</v>
      </c>
      <c r="D877" s="393" t="s">
        <v>133</v>
      </c>
      <c r="E877" s="394" t="s">
        <v>1546</v>
      </c>
      <c r="F877" s="401" t="s">
        <v>2477</v>
      </c>
      <c r="G877" s="405" t="s">
        <v>1810</v>
      </c>
      <c r="H877" s="113">
        <v>4151</v>
      </c>
      <c r="I877" s="49" t="s">
        <v>2</v>
      </c>
      <c r="J877" s="48" t="s">
        <v>641</v>
      </c>
      <c r="K877" s="51">
        <v>41201</v>
      </c>
      <c r="L877" s="115">
        <v>41198</v>
      </c>
      <c r="M877" s="50">
        <v>3</v>
      </c>
      <c r="N877" s="50" t="s">
        <v>2</v>
      </c>
      <c r="O877" s="74">
        <v>2.1</v>
      </c>
      <c r="P877" s="50">
        <v>6.14</v>
      </c>
      <c r="Q877" s="74">
        <v>7.7</v>
      </c>
      <c r="R877" s="50">
        <v>12</v>
      </c>
      <c r="S877" s="74">
        <v>110</v>
      </c>
      <c r="T877" s="50">
        <v>0.15</v>
      </c>
      <c r="U877" s="131">
        <v>1.1599999999999999</v>
      </c>
      <c r="V877" s="50">
        <v>0.79</v>
      </c>
      <c r="W877" s="74">
        <v>2.1999999999999999E-2</v>
      </c>
      <c r="X877" s="50">
        <v>8.6999999999999994E-2</v>
      </c>
      <c r="Y877" s="74">
        <v>1.0999999999999999E-2</v>
      </c>
      <c r="Z877" s="349">
        <v>1</v>
      </c>
      <c r="AA877" s="349">
        <v>1</v>
      </c>
      <c r="AB877" s="114">
        <v>14</v>
      </c>
      <c r="AC877" s="50">
        <v>222</v>
      </c>
      <c r="AD877" s="271">
        <v>1</v>
      </c>
      <c r="AE877" s="50"/>
      <c r="AF877" s="113"/>
      <c r="AG877" s="50"/>
      <c r="AH877" s="50"/>
      <c r="AI877" s="50"/>
      <c r="AJ877" s="50"/>
      <c r="AK877" s="50"/>
      <c r="AL877" s="50"/>
      <c r="AM877" s="50"/>
      <c r="AN877" s="50"/>
      <c r="AO877" s="49"/>
      <c r="AP877" s="49"/>
      <c r="AQ877" s="49"/>
      <c r="AR877" s="49"/>
      <c r="AS877" s="49"/>
      <c r="AT877" s="49"/>
      <c r="AU877" s="113"/>
      <c r="AV877" s="49"/>
      <c r="AW877" s="394"/>
      <c r="AX877" s="385"/>
      <c r="AY877" s="385"/>
      <c r="AZ877" s="385"/>
      <c r="BA877" s="385"/>
      <c r="BB877" s="385"/>
      <c r="BC877" s="385"/>
      <c r="BD877" s="385"/>
      <c r="BE877" s="385"/>
      <c r="BF877" s="385"/>
      <c r="BG877" s="385"/>
      <c r="BH877" s="385"/>
      <c r="BI877" s="385"/>
      <c r="BJ877" s="385"/>
      <c r="BK877" s="385"/>
      <c r="BL877" s="385"/>
      <c r="BM877" s="385"/>
      <c r="BN877" s="385"/>
      <c r="BO877" s="385"/>
      <c r="BP877" s="385"/>
      <c r="BQ877" s="385"/>
      <c r="BR877" s="385"/>
      <c r="BS877" s="385"/>
      <c r="BT877" s="385"/>
      <c r="BU877" s="385"/>
      <c r="BV877" s="385"/>
      <c r="BW877" s="385"/>
      <c r="BX877" s="385"/>
      <c r="BY877" s="385"/>
      <c r="BZ877" s="385"/>
      <c r="CA877" s="385"/>
    </row>
    <row r="878" spans="1:79" s="6" customFormat="1" ht="15" customHeight="1">
      <c r="A878" s="41" t="s">
        <v>183</v>
      </c>
      <c r="B878" s="402" t="s">
        <v>1843</v>
      </c>
      <c r="C878" s="113" t="s">
        <v>1243</v>
      </c>
      <c r="D878" s="393" t="s">
        <v>133</v>
      </c>
      <c r="E878" s="394" t="s">
        <v>1546</v>
      </c>
      <c r="F878" s="401" t="s">
        <v>2477</v>
      </c>
      <c r="G878" s="405" t="s">
        <v>1810</v>
      </c>
      <c r="H878" s="113">
        <v>4151</v>
      </c>
      <c r="I878" s="49" t="s">
        <v>2</v>
      </c>
      <c r="J878" s="48" t="s">
        <v>1786</v>
      </c>
      <c r="K878" s="51">
        <v>41201</v>
      </c>
      <c r="L878" s="115">
        <v>41198</v>
      </c>
      <c r="M878" s="50">
        <v>3</v>
      </c>
      <c r="N878" s="50" t="s">
        <v>2</v>
      </c>
      <c r="O878" s="74">
        <f>3.5/2</f>
        <v>1.75</v>
      </c>
      <c r="P878" s="50">
        <v>6.14</v>
      </c>
      <c r="Q878" s="74">
        <v>7.75</v>
      </c>
      <c r="R878" s="50">
        <v>10</v>
      </c>
      <c r="S878" s="74">
        <v>140</v>
      </c>
      <c r="T878" s="50">
        <v>0.14000000000000001</v>
      </c>
      <c r="U878" s="131">
        <v>0.96</v>
      </c>
      <c r="V878" s="50">
        <v>0.16</v>
      </c>
      <c r="W878" s="74">
        <v>1.6E-2</v>
      </c>
      <c r="X878" s="50">
        <v>9.0999999999999998E-2</v>
      </c>
      <c r="Y878" s="74">
        <v>8.9999999999999993E-3</v>
      </c>
      <c r="Z878" s="349">
        <v>1</v>
      </c>
      <c r="AA878" s="349">
        <v>1</v>
      </c>
      <c r="AB878" s="114">
        <v>16</v>
      </c>
      <c r="AC878" s="50">
        <v>93</v>
      </c>
      <c r="AD878" s="271">
        <v>1</v>
      </c>
      <c r="AE878" s="50"/>
      <c r="AF878" s="113"/>
      <c r="AG878" s="50"/>
      <c r="AH878" s="50"/>
      <c r="AI878" s="50"/>
      <c r="AJ878" s="50"/>
      <c r="AK878" s="50"/>
      <c r="AL878" s="50"/>
      <c r="AM878" s="50"/>
      <c r="AN878" s="50"/>
      <c r="AO878" s="49"/>
      <c r="AP878" s="49"/>
      <c r="AQ878" s="49"/>
      <c r="AR878" s="49"/>
      <c r="AS878" s="49"/>
      <c r="AT878" s="49"/>
      <c r="AU878" s="113"/>
      <c r="AV878" s="49"/>
      <c r="AW878" s="394"/>
      <c r="AX878" s="385"/>
      <c r="AY878" s="385"/>
      <c r="AZ878" s="385"/>
      <c r="BA878" s="385"/>
      <c r="BB878" s="385"/>
      <c r="BC878" s="385"/>
      <c r="BD878" s="385"/>
      <c r="BE878" s="385"/>
      <c r="BF878" s="385"/>
      <c r="BG878" s="385"/>
      <c r="BH878" s="385"/>
      <c r="BI878" s="385"/>
      <c r="BJ878" s="385"/>
      <c r="BK878" s="385"/>
      <c r="BL878" s="385"/>
      <c r="BM878" s="385"/>
      <c r="BN878" s="385"/>
      <c r="BO878" s="385"/>
      <c r="BP878" s="385"/>
      <c r="BQ878" s="385"/>
      <c r="BR878" s="385"/>
      <c r="BS878" s="385"/>
      <c r="BT878" s="385"/>
      <c r="BU878" s="385"/>
      <c r="BV878" s="385"/>
      <c r="BW878" s="385"/>
      <c r="BX878" s="385"/>
      <c r="BY878" s="385"/>
      <c r="BZ878" s="385"/>
      <c r="CA878" s="385"/>
    </row>
    <row r="879" spans="1:79" s="6" customFormat="1" ht="15" customHeight="1">
      <c r="A879" s="41" t="s">
        <v>183</v>
      </c>
      <c r="B879" s="402" t="s">
        <v>1843</v>
      </c>
      <c r="C879" s="113" t="s">
        <v>1243</v>
      </c>
      <c r="D879" s="393" t="s">
        <v>133</v>
      </c>
      <c r="E879" s="394" t="s">
        <v>1546</v>
      </c>
      <c r="F879" s="401" t="s">
        <v>2477</v>
      </c>
      <c r="G879" s="405" t="s">
        <v>1810</v>
      </c>
      <c r="H879" s="113">
        <v>4151</v>
      </c>
      <c r="I879" s="49" t="s">
        <v>2</v>
      </c>
      <c r="J879" s="48" t="s">
        <v>643</v>
      </c>
      <c r="K879" s="51">
        <v>41201</v>
      </c>
      <c r="L879" s="115">
        <v>41198</v>
      </c>
      <c r="M879" s="50">
        <v>3</v>
      </c>
      <c r="N879" s="50" t="s">
        <v>2</v>
      </c>
      <c r="O879" s="74">
        <v>3.3</v>
      </c>
      <c r="P879" s="50">
        <v>6.14</v>
      </c>
      <c r="Q879" s="74">
        <v>7.67</v>
      </c>
      <c r="R879" s="50">
        <v>16</v>
      </c>
      <c r="S879" s="74">
        <v>190</v>
      </c>
      <c r="T879" s="50">
        <v>0.28999999999999998</v>
      </c>
      <c r="U879" s="131">
        <v>1.64</v>
      </c>
      <c r="V879" s="50">
        <v>0.5</v>
      </c>
      <c r="W879" s="74">
        <v>4.7E-2</v>
      </c>
      <c r="X879" s="50">
        <v>0.126</v>
      </c>
      <c r="Y879" s="74">
        <v>1.6E-2</v>
      </c>
      <c r="Z879" s="349">
        <v>1</v>
      </c>
      <c r="AA879" s="349">
        <v>1</v>
      </c>
      <c r="AB879" s="114">
        <v>26</v>
      </c>
      <c r="AC879" s="50">
        <v>194</v>
      </c>
      <c r="AD879" s="271">
        <v>1</v>
      </c>
      <c r="AE879" s="50"/>
      <c r="AF879" s="113"/>
      <c r="AG879" s="50"/>
      <c r="AH879" s="50"/>
      <c r="AI879" s="50"/>
      <c r="AJ879" s="50"/>
      <c r="AK879" s="50"/>
      <c r="AL879" s="50"/>
      <c r="AM879" s="50"/>
      <c r="AN879" s="50"/>
      <c r="AO879" s="49"/>
      <c r="AP879" s="49"/>
      <c r="AQ879" s="49"/>
      <c r="AR879" s="49"/>
      <c r="AS879" s="49"/>
      <c r="AT879" s="49"/>
      <c r="AU879" s="113"/>
      <c r="AV879" s="49"/>
      <c r="AW879" s="394"/>
      <c r="AX879" s="385"/>
      <c r="AY879" s="385"/>
      <c r="AZ879" s="385"/>
      <c r="BA879" s="385"/>
      <c r="BB879" s="385"/>
      <c r="BC879" s="385"/>
      <c r="BD879" s="385"/>
      <c r="BE879" s="385"/>
      <c r="BF879" s="385"/>
      <c r="BG879" s="385"/>
      <c r="BH879" s="385"/>
      <c r="BI879" s="385"/>
      <c r="BJ879" s="385"/>
      <c r="BK879" s="385"/>
      <c r="BL879" s="385"/>
      <c r="BM879" s="385"/>
      <c r="BN879" s="385"/>
      <c r="BO879" s="385"/>
      <c r="BP879" s="385"/>
      <c r="BQ879" s="385"/>
      <c r="BR879" s="385"/>
      <c r="BS879" s="385"/>
      <c r="BT879" s="385"/>
      <c r="BU879" s="385"/>
      <c r="BV879" s="385"/>
      <c r="BW879" s="385"/>
      <c r="BX879" s="385"/>
      <c r="BY879" s="385"/>
      <c r="BZ879" s="385"/>
      <c r="CA879" s="385"/>
    </row>
    <row r="880" spans="1:79" s="6" customFormat="1" ht="15" customHeight="1">
      <c r="A880" s="41" t="s">
        <v>183</v>
      </c>
      <c r="B880" s="402" t="s">
        <v>3682</v>
      </c>
      <c r="C880" s="113" t="s">
        <v>3682</v>
      </c>
      <c r="D880" s="393" t="s">
        <v>1484</v>
      </c>
      <c r="E880" s="394" t="s">
        <v>3357</v>
      </c>
      <c r="F880" s="401"/>
      <c r="G880" s="405" t="s">
        <v>3683</v>
      </c>
      <c r="H880" s="113">
        <v>3231</v>
      </c>
      <c r="I880" s="49" t="s">
        <v>1</v>
      </c>
      <c r="J880" s="48" t="s">
        <v>3684</v>
      </c>
      <c r="K880" s="51">
        <v>41184</v>
      </c>
      <c r="L880" s="115">
        <v>41180</v>
      </c>
      <c r="M880" s="50">
        <v>4</v>
      </c>
      <c r="N880" s="50" t="s">
        <v>2</v>
      </c>
      <c r="O880" s="74">
        <f>2/2</f>
        <v>1</v>
      </c>
      <c r="P880" s="50">
        <v>6.6</v>
      </c>
      <c r="Q880" s="74">
        <v>7.4</v>
      </c>
      <c r="R880" s="50">
        <v>21</v>
      </c>
      <c r="S880" s="74">
        <v>137</v>
      </c>
      <c r="T880" s="50">
        <v>0.05</v>
      </c>
      <c r="U880" s="131">
        <v>2.34</v>
      </c>
      <c r="V880" s="50">
        <v>0.32</v>
      </c>
      <c r="W880" s="74">
        <v>1.9E-2</v>
      </c>
      <c r="X880" s="50">
        <v>9.4E-2</v>
      </c>
      <c r="Y880" s="74">
        <f>0.03/2</f>
        <v>1.4999999999999999E-2</v>
      </c>
      <c r="Z880" s="349"/>
      <c r="AA880" s="349"/>
      <c r="AB880" s="114"/>
      <c r="AC880" s="50"/>
      <c r="AD880" s="271"/>
      <c r="AE880" s="50"/>
      <c r="AF880" s="113"/>
      <c r="AG880" s="50"/>
      <c r="AH880" s="50"/>
      <c r="AI880" s="50"/>
      <c r="AJ880" s="50"/>
      <c r="AK880" s="50"/>
      <c r="AL880" s="50"/>
      <c r="AM880" s="50"/>
      <c r="AN880" s="50"/>
      <c r="AO880" s="49"/>
      <c r="AP880" s="49"/>
      <c r="AQ880" s="49"/>
      <c r="AR880" s="49"/>
      <c r="AS880" s="49"/>
      <c r="AT880" s="49"/>
      <c r="AU880" s="113"/>
      <c r="AV880" s="49"/>
      <c r="AW880" s="394"/>
      <c r="AX880" s="385"/>
      <c r="AY880" s="385"/>
      <c r="AZ880" s="385"/>
      <c r="BA880" s="385"/>
      <c r="BB880" s="385"/>
      <c r="BC880" s="385"/>
      <c r="BD880" s="385"/>
      <c r="BE880" s="385"/>
      <c r="BF880" s="385"/>
      <c r="BG880" s="385"/>
      <c r="BH880" s="385"/>
      <c r="BI880" s="385"/>
      <c r="BJ880" s="385"/>
      <c r="BK880" s="385"/>
      <c r="BL880" s="385"/>
      <c r="BM880" s="385"/>
      <c r="BN880" s="385"/>
      <c r="BO880" s="385"/>
      <c r="BP880" s="385"/>
      <c r="BQ880" s="385"/>
      <c r="BR880" s="385"/>
      <c r="BS880" s="385"/>
      <c r="BT880" s="385"/>
      <c r="BU880" s="385"/>
      <c r="BV880" s="385"/>
      <c r="BW880" s="385"/>
      <c r="BX880" s="385"/>
      <c r="BY880" s="385"/>
      <c r="BZ880" s="385"/>
      <c r="CA880" s="385"/>
    </row>
    <row r="881" spans="1:79" s="6" customFormat="1" ht="15" customHeight="1">
      <c r="A881" s="41" t="s">
        <v>183</v>
      </c>
      <c r="B881" s="402" t="s">
        <v>3685</v>
      </c>
      <c r="C881" s="113" t="s">
        <v>3686</v>
      </c>
      <c r="D881" s="393" t="s">
        <v>1505</v>
      </c>
      <c r="E881" s="394"/>
      <c r="F881" s="401" t="s">
        <v>3687</v>
      </c>
      <c r="G881" s="405" t="s">
        <v>3688</v>
      </c>
      <c r="H881" s="113">
        <v>4212</v>
      </c>
      <c r="I881" s="49" t="s">
        <v>2</v>
      </c>
      <c r="J881" s="48" t="s">
        <v>510</v>
      </c>
      <c r="K881" s="51">
        <v>40920</v>
      </c>
      <c r="L881" s="115">
        <v>40909</v>
      </c>
      <c r="M881" s="50">
        <v>11</v>
      </c>
      <c r="N881" s="50" t="s">
        <v>2</v>
      </c>
      <c r="O881" s="74">
        <v>2.7</v>
      </c>
      <c r="P881" s="50">
        <v>6.5</v>
      </c>
      <c r="Q881" s="74">
        <v>7.67</v>
      </c>
      <c r="R881" s="50">
        <v>23</v>
      </c>
      <c r="S881" s="74">
        <v>61</v>
      </c>
      <c r="T881" s="50">
        <v>0.14000000000000001</v>
      </c>
      <c r="U881" s="131">
        <v>0.81</v>
      </c>
      <c r="V881" s="50">
        <v>0.1</v>
      </c>
      <c r="W881" s="74">
        <v>0.02</v>
      </c>
      <c r="X881" s="50">
        <v>0.13200000000000001</v>
      </c>
      <c r="Y881" s="74">
        <v>1.7999999999999999E-2</v>
      </c>
      <c r="Z881" s="349">
        <v>1</v>
      </c>
      <c r="AA881" s="349">
        <v>1</v>
      </c>
      <c r="AB881" s="114">
        <v>66</v>
      </c>
      <c r="AC881" s="50">
        <v>201</v>
      </c>
      <c r="AD881" s="271">
        <v>1</v>
      </c>
      <c r="AE881" s="50"/>
      <c r="AF881" s="113"/>
      <c r="AG881" s="50"/>
      <c r="AH881" s="50"/>
      <c r="AI881" s="50"/>
      <c r="AJ881" s="50"/>
      <c r="AK881" s="50"/>
      <c r="AL881" s="50"/>
      <c r="AM881" s="50"/>
      <c r="AN881" s="50"/>
      <c r="AO881" s="49"/>
      <c r="AP881" s="49"/>
      <c r="AQ881" s="49"/>
      <c r="AR881" s="49"/>
      <c r="AS881" s="49"/>
      <c r="AT881" s="49"/>
      <c r="AU881" s="113"/>
      <c r="AV881" s="49"/>
      <c r="AW881" s="394"/>
      <c r="AX881" s="385"/>
      <c r="AY881" s="385"/>
      <c r="AZ881" s="385"/>
      <c r="BA881" s="385"/>
      <c r="BB881" s="385"/>
      <c r="BC881" s="385"/>
      <c r="BD881" s="385"/>
      <c r="BE881" s="385"/>
      <c r="BF881" s="385"/>
      <c r="BG881" s="385"/>
      <c r="BH881" s="385"/>
      <c r="BI881" s="385"/>
      <c r="BJ881" s="385"/>
      <c r="BK881" s="385"/>
      <c r="BL881" s="385"/>
      <c r="BM881" s="385"/>
      <c r="BN881" s="385"/>
      <c r="BO881" s="385"/>
      <c r="BP881" s="385"/>
      <c r="BQ881" s="385"/>
      <c r="BR881" s="385"/>
      <c r="BS881" s="385"/>
      <c r="BT881" s="385"/>
      <c r="BU881" s="385"/>
      <c r="BV881" s="385"/>
      <c r="BW881" s="385"/>
      <c r="BX881" s="385"/>
      <c r="BY881" s="385"/>
      <c r="BZ881" s="385"/>
      <c r="CA881" s="385"/>
    </row>
    <row r="882" spans="1:79" s="6" customFormat="1" ht="15" customHeight="1">
      <c r="A882" s="41" t="s">
        <v>183</v>
      </c>
      <c r="B882" s="402" t="s">
        <v>3685</v>
      </c>
      <c r="C882" s="113" t="s">
        <v>3689</v>
      </c>
      <c r="D882" s="393" t="s">
        <v>1505</v>
      </c>
      <c r="E882" s="394"/>
      <c r="F882" s="401" t="s">
        <v>3687</v>
      </c>
      <c r="G882" s="405" t="s">
        <v>3690</v>
      </c>
      <c r="H882" s="113">
        <v>4214</v>
      </c>
      <c r="I882" s="49" t="s">
        <v>2</v>
      </c>
      <c r="J882" s="48" t="s">
        <v>510</v>
      </c>
      <c r="K882" s="51">
        <v>40920</v>
      </c>
      <c r="L882" s="115">
        <v>40909</v>
      </c>
      <c r="M882" s="50">
        <v>11</v>
      </c>
      <c r="N882" s="50" t="s">
        <v>2</v>
      </c>
      <c r="O882" s="74">
        <f>1.4/2</f>
        <v>0.7</v>
      </c>
      <c r="P882" s="50">
        <v>7.53</v>
      </c>
      <c r="Q882" s="74">
        <v>7.32</v>
      </c>
      <c r="R882" s="50">
        <v>34</v>
      </c>
      <c r="S882" s="74">
        <v>31</v>
      </c>
      <c r="T882" s="50">
        <v>0.1</v>
      </c>
      <c r="U882" s="131">
        <v>0.91</v>
      </c>
      <c r="V882" s="50">
        <v>0.16</v>
      </c>
      <c r="W882" s="74">
        <v>8.9999999999999993E-3</v>
      </c>
      <c r="X882" s="50">
        <v>0.05</v>
      </c>
      <c r="Y882" s="74">
        <v>0.01</v>
      </c>
      <c r="Z882" s="349">
        <v>1</v>
      </c>
      <c r="AA882" s="349">
        <v>1</v>
      </c>
      <c r="AB882" s="114">
        <v>66</v>
      </c>
      <c r="AC882" s="50">
        <v>201</v>
      </c>
      <c r="AD882" s="271">
        <v>1</v>
      </c>
      <c r="AE882" s="50"/>
      <c r="AF882" s="113"/>
      <c r="AG882" s="50"/>
      <c r="AH882" s="50"/>
      <c r="AI882" s="50"/>
      <c r="AJ882" s="50"/>
      <c r="AK882" s="50"/>
      <c r="AL882" s="50"/>
      <c r="AM882" s="50"/>
      <c r="AN882" s="50"/>
      <c r="AO882" s="49"/>
      <c r="AP882" s="49"/>
      <c r="AQ882" s="49"/>
      <c r="AR882" s="49"/>
      <c r="AS882" s="49"/>
      <c r="AT882" s="49"/>
      <c r="AU882" s="113"/>
      <c r="AV882" s="49"/>
      <c r="AW882" s="394"/>
      <c r="AX882" s="385"/>
      <c r="AY882" s="385"/>
      <c r="AZ882" s="385"/>
      <c r="BA882" s="385"/>
      <c r="BB882" s="385"/>
      <c r="BC882" s="385"/>
      <c r="BD882" s="385"/>
      <c r="BE882" s="385"/>
      <c r="BF882" s="385"/>
      <c r="BG882" s="385"/>
      <c r="BH882" s="385"/>
      <c r="BI882" s="385"/>
      <c r="BJ882" s="385"/>
      <c r="BK882" s="385"/>
      <c r="BL882" s="385"/>
      <c r="BM882" s="385"/>
      <c r="BN882" s="385"/>
      <c r="BO882" s="385"/>
      <c r="BP882" s="385"/>
      <c r="BQ882" s="385"/>
      <c r="BR882" s="385"/>
      <c r="BS882" s="385"/>
      <c r="BT882" s="385"/>
      <c r="BU882" s="385"/>
      <c r="BV882" s="385"/>
      <c r="BW882" s="385"/>
      <c r="BX882" s="385"/>
      <c r="BY882" s="385"/>
      <c r="BZ882" s="385"/>
      <c r="CA882" s="385"/>
    </row>
    <row r="883" spans="1:79" s="6" customFormat="1" ht="15" customHeight="1">
      <c r="A883" s="41" t="s">
        <v>183</v>
      </c>
      <c r="B883" s="402" t="s">
        <v>3685</v>
      </c>
      <c r="C883" s="113" t="s">
        <v>3689</v>
      </c>
      <c r="D883" s="393" t="s">
        <v>1505</v>
      </c>
      <c r="E883" s="394"/>
      <c r="F883" s="401" t="s">
        <v>3687</v>
      </c>
      <c r="G883" s="405" t="s">
        <v>3690</v>
      </c>
      <c r="H883" s="113">
        <v>4214</v>
      </c>
      <c r="I883" s="49" t="s">
        <v>2</v>
      </c>
      <c r="J883" s="48" t="s">
        <v>510</v>
      </c>
      <c r="K883" s="51">
        <v>41201</v>
      </c>
      <c r="L883" s="115">
        <v>41197</v>
      </c>
      <c r="M883" s="50">
        <v>4</v>
      </c>
      <c r="N883" s="50" t="s">
        <v>2</v>
      </c>
      <c r="O883" s="74">
        <f>1.4/2</f>
        <v>0.7</v>
      </c>
      <c r="P883" s="50">
        <v>6.5</v>
      </c>
      <c r="Q883" s="74">
        <v>7.43</v>
      </c>
      <c r="R883" s="50">
        <v>27</v>
      </c>
      <c r="S883" s="74">
        <v>10</v>
      </c>
      <c r="T883" s="50">
        <v>0.1</v>
      </c>
      <c r="U883" s="131">
        <v>1.27</v>
      </c>
      <c r="V883" s="50">
        <v>0.15</v>
      </c>
      <c r="W883" s="74">
        <v>7.0000000000000001E-3</v>
      </c>
      <c r="X883" s="50">
        <v>3.9E-2</v>
      </c>
      <c r="Y883" s="74">
        <v>0.01</v>
      </c>
      <c r="Z883" s="349"/>
      <c r="AA883" s="349"/>
      <c r="AB883" s="114"/>
      <c r="AC883" s="50"/>
      <c r="AD883" s="271"/>
      <c r="AE883" s="50"/>
      <c r="AF883" s="113"/>
      <c r="AG883" s="50"/>
      <c r="AH883" s="50"/>
      <c r="AI883" s="50"/>
      <c r="AJ883" s="50"/>
      <c r="AK883" s="50"/>
      <c r="AL883" s="50"/>
      <c r="AM883" s="50"/>
      <c r="AN883" s="50"/>
      <c r="AO883" s="49"/>
      <c r="AP883" s="49"/>
      <c r="AQ883" s="49"/>
      <c r="AR883" s="49"/>
      <c r="AS883" s="49"/>
      <c r="AT883" s="49"/>
      <c r="AU883" s="113"/>
      <c r="AV883" s="49"/>
      <c r="AW883" s="394"/>
      <c r="AX883" s="385"/>
      <c r="AY883" s="385"/>
      <c r="AZ883" s="385"/>
      <c r="BA883" s="385"/>
      <c r="BB883" s="385"/>
      <c r="BC883" s="385"/>
      <c r="BD883" s="385"/>
      <c r="BE883" s="385"/>
      <c r="BF883" s="385"/>
      <c r="BG883" s="385"/>
      <c r="BH883" s="385"/>
      <c r="BI883" s="385"/>
      <c r="BJ883" s="385"/>
      <c r="BK883" s="385"/>
      <c r="BL883" s="385"/>
      <c r="BM883" s="385"/>
      <c r="BN883" s="385"/>
      <c r="BO883" s="385"/>
      <c r="BP883" s="385"/>
      <c r="BQ883" s="385"/>
      <c r="BR883" s="385"/>
      <c r="BS883" s="385"/>
      <c r="BT883" s="385"/>
      <c r="BU883" s="385"/>
      <c r="BV883" s="385"/>
      <c r="BW883" s="385"/>
      <c r="BX883" s="385"/>
      <c r="BY883" s="385"/>
      <c r="BZ883" s="385"/>
      <c r="CA883" s="385"/>
    </row>
    <row r="884" spans="1:79" s="6" customFormat="1" ht="15" customHeight="1">
      <c r="A884" s="41" t="s">
        <v>183</v>
      </c>
      <c r="B884" s="402" t="s">
        <v>3691</v>
      </c>
      <c r="C884" s="113" t="s">
        <v>842</v>
      </c>
      <c r="D884" s="393" t="s">
        <v>262</v>
      </c>
      <c r="E884" s="394" t="s">
        <v>3692</v>
      </c>
      <c r="F884" s="401"/>
      <c r="G884" s="405" t="s">
        <v>844</v>
      </c>
      <c r="H884" s="113">
        <v>3900</v>
      </c>
      <c r="I884" s="49" t="s">
        <v>2</v>
      </c>
      <c r="J884" s="48" t="s">
        <v>81</v>
      </c>
      <c r="K884" s="51">
        <v>41180</v>
      </c>
      <c r="L884" s="115">
        <v>41175</v>
      </c>
      <c r="M884" s="50">
        <v>5</v>
      </c>
      <c r="N884" s="50" t="s">
        <v>2</v>
      </c>
      <c r="O884" s="74">
        <f>5/2</f>
        <v>2.5</v>
      </c>
      <c r="P884" s="50">
        <v>5</v>
      </c>
      <c r="Q884" s="74">
        <v>6.7</v>
      </c>
      <c r="R884" s="50">
        <f>50/2</f>
        <v>25</v>
      </c>
      <c r="S884" s="74">
        <v>13.6</v>
      </c>
      <c r="T884" s="50">
        <f>0.1/2</f>
        <v>0.05</v>
      </c>
      <c r="U884" s="131">
        <f>1/2</f>
        <v>0.5</v>
      </c>
      <c r="V884" s="50">
        <v>0.94</v>
      </c>
      <c r="W884" s="74">
        <v>1.1900000000000001E-2</v>
      </c>
      <c r="X884" s="50">
        <v>2.5399999999999999E-2</v>
      </c>
      <c r="Y884" s="74">
        <v>4.4999999999999998E-2</v>
      </c>
      <c r="Z884" s="349"/>
      <c r="AA884" s="349"/>
      <c r="AB884" s="114"/>
      <c r="AC884" s="50"/>
      <c r="AD884" s="271"/>
      <c r="AE884" s="50"/>
      <c r="AF884" s="113"/>
      <c r="AG884" s="50"/>
      <c r="AH884" s="50"/>
      <c r="AI884" s="50"/>
      <c r="AJ884" s="50"/>
      <c r="AK884" s="50"/>
      <c r="AL884" s="50"/>
      <c r="AM884" s="50"/>
      <c r="AN884" s="50"/>
      <c r="AO884" s="49"/>
      <c r="AP884" s="49"/>
      <c r="AQ884" s="49"/>
      <c r="AR884" s="49"/>
      <c r="AS884" s="49"/>
      <c r="AT884" s="49"/>
      <c r="AU884" s="113"/>
      <c r="AV884" s="49"/>
      <c r="AW884" s="394"/>
      <c r="AX884" s="385"/>
      <c r="AY884" s="385"/>
      <c r="AZ884" s="385"/>
      <c r="BA884" s="385"/>
      <c r="BB884" s="385"/>
      <c r="BC884" s="385"/>
      <c r="BD884" s="385"/>
      <c r="BE884" s="385"/>
      <c r="BF884" s="385"/>
      <c r="BG884" s="385"/>
      <c r="BH884" s="385"/>
      <c r="BI884" s="385"/>
      <c r="BJ884" s="385"/>
      <c r="BK884" s="385"/>
      <c r="BL884" s="385"/>
      <c r="BM884" s="385"/>
      <c r="BN884" s="385"/>
      <c r="BO884" s="385"/>
      <c r="BP884" s="385"/>
      <c r="BQ884" s="385"/>
      <c r="BR884" s="385"/>
      <c r="BS884" s="385"/>
      <c r="BT884" s="385"/>
      <c r="BU884" s="385"/>
      <c r="BV884" s="385"/>
      <c r="BW884" s="385"/>
      <c r="BX884" s="385"/>
      <c r="BY884" s="385"/>
      <c r="BZ884" s="385"/>
      <c r="CA884" s="385"/>
    </row>
    <row r="885" spans="1:79" s="6" customFormat="1" ht="15" customHeight="1">
      <c r="A885" s="41" t="s">
        <v>183</v>
      </c>
      <c r="B885" s="402" t="s">
        <v>3691</v>
      </c>
      <c r="C885" s="113" t="s">
        <v>842</v>
      </c>
      <c r="D885" s="393" t="s">
        <v>262</v>
      </c>
      <c r="E885" s="394" t="s">
        <v>3692</v>
      </c>
      <c r="F885" s="401"/>
      <c r="G885" s="405" t="s">
        <v>844</v>
      </c>
      <c r="H885" s="113">
        <v>3900</v>
      </c>
      <c r="I885" s="49" t="s">
        <v>2</v>
      </c>
      <c r="J885" s="48" t="s">
        <v>115</v>
      </c>
      <c r="K885" s="51">
        <v>41180</v>
      </c>
      <c r="L885" s="115">
        <v>41175</v>
      </c>
      <c r="M885" s="50">
        <v>5</v>
      </c>
      <c r="N885" s="50" t="s">
        <v>2</v>
      </c>
      <c r="O885" s="74">
        <f>5/2</f>
        <v>2.5</v>
      </c>
      <c r="P885" s="50">
        <v>5</v>
      </c>
      <c r="Q885" s="74">
        <v>7.9</v>
      </c>
      <c r="R885" s="50">
        <f>50/2</f>
        <v>25</v>
      </c>
      <c r="S885" s="74">
        <f>12/2</f>
        <v>6</v>
      </c>
      <c r="T885" s="50">
        <f>0.1/2</f>
        <v>0.05</v>
      </c>
      <c r="U885" s="131">
        <f>1/2</f>
        <v>0.5</v>
      </c>
      <c r="V885" s="50">
        <f>0.1/2</f>
        <v>0.05</v>
      </c>
      <c r="W885" s="74">
        <f>0.002/2</f>
        <v>1E-3</v>
      </c>
      <c r="X885" s="50">
        <f>0.02/2</f>
        <v>0.01</v>
      </c>
      <c r="Y885" s="74">
        <f>0.001/2</f>
        <v>5.0000000000000001E-4</v>
      </c>
      <c r="Z885" s="349"/>
      <c r="AA885" s="349"/>
      <c r="AB885" s="114"/>
      <c r="AC885" s="50"/>
      <c r="AD885" s="271"/>
      <c r="AE885" s="50"/>
      <c r="AF885" s="113"/>
      <c r="AG885" s="50"/>
      <c r="AH885" s="50"/>
      <c r="AI885" s="50"/>
      <c r="AJ885" s="50"/>
      <c r="AK885" s="50"/>
      <c r="AL885" s="50"/>
      <c r="AM885" s="50"/>
      <c r="AN885" s="50"/>
      <c r="AO885" s="49"/>
      <c r="AP885" s="49"/>
      <c r="AQ885" s="49"/>
      <c r="AR885" s="49"/>
      <c r="AS885" s="49"/>
      <c r="AT885" s="49"/>
      <c r="AU885" s="113"/>
      <c r="AV885" s="49"/>
      <c r="AW885" s="394"/>
      <c r="AX885" s="385"/>
      <c r="AY885" s="385"/>
      <c r="AZ885" s="385"/>
      <c r="BA885" s="385"/>
      <c r="BB885" s="385"/>
      <c r="BC885" s="385"/>
      <c r="BD885" s="385"/>
      <c r="BE885" s="385"/>
      <c r="BF885" s="385"/>
      <c r="BG885" s="385"/>
      <c r="BH885" s="385"/>
      <c r="BI885" s="385"/>
      <c r="BJ885" s="385"/>
      <c r="BK885" s="385"/>
      <c r="BL885" s="385"/>
      <c r="BM885" s="385"/>
      <c r="BN885" s="385"/>
      <c r="BO885" s="385"/>
      <c r="BP885" s="385"/>
      <c r="BQ885" s="385"/>
      <c r="BR885" s="385"/>
      <c r="BS885" s="385"/>
      <c r="BT885" s="385"/>
      <c r="BU885" s="385"/>
      <c r="BV885" s="385"/>
      <c r="BW885" s="385"/>
      <c r="BX885" s="385"/>
      <c r="BY885" s="385"/>
      <c r="BZ885" s="385"/>
      <c r="CA885" s="385"/>
    </row>
    <row r="886" spans="1:79" s="6" customFormat="1" ht="15" customHeight="1">
      <c r="A886" s="41" t="s">
        <v>183</v>
      </c>
      <c r="B886" s="402" t="s">
        <v>40</v>
      </c>
      <c r="C886" s="113" t="s">
        <v>40</v>
      </c>
      <c r="D886" s="393" t="s">
        <v>41</v>
      </c>
      <c r="E886" s="394" t="s">
        <v>42</v>
      </c>
      <c r="F886" s="47" t="s">
        <v>5216</v>
      </c>
      <c r="G886" s="405" t="s">
        <v>43</v>
      </c>
      <c r="H886" s="113">
        <v>3728</v>
      </c>
      <c r="I886" s="49" t="s">
        <v>2</v>
      </c>
      <c r="J886" s="48" t="s">
        <v>3735</v>
      </c>
      <c r="K886" s="51">
        <v>41226</v>
      </c>
      <c r="L886" s="115">
        <v>41221</v>
      </c>
      <c r="M886" s="50">
        <v>5</v>
      </c>
      <c r="N886" s="50" t="s">
        <v>2</v>
      </c>
      <c r="O886" s="74">
        <f>1.4/2</f>
        <v>0.7</v>
      </c>
      <c r="P886" s="50">
        <v>6.48</v>
      </c>
      <c r="Q886" s="74">
        <v>6.81</v>
      </c>
      <c r="R886" s="50">
        <v>40</v>
      </c>
      <c r="S886" s="74">
        <v>19</v>
      </c>
      <c r="T886" s="50">
        <v>0.04</v>
      </c>
      <c r="U886" s="131">
        <v>1.4</v>
      </c>
      <c r="V886" s="50">
        <v>1.29</v>
      </c>
      <c r="W886" s="74">
        <v>3.3000000000000002E-2</v>
      </c>
      <c r="X886" s="50">
        <v>0.51400000000000001</v>
      </c>
      <c r="Y886" s="74">
        <v>2E-3</v>
      </c>
      <c r="Z886" s="349">
        <v>1</v>
      </c>
      <c r="AA886" s="349">
        <v>0.79400000000000004</v>
      </c>
      <c r="AB886" s="114">
        <v>16</v>
      </c>
      <c r="AC886" s="50">
        <v>435</v>
      </c>
      <c r="AD886" s="271">
        <v>0.4</v>
      </c>
      <c r="AE886" s="50"/>
      <c r="AF886" s="113"/>
      <c r="AG886" s="50"/>
      <c r="AH886" s="50"/>
      <c r="AI886" s="50"/>
      <c r="AJ886" s="50"/>
      <c r="AK886" s="50"/>
      <c r="AL886" s="50"/>
      <c r="AM886" s="50"/>
      <c r="AN886" s="50"/>
      <c r="AO886" s="49"/>
      <c r="AP886" s="49"/>
      <c r="AQ886" s="49"/>
      <c r="AR886" s="49"/>
      <c r="AS886" s="49"/>
      <c r="AT886" s="49"/>
      <c r="AU886" s="113"/>
      <c r="AV886" s="49"/>
      <c r="AW886" s="394"/>
      <c r="AX886" s="385"/>
      <c r="AY886" s="385"/>
      <c r="AZ886" s="385"/>
      <c r="BA886" s="385"/>
      <c r="BB886" s="385"/>
      <c r="BC886" s="385"/>
      <c r="BD886" s="385"/>
      <c r="BE886" s="385"/>
      <c r="BF886" s="385"/>
      <c r="BG886" s="385"/>
      <c r="BH886" s="385"/>
      <c r="BI886" s="385"/>
      <c r="BJ886" s="385"/>
      <c r="BK886" s="385"/>
      <c r="BL886" s="385"/>
      <c r="BM886" s="385"/>
      <c r="BN886" s="385"/>
      <c r="BO886" s="385"/>
      <c r="BP886" s="385"/>
      <c r="BQ886" s="385"/>
      <c r="BR886" s="385"/>
      <c r="BS886" s="385"/>
      <c r="BT886" s="385"/>
      <c r="BU886" s="385"/>
      <c r="BV886" s="385"/>
      <c r="BW886" s="385"/>
      <c r="BX886" s="385"/>
      <c r="BY886" s="385"/>
      <c r="BZ886" s="385"/>
      <c r="CA886" s="385"/>
    </row>
    <row r="887" spans="1:79" s="6" customFormat="1" ht="15" customHeight="1">
      <c r="A887" s="41" t="s">
        <v>183</v>
      </c>
      <c r="B887" s="402" t="s">
        <v>40</v>
      </c>
      <c r="C887" s="113" t="s">
        <v>40</v>
      </c>
      <c r="D887" s="393" t="s">
        <v>41</v>
      </c>
      <c r="E887" s="394" t="s">
        <v>42</v>
      </c>
      <c r="F887" s="47" t="s">
        <v>5216</v>
      </c>
      <c r="G887" s="405" t="s">
        <v>43</v>
      </c>
      <c r="H887" s="113">
        <v>3728</v>
      </c>
      <c r="I887" s="49" t="s">
        <v>2</v>
      </c>
      <c r="J887" s="48" t="s">
        <v>3737</v>
      </c>
      <c r="K887" s="51">
        <v>41226</v>
      </c>
      <c r="L887" s="115">
        <v>41221</v>
      </c>
      <c r="M887" s="50">
        <v>5</v>
      </c>
      <c r="N887" s="50" t="s">
        <v>2</v>
      </c>
      <c r="O887" s="74">
        <v>3.5</v>
      </c>
      <c r="P887" s="50">
        <v>6.48</v>
      </c>
      <c r="Q887" s="74">
        <v>6.91</v>
      </c>
      <c r="R887" s="50">
        <v>110</v>
      </c>
      <c r="S887" s="74">
        <v>68</v>
      </c>
      <c r="T887" s="50">
        <v>0.14000000000000001</v>
      </c>
      <c r="U887" s="131">
        <v>1.93</v>
      </c>
      <c r="V887" s="50">
        <v>0.62</v>
      </c>
      <c r="W887" s="74">
        <v>2.7E-2</v>
      </c>
      <c r="X887" s="50">
        <v>0.224</v>
      </c>
      <c r="Y887" s="74">
        <v>1.7000000000000001E-2</v>
      </c>
      <c r="Z887" s="349">
        <v>1</v>
      </c>
      <c r="AA887" s="349">
        <v>1</v>
      </c>
      <c r="AB887" s="114">
        <v>72</v>
      </c>
      <c r="AC887" s="50">
        <v>1909</v>
      </c>
      <c r="AD887" s="271">
        <v>0.95</v>
      </c>
      <c r="AE887" s="50"/>
      <c r="AF887" s="113"/>
      <c r="AG887" s="50"/>
      <c r="AH887" s="50"/>
      <c r="AI887" s="50"/>
      <c r="AJ887" s="50"/>
      <c r="AK887" s="50"/>
      <c r="AL887" s="50"/>
      <c r="AM887" s="50"/>
      <c r="AN887" s="50"/>
      <c r="AO887" s="49"/>
      <c r="AP887" s="49"/>
      <c r="AQ887" s="49"/>
      <c r="AR887" s="49"/>
      <c r="AS887" s="49"/>
      <c r="AT887" s="49"/>
      <c r="AU887" s="113"/>
      <c r="AV887" s="49"/>
      <c r="AW887" s="394"/>
      <c r="AX887" s="385"/>
      <c r="AY887" s="385"/>
      <c r="AZ887" s="385"/>
      <c r="BA887" s="385"/>
      <c r="BB887" s="385"/>
      <c r="BC887" s="385"/>
      <c r="BD887" s="385"/>
      <c r="BE887" s="385"/>
      <c r="BF887" s="385"/>
      <c r="BG887" s="385"/>
      <c r="BH887" s="385"/>
      <c r="BI887" s="385"/>
      <c r="BJ887" s="385"/>
      <c r="BK887" s="385"/>
      <c r="BL887" s="385"/>
      <c r="BM887" s="385"/>
      <c r="BN887" s="385"/>
      <c r="BO887" s="385"/>
      <c r="BP887" s="385"/>
      <c r="BQ887" s="385"/>
      <c r="BR887" s="385"/>
      <c r="BS887" s="385"/>
      <c r="BT887" s="385"/>
      <c r="BU887" s="385"/>
      <c r="BV887" s="385"/>
      <c r="BW887" s="385"/>
      <c r="BX887" s="385"/>
      <c r="BY887" s="385"/>
      <c r="BZ887" s="385"/>
      <c r="CA887" s="385"/>
    </row>
    <row r="888" spans="1:79" s="6" customFormat="1" ht="15" customHeight="1">
      <c r="A888" s="41" t="s">
        <v>183</v>
      </c>
      <c r="B888" s="402" t="s">
        <v>40</v>
      </c>
      <c r="C888" s="113" t="s">
        <v>40</v>
      </c>
      <c r="D888" s="393" t="s">
        <v>41</v>
      </c>
      <c r="E888" s="394" t="s">
        <v>42</v>
      </c>
      <c r="F888" s="47" t="s">
        <v>5216</v>
      </c>
      <c r="G888" s="405" t="s">
        <v>43</v>
      </c>
      <c r="H888" s="113">
        <v>3728</v>
      </c>
      <c r="I888" s="49" t="s">
        <v>2</v>
      </c>
      <c r="J888" s="48" t="s">
        <v>3736</v>
      </c>
      <c r="K888" s="51">
        <v>41226</v>
      </c>
      <c r="L888" s="115">
        <v>41221</v>
      </c>
      <c r="M888" s="50">
        <v>5</v>
      </c>
      <c r="N888" s="50" t="s">
        <v>2</v>
      </c>
      <c r="O888" s="74">
        <v>1.5</v>
      </c>
      <c r="P888" s="50">
        <v>6.48</v>
      </c>
      <c r="Q888" s="74">
        <v>6.85</v>
      </c>
      <c r="R888" s="50">
        <v>69</v>
      </c>
      <c r="S888" s="74">
        <v>48</v>
      </c>
      <c r="T888" s="50">
        <v>0.13</v>
      </c>
      <c r="U888" s="131">
        <v>1.33</v>
      </c>
      <c r="V888" s="50">
        <v>0.84</v>
      </c>
      <c r="W888" s="74">
        <v>1.2999999999999999E-2</v>
      </c>
      <c r="X888" s="50">
        <v>0.13800000000000001</v>
      </c>
      <c r="Y888" s="74">
        <v>8.9999999999999993E-3</v>
      </c>
      <c r="Z888" s="349">
        <v>1</v>
      </c>
      <c r="AA888" s="349">
        <v>1</v>
      </c>
      <c r="AB888" s="114">
        <v>50</v>
      </c>
      <c r="AC888" s="50">
        <v>836</v>
      </c>
      <c r="AD888" s="271">
        <v>0.95</v>
      </c>
      <c r="AE888" s="50"/>
      <c r="AF888" s="113"/>
      <c r="AG888" s="50"/>
      <c r="AH888" s="50"/>
      <c r="AI888" s="50"/>
      <c r="AJ888" s="50"/>
      <c r="AK888" s="50"/>
      <c r="AL888" s="50"/>
      <c r="AM888" s="50"/>
      <c r="AN888" s="50"/>
      <c r="AO888" s="49"/>
      <c r="AP888" s="49"/>
      <c r="AQ888" s="49"/>
      <c r="AR888" s="49"/>
      <c r="AS888" s="49"/>
      <c r="AT888" s="49"/>
      <c r="AU888" s="113"/>
      <c r="AV888" s="49"/>
      <c r="AW888" s="394"/>
      <c r="AX888" s="385"/>
      <c r="AY888" s="385"/>
      <c r="AZ888" s="385"/>
      <c r="BA888" s="385"/>
      <c r="BB888" s="385"/>
      <c r="BC888" s="385"/>
      <c r="BD888" s="385"/>
      <c r="BE888" s="385"/>
      <c r="BF888" s="385"/>
      <c r="BG888" s="385"/>
      <c r="BH888" s="385"/>
      <c r="BI888" s="385"/>
      <c r="BJ888" s="385"/>
      <c r="BK888" s="385"/>
      <c r="BL888" s="385"/>
      <c r="BM888" s="385"/>
      <c r="BN888" s="385"/>
      <c r="BO888" s="385"/>
      <c r="BP888" s="385"/>
      <c r="BQ888" s="385"/>
      <c r="BR888" s="385"/>
      <c r="BS888" s="385"/>
      <c r="BT888" s="385"/>
      <c r="BU888" s="385"/>
      <c r="BV888" s="385"/>
      <c r="BW888" s="385"/>
      <c r="BX888" s="385"/>
      <c r="BY888" s="385"/>
      <c r="BZ888" s="385"/>
      <c r="CA888" s="385"/>
    </row>
    <row r="889" spans="1:79" s="6" customFormat="1" ht="15" customHeight="1">
      <c r="A889" s="41" t="s">
        <v>183</v>
      </c>
      <c r="B889" s="402" t="s">
        <v>908</v>
      </c>
      <c r="C889" s="113" t="s">
        <v>3694</v>
      </c>
      <c r="D889" s="393" t="s">
        <v>910</v>
      </c>
      <c r="E889" s="394" t="s">
        <v>1546</v>
      </c>
      <c r="F889" s="401"/>
      <c r="G889" s="405" t="s">
        <v>911</v>
      </c>
      <c r="H889" s="113">
        <v>5171</v>
      </c>
      <c r="I889" s="49"/>
      <c r="J889" s="48" t="s">
        <v>3251</v>
      </c>
      <c r="K889" s="51">
        <v>41226</v>
      </c>
      <c r="L889" s="115">
        <v>41211</v>
      </c>
      <c r="M889" s="50">
        <v>15</v>
      </c>
      <c r="N889" s="50" t="s">
        <v>2</v>
      </c>
      <c r="O889" s="74">
        <f>5/2</f>
        <v>2.5</v>
      </c>
      <c r="P889" s="50">
        <v>7.8</v>
      </c>
      <c r="Q889" s="74">
        <v>5.8</v>
      </c>
      <c r="R889" s="50">
        <v>76</v>
      </c>
      <c r="S889" s="74">
        <v>25</v>
      </c>
      <c r="T889" s="50">
        <v>0.1</v>
      </c>
      <c r="U889" s="131">
        <f>1/2</f>
        <v>0.5</v>
      </c>
      <c r="V889" s="50">
        <f>0.1/2</f>
        <v>0.05</v>
      </c>
      <c r="W889" s="74">
        <f>0.04/2</f>
        <v>0.02</v>
      </c>
      <c r="X889" s="50">
        <v>2.9</v>
      </c>
      <c r="Y889" s="74">
        <f>0.013/2</f>
        <v>6.4999999999999997E-3</v>
      </c>
      <c r="Z889" s="349">
        <v>1</v>
      </c>
      <c r="AA889" s="349">
        <v>0.76600000000000001</v>
      </c>
      <c r="AB889" s="114">
        <v>89</v>
      </c>
      <c r="AC889" s="50">
        <v>7450</v>
      </c>
      <c r="AD889" s="271">
        <v>0.45</v>
      </c>
      <c r="AE889" s="50"/>
      <c r="AF889" s="113"/>
      <c r="AG889" s="50"/>
      <c r="AH889" s="50"/>
      <c r="AI889" s="50"/>
      <c r="AJ889" s="50"/>
      <c r="AK889" s="50"/>
      <c r="AL889" s="50"/>
      <c r="AM889" s="50"/>
      <c r="AN889" s="50"/>
      <c r="AO889" s="49"/>
      <c r="AP889" s="49"/>
      <c r="AQ889" s="49"/>
      <c r="AR889" s="49"/>
      <c r="AS889" s="49"/>
      <c r="AT889" s="49"/>
      <c r="AU889" s="113"/>
      <c r="AV889" s="49"/>
      <c r="AW889" s="394"/>
      <c r="AX889" s="385"/>
      <c r="AY889" s="385"/>
      <c r="AZ889" s="385"/>
      <c r="BA889" s="385"/>
      <c r="BB889" s="385"/>
      <c r="BC889" s="385"/>
      <c r="BD889" s="385"/>
      <c r="BE889" s="385"/>
      <c r="BF889" s="385"/>
      <c r="BG889" s="385"/>
      <c r="BH889" s="385"/>
      <c r="BI889" s="385"/>
      <c r="BJ889" s="385"/>
      <c r="BK889" s="385"/>
      <c r="BL889" s="385"/>
      <c r="BM889" s="385"/>
      <c r="BN889" s="385"/>
      <c r="BO889" s="385"/>
      <c r="BP889" s="385"/>
      <c r="BQ889" s="385"/>
      <c r="BR889" s="385"/>
      <c r="BS889" s="385"/>
      <c r="BT889" s="385"/>
      <c r="BU889" s="385"/>
      <c r="BV889" s="385"/>
      <c r="BW889" s="385"/>
      <c r="BX889" s="385"/>
      <c r="BY889" s="385"/>
      <c r="BZ889" s="385"/>
      <c r="CA889" s="385"/>
    </row>
    <row r="890" spans="1:79" s="6" customFormat="1" ht="15" customHeight="1">
      <c r="A890" s="41" t="s">
        <v>183</v>
      </c>
      <c r="B890" s="402" t="s">
        <v>3695</v>
      </c>
      <c r="C890" s="113" t="s">
        <v>3695</v>
      </c>
      <c r="D890" s="393" t="s">
        <v>861</v>
      </c>
      <c r="E890" s="394" t="s">
        <v>862</v>
      </c>
      <c r="F890" s="401"/>
      <c r="G890" s="405" t="s">
        <v>868</v>
      </c>
      <c r="H890" s="113">
        <v>3672</v>
      </c>
      <c r="I890" s="49"/>
      <c r="J890" s="48" t="s">
        <v>869</v>
      </c>
      <c r="K890" s="51">
        <v>41131</v>
      </c>
      <c r="L890" s="115">
        <v>41126</v>
      </c>
      <c r="M890" s="50">
        <v>5</v>
      </c>
      <c r="N890" s="50" t="s">
        <v>2</v>
      </c>
      <c r="O890" s="74">
        <f>1.5/2</f>
        <v>0.75</v>
      </c>
      <c r="P890" s="50">
        <v>5.32</v>
      </c>
      <c r="Q890" s="74">
        <v>6.76</v>
      </c>
      <c r="R890" s="50">
        <v>36</v>
      </c>
      <c r="S890" s="74">
        <v>85</v>
      </c>
      <c r="T890" s="50">
        <v>0.28999999999999998</v>
      </c>
      <c r="U890" s="131">
        <v>5.2</v>
      </c>
      <c r="V890" s="50">
        <v>1.37</v>
      </c>
      <c r="W890" s="74">
        <v>6.2E-2</v>
      </c>
      <c r="X890" s="50">
        <v>1.1000000000000001</v>
      </c>
      <c r="Y890" s="74">
        <v>1.2E-2</v>
      </c>
      <c r="Z890" s="349"/>
      <c r="AA890" s="349"/>
      <c r="AB890" s="114"/>
      <c r="AC890" s="50"/>
      <c r="AD890" s="271"/>
      <c r="AE890" s="50"/>
      <c r="AF890" s="113"/>
      <c r="AG890" s="50"/>
      <c r="AH890" s="50"/>
      <c r="AI890" s="50"/>
      <c r="AJ890" s="50"/>
      <c r="AK890" s="50"/>
      <c r="AL890" s="50"/>
      <c r="AM890" s="50"/>
      <c r="AN890" s="50"/>
      <c r="AO890" s="49"/>
      <c r="AP890" s="49"/>
      <c r="AQ890" s="49"/>
      <c r="AR890" s="49"/>
      <c r="AS890" s="49"/>
      <c r="AT890" s="49"/>
      <c r="AU890" s="113"/>
      <c r="AV890" s="49"/>
      <c r="AW890" s="394"/>
      <c r="AX890" s="385"/>
      <c r="AY890" s="385"/>
      <c r="AZ890" s="385"/>
      <c r="BA890" s="385"/>
      <c r="BB890" s="385"/>
      <c r="BC890" s="385"/>
      <c r="BD890" s="385"/>
      <c r="BE890" s="385"/>
      <c r="BF890" s="385"/>
      <c r="BG890" s="385"/>
      <c r="BH890" s="385"/>
      <c r="BI890" s="385"/>
      <c r="BJ890" s="385"/>
      <c r="BK890" s="385"/>
      <c r="BL890" s="385"/>
      <c r="BM890" s="385"/>
      <c r="BN890" s="385"/>
      <c r="BO890" s="385"/>
      <c r="BP890" s="385"/>
      <c r="BQ890" s="385"/>
      <c r="BR890" s="385"/>
      <c r="BS890" s="385"/>
      <c r="BT890" s="385"/>
      <c r="BU890" s="385"/>
      <c r="BV890" s="385"/>
      <c r="BW890" s="385"/>
      <c r="BX890" s="385"/>
      <c r="BY890" s="385"/>
      <c r="BZ890" s="385"/>
      <c r="CA890" s="385"/>
    </row>
    <row r="891" spans="1:79" s="6" customFormat="1" ht="15" customHeight="1">
      <c r="A891" s="41" t="s">
        <v>183</v>
      </c>
      <c r="B891" s="402" t="s">
        <v>3695</v>
      </c>
      <c r="C891" s="113" t="s">
        <v>3695</v>
      </c>
      <c r="D891" s="393" t="s">
        <v>861</v>
      </c>
      <c r="E891" s="394" t="s">
        <v>862</v>
      </c>
      <c r="F891" s="401"/>
      <c r="G891" s="405" t="s">
        <v>868</v>
      </c>
      <c r="H891" s="113">
        <v>3672</v>
      </c>
      <c r="I891" s="49"/>
      <c r="J891" s="48" t="s">
        <v>870</v>
      </c>
      <c r="K891" s="51">
        <v>41131</v>
      </c>
      <c r="L891" s="115">
        <v>41126</v>
      </c>
      <c r="M891" s="50">
        <v>5</v>
      </c>
      <c r="N891" s="50" t="s">
        <v>2</v>
      </c>
      <c r="O891" s="74">
        <f>1.4/2</f>
        <v>0.7</v>
      </c>
      <c r="P891" s="50">
        <v>5.32</v>
      </c>
      <c r="Q891" s="74">
        <v>5.59</v>
      </c>
      <c r="R891" s="50">
        <v>83</v>
      </c>
      <c r="S891" s="74">
        <f>5/2</f>
        <v>2.5</v>
      </c>
      <c r="T891" s="50">
        <f>0.01/2</f>
        <v>5.0000000000000001E-3</v>
      </c>
      <c r="U891" s="131">
        <v>1.21</v>
      </c>
      <c r="V891" s="50">
        <v>0.97</v>
      </c>
      <c r="W891" s="74">
        <f>0.005/2</f>
        <v>2.5000000000000001E-3</v>
      </c>
      <c r="X891" s="50">
        <v>0.70699999999999996</v>
      </c>
      <c r="Y891" s="74">
        <f>0.002/2</f>
        <v>1E-3</v>
      </c>
      <c r="Z891" s="349"/>
      <c r="AA891" s="349"/>
      <c r="AB891" s="114"/>
      <c r="AC891" s="50"/>
      <c r="AD891" s="271"/>
      <c r="AE891" s="50"/>
      <c r="AF891" s="113"/>
      <c r="AG891" s="50"/>
      <c r="AH891" s="50"/>
      <c r="AI891" s="50"/>
      <c r="AJ891" s="50"/>
      <c r="AK891" s="50"/>
      <c r="AL891" s="50"/>
      <c r="AM891" s="50"/>
      <c r="AN891" s="50"/>
      <c r="AO891" s="49"/>
      <c r="AP891" s="49"/>
      <c r="AQ891" s="49"/>
      <c r="AR891" s="49"/>
      <c r="AS891" s="49"/>
      <c r="AT891" s="49"/>
      <c r="AU891" s="113"/>
      <c r="AV891" s="49"/>
      <c r="AW891" s="394"/>
      <c r="AX891" s="385"/>
      <c r="AY891" s="385"/>
      <c r="AZ891" s="385"/>
      <c r="BA891" s="385"/>
      <c r="BB891" s="385"/>
      <c r="BC891" s="385"/>
      <c r="BD891" s="385"/>
      <c r="BE891" s="385"/>
      <c r="BF891" s="385"/>
      <c r="BG891" s="385"/>
      <c r="BH891" s="385"/>
      <c r="BI891" s="385"/>
      <c r="BJ891" s="385"/>
      <c r="BK891" s="385"/>
      <c r="BL891" s="385"/>
      <c r="BM891" s="385"/>
      <c r="BN891" s="385"/>
      <c r="BO891" s="385"/>
      <c r="BP891" s="385"/>
      <c r="BQ891" s="385"/>
      <c r="BR891" s="385"/>
      <c r="BS891" s="385"/>
      <c r="BT891" s="385"/>
      <c r="BU891" s="385"/>
      <c r="BV891" s="385"/>
      <c r="BW891" s="385"/>
      <c r="BX891" s="385"/>
      <c r="BY891" s="385"/>
      <c r="BZ891" s="385"/>
      <c r="CA891" s="385"/>
    </row>
    <row r="892" spans="1:79" s="6" customFormat="1" ht="15" customHeight="1">
      <c r="A892" s="41" t="s">
        <v>183</v>
      </c>
      <c r="B892" s="402" t="s">
        <v>3695</v>
      </c>
      <c r="C892" s="113" t="s">
        <v>3695</v>
      </c>
      <c r="D892" s="393" t="s">
        <v>861</v>
      </c>
      <c r="E892" s="394" t="s">
        <v>862</v>
      </c>
      <c r="F892" s="401"/>
      <c r="G892" s="405" t="s">
        <v>868</v>
      </c>
      <c r="H892" s="113">
        <v>3672</v>
      </c>
      <c r="I892" s="49"/>
      <c r="J892" s="48" t="s">
        <v>871</v>
      </c>
      <c r="K892" s="51">
        <v>41131</v>
      </c>
      <c r="L892" s="115">
        <v>41126</v>
      </c>
      <c r="M892" s="50">
        <v>5</v>
      </c>
      <c r="N892" s="50" t="s">
        <v>2</v>
      </c>
      <c r="O892" s="74">
        <f>1.5/2</f>
        <v>0.75</v>
      </c>
      <c r="P892" s="50">
        <v>5.32</v>
      </c>
      <c r="Q892" s="74">
        <v>5.63</v>
      </c>
      <c r="R892" s="50">
        <v>140</v>
      </c>
      <c r="S892" s="74">
        <v>26</v>
      </c>
      <c r="T892" s="50">
        <v>0.09</v>
      </c>
      <c r="U892" s="131">
        <v>4.29</v>
      </c>
      <c r="V892" s="50">
        <v>0.75</v>
      </c>
      <c r="W892" s="74">
        <v>0.18099999999999999</v>
      </c>
      <c r="X892" s="50">
        <v>0.27</v>
      </c>
      <c r="Y892" s="74">
        <v>1.6E-2</v>
      </c>
      <c r="Z892" s="349"/>
      <c r="AA892" s="349"/>
      <c r="AB892" s="114"/>
      <c r="AC892" s="50"/>
      <c r="AD892" s="271"/>
      <c r="AE892" s="50"/>
      <c r="AF892" s="113"/>
      <c r="AG892" s="50"/>
      <c r="AH892" s="50"/>
      <c r="AI892" s="50"/>
      <c r="AJ892" s="50"/>
      <c r="AK892" s="50"/>
      <c r="AL892" s="50"/>
      <c r="AM892" s="50"/>
      <c r="AN892" s="50"/>
      <c r="AO892" s="49"/>
      <c r="AP892" s="49"/>
      <c r="AQ892" s="49"/>
      <c r="AR892" s="49"/>
      <c r="AS892" s="49"/>
      <c r="AT892" s="49"/>
      <c r="AU892" s="113"/>
      <c r="AV892" s="49"/>
      <c r="AW892" s="394"/>
      <c r="AX892" s="385"/>
      <c r="AY892" s="385"/>
      <c r="AZ892" s="385"/>
      <c r="BA892" s="385"/>
      <c r="BB892" s="385"/>
      <c r="BC892" s="385"/>
      <c r="BD892" s="385"/>
      <c r="BE892" s="385"/>
      <c r="BF892" s="385"/>
      <c r="BG892" s="385"/>
      <c r="BH892" s="385"/>
      <c r="BI892" s="385"/>
      <c r="BJ892" s="385"/>
      <c r="BK892" s="385"/>
      <c r="BL892" s="385"/>
      <c r="BM892" s="385"/>
      <c r="BN892" s="385"/>
      <c r="BO892" s="385"/>
      <c r="BP892" s="385"/>
      <c r="BQ892" s="385"/>
      <c r="BR892" s="385"/>
      <c r="BS892" s="385"/>
      <c r="BT892" s="385"/>
      <c r="BU892" s="385"/>
      <c r="BV892" s="385"/>
      <c r="BW892" s="385"/>
      <c r="BX892" s="385"/>
      <c r="BY892" s="385"/>
      <c r="BZ892" s="385"/>
      <c r="CA892" s="385"/>
    </row>
    <row r="893" spans="1:79" s="6" customFormat="1" ht="15" customHeight="1">
      <c r="A893" s="41" t="s">
        <v>183</v>
      </c>
      <c r="B893" s="402" t="s">
        <v>3695</v>
      </c>
      <c r="C893" s="113" t="s">
        <v>3695</v>
      </c>
      <c r="D893" s="393" t="s">
        <v>861</v>
      </c>
      <c r="E893" s="394" t="s">
        <v>862</v>
      </c>
      <c r="F893" s="401"/>
      <c r="G893" s="405" t="s">
        <v>868</v>
      </c>
      <c r="H893" s="113">
        <v>3672</v>
      </c>
      <c r="I893" s="49"/>
      <c r="J893" s="48" t="s">
        <v>872</v>
      </c>
      <c r="K893" s="51">
        <v>41131</v>
      </c>
      <c r="L893" s="115">
        <v>41126</v>
      </c>
      <c r="M893" s="50">
        <v>5</v>
      </c>
      <c r="N893" s="50" t="s">
        <v>2</v>
      </c>
      <c r="O893" s="74">
        <f>1.4/2</f>
        <v>0.7</v>
      </c>
      <c r="P893" s="50">
        <v>5.32</v>
      </c>
      <c r="Q893" s="74">
        <v>5.71</v>
      </c>
      <c r="R893" s="50">
        <v>36</v>
      </c>
      <c r="S893" s="74">
        <v>14</v>
      </c>
      <c r="T893" s="50">
        <v>0.13</v>
      </c>
      <c r="U893" s="131">
        <v>1.43</v>
      </c>
      <c r="V893" s="50">
        <v>0.3</v>
      </c>
      <c r="W893" s="74">
        <v>2.1999999999999999E-2</v>
      </c>
      <c r="X893" s="50">
        <v>0.12</v>
      </c>
      <c r="Y893" s="74">
        <v>3.0000000000000001E-3</v>
      </c>
      <c r="Z893" s="349"/>
      <c r="AA893" s="349"/>
      <c r="AB893" s="114"/>
      <c r="AC893" s="50"/>
      <c r="AD893" s="271"/>
      <c r="AE893" s="50"/>
      <c r="AF893" s="113"/>
      <c r="AG893" s="50"/>
      <c r="AH893" s="50"/>
      <c r="AI893" s="50"/>
      <c r="AJ893" s="50"/>
      <c r="AK893" s="50"/>
      <c r="AL893" s="50"/>
      <c r="AM893" s="50"/>
      <c r="AN893" s="50"/>
      <c r="AO893" s="49"/>
      <c r="AP893" s="49"/>
      <c r="AQ893" s="49"/>
      <c r="AR893" s="49"/>
      <c r="AS893" s="49"/>
      <c r="AT893" s="49"/>
      <c r="AU893" s="113"/>
      <c r="AV893" s="49"/>
      <c r="AW893" s="394"/>
      <c r="AX893" s="385"/>
      <c r="AY893" s="385"/>
      <c r="AZ893" s="385"/>
      <c r="BA893" s="385"/>
      <c r="BB893" s="385"/>
      <c r="BC893" s="385"/>
      <c r="BD893" s="385"/>
      <c r="BE893" s="385"/>
      <c r="BF893" s="385"/>
      <c r="BG893" s="385"/>
      <c r="BH893" s="385"/>
      <c r="BI893" s="385"/>
      <c r="BJ893" s="385"/>
      <c r="BK893" s="385"/>
      <c r="BL893" s="385"/>
      <c r="BM893" s="385"/>
      <c r="BN893" s="385"/>
      <c r="BO893" s="385"/>
      <c r="BP893" s="385"/>
      <c r="BQ893" s="385"/>
      <c r="BR893" s="385"/>
      <c r="BS893" s="385"/>
      <c r="BT893" s="385"/>
      <c r="BU893" s="385"/>
      <c r="BV893" s="385"/>
      <c r="BW893" s="385"/>
      <c r="BX893" s="385"/>
      <c r="BY893" s="385"/>
      <c r="BZ893" s="385"/>
      <c r="CA893" s="385"/>
    </row>
    <row r="894" spans="1:79" s="6" customFormat="1" ht="15" customHeight="1">
      <c r="A894" s="41" t="s">
        <v>183</v>
      </c>
      <c r="B894" s="402" t="s">
        <v>3697</v>
      </c>
      <c r="C894" s="113" t="s">
        <v>3697</v>
      </c>
      <c r="D894" s="393" t="s">
        <v>372</v>
      </c>
      <c r="E894" s="394" t="s">
        <v>235</v>
      </c>
      <c r="F894" s="401"/>
      <c r="G894" s="405" t="s">
        <v>3698</v>
      </c>
      <c r="H894" s="113">
        <v>4111</v>
      </c>
      <c r="I894" s="49"/>
      <c r="J894" s="48" t="s">
        <v>5317</v>
      </c>
      <c r="K894" s="51">
        <v>40996</v>
      </c>
      <c r="L894" s="115">
        <v>40992</v>
      </c>
      <c r="M894" s="50">
        <f>K894-L894</f>
        <v>4</v>
      </c>
      <c r="N894" s="50" t="s">
        <v>2</v>
      </c>
      <c r="O894" s="74">
        <v>5.3</v>
      </c>
      <c r="P894" s="50">
        <v>6</v>
      </c>
      <c r="Q894" s="74">
        <v>7.16</v>
      </c>
      <c r="R894" s="50">
        <v>71.8</v>
      </c>
      <c r="S894" s="74">
        <v>134</v>
      </c>
      <c r="T894" s="50">
        <v>0.28000000000000003</v>
      </c>
      <c r="U894" s="131">
        <v>2.06</v>
      </c>
      <c r="V894" s="50">
        <v>0.33</v>
      </c>
      <c r="W894" s="74">
        <v>0.1</v>
      </c>
      <c r="X894" s="50">
        <v>0.22</v>
      </c>
      <c r="Y894" s="74">
        <v>0.04</v>
      </c>
      <c r="Z894" s="349">
        <v>1</v>
      </c>
      <c r="AA894" s="349">
        <v>1</v>
      </c>
      <c r="AB894" s="114">
        <v>29.5</v>
      </c>
      <c r="AC894" s="50">
        <v>110</v>
      </c>
      <c r="AD894" s="271">
        <v>0.9</v>
      </c>
      <c r="AE894" s="50"/>
      <c r="AF894" s="113"/>
      <c r="AG894" s="50"/>
      <c r="AH894" s="50"/>
      <c r="AI894" s="50"/>
      <c r="AJ894" s="50"/>
      <c r="AK894" s="50"/>
      <c r="AL894" s="50"/>
      <c r="AM894" s="50"/>
      <c r="AN894" s="50"/>
      <c r="AO894" s="49"/>
      <c r="AP894" s="49"/>
      <c r="AQ894" s="49"/>
      <c r="AR894" s="49"/>
      <c r="AS894" s="49"/>
      <c r="AT894" s="49"/>
      <c r="AU894" s="113"/>
      <c r="AV894" s="49"/>
      <c r="AW894" s="394"/>
      <c r="AX894" s="385"/>
      <c r="AY894" s="385"/>
      <c r="AZ894" s="385"/>
      <c r="BA894" s="385"/>
      <c r="BB894" s="385"/>
      <c r="BC894" s="385"/>
      <c r="BD894" s="385"/>
      <c r="BE894" s="385"/>
      <c r="BF894" s="385"/>
      <c r="BG894" s="385"/>
      <c r="BH894" s="385"/>
      <c r="BI894" s="385"/>
      <c r="BJ894" s="385"/>
      <c r="BK894" s="385"/>
      <c r="BL894" s="385"/>
      <c r="BM894" s="385"/>
      <c r="BN894" s="385"/>
      <c r="BO894" s="385"/>
      <c r="BP894" s="385"/>
      <c r="BQ894" s="385"/>
      <c r="BR894" s="385"/>
      <c r="BS894" s="385"/>
      <c r="BT894" s="385"/>
      <c r="BU894" s="385"/>
      <c r="BV894" s="385"/>
      <c r="BW894" s="385"/>
      <c r="BX894" s="385"/>
      <c r="BY894" s="385"/>
      <c r="BZ894" s="385"/>
      <c r="CA894" s="385"/>
    </row>
    <row r="895" spans="1:79" s="6" customFormat="1" ht="15" customHeight="1">
      <c r="A895" s="41" t="s">
        <v>183</v>
      </c>
      <c r="B895" s="402" t="s">
        <v>3699</v>
      </c>
      <c r="C895" s="113" t="s">
        <v>3699</v>
      </c>
      <c r="D895" s="393" t="s">
        <v>111</v>
      </c>
      <c r="E895" s="394" t="s">
        <v>112</v>
      </c>
      <c r="F895" s="401" t="s">
        <v>3447</v>
      </c>
      <c r="G895" s="405" t="s">
        <v>1972</v>
      </c>
      <c r="H895" s="113">
        <v>3672</v>
      </c>
      <c r="I895" s="49" t="s">
        <v>1</v>
      </c>
      <c r="J895" s="48" t="s">
        <v>3144</v>
      </c>
      <c r="K895" s="51">
        <v>41170</v>
      </c>
      <c r="L895" s="115">
        <v>41160</v>
      </c>
      <c r="M895" s="50">
        <v>10</v>
      </c>
      <c r="N895" s="50" t="s">
        <v>2</v>
      </c>
      <c r="O895" s="74">
        <v>2.1</v>
      </c>
      <c r="P895" s="50">
        <v>6.5</v>
      </c>
      <c r="Q895" s="74">
        <v>7</v>
      </c>
      <c r="R895" s="50">
        <v>21</v>
      </c>
      <c r="S895" s="74">
        <v>23</v>
      </c>
      <c r="T895" s="50">
        <v>0.05</v>
      </c>
      <c r="U895" s="131">
        <v>1.51</v>
      </c>
      <c r="V895" s="50">
        <v>0.46</v>
      </c>
      <c r="W895" s="74">
        <v>2.1999999999999999E-2</v>
      </c>
      <c r="X895" s="50">
        <v>0.03</v>
      </c>
      <c r="Y895" s="74">
        <f>0.03/2</f>
        <v>1.4999999999999999E-2</v>
      </c>
      <c r="Z895" s="349"/>
      <c r="AA895" s="349"/>
      <c r="AB895" s="114"/>
      <c r="AC895" s="50"/>
      <c r="AD895" s="271"/>
      <c r="AE895" s="50"/>
      <c r="AF895" s="113"/>
      <c r="AG895" s="50"/>
      <c r="AH895" s="50"/>
      <c r="AI895" s="50"/>
      <c r="AJ895" s="50"/>
      <c r="AK895" s="50"/>
      <c r="AL895" s="50"/>
      <c r="AM895" s="50"/>
      <c r="AN895" s="50"/>
      <c r="AO895" s="49"/>
      <c r="AP895" s="49"/>
      <c r="AQ895" s="49"/>
      <c r="AR895" s="49"/>
      <c r="AS895" s="49"/>
      <c r="AT895" s="49"/>
      <c r="AU895" s="113"/>
      <c r="AV895" s="49"/>
      <c r="AW895" s="394"/>
      <c r="AX895" s="385"/>
      <c r="AY895" s="385"/>
      <c r="AZ895" s="385"/>
      <c r="BA895" s="385"/>
      <c r="BB895" s="385"/>
      <c r="BC895" s="385"/>
      <c r="BD895" s="385"/>
      <c r="BE895" s="385"/>
      <c r="BF895" s="385"/>
      <c r="BG895" s="385"/>
      <c r="BH895" s="385"/>
      <c r="BI895" s="385"/>
      <c r="BJ895" s="385"/>
      <c r="BK895" s="385"/>
      <c r="BL895" s="385"/>
      <c r="BM895" s="385"/>
      <c r="BN895" s="385"/>
      <c r="BO895" s="385"/>
      <c r="BP895" s="385"/>
      <c r="BQ895" s="385"/>
      <c r="BR895" s="385"/>
      <c r="BS895" s="385"/>
      <c r="BT895" s="385"/>
      <c r="BU895" s="385"/>
      <c r="BV895" s="385"/>
      <c r="BW895" s="385"/>
      <c r="BX895" s="385"/>
      <c r="BY895" s="385"/>
      <c r="BZ895" s="385"/>
      <c r="CA895" s="385"/>
    </row>
    <row r="896" spans="1:79" s="6" customFormat="1" ht="15" customHeight="1">
      <c r="A896" s="41" t="s">
        <v>183</v>
      </c>
      <c r="B896" s="402" t="s">
        <v>3700</v>
      </c>
      <c r="C896" s="113" t="s">
        <v>3700</v>
      </c>
      <c r="D896" s="393" t="s">
        <v>379</v>
      </c>
      <c r="E896" s="394"/>
      <c r="F896" s="401"/>
      <c r="G896" s="405" t="s">
        <v>3701</v>
      </c>
      <c r="H896" s="113">
        <v>332813</v>
      </c>
      <c r="I896" s="49" t="s">
        <v>2</v>
      </c>
      <c r="J896" s="48" t="s">
        <v>3702</v>
      </c>
      <c r="K896" s="51">
        <v>41184</v>
      </c>
      <c r="L896" s="115">
        <v>41180</v>
      </c>
      <c r="M896" s="50">
        <v>4</v>
      </c>
      <c r="N896" s="50" t="s">
        <v>2</v>
      </c>
      <c r="O896" s="74">
        <v>4.5</v>
      </c>
      <c r="P896" s="50">
        <v>5.83</v>
      </c>
      <c r="Q896" s="74">
        <v>6.01</v>
      </c>
      <c r="R896" s="50">
        <v>13.8</v>
      </c>
      <c r="S896" s="74">
        <v>1</v>
      </c>
      <c r="T896" s="50">
        <v>0.06</v>
      </c>
      <c r="U896" s="131">
        <v>1</v>
      </c>
      <c r="V896" s="50">
        <f>0.2/2</f>
        <v>0.1</v>
      </c>
      <c r="W896" s="74">
        <f>0.01/2</f>
        <v>5.0000000000000001E-3</v>
      </c>
      <c r="X896" s="50">
        <v>0.02</v>
      </c>
      <c r="Y896" s="74">
        <f>0.02/2</f>
        <v>0.01</v>
      </c>
      <c r="Z896" s="349"/>
      <c r="AA896" s="349"/>
      <c r="AB896" s="114"/>
      <c r="AC896" s="50"/>
      <c r="AD896" s="271"/>
      <c r="AE896" s="50"/>
      <c r="AF896" s="113"/>
      <c r="AG896" s="50"/>
      <c r="AH896" s="50"/>
      <c r="AI896" s="50"/>
      <c r="AJ896" s="50"/>
      <c r="AK896" s="50"/>
      <c r="AL896" s="50"/>
      <c r="AM896" s="50"/>
      <c r="AN896" s="50"/>
      <c r="AO896" s="49"/>
      <c r="AP896" s="49"/>
      <c r="AQ896" s="49"/>
      <c r="AR896" s="49"/>
      <c r="AS896" s="49"/>
      <c r="AT896" s="49"/>
      <c r="AU896" s="113"/>
      <c r="AV896" s="49"/>
      <c r="AW896" s="394"/>
      <c r="AX896" s="385"/>
      <c r="AY896" s="385"/>
      <c r="AZ896" s="385"/>
      <c r="BA896" s="385"/>
      <c r="BB896" s="385"/>
      <c r="BC896" s="385"/>
      <c r="BD896" s="385"/>
      <c r="BE896" s="385"/>
      <c r="BF896" s="385"/>
      <c r="BG896" s="385"/>
      <c r="BH896" s="385"/>
      <c r="BI896" s="385"/>
      <c r="BJ896" s="385"/>
      <c r="BK896" s="385"/>
      <c r="BL896" s="385"/>
      <c r="BM896" s="385"/>
      <c r="BN896" s="385"/>
      <c r="BO896" s="385"/>
      <c r="BP896" s="385"/>
      <c r="BQ896" s="385"/>
      <c r="BR896" s="385"/>
      <c r="BS896" s="385"/>
      <c r="BT896" s="385"/>
      <c r="BU896" s="385"/>
      <c r="BV896" s="385"/>
      <c r="BW896" s="385"/>
      <c r="BX896" s="385"/>
      <c r="BY896" s="385"/>
      <c r="BZ896" s="385"/>
      <c r="CA896" s="385"/>
    </row>
    <row r="897" spans="1:79" s="6" customFormat="1" ht="15" customHeight="1">
      <c r="A897" s="41" t="s">
        <v>183</v>
      </c>
      <c r="B897" s="402" t="s">
        <v>3703</v>
      </c>
      <c r="C897" s="113" t="s">
        <v>3704</v>
      </c>
      <c r="D897" s="393" t="s">
        <v>910</v>
      </c>
      <c r="E897" s="394" t="s">
        <v>1546</v>
      </c>
      <c r="F897" s="401"/>
      <c r="G897" s="405" t="s">
        <v>3705</v>
      </c>
      <c r="H897" s="113">
        <v>4213</v>
      </c>
      <c r="I897" s="49" t="s">
        <v>1</v>
      </c>
      <c r="J897" s="48" t="s">
        <v>641</v>
      </c>
      <c r="K897" s="51">
        <v>41170</v>
      </c>
      <c r="L897" s="115">
        <v>41160</v>
      </c>
      <c r="M897" s="50">
        <v>10</v>
      </c>
      <c r="N897" s="50" t="s">
        <v>2</v>
      </c>
      <c r="O897" s="74">
        <v>1.6</v>
      </c>
      <c r="P897" s="50"/>
      <c r="Q897" s="74">
        <v>6.22</v>
      </c>
      <c r="R897" s="50">
        <v>53</v>
      </c>
      <c r="S897" s="74">
        <v>45</v>
      </c>
      <c r="T897" s="50">
        <v>0.28999999999999998</v>
      </c>
      <c r="U897" s="131">
        <v>3.57</v>
      </c>
      <c r="V897" s="50">
        <v>0.92</v>
      </c>
      <c r="W897" s="74">
        <v>1.6E-2</v>
      </c>
      <c r="X897" s="50">
        <v>0.155</v>
      </c>
      <c r="Y897" s="74">
        <v>5.0000000000000001E-3</v>
      </c>
      <c r="Z897" s="349">
        <v>1</v>
      </c>
      <c r="AA897" s="349">
        <v>1</v>
      </c>
      <c r="AB897" s="114">
        <v>9.2799999999999994</v>
      </c>
      <c r="AC897" s="50">
        <v>72</v>
      </c>
      <c r="AD897" s="271">
        <v>1</v>
      </c>
      <c r="AE897" s="50"/>
      <c r="AF897" s="113"/>
      <c r="AG897" s="50"/>
      <c r="AH897" s="50"/>
      <c r="AI897" s="50"/>
      <c r="AJ897" s="50"/>
      <c r="AK897" s="50"/>
      <c r="AL897" s="50"/>
      <c r="AM897" s="50"/>
      <c r="AN897" s="50"/>
      <c r="AO897" s="49"/>
      <c r="AP897" s="49"/>
      <c r="AQ897" s="49"/>
      <c r="AR897" s="49"/>
      <c r="AS897" s="49"/>
      <c r="AT897" s="49"/>
      <c r="AU897" s="113"/>
      <c r="AV897" s="49"/>
      <c r="AW897" s="394"/>
      <c r="AX897" s="385"/>
      <c r="AY897" s="385"/>
      <c r="AZ897" s="385"/>
      <c r="BA897" s="385"/>
      <c r="BB897" s="385"/>
      <c r="BC897" s="385"/>
      <c r="BD897" s="385"/>
      <c r="BE897" s="385"/>
      <c r="BF897" s="385"/>
      <c r="BG897" s="385"/>
      <c r="BH897" s="385"/>
      <c r="BI897" s="385"/>
      <c r="BJ897" s="385"/>
      <c r="BK897" s="385"/>
      <c r="BL897" s="385"/>
      <c r="BM897" s="385"/>
      <c r="BN897" s="385"/>
      <c r="BO897" s="385"/>
      <c r="BP897" s="385"/>
      <c r="BQ897" s="385"/>
      <c r="BR897" s="385"/>
      <c r="BS897" s="385"/>
      <c r="BT897" s="385"/>
      <c r="BU897" s="385"/>
      <c r="BV897" s="385"/>
      <c r="BW897" s="385"/>
      <c r="BX897" s="385"/>
      <c r="BY897" s="385"/>
      <c r="BZ897" s="385"/>
      <c r="CA897" s="385"/>
    </row>
    <row r="898" spans="1:79" s="6" customFormat="1" ht="15" customHeight="1">
      <c r="A898" s="41" t="s">
        <v>183</v>
      </c>
      <c r="B898" s="402" t="s">
        <v>3696</v>
      </c>
      <c r="C898" s="113" t="s">
        <v>3696</v>
      </c>
      <c r="D898" s="393" t="s">
        <v>257</v>
      </c>
      <c r="E898" s="394"/>
      <c r="F898" s="401"/>
      <c r="G898" s="405" t="s">
        <v>2215</v>
      </c>
      <c r="H898" s="113"/>
      <c r="I898" s="49"/>
      <c r="J898" s="48" t="s">
        <v>3738</v>
      </c>
      <c r="K898" s="51">
        <v>41170</v>
      </c>
      <c r="L898" s="115">
        <v>41160</v>
      </c>
      <c r="M898" s="50">
        <v>10</v>
      </c>
      <c r="N898" s="50" t="s">
        <v>2</v>
      </c>
      <c r="O898" s="74">
        <v>4.0999999999999996</v>
      </c>
      <c r="P898" s="50">
        <v>5.3</v>
      </c>
      <c r="Q898" s="74">
        <v>5.0999999999999996</v>
      </c>
      <c r="R898" s="50">
        <v>53.9</v>
      </c>
      <c r="S898" s="74">
        <f>25/2</f>
        <v>12.5</v>
      </c>
      <c r="T898" s="50">
        <f>0.1/2</f>
        <v>0.05</v>
      </c>
      <c r="U898" s="131">
        <v>1.2</v>
      </c>
      <c r="V898" s="50">
        <v>0.55000000000000004</v>
      </c>
      <c r="W898" s="74">
        <f>0.02/2</f>
        <v>0.01</v>
      </c>
      <c r="X898" s="50">
        <v>0.3</v>
      </c>
      <c r="Y898" s="74">
        <v>3.0000000000000001E-3</v>
      </c>
      <c r="Z898" s="349"/>
      <c r="AA898" s="349"/>
      <c r="AB898" s="114"/>
      <c r="AC898" s="50"/>
      <c r="AD898" s="271"/>
      <c r="AE898" s="50"/>
      <c r="AF898" s="113"/>
      <c r="AG898" s="50"/>
      <c r="AH898" s="50"/>
      <c r="AI898" s="50"/>
      <c r="AJ898" s="50"/>
      <c r="AK898" s="50"/>
      <c r="AL898" s="50"/>
      <c r="AM898" s="50"/>
      <c r="AN898" s="50"/>
      <c r="AO898" s="49"/>
      <c r="AP898" s="49"/>
      <c r="AQ898" s="49"/>
      <c r="AR898" s="49"/>
      <c r="AS898" s="49"/>
      <c r="AT898" s="49"/>
      <c r="AU898" s="113"/>
      <c r="AV898" s="49"/>
      <c r="AW898" s="394"/>
      <c r="AX898" s="385"/>
      <c r="AY898" s="385"/>
      <c r="AZ898" s="385"/>
      <c r="BA898" s="385"/>
      <c r="BB898" s="385"/>
      <c r="BC898" s="385"/>
      <c r="BD898" s="385"/>
      <c r="BE898" s="385"/>
      <c r="BF898" s="385"/>
      <c r="BG898" s="385"/>
      <c r="BH898" s="385"/>
      <c r="BI898" s="385"/>
      <c r="BJ898" s="385"/>
      <c r="BK898" s="385"/>
      <c r="BL898" s="385"/>
      <c r="BM898" s="385"/>
      <c r="BN898" s="385"/>
      <c r="BO898" s="385"/>
      <c r="BP898" s="385"/>
      <c r="BQ898" s="385"/>
      <c r="BR898" s="385"/>
      <c r="BS898" s="385"/>
      <c r="BT898" s="385"/>
      <c r="BU898" s="385"/>
      <c r="BV898" s="385"/>
      <c r="BW898" s="385"/>
      <c r="BX898" s="385"/>
      <c r="BY898" s="385"/>
      <c r="BZ898" s="385"/>
      <c r="CA898" s="385"/>
    </row>
    <row r="899" spans="1:79" s="6" customFormat="1" ht="15" customHeight="1">
      <c r="A899" s="41" t="s">
        <v>183</v>
      </c>
      <c r="B899" s="402" t="s">
        <v>3696</v>
      </c>
      <c r="C899" s="113" t="s">
        <v>3696</v>
      </c>
      <c r="D899" s="393" t="s">
        <v>257</v>
      </c>
      <c r="E899" s="394"/>
      <c r="F899" s="401"/>
      <c r="G899" s="405" t="s">
        <v>2215</v>
      </c>
      <c r="H899" s="113"/>
      <c r="I899" s="49"/>
      <c r="J899" s="48" t="s">
        <v>3739</v>
      </c>
      <c r="K899" s="51">
        <v>41170</v>
      </c>
      <c r="L899" s="115">
        <v>41160</v>
      </c>
      <c r="M899" s="50">
        <v>10</v>
      </c>
      <c r="N899" s="50" t="s">
        <v>2</v>
      </c>
      <c r="O899" s="74">
        <v>2.7</v>
      </c>
      <c r="P899" s="50">
        <v>5.3</v>
      </c>
      <c r="Q899" s="74">
        <v>7.1</v>
      </c>
      <c r="R899" s="50">
        <v>75.099999999999994</v>
      </c>
      <c r="S899" s="74">
        <f>25/2</f>
        <v>12.5</v>
      </c>
      <c r="T899" s="50">
        <f>0.1/2</f>
        <v>0.05</v>
      </c>
      <c r="U899" s="131">
        <v>1.2</v>
      </c>
      <c r="V899" s="50">
        <v>0.78</v>
      </c>
      <c r="W899" s="74">
        <f>0.02/2</f>
        <v>0.01</v>
      </c>
      <c r="X899" s="50">
        <v>0.11</v>
      </c>
      <c r="Y899" s="74">
        <v>2E-3</v>
      </c>
      <c r="Z899" s="349"/>
      <c r="AA899" s="349"/>
      <c r="AB899" s="114"/>
      <c r="AC899" s="50"/>
      <c r="AD899" s="271"/>
      <c r="AE899" s="50"/>
      <c r="AF899" s="113"/>
      <c r="AG899" s="50"/>
      <c r="AH899" s="50"/>
      <c r="AI899" s="50"/>
      <c r="AJ899" s="50"/>
      <c r="AK899" s="50"/>
      <c r="AL899" s="50"/>
      <c r="AM899" s="50"/>
      <c r="AN899" s="50"/>
      <c r="AO899" s="49"/>
      <c r="AP899" s="49"/>
      <c r="AQ899" s="49"/>
      <c r="AR899" s="49"/>
      <c r="AS899" s="49"/>
      <c r="AT899" s="49"/>
      <c r="AU899" s="113"/>
      <c r="AV899" s="49"/>
      <c r="AW899" s="394"/>
      <c r="AX899" s="385"/>
      <c r="AY899" s="385"/>
      <c r="AZ899" s="385"/>
      <c r="BA899" s="385"/>
      <c r="BB899" s="385"/>
      <c r="BC899" s="385"/>
      <c r="BD899" s="385"/>
      <c r="BE899" s="385"/>
      <c r="BF899" s="385"/>
      <c r="BG899" s="385"/>
      <c r="BH899" s="385"/>
      <c r="BI899" s="385"/>
      <c r="BJ899" s="385"/>
      <c r="BK899" s="385"/>
      <c r="BL899" s="385"/>
      <c r="BM899" s="385"/>
      <c r="BN899" s="385"/>
      <c r="BO899" s="385"/>
      <c r="BP899" s="385"/>
      <c r="BQ899" s="385"/>
      <c r="BR899" s="385"/>
      <c r="BS899" s="385"/>
      <c r="BT899" s="385"/>
      <c r="BU899" s="385"/>
      <c r="BV899" s="385"/>
      <c r="BW899" s="385"/>
      <c r="BX899" s="385"/>
      <c r="BY899" s="385"/>
      <c r="BZ899" s="385"/>
      <c r="CA899" s="385"/>
    </row>
    <row r="900" spans="1:79" s="6" customFormat="1" ht="15" customHeight="1">
      <c r="A900" s="41" t="s">
        <v>183</v>
      </c>
      <c r="B900" s="402" t="s">
        <v>2104</v>
      </c>
      <c r="C900" s="113" t="s">
        <v>3706</v>
      </c>
      <c r="D900" s="393" t="s">
        <v>356</v>
      </c>
      <c r="E900" s="394" t="s">
        <v>1546</v>
      </c>
      <c r="F900" s="401"/>
      <c r="G900" s="405" t="s">
        <v>3604</v>
      </c>
      <c r="H900" s="113">
        <v>3479</v>
      </c>
      <c r="I900" s="49" t="s">
        <v>2</v>
      </c>
      <c r="J900" s="48" t="s">
        <v>3239</v>
      </c>
      <c r="K900" s="51">
        <v>41149</v>
      </c>
      <c r="L900" s="115">
        <v>41139</v>
      </c>
      <c r="M900" s="50">
        <v>10</v>
      </c>
      <c r="N900" s="50" t="s">
        <v>2</v>
      </c>
      <c r="O900" s="74">
        <f>1.4/2</f>
        <v>0.7</v>
      </c>
      <c r="P900" s="50">
        <v>5.72</v>
      </c>
      <c r="Q900" s="74">
        <v>7.35</v>
      </c>
      <c r="R900" s="50">
        <v>15</v>
      </c>
      <c r="S900" s="74">
        <f>5/2</f>
        <v>2.5</v>
      </c>
      <c r="T900" s="50">
        <v>0.03</v>
      </c>
      <c r="U900" s="131">
        <v>1.18</v>
      </c>
      <c r="V900" s="50">
        <v>0.38</v>
      </c>
      <c r="W900" s="74">
        <v>8.9999999999999993E-3</v>
      </c>
      <c r="X900" s="50">
        <v>4.9000000000000002E-2</v>
      </c>
      <c r="Y900" s="74">
        <f>0.002/2</f>
        <v>1E-3</v>
      </c>
      <c r="Z900" s="349">
        <v>1</v>
      </c>
      <c r="AA900" s="349">
        <v>1</v>
      </c>
      <c r="AB900" s="114">
        <v>28</v>
      </c>
      <c r="AC900" s="50">
        <v>117</v>
      </c>
      <c r="AD900" s="271">
        <v>1</v>
      </c>
      <c r="AE900" s="50"/>
      <c r="AF900" s="113"/>
      <c r="AG900" s="50"/>
      <c r="AH900" s="50"/>
      <c r="AI900" s="50"/>
      <c r="AJ900" s="50"/>
      <c r="AK900" s="50"/>
      <c r="AL900" s="50"/>
      <c r="AM900" s="50"/>
      <c r="AN900" s="50"/>
      <c r="AO900" s="49"/>
      <c r="AP900" s="49"/>
      <c r="AQ900" s="49"/>
      <c r="AR900" s="49"/>
      <c r="AS900" s="49"/>
      <c r="AT900" s="49"/>
      <c r="AU900" s="113"/>
      <c r="AV900" s="49"/>
      <c r="AW900" s="394"/>
      <c r="AX900" s="385"/>
      <c r="AY900" s="385"/>
      <c r="AZ900" s="385"/>
      <c r="BA900" s="385"/>
      <c r="BB900" s="385"/>
      <c r="BC900" s="385"/>
      <c r="BD900" s="385"/>
      <c r="BE900" s="385"/>
      <c r="BF900" s="385"/>
      <c r="BG900" s="385"/>
      <c r="BH900" s="385"/>
      <c r="BI900" s="385"/>
      <c r="BJ900" s="385"/>
      <c r="BK900" s="385"/>
      <c r="BL900" s="385"/>
      <c r="BM900" s="385"/>
      <c r="BN900" s="385"/>
      <c r="BO900" s="385"/>
      <c r="BP900" s="385"/>
      <c r="BQ900" s="385"/>
      <c r="BR900" s="385"/>
      <c r="BS900" s="385"/>
      <c r="BT900" s="385"/>
      <c r="BU900" s="385"/>
      <c r="BV900" s="385"/>
      <c r="BW900" s="385"/>
      <c r="BX900" s="385"/>
      <c r="BY900" s="385"/>
      <c r="BZ900" s="385"/>
      <c r="CA900" s="385"/>
    </row>
    <row r="901" spans="1:79" s="6" customFormat="1" ht="15" customHeight="1">
      <c r="A901" s="41" t="s">
        <v>183</v>
      </c>
      <c r="B901" s="402" t="s">
        <v>3707</v>
      </c>
      <c r="C901" s="113" t="s">
        <v>3707</v>
      </c>
      <c r="D901" s="393" t="s">
        <v>150</v>
      </c>
      <c r="E901" s="394" t="s">
        <v>3708</v>
      </c>
      <c r="F901" s="401"/>
      <c r="G901" s="405" t="s">
        <v>3709</v>
      </c>
      <c r="H901" s="113">
        <v>3272</v>
      </c>
      <c r="I901" s="49" t="s">
        <v>2</v>
      </c>
      <c r="J901" s="48" t="s">
        <v>3144</v>
      </c>
      <c r="K901" s="51">
        <v>41170</v>
      </c>
      <c r="L901" s="115">
        <v>41160</v>
      </c>
      <c r="M901" s="50">
        <v>10</v>
      </c>
      <c r="N901" s="50" t="s">
        <v>2</v>
      </c>
      <c r="O901" s="74">
        <f>2.5/2</f>
        <v>1.25</v>
      </c>
      <c r="P901" s="50">
        <v>7.86</v>
      </c>
      <c r="Q901" s="74">
        <v>4.32</v>
      </c>
      <c r="R901" s="50">
        <v>68.5</v>
      </c>
      <c r="S901" s="74">
        <f>5/2</f>
        <v>2.5</v>
      </c>
      <c r="T901" s="50">
        <v>0.43</v>
      </c>
      <c r="U901" s="131">
        <v>0.96</v>
      </c>
      <c r="V901" s="50">
        <v>2.14</v>
      </c>
      <c r="W901" s="74">
        <v>0.04</v>
      </c>
      <c r="X901" s="50">
        <v>0.53</v>
      </c>
      <c r="Y901" s="74">
        <f>0.004/2</f>
        <v>2E-3</v>
      </c>
      <c r="Z901" s="349">
        <v>0.91800000000000004</v>
      </c>
      <c r="AA901" s="349">
        <v>0.13200000000000001</v>
      </c>
      <c r="AB901" s="114">
        <v>6</v>
      </c>
      <c r="AC901" s="50">
        <v>52.1</v>
      </c>
      <c r="AD901" s="271">
        <v>0.05</v>
      </c>
      <c r="AE901" s="50"/>
      <c r="AF901" s="113"/>
      <c r="AG901" s="50"/>
      <c r="AH901" s="50"/>
      <c r="AI901" s="50"/>
      <c r="AJ901" s="50"/>
      <c r="AK901" s="50"/>
      <c r="AL901" s="50"/>
      <c r="AM901" s="50"/>
      <c r="AN901" s="50"/>
      <c r="AO901" s="49"/>
      <c r="AP901" s="49"/>
      <c r="AQ901" s="49"/>
      <c r="AR901" s="49"/>
      <c r="AS901" s="49"/>
      <c r="AT901" s="49"/>
      <c r="AU901" s="113"/>
      <c r="AV901" s="49"/>
      <c r="AW901" s="394"/>
      <c r="AX901" s="385"/>
      <c r="AY901" s="385"/>
      <c r="AZ901" s="385"/>
      <c r="BA901" s="385"/>
      <c r="BB901" s="385"/>
      <c r="BC901" s="385"/>
      <c r="BD901" s="385"/>
      <c r="BE901" s="385"/>
      <c r="BF901" s="385"/>
      <c r="BG901" s="385"/>
      <c r="BH901" s="385"/>
      <c r="BI901" s="385"/>
      <c r="BJ901" s="385"/>
      <c r="BK901" s="385"/>
      <c r="BL901" s="385"/>
      <c r="BM901" s="385"/>
      <c r="BN901" s="385"/>
      <c r="BO901" s="385"/>
      <c r="BP901" s="385"/>
      <c r="BQ901" s="385"/>
      <c r="BR901" s="385"/>
      <c r="BS901" s="385"/>
      <c r="BT901" s="385"/>
      <c r="BU901" s="385"/>
      <c r="BV901" s="385"/>
      <c r="BW901" s="385"/>
      <c r="BX901" s="385"/>
      <c r="BY901" s="385"/>
      <c r="BZ901" s="385"/>
      <c r="CA901" s="385"/>
    </row>
    <row r="902" spans="1:79" s="6" customFormat="1" ht="15" customHeight="1">
      <c r="A902" s="41" t="s">
        <v>183</v>
      </c>
      <c r="B902" s="402" t="s">
        <v>3710</v>
      </c>
      <c r="C902" s="113"/>
      <c r="D902" s="393" t="s">
        <v>347</v>
      </c>
      <c r="E902" s="394" t="s">
        <v>112</v>
      </c>
      <c r="F902" s="401"/>
      <c r="G902" s="405" t="s">
        <v>3711</v>
      </c>
      <c r="H902" s="113">
        <v>3561</v>
      </c>
      <c r="I902" s="49" t="s">
        <v>2</v>
      </c>
      <c r="J902" s="48" t="s">
        <v>3712</v>
      </c>
      <c r="K902" s="51">
        <v>41170</v>
      </c>
      <c r="L902" s="115">
        <v>41160</v>
      </c>
      <c r="M902" s="50">
        <v>10</v>
      </c>
      <c r="N902" s="50" t="s">
        <v>2</v>
      </c>
      <c r="O902" s="74">
        <v>4</v>
      </c>
      <c r="P902" s="50"/>
      <c r="Q902" s="74">
        <v>6.2</v>
      </c>
      <c r="R902" s="50">
        <v>174</v>
      </c>
      <c r="S902" s="74">
        <v>66</v>
      </c>
      <c r="T902" s="50">
        <v>0.17</v>
      </c>
      <c r="U902" s="131">
        <v>16.7</v>
      </c>
      <c r="V902" s="50">
        <v>5.35</v>
      </c>
      <c r="W902" s="74">
        <v>6.4000000000000001E-2</v>
      </c>
      <c r="X902" s="50">
        <v>0.60699999999999998</v>
      </c>
      <c r="Y902" s="74">
        <f>0.03/2</f>
        <v>1.4999999999999999E-2</v>
      </c>
      <c r="Z902" s="349">
        <v>1</v>
      </c>
      <c r="AA902" s="349">
        <v>1</v>
      </c>
      <c r="AB902" s="114">
        <v>147</v>
      </c>
      <c r="AC902" s="50">
        <v>381</v>
      </c>
      <c r="AD902" s="271">
        <v>0.55000000000000004</v>
      </c>
      <c r="AE902" s="50"/>
      <c r="AF902" s="113"/>
      <c r="AG902" s="50"/>
      <c r="AH902" s="50"/>
      <c r="AI902" s="50"/>
      <c r="AJ902" s="50"/>
      <c r="AK902" s="50"/>
      <c r="AL902" s="50"/>
      <c r="AM902" s="50"/>
      <c r="AN902" s="50"/>
      <c r="AO902" s="49"/>
      <c r="AP902" s="49"/>
      <c r="AQ902" s="49"/>
      <c r="AR902" s="49"/>
      <c r="AS902" s="49"/>
      <c r="AT902" s="49"/>
      <c r="AU902" s="113"/>
      <c r="AV902" s="49"/>
      <c r="AW902" s="394"/>
      <c r="AX902" s="385"/>
      <c r="AY902" s="385"/>
      <c r="AZ902" s="385"/>
      <c r="BA902" s="385"/>
      <c r="BB902" s="385"/>
      <c r="BC902" s="385"/>
      <c r="BD902" s="385"/>
      <c r="BE902" s="385"/>
      <c r="BF902" s="385"/>
      <c r="BG902" s="385"/>
      <c r="BH902" s="385"/>
      <c r="BI902" s="385"/>
      <c r="BJ902" s="385"/>
      <c r="BK902" s="385"/>
      <c r="BL902" s="385"/>
      <c r="BM902" s="385"/>
      <c r="BN902" s="385"/>
      <c r="BO902" s="385"/>
      <c r="BP902" s="385"/>
      <c r="BQ902" s="385"/>
      <c r="BR902" s="385"/>
      <c r="BS902" s="385"/>
      <c r="BT902" s="385"/>
      <c r="BU902" s="385"/>
      <c r="BV902" s="385"/>
      <c r="BW902" s="385"/>
      <c r="BX902" s="385"/>
      <c r="BY902" s="385"/>
      <c r="BZ902" s="385"/>
      <c r="CA902" s="385"/>
    </row>
    <row r="903" spans="1:79" s="6" customFormat="1" ht="15" customHeight="1">
      <c r="A903" s="41" t="s">
        <v>183</v>
      </c>
      <c r="B903" s="402" t="s">
        <v>3713</v>
      </c>
      <c r="C903" s="113" t="s">
        <v>3714</v>
      </c>
      <c r="D903" s="393" t="s">
        <v>290</v>
      </c>
      <c r="E903" s="394" t="s">
        <v>112</v>
      </c>
      <c r="F903" s="401"/>
      <c r="G903" s="405" t="s">
        <v>3715</v>
      </c>
      <c r="H903" s="113">
        <v>3841</v>
      </c>
      <c r="I903" s="49" t="s">
        <v>2</v>
      </c>
      <c r="J903" s="48" t="s">
        <v>3145</v>
      </c>
      <c r="K903" s="51">
        <v>40996</v>
      </c>
      <c r="L903" s="115">
        <v>40993</v>
      </c>
      <c r="M903" s="50">
        <v>3</v>
      </c>
      <c r="N903" s="50" t="s">
        <v>2</v>
      </c>
      <c r="O903" s="74">
        <f>2/2</f>
        <v>1</v>
      </c>
      <c r="P903" s="50">
        <v>5.0999999999999996</v>
      </c>
      <c r="Q903" s="74">
        <v>7.3</v>
      </c>
      <c r="R903" s="50">
        <v>39</v>
      </c>
      <c r="S903" s="74">
        <v>12</v>
      </c>
      <c r="T903" s="50">
        <v>0.05</v>
      </c>
      <c r="U903" s="131">
        <v>2.56</v>
      </c>
      <c r="V903" s="50">
        <v>2.12</v>
      </c>
      <c r="W903" s="74">
        <v>1.7999999999999999E-2</v>
      </c>
      <c r="X903" s="50">
        <v>0.22800000000000001</v>
      </c>
      <c r="Y903" s="74">
        <f>0.03/2</f>
        <v>1.4999999999999999E-2</v>
      </c>
      <c r="Z903" s="349">
        <v>1</v>
      </c>
      <c r="AA903" s="349">
        <v>1</v>
      </c>
      <c r="AB903" s="114">
        <v>150</v>
      </c>
      <c r="AC903" s="50">
        <v>918</v>
      </c>
      <c r="AD903" s="271">
        <v>1</v>
      </c>
      <c r="AE903" s="50">
        <v>50</v>
      </c>
      <c r="AF903" s="49"/>
      <c r="AG903" s="114"/>
      <c r="AH903" s="114"/>
      <c r="AI903" s="114"/>
      <c r="AJ903" s="114"/>
      <c r="AK903" s="114"/>
      <c r="AL903" s="114"/>
      <c r="AM903" s="114"/>
      <c r="AN903" s="114"/>
      <c r="AO903" s="114"/>
      <c r="AP903" s="114"/>
      <c r="AQ903" s="114"/>
      <c r="AR903" s="114"/>
      <c r="AS903" s="50"/>
      <c r="AT903" s="74"/>
      <c r="AU903" s="114"/>
      <c r="AV903" s="114"/>
      <c r="AW903" s="394"/>
      <c r="AX903" s="385"/>
      <c r="AY903" s="385"/>
      <c r="AZ903" s="385"/>
      <c r="BA903" s="385"/>
      <c r="BB903" s="385"/>
      <c r="BC903" s="385"/>
      <c r="BD903" s="385"/>
      <c r="BE903" s="385"/>
      <c r="BF903" s="385"/>
      <c r="BG903" s="385"/>
      <c r="BH903" s="385"/>
      <c r="BI903" s="385"/>
      <c r="BJ903" s="385"/>
      <c r="BK903" s="385"/>
      <c r="BL903" s="385"/>
      <c r="BM903" s="385"/>
      <c r="BN903" s="385"/>
      <c r="BO903" s="385"/>
      <c r="BP903" s="385"/>
      <c r="BQ903" s="385"/>
      <c r="BR903" s="385"/>
      <c r="BS903" s="385"/>
      <c r="BT903" s="385"/>
      <c r="BU903" s="385"/>
      <c r="BV903" s="385"/>
      <c r="BW903" s="385"/>
      <c r="BX903" s="385"/>
      <c r="BY903" s="385"/>
      <c r="BZ903" s="385"/>
      <c r="CA903" s="385"/>
    </row>
    <row r="904" spans="1:79" s="6" customFormat="1" ht="15" customHeight="1">
      <c r="A904" s="41" t="s">
        <v>183</v>
      </c>
      <c r="B904" s="402" t="s">
        <v>3713</v>
      </c>
      <c r="C904" s="113" t="s">
        <v>3714</v>
      </c>
      <c r="D904" s="393" t="s">
        <v>290</v>
      </c>
      <c r="E904" s="394" t="s">
        <v>112</v>
      </c>
      <c r="F904" s="401"/>
      <c r="G904" s="405" t="s">
        <v>3715</v>
      </c>
      <c r="H904" s="113">
        <v>3841</v>
      </c>
      <c r="I904" s="49" t="s">
        <v>2</v>
      </c>
      <c r="J904" s="48" t="s">
        <v>3716</v>
      </c>
      <c r="K904" s="51">
        <v>40996</v>
      </c>
      <c r="L904" s="115">
        <v>40993</v>
      </c>
      <c r="M904" s="50">
        <v>3</v>
      </c>
      <c r="N904" s="50" t="s">
        <v>2</v>
      </c>
      <c r="O904" s="74">
        <f>2/2</f>
        <v>1</v>
      </c>
      <c r="P904" s="50">
        <v>5.0999999999999996</v>
      </c>
      <c r="Q904" s="74">
        <v>7.5</v>
      </c>
      <c r="R904" s="50">
        <v>21</v>
      </c>
      <c r="S904" s="74">
        <v>30</v>
      </c>
      <c r="T904" s="50">
        <v>7.0000000000000007E-2</v>
      </c>
      <c r="U904" s="131">
        <v>1.02</v>
      </c>
      <c r="V904" s="50">
        <v>0.55000000000000004</v>
      </c>
      <c r="W904" s="74">
        <f>0.01/2</f>
        <v>5.0000000000000001E-3</v>
      </c>
      <c r="X904" s="50">
        <f>0.03/2</f>
        <v>1.4999999999999999E-2</v>
      </c>
      <c r="Y904" s="74">
        <f>0.03/2</f>
        <v>1.4999999999999999E-2</v>
      </c>
      <c r="Z904" s="349">
        <v>1</v>
      </c>
      <c r="AA904" s="349">
        <v>1</v>
      </c>
      <c r="AB904" s="114">
        <v>105</v>
      </c>
      <c r="AC904" s="50">
        <v>379</v>
      </c>
      <c r="AD904" s="271">
        <v>1</v>
      </c>
      <c r="AE904" s="50">
        <v>100</v>
      </c>
      <c r="AF904" s="49"/>
      <c r="AG904" s="114"/>
      <c r="AH904" s="114"/>
      <c r="AI904" s="114"/>
      <c r="AJ904" s="114"/>
      <c r="AK904" s="114"/>
      <c r="AL904" s="114"/>
      <c r="AM904" s="114"/>
      <c r="AN904" s="114"/>
      <c r="AO904" s="114"/>
      <c r="AP904" s="114"/>
      <c r="AQ904" s="114"/>
      <c r="AR904" s="114"/>
      <c r="AS904" s="50"/>
      <c r="AT904" s="74"/>
      <c r="AU904" s="114"/>
      <c r="AV904" s="49"/>
      <c r="AW904" s="394"/>
      <c r="AX904" s="385"/>
      <c r="AY904" s="385"/>
      <c r="AZ904" s="385"/>
      <c r="BA904" s="385"/>
      <c r="BB904" s="385"/>
      <c r="BC904" s="385"/>
      <c r="BD904" s="385"/>
      <c r="BE904" s="385"/>
      <c r="BF904" s="385"/>
      <c r="BG904" s="385"/>
      <c r="BH904" s="385"/>
      <c r="BI904" s="385"/>
      <c r="BJ904" s="385"/>
      <c r="BK904" s="385"/>
      <c r="BL904" s="385"/>
      <c r="BM904" s="385"/>
      <c r="BN904" s="385"/>
      <c r="BO904" s="385"/>
      <c r="BP904" s="385"/>
      <c r="BQ904" s="385"/>
      <c r="BR904" s="385"/>
      <c r="BS904" s="385"/>
      <c r="BT904" s="385"/>
      <c r="BU904" s="385"/>
      <c r="BV904" s="385"/>
      <c r="BW904" s="385"/>
      <c r="BX904" s="385"/>
      <c r="BY904" s="385"/>
      <c r="BZ904" s="385"/>
      <c r="CA904" s="385"/>
    </row>
    <row r="905" spans="1:79" s="6" customFormat="1" ht="15" customHeight="1">
      <c r="A905" s="41" t="s">
        <v>183</v>
      </c>
      <c r="B905" s="402" t="s">
        <v>3713</v>
      </c>
      <c r="C905" s="113" t="s">
        <v>3714</v>
      </c>
      <c r="D905" s="393" t="s">
        <v>290</v>
      </c>
      <c r="E905" s="394" t="s">
        <v>112</v>
      </c>
      <c r="F905" s="401"/>
      <c r="G905" s="405" t="s">
        <v>3715</v>
      </c>
      <c r="H905" s="113">
        <v>3841</v>
      </c>
      <c r="I905" s="49" t="s">
        <v>2</v>
      </c>
      <c r="J905" s="48" t="s">
        <v>3145</v>
      </c>
      <c r="K905" s="51">
        <v>41131</v>
      </c>
      <c r="L905" s="115">
        <v>41126</v>
      </c>
      <c r="M905" s="50">
        <v>5</v>
      </c>
      <c r="N905" s="50" t="s">
        <v>2</v>
      </c>
      <c r="O905" s="74">
        <v>3.8</v>
      </c>
      <c r="P905" s="50">
        <v>6</v>
      </c>
      <c r="Q905" s="74">
        <v>8.5</v>
      </c>
      <c r="R905" s="50">
        <v>42</v>
      </c>
      <c r="S905" s="74">
        <v>12</v>
      </c>
      <c r="T905" s="50">
        <v>0.17</v>
      </c>
      <c r="U905" s="131">
        <v>2.5499999999999998</v>
      </c>
      <c r="V905" s="50">
        <v>1.51</v>
      </c>
      <c r="W905" s="74">
        <v>1.2999999999999999E-2</v>
      </c>
      <c r="X905" s="50">
        <f>0.03/2</f>
        <v>1.4999999999999999E-2</v>
      </c>
      <c r="Y905" s="74">
        <f>0.03/2</f>
        <v>1.4999999999999999E-2</v>
      </c>
      <c r="Z905" s="349"/>
      <c r="AA905" s="349"/>
      <c r="AB905" s="114"/>
      <c r="AC905" s="50"/>
      <c r="AD905" s="271"/>
      <c r="AE905" s="50"/>
      <c r="AF905" s="49"/>
      <c r="AG905" s="114"/>
      <c r="AH905" s="114"/>
      <c r="AI905" s="114"/>
      <c r="AJ905" s="114"/>
      <c r="AK905" s="114"/>
      <c r="AL905" s="114"/>
      <c r="AM905" s="114"/>
      <c r="AN905" s="114"/>
      <c r="AO905" s="114"/>
      <c r="AP905" s="114"/>
      <c r="AQ905" s="114"/>
      <c r="AR905" s="114"/>
      <c r="AS905" s="50"/>
      <c r="AT905" s="74"/>
      <c r="AU905" s="114"/>
      <c r="AV905" s="49"/>
      <c r="AW905" s="394"/>
      <c r="AX905" s="385"/>
      <c r="AY905" s="385"/>
      <c r="AZ905" s="385"/>
      <c r="BA905" s="385"/>
      <c r="BB905" s="385"/>
      <c r="BC905" s="385"/>
      <c r="BD905" s="385"/>
      <c r="BE905" s="385"/>
      <c r="BF905" s="385"/>
      <c r="BG905" s="385"/>
      <c r="BH905" s="385"/>
      <c r="BI905" s="385"/>
      <c r="BJ905" s="385"/>
      <c r="BK905" s="385"/>
      <c r="BL905" s="385"/>
      <c r="BM905" s="385"/>
      <c r="BN905" s="385"/>
      <c r="BO905" s="385"/>
      <c r="BP905" s="385"/>
      <c r="BQ905" s="385"/>
      <c r="BR905" s="385"/>
      <c r="BS905" s="385"/>
      <c r="BT905" s="385"/>
      <c r="BU905" s="385"/>
      <c r="BV905" s="385"/>
      <c r="BW905" s="385"/>
      <c r="BX905" s="385"/>
      <c r="BY905" s="385"/>
      <c r="BZ905" s="385"/>
      <c r="CA905" s="385"/>
    </row>
    <row r="906" spans="1:79" s="6" customFormat="1" ht="15" customHeight="1">
      <c r="A906" s="41" t="s">
        <v>183</v>
      </c>
      <c r="B906" s="402" t="s">
        <v>3713</v>
      </c>
      <c r="C906" s="113" t="s">
        <v>3714</v>
      </c>
      <c r="D906" s="393" t="s">
        <v>290</v>
      </c>
      <c r="E906" s="394" t="s">
        <v>112</v>
      </c>
      <c r="F906" s="401"/>
      <c r="G906" s="405" t="s">
        <v>3715</v>
      </c>
      <c r="H906" s="113">
        <v>3841</v>
      </c>
      <c r="I906" s="49" t="s">
        <v>2</v>
      </c>
      <c r="J906" s="48" t="s">
        <v>3716</v>
      </c>
      <c r="K906" s="51">
        <v>41131</v>
      </c>
      <c r="L906" s="115">
        <v>41126</v>
      </c>
      <c r="M906" s="50">
        <v>5</v>
      </c>
      <c r="N906" s="50" t="s">
        <v>2</v>
      </c>
      <c r="O906" s="74">
        <v>2.8</v>
      </c>
      <c r="P906" s="50">
        <v>6</v>
      </c>
      <c r="Q906" s="74">
        <v>8.3000000000000007</v>
      </c>
      <c r="R906" s="50">
        <v>10</v>
      </c>
      <c r="S906" s="74">
        <v>4</v>
      </c>
      <c r="T906" s="50">
        <f>0.05/2</f>
        <v>2.5000000000000001E-2</v>
      </c>
      <c r="U906" s="131">
        <v>0.26</v>
      </c>
      <c r="V906" s="50">
        <v>0.8</v>
      </c>
      <c r="W906" s="74">
        <f>0.01/2</f>
        <v>5.0000000000000001E-3</v>
      </c>
      <c r="X906" s="50">
        <f>0.03/2</f>
        <v>1.4999999999999999E-2</v>
      </c>
      <c r="Y906" s="74">
        <f>0.03/2</f>
        <v>1.4999999999999999E-2</v>
      </c>
      <c r="Z906" s="349"/>
      <c r="AA906" s="349"/>
      <c r="AB906" s="114"/>
      <c r="AC906" s="50"/>
      <c r="AD906" s="271"/>
      <c r="AE906" s="50"/>
      <c r="AF906" s="49"/>
      <c r="AG906" s="114"/>
      <c r="AH906" s="114"/>
      <c r="AI906" s="114"/>
      <c r="AJ906" s="114"/>
      <c r="AK906" s="114"/>
      <c r="AL906" s="114"/>
      <c r="AM906" s="114"/>
      <c r="AN906" s="114"/>
      <c r="AO906" s="114"/>
      <c r="AP906" s="114"/>
      <c r="AQ906" s="114"/>
      <c r="AR906" s="114"/>
      <c r="AS906" s="50"/>
      <c r="AT906" s="74"/>
      <c r="AU906" s="114"/>
      <c r="AV906" s="49"/>
      <c r="AW906" s="394"/>
      <c r="AX906" s="385"/>
      <c r="AY906" s="385"/>
      <c r="AZ906" s="385"/>
      <c r="BA906" s="385"/>
      <c r="BB906" s="385"/>
      <c r="BC906" s="385"/>
      <c r="BD906" s="385"/>
      <c r="BE906" s="385"/>
      <c r="BF906" s="385"/>
      <c r="BG906" s="385"/>
      <c r="BH906" s="385"/>
      <c r="BI906" s="385"/>
      <c r="BJ906" s="385"/>
      <c r="BK906" s="385"/>
      <c r="BL906" s="385"/>
      <c r="BM906" s="385"/>
      <c r="BN906" s="385"/>
      <c r="BO906" s="385"/>
      <c r="BP906" s="385"/>
      <c r="BQ906" s="385"/>
      <c r="BR906" s="385"/>
      <c r="BS906" s="385"/>
      <c r="BT906" s="385"/>
      <c r="BU906" s="385"/>
      <c r="BV906" s="385"/>
      <c r="BW906" s="385"/>
      <c r="BX906" s="385"/>
      <c r="BY906" s="385"/>
      <c r="BZ906" s="385"/>
      <c r="CA906" s="385"/>
    </row>
    <row r="907" spans="1:79" s="6" customFormat="1" ht="15" customHeight="1">
      <c r="A907" s="41" t="s">
        <v>183</v>
      </c>
      <c r="B907" s="402" t="s">
        <v>3717</v>
      </c>
      <c r="C907" s="113" t="s">
        <v>3717</v>
      </c>
      <c r="D907" s="393" t="s">
        <v>200</v>
      </c>
      <c r="E907" s="394" t="s">
        <v>214</v>
      </c>
      <c r="F907" s="401"/>
      <c r="G907" s="405" t="s">
        <v>3238</v>
      </c>
      <c r="H907" s="113">
        <v>3444</v>
      </c>
      <c r="I907" s="49" t="s">
        <v>2</v>
      </c>
      <c r="J907" s="48" t="s">
        <v>3239</v>
      </c>
      <c r="K907" s="51">
        <v>41072</v>
      </c>
      <c r="L907" s="115">
        <v>41063</v>
      </c>
      <c r="M907" s="50">
        <v>9</v>
      </c>
      <c r="N907" s="50" t="s">
        <v>2</v>
      </c>
      <c r="O907" s="74">
        <f>1.8/2</f>
        <v>0.9</v>
      </c>
      <c r="P907" s="50">
        <v>7.8</v>
      </c>
      <c r="Q907" s="74">
        <v>7.2</v>
      </c>
      <c r="R907" s="50">
        <v>53</v>
      </c>
      <c r="S907" s="74">
        <v>19</v>
      </c>
      <c r="T907" s="50">
        <v>0.11899999999999999</v>
      </c>
      <c r="U907" s="131">
        <v>1.2</v>
      </c>
      <c r="V907" s="50">
        <f>0.46/2</f>
        <v>0.23</v>
      </c>
      <c r="W907" s="74">
        <f>0.005/2</f>
        <v>2.5000000000000001E-3</v>
      </c>
      <c r="X907" s="50">
        <v>1.9E-2</v>
      </c>
      <c r="Y907" s="74">
        <f>0.005/2</f>
        <v>2.5000000000000001E-3</v>
      </c>
      <c r="Z907" s="349">
        <v>1</v>
      </c>
      <c r="AA907" s="349">
        <v>0.67600000000000005</v>
      </c>
      <c r="AB907" s="114">
        <v>18</v>
      </c>
      <c r="AC907" s="50">
        <v>68</v>
      </c>
      <c r="AD907" s="271">
        <v>0</v>
      </c>
      <c r="AE907" s="50"/>
      <c r="AF907" s="49"/>
      <c r="AG907" s="114"/>
      <c r="AH907" s="114"/>
      <c r="AI907" s="114"/>
      <c r="AJ907" s="114"/>
      <c r="AK907" s="114"/>
      <c r="AL907" s="114"/>
      <c r="AM907" s="114"/>
      <c r="AN907" s="114"/>
      <c r="AO907" s="114"/>
      <c r="AP907" s="114"/>
      <c r="AQ907" s="114"/>
      <c r="AR907" s="114"/>
      <c r="AS907" s="50"/>
      <c r="AT907" s="74"/>
      <c r="AU907" s="114"/>
      <c r="AV907" s="49"/>
      <c r="AW907" s="394"/>
      <c r="AX907" s="385"/>
      <c r="AY907" s="385"/>
      <c r="AZ907" s="385"/>
      <c r="BA907" s="385"/>
      <c r="BB907" s="385"/>
      <c r="BC907" s="385"/>
      <c r="BD907" s="385"/>
      <c r="BE907" s="385"/>
      <c r="BF907" s="385"/>
      <c r="BG907" s="385"/>
      <c r="BH907" s="385"/>
      <c r="BI907" s="385"/>
      <c r="BJ907" s="385"/>
      <c r="BK907" s="385"/>
      <c r="BL907" s="385"/>
      <c r="BM907" s="385"/>
      <c r="BN907" s="385"/>
      <c r="BO907" s="385"/>
      <c r="BP907" s="385"/>
      <c r="BQ907" s="385"/>
      <c r="BR907" s="385"/>
      <c r="BS907" s="385"/>
      <c r="BT907" s="385"/>
      <c r="BU907" s="385"/>
      <c r="BV907" s="385"/>
      <c r="BW907" s="385"/>
      <c r="BX907" s="385"/>
      <c r="BY907" s="385"/>
      <c r="BZ907" s="385"/>
      <c r="CA907" s="385"/>
    </row>
    <row r="908" spans="1:79" s="6" customFormat="1" ht="15" customHeight="1">
      <c r="A908" s="41" t="s">
        <v>183</v>
      </c>
      <c r="B908" s="402" t="s">
        <v>3717</v>
      </c>
      <c r="C908" s="113" t="s">
        <v>3717</v>
      </c>
      <c r="D908" s="393" t="s">
        <v>200</v>
      </c>
      <c r="E908" s="394" t="s">
        <v>214</v>
      </c>
      <c r="F908" s="401"/>
      <c r="G908" s="405" t="s">
        <v>3238</v>
      </c>
      <c r="H908" s="113">
        <v>3444</v>
      </c>
      <c r="I908" s="49" t="s">
        <v>2</v>
      </c>
      <c r="J908" s="48" t="s">
        <v>3239</v>
      </c>
      <c r="K908" s="51">
        <v>41170</v>
      </c>
      <c r="L908" s="115">
        <v>41160</v>
      </c>
      <c r="M908" s="50">
        <v>10</v>
      </c>
      <c r="N908" s="50" t="s">
        <v>2</v>
      </c>
      <c r="O908" s="74">
        <f>1.7/2</f>
        <v>0.85</v>
      </c>
      <c r="P908" s="50">
        <v>5</v>
      </c>
      <c r="Q908" s="74">
        <v>7.2</v>
      </c>
      <c r="R908" s="50">
        <v>34</v>
      </c>
      <c r="S908" s="74">
        <v>3</v>
      </c>
      <c r="T908" s="50">
        <v>2.7E-2</v>
      </c>
      <c r="U908" s="131">
        <f>1/2</f>
        <v>0.5</v>
      </c>
      <c r="V908" s="50">
        <f>0.46/2</f>
        <v>0.23</v>
      </c>
      <c r="W908" s="74">
        <f>0.005/2</f>
        <v>2.5000000000000001E-3</v>
      </c>
      <c r="X908" s="50">
        <v>1.0999999999999999E-2</v>
      </c>
      <c r="Y908" s="74">
        <f>0.005/2</f>
        <v>2.5000000000000001E-3</v>
      </c>
      <c r="Z908" s="349"/>
      <c r="AA908" s="349"/>
      <c r="AB908" s="114"/>
      <c r="AC908" s="50"/>
      <c r="AD908" s="271"/>
      <c r="AE908" s="50"/>
      <c r="AF908" s="49"/>
      <c r="AG908" s="114"/>
      <c r="AH908" s="114"/>
      <c r="AI908" s="114"/>
      <c r="AJ908" s="114"/>
      <c r="AK908" s="114"/>
      <c r="AL908" s="114"/>
      <c r="AM908" s="114"/>
      <c r="AN908" s="114"/>
      <c r="AO908" s="114"/>
      <c r="AP908" s="114"/>
      <c r="AQ908" s="114"/>
      <c r="AR908" s="114"/>
      <c r="AS908" s="50"/>
      <c r="AT908" s="74"/>
      <c r="AU908" s="114"/>
      <c r="AV908" s="49"/>
      <c r="AW908" s="394"/>
      <c r="AX908" s="385"/>
      <c r="AY908" s="385"/>
      <c r="AZ908" s="385"/>
      <c r="BA908" s="385"/>
      <c r="BB908" s="385"/>
      <c r="BC908" s="385"/>
      <c r="BD908" s="385"/>
      <c r="BE908" s="385"/>
      <c r="BF908" s="385"/>
      <c r="BG908" s="385"/>
      <c r="BH908" s="385"/>
      <c r="BI908" s="385"/>
      <c r="BJ908" s="385"/>
      <c r="BK908" s="385"/>
      <c r="BL908" s="385"/>
      <c r="BM908" s="385"/>
      <c r="BN908" s="385"/>
      <c r="BO908" s="385"/>
      <c r="BP908" s="385"/>
      <c r="BQ908" s="385"/>
      <c r="BR908" s="385"/>
      <c r="BS908" s="385"/>
      <c r="BT908" s="385"/>
      <c r="BU908" s="385"/>
      <c r="BV908" s="385"/>
      <c r="BW908" s="385"/>
      <c r="BX908" s="385"/>
      <c r="BY908" s="385"/>
      <c r="BZ908" s="385"/>
      <c r="CA908" s="385"/>
    </row>
    <row r="909" spans="1:79" s="6" customFormat="1" ht="15" customHeight="1">
      <c r="A909" s="41" t="s">
        <v>183</v>
      </c>
      <c r="B909" s="402" t="s">
        <v>3740</v>
      </c>
      <c r="C909" s="113" t="s">
        <v>3740</v>
      </c>
      <c r="D909" s="393" t="s">
        <v>806</v>
      </c>
      <c r="E909" s="394" t="s">
        <v>535</v>
      </c>
      <c r="F909" s="401"/>
      <c r="G909" s="405" t="s">
        <v>3718</v>
      </c>
      <c r="H909" s="113">
        <v>3679</v>
      </c>
      <c r="I909" s="49" t="s">
        <v>2</v>
      </c>
      <c r="J909" s="48" t="s">
        <v>3144</v>
      </c>
      <c r="K909" s="51">
        <v>41180</v>
      </c>
      <c r="L909" s="115">
        <v>41178</v>
      </c>
      <c r="M909" s="50">
        <v>2</v>
      </c>
      <c r="N909" s="50" t="s">
        <v>2</v>
      </c>
      <c r="O909" s="74">
        <v>2.2999999999999998</v>
      </c>
      <c r="P909" s="50"/>
      <c r="Q909" s="74">
        <v>6.4</v>
      </c>
      <c r="R909" s="50">
        <v>11</v>
      </c>
      <c r="S909" s="74">
        <v>7</v>
      </c>
      <c r="T909" s="50">
        <v>0.12</v>
      </c>
      <c r="U909" s="131">
        <f>0.05/2</f>
        <v>2.5000000000000001E-2</v>
      </c>
      <c r="V909" s="50">
        <f>0.05/2</f>
        <v>2.5000000000000001E-2</v>
      </c>
      <c r="W909" s="74">
        <v>0.02</v>
      </c>
      <c r="X909" s="50">
        <v>0.04</v>
      </c>
      <c r="Y909" s="74">
        <f>0.001/2</f>
        <v>5.0000000000000001E-4</v>
      </c>
      <c r="Z909" s="349"/>
      <c r="AA909" s="349"/>
      <c r="AB909" s="114"/>
      <c r="AC909" s="50"/>
      <c r="AD909" s="271"/>
      <c r="AE909" s="50"/>
      <c r="AF909" s="49"/>
      <c r="AG909" s="114"/>
      <c r="AH909" s="114"/>
      <c r="AI909" s="114"/>
      <c r="AJ909" s="114"/>
      <c r="AK909" s="114"/>
      <c r="AL909" s="114"/>
      <c r="AM909" s="114"/>
      <c r="AN909" s="114"/>
      <c r="AO909" s="114"/>
      <c r="AP909" s="114"/>
      <c r="AQ909" s="114"/>
      <c r="AR909" s="114"/>
      <c r="AS909" s="50"/>
      <c r="AT909" s="74"/>
      <c r="AU909" s="114"/>
      <c r="AV909" s="49"/>
      <c r="AW909" s="394"/>
      <c r="AX909" s="385"/>
      <c r="AY909" s="385"/>
      <c r="AZ909" s="385"/>
      <c r="BA909" s="385"/>
      <c r="BB909" s="385"/>
      <c r="BC909" s="385"/>
      <c r="BD909" s="385"/>
      <c r="BE909" s="385"/>
      <c r="BF909" s="385"/>
      <c r="BG909" s="385"/>
      <c r="BH909" s="385"/>
      <c r="BI909" s="385"/>
      <c r="BJ909" s="385"/>
      <c r="BK909" s="385"/>
      <c r="BL909" s="385"/>
      <c r="BM909" s="385"/>
      <c r="BN909" s="385"/>
      <c r="BO909" s="385"/>
      <c r="BP909" s="385"/>
      <c r="BQ909" s="385"/>
      <c r="BR909" s="385"/>
      <c r="BS909" s="385"/>
      <c r="BT909" s="385"/>
      <c r="BU909" s="385"/>
      <c r="BV909" s="385"/>
      <c r="BW909" s="385"/>
      <c r="BX909" s="385"/>
      <c r="BY909" s="385"/>
      <c r="BZ909" s="385"/>
      <c r="CA909" s="385"/>
    </row>
    <row r="910" spans="1:79" s="6" customFormat="1" ht="15" customHeight="1">
      <c r="A910" s="41" t="s">
        <v>183</v>
      </c>
      <c r="B910" s="402" t="s">
        <v>3740</v>
      </c>
      <c r="C910" s="113" t="s">
        <v>3740</v>
      </c>
      <c r="D910" s="393" t="s">
        <v>806</v>
      </c>
      <c r="E910" s="394" t="s">
        <v>535</v>
      </c>
      <c r="F910" s="401"/>
      <c r="G910" s="405" t="s">
        <v>3718</v>
      </c>
      <c r="H910" s="113">
        <v>3679</v>
      </c>
      <c r="I910" s="49" t="s">
        <v>2</v>
      </c>
      <c r="J910" s="48" t="s">
        <v>3145</v>
      </c>
      <c r="K910" s="51">
        <v>41180</v>
      </c>
      <c r="L910" s="115">
        <v>41178</v>
      </c>
      <c r="M910" s="50">
        <v>2</v>
      </c>
      <c r="N910" s="50" t="s">
        <v>2</v>
      </c>
      <c r="O910" s="74">
        <f>0.5/2</f>
        <v>0.25</v>
      </c>
      <c r="P910" s="50"/>
      <c r="Q910" s="74">
        <v>6.4</v>
      </c>
      <c r="R910" s="50">
        <v>16</v>
      </c>
      <c r="S910" s="74">
        <v>12</v>
      </c>
      <c r="T910" s="50">
        <v>0.46</v>
      </c>
      <c r="U910" s="131">
        <v>0.57999999999999996</v>
      </c>
      <c r="V910" s="50">
        <f>0.05/2</f>
        <v>2.5000000000000001E-2</v>
      </c>
      <c r="W910" s="74">
        <v>0.04</v>
      </c>
      <c r="X910" s="50">
        <v>0.05</v>
      </c>
      <c r="Y910" s="74">
        <v>4.0000000000000001E-3</v>
      </c>
      <c r="Z910" s="349"/>
      <c r="AA910" s="349"/>
      <c r="AB910" s="114"/>
      <c r="AC910" s="50"/>
      <c r="AD910" s="271"/>
      <c r="AE910" s="50"/>
      <c r="AF910" s="49"/>
      <c r="AG910" s="114"/>
      <c r="AH910" s="114"/>
      <c r="AI910" s="114"/>
      <c r="AJ910" s="114"/>
      <c r="AK910" s="114"/>
      <c r="AL910" s="114"/>
      <c r="AM910" s="114"/>
      <c r="AN910" s="114"/>
      <c r="AO910" s="114"/>
      <c r="AP910" s="114"/>
      <c r="AQ910" s="114"/>
      <c r="AR910" s="114"/>
      <c r="AS910" s="50"/>
      <c r="AT910" s="74"/>
      <c r="AU910" s="114"/>
      <c r="AV910" s="49"/>
      <c r="AW910" s="394"/>
      <c r="AX910" s="385"/>
      <c r="AY910" s="385"/>
      <c r="AZ910" s="385"/>
      <c r="BA910" s="385"/>
      <c r="BB910" s="385"/>
      <c r="BC910" s="385"/>
      <c r="BD910" s="385"/>
      <c r="BE910" s="385"/>
      <c r="BF910" s="385"/>
      <c r="BG910" s="385"/>
      <c r="BH910" s="385"/>
      <c r="BI910" s="385"/>
      <c r="BJ910" s="385"/>
      <c r="BK910" s="385"/>
      <c r="BL910" s="385"/>
      <c r="BM910" s="385"/>
      <c r="BN910" s="385"/>
      <c r="BO910" s="385"/>
      <c r="BP910" s="385"/>
      <c r="BQ910" s="385"/>
      <c r="BR910" s="385"/>
      <c r="BS910" s="385"/>
      <c r="BT910" s="385"/>
      <c r="BU910" s="385"/>
      <c r="BV910" s="385"/>
      <c r="BW910" s="385"/>
      <c r="BX910" s="385"/>
      <c r="BY910" s="385"/>
      <c r="BZ910" s="385"/>
      <c r="CA910" s="385"/>
    </row>
    <row r="911" spans="1:79" s="6" customFormat="1" ht="15" customHeight="1">
      <c r="A911" s="41" t="s">
        <v>183</v>
      </c>
      <c r="B911" s="402" t="s">
        <v>3719</v>
      </c>
      <c r="C911" s="113" t="s">
        <v>3719</v>
      </c>
      <c r="D911" s="393" t="s">
        <v>200</v>
      </c>
      <c r="E911" s="394"/>
      <c r="F911" s="401"/>
      <c r="G911" s="405" t="s">
        <v>3720</v>
      </c>
      <c r="H911" s="113"/>
      <c r="I911" s="49" t="s">
        <v>2</v>
      </c>
      <c r="J911" s="48" t="s">
        <v>3741</v>
      </c>
      <c r="K911" s="51">
        <v>41180</v>
      </c>
      <c r="L911" s="115">
        <v>41174</v>
      </c>
      <c r="M911" s="50">
        <v>6</v>
      </c>
      <c r="N911" s="50" t="s">
        <v>2</v>
      </c>
      <c r="O911" s="74">
        <v>16.2</v>
      </c>
      <c r="P911" s="50">
        <v>5.9</v>
      </c>
      <c r="Q911" s="74">
        <v>5.9</v>
      </c>
      <c r="R911" s="50">
        <v>32.700000000000003</v>
      </c>
      <c r="S911" s="74">
        <f>12.5/2</f>
        <v>6.25</v>
      </c>
      <c r="T911" s="50">
        <f>0.1/2</f>
        <v>0.05</v>
      </c>
      <c r="U911" s="131">
        <v>1.1000000000000001</v>
      </c>
      <c r="V911" s="50">
        <v>0.64</v>
      </c>
      <c r="W911" s="74">
        <f>0.02/2</f>
        <v>0.01</v>
      </c>
      <c r="X911" s="50">
        <v>0.06</v>
      </c>
      <c r="Y911" s="74">
        <v>7.0000000000000001E-3</v>
      </c>
      <c r="Z911" s="349"/>
      <c r="AA911" s="349"/>
      <c r="AB911" s="114"/>
      <c r="AC911" s="50"/>
      <c r="AD911" s="271"/>
      <c r="AE911" s="50"/>
      <c r="AF911" s="49"/>
      <c r="AG911" s="114"/>
      <c r="AH911" s="114"/>
      <c r="AI911" s="114"/>
      <c r="AJ911" s="114"/>
      <c r="AK911" s="114"/>
      <c r="AL911" s="114"/>
      <c r="AM911" s="114"/>
      <c r="AN911" s="114"/>
      <c r="AO911" s="114"/>
      <c r="AP911" s="114"/>
      <c r="AQ911" s="114"/>
      <c r="AR911" s="114"/>
      <c r="AS911" s="50"/>
      <c r="AT911" s="74"/>
      <c r="AU911" s="114"/>
      <c r="AV911" s="49"/>
      <c r="AW911" s="394"/>
      <c r="AX911" s="385"/>
      <c r="AY911" s="385"/>
      <c r="AZ911" s="385"/>
      <c r="BA911" s="385"/>
      <c r="BB911" s="385"/>
      <c r="BC911" s="385"/>
      <c r="BD911" s="385"/>
      <c r="BE911" s="385"/>
      <c r="BF911" s="385"/>
      <c r="BG911" s="385"/>
      <c r="BH911" s="385"/>
      <c r="BI911" s="385"/>
      <c r="BJ911" s="385"/>
      <c r="BK911" s="385"/>
      <c r="BL911" s="385"/>
      <c r="BM911" s="385"/>
      <c r="BN911" s="385"/>
      <c r="BO911" s="385"/>
      <c r="BP911" s="385"/>
      <c r="BQ911" s="385"/>
      <c r="BR911" s="385"/>
      <c r="BS911" s="385"/>
      <c r="BT911" s="385"/>
      <c r="BU911" s="385"/>
      <c r="BV911" s="385"/>
      <c r="BW911" s="385"/>
      <c r="BX911" s="385"/>
      <c r="BY911" s="385"/>
      <c r="BZ911" s="385"/>
      <c r="CA911" s="385"/>
    </row>
    <row r="912" spans="1:79" s="6" customFormat="1" ht="15" customHeight="1">
      <c r="A912" s="41" t="s">
        <v>183</v>
      </c>
      <c r="B912" s="402" t="s">
        <v>355</v>
      </c>
      <c r="C912" s="113" t="s">
        <v>355</v>
      </c>
      <c r="D912" s="393" t="s">
        <v>356</v>
      </c>
      <c r="E912" s="394" t="s">
        <v>359</v>
      </c>
      <c r="F912" s="401"/>
      <c r="G912" s="405" t="s">
        <v>358</v>
      </c>
      <c r="H912" s="113">
        <v>3479</v>
      </c>
      <c r="I912" s="49" t="s">
        <v>2</v>
      </c>
      <c r="J912" s="48" t="s">
        <v>357</v>
      </c>
      <c r="K912" s="51">
        <v>41149</v>
      </c>
      <c r="L912" s="115">
        <v>41152</v>
      </c>
      <c r="M912" s="50">
        <v>3</v>
      </c>
      <c r="N912" s="50" t="s">
        <v>2</v>
      </c>
      <c r="O912" s="74">
        <f>1.4/2</f>
        <v>0.7</v>
      </c>
      <c r="P912" s="50"/>
      <c r="Q912" s="74">
        <v>5.0999999999999996</v>
      </c>
      <c r="R912" s="50">
        <v>22</v>
      </c>
      <c r="S912" s="74">
        <v>9.5</v>
      </c>
      <c r="T912" s="50">
        <v>0.03</v>
      </c>
      <c r="U912" s="131">
        <v>1.1299999999999999</v>
      </c>
      <c r="V912" s="50">
        <v>0.28000000000000003</v>
      </c>
      <c r="W912" s="74">
        <v>2.3E-2</v>
      </c>
      <c r="X912" s="50">
        <v>6.7000000000000004E-2</v>
      </c>
      <c r="Y912" s="74">
        <f>0.002/2</f>
        <v>1E-3</v>
      </c>
      <c r="Z912" s="349">
        <v>0.70699999999999996</v>
      </c>
      <c r="AA912" s="349">
        <v>0.70699999999999996</v>
      </c>
      <c r="AB912" s="114">
        <v>2</v>
      </c>
      <c r="AC912" s="50">
        <v>15</v>
      </c>
      <c r="AD912" s="271">
        <v>0</v>
      </c>
      <c r="AE912" s="50"/>
      <c r="AF912" s="49"/>
      <c r="AG912" s="114"/>
      <c r="AH912" s="114"/>
      <c r="AI912" s="114"/>
      <c r="AJ912" s="114"/>
      <c r="AK912" s="114"/>
      <c r="AL912" s="114"/>
      <c r="AM912" s="114"/>
      <c r="AN912" s="114"/>
      <c r="AO912" s="114"/>
      <c r="AP912" s="114"/>
      <c r="AQ912" s="114"/>
      <c r="AR912" s="114"/>
      <c r="AS912" s="50"/>
      <c r="AT912" s="74"/>
      <c r="AU912" s="114"/>
      <c r="AV912" s="49"/>
      <c r="AW912" s="394"/>
      <c r="AX912" s="385"/>
      <c r="AY912" s="385"/>
      <c r="AZ912" s="385"/>
      <c r="BA912" s="385"/>
      <c r="BB912" s="385"/>
      <c r="BC912" s="385"/>
      <c r="BD912" s="385"/>
      <c r="BE912" s="385"/>
      <c r="BF912" s="385"/>
      <c r="BG912" s="385"/>
      <c r="BH912" s="385"/>
      <c r="BI912" s="385"/>
      <c r="BJ912" s="385"/>
      <c r="BK912" s="385"/>
      <c r="BL912" s="385"/>
      <c r="BM912" s="385"/>
      <c r="BN912" s="385"/>
      <c r="BO912" s="385"/>
      <c r="BP912" s="385"/>
      <c r="BQ912" s="385"/>
      <c r="BR912" s="385"/>
      <c r="BS912" s="385"/>
      <c r="BT912" s="385"/>
      <c r="BU912" s="385"/>
      <c r="BV912" s="385"/>
      <c r="BW912" s="385"/>
      <c r="BX912" s="385"/>
      <c r="BY912" s="385"/>
      <c r="BZ912" s="385"/>
      <c r="CA912" s="385"/>
    </row>
    <row r="913" spans="1:79" s="6" customFormat="1" ht="15" customHeight="1">
      <c r="A913" s="41" t="s">
        <v>183</v>
      </c>
      <c r="B913" s="402" t="s">
        <v>355</v>
      </c>
      <c r="C913" s="113" t="s">
        <v>355</v>
      </c>
      <c r="D913" s="393" t="s">
        <v>356</v>
      </c>
      <c r="E913" s="394" t="s">
        <v>359</v>
      </c>
      <c r="F913" s="401"/>
      <c r="G913" s="405" t="s">
        <v>358</v>
      </c>
      <c r="H913" s="113">
        <v>3479</v>
      </c>
      <c r="I913" s="49" t="s">
        <v>2</v>
      </c>
      <c r="J913" s="48" t="s">
        <v>360</v>
      </c>
      <c r="K913" s="51">
        <v>41149</v>
      </c>
      <c r="L913" s="115">
        <v>41152</v>
      </c>
      <c r="M913" s="50">
        <v>3</v>
      </c>
      <c r="N913" s="50" t="s">
        <v>2</v>
      </c>
      <c r="O913" s="74">
        <f>1.4/2</f>
        <v>0.7</v>
      </c>
      <c r="P913" s="50"/>
      <c r="Q913" s="74">
        <v>4.8499999999999996</v>
      </c>
      <c r="R913" s="50">
        <v>28</v>
      </c>
      <c r="S913" s="74">
        <v>15</v>
      </c>
      <c r="T913" s="50">
        <v>7.0000000000000007E-2</v>
      </c>
      <c r="U913" s="131">
        <v>1.26</v>
      </c>
      <c r="V913" s="50">
        <v>0.27</v>
      </c>
      <c r="W913" s="74">
        <f>0.005/2</f>
        <v>2.5000000000000001E-3</v>
      </c>
      <c r="X913" s="50">
        <v>3.1E-2</v>
      </c>
      <c r="Y913" s="74">
        <v>3.0000000000000001E-3</v>
      </c>
      <c r="Z913" s="349">
        <v>1</v>
      </c>
      <c r="AA913" s="349">
        <v>1</v>
      </c>
      <c r="AB913" s="114">
        <v>2</v>
      </c>
      <c r="AC913" s="50">
        <v>15</v>
      </c>
      <c r="AD913" s="271">
        <v>0.95</v>
      </c>
      <c r="AE913" s="50"/>
      <c r="AF913" s="49"/>
      <c r="AG913" s="114"/>
      <c r="AH913" s="114"/>
      <c r="AI913" s="114"/>
      <c r="AJ913" s="114"/>
      <c r="AK913" s="114"/>
      <c r="AL913" s="114"/>
      <c r="AM913" s="114"/>
      <c r="AN913" s="114"/>
      <c r="AO913" s="114"/>
      <c r="AP913" s="114"/>
      <c r="AQ913" s="114"/>
      <c r="AR913" s="114"/>
      <c r="AS913" s="50"/>
      <c r="AT913" s="74"/>
      <c r="AU913" s="114"/>
      <c r="AV913" s="49"/>
      <c r="AW913" s="394"/>
      <c r="AX913" s="385"/>
      <c r="AY913" s="385"/>
      <c r="AZ913" s="385"/>
      <c r="BA913" s="385"/>
      <c r="BB913" s="385"/>
      <c r="BC913" s="385"/>
      <c r="BD913" s="385"/>
      <c r="BE913" s="385"/>
      <c r="BF913" s="385"/>
      <c r="BG913" s="385"/>
      <c r="BH913" s="385"/>
      <c r="BI913" s="385"/>
      <c r="BJ913" s="385"/>
      <c r="BK913" s="385"/>
      <c r="BL913" s="385"/>
      <c r="BM913" s="385"/>
      <c r="BN913" s="385"/>
      <c r="BO913" s="385"/>
      <c r="BP913" s="385"/>
      <c r="BQ913" s="385"/>
      <c r="BR913" s="385"/>
      <c r="BS913" s="385"/>
      <c r="BT913" s="385"/>
      <c r="BU913" s="385"/>
      <c r="BV913" s="385"/>
      <c r="BW913" s="385"/>
      <c r="BX913" s="385"/>
      <c r="BY913" s="385"/>
      <c r="BZ913" s="385"/>
      <c r="CA913" s="385"/>
    </row>
    <row r="914" spans="1:79" s="6" customFormat="1" ht="15" customHeight="1">
      <c r="A914" s="41" t="s">
        <v>183</v>
      </c>
      <c r="B914" s="402" t="s">
        <v>355</v>
      </c>
      <c r="C914" s="113" t="s">
        <v>355</v>
      </c>
      <c r="D914" s="393" t="s">
        <v>356</v>
      </c>
      <c r="E914" s="394" t="s">
        <v>359</v>
      </c>
      <c r="F914" s="401"/>
      <c r="G914" s="405" t="s">
        <v>358</v>
      </c>
      <c r="H914" s="113">
        <v>3479</v>
      </c>
      <c r="I914" s="49" t="s">
        <v>2</v>
      </c>
      <c r="J914" s="48" t="s">
        <v>361</v>
      </c>
      <c r="K914" s="51">
        <v>41149</v>
      </c>
      <c r="L914" s="115">
        <v>41152</v>
      </c>
      <c r="M914" s="50">
        <v>3</v>
      </c>
      <c r="N914" s="50" t="s">
        <v>2</v>
      </c>
      <c r="O914" s="74">
        <f>1.4/2</f>
        <v>0.7</v>
      </c>
      <c r="P914" s="50"/>
      <c r="Q914" s="74">
        <v>4.7</v>
      </c>
      <c r="R914" s="50">
        <v>28</v>
      </c>
      <c r="S914" s="74">
        <v>5</v>
      </c>
      <c r="T914" s="50">
        <v>0.08</v>
      </c>
      <c r="U914" s="131">
        <v>0.78</v>
      </c>
      <c r="V914" s="50">
        <v>0.37</v>
      </c>
      <c r="W914" s="74">
        <f>0.005/2</f>
        <v>2.5000000000000001E-3</v>
      </c>
      <c r="X914" s="50">
        <v>2.4E-2</v>
      </c>
      <c r="Y914" s="74">
        <f>0.002/2</f>
        <v>1E-3</v>
      </c>
      <c r="Z914" s="349">
        <v>1</v>
      </c>
      <c r="AA914" s="349">
        <v>0.70699999999999996</v>
      </c>
      <c r="AB914" s="114">
        <v>6</v>
      </c>
      <c r="AC914" s="50">
        <v>20</v>
      </c>
      <c r="AD914" s="271">
        <v>0</v>
      </c>
      <c r="AE914" s="50"/>
      <c r="AF914" s="49"/>
      <c r="AG914" s="114"/>
      <c r="AH914" s="114"/>
      <c r="AI914" s="114"/>
      <c r="AJ914" s="114"/>
      <c r="AK914" s="114"/>
      <c r="AL914" s="114"/>
      <c r="AM914" s="114"/>
      <c r="AN914" s="114"/>
      <c r="AO914" s="114"/>
      <c r="AP914" s="114"/>
      <c r="AQ914" s="114"/>
      <c r="AR914" s="114"/>
      <c r="AS914" s="50"/>
      <c r="AT914" s="74"/>
      <c r="AU914" s="114"/>
      <c r="AV914" s="49"/>
      <c r="AW914" s="394"/>
      <c r="AX914" s="385"/>
      <c r="AY914" s="385"/>
      <c r="AZ914" s="385"/>
      <c r="BA914" s="385"/>
      <c r="BB914" s="385"/>
      <c r="BC914" s="385"/>
      <c r="BD914" s="385"/>
      <c r="BE914" s="385"/>
      <c r="BF914" s="385"/>
      <c r="BG914" s="385"/>
      <c r="BH914" s="385"/>
      <c r="BI914" s="385"/>
      <c r="BJ914" s="385"/>
      <c r="BK914" s="385"/>
      <c r="BL914" s="385"/>
      <c r="BM914" s="385"/>
      <c r="BN914" s="385"/>
      <c r="BO914" s="385"/>
      <c r="BP914" s="385"/>
      <c r="BQ914" s="385"/>
      <c r="BR914" s="385"/>
      <c r="BS914" s="385"/>
      <c r="BT914" s="385"/>
      <c r="BU914" s="385"/>
      <c r="BV914" s="385"/>
      <c r="BW914" s="385"/>
      <c r="BX914" s="385"/>
      <c r="BY914" s="385"/>
      <c r="BZ914" s="385"/>
      <c r="CA914" s="385"/>
    </row>
    <row r="915" spans="1:79" s="6" customFormat="1" ht="15" customHeight="1">
      <c r="A915" s="41" t="s">
        <v>183</v>
      </c>
      <c r="B915" s="402" t="s">
        <v>1286</v>
      </c>
      <c r="C915" s="113" t="s">
        <v>3721</v>
      </c>
      <c r="D915" s="393" t="s">
        <v>286</v>
      </c>
      <c r="E915" s="394" t="s">
        <v>287</v>
      </c>
      <c r="F915" s="401"/>
      <c r="G915" s="405" t="s">
        <v>288</v>
      </c>
      <c r="H915" s="113">
        <v>4151</v>
      </c>
      <c r="I915" s="49" t="s">
        <v>2</v>
      </c>
      <c r="J915" s="48" t="s">
        <v>3144</v>
      </c>
      <c r="K915" s="51">
        <v>41170</v>
      </c>
      <c r="L915" s="115">
        <v>41160</v>
      </c>
      <c r="M915" s="50">
        <v>10</v>
      </c>
      <c r="N915" s="50" t="s">
        <v>2</v>
      </c>
      <c r="O915" s="74">
        <v>16</v>
      </c>
      <c r="P915" s="50">
        <v>6.81</v>
      </c>
      <c r="Q915" s="74">
        <v>6.23</v>
      </c>
      <c r="R915" s="50">
        <v>35.9</v>
      </c>
      <c r="S915" s="74">
        <v>4</v>
      </c>
      <c r="T915" s="50">
        <v>0.06</v>
      </c>
      <c r="U915" s="131">
        <v>1.03</v>
      </c>
      <c r="V915" s="50">
        <v>0.43</v>
      </c>
      <c r="W915" s="74">
        <f>0.01/2</f>
        <v>5.0000000000000001E-3</v>
      </c>
      <c r="X915" s="50">
        <v>0.08</v>
      </c>
      <c r="Y915" s="74">
        <f>0.02/2</f>
        <v>0.01</v>
      </c>
      <c r="Z915" s="349">
        <v>1</v>
      </c>
      <c r="AA915" s="349">
        <v>1</v>
      </c>
      <c r="AB915" s="114">
        <v>30.1</v>
      </c>
      <c r="AC915" s="50">
        <v>40.799999999999997</v>
      </c>
      <c r="AD915" s="271">
        <v>1</v>
      </c>
      <c r="AE915" s="50"/>
      <c r="AF915" s="49"/>
      <c r="AG915" s="114"/>
      <c r="AH915" s="114"/>
      <c r="AI915" s="114"/>
      <c r="AJ915" s="114"/>
      <c r="AK915" s="114"/>
      <c r="AL915" s="114"/>
      <c r="AM915" s="114"/>
      <c r="AN915" s="114"/>
      <c r="AO915" s="114"/>
      <c r="AP915" s="114"/>
      <c r="AQ915" s="114"/>
      <c r="AR915" s="114"/>
      <c r="AS915" s="50"/>
      <c r="AT915" s="74"/>
      <c r="AU915" s="114"/>
      <c r="AV915" s="49"/>
      <c r="AW915" s="394"/>
      <c r="AX915" s="385"/>
      <c r="AY915" s="385"/>
      <c r="AZ915" s="385"/>
      <c r="BA915" s="385"/>
      <c r="BB915" s="385"/>
      <c r="BC915" s="385"/>
      <c r="BD915" s="385"/>
      <c r="BE915" s="385"/>
      <c r="BF915" s="385"/>
      <c r="BG915" s="385"/>
      <c r="BH915" s="385"/>
      <c r="BI915" s="385"/>
      <c r="BJ915" s="385"/>
      <c r="BK915" s="385"/>
      <c r="BL915" s="385"/>
      <c r="BM915" s="385"/>
      <c r="BN915" s="385"/>
      <c r="BO915" s="385"/>
      <c r="BP915" s="385"/>
      <c r="BQ915" s="385"/>
      <c r="BR915" s="385"/>
      <c r="BS915" s="385"/>
      <c r="BT915" s="385"/>
      <c r="BU915" s="385"/>
      <c r="BV915" s="385"/>
      <c r="BW915" s="385"/>
      <c r="BX915" s="385"/>
      <c r="BY915" s="385"/>
      <c r="BZ915" s="385"/>
      <c r="CA915" s="385"/>
    </row>
    <row r="916" spans="1:79" s="6" customFormat="1" ht="15" customHeight="1">
      <c r="A916" s="41" t="s">
        <v>183</v>
      </c>
      <c r="B916" s="402" t="s">
        <v>1286</v>
      </c>
      <c r="C916" s="113" t="s">
        <v>2218</v>
      </c>
      <c r="D916" s="393" t="s">
        <v>1537</v>
      </c>
      <c r="E916" s="394" t="s">
        <v>3722</v>
      </c>
      <c r="F916" s="401"/>
      <c r="G916" s="405" t="s">
        <v>2503</v>
      </c>
      <c r="H916" s="113">
        <v>4151</v>
      </c>
      <c r="I916" s="49" t="s">
        <v>2</v>
      </c>
      <c r="J916" s="48" t="s">
        <v>3144</v>
      </c>
      <c r="K916" s="51">
        <v>41157</v>
      </c>
      <c r="L916" s="115">
        <v>41148</v>
      </c>
      <c r="M916" s="50">
        <v>9</v>
      </c>
      <c r="N916" s="50" t="s">
        <v>2</v>
      </c>
      <c r="O916" s="74">
        <v>3.4</v>
      </c>
      <c r="P916" s="50">
        <v>5.61</v>
      </c>
      <c r="Q916" s="74">
        <v>6.67</v>
      </c>
      <c r="R916" s="50">
        <v>30</v>
      </c>
      <c r="S916" s="74">
        <v>37</v>
      </c>
      <c r="T916" s="50">
        <v>0.11</v>
      </c>
      <c r="U916" s="131">
        <v>0.51</v>
      </c>
      <c r="V916" s="50">
        <f>0.2/2</f>
        <v>0.1</v>
      </c>
      <c r="W916" s="74">
        <f>0.01/2</f>
        <v>5.0000000000000001E-3</v>
      </c>
      <c r="X916" s="50">
        <v>0.1</v>
      </c>
      <c r="Y916" s="74">
        <f>0.02/2</f>
        <v>0.01</v>
      </c>
      <c r="Z916" s="349"/>
      <c r="AA916" s="349"/>
      <c r="AB916" s="114"/>
      <c r="AC916" s="50"/>
      <c r="AD916" s="271"/>
      <c r="AE916" s="50"/>
      <c r="AF916" s="49"/>
      <c r="AG916" s="114"/>
      <c r="AH916" s="114"/>
      <c r="AI916" s="114"/>
      <c r="AJ916" s="114"/>
      <c r="AK916" s="114"/>
      <c r="AL916" s="114"/>
      <c r="AM916" s="114"/>
      <c r="AN916" s="114"/>
      <c r="AO916" s="114"/>
      <c r="AP916" s="114"/>
      <c r="AQ916" s="114"/>
      <c r="AR916" s="114"/>
      <c r="AS916" s="50"/>
      <c r="AT916" s="74"/>
      <c r="AU916" s="114"/>
      <c r="AV916" s="49"/>
      <c r="AW916" s="394"/>
      <c r="AX916" s="385"/>
      <c r="AY916" s="385"/>
      <c r="AZ916" s="385"/>
      <c r="BA916" s="385"/>
      <c r="BB916" s="385"/>
      <c r="BC916" s="385"/>
      <c r="BD916" s="385"/>
      <c r="BE916" s="385"/>
      <c r="BF916" s="385"/>
      <c r="BG916" s="385"/>
      <c r="BH916" s="385"/>
      <c r="BI916" s="385"/>
      <c r="BJ916" s="385"/>
      <c r="BK916" s="385"/>
      <c r="BL916" s="385"/>
      <c r="BM916" s="385"/>
      <c r="BN916" s="385"/>
      <c r="BO916" s="385"/>
      <c r="BP916" s="385"/>
      <c r="BQ916" s="385"/>
      <c r="BR916" s="385"/>
      <c r="BS916" s="385"/>
      <c r="BT916" s="385"/>
      <c r="BU916" s="385"/>
      <c r="BV916" s="385"/>
      <c r="BW916" s="385"/>
      <c r="BX916" s="385"/>
      <c r="BY916" s="385"/>
      <c r="BZ916" s="385"/>
      <c r="CA916" s="385"/>
    </row>
    <row r="917" spans="1:79" s="6" customFormat="1" ht="15" customHeight="1">
      <c r="A917" s="41" t="s">
        <v>183</v>
      </c>
      <c r="B917" s="402" t="s">
        <v>1286</v>
      </c>
      <c r="C917" s="113" t="s">
        <v>2218</v>
      </c>
      <c r="D917" s="393" t="s">
        <v>1537</v>
      </c>
      <c r="E917" s="394" t="s">
        <v>3722</v>
      </c>
      <c r="F917" s="401"/>
      <c r="G917" s="405" t="s">
        <v>2503</v>
      </c>
      <c r="H917" s="113">
        <v>4151</v>
      </c>
      <c r="I917" s="49" t="s">
        <v>2</v>
      </c>
      <c r="J917" s="48" t="s">
        <v>3144</v>
      </c>
      <c r="K917" s="51">
        <v>41180</v>
      </c>
      <c r="L917" s="115">
        <v>41174</v>
      </c>
      <c r="M917" s="50">
        <v>6</v>
      </c>
      <c r="N917" s="50" t="s">
        <v>2</v>
      </c>
      <c r="O917" s="74"/>
      <c r="P917" s="50"/>
      <c r="Q917" s="74"/>
      <c r="R917" s="50"/>
      <c r="S917" s="74"/>
      <c r="T917" s="50"/>
      <c r="U917" s="131"/>
      <c r="V917" s="50"/>
      <c r="W917" s="74"/>
      <c r="X917" s="50"/>
      <c r="Y917" s="74"/>
      <c r="Z917" s="349">
        <v>1</v>
      </c>
      <c r="AA917" s="349">
        <v>0.70699999999999996</v>
      </c>
      <c r="AB917" s="114"/>
      <c r="AC917" s="50">
        <v>35.1</v>
      </c>
      <c r="AD917" s="271">
        <v>0.05</v>
      </c>
      <c r="AE917" s="50"/>
      <c r="AF917" s="49"/>
      <c r="AG917" s="114"/>
      <c r="AH917" s="114"/>
      <c r="AI917" s="114"/>
      <c r="AJ917" s="114"/>
      <c r="AK917" s="114"/>
      <c r="AL917" s="114"/>
      <c r="AM917" s="114"/>
      <c r="AN917" s="114"/>
      <c r="AO917" s="114"/>
      <c r="AP917" s="114"/>
      <c r="AQ917" s="114"/>
      <c r="AR917" s="114"/>
      <c r="AS917" s="50"/>
      <c r="AT917" s="74"/>
      <c r="AU917" s="114"/>
      <c r="AV917" s="49"/>
      <c r="AW917" s="394"/>
      <c r="AX917" s="385"/>
      <c r="AY917" s="385"/>
      <c r="AZ917" s="385"/>
      <c r="BA917" s="385"/>
      <c r="BB917" s="385"/>
      <c r="BC917" s="385"/>
      <c r="BD917" s="385"/>
      <c r="BE917" s="385"/>
      <c r="BF917" s="385"/>
      <c r="BG917" s="385"/>
      <c r="BH917" s="385"/>
      <c r="BI917" s="385"/>
      <c r="BJ917" s="385"/>
      <c r="BK917" s="385"/>
      <c r="BL917" s="385"/>
      <c r="BM917" s="385"/>
      <c r="BN917" s="385"/>
      <c r="BO917" s="385"/>
      <c r="BP917" s="385"/>
      <c r="BQ917" s="385"/>
      <c r="BR917" s="385"/>
      <c r="BS917" s="385"/>
      <c r="BT917" s="385"/>
      <c r="BU917" s="385"/>
      <c r="BV917" s="385"/>
      <c r="BW917" s="385"/>
      <c r="BX917" s="385"/>
      <c r="BY917" s="385"/>
      <c r="BZ917" s="385"/>
      <c r="CA917" s="385"/>
    </row>
    <row r="918" spans="1:79" s="6" customFormat="1" ht="15" customHeight="1">
      <c r="A918" s="41" t="s">
        <v>183</v>
      </c>
      <c r="B918" s="402" t="s">
        <v>1286</v>
      </c>
      <c r="C918" s="113" t="s">
        <v>3723</v>
      </c>
      <c r="D918" s="393" t="s">
        <v>1896</v>
      </c>
      <c r="E918" s="394" t="s">
        <v>2412</v>
      </c>
      <c r="F918" s="401"/>
      <c r="G918" s="405" t="s">
        <v>3724</v>
      </c>
      <c r="H918" s="113">
        <v>4151</v>
      </c>
      <c r="I918" s="49" t="s">
        <v>2</v>
      </c>
      <c r="J918" s="48" t="s">
        <v>3144</v>
      </c>
      <c r="K918" s="51">
        <v>41171</v>
      </c>
      <c r="L918" s="115">
        <v>41160</v>
      </c>
      <c r="M918" s="50">
        <v>11</v>
      </c>
      <c r="N918" s="50" t="s">
        <v>2</v>
      </c>
      <c r="O918" s="74">
        <f>2/2</f>
        <v>1</v>
      </c>
      <c r="P918" s="50">
        <v>7.5</v>
      </c>
      <c r="Q918" s="74">
        <v>6.9</v>
      </c>
      <c r="R918" s="50">
        <v>13</v>
      </c>
      <c r="S918" s="74">
        <v>2</v>
      </c>
      <c r="T918" s="50">
        <v>0.05</v>
      </c>
      <c r="U918" s="131">
        <v>0.94</v>
      </c>
      <c r="V918" s="50">
        <v>5.39</v>
      </c>
      <c r="W918" s="74">
        <v>0.129</v>
      </c>
      <c r="X918" s="50">
        <f>0.03/2</f>
        <v>1.4999999999999999E-2</v>
      </c>
      <c r="Y918" s="74">
        <f>0.03/2</f>
        <v>1.4999999999999999E-2</v>
      </c>
      <c r="Z918" s="349">
        <v>1</v>
      </c>
      <c r="AA918" s="349">
        <v>1</v>
      </c>
      <c r="AB918" s="114">
        <v>109</v>
      </c>
      <c r="AC918" s="50">
        <v>395</v>
      </c>
      <c r="AD918" s="271">
        <v>1</v>
      </c>
      <c r="AE918" s="50"/>
      <c r="AF918" s="49"/>
      <c r="AG918" s="114"/>
      <c r="AH918" s="114"/>
      <c r="AI918" s="114"/>
      <c r="AJ918" s="114"/>
      <c r="AK918" s="114"/>
      <c r="AL918" s="114"/>
      <c r="AM918" s="114"/>
      <c r="AN918" s="114"/>
      <c r="AO918" s="114"/>
      <c r="AP918" s="114"/>
      <c r="AQ918" s="114"/>
      <c r="AR918" s="114"/>
      <c r="AS918" s="50"/>
      <c r="AT918" s="74"/>
      <c r="AU918" s="114"/>
      <c r="AV918" s="49"/>
      <c r="AW918" s="394"/>
      <c r="AX918" s="385"/>
      <c r="AY918" s="385"/>
      <c r="AZ918" s="385"/>
      <c r="BA918" s="385"/>
      <c r="BB918" s="385"/>
      <c r="BC918" s="385"/>
      <c r="BD918" s="385"/>
      <c r="BE918" s="385"/>
      <c r="BF918" s="385"/>
      <c r="BG918" s="385"/>
      <c r="BH918" s="385"/>
      <c r="BI918" s="385"/>
      <c r="BJ918" s="385"/>
      <c r="BK918" s="385"/>
      <c r="BL918" s="385"/>
      <c r="BM918" s="385"/>
      <c r="BN918" s="385"/>
      <c r="BO918" s="385"/>
      <c r="BP918" s="385"/>
      <c r="BQ918" s="385"/>
      <c r="BR918" s="385"/>
      <c r="BS918" s="385"/>
      <c r="BT918" s="385"/>
      <c r="BU918" s="385"/>
      <c r="BV918" s="385"/>
      <c r="BW918" s="385"/>
      <c r="BX918" s="385"/>
      <c r="BY918" s="385"/>
      <c r="BZ918" s="385"/>
      <c r="CA918" s="385"/>
    </row>
    <row r="919" spans="1:79" s="6" customFormat="1" ht="15" customHeight="1">
      <c r="A919" s="41" t="s">
        <v>183</v>
      </c>
      <c r="B919" s="402" t="s">
        <v>3725</v>
      </c>
      <c r="C919" s="113" t="s">
        <v>3726</v>
      </c>
      <c r="D919" s="393" t="s">
        <v>684</v>
      </c>
      <c r="E919" s="394" t="s">
        <v>112</v>
      </c>
      <c r="F919" s="401"/>
      <c r="G919" s="405" t="s">
        <v>3607</v>
      </c>
      <c r="H919" s="113">
        <v>4111</v>
      </c>
      <c r="I919" s="49" t="s">
        <v>2</v>
      </c>
      <c r="J919" s="48" t="s">
        <v>510</v>
      </c>
      <c r="K919" s="51">
        <v>41170</v>
      </c>
      <c r="L919" s="115">
        <v>41160</v>
      </c>
      <c r="M919" s="50">
        <v>10</v>
      </c>
      <c r="N919" s="50" t="s">
        <v>2</v>
      </c>
      <c r="O919" s="74">
        <f t="shared" ref="O919:O926" si="36">1.4/2</f>
        <v>0.7</v>
      </c>
      <c r="P919" s="50">
        <v>6.58</v>
      </c>
      <c r="Q919" s="74">
        <v>6.4</v>
      </c>
      <c r="R919" s="50">
        <v>130</v>
      </c>
      <c r="S919" s="74">
        <v>99</v>
      </c>
      <c r="T919" s="50">
        <v>0.33</v>
      </c>
      <c r="U919" s="131">
        <v>2.74</v>
      </c>
      <c r="V919" s="50">
        <v>2.04</v>
      </c>
      <c r="W919" s="74">
        <v>3.9E-2</v>
      </c>
      <c r="X919" s="50">
        <v>0.28100000000000003</v>
      </c>
      <c r="Y919" s="74">
        <v>3.6999999999999998E-2</v>
      </c>
      <c r="Z919" s="349"/>
      <c r="AA919" s="349"/>
      <c r="AB919" s="114"/>
      <c r="AC919" s="50"/>
      <c r="AD919" s="271"/>
      <c r="AE919" s="50"/>
      <c r="AF919" s="49"/>
      <c r="AG919" s="114"/>
      <c r="AH919" s="114"/>
      <c r="AI919" s="114"/>
      <c r="AJ919" s="114"/>
      <c r="AK919" s="114"/>
      <c r="AL919" s="114"/>
      <c r="AM919" s="114"/>
      <c r="AN919" s="114"/>
      <c r="AO919" s="114"/>
      <c r="AP919" s="114"/>
      <c r="AQ919" s="114"/>
      <c r="AR919" s="114"/>
      <c r="AS919" s="50"/>
      <c r="AT919" s="74"/>
      <c r="AU919" s="114"/>
      <c r="AV919" s="49"/>
      <c r="AW919" s="394"/>
      <c r="AX919" s="385"/>
      <c r="AY919" s="385"/>
      <c r="AZ919" s="385"/>
      <c r="BA919" s="385"/>
      <c r="BB919" s="385"/>
      <c r="BC919" s="385"/>
      <c r="BD919" s="385"/>
      <c r="BE919" s="385"/>
      <c r="BF919" s="385"/>
      <c r="BG919" s="385"/>
      <c r="BH919" s="385"/>
      <c r="BI919" s="385"/>
      <c r="BJ919" s="385"/>
      <c r="BK919" s="385"/>
      <c r="BL919" s="385"/>
      <c r="BM919" s="385"/>
      <c r="BN919" s="385"/>
      <c r="BO919" s="385"/>
      <c r="BP919" s="385"/>
      <c r="BQ919" s="385"/>
      <c r="BR919" s="385"/>
      <c r="BS919" s="385"/>
      <c r="BT919" s="385"/>
      <c r="BU919" s="385"/>
      <c r="BV919" s="385"/>
      <c r="BW919" s="385"/>
      <c r="BX919" s="385"/>
      <c r="BY919" s="385"/>
      <c r="BZ919" s="385"/>
      <c r="CA919" s="385"/>
    </row>
    <row r="920" spans="1:79" s="6" customFormat="1" ht="15" customHeight="1">
      <c r="A920" s="41" t="s">
        <v>183</v>
      </c>
      <c r="B920" s="402" t="s">
        <v>3727</v>
      </c>
      <c r="C920" s="113"/>
      <c r="D920" s="393" t="s">
        <v>195</v>
      </c>
      <c r="E920" s="394" t="s">
        <v>112</v>
      </c>
      <c r="F920" s="401"/>
      <c r="G920" s="405" t="s">
        <v>3728</v>
      </c>
      <c r="H920" s="113">
        <v>4226</v>
      </c>
      <c r="I920" s="49" t="s">
        <v>1</v>
      </c>
      <c r="J920" s="48" t="s">
        <v>3144</v>
      </c>
      <c r="K920" s="51">
        <v>41157</v>
      </c>
      <c r="L920" s="115">
        <v>41148</v>
      </c>
      <c r="M920" s="50">
        <v>9</v>
      </c>
      <c r="N920" s="50" t="s">
        <v>2</v>
      </c>
      <c r="O920" s="74">
        <f t="shared" si="36"/>
        <v>0.7</v>
      </c>
      <c r="P920" s="50">
        <v>6.5</v>
      </c>
      <c r="Q920" s="74">
        <v>7.3</v>
      </c>
      <c r="R920" s="50">
        <f>10/2</f>
        <v>5</v>
      </c>
      <c r="S920" s="74">
        <f>5/2</f>
        <v>2.5</v>
      </c>
      <c r="T920" s="50">
        <v>0.13</v>
      </c>
      <c r="U920" s="131">
        <v>0.68</v>
      </c>
      <c r="V920" s="50">
        <v>1.35</v>
      </c>
      <c r="W920" s="74">
        <v>8.0000000000000002E-3</v>
      </c>
      <c r="X920" s="50">
        <v>8.9999999999999993E-3</v>
      </c>
      <c r="Y920" s="74">
        <f>0.002/2</f>
        <v>1E-3</v>
      </c>
      <c r="Z920" s="349">
        <v>1</v>
      </c>
      <c r="AA920" s="349">
        <v>1</v>
      </c>
      <c r="AB920" s="114">
        <v>12</v>
      </c>
      <c r="AC920" s="50">
        <v>73</v>
      </c>
      <c r="AD920" s="271">
        <v>1</v>
      </c>
      <c r="AE920" s="50"/>
      <c r="AF920" s="49"/>
      <c r="AG920" s="114"/>
      <c r="AH920" s="114"/>
      <c r="AI920" s="114"/>
      <c r="AJ920" s="114"/>
      <c r="AK920" s="114"/>
      <c r="AL920" s="114"/>
      <c r="AM920" s="114"/>
      <c r="AN920" s="114"/>
      <c r="AO920" s="114"/>
      <c r="AP920" s="114"/>
      <c r="AQ920" s="114"/>
      <c r="AR920" s="114"/>
      <c r="AS920" s="50"/>
      <c r="AT920" s="74"/>
      <c r="AU920" s="114"/>
      <c r="AV920" s="49"/>
      <c r="AW920" s="394"/>
      <c r="AX920" s="385"/>
      <c r="AY920" s="385"/>
      <c r="AZ920" s="385"/>
      <c r="BA920" s="385"/>
      <c r="BB920" s="385"/>
      <c r="BC920" s="385"/>
      <c r="BD920" s="385"/>
      <c r="BE920" s="385"/>
      <c r="BF920" s="385"/>
      <c r="BG920" s="385"/>
      <c r="BH920" s="385"/>
      <c r="BI920" s="385"/>
      <c r="BJ920" s="385"/>
      <c r="BK920" s="385"/>
      <c r="BL920" s="385"/>
      <c r="BM920" s="385"/>
      <c r="BN920" s="385"/>
      <c r="BO920" s="385"/>
      <c r="BP920" s="385"/>
      <c r="BQ920" s="385"/>
      <c r="BR920" s="385"/>
      <c r="BS920" s="385"/>
      <c r="BT920" s="385"/>
      <c r="BU920" s="385"/>
      <c r="BV920" s="385"/>
      <c r="BW920" s="385"/>
      <c r="BX920" s="385"/>
      <c r="BY920" s="385"/>
      <c r="BZ920" s="385"/>
      <c r="CA920" s="385"/>
    </row>
    <row r="921" spans="1:79" s="6" customFormat="1" ht="15" customHeight="1">
      <c r="A921" s="41" t="s">
        <v>183</v>
      </c>
      <c r="B921" s="402" t="s">
        <v>3727</v>
      </c>
      <c r="C921" s="113"/>
      <c r="D921" s="393" t="s">
        <v>195</v>
      </c>
      <c r="E921" s="394" t="s">
        <v>112</v>
      </c>
      <c r="F921" s="401"/>
      <c r="G921" s="405" t="s">
        <v>3728</v>
      </c>
      <c r="H921" s="113">
        <v>4226</v>
      </c>
      <c r="I921" s="49" t="s">
        <v>1</v>
      </c>
      <c r="J921" s="48" t="s">
        <v>3145</v>
      </c>
      <c r="K921" s="51">
        <v>41157</v>
      </c>
      <c r="L921" s="115">
        <v>41148</v>
      </c>
      <c r="M921" s="50">
        <v>9</v>
      </c>
      <c r="N921" s="50" t="s">
        <v>2</v>
      </c>
      <c r="O921" s="74">
        <f t="shared" si="36"/>
        <v>0.7</v>
      </c>
      <c r="P921" s="50">
        <v>6.5</v>
      </c>
      <c r="Q921" s="74">
        <v>7.29</v>
      </c>
      <c r="R921" s="50">
        <f>10/2</f>
        <v>5</v>
      </c>
      <c r="S921" s="74">
        <v>11</v>
      </c>
      <c r="T921" s="50">
        <v>0.22</v>
      </c>
      <c r="U921" s="131">
        <v>1.38</v>
      </c>
      <c r="V921" s="50">
        <v>1.96</v>
      </c>
      <c r="W921" s="74">
        <v>1.2E-2</v>
      </c>
      <c r="X921" s="50">
        <v>1.0999999999999999E-2</v>
      </c>
      <c r="Y921" s="74">
        <v>4.0000000000000001E-3</v>
      </c>
      <c r="Z921" s="349">
        <v>1</v>
      </c>
      <c r="AA921" s="349">
        <v>1</v>
      </c>
      <c r="AB921" s="114">
        <v>8</v>
      </c>
      <c r="AC921" s="50">
        <v>108</v>
      </c>
      <c r="AD921" s="271">
        <v>1</v>
      </c>
      <c r="AE921" s="50"/>
      <c r="AF921" s="49"/>
      <c r="AG921" s="114"/>
      <c r="AH921" s="114"/>
      <c r="AI921" s="114"/>
      <c r="AJ921" s="114"/>
      <c r="AK921" s="114"/>
      <c r="AL921" s="114"/>
      <c r="AM921" s="114"/>
      <c r="AN921" s="114"/>
      <c r="AO921" s="114"/>
      <c r="AP921" s="114"/>
      <c r="AQ921" s="114"/>
      <c r="AR921" s="114"/>
      <c r="AS921" s="50"/>
      <c r="AT921" s="74"/>
      <c r="AU921" s="114"/>
      <c r="AV921" s="49"/>
      <c r="AW921" s="394"/>
      <c r="AX921" s="385"/>
      <c r="AY921" s="385"/>
      <c r="AZ921" s="385"/>
      <c r="BA921" s="385"/>
      <c r="BB921" s="385"/>
      <c r="BC921" s="385"/>
      <c r="BD921" s="385"/>
      <c r="BE921" s="385"/>
      <c r="BF921" s="385"/>
      <c r="BG921" s="385"/>
      <c r="BH921" s="385"/>
      <c r="BI921" s="385"/>
      <c r="BJ921" s="385"/>
      <c r="BK921" s="385"/>
      <c r="BL921" s="385"/>
      <c r="BM921" s="385"/>
      <c r="BN921" s="385"/>
      <c r="BO921" s="385"/>
      <c r="BP921" s="385"/>
      <c r="BQ921" s="385"/>
      <c r="BR921" s="385"/>
      <c r="BS921" s="385"/>
      <c r="BT921" s="385"/>
      <c r="BU921" s="385"/>
      <c r="BV921" s="385"/>
      <c r="BW921" s="385"/>
      <c r="BX921" s="385"/>
      <c r="BY921" s="385"/>
      <c r="BZ921" s="385"/>
      <c r="CA921" s="385"/>
    </row>
    <row r="922" spans="1:79" s="6" customFormat="1" ht="15" customHeight="1">
      <c r="A922" s="41" t="s">
        <v>183</v>
      </c>
      <c r="B922" s="402" t="s">
        <v>3727</v>
      </c>
      <c r="C922" s="113"/>
      <c r="D922" s="393" t="s">
        <v>56</v>
      </c>
      <c r="E922" s="394" t="s">
        <v>112</v>
      </c>
      <c r="F922" s="401"/>
      <c r="G922" s="405" t="s">
        <v>3729</v>
      </c>
      <c r="H922" s="113">
        <v>4226</v>
      </c>
      <c r="I922" s="49" t="s">
        <v>1</v>
      </c>
      <c r="J922" s="48" t="s">
        <v>3144</v>
      </c>
      <c r="K922" s="51">
        <v>41170</v>
      </c>
      <c r="L922" s="115">
        <v>41160</v>
      </c>
      <c r="M922" s="50">
        <v>10</v>
      </c>
      <c r="N922" s="50" t="s">
        <v>2</v>
      </c>
      <c r="O922" s="74">
        <f t="shared" si="36"/>
        <v>0.7</v>
      </c>
      <c r="P922" s="50">
        <v>7</v>
      </c>
      <c r="Q922" s="74">
        <v>7.63</v>
      </c>
      <c r="R922" s="50">
        <v>530</v>
      </c>
      <c r="S922" s="74">
        <v>11</v>
      </c>
      <c r="T922" s="50">
        <v>0.18</v>
      </c>
      <c r="U922" s="131">
        <v>1.1499999999999999</v>
      </c>
      <c r="V922" s="50">
        <v>0.56999999999999995</v>
      </c>
      <c r="W922" s="74">
        <v>1.4E-2</v>
      </c>
      <c r="X922" s="50">
        <v>7.5999999999999998E-2</v>
      </c>
      <c r="Y922" s="74">
        <f>0.002/2</f>
        <v>1E-3</v>
      </c>
      <c r="Z922" s="349"/>
      <c r="AA922" s="349"/>
      <c r="AB922" s="114"/>
      <c r="AC922" s="50"/>
      <c r="AD922" s="271"/>
      <c r="AE922" s="50"/>
      <c r="AF922" s="49"/>
      <c r="AG922" s="114"/>
      <c r="AH922" s="114"/>
      <c r="AI922" s="114"/>
      <c r="AJ922" s="114"/>
      <c r="AK922" s="114"/>
      <c r="AL922" s="114"/>
      <c r="AM922" s="114"/>
      <c r="AN922" s="114"/>
      <c r="AO922" s="114"/>
      <c r="AP922" s="114"/>
      <c r="AQ922" s="114"/>
      <c r="AR922" s="114"/>
      <c r="AS922" s="50"/>
      <c r="AT922" s="74"/>
      <c r="AU922" s="114"/>
      <c r="AV922" s="49"/>
      <c r="AW922" s="394"/>
      <c r="AX922" s="385"/>
      <c r="AY922" s="385"/>
      <c r="AZ922" s="385"/>
      <c r="BA922" s="385"/>
      <c r="BB922" s="385"/>
      <c r="BC922" s="385"/>
      <c r="BD922" s="385"/>
      <c r="BE922" s="385"/>
      <c r="BF922" s="385"/>
      <c r="BG922" s="385"/>
      <c r="BH922" s="385"/>
      <c r="BI922" s="385"/>
      <c r="BJ922" s="385"/>
      <c r="BK922" s="385"/>
      <c r="BL922" s="385"/>
      <c r="BM922" s="385"/>
      <c r="BN922" s="385"/>
      <c r="BO922" s="385"/>
      <c r="BP922" s="385"/>
      <c r="BQ922" s="385"/>
      <c r="BR922" s="385"/>
      <c r="BS922" s="385"/>
      <c r="BT922" s="385"/>
      <c r="BU922" s="385"/>
      <c r="BV922" s="385"/>
      <c r="BW922" s="385"/>
      <c r="BX922" s="385"/>
      <c r="BY922" s="385"/>
      <c r="BZ922" s="385"/>
      <c r="CA922" s="385"/>
    </row>
    <row r="923" spans="1:79" s="6" customFormat="1" ht="15" customHeight="1">
      <c r="A923" s="41" t="s">
        <v>183</v>
      </c>
      <c r="B923" s="402" t="s">
        <v>3727</v>
      </c>
      <c r="C923" s="113"/>
      <c r="D923" s="393" t="s">
        <v>56</v>
      </c>
      <c r="E923" s="394" t="s">
        <v>95</v>
      </c>
      <c r="F923" s="401"/>
      <c r="G923" s="405" t="s">
        <v>3730</v>
      </c>
      <c r="H923" s="113">
        <v>4226</v>
      </c>
      <c r="I923" s="49" t="s">
        <v>1</v>
      </c>
      <c r="J923" s="48" t="s">
        <v>3144</v>
      </c>
      <c r="K923" s="51">
        <v>41170</v>
      </c>
      <c r="L923" s="115">
        <v>41160</v>
      </c>
      <c r="M923" s="50">
        <v>10</v>
      </c>
      <c r="N923" s="50" t="s">
        <v>2</v>
      </c>
      <c r="O923" s="74">
        <f t="shared" si="36"/>
        <v>0.7</v>
      </c>
      <c r="P923" s="50">
        <v>6.5</v>
      </c>
      <c r="Q923" s="74">
        <v>7.78</v>
      </c>
      <c r="R923" s="50">
        <v>700</v>
      </c>
      <c r="S923" s="74">
        <v>17</v>
      </c>
      <c r="T923" s="50">
        <v>0.15</v>
      </c>
      <c r="U923" s="131">
        <v>0.87</v>
      </c>
      <c r="V923" s="50">
        <v>0.82</v>
      </c>
      <c r="W923" s="74">
        <v>3.7999999999999999E-2</v>
      </c>
      <c r="X923" s="50">
        <v>0.308</v>
      </c>
      <c r="Y923" s="74">
        <f>0.002/2</f>
        <v>1E-3</v>
      </c>
      <c r="Z923" s="349"/>
      <c r="AA923" s="349"/>
      <c r="AB923" s="114"/>
      <c r="AC923" s="50"/>
      <c r="AD923" s="271"/>
      <c r="AE923" s="50"/>
      <c r="AF923" s="49"/>
      <c r="AG923" s="114"/>
      <c r="AH923" s="114"/>
      <c r="AI923" s="114"/>
      <c r="AJ923" s="114"/>
      <c r="AK923" s="114"/>
      <c r="AL923" s="114"/>
      <c r="AM923" s="114"/>
      <c r="AN923" s="114"/>
      <c r="AO923" s="114"/>
      <c r="AP923" s="114"/>
      <c r="AQ923" s="114"/>
      <c r="AR923" s="114"/>
      <c r="AS923" s="50"/>
      <c r="AT923" s="74"/>
      <c r="AU923" s="114"/>
      <c r="AV923" s="49"/>
      <c r="AW923" s="394"/>
      <c r="AX923" s="385"/>
      <c r="AY923" s="385"/>
      <c r="AZ923" s="385"/>
      <c r="BA923" s="385"/>
      <c r="BB923" s="385"/>
      <c r="BC923" s="385"/>
      <c r="BD923" s="385"/>
      <c r="BE923" s="385"/>
      <c r="BF923" s="385"/>
      <c r="BG923" s="385"/>
      <c r="BH923" s="385"/>
      <c r="BI923" s="385"/>
      <c r="BJ923" s="385"/>
      <c r="BK923" s="385"/>
      <c r="BL923" s="385"/>
      <c r="BM923" s="385"/>
      <c r="BN923" s="385"/>
      <c r="BO923" s="385"/>
      <c r="BP923" s="385"/>
      <c r="BQ923" s="385"/>
      <c r="BR923" s="385"/>
      <c r="BS923" s="385"/>
      <c r="BT923" s="385"/>
      <c r="BU923" s="385"/>
      <c r="BV923" s="385"/>
      <c r="BW923" s="385"/>
      <c r="BX923" s="385"/>
      <c r="BY923" s="385"/>
      <c r="BZ923" s="385"/>
      <c r="CA923" s="385"/>
    </row>
    <row r="924" spans="1:79" s="6" customFormat="1" ht="15" customHeight="1">
      <c r="A924" s="41" t="s">
        <v>183</v>
      </c>
      <c r="B924" s="402" t="s">
        <v>3727</v>
      </c>
      <c r="C924" s="113"/>
      <c r="D924" s="393" t="s">
        <v>56</v>
      </c>
      <c r="E924" s="394" t="s">
        <v>95</v>
      </c>
      <c r="F924" s="401"/>
      <c r="G924" s="405" t="s">
        <v>3730</v>
      </c>
      <c r="H924" s="113">
        <v>4226</v>
      </c>
      <c r="I924" s="49" t="s">
        <v>1</v>
      </c>
      <c r="J924" s="48" t="s">
        <v>3145</v>
      </c>
      <c r="K924" s="51">
        <v>41170</v>
      </c>
      <c r="L924" s="115">
        <v>41160</v>
      </c>
      <c r="M924" s="50">
        <v>10</v>
      </c>
      <c r="N924" s="50" t="s">
        <v>2</v>
      </c>
      <c r="O924" s="74">
        <f t="shared" si="36"/>
        <v>0.7</v>
      </c>
      <c r="P924" s="50">
        <v>6.5</v>
      </c>
      <c r="Q924" s="74">
        <v>7.67</v>
      </c>
      <c r="R924" s="50">
        <v>440</v>
      </c>
      <c r="S924" s="74">
        <f>5/2</f>
        <v>2.5</v>
      </c>
      <c r="T924" s="50">
        <v>0.12</v>
      </c>
      <c r="U924" s="131">
        <v>0.83</v>
      </c>
      <c r="V924" s="50">
        <v>0.4</v>
      </c>
      <c r="W924" s="74">
        <v>1.2E-2</v>
      </c>
      <c r="X924" s="50">
        <v>8.3000000000000004E-2</v>
      </c>
      <c r="Y924" s="74">
        <f>0.002</f>
        <v>2E-3</v>
      </c>
      <c r="Z924" s="349"/>
      <c r="AA924" s="349"/>
      <c r="AB924" s="114"/>
      <c r="AC924" s="50"/>
      <c r="AD924" s="271"/>
      <c r="AE924" s="50"/>
      <c r="AF924" s="49"/>
      <c r="AG924" s="114"/>
      <c r="AH924" s="114"/>
      <c r="AI924" s="114"/>
      <c r="AJ924" s="114"/>
      <c r="AK924" s="114"/>
      <c r="AL924" s="114"/>
      <c r="AM924" s="114"/>
      <c r="AN924" s="114"/>
      <c r="AO924" s="114"/>
      <c r="AP924" s="114"/>
      <c r="AQ924" s="114"/>
      <c r="AR924" s="114"/>
      <c r="AS924" s="50"/>
      <c r="AT924" s="74"/>
      <c r="AU924" s="114"/>
      <c r="AV924" s="49"/>
      <c r="AW924" s="394"/>
      <c r="AX924" s="385"/>
      <c r="AY924" s="385"/>
      <c r="AZ924" s="385"/>
      <c r="BA924" s="385"/>
      <c r="BB924" s="385"/>
      <c r="BC924" s="385"/>
      <c r="BD924" s="385"/>
      <c r="BE924" s="385"/>
      <c r="BF924" s="385"/>
      <c r="BG924" s="385"/>
      <c r="BH924" s="385"/>
      <c r="BI924" s="385"/>
      <c r="BJ924" s="385"/>
      <c r="BK924" s="385"/>
      <c r="BL924" s="385"/>
      <c r="BM924" s="385"/>
      <c r="BN924" s="385"/>
      <c r="BO924" s="385"/>
      <c r="BP924" s="385"/>
      <c r="BQ924" s="385"/>
      <c r="BR924" s="385"/>
      <c r="BS924" s="385"/>
      <c r="BT924" s="385"/>
      <c r="BU924" s="385"/>
      <c r="BV924" s="385"/>
      <c r="BW924" s="385"/>
      <c r="BX924" s="385"/>
      <c r="BY924" s="385"/>
      <c r="BZ924" s="385"/>
      <c r="CA924" s="385"/>
    </row>
    <row r="925" spans="1:79" s="6" customFormat="1" ht="15" customHeight="1">
      <c r="A925" s="41" t="s">
        <v>183</v>
      </c>
      <c r="B925" s="402" t="s">
        <v>3727</v>
      </c>
      <c r="C925" s="113"/>
      <c r="D925" s="393" t="s">
        <v>56</v>
      </c>
      <c r="E925" s="394" t="s">
        <v>95</v>
      </c>
      <c r="F925" s="401"/>
      <c r="G925" s="405" t="s">
        <v>3730</v>
      </c>
      <c r="H925" s="113">
        <v>4226</v>
      </c>
      <c r="I925" s="49" t="s">
        <v>1</v>
      </c>
      <c r="J925" s="48" t="s">
        <v>3693</v>
      </c>
      <c r="K925" s="51">
        <v>41170</v>
      </c>
      <c r="L925" s="115">
        <v>41160</v>
      </c>
      <c r="M925" s="50">
        <v>10</v>
      </c>
      <c r="N925" s="50" t="s">
        <v>2</v>
      </c>
      <c r="O925" s="74">
        <f t="shared" si="36"/>
        <v>0.7</v>
      </c>
      <c r="P925" s="50">
        <v>7</v>
      </c>
      <c r="Q925" s="74">
        <v>8.16</v>
      </c>
      <c r="R925" s="50">
        <v>13</v>
      </c>
      <c r="S925" s="74">
        <v>12</v>
      </c>
      <c r="T925" s="50">
        <v>0.04</v>
      </c>
      <c r="U925" s="131">
        <v>0.51</v>
      </c>
      <c r="V925" s="50">
        <v>2.0299999999999998</v>
      </c>
      <c r="W925" s="74">
        <v>0.02</v>
      </c>
      <c r="X925" s="50">
        <v>4.2000000000000003E-2</v>
      </c>
      <c r="Y925" s="74">
        <v>1.6E-2</v>
      </c>
      <c r="Z925" s="349"/>
      <c r="AA925" s="349"/>
      <c r="AB925" s="114"/>
      <c r="AC925" s="50"/>
      <c r="AD925" s="271"/>
      <c r="AE925" s="50"/>
      <c r="AF925" s="49"/>
      <c r="AG925" s="114"/>
      <c r="AH925" s="114"/>
      <c r="AI925" s="114"/>
      <c r="AJ925" s="114"/>
      <c r="AK925" s="114"/>
      <c r="AL925" s="114"/>
      <c r="AM925" s="114"/>
      <c r="AN925" s="114"/>
      <c r="AO925" s="114"/>
      <c r="AP925" s="114"/>
      <c r="AQ925" s="114"/>
      <c r="AR925" s="114"/>
      <c r="AS925" s="50"/>
      <c r="AT925" s="74"/>
      <c r="AU925" s="114"/>
      <c r="AV925" s="49"/>
      <c r="AW925" s="394"/>
      <c r="AX925" s="385"/>
      <c r="AY925" s="385"/>
      <c r="AZ925" s="385"/>
      <c r="BA925" s="385"/>
      <c r="BB925" s="385"/>
      <c r="BC925" s="385"/>
      <c r="BD925" s="385"/>
      <c r="BE925" s="385"/>
      <c r="BF925" s="385"/>
      <c r="BG925" s="385"/>
      <c r="BH925" s="385"/>
      <c r="BI925" s="385"/>
      <c r="BJ925" s="385"/>
      <c r="BK925" s="385"/>
      <c r="BL925" s="385"/>
      <c r="BM925" s="385"/>
      <c r="BN925" s="385"/>
      <c r="BO925" s="385"/>
      <c r="BP925" s="385"/>
      <c r="BQ925" s="385"/>
      <c r="BR925" s="385"/>
      <c r="BS925" s="385"/>
      <c r="BT925" s="385"/>
      <c r="BU925" s="385"/>
      <c r="BV925" s="385"/>
      <c r="BW925" s="385"/>
      <c r="BX925" s="385"/>
      <c r="BY925" s="385"/>
      <c r="BZ925" s="385"/>
      <c r="CA925" s="385"/>
    </row>
    <row r="926" spans="1:79" s="6" customFormat="1" ht="15" customHeight="1">
      <c r="A926" s="41" t="s">
        <v>183</v>
      </c>
      <c r="B926" s="402" t="s">
        <v>3727</v>
      </c>
      <c r="C926" s="113"/>
      <c r="D926" s="393" t="s">
        <v>56</v>
      </c>
      <c r="E926" s="394" t="s">
        <v>95</v>
      </c>
      <c r="F926" s="401"/>
      <c r="G926" s="405" t="s">
        <v>3731</v>
      </c>
      <c r="H926" s="113">
        <v>4226</v>
      </c>
      <c r="I926" s="49" t="s">
        <v>1</v>
      </c>
      <c r="J926" s="48" t="s">
        <v>3144</v>
      </c>
      <c r="K926" s="51">
        <v>41156</v>
      </c>
      <c r="L926" s="115">
        <v>41148</v>
      </c>
      <c r="M926" s="50">
        <v>8</v>
      </c>
      <c r="N926" s="50" t="s">
        <v>2</v>
      </c>
      <c r="O926" s="74">
        <f t="shared" si="36"/>
        <v>0.7</v>
      </c>
      <c r="P926" s="50">
        <v>6.5</v>
      </c>
      <c r="Q926" s="74">
        <v>7.47</v>
      </c>
      <c r="R926" s="50">
        <v>60</v>
      </c>
      <c r="S926" s="74">
        <v>19</v>
      </c>
      <c r="T926" s="50">
        <v>0.41</v>
      </c>
      <c r="U926" s="131">
        <v>7.04</v>
      </c>
      <c r="V926" s="50">
        <v>0.99</v>
      </c>
      <c r="W926" s="74">
        <v>1.2999999999999999E-2</v>
      </c>
      <c r="X926" s="50">
        <v>0.17399999999999999</v>
      </c>
      <c r="Y926" s="74">
        <v>5.0000000000000001E-3</v>
      </c>
      <c r="Z926" s="349"/>
      <c r="AA926" s="349"/>
      <c r="AB926" s="114"/>
      <c r="AC926" s="50"/>
      <c r="AD926" s="271"/>
      <c r="AE926" s="50"/>
      <c r="AF926" s="49"/>
      <c r="AG926" s="114"/>
      <c r="AH926" s="114"/>
      <c r="AI926" s="114"/>
      <c r="AJ926" s="114"/>
      <c r="AK926" s="114"/>
      <c r="AL926" s="114"/>
      <c r="AM926" s="114"/>
      <c r="AN926" s="114"/>
      <c r="AO926" s="114"/>
      <c r="AP926" s="114"/>
      <c r="AQ926" s="114"/>
      <c r="AR926" s="114"/>
      <c r="AS926" s="50"/>
      <c r="AT926" s="74"/>
      <c r="AU926" s="114"/>
      <c r="AV926" s="49"/>
      <c r="AW926" s="394"/>
      <c r="AX926" s="385"/>
      <c r="AY926" s="385"/>
      <c r="AZ926" s="385"/>
      <c r="BA926" s="385"/>
      <c r="BB926" s="385"/>
      <c r="BC926" s="385"/>
      <c r="BD926" s="385"/>
      <c r="BE926" s="385"/>
      <c r="BF926" s="385"/>
      <c r="BG926" s="385"/>
      <c r="BH926" s="385"/>
      <c r="BI926" s="385"/>
      <c r="BJ926" s="385"/>
      <c r="BK926" s="385"/>
      <c r="BL926" s="385"/>
      <c r="BM926" s="385"/>
      <c r="BN926" s="385"/>
      <c r="BO926" s="385"/>
      <c r="BP926" s="385"/>
      <c r="BQ926" s="385"/>
      <c r="BR926" s="385"/>
      <c r="BS926" s="385"/>
      <c r="BT926" s="385"/>
      <c r="BU926" s="385"/>
      <c r="BV926" s="385"/>
      <c r="BW926" s="385"/>
      <c r="BX926" s="385"/>
      <c r="BY926" s="385"/>
      <c r="BZ926" s="385"/>
      <c r="CA926" s="385"/>
    </row>
    <row r="927" spans="1:79" s="6" customFormat="1" ht="15" customHeight="1">
      <c r="A927" s="41" t="s">
        <v>183</v>
      </c>
      <c r="B927" s="402" t="s">
        <v>3732</v>
      </c>
      <c r="C927" s="113" t="s">
        <v>3732</v>
      </c>
      <c r="D927" s="393" t="s">
        <v>516</v>
      </c>
      <c r="E927" s="394" t="s">
        <v>949</v>
      </c>
      <c r="F927" s="401"/>
      <c r="G927" s="405" t="s">
        <v>2028</v>
      </c>
      <c r="H927" s="113">
        <v>3291</v>
      </c>
      <c r="I927" s="49" t="s">
        <v>2</v>
      </c>
      <c r="J927" s="48"/>
      <c r="K927" s="51">
        <v>41184</v>
      </c>
      <c r="L927" s="115"/>
      <c r="M927" s="50"/>
      <c r="N927" s="50" t="s">
        <v>2</v>
      </c>
      <c r="O927" s="74">
        <f>1.6/2</f>
        <v>0.8</v>
      </c>
      <c r="P927" s="50">
        <v>5.3</v>
      </c>
      <c r="Q927" s="74">
        <v>5.53</v>
      </c>
      <c r="R927" s="50">
        <f>10/2</f>
        <v>5</v>
      </c>
      <c r="S927" s="74">
        <f>5/2</f>
        <v>2.5</v>
      </c>
      <c r="T927" s="50">
        <f>0.01/2</f>
        <v>5.0000000000000001E-3</v>
      </c>
      <c r="U927" s="131">
        <v>0.73</v>
      </c>
      <c r="V927" s="50">
        <v>0.39</v>
      </c>
      <c r="W927" s="74">
        <f>0.005/2</f>
        <v>2.5000000000000001E-3</v>
      </c>
      <c r="X927" s="50">
        <v>0.25800000000000001</v>
      </c>
      <c r="Y927" s="74">
        <f>0.002/2</f>
        <v>1E-3</v>
      </c>
      <c r="Z927" s="349">
        <v>0.82</v>
      </c>
      <c r="AA927" s="349">
        <v>0.70699999999999996</v>
      </c>
      <c r="AB927" s="114">
        <v>6</v>
      </c>
      <c r="AC927" s="50">
        <v>31</v>
      </c>
      <c r="AD927" s="271">
        <v>0</v>
      </c>
      <c r="AE927" s="50"/>
      <c r="AF927" s="49"/>
      <c r="AG927" s="114"/>
      <c r="AH927" s="114"/>
      <c r="AI927" s="114"/>
      <c r="AJ927" s="114"/>
      <c r="AK927" s="114"/>
      <c r="AL927" s="114"/>
      <c r="AM927" s="114"/>
      <c r="AN927" s="114"/>
      <c r="AO927" s="114"/>
      <c r="AP927" s="114"/>
      <c r="AQ927" s="114"/>
      <c r="AR927" s="114"/>
      <c r="AS927" s="50"/>
      <c r="AT927" s="74"/>
      <c r="AU927" s="114"/>
      <c r="AV927" s="49"/>
      <c r="AW927" s="394"/>
      <c r="AX927" s="385"/>
      <c r="AY927" s="385"/>
      <c r="AZ927" s="385"/>
      <c r="BA927" s="385"/>
      <c r="BB927" s="385"/>
      <c r="BC927" s="385"/>
      <c r="BD927" s="385"/>
      <c r="BE927" s="385"/>
      <c r="BF927" s="385"/>
      <c r="BG927" s="385"/>
      <c r="BH927" s="385"/>
      <c r="BI927" s="385"/>
      <c r="BJ927" s="385"/>
      <c r="BK927" s="385"/>
      <c r="BL927" s="385"/>
      <c r="BM927" s="385"/>
      <c r="BN927" s="385"/>
      <c r="BO927" s="385"/>
      <c r="BP927" s="385"/>
      <c r="BQ927" s="385"/>
      <c r="BR927" s="385"/>
      <c r="BS927" s="385"/>
      <c r="BT927" s="385"/>
      <c r="BU927" s="385"/>
      <c r="BV927" s="385"/>
      <c r="BW927" s="385"/>
      <c r="BX927" s="385"/>
      <c r="BY927" s="385"/>
      <c r="BZ927" s="385"/>
      <c r="CA927" s="385"/>
    </row>
    <row r="928" spans="1:79" s="6" customFormat="1" ht="15" customHeight="1">
      <c r="A928" s="41" t="s">
        <v>183</v>
      </c>
      <c r="B928" s="402" t="s">
        <v>1351</v>
      </c>
      <c r="C928" s="113" t="s">
        <v>3733</v>
      </c>
      <c r="D928" s="393" t="s">
        <v>89</v>
      </c>
      <c r="E928" s="394" t="s">
        <v>1363</v>
      </c>
      <c r="F928" s="401"/>
      <c r="G928" s="405" t="s">
        <v>1364</v>
      </c>
      <c r="H928" s="113">
        <v>4513</v>
      </c>
      <c r="I928" s="49" t="s">
        <v>1</v>
      </c>
      <c r="J928" s="48" t="s">
        <v>3734</v>
      </c>
      <c r="K928" s="51">
        <v>41122</v>
      </c>
      <c r="L928" s="115">
        <v>41118</v>
      </c>
      <c r="M928" s="50">
        <v>4</v>
      </c>
      <c r="N928" s="50" t="s">
        <v>2</v>
      </c>
      <c r="O928" s="74">
        <f>5/2</f>
        <v>2.5</v>
      </c>
      <c r="P928" s="50">
        <v>6</v>
      </c>
      <c r="Q928" s="74">
        <v>6</v>
      </c>
      <c r="R928" s="50">
        <v>6.9</v>
      </c>
      <c r="S928" s="74">
        <v>4</v>
      </c>
      <c r="T928" s="50">
        <v>0.16</v>
      </c>
      <c r="U928" s="131">
        <v>0.35</v>
      </c>
      <c r="V928" s="50">
        <f>0.1/2</f>
        <v>0.05</v>
      </c>
      <c r="W928" s="74">
        <f>0.02/2</f>
        <v>0.01</v>
      </c>
      <c r="X928" s="50">
        <f>0.01/2</f>
        <v>5.0000000000000001E-3</v>
      </c>
      <c r="Y928" s="74">
        <v>0.01</v>
      </c>
      <c r="Z928" s="349">
        <v>1</v>
      </c>
      <c r="AA928" s="349">
        <v>1</v>
      </c>
      <c r="AB928" s="114">
        <v>20</v>
      </c>
      <c r="AC928" s="50">
        <v>188</v>
      </c>
      <c r="AD928" s="271">
        <v>1</v>
      </c>
      <c r="AE928" s="50">
        <v>2280</v>
      </c>
      <c r="AF928" s="49">
        <v>6490</v>
      </c>
      <c r="AG928" s="114"/>
      <c r="AH928" s="114"/>
      <c r="AI928" s="114"/>
      <c r="AJ928" s="114"/>
      <c r="AK928" s="114"/>
      <c r="AL928" s="114"/>
      <c r="AM928" s="114"/>
      <c r="AN928" s="114"/>
      <c r="AO928" s="114"/>
      <c r="AP928" s="114"/>
      <c r="AQ928" s="114"/>
      <c r="AR928" s="114"/>
      <c r="AS928" s="50"/>
      <c r="AT928" s="74"/>
      <c r="AU928" s="114"/>
      <c r="AV928" s="49"/>
      <c r="AW928" s="394"/>
      <c r="AX928" s="385"/>
      <c r="AY928" s="385"/>
      <c r="AZ928" s="385"/>
      <c r="BA928" s="385"/>
      <c r="BB928" s="385"/>
      <c r="BC928" s="385"/>
      <c r="BD928" s="385"/>
      <c r="BE928" s="385"/>
      <c r="BF928" s="385"/>
      <c r="BG928" s="385"/>
      <c r="BH928" s="385"/>
      <c r="BI928" s="385"/>
      <c r="BJ928" s="385"/>
      <c r="BK928" s="385"/>
      <c r="BL928" s="385"/>
      <c r="BM928" s="385"/>
      <c r="BN928" s="385"/>
      <c r="BO928" s="385"/>
      <c r="BP928" s="385"/>
      <c r="BQ928" s="385"/>
      <c r="BR928" s="385"/>
      <c r="BS928" s="385"/>
      <c r="BT928" s="385"/>
      <c r="BU928" s="385"/>
      <c r="BV928" s="385"/>
      <c r="BW928" s="385"/>
      <c r="BX928" s="385"/>
      <c r="BY928" s="385"/>
      <c r="BZ928" s="385"/>
      <c r="CA928" s="385"/>
    </row>
    <row r="929" spans="1:79" s="6" customFormat="1" ht="15" customHeight="1">
      <c r="A929" s="41" t="s">
        <v>183</v>
      </c>
      <c r="B929" s="402" t="s">
        <v>2232</v>
      </c>
      <c r="C929" s="113" t="s">
        <v>2232</v>
      </c>
      <c r="D929" s="393" t="s">
        <v>1896</v>
      </c>
      <c r="E929" s="394" t="s">
        <v>2412</v>
      </c>
      <c r="F929" s="401"/>
      <c r="G929" s="405" t="s">
        <v>2234</v>
      </c>
      <c r="H929" s="113">
        <v>3081</v>
      </c>
      <c r="I929" s="49"/>
      <c r="J929" s="48" t="s">
        <v>1030</v>
      </c>
      <c r="K929" s="51">
        <v>41170</v>
      </c>
      <c r="L929" s="115">
        <v>41160</v>
      </c>
      <c r="M929" s="50">
        <v>10</v>
      </c>
      <c r="N929" s="50" t="s">
        <v>2</v>
      </c>
      <c r="O929" s="74">
        <v>6.4</v>
      </c>
      <c r="P929" s="50">
        <v>6.16</v>
      </c>
      <c r="Q929" s="74">
        <v>6.16</v>
      </c>
      <c r="R929" s="50">
        <v>193.9</v>
      </c>
      <c r="S929" s="74">
        <v>46</v>
      </c>
      <c r="T929" s="50">
        <v>0.23</v>
      </c>
      <c r="U929" s="131">
        <v>5.73</v>
      </c>
      <c r="V929" s="50">
        <v>2.8</v>
      </c>
      <c r="W929" s="74">
        <v>0.09</v>
      </c>
      <c r="X929" s="50">
        <v>0.71</v>
      </c>
      <c r="Y929" s="74">
        <f>0.02/2</f>
        <v>0.01</v>
      </c>
      <c r="Z929" s="349">
        <v>1</v>
      </c>
      <c r="AA929" s="349">
        <v>1</v>
      </c>
      <c r="AB929" s="114">
        <v>30.1</v>
      </c>
      <c r="AC929" s="50">
        <v>56.8</v>
      </c>
      <c r="AD929" s="271">
        <v>0.65</v>
      </c>
      <c r="AE929" s="50"/>
      <c r="AF929" s="49"/>
      <c r="AG929" s="114"/>
      <c r="AH929" s="114"/>
      <c r="AI929" s="114"/>
      <c r="AJ929" s="114"/>
      <c r="AK929" s="114"/>
      <c r="AL929" s="114"/>
      <c r="AM929" s="114"/>
      <c r="AN929" s="114"/>
      <c r="AO929" s="114"/>
      <c r="AP929" s="114"/>
      <c r="AQ929" s="114"/>
      <c r="AR929" s="114"/>
      <c r="AS929" s="50"/>
      <c r="AT929" s="74"/>
      <c r="AU929" s="114"/>
      <c r="AV929" s="49"/>
      <c r="AW929" s="394"/>
      <c r="AX929" s="385"/>
      <c r="AY929" s="385"/>
      <c r="AZ929" s="385"/>
      <c r="BA929" s="385"/>
      <c r="BB929" s="385"/>
      <c r="BC929" s="385"/>
      <c r="BD929" s="385"/>
      <c r="BE929" s="385"/>
      <c r="BF929" s="385"/>
      <c r="BG929" s="385"/>
      <c r="BH929" s="385"/>
      <c r="BI929" s="385"/>
      <c r="BJ929" s="385"/>
      <c r="BK929" s="385"/>
      <c r="BL929" s="385"/>
      <c r="BM929" s="385"/>
      <c r="BN929" s="385"/>
      <c r="BO929" s="385"/>
      <c r="BP929" s="385"/>
      <c r="BQ929" s="385"/>
      <c r="BR929" s="385"/>
      <c r="BS929" s="385"/>
      <c r="BT929" s="385"/>
      <c r="BU929" s="385"/>
      <c r="BV929" s="385"/>
      <c r="BW929" s="385"/>
      <c r="BX929" s="385"/>
      <c r="BY929" s="385"/>
      <c r="BZ929" s="385"/>
      <c r="CA929" s="385"/>
    </row>
    <row r="930" spans="1:79" s="6" customFormat="1" ht="15" customHeight="1">
      <c r="A930" s="41" t="s">
        <v>183</v>
      </c>
      <c r="B930" s="402" t="s">
        <v>2707</v>
      </c>
      <c r="C930" s="113" t="s">
        <v>1332</v>
      </c>
      <c r="D930" s="393" t="s">
        <v>379</v>
      </c>
      <c r="E930" s="394" t="s">
        <v>3350</v>
      </c>
      <c r="F930" s="402"/>
      <c r="G930" s="405" t="s">
        <v>2925</v>
      </c>
      <c r="H930" s="113">
        <v>4953</v>
      </c>
      <c r="I930" s="49" t="s">
        <v>2</v>
      </c>
      <c r="J930" s="48" t="s">
        <v>3553</v>
      </c>
      <c r="K930" s="51">
        <v>41170</v>
      </c>
      <c r="L930" s="115">
        <v>41160</v>
      </c>
      <c r="M930" s="50">
        <f t="shared" ref="M930:M968" si="37">K930-L930</f>
        <v>10</v>
      </c>
      <c r="N930" s="50" t="s">
        <v>2</v>
      </c>
      <c r="O930" s="74">
        <v>7.5</v>
      </c>
      <c r="P930" s="50">
        <v>6.78</v>
      </c>
      <c r="Q930" s="74">
        <v>6.8</v>
      </c>
      <c r="R930" s="50">
        <v>120</v>
      </c>
      <c r="S930" s="74">
        <v>260</v>
      </c>
      <c r="T930" s="50">
        <v>0.57999999999999996</v>
      </c>
      <c r="U930" s="131">
        <v>2.99</v>
      </c>
      <c r="V930" s="50">
        <v>1.45</v>
      </c>
      <c r="W930" s="74">
        <v>5.8999999999999997E-2</v>
      </c>
      <c r="X930" s="50">
        <v>0.57899999999999996</v>
      </c>
      <c r="Y930" s="74">
        <v>7.5999999999999998E-2</v>
      </c>
      <c r="Z930" s="271"/>
      <c r="AA930" s="271"/>
      <c r="AB930" s="114"/>
      <c r="AC930" s="50"/>
      <c r="AD930" s="271"/>
      <c r="AE930" s="50"/>
      <c r="AF930" s="49"/>
      <c r="AG930" s="114"/>
      <c r="AH930" s="114"/>
      <c r="AI930" s="114"/>
      <c r="AJ930" s="114"/>
      <c r="AK930" s="114"/>
      <c r="AL930" s="114"/>
      <c r="AM930" s="114"/>
      <c r="AN930" s="114"/>
      <c r="AO930" s="114"/>
      <c r="AP930" s="114"/>
      <c r="AQ930" s="114"/>
      <c r="AR930" s="114"/>
      <c r="AS930" s="50"/>
      <c r="AT930" s="74"/>
      <c r="AU930" s="114"/>
      <c r="AV930" s="114"/>
      <c r="AW930" s="394"/>
      <c r="AX930" s="385"/>
      <c r="AY930" s="385"/>
      <c r="AZ930" s="385"/>
      <c r="BA930" s="385"/>
      <c r="BB930" s="385"/>
      <c r="BC930" s="385"/>
      <c r="BD930" s="385"/>
      <c r="BE930" s="385"/>
      <c r="BF930" s="385"/>
      <c r="BG930" s="385"/>
      <c r="BH930" s="385"/>
      <c r="BI930" s="385"/>
      <c r="BJ930" s="385"/>
      <c r="BK930" s="385"/>
      <c r="BL930" s="385"/>
      <c r="BM930" s="385"/>
      <c r="BN930" s="385"/>
      <c r="BO930" s="385"/>
      <c r="BP930" s="385"/>
      <c r="BQ930" s="385"/>
      <c r="BR930" s="385"/>
      <c r="BS930" s="385"/>
      <c r="BT930" s="385"/>
      <c r="BU930" s="385"/>
      <c r="BV930" s="385"/>
      <c r="BW930" s="385"/>
      <c r="BX930" s="385"/>
      <c r="BY930" s="385"/>
      <c r="BZ930" s="385"/>
      <c r="CA930" s="385"/>
    </row>
    <row r="931" spans="1:79" s="6" customFormat="1" ht="15" customHeight="1">
      <c r="A931" s="74" t="s">
        <v>4668</v>
      </c>
      <c r="B931" s="402" t="s">
        <v>3664</v>
      </c>
      <c r="C931" s="113" t="s">
        <v>2660</v>
      </c>
      <c r="D931" s="393" t="s">
        <v>103</v>
      </c>
      <c r="E931" s="394" t="s">
        <v>3665</v>
      </c>
      <c r="F931" s="402"/>
      <c r="G931" s="405" t="s">
        <v>3666</v>
      </c>
      <c r="H931" s="74">
        <v>4214</v>
      </c>
      <c r="I931" s="50" t="s">
        <v>1</v>
      </c>
      <c r="J931" s="339" t="s">
        <v>2660</v>
      </c>
      <c r="K931" s="51">
        <v>41345</v>
      </c>
      <c r="L931" s="115">
        <v>41341</v>
      </c>
      <c r="M931" s="50">
        <f t="shared" si="37"/>
        <v>4</v>
      </c>
      <c r="N931" s="50" t="s">
        <v>2</v>
      </c>
      <c r="O931" s="74">
        <f>1/2</f>
        <v>0.5</v>
      </c>
      <c r="P931" s="50">
        <v>6.85</v>
      </c>
      <c r="Q931" s="74">
        <v>7.08</v>
      </c>
      <c r="R931" s="50">
        <v>201</v>
      </c>
      <c r="S931" s="74">
        <v>69</v>
      </c>
      <c r="T931" s="50">
        <v>0.8</v>
      </c>
      <c r="U931" s="131">
        <v>2.3199999999999998</v>
      </c>
      <c r="V931" s="50">
        <v>0.28999999999999998</v>
      </c>
      <c r="W931" s="74">
        <v>5.0999999999999997E-2</v>
      </c>
      <c r="X931" s="50">
        <v>0.3</v>
      </c>
      <c r="Y931" s="74">
        <v>5.3999999999999999E-2</v>
      </c>
      <c r="Z931" s="271">
        <v>1</v>
      </c>
      <c r="AA931" s="271">
        <v>1</v>
      </c>
      <c r="AB931" s="114">
        <v>84.62</v>
      </c>
      <c r="AC931" s="50">
        <v>414</v>
      </c>
      <c r="AD931" s="271">
        <f>20/20</f>
        <v>1</v>
      </c>
      <c r="AE931" s="50"/>
      <c r="AF931" s="49"/>
      <c r="AG931" s="114"/>
      <c r="AH931" s="114"/>
      <c r="AI931" s="114"/>
      <c r="AJ931" s="114"/>
      <c r="AK931" s="114"/>
      <c r="AL931" s="114"/>
      <c r="AM931" s="114"/>
      <c r="AN931" s="114"/>
      <c r="AO931" s="114"/>
      <c r="AP931" s="114"/>
      <c r="AQ931" s="114"/>
      <c r="AR931" s="114"/>
      <c r="AS931" s="50"/>
      <c r="AT931" s="74"/>
      <c r="AU931" s="114"/>
      <c r="AV931" s="114"/>
      <c r="AW931" s="394"/>
      <c r="AX931" s="385"/>
      <c r="AY931" s="385"/>
      <c r="AZ931" s="385"/>
      <c r="BA931" s="385"/>
      <c r="BB931" s="385"/>
      <c r="BC931" s="385"/>
      <c r="BD931" s="385"/>
      <c r="BE931" s="385"/>
      <c r="BF931" s="385"/>
      <c r="BG931" s="385"/>
      <c r="BH931" s="385"/>
      <c r="BI931" s="385"/>
      <c r="BJ931" s="385"/>
      <c r="BK931" s="385"/>
      <c r="BL931" s="385"/>
      <c r="BM931" s="385"/>
      <c r="BN931" s="385"/>
      <c r="BO931" s="385"/>
      <c r="BP931" s="385"/>
      <c r="BQ931" s="385"/>
      <c r="BR931" s="385"/>
      <c r="BS931" s="385"/>
      <c r="BT931" s="385"/>
      <c r="BU931" s="385"/>
      <c r="BV931" s="385"/>
      <c r="BW931" s="385"/>
      <c r="BX931" s="385"/>
      <c r="BY931" s="385"/>
      <c r="BZ931" s="385"/>
      <c r="CA931" s="385"/>
    </row>
    <row r="932" spans="1:79" s="6" customFormat="1" ht="15" customHeight="1">
      <c r="A932" s="41" t="s">
        <v>183</v>
      </c>
      <c r="B932" s="402" t="s">
        <v>3781</v>
      </c>
      <c r="C932" s="113" t="s">
        <v>3782</v>
      </c>
      <c r="D932" s="393" t="s">
        <v>1896</v>
      </c>
      <c r="E932" s="394" t="s">
        <v>3783</v>
      </c>
      <c r="F932" s="402"/>
      <c r="G932" s="405" t="s">
        <v>3784</v>
      </c>
      <c r="H932" s="74">
        <v>4111</v>
      </c>
      <c r="I932" s="50" t="s">
        <v>1</v>
      </c>
      <c r="J932" s="339" t="s">
        <v>3786</v>
      </c>
      <c r="K932" s="51">
        <v>40835</v>
      </c>
      <c r="L932" s="173">
        <v>40830</v>
      </c>
      <c r="M932" s="50">
        <f t="shared" si="37"/>
        <v>5</v>
      </c>
      <c r="N932" s="50" t="s">
        <v>2</v>
      </c>
      <c r="O932" s="74">
        <v>1.2</v>
      </c>
      <c r="P932" s="50">
        <v>6.27</v>
      </c>
      <c r="Q932" s="74">
        <v>6.55</v>
      </c>
      <c r="R932" s="50">
        <v>38</v>
      </c>
      <c r="S932" s="74">
        <v>13</v>
      </c>
      <c r="T932" s="50">
        <f>0.01/2</f>
        <v>5.0000000000000001E-3</v>
      </c>
      <c r="U932" s="131">
        <v>0.68100000000000005</v>
      </c>
      <c r="V932" s="50">
        <v>0.54700000000000004</v>
      </c>
      <c r="W932" s="74">
        <v>1.9699999999999999E-2</v>
      </c>
      <c r="X932" s="50">
        <v>0.113</v>
      </c>
      <c r="Y932" s="74">
        <v>3.2699999999999999E-3</v>
      </c>
      <c r="Z932" s="271">
        <v>1</v>
      </c>
      <c r="AA932" s="271">
        <v>1</v>
      </c>
      <c r="AB932" s="114"/>
      <c r="AC932" s="50">
        <v>45</v>
      </c>
      <c r="AD932" s="271">
        <v>0.85</v>
      </c>
      <c r="AE932" s="50"/>
      <c r="AF932" s="49"/>
      <c r="AG932" s="114"/>
      <c r="AH932" s="114"/>
      <c r="AI932" s="114"/>
      <c r="AJ932" s="114"/>
      <c r="AK932" s="114"/>
      <c r="AL932" s="114"/>
      <c r="AM932" s="114"/>
      <c r="AN932" s="114"/>
      <c r="AO932" s="114"/>
      <c r="AP932" s="114"/>
      <c r="AQ932" s="114"/>
      <c r="AR932" s="114"/>
      <c r="AS932" s="50"/>
      <c r="AT932" s="74"/>
      <c r="AU932" s="114"/>
      <c r="AV932" s="114"/>
      <c r="AW932" s="394"/>
      <c r="AX932" s="385"/>
      <c r="AY932" s="385"/>
      <c r="AZ932" s="385"/>
      <c r="BA932" s="385"/>
      <c r="BB932" s="385"/>
      <c r="BC932" s="385"/>
      <c r="BD932" s="385"/>
      <c r="BE932" s="385"/>
      <c r="BF932" s="385"/>
      <c r="BG932" s="385"/>
      <c r="BH932" s="385"/>
      <c r="BI932" s="385"/>
      <c r="BJ932" s="385"/>
      <c r="BK932" s="385"/>
      <c r="BL932" s="385"/>
      <c r="BM932" s="385"/>
      <c r="BN932" s="385"/>
      <c r="BO932" s="385"/>
      <c r="BP932" s="385"/>
      <c r="BQ932" s="385"/>
      <c r="BR932" s="385"/>
      <c r="BS932" s="385"/>
      <c r="BT932" s="385"/>
      <c r="BU932" s="385"/>
      <c r="BV932" s="385"/>
      <c r="BW932" s="385"/>
      <c r="BX932" s="385"/>
      <c r="BY932" s="385"/>
      <c r="BZ932" s="385"/>
      <c r="CA932" s="385"/>
    </row>
    <row r="933" spans="1:79" s="6" customFormat="1" ht="15" customHeight="1">
      <c r="A933" s="41" t="s">
        <v>183</v>
      </c>
      <c r="B933" s="402" t="s">
        <v>3781</v>
      </c>
      <c r="C933" s="113" t="s">
        <v>3782</v>
      </c>
      <c r="D933" s="393" t="s">
        <v>1896</v>
      </c>
      <c r="E933" s="394" t="s">
        <v>3783</v>
      </c>
      <c r="F933" s="402"/>
      <c r="G933" s="405" t="s">
        <v>3784</v>
      </c>
      <c r="H933" s="74">
        <v>4111</v>
      </c>
      <c r="I933" s="50" t="s">
        <v>1</v>
      </c>
      <c r="J933" s="339" t="s">
        <v>3785</v>
      </c>
      <c r="K933" s="51">
        <v>40835</v>
      </c>
      <c r="L933" s="173">
        <v>40830</v>
      </c>
      <c r="M933" s="50">
        <f t="shared" si="37"/>
        <v>5</v>
      </c>
      <c r="N933" s="50" t="s">
        <v>2</v>
      </c>
      <c r="O933" s="74">
        <f>0.5/2</f>
        <v>0.25</v>
      </c>
      <c r="P933" s="50">
        <v>6.27</v>
      </c>
      <c r="Q933" s="74">
        <v>6.28</v>
      </c>
      <c r="R933" s="50">
        <v>48</v>
      </c>
      <c r="S933" s="74">
        <v>7</v>
      </c>
      <c r="T933" s="50">
        <f>0.01/2</f>
        <v>5.0000000000000001E-3</v>
      </c>
      <c r="U933" s="131">
        <v>2.37</v>
      </c>
      <c r="V933" s="50">
        <v>1.53</v>
      </c>
      <c r="W933" s="74">
        <v>3.39E-2</v>
      </c>
      <c r="X933" s="50">
        <v>0.55200000000000005</v>
      </c>
      <c r="Y933" s="74">
        <v>3.5599999999999998E-3</v>
      </c>
      <c r="Z933" s="271">
        <v>1</v>
      </c>
      <c r="AA933" s="271">
        <v>0.76200000000000001</v>
      </c>
      <c r="AB933" s="114"/>
      <c r="AC933" s="50">
        <v>45</v>
      </c>
      <c r="AD933" s="271">
        <v>0</v>
      </c>
      <c r="AE933" s="50"/>
      <c r="AF933" s="49"/>
      <c r="AG933" s="114"/>
      <c r="AH933" s="114"/>
      <c r="AI933" s="114"/>
      <c r="AJ933" s="114"/>
      <c r="AK933" s="114"/>
      <c r="AL933" s="114"/>
      <c r="AM933" s="114"/>
      <c r="AN933" s="114"/>
      <c r="AO933" s="114"/>
      <c r="AP933" s="114"/>
      <c r="AQ933" s="114"/>
      <c r="AR933" s="114"/>
      <c r="AS933" s="50"/>
      <c r="AT933" s="74"/>
      <c r="AU933" s="114"/>
      <c r="AV933" s="114"/>
      <c r="AW933" s="394"/>
      <c r="AX933" s="385"/>
      <c r="AY933" s="385"/>
      <c r="AZ933" s="385"/>
      <c r="BA933" s="385"/>
      <c r="BB933" s="385"/>
      <c r="BC933" s="385"/>
      <c r="BD933" s="385"/>
      <c r="BE933" s="385"/>
      <c r="BF933" s="385"/>
      <c r="BG933" s="385"/>
      <c r="BH933" s="385"/>
      <c r="BI933" s="385"/>
      <c r="BJ933" s="385"/>
      <c r="BK933" s="385"/>
      <c r="BL933" s="385"/>
      <c r="BM933" s="385"/>
      <c r="BN933" s="385"/>
      <c r="BO933" s="385"/>
      <c r="BP933" s="385"/>
      <c r="BQ933" s="385"/>
      <c r="BR933" s="385"/>
      <c r="BS933" s="385"/>
      <c r="BT933" s="385"/>
      <c r="BU933" s="385"/>
      <c r="BV933" s="385"/>
      <c r="BW933" s="385"/>
      <c r="BX933" s="385"/>
      <c r="BY933" s="385"/>
      <c r="BZ933" s="385"/>
      <c r="CA933" s="385"/>
    </row>
    <row r="934" spans="1:79" s="6" customFormat="1" ht="15" customHeight="1">
      <c r="A934" s="41" t="s">
        <v>183</v>
      </c>
      <c r="B934" s="402" t="s">
        <v>3781</v>
      </c>
      <c r="C934" s="113" t="s">
        <v>3782</v>
      </c>
      <c r="D934" s="393" t="s">
        <v>1896</v>
      </c>
      <c r="E934" s="394" t="s">
        <v>3783</v>
      </c>
      <c r="F934" s="402"/>
      <c r="G934" s="405" t="s">
        <v>3784</v>
      </c>
      <c r="H934" s="74">
        <v>4111</v>
      </c>
      <c r="I934" s="50" t="s">
        <v>1</v>
      </c>
      <c r="J934" s="339" t="s">
        <v>3787</v>
      </c>
      <c r="K934" s="51">
        <v>40835</v>
      </c>
      <c r="L934" s="173">
        <v>40830</v>
      </c>
      <c r="M934" s="50">
        <f t="shared" si="37"/>
        <v>5</v>
      </c>
      <c r="N934" s="50" t="s">
        <v>2</v>
      </c>
      <c r="O934" s="74">
        <v>6</v>
      </c>
      <c r="P934" s="50">
        <v>6.27</v>
      </c>
      <c r="Q934" s="74">
        <v>7.42</v>
      </c>
      <c r="R934" s="50">
        <v>71</v>
      </c>
      <c r="S934" s="74">
        <v>9</v>
      </c>
      <c r="T934" s="50">
        <f>0.01/2</f>
        <v>5.0000000000000001E-3</v>
      </c>
      <c r="U934" s="131">
        <v>1.28</v>
      </c>
      <c r="V934" s="50">
        <v>1.67</v>
      </c>
      <c r="W934" s="74">
        <v>6.4999999999999997E-3</v>
      </c>
      <c r="X934" s="50">
        <v>4.58E-2</v>
      </c>
      <c r="Y934" s="74">
        <f>0.003/2</f>
        <v>1.5E-3</v>
      </c>
      <c r="Z934" s="271">
        <v>1</v>
      </c>
      <c r="AA934" s="271">
        <v>1</v>
      </c>
      <c r="AB934" s="114"/>
      <c r="AC934" s="50">
        <v>45</v>
      </c>
      <c r="AD934" s="271">
        <v>0.9</v>
      </c>
      <c r="AE934" s="50"/>
      <c r="AF934" s="49"/>
      <c r="AG934" s="114"/>
      <c r="AH934" s="114"/>
      <c r="AI934" s="114"/>
      <c r="AJ934" s="114"/>
      <c r="AK934" s="114"/>
      <c r="AL934" s="114"/>
      <c r="AM934" s="114"/>
      <c r="AN934" s="114"/>
      <c r="AO934" s="114"/>
      <c r="AP934" s="114"/>
      <c r="AQ934" s="114"/>
      <c r="AR934" s="114"/>
      <c r="AS934" s="50"/>
      <c r="AT934" s="74"/>
      <c r="AU934" s="114"/>
      <c r="AV934" s="114"/>
      <c r="AW934" s="394"/>
      <c r="AX934" s="385"/>
      <c r="AY934" s="385"/>
      <c r="AZ934" s="385"/>
      <c r="BA934" s="385"/>
      <c r="BB934" s="385"/>
      <c r="BC934" s="385"/>
      <c r="BD934" s="385"/>
      <c r="BE934" s="385"/>
      <c r="BF934" s="385"/>
      <c r="BG934" s="385"/>
      <c r="BH934" s="385"/>
      <c r="BI934" s="385"/>
      <c r="BJ934" s="385"/>
      <c r="BK934" s="385"/>
      <c r="BL934" s="385"/>
      <c r="BM934" s="385"/>
      <c r="BN934" s="385"/>
      <c r="BO934" s="385"/>
      <c r="BP934" s="385"/>
      <c r="BQ934" s="385"/>
      <c r="BR934" s="385"/>
      <c r="BS934" s="385"/>
      <c r="BT934" s="385"/>
      <c r="BU934" s="385"/>
      <c r="BV934" s="385"/>
      <c r="BW934" s="385"/>
      <c r="BX934" s="385"/>
      <c r="BY934" s="385"/>
      <c r="BZ934" s="385"/>
      <c r="CA934" s="385"/>
    </row>
    <row r="935" spans="1:79" s="6" customFormat="1" ht="15" customHeight="1">
      <c r="A935" s="41" t="s">
        <v>183</v>
      </c>
      <c r="B935" s="402" t="s">
        <v>3781</v>
      </c>
      <c r="C935" s="113" t="s">
        <v>3782</v>
      </c>
      <c r="D935" s="393" t="s">
        <v>1896</v>
      </c>
      <c r="E935" s="394" t="s">
        <v>3783</v>
      </c>
      <c r="F935" s="402"/>
      <c r="G935" s="405" t="s">
        <v>3784</v>
      </c>
      <c r="H935" s="74">
        <v>4111</v>
      </c>
      <c r="I935" s="50" t="s">
        <v>1</v>
      </c>
      <c r="J935" s="339" t="s">
        <v>3788</v>
      </c>
      <c r="K935" s="51">
        <v>40835</v>
      </c>
      <c r="L935" s="173">
        <v>40830</v>
      </c>
      <c r="M935" s="50">
        <f t="shared" si="37"/>
        <v>5</v>
      </c>
      <c r="N935" s="50" t="s">
        <v>2</v>
      </c>
      <c r="O935" s="74">
        <v>1.5</v>
      </c>
      <c r="P935" s="50">
        <v>6.27</v>
      </c>
      <c r="Q935" s="74">
        <v>6.32</v>
      </c>
      <c r="R935" s="50">
        <v>110</v>
      </c>
      <c r="S935" s="74">
        <v>10</v>
      </c>
      <c r="T935" s="50">
        <f>0.01/2</f>
        <v>5.0000000000000001E-3</v>
      </c>
      <c r="U935" s="131">
        <v>0.32400000000000001</v>
      </c>
      <c r="V935" s="50">
        <v>0.68100000000000005</v>
      </c>
      <c r="W935" s="74">
        <v>6.4599999999999996E-3</v>
      </c>
      <c r="X935" s="50">
        <v>0.24399999999999999</v>
      </c>
      <c r="Y935" s="74">
        <v>3.4399999999999999E-3</v>
      </c>
      <c r="Z935" s="271">
        <v>1</v>
      </c>
      <c r="AA935" s="271">
        <v>0.78100000000000003</v>
      </c>
      <c r="AB935" s="114"/>
      <c r="AC935" s="50">
        <v>45</v>
      </c>
      <c r="AD935" s="271">
        <v>0.25</v>
      </c>
      <c r="AE935" s="50"/>
      <c r="AF935" s="49"/>
      <c r="AG935" s="114"/>
      <c r="AH935" s="114"/>
      <c r="AI935" s="114"/>
      <c r="AJ935" s="114"/>
      <c r="AK935" s="114"/>
      <c r="AL935" s="114"/>
      <c r="AM935" s="114"/>
      <c r="AN935" s="114"/>
      <c r="AO935" s="114"/>
      <c r="AP935" s="114"/>
      <c r="AQ935" s="114"/>
      <c r="AR935" s="114"/>
      <c r="AS935" s="50"/>
      <c r="AT935" s="74"/>
      <c r="AU935" s="114"/>
      <c r="AV935" s="114"/>
      <c r="AW935" s="394"/>
      <c r="AX935" s="385"/>
      <c r="AY935" s="385"/>
      <c r="AZ935" s="385"/>
      <c r="BA935" s="385"/>
      <c r="BB935" s="385"/>
      <c r="BC935" s="385"/>
      <c r="BD935" s="385"/>
      <c r="BE935" s="385"/>
      <c r="BF935" s="385"/>
      <c r="BG935" s="385"/>
      <c r="BH935" s="385"/>
      <c r="BI935" s="385"/>
      <c r="BJ935" s="385"/>
      <c r="BK935" s="385"/>
      <c r="BL935" s="385"/>
      <c r="BM935" s="385"/>
      <c r="BN935" s="385"/>
      <c r="BO935" s="385"/>
      <c r="BP935" s="385"/>
      <c r="BQ935" s="385"/>
      <c r="BR935" s="385"/>
      <c r="BS935" s="385"/>
      <c r="BT935" s="385"/>
      <c r="BU935" s="385"/>
      <c r="BV935" s="385"/>
      <c r="BW935" s="385"/>
      <c r="BX935" s="385"/>
      <c r="BY935" s="385"/>
      <c r="BZ935" s="385"/>
      <c r="CA935" s="385"/>
    </row>
    <row r="936" spans="1:79" s="6" customFormat="1" ht="15" customHeight="1">
      <c r="A936" s="41" t="s">
        <v>183</v>
      </c>
      <c r="B936" s="402" t="s">
        <v>3781</v>
      </c>
      <c r="C936" s="113" t="s">
        <v>3782</v>
      </c>
      <c r="D936" s="393" t="s">
        <v>1896</v>
      </c>
      <c r="E936" s="394" t="s">
        <v>3783</v>
      </c>
      <c r="F936" s="402"/>
      <c r="G936" s="405" t="s">
        <v>3784</v>
      </c>
      <c r="H936" s="74">
        <v>4111</v>
      </c>
      <c r="I936" s="50" t="s">
        <v>1</v>
      </c>
      <c r="J936" s="339" t="s">
        <v>3786</v>
      </c>
      <c r="K936" s="51">
        <v>41345</v>
      </c>
      <c r="L936" s="173">
        <v>41341</v>
      </c>
      <c r="M936" s="50">
        <f t="shared" si="37"/>
        <v>4</v>
      </c>
      <c r="N936" s="50" t="s">
        <v>2</v>
      </c>
      <c r="O936" s="74">
        <v>0.70599999999999996</v>
      </c>
      <c r="P936" s="50"/>
      <c r="Q936" s="74">
        <v>6.62</v>
      </c>
      <c r="R936" s="50">
        <v>340</v>
      </c>
      <c r="S936" s="74">
        <v>60</v>
      </c>
      <c r="T936" s="50">
        <f>0.05/2</f>
        <v>2.5000000000000001E-2</v>
      </c>
      <c r="U936" s="131">
        <v>1.03</v>
      </c>
      <c r="V936" s="50">
        <v>0.74</v>
      </c>
      <c r="W936" s="74">
        <v>3.7199999999999997E-2</v>
      </c>
      <c r="X936" s="50">
        <v>0.26300000000000001</v>
      </c>
      <c r="Y936" s="74">
        <v>8.92E-4</v>
      </c>
      <c r="Z936" s="271">
        <v>0.94</v>
      </c>
      <c r="AA936" s="271">
        <v>0.53600000000000003</v>
      </c>
      <c r="AB936" s="114">
        <v>100</v>
      </c>
      <c r="AC936" s="50">
        <v>9580</v>
      </c>
      <c r="AD936" s="271">
        <v>0</v>
      </c>
      <c r="AE936" s="50"/>
      <c r="AF936" s="49"/>
      <c r="AG936" s="114"/>
      <c r="AH936" s="114"/>
      <c r="AI936" s="114">
        <v>192</v>
      </c>
      <c r="AJ936" s="114"/>
      <c r="AK936" s="114"/>
      <c r="AL936" s="114"/>
      <c r="AM936" s="114"/>
      <c r="AN936" s="114"/>
      <c r="AO936" s="114"/>
      <c r="AP936" s="114"/>
      <c r="AQ936" s="114"/>
      <c r="AR936" s="114"/>
      <c r="AS936" s="50"/>
      <c r="AT936" s="74"/>
      <c r="AU936" s="114"/>
      <c r="AV936" s="114"/>
      <c r="AW936" s="394"/>
      <c r="AX936" s="385"/>
      <c r="AY936" s="385"/>
      <c r="AZ936" s="385"/>
      <c r="BA936" s="385"/>
      <c r="BB936" s="385"/>
      <c r="BC936" s="385"/>
      <c r="BD936" s="385"/>
      <c r="BE936" s="385"/>
      <c r="BF936" s="385"/>
      <c r="BG936" s="385"/>
      <c r="BH936" s="385"/>
      <c r="BI936" s="385"/>
      <c r="BJ936" s="385"/>
      <c r="BK936" s="385"/>
      <c r="BL936" s="385"/>
      <c r="BM936" s="385"/>
      <c r="BN936" s="385"/>
      <c r="BO936" s="385"/>
      <c r="BP936" s="385"/>
      <c r="BQ936" s="385"/>
      <c r="BR936" s="385"/>
      <c r="BS936" s="385"/>
      <c r="BT936" s="385"/>
      <c r="BU936" s="385"/>
      <c r="BV936" s="385"/>
      <c r="BW936" s="385"/>
      <c r="BX936" s="385"/>
      <c r="BY936" s="385"/>
      <c r="BZ936" s="385"/>
      <c r="CA936" s="385"/>
    </row>
    <row r="937" spans="1:79" s="6" customFormat="1" ht="15" customHeight="1">
      <c r="A937" s="41" t="s">
        <v>183</v>
      </c>
      <c r="B937" s="402" t="s">
        <v>3781</v>
      </c>
      <c r="C937" s="113" t="s">
        <v>3782</v>
      </c>
      <c r="D937" s="393" t="s">
        <v>1896</v>
      </c>
      <c r="E937" s="394" t="s">
        <v>3783</v>
      </c>
      <c r="F937" s="402"/>
      <c r="G937" s="405" t="s">
        <v>3784</v>
      </c>
      <c r="H937" s="74">
        <v>4111</v>
      </c>
      <c r="I937" s="50" t="s">
        <v>1</v>
      </c>
      <c r="J937" s="339" t="s">
        <v>3785</v>
      </c>
      <c r="K937" s="51">
        <v>41345</v>
      </c>
      <c r="L937" s="173">
        <v>41341</v>
      </c>
      <c r="M937" s="50">
        <f t="shared" si="37"/>
        <v>4</v>
      </c>
      <c r="N937" s="50" t="s">
        <v>2</v>
      </c>
      <c r="O937" s="74">
        <f>0.588/2</f>
        <v>0.29399999999999998</v>
      </c>
      <c r="P937" s="50"/>
      <c r="Q937" s="74">
        <v>6.48</v>
      </c>
      <c r="R937" s="50">
        <v>48</v>
      </c>
      <c r="S937" s="74">
        <v>5.2</v>
      </c>
      <c r="T937" s="50">
        <v>7.0000000000000007E-2</v>
      </c>
      <c r="U937" s="131">
        <v>0.56999999999999995</v>
      </c>
      <c r="V937" s="50">
        <v>0.193</v>
      </c>
      <c r="W937" s="74">
        <v>1.83E-2</v>
      </c>
      <c r="X937" s="50">
        <v>0.39800000000000002</v>
      </c>
      <c r="Y937" s="74">
        <f>0.003/2</f>
        <v>1.5E-3</v>
      </c>
      <c r="Z937" s="271">
        <v>1</v>
      </c>
      <c r="AA937" s="271">
        <v>1</v>
      </c>
      <c r="AB937" s="114">
        <v>24</v>
      </c>
      <c r="AC937" s="50">
        <v>662</v>
      </c>
      <c r="AD937" s="271">
        <v>1</v>
      </c>
      <c r="AE937" s="50"/>
      <c r="AF937" s="49"/>
      <c r="AG937" s="114"/>
      <c r="AH937" s="114"/>
      <c r="AI937" s="114">
        <v>1120</v>
      </c>
      <c r="AJ937" s="114"/>
      <c r="AK937" s="114"/>
      <c r="AL937" s="114"/>
      <c r="AM937" s="114"/>
      <c r="AN937" s="114"/>
      <c r="AO937" s="114"/>
      <c r="AP937" s="114"/>
      <c r="AQ937" s="114"/>
      <c r="AR937" s="114"/>
      <c r="AS937" s="50"/>
      <c r="AT937" s="74"/>
      <c r="AU937" s="114"/>
      <c r="AV937" s="114"/>
      <c r="AW937" s="394"/>
      <c r="AX937" s="385"/>
      <c r="AY937" s="385"/>
      <c r="AZ937" s="385"/>
      <c r="BA937" s="385"/>
      <c r="BB937" s="385"/>
      <c r="BC937" s="385"/>
      <c r="BD937" s="385"/>
      <c r="BE937" s="385"/>
      <c r="BF937" s="385"/>
      <c r="BG937" s="385"/>
      <c r="BH937" s="385"/>
      <c r="BI937" s="385"/>
      <c r="BJ937" s="385"/>
      <c r="BK937" s="385"/>
      <c r="BL937" s="385"/>
      <c r="BM937" s="385"/>
      <c r="BN937" s="385"/>
      <c r="BO937" s="385"/>
      <c r="BP937" s="385"/>
      <c r="BQ937" s="385"/>
      <c r="BR937" s="385"/>
      <c r="BS937" s="385"/>
      <c r="BT937" s="385"/>
      <c r="BU937" s="385"/>
      <c r="BV937" s="385"/>
      <c r="BW937" s="385"/>
      <c r="BX937" s="385"/>
      <c r="BY937" s="385"/>
      <c r="BZ937" s="385"/>
      <c r="CA937" s="385"/>
    </row>
    <row r="938" spans="1:79" s="6" customFormat="1" ht="15" customHeight="1">
      <c r="A938" s="41" t="s">
        <v>183</v>
      </c>
      <c r="B938" s="402" t="s">
        <v>3781</v>
      </c>
      <c r="C938" s="113" t="s">
        <v>3782</v>
      </c>
      <c r="D938" s="393" t="s">
        <v>1896</v>
      </c>
      <c r="E938" s="394" t="s">
        <v>3783</v>
      </c>
      <c r="F938" s="402"/>
      <c r="G938" s="405" t="s">
        <v>3784</v>
      </c>
      <c r="H938" s="74">
        <v>4111</v>
      </c>
      <c r="I938" s="50" t="s">
        <v>1</v>
      </c>
      <c r="J938" s="339" t="s">
        <v>3787</v>
      </c>
      <c r="K938" s="51">
        <v>41345</v>
      </c>
      <c r="L938" s="173">
        <v>41341</v>
      </c>
      <c r="M938" s="50">
        <f t="shared" si="37"/>
        <v>4</v>
      </c>
      <c r="N938" s="50" t="s">
        <v>2</v>
      </c>
      <c r="O938" s="74">
        <f>0.556/2</f>
        <v>0.27800000000000002</v>
      </c>
      <c r="P938" s="50"/>
      <c r="Q938" s="74">
        <v>7</v>
      </c>
      <c r="R938" s="50">
        <v>77</v>
      </c>
      <c r="S938" s="74">
        <v>16</v>
      </c>
      <c r="T938" s="50">
        <v>0.26</v>
      </c>
      <c r="U938" s="131">
        <v>0.95199999999999996</v>
      </c>
      <c r="V938" s="50">
        <v>0.47199999999999998</v>
      </c>
      <c r="W938" s="74">
        <v>1.9599999999999999E-2</v>
      </c>
      <c r="X938" s="50">
        <v>0.247</v>
      </c>
      <c r="Y938" s="74">
        <v>5.3600000000000002E-3</v>
      </c>
      <c r="Z938" s="271">
        <v>1</v>
      </c>
      <c r="AA938" s="271">
        <v>1</v>
      </c>
      <c r="AB938" s="114">
        <v>76</v>
      </c>
      <c r="AC938" s="50">
        <v>923</v>
      </c>
      <c r="AD938" s="271">
        <v>1</v>
      </c>
      <c r="AE938" s="50"/>
      <c r="AF938" s="49"/>
      <c r="AG938" s="114"/>
      <c r="AH938" s="114"/>
      <c r="AI938" s="114">
        <v>1600</v>
      </c>
      <c r="AJ938" s="114"/>
      <c r="AK938" s="114"/>
      <c r="AL938" s="114"/>
      <c r="AM938" s="114"/>
      <c r="AN938" s="114"/>
      <c r="AO938" s="114"/>
      <c r="AP938" s="114"/>
      <c r="AQ938" s="114"/>
      <c r="AR938" s="114"/>
      <c r="AS938" s="50"/>
      <c r="AT938" s="74"/>
      <c r="AU938" s="114"/>
      <c r="AV938" s="114"/>
      <c r="AW938" s="394"/>
      <c r="AX938" s="385"/>
      <c r="AY938" s="385"/>
      <c r="AZ938" s="385"/>
      <c r="BA938" s="385"/>
      <c r="BB938" s="385"/>
      <c r="BC938" s="385"/>
      <c r="BD938" s="385"/>
      <c r="BE938" s="385"/>
      <c r="BF938" s="385"/>
      <c r="BG938" s="385"/>
      <c r="BH938" s="385"/>
      <c r="BI938" s="385"/>
      <c r="BJ938" s="385"/>
      <c r="BK938" s="385"/>
      <c r="BL938" s="385"/>
      <c r="BM938" s="385"/>
      <c r="BN938" s="385"/>
      <c r="BO938" s="385"/>
      <c r="BP938" s="385"/>
      <c r="BQ938" s="385"/>
      <c r="BR938" s="385"/>
      <c r="BS938" s="385"/>
      <c r="BT938" s="385"/>
      <c r="BU938" s="385"/>
      <c r="BV938" s="385"/>
      <c r="BW938" s="385"/>
      <c r="BX938" s="385"/>
      <c r="BY938" s="385"/>
      <c r="BZ938" s="385"/>
      <c r="CA938" s="385"/>
    </row>
    <row r="939" spans="1:79" s="6" customFormat="1" ht="15" customHeight="1">
      <c r="A939" s="41" t="s">
        <v>183</v>
      </c>
      <c r="B939" s="402" t="s">
        <v>3781</v>
      </c>
      <c r="C939" s="113" t="s">
        <v>3782</v>
      </c>
      <c r="D939" s="393" t="s">
        <v>1896</v>
      </c>
      <c r="E939" s="394" t="s">
        <v>3783</v>
      </c>
      <c r="F939" s="402"/>
      <c r="G939" s="405" t="s">
        <v>3784</v>
      </c>
      <c r="H939" s="74">
        <v>4111</v>
      </c>
      <c r="I939" s="50" t="s">
        <v>1</v>
      </c>
      <c r="J939" s="339" t="s">
        <v>3788</v>
      </c>
      <c r="K939" s="51">
        <v>41345</v>
      </c>
      <c r="L939" s="173">
        <v>41341</v>
      </c>
      <c r="M939" s="50">
        <f t="shared" si="37"/>
        <v>4</v>
      </c>
      <c r="N939" s="50" t="s">
        <v>2</v>
      </c>
      <c r="O939" s="74">
        <f>0.556/2</f>
        <v>0.27800000000000002</v>
      </c>
      <c r="P939" s="50"/>
      <c r="Q939" s="74">
        <v>6.29</v>
      </c>
      <c r="R939" s="50">
        <v>5</v>
      </c>
      <c r="S939" s="74">
        <v>6</v>
      </c>
      <c r="T939" s="50">
        <v>2.5000000000000001E-2</v>
      </c>
      <c r="U939" s="131">
        <v>0.38400000000000001</v>
      </c>
      <c r="V939" s="50">
        <v>0.219</v>
      </c>
      <c r="W939" s="74">
        <f>0.05/2</f>
        <v>2.5000000000000001E-2</v>
      </c>
      <c r="X939" s="50">
        <v>0.184</v>
      </c>
      <c r="Y939" s="74">
        <f>0.003/2</f>
        <v>1.5E-3</v>
      </c>
      <c r="Z939" s="271">
        <v>1</v>
      </c>
      <c r="AA939" s="271">
        <v>0.70699999999999996</v>
      </c>
      <c r="AB939" s="114">
        <v>8</v>
      </c>
      <c r="AC939" s="50">
        <v>56</v>
      </c>
      <c r="AD939" s="271">
        <v>0</v>
      </c>
      <c r="AE939" s="50"/>
      <c r="AF939" s="49"/>
      <c r="AG939" s="114"/>
      <c r="AH939" s="114"/>
      <c r="AI939" s="114">
        <v>4</v>
      </c>
      <c r="AJ939" s="114"/>
      <c r="AK939" s="114"/>
      <c r="AL939" s="114"/>
      <c r="AM939" s="114"/>
      <c r="AN939" s="114"/>
      <c r="AO939" s="114"/>
      <c r="AP939" s="114"/>
      <c r="AQ939" s="114"/>
      <c r="AR939" s="114"/>
      <c r="AS939" s="50"/>
      <c r="AT939" s="74"/>
      <c r="AU939" s="114"/>
      <c r="AV939" s="114"/>
      <c r="AW939" s="394"/>
      <c r="AX939" s="385"/>
      <c r="AY939" s="385"/>
      <c r="AZ939" s="385"/>
      <c r="BA939" s="385"/>
      <c r="BB939" s="385"/>
      <c r="BC939" s="385"/>
      <c r="BD939" s="385"/>
      <c r="BE939" s="385"/>
      <c r="BF939" s="385"/>
      <c r="BG939" s="385"/>
      <c r="BH939" s="385"/>
      <c r="BI939" s="385"/>
      <c r="BJ939" s="385"/>
      <c r="BK939" s="385"/>
      <c r="BL939" s="385"/>
      <c r="BM939" s="385"/>
      <c r="BN939" s="385"/>
      <c r="BO939" s="385"/>
      <c r="BP939" s="385"/>
      <c r="BQ939" s="385"/>
      <c r="BR939" s="385"/>
      <c r="BS939" s="385"/>
      <c r="BT939" s="385"/>
      <c r="BU939" s="385"/>
      <c r="BV939" s="385"/>
      <c r="BW939" s="385"/>
      <c r="BX939" s="385"/>
      <c r="BY939" s="385"/>
      <c r="BZ939" s="385"/>
      <c r="CA939" s="385"/>
    </row>
    <row r="940" spans="1:79" s="6" customFormat="1" ht="15" customHeight="1">
      <c r="A940" s="41" t="s">
        <v>183</v>
      </c>
      <c r="B940" s="402" t="s">
        <v>3781</v>
      </c>
      <c r="C940" s="113" t="s">
        <v>3789</v>
      </c>
      <c r="D940" s="393" t="s">
        <v>56</v>
      </c>
      <c r="E940" s="394" t="s">
        <v>95</v>
      </c>
      <c r="F940" s="402"/>
      <c r="G940" s="405" t="s">
        <v>3790</v>
      </c>
      <c r="H940" s="74">
        <v>4111</v>
      </c>
      <c r="I940" s="50" t="s">
        <v>1</v>
      </c>
      <c r="J940" s="339" t="s">
        <v>3791</v>
      </c>
      <c r="K940" s="51">
        <v>41345</v>
      </c>
      <c r="L940" s="173">
        <v>41341</v>
      </c>
      <c r="M940" s="50">
        <f t="shared" si="37"/>
        <v>4</v>
      </c>
      <c r="N940" s="50" t="s">
        <v>2</v>
      </c>
      <c r="O940" s="74">
        <f>0.5/2</f>
        <v>0.25</v>
      </c>
      <c r="P940" s="50"/>
      <c r="Q940" s="74">
        <v>6.94</v>
      </c>
      <c r="R940" s="50">
        <v>89</v>
      </c>
      <c r="S940" s="74">
        <v>21.6</v>
      </c>
      <c r="T940" s="50">
        <v>0.14000000000000001</v>
      </c>
      <c r="U940" s="131">
        <v>1.1200000000000001</v>
      </c>
      <c r="V940" s="50">
        <v>0.95099999999999996</v>
      </c>
      <c r="W940" s="74">
        <v>2.0199999999999999E-2</v>
      </c>
      <c r="X940" s="50">
        <v>7.2400000000000006E-2</v>
      </c>
      <c r="Y940" s="74">
        <v>1.8200000000000001E-2</v>
      </c>
      <c r="Z940" s="271">
        <v>1</v>
      </c>
      <c r="AA940" s="271">
        <v>1</v>
      </c>
      <c r="AB940" s="114">
        <v>166</v>
      </c>
      <c r="AC940" s="50">
        <v>1610</v>
      </c>
      <c r="AD940" s="271">
        <v>1</v>
      </c>
      <c r="AE940" s="50"/>
      <c r="AF940" s="49"/>
      <c r="AG940" s="114"/>
      <c r="AH940" s="114"/>
      <c r="AI940" s="114">
        <v>270</v>
      </c>
      <c r="AJ940" s="114"/>
      <c r="AK940" s="114"/>
      <c r="AL940" s="114"/>
      <c r="AM940" s="114"/>
      <c r="AN940" s="114"/>
      <c r="AO940" s="114"/>
      <c r="AP940" s="114"/>
      <c r="AQ940" s="114"/>
      <c r="AR940" s="114"/>
      <c r="AS940" s="50"/>
      <c r="AT940" s="74"/>
      <c r="AU940" s="114"/>
      <c r="AV940" s="114"/>
      <c r="AW940" s="394"/>
      <c r="AX940" s="385"/>
      <c r="AY940" s="385"/>
      <c r="AZ940" s="385"/>
      <c r="BA940" s="385"/>
      <c r="BB940" s="385"/>
      <c r="BC940" s="385"/>
      <c r="BD940" s="385"/>
      <c r="BE940" s="385"/>
      <c r="BF940" s="385"/>
      <c r="BG940" s="385"/>
      <c r="BH940" s="385"/>
      <c r="BI940" s="385"/>
      <c r="BJ940" s="385"/>
      <c r="BK940" s="385"/>
      <c r="BL940" s="385"/>
      <c r="BM940" s="385"/>
      <c r="BN940" s="385"/>
      <c r="BO940" s="385"/>
      <c r="BP940" s="385"/>
      <c r="BQ940" s="385"/>
      <c r="BR940" s="385"/>
      <c r="BS940" s="385"/>
      <c r="BT940" s="385"/>
      <c r="BU940" s="385"/>
      <c r="BV940" s="385"/>
      <c r="BW940" s="385"/>
      <c r="BX940" s="385"/>
      <c r="BY940" s="385"/>
      <c r="BZ940" s="385"/>
      <c r="CA940" s="385"/>
    </row>
    <row r="941" spans="1:79" s="6" customFormat="1" ht="15" customHeight="1">
      <c r="A941" s="41" t="s">
        <v>183</v>
      </c>
      <c r="B941" s="402" t="s">
        <v>3781</v>
      </c>
      <c r="C941" s="113" t="s">
        <v>3789</v>
      </c>
      <c r="D941" s="393" t="s">
        <v>56</v>
      </c>
      <c r="E941" s="394" t="s">
        <v>95</v>
      </c>
      <c r="F941" s="402"/>
      <c r="G941" s="405" t="s">
        <v>3790</v>
      </c>
      <c r="H941" s="74">
        <v>4111</v>
      </c>
      <c r="I941" s="50" t="s">
        <v>1</v>
      </c>
      <c r="J941" s="339" t="s">
        <v>3786</v>
      </c>
      <c r="K941" s="51">
        <v>41345</v>
      </c>
      <c r="L941" s="173">
        <v>41341</v>
      </c>
      <c r="M941" s="50">
        <f t="shared" si="37"/>
        <v>4</v>
      </c>
      <c r="N941" s="50" t="s">
        <v>2</v>
      </c>
      <c r="O941" s="74">
        <f>0.5/2</f>
        <v>0.25</v>
      </c>
      <c r="P941" s="50"/>
      <c r="Q941" s="74">
        <v>6.66</v>
      </c>
      <c r="R941" s="50">
        <v>190</v>
      </c>
      <c r="S941" s="74">
        <v>138</v>
      </c>
      <c r="T941" s="50">
        <v>0.13</v>
      </c>
      <c r="U941" s="131">
        <v>1.49</v>
      </c>
      <c r="V941" s="50">
        <v>1.58</v>
      </c>
      <c r="W941" s="74">
        <v>3.1199999999999999E-2</v>
      </c>
      <c r="X941" s="50">
        <v>0.217</v>
      </c>
      <c r="Y941" s="74">
        <v>1.34E-2</v>
      </c>
      <c r="Z941" s="271">
        <v>1</v>
      </c>
      <c r="AA941" s="271">
        <v>1</v>
      </c>
      <c r="AB941" s="114">
        <v>500</v>
      </c>
      <c r="AC941" s="50">
        <v>3530</v>
      </c>
      <c r="AD941" s="271">
        <v>1</v>
      </c>
      <c r="AE941" s="50"/>
      <c r="AF941" s="49"/>
      <c r="AG941" s="114"/>
      <c r="AH941" s="114"/>
      <c r="AI941" s="114">
        <v>20</v>
      </c>
      <c r="AJ941" s="114"/>
      <c r="AK941" s="114"/>
      <c r="AL941" s="114"/>
      <c r="AM941" s="114"/>
      <c r="AN941" s="114"/>
      <c r="AO941" s="114"/>
      <c r="AP941" s="114"/>
      <c r="AQ941" s="114"/>
      <c r="AR941" s="114"/>
      <c r="AS941" s="50"/>
      <c r="AT941" s="74"/>
      <c r="AU941" s="114"/>
      <c r="AV941" s="114"/>
      <c r="AW941" s="394"/>
      <c r="AX941" s="385"/>
      <c r="AY941" s="385"/>
      <c r="AZ941" s="385"/>
      <c r="BA941" s="385"/>
      <c r="BB941" s="385"/>
      <c r="BC941" s="385"/>
      <c r="BD941" s="385"/>
      <c r="BE941" s="385"/>
      <c r="BF941" s="385"/>
      <c r="BG941" s="385"/>
      <c r="BH941" s="385"/>
      <c r="BI941" s="385"/>
      <c r="BJ941" s="385"/>
      <c r="BK941" s="385"/>
      <c r="BL941" s="385"/>
      <c r="BM941" s="385"/>
      <c r="BN941" s="385"/>
      <c r="BO941" s="385"/>
      <c r="BP941" s="385"/>
      <c r="BQ941" s="385"/>
      <c r="BR941" s="385"/>
      <c r="BS941" s="385"/>
      <c r="BT941" s="385"/>
      <c r="BU941" s="385"/>
      <c r="BV941" s="385"/>
      <c r="BW941" s="385"/>
      <c r="BX941" s="385"/>
      <c r="BY941" s="385"/>
      <c r="BZ941" s="385"/>
      <c r="CA941" s="385"/>
    </row>
    <row r="942" spans="1:79" s="6" customFormat="1" ht="15" customHeight="1">
      <c r="A942" s="41" t="s">
        <v>183</v>
      </c>
      <c r="B942" s="402" t="s">
        <v>3793</v>
      </c>
      <c r="C942" s="113"/>
      <c r="D942" s="393" t="s">
        <v>234</v>
      </c>
      <c r="E942" s="394" t="s">
        <v>235</v>
      </c>
      <c r="F942" s="402"/>
      <c r="G942" s="405" t="s">
        <v>3161</v>
      </c>
      <c r="H942" s="74"/>
      <c r="I942" s="50"/>
      <c r="J942" s="339" t="s">
        <v>96</v>
      </c>
      <c r="K942" s="51">
        <v>41402</v>
      </c>
      <c r="L942" s="173">
        <v>41384</v>
      </c>
      <c r="M942" s="50">
        <f t="shared" si="37"/>
        <v>18</v>
      </c>
      <c r="N942" s="50" t="s">
        <v>2</v>
      </c>
      <c r="O942" s="74">
        <v>3.6</v>
      </c>
      <c r="P942" s="50">
        <v>5.8</v>
      </c>
      <c r="Q942" s="74">
        <v>5.57</v>
      </c>
      <c r="R942" s="50">
        <v>479</v>
      </c>
      <c r="S942" s="74">
        <v>139</v>
      </c>
      <c r="T942" s="50">
        <v>1.25</v>
      </c>
      <c r="U942" s="131">
        <v>12.45</v>
      </c>
      <c r="V942" s="50">
        <v>1.66</v>
      </c>
      <c r="W942" s="74">
        <v>0.45</v>
      </c>
      <c r="X942" s="50">
        <v>2.6480000000000001</v>
      </c>
      <c r="Y942" s="74">
        <v>0.124</v>
      </c>
      <c r="Z942" s="271">
        <v>0.8</v>
      </c>
      <c r="AA942" s="271">
        <v>0.35399999999999998</v>
      </c>
      <c r="AB942" s="114"/>
      <c r="AC942" s="50">
        <v>163</v>
      </c>
      <c r="AD942" s="271">
        <v>0</v>
      </c>
      <c r="AE942" s="50"/>
      <c r="AF942" s="49"/>
      <c r="AG942" s="114"/>
      <c r="AH942" s="114"/>
      <c r="AI942" s="114">
        <v>26</v>
      </c>
      <c r="AJ942" s="114"/>
      <c r="AK942" s="114"/>
      <c r="AL942" s="114"/>
      <c r="AM942" s="114"/>
      <c r="AN942" s="114"/>
      <c r="AO942" s="114"/>
      <c r="AP942" s="114"/>
      <c r="AQ942" s="114"/>
      <c r="AR942" s="114"/>
      <c r="AS942" s="50"/>
      <c r="AT942" s="74"/>
      <c r="AU942" s="114"/>
      <c r="AV942" s="114"/>
      <c r="AW942" s="394"/>
      <c r="AX942" s="385"/>
      <c r="AY942" s="385"/>
      <c r="AZ942" s="385"/>
      <c r="BA942" s="385"/>
      <c r="BB942" s="385"/>
      <c r="BC942" s="385"/>
      <c r="BD942" s="385"/>
      <c r="BE942" s="385"/>
      <c r="BF942" s="385"/>
      <c r="BG942" s="385"/>
      <c r="BH942" s="385"/>
      <c r="BI942" s="385"/>
      <c r="BJ942" s="385"/>
      <c r="BK942" s="385"/>
      <c r="BL942" s="385"/>
      <c r="BM942" s="385"/>
      <c r="BN942" s="385"/>
      <c r="BO942" s="385"/>
      <c r="BP942" s="385"/>
      <c r="BQ942" s="385"/>
      <c r="BR942" s="385"/>
      <c r="BS942" s="385"/>
      <c r="BT942" s="385"/>
      <c r="BU942" s="385"/>
      <c r="BV942" s="385"/>
      <c r="BW942" s="385"/>
      <c r="BX942" s="385"/>
      <c r="BY942" s="385"/>
      <c r="BZ942" s="385"/>
      <c r="CA942" s="385"/>
    </row>
    <row r="943" spans="1:79" s="6" customFormat="1" ht="15" customHeight="1">
      <c r="A943" s="41" t="s">
        <v>183</v>
      </c>
      <c r="B943" s="402" t="s">
        <v>707</v>
      </c>
      <c r="C943" s="113" t="s">
        <v>1110</v>
      </c>
      <c r="D943" s="393" t="s">
        <v>262</v>
      </c>
      <c r="E943" s="394" t="s">
        <v>3827</v>
      </c>
      <c r="F943" s="402"/>
      <c r="G943" s="405" t="s">
        <v>799</v>
      </c>
      <c r="H943" s="74">
        <v>4469</v>
      </c>
      <c r="I943" s="50" t="s">
        <v>1</v>
      </c>
      <c r="J943" s="339" t="s">
        <v>3828</v>
      </c>
      <c r="K943" s="51">
        <v>41345</v>
      </c>
      <c r="L943" s="115">
        <v>41341</v>
      </c>
      <c r="M943" s="50">
        <f t="shared" si="37"/>
        <v>4</v>
      </c>
      <c r="N943" s="50" t="s">
        <v>2</v>
      </c>
      <c r="O943" s="74">
        <v>1.2</v>
      </c>
      <c r="P943" s="50">
        <v>5</v>
      </c>
      <c r="Q943" s="74">
        <v>6.77</v>
      </c>
      <c r="R943" s="50">
        <v>53</v>
      </c>
      <c r="S943" s="74">
        <v>114</v>
      </c>
      <c r="T943" s="50">
        <v>0.45</v>
      </c>
      <c r="U943" s="131">
        <v>1.36</v>
      </c>
      <c r="V943" s="50">
        <v>0.62</v>
      </c>
      <c r="W943" s="74">
        <v>5.2999999999999999E-2</v>
      </c>
      <c r="X943" s="50">
        <v>0.16300000000000001</v>
      </c>
      <c r="Y943" s="74">
        <v>4.7E-2</v>
      </c>
      <c r="Z943" s="271">
        <v>1</v>
      </c>
      <c r="AA943" s="271">
        <v>1</v>
      </c>
      <c r="AB943" s="114">
        <v>36.65</v>
      </c>
      <c r="AC943" s="50">
        <v>247</v>
      </c>
      <c r="AD943" s="271">
        <f>20/20</f>
        <v>1</v>
      </c>
      <c r="AE943" s="50"/>
      <c r="AF943" s="49"/>
      <c r="AG943" s="114"/>
      <c r="AH943" s="114"/>
      <c r="AI943" s="114">
        <v>16</v>
      </c>
      <c r="AJ943" s="114">
        <v>12</v>
      </c>
      <c r="AK943" s="114"/>
      <c r="AL943" s="114"/>
      <c r="AM943" s="114"/>
      <c r="AN943" s="114"/>
      <c r="AO943" s="114"/>
      <c r="AP943" s="114"/>
      <c r="AQ943" s="114">
        <f>5/2</f>
        <v>2.5</v>
      </c>
      <c r="AR943" s="114"/>
      <c r="AS943" s="50"/>
      <c r="AT943" s="74"/>
      <c r="AU943" s="114"/>
      <c r="AV943" s="114"/>
      <c r="AW943" s="394"/>
      <c r="AX943" s="385"/>
      <c r="AY943" s="385"/>
      <c r="AZ943" s="385"/>
      <c r="BA943" s="385"/>
      <c r="BB943" s="385"/>
      <c r="BC943" s="385"/>
      <c r="BD943" s="385"/>
      <c r="BE943" s="385"/>
      <c r="BF943" s="385"/>
      <c r="BG943" s="385"/>
      <c r="BH943" s="385"/>
      <c r="BI943" s="385"/>
      <c r="BJ943" s="385"/>
      <c r="BK943" s="385"/>
      <c r="BL943" s="385"/>
      <c r="BM943" s="385"/>
      <c r="BN943" s="385"/>
      <c r="BO943" s="385"/>
      <c r="BP943" s="385"/>
      <c r="BQ943" s="385"/>
      <c r="BR943" s="385"/>
      <c r="BS943" s="385"/>
      <c r="BT943" s="385"/>
      <c r="BU943" s="385"/>
      <c r="BV943" s="385"/>
      <c r="BW943" s="385"/>
      <c r="BX943" s="385"/>
      <c r="BY943" s="385"/>
      <c r="BZ943" s="385"/>
      <c r="CA943" s="385"/>
    </row>
    <row r="944" spans="1:79" s="6" customFormat="1" ht="15" customHeight="1">
      <c r="A944" s="41" t="s">
        <v>183</v>
      </c>
      <c r="B944" s="402" t="s">
        <v>707</v>
      </c>
      <c r="C944" s="113" t="s">
        <v>3770</v>
      </c>
      <c r="D944" s="393" t="s">
        <v>89</v>
      </c>
      <c r="E944" s="394" t="s">
        <v>535</v>
      </c>
      <c r="F944" s="402"/>
      <c r="G944" s="405" t="s">
        <v>793</v>
      </c>
      <c r="H944" s="74">
        <v>5039</v>
      </c>
      <c r="I944" s="50" t="s">
        <v>1</v>
      </c>
      <c r="J944" s="339" t="s">
        <v>794</v>
      </c>
      <c r="K944" s="51">
        <v>41345</v>
      </c>
      <c r="L944" s="115">
        <v>41341</v>
      </c>
      <c r="M944" s="50">
        <f t="shared" si="37"/>
        <v>4</v>
      </c>
      <c r="N944" s="50" t="s">
        <v>2</v>
      </c>
      <c r="O944" s="74">
        <f>1/2</f>
        <v>0.5</v>
      </c>
      <c r="P944" s="50">
        <v>5</v>
      </c>
      <c r="Q944" s="74">
        <v>7.31</v>
      </c>
      <c r="R944" s="50">
        <v>18.7</v>
      </c>
      <c r="S944" s="74">
        <v>38</v>
      </c>
      <c r="T944" s="50">
        <v>0.42</v>
      </c>
      <c r="U944" s="131">
        <v>0.62</v>
      </c>
      <c r="V944" s="50">
        <v>1.55</v>
      </c>
      <c r="W944" s="74">
        <v>1.4999999999999999E-2</v>
      </c>
      <c r="X944" s="50">
        <v>0.106</v>
      </c>
      <c r="Y944" s="74">
        <v>4.0000000000000001E-3</v>
      </c>
      <c r="Z944" s="271">
        <v>1</v>
      </c>
      <c r="AA944" s="271">
        <v>1</v>
      </c>
      <c r="AB944" s="114">
        <v>179</v>
      </c>
      <c r="AC944" s="50">
        <v>751</v>
      </c>
      <c r="AD944" s="271">
        <f>20/20</f>
        <v>1</v>
      </c>
      <c r="AE944" s="50">
        <v>360</v>
      </c>
      <c r="AF944" s="49"/>
      <c r="AG944" s="114"/>
      <c r="AH944" s="114"/>
      <c r="AI944" s="114"/>
      <c r="AJ944" s="114"/>
      <c r="AK944" s="114"/>
      <c r="AL944" s="114"/>
      <c r="AM944" s="114"/>
      <c r="AN944" s="114"/>
      <c r="AO944" s="114"/>
      <c r="AP944" s="114"/>
      <c r="AQ944" s="114"/>
      <c r="AR944" s="114"/>
      <c r="AS944" s="50"/>
      <c r="AT944" s="74"/>
      <c r="AU944" s="114"/>
      <c r="AV944" s="114"/>
      <c r="AW944" s="394"/>
      <c r="AX944" s="385"/>
      <c r="AY944" s="385"/>
      <c r="AZ944" s="385"/>
      <c r="BA944" s="385"/>
      <c r="BB944" s="385"/>
      <c r="BC944" s="385"/>
      <c r="BD944" s="385"/>
      <c r="BE944" s="385"/>
      <c r="BF944" s="385"/>
      <c r="BG944" s="385"/>
      <c r="BH944" s="385"/>
      <c r="BI944" s="385"/>
      <c r="BJ944" s="385"/>
      <c r="BK944" s="385"/>
      <c r="BL944" s="385"/>
      <c r="BM944" s="385"/>
      <c r="BN944" s="385"/>
      <c r="BO944" s="385"/>
      <c r="BP944" s="385"/>
      <c r="BQ944" s="385"/>
      <c r="BR944" s="385"/>
      <c r="BS944" s="385"/>
      <c r="BT944" s="385"/>
      <c r="BU944" s="385"/>
      <c r="BV944" s="385"/>
      <c r="BW944" s="385"/>
      <c r="BX944" s="385"/>
      <c r="BY944" s="385"/>
      <c r="BZ944" s="385"/>
      <c r="CA944" s="385"/>
    </row>
    <row r="945" spans="1:79" s="6" customFormat="1" ht="15" customHeight="1">
      <c r="A945" s="41" t="s">
        <v>183</v>
      </c>
      <c r="B945" s="402" t="s">
        <v>707</v>
      </c>
      <c r="C945" s="113" t="s">
        <v>3770</v>
      </c>
      <c r="D945" s="393" t="s">
        <v>89</v>
      </c>
      <c r="E945" s="394" t="s">
        <v>535</v>
      </c>
      <c r="F945" s="402"/>
      <c r="G945" s="405" t="s">
        <v>793</v>
      </c>
      <c r="H945" s="74">
        <v>2951</v>
      </c>
      <c r="I945" s="50" t="s">
        <v>1</v>
      </c>
      <c r="J945" s="339" t="s">
        <v>796</v>
      </c>
      <c r="K945" s="51">
        <v>41345</v>
      </c>
      <c r="L945" s="115">
        <v>41341</v>
      </c>
      <c r="M945" s="50">
        <f t="shared" si="37"/>
        <v>4</v>
      </c>
      <c r="N945" s="50" t="s">
        <v>2</v>
      </c>
      <c r="O945" s="74">
        <f>1/2</f>
        <v>0.5</v>
      </c>
      <c r="P945" s="50">
        <v>5</v>
      </c>
      <c r="Q945" s="74">
        <v>7.71</v>
      </c>
      <c r="R945" s="50">
        <f>1/2</f>
        <v>0.5</v>
      </c>
      <c r="S945" s="74">
        <v>18</v>
      </c>
      <c r="T945" s="50">
        <v>0.24</v>
      </c>
      <c r="U945" s="131">
        <v>0.5</v>
      </c>
      <c r="V945" s="50">
        <v>1.62</v>
      </c>
      <c r="W945" s="74">
        <v>8.9999999999999993E-3</v>
      </c>
      <c r="X945" s="50">
        <v>2.8000000000000001E-2</v>
      </c>
      <c r="Y945" s="74">
        <f>0.002/2</f>
        <v>1E-3</v>
      </c>
      <c r="Z945" s="271">
        <v>1</v>
      </c>
      <c r="AA945" s="271">
        <v>1</v>
      </c>
      <c r="AB945" s="114">
        <v>114</v>
      </c>
      <c r="AC945" s="50">
        <v>397</v>
      </c>
      <c r="AD945" s="271">
        <f>20/20</f>
        <v>1</v>
      </c>
      <c r="AE945" s="50">
        <v>0</v>
      </c>
      <c r="AF945" s="49"/>
      <c r="AG945" s="114"/>
      <c r="AH945" s="114"/>
      <c r="AI945" s="114"/>
      <c r="AJ945" s="114"/>
      <c r="AK945" s="114"/>
      <c r="AL945" s="114"/>
      <c r="AM945" s="114"/>
      <c r="AN945" s="114"/>
      <c r="AO945" s="114"/>
      <c r="AP945" s="114"/>
      <c r="AQ945" s="114"/>
      <c r="AR945" s="114"/>
      <c r="AS945" s="50"/>
      <c r="AT945" s="74"/>
      <c r="AU945" s="114"/>
      <c r="AV945" s="114"/>
      <c r="AW945" s="394"/>
      <c r="AX945" s="385"/>
      <c r="AY945" s="385"/>
      <c r="AZ945" s="385"/>
      <c r="BA945" s="385"/>
      <c r="BB945" s="385"/>
      <c r="BC945" s="385"/>
      <c r="BD945" s="385"/>
      <c r="BE945" s="385"/>
      <c r="BF945" s="385"/>
      <c r="BG945" s="385"/>
      <c r="BH945" s="385"/>
      <c r="BI945" s="385"/>
      <c r="BJ945" s="385"/>
      <c r="BK945" s="385"/>
      <c r="BL945" s="385"/>
      <c r="BM945" s="385"/>
      <c r="BN945" s="385"/>
      <c r="BO945" s="385"/>
      <c r="BP945" s="385"/>
      <c r="BQ945" s="385"/>
      <c r="BR945" s="385"/>
      <c r="BS945" s="385"/>
      <c r="BT945" s="385"/>
      <c r="BU945" s="385"/>
      <c r="BV945" s="385"/>
      <c r="BW945" s="385"/>
      <c r="BX945" s="385"/>
      <c r="BY945" s="385"/>
      <c r="BZ945" s="385"/>
      <c r="CA945" s="385"/>
    </row>
    <row r="946" spans="1:79" s="6" customFormat="1" ht="15" customHeight="1">
      <c r="A946" s="41" t="s">
        <v>183</v>
      </c>
      <c r="B946" s="402" t="s">
        <v>707</v>
      </c>
      <c r="C946" s="113" t="s">
        <v>3831</v>
      </c>
      <c r="D946" s="393" t="s">
        <v>78</v>
      </c>
      <c r="E946" s="394" t="s">
        <v>3832</v>
      </c>
      <c r="F946" s="402"/>
      <c r="G946" s="405" t="s">
        <v>770</v>
      </c>
      <c r="H946" s="74" t="s">
        <v>3833</v>
      </c>
      <c r="I946" s="50" t="s">
        <v>1</v>
      </c>
      <c r="J946" s="339" t="s">
        <v>3834</v>
      </c>
      <c r="K946" s="51">
        <v>41345</v>
      </c>
      <c r="L946" s="115">
        <v>41341</v>
      </c>
      <c r="M946" s="50">
        <f t="shared" si="37"/>
        <v>4</v>
      </c>
      <c r="N946" s="50" t="s">
        <v>2</v>
      </c>
      <c r="O946" s="74">
        <f>1/2</f>
        <v>0.5</v>
      </c>
      <c r="P946" s="50">
        <v>6</v>
      </c>
      <c r="Q946" s="74">
        <v>7.32</v>
      </c>
      <c r="R946" s="50">
        <v>18.7</v>
      </c>
      <c r="S946" s="74">
        <v>184</v>
      </c>
      <c r="T946" s="50">
        <v>0.44</v>
      </c>
      <c r="U946" s="131">
        <v>0.78</v>
      </c>
      <c r="V946" s="50">
        <v>0.44</v>
      </c>
      <c r="W946" s="74">
        <v>0.02</v>
      </c>
      <c r="X946" s="50">
        <v>0.124</v>
      </c>
      <c r="Y946" s="74">
        <v>4.0000000000000001E-3</v>
      </c>
      <c r="Z946" s="271">
        <v>1</v>
      </c>
      <c r="AA946" s="271">
        <v>1</v>
      </c>
      <c r="AB946" s="114">
        <v>44.42</v>
      </c>
      <c r="AC946" s="50">
        <v>84</v>
      </c>
      <c r="AD946" s="271">
        <f>18/20</f>
        <v>0.9</v>
      </c>
      <c r="AE946" s="50"/>
      <c r="AF946" s="49"/>
      <c r="AG946" s="114"/>
      <c r="AH946" s="114"/>
      <c r="AI946" s="114">
        <v>20</v>
      </c>
      <c r="AJ946" s="114"/>
      <c r="AK946" s="114"/>
      <c r="AL946" s="114"/>
      <c r="AM946" s="114"/>
      <c r="AN946" s="114"/>
      <c r="AO946" s="114"/>
      <c r="AP946" s="114"/>
      <c r="AQ946" s="114"/>
      <c r="AR946" s="114"/>
      <c r="AS946" s="50"/>
      <c r="AT946" s="74"/>
      <c r="AU946" s="114"/>
      <c r="AV946" s="114"/>
      <c r="AW946" s="394"/>
      <c r="AX946" s="385"/>
      <c r="AY946" s="385"/>
      <c r="AZ946" s="385"/>
      <c r="BA946" s="385"/>
      <c r="BB946" s="385"/>
      <c r="BC946" s="385"/>
      <c r="BD946" s="385"/>
      <c r="BE946" s="385"/>
      <c r="BF946" s="385"/>
      <c r="BG946" s="385"/>
      <c r="BH946" s="385"/>
      <c r="BI946" s="385"/>
      <c r="BJ946" s="385"/>
      <c r="BK946" s="385"/>
      <c r="BL946" s="385"/>
      <c r="BM946" s="385"/>
      <c r="BN946" s="385"/>
      <c r="BO946" s="385"/>
      <c r="BP946" s="385"/>
      <c r="BQ946" s="385"/>
      <c r="BR946" s="385"/>
      <c r="BS946" s="385"/>
      <c r="BT946" s="385"/>
      <c r="BU946" s="385"/>
      <c r="BV946" s="385"/>
      <c r="BW946" s="385"/>
      <c r="BX946" s="385"/>
      <c r="BY946" s="385"/>
      <c r="BZ946" s="385"/>
      <c r="CA946" s="385"/>
    </row>
    <row r="947" spans="1:79" s="6" customFormat="1" ht="15" customHeight="1">
      <c r="A947" s="41" t="s">
        <v>183</v>
      </c>
      <c r="B947" s="402" t="s">
        <v>707</v>
      </c>
      <c r="C947" s="113" t="s">
        <v>3835</v>
      </c>
      <c r="D947" s="393" t="s">
        <v>133</v>
      </c>
      <c r="E947" s="394" t="s">
        <v>3836</v>
      </c>
      <c r="F947" s="402"/>
      <c r="G947" s="405" t="s">
        <v>726</v>
      </c>
      <c r="H947" s="74">
        <v>3273</v>
      </c>
      <c r="I947" s="50" t="s">
        <v>2</v>
      </c>
      <c r="J947" s="339" t="s">
        <v>3837</v>
      </c>
      <c r="K947" s="51">
        <v>41376</v>
      </c>
      <c r="L947" s="115">
        <v>41364</v>
      </c>
      <c r="M947" s="50">
        <f t="shared" si="37"/>
        <v>12</v>
      </c>
      <c r="N947" s="50" t="s">
        <v>2</v>
      </c>
      <c r="O947" s="74">
        <f>1/2</f>
        <v>0.5</v>
      </c>
      <c r="P947" s="50">
        <v>5</v>
      </c>
      <c r="Q947" s="74">
        <v>9.14</v>
      </c>
      <c r="R947" s="50">
        <v>22.2</v>
      </c>
      <c r="S947" s="74">
        <v>47</v>
      </c>
      <c r="T947" s="50">
        <v>0.22</v>
      </c>
      <c r="U947" s="131">
        <v>2.67</v>
      </c>
      <c r="V947" s="50">
        <v>5.38</v>
      </c>
      <c r="W947" s="74">
        <v>4.4999999999999998E-2</v>
      </c>
      <c r="X947" s="50">
        <v>6.8000000000000005E-2</v>
      </c>
      <c r="Y947" s="74">
        <v>4.0000000000000001E-3</v>
      </c>
      <c r="Z947" s="271">
        <v>1</v>
      </c>
      <c r="AA947" s="271">
        <v>1</v>
      </c>
      <c r="AB947" s="114">
        <v>172.2</v>
      </c>
      <c r="AC947" s="50">
        <v>440</v>
      </c>
      <c r="AD947" s="271">
        <f>20/20</f>
        <v>1</v>
      </c>
      <c r="AE947" s="50"/>
      <c r="AF947" s="49"/>
      <c r="AG947" s="114"/>
      <c r="AH947" s="114"/>
      <c r="AI947" s="114"/>
      <c r="AJ947" s="114"/>
      <c r="AK947" s="114"/>
      <c r="AL947" s="114"/>
      <c r="AM947" s="114"/>
      <c r="AN947" s="114"/>
      <c r="AO947" s="114"/>
      <c r="AP947" s="114"/>
      <c r="AQ947" s="114"/>
      <c r="AR947" s="114"/>
      <c r="AS947" s="50"/>
      <c r="AT947" s="74"/>
      <c r="AU947" s="114"/>
      <c r="AV947" s="114"/>
      <c r="AW947" s="394"/>
      <c r="AX947" s="385"/>
      <c r="AY947" s="385"/>
      <c r="AZ947" s="385"/>
      <c r="BA947" s="385"/>
      <c r="BB947" s="385"/>
      <c r="BC947" s="385"/>
      <c r="BD947" s="385"/>
      <c r="BE947" s="385"/>
      <c r="BF947" s="385"/>
      <c r="BG947" s="385"/>
      <c r="BH947" s="385"/>
      <c r="BI947" s="385"/>
      <c r="BJ947" s="385"/>
      <c r="BK947" s="385"/>
      <c r="BL947" s="385"/>
      <c r="BM947" s="385"/>
      <c r="BN947" s="385"/>
      <c r="BO947" s="385"/>
      <c r="BP947" s="385"/>
      <c r="BQ947" s="385"/>
      <c r="BR947" s="385"/>
      <c r="BS947" s="385"/>
      <c r="BT947" s="385"/>
      <c r="BU947" s="385"/>
      <c r="BV947" s="385"/>
      <c r="BW947" s="385"/>
      <c r="BX947" s="385"/>
      <c r="BY947" s="385"/>
      <c r="BZ947" s="385"/>
      <c r="CA947" s="385"/>
    </row>
    <row r="948" spans="1:79" s="6" customFormat="1" ht="15" customHeight="1">
      <c r="A948" s="41" t="s">
        <v>183</v>
      </c>
      <c r="B948" s="402" t="s">
        <v>3916</v>
      </c>
      <c r="C948" s="113"/>
      <c r="D948" s="393" t="s">
        <v>806</v>
      </c>
      <c r="E948" s="394" t="s">
        <v>535</v>
      </c>
      <c r="F948" s="402">
        <v>6600</v>
      </c>
      <c r="G948" s="405" t="s">
        <v>3917</v>
      </c>
      <c r="H948" s="74">
        <v>3272</v>
      </c>
      <c r="I948" s="50"/>
      <c r="J948" s="339" t="s">
        <v>431</v>
      </c>
      <c r="K948" s="51">
        <v>40835</v>
      </c>
      <c r="L948" s="173">
        <v>40830</v>
      </c>
      <c r="M948" s="50">
        <f t="shared" si="37"/>
        <v>5</v>
      </c>
      <c r="N948" s="50"/>
      <c r="O948" s="74">
        <f>5/2</f>
        <v>2.5</v>
      </c>
      <c r="P948" s="50">
        <v>7.7</v>
      </c>
      <c r="Q948" s="74">
        <v>7.8</v>
      </c>
      <c r="R948" s="50">
        <v>61</v>
      </c>
      <c r="S948" s="74">
        <v>26</v>
      </c>
      <c r="T948" s="50">
        <f>0.1/2</f>
        <v>0.05</v>
      </c>
      <c r="U948" s="131">
        <f>1/2</f>
        <v>0.5</v>
      </c>
      <c r="V948" s="50">
        <v>0.12</v>
      </c>
      <c r="W948" s="74">
        <f>0.04/2</f>
        <v>0.02</v>
      </c>
      <c r="X948" s="50">
        <f>0.013/2</f>
        <v>6.4999999999999997E-3</v>
      </c>
      <c r="Y948" s="74">
        <f>0.02/2</f>
        <v>0.01</v>
      </c>
      <c r="Z948" s="271">
        <v>1</v>
      </c>
      <c r="AA948" s="271">
        <v>1</v>
      </c>
      <c r="AB948" s="114">
        <v>190</v>
      </c>
      <c r="AC948" s="50">
        <v>606</v>
      </c>
      <c r="AD948" s="271">
        <v>0.6</v>
      </c>
      <c r="AE948" s="50"/>
      <c r="AF948" s="49"/>
      <c r="AG948" s="114"/>
      <c r="AH948" s="114"/>
      <c r="AI948" s="114"/>
      <c r="AJ948" s="114"/>
      <c r="AK948" s="114"/>
      <c r="AL948" s="114"/>
      <c r="AM948" s="114"/>
      <c r="AN948" s="114"/>
      <c r="AO948" s="114"/>
      <c r="AP948" s="114"/>
      <c r="AQ948" s="114"/>
      <c r="AR948" s="114"/>
      <c r="AS948" s="50"/>
      <c r="AT948" s="74"/>
      <c r="AU948" s="114"/>
      <c r="AV948" s="114"/>
      <c r="AW948" s="394"/>
      <c r="AX948" s="385"/>
      <c r="AY948" s="385"/>
      <c r="AZ948" s="385"/>
      <c r="BA948" s="385"/>
      <c r="BB948" s="385"/>
      <c r="BC948" s="385"/>
      <c r="BD948" s="385"/>
      <c r="BE948" s="385"/>
      <c r="BF948" s="385"/>
      <c r="BG948" s="385"/>
      <c r="BH948" s="385"/>
      <c r="BI948" s="385"/>
      <c r="BJ948" s="385"/>
      <c r="BK948" s="385"/>
      <c r="BL948" s="385"/>
      <c r="BM948" s="385"/>
      <c r="BN948" s="385"/>
      <c r="BO948" s="385"/>
      <c r="BP948" s="385"/>
      <c r="BQ948" s="385"/>
      <c r="BR948" s="385"/>
      <c r="BS948" s="385"/>
      <c r="BT948" s="385"/>
      <c r="BU948" s="385"/>
      <c r="BV948" s="385"/>
      <c r="BW948" s="385"/>
      <c r="BX948" s="385"/>
      <c r="BY948" s="385"/>
      <c r="BZ948" s="385"/>
      <c r="CA948" s="385"/>
    </row>
    <row r="949" spans="1:79" s="6" customFormat="1" ht="15" customHeight="1">
      <c r="A949" s="41" t="s">
        <v>183</v>
      </c>
      <c r="B949" s="402" t="s">
        <v>3918</v>
      </c>
      <c r="C949" s="113"/>
      <c r="D949" s="393" t="s">
        <v>735</v>
      </c>
      <c r="E949" s="394" t="s">
        <v>1293</v>
      </c>
      <c r="F949" s="402"/>
      <c r="G949" s="405" t="s">
        <v>3919</v>
      </c>
      <c r="H949" s="74">
        <v>3351</v>
      </c>
      <c r="I949" s="50"/>
      <c r="J949" s="339" t="s">
        <v>3920</v>
      </c>
      <c r="K949" s="51">
        <v>40996</v>
      </c>
      <c r="L949" s="173">
        <v>40977</v>
      </c>
      <c r="M949" s="50">
        <f t="shared" si="37"/>
        <v>19</v>
      </c>
      <c r="N949" s="50"/>
      <c r="O949" s="74">
        <f>1/2</f>
        <v>0.5</v>
      </c>
      <c r="P949" s="50">
        <v>5.6</v>
      </c>
      <c r="Q949" s="74">
        <v>7.5</v>
      </c>
      <c r="R949" s="50">
        <v>47.7</v>
      </c>
      <c r="S949" s="74">
        <v>16</v>
      </c>
      <c r="T949" s="50">
        <v>0.13800000000000001</v>
      </c>
      <c r="U949" s="131">
        <v>1.89</v>
      </c>
      <c r="V949" s="50">
        <v>0.83</v>
      </c>
      <c r="W949" s="74">
        <v>2.31</v>
      </c>
      <c r="X949" s="50">
        <v>0.373</v>
      </c>
      <c r="Y949" s="74">
        <v>1.0800000000000001E-2</v>
      </c>
      <c r="Z949" s="271"/>
      <c r="AA949" s="271"/>
      <c r="AB949" s="114"/>
      <c r="AC949" s="50"/>
      <c r="AD949" s="271"/>
      <c r="AE949" s="50"/>
      <c r="AF949" s="49"/>
      <c r="AG949" s="114"/>
      <c r="AH949" s="114"/>
      <c r="AI949" s="114"/>
      <c r="AJ949" s="114"/>
      <c r="AK949" s="114"/>
      <c r="AL949" s="114"/>
      <c r="AM949" s="114"/>
      <c r="AN949" s="114"/>
      <c r="AO949" s="114"/>
      <c r="AP949" s="114"/>
      <c r="AQ949" s="114"/>
      <c r="AR949" s="114"/>
      <c r="AS949" s="50"/>
      <c r="AT949" s="74"/>
      <c r="AU949" s="114"/>
      <c r="AV949" s="114"/>
      <c r="AW949" s="394"/>
      <c r="AX949" s="385"/>
      <c r="AY949" s="385"/>
      <c r="AZ949" s="385"/>
      <c r="BA949" s="385"/>
      <c r="BB949" s="385"/>
      <c r="BC949" s="385"/>
      <c r="BD949" s="385"/>
      <c r="BE949" s="385"/>
      <c r="BF949" s="385"/>
      <c r="BG949" s="385"/>
      <c r="BH949" s="385"/>
      <c r="BI949" s="385"/>
      <c r="BJ949" s="385"/>
      <c r="BK949" s="385"/>
      <c r="BL949" s="385"/>
      <c r="BM949" s="385"/>
      <c r="BN949" s="385"/>
      <c r="BO949" s="385"/>
      <c r="BP949" s="385"/>
      <c r="BQ949" s="385"/>
      <c r="BR949" s="385"/>
      <c r="BS949" s="385"/>
      <c r="BT949" s="385"/>
      <c r="BU949" s="385"/>
      <c r="BV949" s="385"/>
      <c r="BW949" s="385"/>
      <c r="BX949" s="385"/>
      <c r="BY949" s="385"/>
      <c r="BZ949" s="385"/>
      <c r="CA949" s="385"/>
    </row>
    <row r="950" spans="1:79" s="6" customFormat="1" ht="15" customHeight="1">
      <c r="A950" s="41" t="s">
        <v>183</v>
      </c>
      <c r="B950" s="402" t="s">
        <v>3918</v>
      </c>
      <c r="C950" s="113"/>
      <c r="D950" s="393" t="s">
        <v>735</v>
      </c>
      <c r="E950" s="394" t="s">
        <v>1293</v>
      </c>
      <c r="F950" s="402"/>
      <c r="G950" s="405" t="s">
        <v>3919</v>
      </c>
      <c r="H950" s="74">
        <v>3351</v>
      </c>
      <c r="I950" s="50"/>
      <c r="J950" s="339" t="s">
        <v>173</v>
      </c>
      <c r="K950" s="51">
        <v>40996</v>
      </c>
      <c r="L950" s="173">
        <v>40977</v>
      </c>
      <c r="M950" s="50">
        <f t="shared" si="37"/>
        <v>19</v>
      </c>
      <c r="N950" s="50"/>
      <c r="O950" s="74">
        <f>1/2</f>
        <v>0.5</v>
      </c>
      <c r="P950" s="50">
        <v>5.6</v>
      </c>
      <c r="Q950" s="74">
        <v>9.9</v>
      </c>
      <c r="R950" s="50">
        <v>20.2</v>
      </c>
      <c r="S950" s="74">
        <v>14</v>
      </c>
      <c r="T950" s="50">
        <v>0.13</v>
      </c>
      <c r="U950" s="131">
        <v>1.82</v>
      </c>
      <c r="V950" s="50">
        <v>1.36</v>
      </c>
      <c r="W950" s="74">
        <v>1.92</v>
      </c>
      <c r="X950" s="50">
        <v>0.60199999999999998</v>
      </c>
      <c r="Y950" s="74">
        <v>3.9199999999999999E-3</v>
      </c>
      <c r="Z950" s="271"/>
      <c r="AA950" s="271"/>
      <c r="AB950" s="114"/>
      <c r="AC950" s="50"/>
      <c r="AD950" s="271"/>
      <c r="AE950" s="50"/>
      <c r="AF950" s="49"/>
      <c r="AG950" s="114"/>
      <c r="AH950" s="114"/>
      <c r="AI950" s="114"/>
      <c r="AJ950" s="114"/>
      <c r="AK950" s="114"/>
      <c r="AL950" s="114"/>
      <c r="AM950" s="114"/>
      <c r="AN950" s="114"/>
      <c r="AO950" s="114"/>
      <c r="AP950" s="114"/>
      <c r="AQ950" s="114"/>
      <c r="AR950" s="114"/>
      <c r="AS950" s="50"/>
      <c r="AT950" s="74"/>
      <c r="AU950" s="114"/>
      <c r="AV950" s="114"/>
      <c r="AW950" s="394"/>
      <c r="AX950" s="385"/>
      <c r="AY950" s="385"/>
      <c r="AZ950" s="385"/>
      <c r="BA950" s="385"/>
      <c r="BB950" s="385"/>
      <c r="BC950" s="385"/>
      <c r="BD950" s="385"/>
      <c r="BE950" s="385"/>
      <c r="BF950" s="385"/>
      <c r="BG950" s="385"/>
      <c r="BH950" s="385"/>
      <c r="BI950" s="385"/>
      <c r="BJ950" s="385"/>
      <c r="BK950" s="385"/>
      <c r="BL950" s="385"/>
      <c r="BM950" s="385"/>
      <c r="BN950" s="385"/>
      <c r="BO950" s="385"/>
      <c r="BP950" s="385"/>
      <c r="BQ950" s="385"/>
      <c r="BR950" s="385"/>
      <c r="BS950" s="385"/>
      <c r="BT950" s="385"/>
      <c r="BU950" s="385"/>
      <c r="BV950" s="385"/>
      <c r="BW950" s="385"/>
      <c r="BX950" s="385"/>
      <c r="BY950" s="385"/>
      <c r="BZ950" s="385"/>
      <c r="CA950" s="385"/>
    </row>
    <row r="951" spans="1:79" s="6" customFormat="1" ht="15" customHeight="1">
      <c r="A951" s="41" t="s">
        <v>183</v>
      </c>
      <c r="B951" s="402" t="s">
        <v>3918</v>
      </c>
      <c r="C951" s="113"/>
      <c r="D951" s="393" t="s">
        <v>735</v>
      </c>
      <c r="E951" s="394" t="s">
        <v>1293</v>
      </c>
      <c r="F951" s="402"/>
      <c r="G951" s="405" t="s">
        <v>3919</v>
      </c>
      <c r="H951" s="74">
        <v>3351</v>
      </c>
      <c r="I951" s="50"/>
      <c r="J951" s="339" t="s">
        <v>176</v>
      </c>
      <c r="K951" s="51">
        <v>40996</v>
      </c>
      <c r="L951" s="173">
        <v>40977</v>
      </c>
      <c r="M951" s="50">
        <f t="shared" si="37"/>
        <v>19</v>
      </c>
      <c r="N951" s="50"/>
      <c r="O951" s="74">
        <f>1/2</f>
        <v>0.5</v>
      </c>
      <c r="P951" s="50">
        <v>5.6</v>
      </c>
      <c r="Q951" s="74">
        <v>6.7</v>
      </c>
      <c r="R951" s="50">
        <v>52.4</v>
      </c>
      <c r="S951" s="74">
        <v>47</v>
      </c>
      <c r="T951" s="50">
        <v>0.189</v>
      </c>
      <c r="U951" s="131">
        <v>3.36</v>
      </c>
      <c r="V951" s="50">
        <v>2.12</v>
      </c>
      <c r="W951" s="74">
        <v>1.58</v>
      </c>
      <c r="X951" s="50">
        <v>0.26200000000000001</v>
      </c>
      <c r="Y951" s="74">
        <v>8.4899999999999993E-3</v>
      </c>
      <c r="Z951" s="271"/>
      <c r="AA951" s="271"/>
      <c r="AB951" s="114"/>
      <c r="AC951" s="50"/>
      <c r="AD951" s="271"/>
      <c r="AE951" s="50"/>
      <c r="AF951" s="49"/>
      <c r="AG951" s="114"/>
      <c r="AH951" s="114"/>
      <c r="AI951" s="114"/>
      <c r="AJ951" s="114"/>
      <c r="AK951" s="114"/>
      <c r="AL951" s="114"/>
      <c r="AM951" s="114"/>
      <c r="AN951" s="114"/>
      <c r="AO951" s="114"/>
      <c r="AP951" s="114"/>
      <c r="AQ951" s="114"/>
      <c r="AR951" s="114"/>
      <c r="AS951" s="50"/>
      <c r="AT951" s="74"/>
      <c r="AU951" s="114"/>
      <c r="AV951" s="114"/>
      <c r="AW951" s="394"/>
      <c r="AX951" s="385"/>
      <c r="AY951" s="385"/>
      <c r="AZ951" s="385"/>
      <c r="BA951" s="385"/>
      <c r="BB951" s="385"/>
      <c r="BC951" s="385"/>
      <c r="BD951" s="385"/>
      <c r="BE951" s="385"/>
      <c r="BF951" s="385"/>
      <c r="BG951" s="385"/>
      <c r="BH951" s="385"/>
      <c r="BI951" s="385"/>
      <c r="BJ951" s="385"/>
      <c r="BK951" s="385"/>
      <c r="BL951" s="385"/>
      <c r="BM951" s="385"/>
      <c r="BN951" s="385"/>
      <c r="BO951" s="385"/>
      <c r="BP951" s="385"/>
      <c r="BQ951" s="385"/>
      <c r="BR951" s="385"/>
      <c r="BS951" s="385"/>
      <c r="BT951" s="385"/>
      <c r="BU951" s="385"/>
      <c r="BV951" s="385"/>
      <c r="BW951" s="385"/>
      <c r="BX951" s="385"/>
      <c r="BY951" s="385"/>
      <c r="BZ951" s="385"/>
      <c r="CA951" s="385"/>
    </row>
    <row r="952" spans="1:79" s="6" customFormat="1" ht="15" customHeight="1">
      <c r="A952" s="41" t="s">
        <v>183</v>
      </c>
      <c r="B952" s="402" t="s">
        <v>3921</v>
      </c>
      <c r="C952" s="113" t="s">
        <v>3922</v>
      </c>
      <c r="D952" s="393" t="s">
        <v>3953</v>
      </c>
      <c r="E952" s="394" t="s">
        <v>364</v>
      </c>
      <c r="F952" s="402"/>
      <c r="G952" s="405" t="s">
        <v>3923</v>
      </c>
      <c r="H952" s="74">
        <v>4952</v>
      </c>
      <c r="I952" s="50"/>
      <c r="J952" s="339"/>
      <c r="K952" s="51">
        <v>41201</v>
      </c>
      <c r="L952" s="173">
        <v>41198</v>
      </c>
      <c r="M952" s="50">
        <f t="shared" si="37"/>
        <v>3</v>
      </c>
      <c r="N952" s="50"/>
      <c r="O952" s="74">
        <f>1/2</f>
        <v>0.5</v>
      </c>
      <c r="P952" s="50">
        <v>7.5</v>
      </c>
      <c r="Q952" s="74">
        <v>7.1</v>
      </c>
      <c r="R952" s="50">
        <v>15</v>
      </c>
      <c r="S952" s="74">
        <f>1/2</f>
        <v>0.5</v>
      </c>
      <c r="T952" s="50">
        <v>0.06</v>
      </c>
      <c r="U952" s="131">
        <v>0.69</v>
      </c>
      <c r="V952" s="50">
        <f>0.1/2</f>
        <v>0.05</v>
      </c>
      <c r="W952" s="74">
        <v>5.0000000000000001E-3</v>
      </c>
      <c r="X952" s="50">
        <v>0.01</v>
      </c>
      <c r="Y952" s="74">
        <f>0.002/2</f>
        <v>1E-3</v>
      </c>
      <c r="Z952" s="271">
        <v>1</v>
      </c>
      <c r="AA952" s="271">
        <v>1</v>
      </c>
      <c r="AB952" s="114">
        <f>1/2</f>
        <v>0.5</v>
      </c>
      <c r="AC952" s="50">
        <v>3.2</v>
      </c>
      <c r="AD952" s="271">
        <v>1</v>
      </c>
      <c r="AE952" s="50"/>
      <c r="AF952" s="49"/>
      <c r="AG952" s="114"/>
      <c r="AH952" s="114"/>
      <c r="AI952" s="114"/>
      <c r="AJ952" s="114"/>
      <c r="AK952" s="114"/>
      <c r="AL952" s="114"/>
      <c r="AM952" s="114"/>
      <c r="AN952" s="114"/>
      <c r="AO952" s="114"/>
      <c r="AP952" s="114"/>
      <c r="AQ952" s="114"/>
      <c r="AR952" s="114"/>
      <c r="AS952" s="50"/>
      <c r="AT952" s="74"/>
      <c r="AU952" s="114"/>
      <c r="AV952" s="114"/>
      <c r="AW952" s="394"/>
      <c r="AX952" s="385"/>
      <c r="AY952" s="385"/>
      <c r="AZ952" s="385"/>
      <c r="BA952" s="385"/>
      <c r="BB952" s="385"/>
      <c r="BC952" s="385"/>
      <c r="BD952" s="385"/>
      <c r="BE952" s="385"/>
      <c r="BF952" s="385"/>
      <c r="BG952" s="385"/>
      <c r="BH952" s="385"/>
      <c r="BI952" s="385"/>
      <c r="BJ952" s="385"/>
      <c r="BK952" s="385"/>
      <c r="BL952" s="385"/>
      <c r="BM952" s="385"/>
      <c r="BN952" s="385"/>
      <c r="BO952" s="385"/>
      <c r="BP952" s="385"/>
      <c r="BQ952" s="385"/>
      <c r="BR952" s="385"/>
      <c r="BS952" s="385"/>
      <c r="BT952" s="385"/>
      <c r="BU952" s="385"/>
      <c r="BV952" s="385"/>
      <c r="BW952" s="385"/>
      <c r="BX952" s="385"/>
      <c r="BY952" s="385"/>
      <c r="BZ952" s="385"/>
      <c r="CA952" s="385"/>
    </row>
    <row r="953" spans="1:79" s="6" customFormat="1" ht="15" customHeight="1">
      <c r="A953" s="41" t="s">
        <v>183</v>
      </c>
      <c r="B953" s="402" t="s">
        <v>3927</v>
      </c>
      <c r="C953" s="113"/>
      <c r="D953" s="393" t="s">
        <v>56</v>
      </c>
      <c r="E953" s="394" t="s">
        <v>95</v>
      </c>
      <c r="F953" s="402"/>
      <c r="G953" s="405" t="s">
        <v>3928</v>
      </c>
      <c r="H953" s="74">
        <v>4952</v>
      </c>
      <c r="I953" s="50"/>
      <c r="J953" s="339" t="s">
        <v>3929</v>
      </c>
      <c r="K953" s="51">
        <v>40835</v>
      </c>
      <c r="L953" s="173">
        <v>40830</v>
      </c>
      <c r="M953" s="50">
        <f t="shared" si="37"/>
        <v>5</v>
      </c>
      <c r="N953" s="50"/>
      <c r="O953" s="74">
        <f>5/2</f>
        <v>2.5</v>
      </c>
      <c r="P953" s="50">
        <v>5.58</v>
      </c>
      <c r="Q953" s="74">
        <v>6.56</v>
      </c>
      <c r="R953" s="50">
        <v>70</v>
      </c>
      <c r="S953" s="74">
        <v>66</v>
      </c>
      <c r="T953" s="50">
        <v>0.5</v>
      </c>
      <c r="U953" s="131">
        <f>0.5/2</f>
        <v>0.25</v>
      </c>
      <c r="V953" s="50">
        <v>1.06</v>
      </c>
      <c r="W953" s="74">
        <v>2.1000000000000001E-2</v>
      </c>
      <c r="X953" s="50">
        <v>0.2</v>
      </c>
      <c r="Y953" s="74">
        <v>6.0000000000000001E-3</v>
      </c>
      <c r="Z953" s="271">
        <v>1</v>
      </c>
      <c r="AA953" s="271">
        <v>1</v>
      </c>
      <c r="AB953" s="114">
        <v>7.11</v>
      </c>
      <c r="AC953" s="50">
        <v>33</v>
      </c>
      <c r="AD953" s="271">
        <v>0.85</v>
      </c>
      <c r="AE953" s="50"/>
      <c r="AF953" s="49"/>
      <c r="AG953" s="114"/>
      <c r="AH953" s="114"/>
      <c r="AI953" s="114"/>
      <c r="AJ953" s="114"/>
      <c r="AK953" s="114"/>
      <c r="AL953" s="114"/>
      <c r="AM953" s="114"/>
      <c r="AN953" s="114"/>
      <c r="AO953" s="114"/>
      <c r="AP953" s="114"/>
      <c r="AQ953" s="114"/>
      <c r="AR953" s="114"/>
      <c r="AS953" s="50"/>
      <c r="AT953" s="74"/>
      <c r="AU953" s="114"/>
      <c r="AV953" s="114"/>
      <c r="AW953" s="394"/>
      <c r="AX953" s="385"/>
      <c r="AY953" s="385"/>
      <c r="AZ953" s="385"/>
      <c r="BA953" s="385"/>
      <c r="BB953" s="385"/>
      <c r="BC953" s="385"/>
      <c r="BD953" s="385"/>
      <c r="BE953" s="385"/>
      <c r="BF953" s="385"/>
      <c r="BG953" s="385"/>
      <c r="BH953" s="385"/>
      <c r="BI953" s="385"/>
      <c r="BJ953" s="385"/>
      <c r="BK953" s="385"/>
      <c r="BL953" s="385"/>
      <c r="BM953" s="385"/>
      <c r="BN953" s="385"/>
      <c r="BO953" s="385"/>
      <c r="BP953" s="385"/>
      <c r="BQ953" s="385"/>
      <c r="BR953" s="385"/>
      <c r="BS953" s="385"/>
      <c r="BT953" s="385"/>
      <c r="BU953" s="385"/>
      <c r="BV953" s="385"/>
      <c r="BW953" s="385"/>
      <c r="BX953" s="385"/>
      <c r="BY953" s="385"/>
      <c r="BZ953" s="385"/>
      <c r="CA953" s="385"/>
    </row>
    <row r="954" spans="1:79" s="6" customFormat="1" ht="15" customHeight="1">
      <c r="A954" s="41" t="s">
        <v>183</v>
      </c>
      <c r="B954" s="402" t="s">
        <v>3927</v>
      </c>
      <c r="C954" s="113"/>
      <c r="D954" s="393" t="s">
        <v>56</v>
      </c>
      <c r="E954" s="394" t="s">
        <v>95</v>
      </c>
      <c r="F954" s="402"/>
      <c r="G954" s="405" t="s">
        <v>3928</v>
      </c>
      <c r="H954" s="74">
        <v>4952</v>
      </c>
      <c r="I954" s="50"/>
      <c r="J954" s="339" t="s">
        <v>3930</v>
      </c>
      <c r="K954" s="51">
        <v>40835</v>
      </c>
      <c r="L954" s="173">
        <v>40830</v>
      </c>
      <c r="M954" s="50">
        <f t="shared" si="37"/>
        <v>5</v>
      </c>
      <c r="N954" s="50"/>
      <c r="O954" s="74">
        <f>5/2</f>
        <v>2.5</v>
      </c>
      <c r="P954" s="50">
        <v>5.58</v>
      </c>
      <c r="Q954" s="74">
        <v>6.18</v>
      </c>
      <c r="R954" s="50">
        <v>208</v>
      </c>
      <c r="S954" s="74">
        <v>271</v>
      </c>
      <c r="T954" s="50">
        <v>0.6</v>
      </c>
      <c r="U954" s="131">
        <f>0.5/2</f>
        <v>0.25</v>
      </c>
      <c r="V954" s="50">
        <v>0.32</v>
      </c>
      <c r="W954" s="74">
        <v>3.2000000000000001E-2</v>
      </c>
      <c r="X954" s="50">
        <v>0.23</v>
      </c>
      <c r="Y954" s="74">
        <v>8.0000000000000002E-3</v>
      </c>
      <c r="Z954" s="271">
        <v>1</v>
      </c>
      <c r="AA954" s="271">
        <v>1</v>
      </c>
      <c r="AB954" s="114">
        <v>11.2</v>
      </c>
      <c r="AC954" s="50">
        <v>20</v>
      </c>
      <c r="AD954" s="271">
        <v>0.85</v>
      </c>
      <c r="AE954" s="50"/>
      <c r="AF954" s="49"/>
      <c r="AG954" s="114"/>
      <c r="AH954" s="114"/>
      <c r="AI954" s="114"/>
      <c r="AJ954" s="114"/>
      <c r="AK954" s="114"/>
      <c r="AL954" s="114"/>
      <c r="AM954" s="114"/>
      <c r="AN954" s="114"/>
      <c r="AO954" s="114"/>
      <c r="AP954" s="114"/>
      <c r="AQ954" s="114"/>
      <c r="AR954" s="114"/>
      <c r="AS954" s="50"/>
      <c r="AT954" s="74"/>
      <c r="AU954" s="114"/>
      <c r="AV954" s="114"/>
      <c r="AW954" s="394"/>
      <c r="AX954" s="385"/>
      <c r="AY954" s="385"/>
      <c r="AZ954" s="385"/>
      <c r="BA954" s="385"/>
      <c r="BB954" s="385"/>
      <c r="BC954" s="385"/>
      <c r="BD954" s="385"/>
      <c r="BE954" s="385"/>
      <c r="BF954" s="385"/>
      <c r="BG954" s="385"/>
      <c r="BH954" s="385"/>
      <c r="BI954" s="385"/>
      <c r="BJ954" s="385"/>
      <c r="BK954" s="385"/>
      <c r="BL954" s="385"/>
      <c r="BM954" s="385"/>
      <c r="BN954" s="385"/>
      <c r="BO954" s="385"/>
      <c r="BP954" s="385"/>
      <c r="BQ954" s="385"/>
      <c r="BR954" s="385"/>
      <c r="BS954" s="385"/>
      <c r="BT954" s="385"/>
      <c r="BU954" s="385"/>
      <c r="BV954" s="385"/>
      <c r="BW954" s="385"/>
      <c r="BX954" s="385"/>
      <c r="BY954" s="385"/>
      <c r="BZ954" s="385"/>
      <c r="CA954" s="385"/>
    </row>
    <row r="955" spans="1:79" s="6" customFormat="1" ht="15" customHeight="1">
      <c r="A955" s="41" t="s">
        <v>183</v>
      </c>
      <c r="B955" s="402" t="s">
        <v>3927</v>
      </c>
      <c r="C955" s="113"/>
      <c r="D955" s="393" t="s">
        <v>56</v>
      </c>
      <c r="E955" s="394" t="s">
        <v>95</v>
      </c>
      <c r="F955" s="402"/>
      <c r="G955" s="405" t="s">
        <v>3928</v>
      </c>
      <c r="H955" s="74">
        <v>4952</v>
      </c>
      <c r="I955" s="50"/>
      <c r="J955" s="339" t="s">
        <v>3931</v>
      </c>
      <c r="K955" s="51">
        <v>40835</v>
      </c>
      <c r="L955" s="173">
        <v>40830</v>
      </c>
      <c r="M955" s="50">
        <f t="shared" si="37"/>
        <v>5</v>
      </c>
      <c r="N955" s="50"/>
      <c r="O955" s="74">
        <f>5/2</f>
        <v>2.5</v>
      </c>
      <c r="P955" s="50">
        <v>5.58</v>
      </c>
      <c r="Q955" s="74">
        <v>7.68</v>
      </c>
      <c r="R955" s="50">
        <v>169</v>
      </c>
      <c r="S955" s="74">
        <v>357</v>
      </c>
      <c r="T955" s="50">
        <v>4.25</v>
      </c>
      <c r="U955" s="131">
        <f>0.5/2</f>
        <v>0.25</v>
      </c>
      <c r="V955" s="50">
        <v>0.63</v>
      </c>
      <c r="W955" s="74">
        <v>7.0000000000000007E-2</v>
      </c>
      <c r="X955" s="50">
        <v>0.35</v>
      </c>
      <c r="Y955" s="74">
        <v>2.5000000000000001E-2</v>
      </c>
      <c r="Z955" s="271">
        <v>1</v>
      </c>
      <c r="AA955" s="271">
        <v>1</v>
      </c>
      <c r="AB955" s="114">
        <v>52.3</v>
      </c>
      <c r="AC955" s="50">
        <v>72</v>
      </c>
      <c r="AD955" s="271">
        <v>1</v>
      </c>
      <c r="AE955" s="50"/>
      <c r="AF955" s="49"/>
      <c r="AG955" s="114"/>
      <c r="AH955" s="114"/>
      <c r="AI955" s="114"/>
      <c r="AJ955" s="114"/>
      <c r="AK955" s="114"/>
      <c r="AL955" s="114"/>
      <c r="AM955" s="114"/>
      <c r="AN955" s="114"/>
      <c r="AO955" s="114"/>
      <c r="AP955" s="114"/>
      <c r="AQ955" s="114"/>
      <c r="AR955" s="114"/>
      <c r="AS955" s="50"/>
      <c r="AT955" s="74"/>
      <c r="AU955" s="114"/>
      <c r="AV955" s="114"/>
      <c r="AW955" s="394"/>
      <c r="AX955" s="385"/>
      <c r="AY955" s="385"/>
      <c r="AZ955" s="385"/>
      <c r="BA955" s="385"/>
      <c r="BB955" s="385"/>
      <c r="BC955" s="385"/>
      <c r="BD955" s="385"/>
      <c r="BE955" s="385"/>
      <c r="BF955" s="385"/>
      <c r="BG955" s="385"/>
      <c r="BH955" s="385"/>
      <c r="BI955" s="385"/>
      <c r="BJ955" s="385"/>
      <c r="BK955" s="385"/>
      <c r="BL955" s="385"/>
      <c r="BM955" s="385"/>
      <c r="BN955" s="385"/>
      <c r="BO955" s="385"/>
      <c r="BP955" s="385"/>
      <c r="BQ955" s="385"/>
      <c r="BR955" s="385"/>
      <c r="BS955" s="385"/>
      <c r="BT955" s="385"/>
      <c r="BU955" s="385"/>
      <c r="BV955" s="385"/>
      <c r="BW955" s="385"/>
      <c r="BX955" s="385"/>
      <c r="BY955" s="385"/>
      <c r="BZ955" s="385"/>
      <c r="CA955" s="385"/>
    </row>
    <row r="956" spans="1:79" s="384" customFormat="1" ht="15" customHeight="1">
      <c r="A956" s="41" t="s">
        <v>183</v>
      </c>
      <c r="B956" s="402" t="s">
        <v>3948</v>
      </c>
      <c r="C956" s="113" t="s">
        <v>1048</v>
      </c>
      <c r="D956" s="393" t="s">
        <v>1896</v>
      </c>
      <c r="E956" s="394" t="s">
        <v>1538</v>
      </c>
      <c r="F956" s="402"/>
      <c r="G956" s="405" t="s">
        <v>1049</v>
      </c>
      <c r="H956" s="404">
        <v>3273</v>
      </c>
      <c r="I956" s="402" t="s">
        <v>1</v>
      </c>
      <c r="J956" s="406" t="s">
        <v>477</v>
      </c>
      <c r="K956" s="403">
        <v>41201</v>
      </c>
      <c r="L956" s="379">
        <v>41197</v>
      </c>
      <c r="M956" s="402">
        <f t="shared" si="37"/>
        <v>4</v>
      </c>
      <c r="N956" s="402" t="s">
        <v>2</v>
      </c>
      <c r="O956" s="404">
        <f>5/2</f>
        <v>2.5</v>
      </c>
      <c r="P956" s="402">
        <v>6.5</v>
      </c>
      <c r="Q956" s="404">
        <v>9.42</v>
      </c>
      <c r="R956" s="402">
        <v>33</v>
      </c>
      <c r="S956" s="404">
        <v>66</v>
      </c>
      <c r="T956" s="402">
        <f>0.1/2</f>
        <v>0.05</v>
      </c>
      <c r="U956" s="395">
        <f>1/2</f>
        <v>0.5</v>
      </c>
      <c r="V956" s="402">
        <v>1.2</v>
      </c>
      <c r="W956" s="404">
        <f>0.04/2</f>
        <v>0.02</v>
      </c>
      <c r="X956" s="402">
        <v>3.6999999999999998E-2</v>
      </c>
      <c r="Y956" s="404">
        <f>0.013/2</f>
        <v>6.4999999999999997E-3</v>
      </c>
      <c r="Z956" s="399">
        <v>1</v>
      </c>
      <c r="AA956" s="399">
        <v>1</v>
      </c>
      <c r="AB956" s="394">
        <v>72</v>
      </c>
      <c r="AC956" s="402">
        <v>304</v>
      </c>
      <c r="AD956" s="399">
        <f>20/20</f>
        <v>1</v>
      </c>
      <c r="AE956" s="402"/>
      <c r="AF956" s="391"/>
      <c r="AG956" s="394"/>
      <c r="AH956" s="394"/>
      <c r="AI956" s="394">
        <v>230</v>
      </c>
      <c r="AJ956" s="394"/>
      <c r="AK956" s="394"/>
      <c r="AL956" s="394"/>
      <c r="AM956" s="394"/>
      <c r="AN956" s="394"/>
      <c r="AO956" s="394"/>
      <c r="AP956" s="394"/>
      <c r="AQ956" s="394"/>
      <c r="AR956" s="394"/>
      <c r="AS956" s="402"/>
      <c r="AT956" s="404"/>
      <c r="AU956" s="394"/>
      <c r="AV956" s="394"/>
      <c r="AW956" s="394"/>
      <c r="AX956" s="385"/>
      <c r="AY956" s="385"/>
      <c r="AZ956" s="385"/>
      <c r="BA956" s="385"/>
      <c r="BB956" s="385"/>
      <c r="BC956" s="385"/>
      <c r="BD956" s="385"/>
      <c r="BE956" s="385"/>
      <c r="BF956" s="385"/>
      <c r="BG956" s="385"/>
      <c r="BH956" s="385"/>
      <c r="BI956" s="385"/>
      <c r="BJ956" s="385"/>
      <c r="BK956" s="385"/>
      <c r="BL956" s="385"/>
      <c r="BM956" s="385"/>
      <c r="BN956" s="385"/>
      <c r="BO956" s="385"/>
      <c r="BP956" s="385"/>
      <c r="BQ956" s="385"/>
      <c r="BR956" s="385"/>
      <c r="BS956" s="385"/>
      <c r="BT956" s="385"/>
      <c r="BU956" s="385"/>
      <c r="BV956" s="385"/>
      <c r="BW956" s="385"/>
      <c r="BX956" s="385"/>
      <c r="BY956" s="385"/>
      <c r="BZ956" s="385"/>
      <c r="CA956" s="385"/>
    </row>
    <row r="957" spans="1:79" s="6" customFormat="1" ht="15" customHeight="1">
      <c r="A957" s="41" t="s">
        <v>183</v>
      </c>
      <c r="B957" s="402" t="s">
        <v>3949</v>
      </c>
      <c r="C957" s="113"/>
      <c r="D957" s="393" t="s">
        <v>827</v>
      </c>
      <c r="E957" s="394" t="s">
        <v>3950</v>
      </c>
      <c r="F957" s="402"/>
      <c r="G957" s="405" t="s">
        <v>3951</v>
      </c>
      <c r="H957" s="74">
        <v>3011</v>
      </c>
      <c r="I957" s="50"/>
      <c r="J957" s="339" t="s">
        <v>3952</v>
      </c>
      <c r="K957" s="51">
        <v>40830</v>
      </c>
      <c r="L957" s="173">
        <v>40819</v>
      </c>
      <c r="M957" s="50">
        <f t="shared" si="37"/>
        <v>11</v>
      </c>
      <c r="N957" s="50" t="s">
        <v>2</v>
      </c>
      <c r="O957" s="74">
        <f>10/2</f>
        <v>5</v>
      </c>
      <c r="P957" s="50">
        <v>6.9</v>
      </c>
      <c r="Q957" s="74">
        <v>6.9</v>
      </c>
      <c r="R957" s="50">
        <v>510</v>
      </c>
      <c r="S957" s="74">
        <v>42</v>
      </c>
      <c r="T957" s="50">
        <v>1.1000000000000001</v>
      </c>
      <c r="U957" s="131">
        <v>3.8</v>
      </c>
      <c r="V957" s="50">
        <f>0.1/2</f>
        <v>0.05</v>
      </c>
      <c r="W957" s="74">
        <v>0.66</v>
      </c>
      <c r="X957" s="50">
        <v>3.7</v>
      </c>
      <c r="Y957" s="74">
        <v>0.84</v>
      </c>
      <c r="Z957" s="271">
        <v>1</v>
      </c>
      <c r="AA957" s="271">
        <v>0.79400000000000004</v>
      </c>
      <c r="AB957" s="114"/>
      <c r="AC957" s="50"/>
      <c r="AD957" s="271"/>
      <c r="AE957" s="50"/>
      <c r="AF957" s="49"/>
      <c r="AG957" s="114"/>
      <c r="AH957" s="114"/>
      <c r="AI957" s="114"/>
      <c r="AJ957" s="114"/>
      <c r="AK957" s="114"/>
      <c r="AL957" s="114"/>
      <c r="AM957" s="114"/>
      <c r="AN957" s="114"/>
      <c r="AO957" s="114"/>
      <c r="AP957" s="114"/>
      <c r="AQ957" s="114"/>
      <c r="AR957" s="114"/>
      <c r="AS957" s="50"/>
      <c r="AT957" s="74"/>
      <c r="AU957" s="114"/>
      <c r="AV957" s="114"/>
      <c r="AW957" s="394"/>
      <c r="AX957" s="385"/>
      <c r="AY957" s="385"/>
      <c r="AZ957" s="385"/>
      <c r="BA957" s="385"/>
      <c r="BB957" s="385"/>
      <c r="BC957" s="385"/>
      <c r="BD957" s="385"/>
      <c r="BE957" s="385"/>
      <c r="BF957" s="385"/>
      <c r="BG957" s="385"/>
      <c r="BH957" s="385"/>
      <c r="BI957" s="385"/>
      <c r="BJ957" s="385"/>
      <c r="BK957" s="385"/>
      <c r="BL957" s="385"/>
      <c r="BM957" s="385"/>
      <c r="BN957" s="385"/>
      <c r="BO957" s="385"/>
      <c r="BP957" s="385"/>
      <c r="BQ957" s="385"/>
      <c r="BR957" s="385"/>
      <c r="BS957" s="385"/>
      <c r="BT957" s="385"/>
      <c r="BU957" s="385"/>
      <c r="BV957" s="385"/>
      <c r="BW957" s="385"/>
      <c r="BX957" s="385"/>
      <c r="BY957" s="385"/>
      <c r="BZ957" s="385"/>
      <c r="CA957" s="385"/>
    </row>
    <row r="958" spans="1:79" s="6" customFormat="1" ht="15" customHeight="1">
      <c r="A958" s="41" t="s">
        <v>183</v>
      </c>
      <c r="B958" s="402" t="s">
        <v>3955</v>
      </c>
      <c r="C958" s="113" t="s">
        <v>3956</v>
      </c>
      <c r="D958" s="393" t="s">
        <v>684</v>
      </c>
      <c r="E958" s="394"/>
      <c r="F958" s="402"/>
      <c r="G958" s="405" t="s">
        <v>3954</v>
      </c>
      <c r="H958" s="74">
        <v>3691</v>
      </c>
      <c r="I958" s="50" t="s">
        <v>2</v>
      </c>
      <c r="J958" s="339" t="s">
        <v>3957</v>
      </c>
      <c r="K958" s="51">
        <v>41043</v>
      </c>
      <c r="L958" s="173">
        <v>41038</v>
      </c>
      <c r="M958" s="50">
        <f t="shared" si="37"/>
        <v>5</v>
      </c>
      <c r="N958" s="50" t="s">
        <v>2</v>
      </c>
      <c r="O958" s="74">
        <f>5/2</f>
        <v>2.5</v>
      </c>
      <c r="P958" s="50">
        <v>4.8499999999999996</v>
      </c>
      <c r="Q958" s="74">
        <v>5.0599999999999996</v>
      </c>
      <c r="R958" s="50">
        <v>178</v>
      </c>
      <c r="S958" s="74">
        <v>146</v>
      </c>
      <c r="T958" s="50">
        <v>0.7</v>
      </c>
      <c r="U958" s="131">
        <v>5.39</v>
      </c>
      <c r="V958" s="50">
        <v>2.1</v>
      </c>
      <c r="W958" s="74">
        <v>5.0000000000000001E-3</v>
      </c>
      <c r="X958" s="50">
        <v>0.1</v>
      </c>
      <c r="Y958" s="74">
        <v>2E-3</v>
      </c>
      <c r="Z958" s="271">
        <v>1</v>
      </c>
      <c r="AA958" s="271">
        <v>1</v>
      </c>
      <c r="AB958" s="114">
        <v>1.75</v>
      </c>
      <c r="AC958" s="50">
        <v>59</v>
      </c>
      <c r="AD958" s="271">
        <v>0.5</v>
      </c>
      <c r="AE958" s="50"/>
      <c r="AF958" s="49"/>
      <c r="AG958" s="114"/>
      <c r="AH958" s="114"/>
      <c r="AI958" s="114"/>
      <c r="AJ958" s="114"/>
      <c r="AK958" s="114"/>
      <c r="AL958" s="114"/>
      <c r="AM958" s="114"/>
      <c r="AN958" s="114"/>
      <c r="AO958" s="114"/>
      <c r="AP958" s="114"/>
      <c r="AQ958" s="114"/>
      <c r="AR958" s="114"/>
      <c r="AS958" s="50"/>
      <c r="AT958" s="74"/>
      <c r="AU958" s="114"/>
      <c r="AV958" s="114"/>
      <c r="AW958" s="394"/>
      <c r="AX958" s="385"/>
      <c r="AY958" s="385"/>
      <c r="AZ958" s="385"/>
      <c r="BA958" s="385"/>
      <c r="BB958" s="385"/>
      <c r="BC958" s="385"/>
      <c r="BD958" s="385"/>
      <c r="BE958" s="385"/>
      <c r="BF958" s="385"/>
      <c r="BG958" s="385"/>
      <c r="BH958" s="385"/>
      <c r="BI958" s="385"/>
      <c r="BJ958" s="385"/>
      <c r="BK958" s="385"/>
      <c r="BL958" s="385"/>
      <c r="BM958" s="385"/>
      <c r="BN958" s="385"/>
      <c r="BO958" s="385"/>
      <c r="BP958" s="385"/>
      <c r="BQ958" s="385"/>
      <c r="BR958" s="385"/>
      <c r="BS958" s="385"/>
      <c r="BT958" s="385"/>
      <c r="BU958" s="385"/>
      <c r="BV958" s="385"/>
      <c r="BW958" s="385"/>
      <c r="BX958" s="385"/>
      <c r="BY958" s="385"/>
      <c r="BZ958" s="385"/>
      <c r="CA958" s="385"/>
    </row>
    <row r="959" spans="1:79" s="6" customFormat="1" ht="15" customHeight="1">
      <c r="A959" s="404" t="s">
        <v>5618</v>
      </c>
      <c r="B959" s="402" t="s">
        <v>2116</v>
      </c>
      <c r="C959" s="113" t="s">
        <v>2117</v>
      </c>
      <c r="D959" s="393" t="s">
        <v>56</v>
      </c>
      <c r="E959" s="394" t="s">
        <v>1831</v>
      </c>
      <c r="F959" s="402"/>
      <c r="G959" s="405" t="s">
        <v>3608</v>
      </c>
      <c r="H959" s="113">
        <v>4226</v>
      </c>
      <c r="I959" s="49" t="s">
        <v>1</v>
      </c>
      <c r="J959" s="48" t="s">
        <v>2118</v>
      </c>
      <c r="K959" s="51">
        <v>41345</v>
      </c>
      <c r="L959" s="51">
        <v>41341</v>
      </c>
      <c r="M959" s="50">
        <f t="shared" si="37"/>
        <v>4</v>
      </c>
      <c r="N959" s="50" t="s">
        <v>2</v>
      </c>
      <c r="O959" s="74">
        <f>1.4/2</f>
        <v>0.7</v>
      </c>
      <c r="P959" s="50">
        <v>6.5</v>
      </c>
      <c r="Q959" s="74">
        <v>5.2</v>
      </c>
      <c r="R959" s="50">
        <v>21</v>
      </c>
      <c r="S959" s="74">
        <v>12</v>
      </c>
      <c r="T959" s="50">
        <v>0.02</v>
      </c>
      <c r="U959" s="131">
        <v>0.68</v>
      </c>
      <c r="V959" s="50">
        <v>0.28000000000000003</v>
      </c>
      <c r="W959" s="74">
        <v>2.8000000000000001E-2</v>
      </c>
      <c r="X959" s="50">
        <v>3.6999999999999998E-2</v>
      </c>
      <c r="Y959" s="74">
        <v>2E-3</v>
      </c>
      <c r="Z959" s="271">
        <v>1</v>
      </c>
      <c r="AA959" s="271">
        <v>1</v>
      </c>
      <c r="AB959" s="114">
        <v>6</v>
      </c>
      <c r="AC959" s="50">
        <v>196</v>
      </c>
      <c r="AD959" s="271">
        <v>0.9</v>
      </c>
      <c r="AE959" s="50"/>
      <c r="AF959" s="49"/>
      <c r="AG959" s="114"/>
      <c r="AH959" s="114"/>
      <c r="AI959" s="114"/>
      <c r="AJ959" s="114"/>
      <c r="AK959" s="114"/>
      <c r="AL959" s="114"/>
      <c r="AM959" s="114"/>
      <c r="AN959" s="114"/>
      <c r="AO959" s="114"/>
      <c r="AP959" s="114"/>
      <c r="AQ959" s="114"/>
      <c r="AR959" s="114"/>
      <c r="AS959" s="50"/>
      <c r="AT959" s="74"/>
      <c r="AU959" s="114"/>
      <c r="AV959" s="114"/>
      <c r="AW959" s="394"/>
      <c r="AX959" s="385"/>
      <c r="AY959" s="385"/>
      <c r="AZ959" s="385"/>
      <c r="BA959" s="385"/>
      <c r="BB959" s="385"/>
      <c r="BC959" s="385"/>
      <c r="BD959" s="385"/>
      <c r="BE959" s="385"/>
      <c r="BF959" s="385"/>
      <c r="BG959" s="385"/>
      <c r="BH959" s="385"/>
      <c r="BI959" s="385"/>
      <c r="BJ959" s="385"/>
      <c r="BK959" s="385"/>
      <c r="BL959" s="385"/>
      <c r="BM959" s="385"/>
      <c r="BN959" s="385"/>
      <c r="BO959" s="385"/>
      <c r="BP959" s="385"/>
      <c r="BQ959" s="385"/>
      <c r="BR959" s="385"/>
      <c r="BS959" s="385"/>
      <c r="BT959" s="385"/>
      <c r="BU959" s="385"/>
      <c r="BV959" s="385"/>
      <c r="BW959" s="385"/>
      <c r="BX959" s="385"/>
      <c r="BY959" s="385"/>
      <c r="BZ959" s="385"/>
      <c r="CA959" s="385"/>
    </row>
    <row r="960" spans="1:79" s="6" customFormat="1" ht="15" customHeight="1">
      <c r="A960" s="41" t="s">
        <v>183</v>
      </c>
      <c r="B960" s="402" t="s">
        <v>2122</v>
      </c>
      <c r="C960" s="113"/>
      <c r="D960" s="393" t="s">
        <v>56</v>
      </c>
      <c r="E960" s="394" t="s">
        <v>112</v>
      </c>
      <c r="F960" s="402"/>
      <c r="G960" s="405" t="s">
        <v>3611</v>
      </c>
      <c r="H960" s="74">
        <v>4231</v>
      </c>
      <c r="I960" s="50" t="s">
        <v>1</v>
      </c>
      <c r="J960" s="339" t="s">
        <v>2118</v>
      </c>
      <c r="K960" s="51">
        <v>41345</v>
      </c>
      <c r="L960" s="173">
        <v>41341</v>
      </c>
      <c r="M960" s="50">
        <f t="shared" si="37"/>
        <v>4</v>
      </c>
      <c r="N960" s="50" t="s">
        <v>2</v>
      </c>
      <c r="O960" s="74">
        <f>1.6/2</f>
        <v>0.8</v>
      </c>
      <c r="P960" s="50">
        <v>6.5</v>
      </c>
      <c r="Q960" s="74">
        <v>4.8</v>
      </c>
      <c r="R960" s="50">
        <v>10</v>
      </c>
      <c r="S960" s="74">
        <f>5/2</f>
        <v>2.5</v>
      </c>
      <c r="T960" s="50">
        <v>0.02</v>
      </c>
      <c r="U960" s="131">
        <v>0.46</v>
      </c>
      <c r="V960" s="50">
        <v>0.22</v>
      </c>
      <c r="W960" s="74">
        <v>2.1999999999999999E-2</v>
      </c>
      <c r="X960" s="50">
        <v>4.5999999999999999E-2</v>
      </c>
      <c r="Y960" s="74">
        <f>0.002/2</f>
        <v>1E-3</v>
      </c>
      <c r="Z960" s="271">
        <v>0.68300000000000005</v>
      </c>
      <c r="AA960" s="271">
        <v>0.68300000000000005</v>
      </c>
      <c r="AB960" s="114">
        <v>8</v>
      </c>
      <c r="AC960" s="50">
        <v>262</v>
      </c>
      <c r="AD960" s="271">
        <v>0</v>
      </c>
      <c r="AE960" s="50"/>
      <c r="AF960" s="49"/>
      <c r="AG960" s="114"/>
      <c r="AH960" s="114"/>
      <c r="AI960" s="114"/>
      <c r="AJ960" s="114"/>
      <c r="AK960" s="114"/>
      <c r="AL960" s="114"/>
      <c r="AM960" s="114"/>
      <c r="AN960" s="114"/>
      <c r="AO960" s="114"/>
      <c r="AP960" s="114"/>
      <c r="AQ960" s="114"/>
      <c r="AR960" s="114"/>
      <c r="AS960" s="50"/>
      <c r="AT960" s="74"/>
      <c r="AU960" s="114"/>
      <c r="AV960" s="114"/>
      <c r="AW960" s="394"/>
      <c r="AX960" s="385"/>
      <c r="AY960" s="385"/>
      <c r="AZ960" s="385"/>
      <c r="BA960" s="385"/>
      <c r="BB960" s="385"/>
      <c r="BC960" s="385"/>
      <c r="BD960" s="385"/>
      <c r="BE960" s="385"/>
      <c r="BF960" s="385"/>
      <c r="BG960" s="385"/>
      <c r="BH960" s="385"/>
      <c r="BI960" s="385"/>
      <c r="BJ960" s="385"/>
      <c r="BK960" s="385"/>
      <c r="BL960" s="385"/>
      <c r="BM960" s="385"/>
      <c r="BN960" s="385"/>
      <c r="BO960" s="385"/>
      <c r="BP960" s="385"/>
      <c r="BQ960" s="385"/>
      <c r="BR960" s="385"/>
      <c r="BS960" s="385"/>
      <c r="BT960" s="385"/>
      <c r="BU960" s="385"/>
      <c r="BV960" s="385"/>
      <c r="BW960" s="385"/>
      <c r="BX960" s="385"/>
      <c r="BY960" s="385"/>
      <c r="BZ960" s="385"/>
      <c r="CA960" s="385"/>
    </row>
    <row r="961" spans="1:79" s="6" customFormat="1" ht="15" customHeight="1">
      <c r="A961" s="404" t="s">
        <v>5618</v>
      </c>
      <c r="B961" s="402" t="s">
        <v>2119</v>
      </c>
      <c r="C961" s="113" t="s">
        <v>2117</v>
      </c>
      <c r="D961" s="393" t="s">
        <v>56</v>
      </c>
      <c r="E961" s="394" t="s">
        <v>112</v>
      </c>
      <c r="F961" s="402"/>
      <c r="G961" s="405" t="s">
        <v>3609</v>
      </c>
      <c r="H961" s="74">
        <v>4226</v>
      </c>
      <c r="I961" s="50" t="s">
        <v>1</v>
      </c>
      <c r="J961" s="339" t="s">
        <v>2118</v>
      </c>
      <c r="K961" s="51">
        <v>41345</v>
      </c>
      <c r="L961" s="173">
        <v>41341</v>
      </c>
      <c r="M961" s="50">
        <f t="shared" si="37"/>
        <v>4</v>
      </c>
      <c r="N961" s="50" t="s">
        <v>2</v>
      </c>
      <c r="O961" s="74">
        <f>1.5/2</f>
        <v>0.75</v>
      </c>
      <c r="P961" s="50">
        <v>6.5</v>
      </c>
      <c r="Q961" s="74">
        <v>7</v>
      </c>
      <c r="R961" s="50">
        <f>10/2</f>
        <v>5</v>
      </c>
      <c r="S961" s="74">
        <v>140</v>
      </c>
      <c r="T961" s="50">
        <v>0.28999999999999998</v>
      </c>
      <c r="U961" s="131">
        <v>1.85</v>
      </c>
      <c r="V961" s="50">
        <f>0.05/2</f>
        <v>2.5000000000000001E-2</v>
      </c>
      <c r="W961" s="74">
        <v>1.0999999999999999E-2</v>
      </c>
      <c r="X961" s="50">
        <v>7.5999999999999998E-2</v>
      </c>
      <c r="Y961" s="74">
        <v>1.2999999999999999E-2</v>
      </c>
      <c r="Z961" s="271">
        <v>0.33</v>
      </c>
      <c r="AA961" s="271">
        <v>0.24199999999999999</v>
      </c>
      <c r="AB961" s="114">
        <v>200</v>
      </c>
      <c r="AC961" s="50">
        <v>21100</v>
      </c>
      <c r="AD961" s="271">
        <v>0</v>
      </c>
      <c r="AE961" s="50"/>
      <c r="AF961" s="49"/>
      <c r="AG961" s="114"/>
      <c r="AH961" s="114"/>
      <c r="AI961" s="114"/>
      <c r="AJ961" s="114"/>
      <c r="AK961" s="114"/>
      <c r="AL961" s="114"/>
      <c r="AM961" s="114"/>
      <c r="AN961" s="114"/>
      <c r="AO961" s="114"/>
      <c r="AP961" s="114"/>
      <c r="AQ961" s="114"/>
      <c r="AR961" s="114"/>
      <c r="AS961" s="50"/>
      <c r="AT961" s="74"/>
      <c r="AU961" s="114"/>
      <c r="AV961" s="114"/>
      <c r="AW961" s="394"/>
      <c r="AX961" s="385"/>
      <c r="AY961" s="385"/>
      <c r="AZ961" s="385"/>
      <c r="BA961" s="385"/>
      <c r="BB961" s="385"/>
      <c r="BC961" s="385"/>
      <c r="BD961" s="385"/>
      <c r="BE961" s="385"/>
      <c r="BF961" s="385"/>
      <c r="BG961" s="385"/>
      <c r="BH961" s="385"/>
      <c r="BI961" s="385"/>
      <c r="BJ961" s="385"/>
      <c r="BK961" s="385"/>
      <c r="BL961" s="385"/>
      <c r="BM961" s="385"/>
      <c r="BN961" s="385"/>
      <c r="BO961" s="385"/>
      <c r="BP961" s="385"/>
      <c r="BQ961" s="385"/>
      <c r="BR961" s="385"/>
      <c r="BS961" s="385"/>
      <c r="BT961" s="385"/>
      <c r="BU961" s="385"/>
      <c r="BV961" s="385"/>
      <c r="BW961" s="385"/>
      <c r="BX961" s="385"/>
      <c r="BY961" s="385"/>
      <c r="BZ961" s="385"/>
      <c r="CA961" s="385"/>
    </row>
    <row r="962" spans="1:79" s="6" customFormat="1" ht="15" customHeight="1">
      <c r="A962" s="404" t="s">
        <v>5618</v>
      </c>
      <c r="B962" s="402" t="s">
        <v>2120</v>
      </c>
      <c r="C962" s="113" t="s">
        <v>2117</v>
      </c>
      <c r="D962" s="393" t="s">
        <v>56</v>
      </c>
      <c r="E962" s="394" t="s">
        <v>3959</v>
      </c>
      <c r="F962" s="402"/>
      <c r="G962" s="405" t="s">
        <v>3958</v>
      </c>
      <c r="H962" s="74">
        <v>4226</v>
      </c>
      <c r="I962" s="50" t="s">
        <v>1</v>
      </c>
      <c r="J962" s="339" t="s">
        <v>2118</v>
      </c>
      <c r="K962" s="51">
        <v>41345</v>
      </c>
      <c r="L962" s="173">
        <v>41341</v>
      </c>
      <c r="M962" s="50">
        <f t="shared" si="37"/>
        <v>4</v>
      </c>
      <c r="N962" s="50" t="s">
        <v>2</v>
      </c>
      <c r="O962" s="74">
        <v>4</v>
      </c>
      <c r="P962" s="50">
        <v>6.5</v>
      </c>
      <c r="Q962" s="74">
        <v>6.6</v>
      </c>
      <c r="R962" s="50">
        <v>750</v>
      </c>
      <c r="S962" s="74">
        <v>86</v>
      </c>
      <c r="T962" s="50">
        <v>0.24</v>
      </c>
      <c r="U962" s="131">
        <v>1.66</v>
      </c>
      <c r="V962" s="50">
        <f>0.05/2</f>
        <v>2.5000000000000001E-2</v>
      </c>
      <c r="W962" s="74">
        <v>0.02</v>
      </c>
      <c r="X962" s="50">
        <v>0.13100000000000001</v>
      </c>
      <c r="Y962" s="74">
        <v>3.3000000000000002E-2</v>
      </c>
      <c r="Z962" s="271">
        <v>8.8400000000000006E-2</v>
      </c>
      <c r="AA962" s="271">
        <v>8.8400000000000006E-2</v>
      </c>
      <c r="AB962" s="114">
        <v>400</v>
      </c>
      <c r="AC962" s="50">
        <v>48700</v>
      </c>
      <c r="AD962" s="271">
        <v>0</v>
      </c>
      <c r="AE962" s="50"/>
      <c r="AF962" s="49"/>
      <c r="AG962" s="114"/>
      <c r="AH962" s="114"/>
      <c r="AI962" s="114"/>
      <c r="AJ962" s="114"/>
      <c r="AK962" s="114"/>
      <c r="AL962" s="114"/>
      <c r="AM962" s="114"/>
      <c r="AN962" s="114"/>
      <c r="AO962" s="114"/>
      <c r="AP962" s="114"/>
      <c r="AQ962" s="114"/>
      <c r="AR962" s="114"/>
      <c r="AS962" s="50"/>
      <c r="AT962" s="74"/>
      <c r="AU962" s="114"/>
      <c r="AV962" s="114"/>
      <c r="AW962" s="394"/>
      <c r="AX962" s="385"/>
      <c r="AY962" s="385"/>
      <c r="AZ962" s="385"/>
      <c r="BA962" s="385"/>
      <c r="BB962" s="385"/>
      <c r="BC962" s="385"/>
      <c r="BD962" s="385"/>
      <c r="BE962" s="385"/>
      <c r="BF962" s="385"/>
      <c r="BG962" s="385"/>
      <c r="BH962" s="385"/>
      <c r="BI962" s="385"/>
      <c r="BJ962" s="385"/>
      <c r="BK962" s="385"/>
      <c r="BL962" s="385"/>
      <c r="BM962" s="385"/>
      <c r="BN962" s="385"/>
      <c r="BO962" s="385"/>
      <c r="BP962" s="385"/>
      <c r="BQ962" s="385"/>
      <c r="BR962" s="385"/>
      <c r="BS962" s="385"/>
      <c r="BT962" s="385"/>
      <c r="BU962" s="385"/>
      <c r="BV962" s="385"/>
      <c r="BW962" s="385"/>
      <c r="BX962" s="385"/>
      <c r="BY962" s="385"/>
      <c r="BZ962" s="385"/>
      <c r="CA962" s="385"/>
    </row>
    <row r="963" spans="1:79" s="6" customFormat="1" ht="15" customHeight="1">
      <c r="A963" s="404" t="s">
        <v>5618</v>
      </c>
      <c r="B963" s="402" t="s">
        <v>2120</v>
      </c>
      <c r="C963" s="113" t="s">
        <v>2117</v>
      </c>
      <c r="D963" s="393" t="s">
        <v>56</v>
      </c>
      <c r="E963" s="394" t="s">
        <v>3959</v>
      </c>
      <c r="F963" s="402"/>
      <c r="G963" s="405" t="s">
        <v>3958</v>
      </c>
      <c r="H963" s="74">
        <v>4226</v>
      </c>
      <c r="I963" s="50" t="s">
        <v>1</v>
      </c>
      <c r="J963" s="339" t="s">
        <v>2118</v>
      </c>
      <c r="K963" s="51">
        <v>40920</v>
      </c>
      <c r="L963" s="173">
        <v>40909</v>
      </c>
      <c r="M963" s="50">
        <f t="shared" si="37"/>
        <v>11</v>
      </c>
      <c r="N963" s="50" t="s">
        <v>2</v>
      </c>
      <c r="O963" s="74">
        <f>1.4/2</f>
        <v>0.7</v>
      </c>
      <c r="P963" s="50">
        <v>6</v>
      </c>
      <c r="Q963" s="74">
        <v>6.9</v>
      </c>
      <c r="R963" s="50">
        <v>310</v>
      </c>
      <c r="S963" s="74">
        <v>73</v>
      </c>
      <c r="T963" s="50">
        <v>0.19</v>
      </c>
      <c r="U963" s="131">
        <v>0.46</v>
      </c>
      <c r="V963" s="50">
        <v>0.21</v>
      </c>
      <c r="W963" s="74">
        <v>1.4E-2</v>
      </c>
      <c r="X963" s="50">
        <v>3.4000000000000002E-2</v>
      </c>
      <c r="Y963" s="74">
        <v>1.0999999999999999E-2</v>
      </c>
      <c r="Z963" s="271">
        <v>0.183</v>
      </c>
      <c r="AA963" s="271">
        <v>0.158</v>
      </c>
      <c r="AB963" s="114">
        <v>24</v>
      </c>
      <c r="AC963" s="50">
        <v>17250</v>
      </c>
      <c r="AD963" s="271">
        <v>0</v>
      </c>
      <c r="AE963" s="50"/>
      <c r="AF963" s="49"/>
      <c r="AG963" s="114"/>
      <c r="AH963" s="114"/>
      <c r="AI963" s="114"/>
      <c r="AJ963" s="114"/>
      <c r="AK963" s="114"/>
      <c r="AL963" s="114"/>
      <c r="AM963" s="114"/>
      <c r="AN963" s="114"/>
      <c r="AO963" s="114"/>
      <c r="AP963" s="114"/>
      <c r="AQ963" s="114"/>
      <c r="AR963" s="114"/>
      <c r="AS963" s="50"/>
      <c r="AT963" s="74"/>
      <c r="AU963" s="114"/>
      <c r="AV963" s="114"/>
      <c r="AW963" s="394"/>
      <c r="AX963" s="385"/>
      <c r="AY963" s="385"/>
      <c r="AZ963" s="385"/>
      <c r="BA963" s="385"/>
      <c r="BB963" s="385"/>
      <c r="BC963" s="385"/>
      <c r="BD963" s="385"/>
      <c r="BE963" s="385"/>
      <c r="BF963" s="385"/>
      <c r="BG963" s="385"/>
      <c r="BH963" s="385"/>
      <c r="BI963" s="385"/>
      <c r="BJ963" s="385"/>
      <c r="BK963" s="385"/>
      <c r="BL963" s="385"/>
      <c r="BM963" s="385"/>
      <c r="BN963" s="385"/>
      <c r="BO963" s="385"/>
      <c r="BP963" s="385"/>
      <c r="BQ963" s="385"/>
      <c r="BR963" s="385"/>
      <c r="BS963" s="385"/>
      <c r="BT963" s="385"/>
      <c r="BU963" s="385"/>
      <c r="BV963" s="385"/>
      <c r="BW963" s="385"/>
      <c r="BX963" s="385"/>
      <c r="BY963" s="385"/>
      <c r="BZ963" s="385"/>
      <c r="CA963" s="385"/>
    </row>
    <row r="964" spans="1:79" s="6" customFormat="1" ht="15" customHeight="1">
      <c r="A964" s="41" t="s">
        <v>183</v>
      </c>
      <c r="B964" s="402" t="s">
        <v>2120</v>
      </c>
      <c r="C964" s="113" t="s">
        <v>2117</v>
      </c>
      <c r="D964" s="393" t="s">
        <v>56</v>
      </c>
      <c r="E964" s="394" t="s">
        <v>95</v>
      </c>
      <c r="F964" s="402"/>
      <c r="G964" s="405" t="s">
        <v>3610</v>
      </c>
      <c r="H964" s="74">
        <v>5171</v>
      </c>
      <c r="I964" s="50" t="s">
        <v>1</v>
      </c>
      <c r="J964" s="339" t="s">
        <v>2363</v>
      </c>
      <c r="K964" s="51">
        <v>41345</v>
      </c>
      <c r="L964" s="173">
        <v>41341</v>
      </c>
      <c r="M964" s="50">
        <f t="shared" si="37"/>
        <v>4</v>
      </c>
      <c r="N964" s="50" t="s">
        <v>2</v>
      </c>
      <c r="O964" s="74">
        <v>16</v>
      </c>
      <c r="P964" s="50">
        <v>6.5</v>
      </c>
      <c r="Q964" s="74">
        <v>7.1</v>
      </c>
      <c r="R964" s="50">
        <v>275</v>
      </c>
      <c r="S964" s="74">
        <v>320</v>
      </c>
      <c r="T964" s="50">
        <v>0.5</v>
      </c>
      <c r="U964" s="131">
        <v>1.52</v>
      </c>
      <c r="V964" s="50">
        <v>0.1</v>
      </c>
      <c r="W964" s="74">
        <v>0.24399999999999999</v>
      </c>
      <c r="X964" s="50">
        <v>4.09</v>
      </c>
      <c r="Y964" s="74">
        <v>0.44400000000000001</v>
      </c>
      <c r="Z964" s="271">
        <v>1</v>
      </c>
      <c r="AA964" s="271">
        <v>1</v>
      </c>
      <c r="AB964" s="114">
        <v>400</v>
      </c>
      <c r="AC964" s="50">
        <v>3940</v>
      </c>
      <c r="AD964" s="271">
        <v>1</v>
      </c>
      <c r="AE964" s="50"/>
      <c r="AF964" s="49"/>
      <c r="AG964" s="114"/>
      <c r="AH964" s="114"/>
      <c r="AI964" s="114"/>
      <c r="AJ964" s="114"/>
      <c r="AK964" s="114"/>
      <c r="AL964" s="114"/>
      <c r="AM964" s="114"/>
      <c r="AN964" s="114"/>
      <c r="AO964" s="114"/>
      <c r="AP964" s="114"/>
      <c r="AQ964" s="114"/>
      <c r="AR964" s="114"/>
      <c r="AS964" s="50"/>
      <c r="AT964" s="74"/>
      <c r="AU964" s="114"/>
      <c r="AV964" s="114"/>
      <c r="AW964" s="394"/>
      <c r="AX964" s="385"/>
      <c r="AY964" s="385"/>
      <c r="AZ964" s="385"/>
      <c r="BA964" s="385"/>
      <c r="BB964" s="385"/>
      <c r="BC964" s="385"/>
      <c r="BD964" s="385"/>
      <c r="BE964" s="385"/>
      <c r="BF964" s="385"/>
      <c r="BG964" s="385"/>
      <c r="BH964" s="385"/>
      <c r="BI964" s="385"/>
      <c r="BJ964" s="385"/>
      <c r="BK964" s="385"/>
      <c r="BL964" s="385"/>
      <c r="BM964" s="385"/>
      <c r="BN964" s="385"/>
      <c r="BO964" s="385"/>
      <c r="BP964" s="385"/>
      <c r="BQ964" s="385"/>
      <c r="BR964" s="385"/>
      <c r="BS964" s="385"/>
      <c r="BT964" s="385"/>
      <c r="BU964" s="385"/>
      <c r="BV964" s="385"/>
      <c r="BW964" s="385"/>
      <c r="BX964" s="385"/>
      <c r="BY964" s="385"/>
      <c r="BZ964" s="385"/>
      <c r="CA964" s="385"/>
    </row>
    <row r="965" spans="1:79" s="6" customFormat="1" ht="15" customHeight="1">
      <c r="A965" s="41" t="s">
        <v>183</v>
      </c>
      <c r="B965" s="402" t="s">
        <v>2120</v>
      </c>
      <c r="C965" s="113" t="s">
        <v>2117</v>
      </c>
      <c r="D965" s="393" t="s">
        <v>56</v>
      </c>
      <c r="E965" s="394" t="s">
        <v>95</v>
      </c>
      <c r="F965" s="402"/>
      <c r="G965" s="405" t="s">
        <v>3610</v>
      </c>
      <c r="H965" s="74">
        <v>5171</v>
      </c>
      <c r="I965" s="50" t="s">
        <v>1</v>
      </c>
      <c r="J965" s="339" t="s">
        <v>3960</v>
      </c>
      <c r="K965" s="51">
        <v>41345</v>
      </c>
      <c r="L965" s="173">
        <v>41341</v>
      </c>
      <c r="M965" s="50">
        <f t="shared" si="37"/>
        <v>4</v>
      </c>
      <c r="N965" s="50" t="s">
        <v>2</v>
      </c>
      <c r="O965" s="74">
        <v>18</v>
      </c>
      <c r="P965" s="50">
        <v>6.5</v>
      </c>
      <c r="Q965" s="74">
        <v>8.1</v>
      </c>
      <c r="R965" s="50">
        <v>347</v>
      </c>
      <c r="S965" s="74">
        <v>280</v>
      </c>
      <c r="T965" s="50">
        <v>0.44</v>
      </c>
      <c r="U965" s="131">
        <v>1.35</v>
      </c>
      <c r="V965" s="50">
        <v>0.16</v>
      </c>
      <c r="W965" s="74">
        <v>0.19900000000000001</v>
      </c>
      <c r="X965" s="50">
        <v>3.38</v>
      </c>
      <c r="Y965" s="74">
        <v>0.32500000000000001</v>
      </c>
      <c r="Z965" s="271">
        <v>0.81699999999999995</v>
      </c>
      <c r="AA965" s="271">
        <v>0.75800000000000001</v>
      </c>
      <c r="AB965" s="114">
        <v>100</v>
      </c>
      <c r="AC965" s="50">
        <v>3870</v>
      </c>
      <c r="AD965" s="271">
        <v>0.3</v>
      </c>
      <c r="AE965" s="50"/>
      <c r="AF965" s="49"/>
      <c r="AG965" s="114"/>
      <c r="AH965" s="114"/>
      <c r="AI965" s="114"/>
      <c r="AJ965" s="114"/>
      <c r="AK965" s="114"/>
      <c r="AL965" s="114"/>
      <c r="AM965" s="114"/>
      <c r="AN965" s="114"/>
      <c r="AO965" s="114"/>
      <c r="AP965" s="114"/>
      <c r="AQ965" s="114"/>
      <c r="AR965" s="114"/>
      <c r="AS965" s="50"/>
      <c r="AT965" s="74"/>
      <c r="AU965" s="114"/>
      <c r="AV965" s="114"/>
      <c r="AW965" s="394"/>
      <c r="AX965" s="385"/>
      <c r="AY965" s="385"/>
      <c r="AZ965" s="385"/>
      <c r="BA965" s="385"/>
      <c r="BB965" s="385"/>
      <c r="BC965" s="385"/>
      <c r="BD965" s="385"/>
      <c r="BE965" s="385"/>
      <c r="BF965" s="385"/>
      <c r="BG965" s="385"/>
      <c r="BH965" s="385"/>
      <c r="BI965" s="385"/>
      <c r="BJ965" s="385"/>
      <c r="BK965" s="385"/>
      <c r="BL965" s="385"/>
      <c r="BM965" s="385"/>
      <c r="BN965" s="385"/>
      <c r="BO965" s="385"/>
      <c r="BP965" s="385"/>
      <c r="BQ965" s="385"/>
      <c r="BR965" s="385"/>
      <c r="BS965" s="385"/>
      <c r="BT965" s="385"/>
      <c r="BU965" s="385"/>
      <c r="BV965" s="385"/>
      <c r="BW965" s="385"/>
      <c r="BX965" s="385"/>
      <c r="BY965" s="385"/>
      <c r="BZ965" s="385"/>
      <c r="CA965" s="385"/>
    </row>
    <row r="966" spans="1:79" s="6" customFormat="1" ht="15" customHeight="1">
      <c r="A966" s="41" t="s">
        <v>183</v>
      </c>
      <c r="B966" s="402" t="s">
        <v>307</v>
      </c>
      <c r="C966" s="113" t="s">
        <v>918</v>
      </c>
      <c r="D966" s="393" t="s">
        <v>89</v>
      </c>
      <c r="E966" s="394" t="s">
        <v>116</v>
      </c>
      <c r="F966" s="402"/>
      <c r="G966" s="405" t="s">
        <v>919</v>
      </c>
      <c r="H966" s="74">
        <v>3629</v>
      </c>
      <c r="I966" s="50" t="s">
        <v>2</v>
      </c>
      <c r="J966" s="339" t="s">
        <v>920</v>
      </c>
      <c r="K966" s="51">
        <v>41345</v>
      </c>
      <c r="L966" s="173">
        <v>41332</v>
      </c>
      <c r="M966" s="50">
        <f t="shared" si="37"/>
        <v>13</v>
      </c>
      <c r="N966" s="50" t="s">
        <v>1</v>
      </c>
      <c r="O966" s="74">
        <v>2.5</v>
      </c>
      <c r="P966" s="50">
        <v>6.6</v>
      </c>
      <c r="Q966" s="74">
        <v>7.41</v>
      </c>
      <c r="R966" s="50">
        <v>47</v>
      </c>
      <c r="S966" s="74">
        <v>99</v>
      </c>
      <c r="T966" s="50">
        <v>0.11</v>
      </c>
      <c r="U966" s="131">
        <v>0.47</v>
      </c>
      <c r="V966" s="50">
        <v>0.06</v>
      </c>
      <c r="W966" s="74">
        <v>8.9999999999999993E-3</v>
      </c>
      <c r="X966" s="50">
        <v>5.1999999999999998E-2</v>
      </c>
      <c r="Y966" s="74">
        <v>4.0000000000000001E-3</v>
      </c>
      <c r="Z966" s="271">
        <v>1</v>
      </c>
      <c r="AA966" s="271">
        <v>1</v>
      </c>
      <c r="AB966" s="114">
        <v>32</v>
      </c>
      <c r="AC966" s="50">
        <v>108</v>
      </c>
      <c r="AD966" s="271">
        <v>1</v>
      </c>
      <c r="AE966" s="50"/>
      <c r="AF966" s="49"/>
      <c r="AG966" s="114"/>
      <c r="AH966" s="114"/>
      <c r="AI966" s="114"/>
      <c r="AJ966" s="114"/>
      <c r="AK966" s="114"/>
      <c r="AL966" s="114"/>
      <c r="AM966" s="114"/>
      <c r="AN966" s="114"/>
      <c r="AO966" s="114"/>
      <c r="AP966" s="114"/>
      <c r="AQ966" s="114"/>
      <c r="AR966" s="114"/>
      <c r="AS966" s="50"/>
      <c r="AT966" s="74"/>
      <c r="AU966" s="114"/>
      <c r="AV966" s="114"/>
      <c r="AW966" s="394"/>
      <c r="AX966" s="385"/>
      <c r="AY966" s="385"/>
      <c r="AZ966" s="385"/>
      <c r="BA966" s="385"/>
      <c r="BB966" s="385"/>
      <c r="BC966" s="385"/>
      <c r="BD966" s="385"/>
      <c r="BE966" s="385"/>
      <c r="BF966" s="385"/>
      <c r="BG966" s="385"/>
      <c r="BH966" s="385"/>
      <c r="BI966" s="385"/>
      <c r="BJ966" s="385"/>
      <c r="BK966" s="385"/>
      <c r="BL966" s="385"/>
      <c r="BM966" s="385"/>
      <c r="BN966" s="385"/>
      <c r="BO966" s="385"/>
      <c r="BP966" s="385"/>
      <c r="BQ966" s="385"/>
      <c r="BR966" s="385"/>
      <c r="BS966" s="385"/>
      <c r="BT966" s="385"/>
      <c r="BU966" s="385"/>
      <c r="BV966" s="385"/>
      <c r="BW966" s="385"/>
      <c r="BX966" s="385"/>
      <c r="BY966" s="385"/>
      <c r="BZ966" s="385"/>
      <c r="CA966" s="385"/>
    </row>
    <row r="967" spans="1:79" s="6" customFormat="1" ht="15" customHeight="1">
      <c r="A967" s="41" t="s">
        <v>183</v>
      </c>
      <c r="B967" s="402" t="s">
        <v>3691</v>
      </c>
      <c r="C967" s="113" t="s">
        <v>842</v>
      </c>
      <c r="D967" s="393" t="s">
        <v>262</v>
      </c>
      <c r="E967" s="394" t="s">
        <v>3692</v>
      </c>
      <c r="F967" s="401"/>
      <c r="G967" s="405" t="s">
        <v>844</v>
      </c>
      <c r="H967" s="113">
        <v>3900</v>
      </c>
      <c r="I967" s="49" t="s">
        <v>2</v>
      </c>
      <c r="J967" s="48" t="s">
        <v>81</v>
      </c>
      <c r="K967" s="51">
        <v>41345</v>
      </c>
      <c r="L967" s="173">
        <v>41342</v>
      </c>
      <c r="M967" s="50">
        <f t="shared" si="37"/>
        <v>3</v>
      </c>
      <c r="N967" s="50" t="s">
        <v>2</v>
      </c>
      <c r="O967" s="74">
        <f>5/2</f>
        <v>2.5</v>
      </c>
      <c r="P967" s="50">
        <v>6</v>
      </c>
      <c r="Q967" s="74">
        <v>7</v>
      </c>
      <c r="R967" s="50">
        <v>62.5</v>
      </c>
      <c r="S967" s="74">
        <f>12/2</f>
        <v>6</v>
      </c>
      <c r="T967" s="50">
        <f>0.1/2</f>
        <v>0.05</v>
      </c>
      <c r="U967" s="131">
        <f>1/2</f>
        <v>0.5</v>
      </c>
      <c r="V967" s="50">
        <v>0.16</v>
      </c>
      <c r="W967" s="74">
        <v>1.0699999999999999E-2</v>
      </c>
      <c r="X967" s="50">
        <v>2.8299999999999999E-2</v>
      </c>
      <c r="Y967" s="74">
        <v>1.37E-2</v>
      </c>
      <c r="Z967" s="271">
        <v>1</v>
      </c>
      <c r="AA967" s="271">
        <v>1</v>
      </c>
      <c r="AB967" s="114">
        <v>146</v>
      </c>
      <c r="AC967" s="50">
        <v>880</v>
      </c>
      <c r="AD967" s="271">
        <v>1</v>
      </c>
      <c r="AE967" s="50"/>
      <c r="AF967" s="49"/>
      <c r="AG967" s="114"/>
      <c r="AH967" s="114"/>
      <c r="AI967" s="114"/>
      <c r="AJ967" s="114"/>
      <c r="AK967" s="114"/>
      <c r="AL967" s="114"/>
      <c r="AM967" s="114"/>
      <c r="AN967" s="114"/>
      <c r="AO967" s="114"/>
      <c r="AP967" s="114"/>
      <c r="AQ967" s="114"/>
      <c r="AR967" s="114"/>
      <c r="AS967" s="50"/>
      <c r="AT967" s="74"/>
      <c r="AU967" s="114"/>
      <c r="AV967" s="114"/>
      <c r="AW967" s="394"/>
      <c r="AX967" s="385"/>
      <c r="AY967" s="385"/>
      <c r="AZ967" s="385"/>
      <c r="BA967" s="385"/>
      <c r="BB967" s="385"/>
      <c r="BC967" s="385"/>
      <c r="BD967" s="385"/>
      <c r="BE967" s="385"/>
      <c r="BF967" s="385"/>
      <c r="BG967" s="385"/>
      <c r="BH967" s="385"/>
      <c r="BI967" s="385"/>
      <c r="BJ967" s="385"/>
      <c r="BK967" s="385"/>
      <c r="BL967" s="385"/>
      <c r="BM967" s="385"/>
      <c r="BN967" s="385"/>
      <c r="BO967" s="385"/>
      <c r="BP967" s="385"/>
      <c r="BQ967" s="385"/>
      <c r="BR967" s="385"/>
      <c r="BS967" s="385"/>
      <c r="BT967" s="385"/>
      <c r="BU967" s="385"/>
      <c r="BV967" s="385"/>
      <c r="BW967" s="385"/>
      <c r="BX967" s="385"/>
      <c r="BY967" s="385"/>
      <c r="BZ967" s="385"/>
      <c r="CA967" s="385"/>
    </row>
    <row r="968" spans="1:79" s="6" customFormat="1" ht="15" customHeight="1">
      <c r="A968" s="41" t="s">
        <v>183</v>
      </c>
      <c r="B968" s="402" t="s">
        <v>3691</v>
      </c>
      <c r="C968" s="113" t="s">
        <v>842</v>
      </c>
      <c r="D968" s="393" t="s">
        <v>262</v>
      </c>
      <c r="E968" s="394" t="s">
        <v>3692</v>
      </c>
      <c r="F968" s="401"/>
      <c r="G968" s="405" t="s">
        <v>844</v>
      </c>
      <c r="H968" s="113">
        <v>3900</v>
      </c>
      <c r="I968" s="49" t="s">
        <v>2</v>
      </c>
      <c r="J968" s="48" t="s">
        <v>115</v>
      </c>
      <c r="K968" s="51">
        <v>41345</v>
      </c>
      <c r="L968" s="173">
        <v>41342</v>
      </c>
      <c r="M968" s="50">
        <f t="shared" si="37"/>
        <v>3</v>
      </c>
      <c r="N968" s="50" t="s">
        <v>2</v>
      </c>
      <c r="O968" s="74">
        <f>5/2</f>
        <v>2.5</v>
      </c>
      <c r="P968" s="50">
        <v>6</v>
      </c>
      <c r="Q968" s="74">
        <v>7.6</v>
      </c>
      <c r="R968" s="50">
        <f>50/2</f>
        <v>25</v>
      </c>
      <c r="S968" s="74">
        <f>12/2</f>
        <v>6</v>
      </c>
      <c r="T968" s="50">
        <f>0.1/2</f>
        <v>0.05</v>
      </c>
      <c r="U968" s="131">
        <f>1/2</f>
        <v>0.5</v>
      </c>
      <c r="V968" s="50">
        <f>0.1/2</f>
        <v>0.05</v>
      </c>
      <c r="W968" s="74">
        <v>3.5000000000000001E-3</v>
      </c>
      <c r="X968" s="50">
        <f>0.02/2</f>
        <v>0.01</v>
      </c>
      <c r="Y968" s="74">
        <f>0.001/2</f>
        <v>5.0000000000000001E-4</v>
      </c>
      <c r="Z968" s="271">
        <v>1</v>
      </c>
      <c r="AA968" s="271">
        <v>1</v>
      </c>
      <c r="AB968" s="114">
        <v>31</v>
      </c>
      <c r="AC968" s="50">
        <v>404</v>
      </c>
      <c r="AD968" s="271">
        <v>1</v>
      </c>
      <c r="AE968" s="50"/>
      <c r="AF968" s="49"/>
      <c r="AG968" s="114"/>
      <c r="AH968" s="114"/>
      <c r="AI968" s="114"/>
      <c r="AJ968" s="114"/>
      <c r="AK968" s="114"/>
      <c r="AL968" s="114"/>
      <c r="AM968" s="114"/>
      <c r="AN968" s="114"/>
      <c r="AO968" s="114"/>
      <c r="AP968" s="114"/>
      <c r="AQ968" s="114"/>
      <c r="AR968" s="114"/>
      <c r="AS968" s="50"/>
      <c r="AT968" s="74"/>
      <c r="AU968" s="114"/>
      <c r="AV968" s="114"/>
      <c r="AW968" s="394"/>
      <c r="AX968" s="385"/>
      <c r="AY968" s="385"/>
      <c r="AZ968" s="385"/>
      <c r="BA968" s="385"/>
      <c r="BB968" s="385"/>
      <c r="BC968" s="385"/>
      <c r="BD968" s="385"/>
      <c r="BE968" s="385"/>
      <c r="BF968" s="385"/>
      <c r="BG968" s="385"/>
      <c r="BH968" s="385"/>
      <c r="BI968" s="385"/>
      <c r="BJ968" s="385"/>
      <c r="BK968" s="385"/>
      <c r="BL968" s="385"/>
      <c r="BM968" s="385"/>
      <c r="BN968" s="385"/>
      <c r="BO968" s="385"/>
      <c r="BP968" s="385"/>
      <c r="BQ968" s="385"/>
      <c r="BR968" s="385"/>
      <c r="BS968" s="385"/>
      <c r="BT968" s="385"/>
      <c r="BU968" s="385"/>
      <c r="BV968" s="385"/>
      <c r="BW968" s="385"/>
      <c r="BX968" s="385"/>
      <c r="BY968" s="385"/>
      <c r="BZ968" s="385"/>
      <c r="CA968" s="385"/>
    </row>
    <row r="969" spans="1:79" s="6" customFormat="1" ht="15" customHeight="1">
      <c r="A969" s="41" t="s">
        <v>183</v>
      </c>
      <c r="B969" s="402" t="s">
        <v>3220</v>
      </c>
      <c r="C969" s="113" t="s">
        <v>3220</v>
      </c>
      <c r="D969" s="393" t="s">
        <v>295</v>
      </c>
      <c r="E969" s="394" t="s">
        <v>535</v>
      </c>
      <c r="F969" s="402"/>
      <c r="G969" s="405" t="s">
        <v>3221</v>
      </c>
      <c r="H969" s="113">
        <v>2834</v>
      </c>
      <c r="I969" s="49" t="s">
        <v>1</v>
      </c>
      <c r="J969" s="48" t="s">
        <v>3222</v>
      </c>
      <c r="K969" s="51">
        <v>41324</v>
      </c>
      <c r="L969" s="173"/>
      <c r="M969" s="50"/>
      <c r="N969" s="50" t="s">
        <v>1</v>
      </c>
      <c r="O969" s="74">
        <f>1.4/2</f>
        <v>0.7</v>
      </c>
      <c r="P969" s="50">
        <v>7.47</v>
      </c>
      <c r="Q969" s="74">
        <v>8.0500000000000007</v>
      </c>
      <c r="R969" s="50">
        <v>19</v>
      </c>
      <c r="S969" s="74">
        <f>5/2</f>
        <v>2.5</v>
      </c>
      <c r="T969" s="50">
        <v>0.04</v>
      </c>
      <c r="U969" s="131">
        <v>0.4</v>
      </c>
      <c r="V969" s="50">
        <v>0.61</v>
      </c>
      <c r="W969" s="74">
        <f>0.005/2</f>
        <v>2.5000000000000001E-3</v>
      </c>
      <c r="X969" s="50">
        <v>5.0000000000000001E-3</v>
      </c>
      <c r="Y969" s="74">
        <f>0.002/2</f>
        <v>1E-3</v>
      </c>
      <c r="Z969" s="271">
        <v>1</v>
      </c>
      <c r="AA969" s="271">
        <v>1</v>
      </c>
      <c r="AB969" s="114">
        <v>278</v>
      </c>
      <c r="AC969" s="50">
        <v>1108</v>
      </c>
      <c r="AD969" s="271">
        <v>1</v>
      </c>
      <c r="AE969" s="50">
        <v>12</v>
      </c>
      <c r="AF969" s="49"/>
      <c r="AG969" s="114"/>
      <c r="AH969" s="114"/>
      <c r="AI969" s="114"/>
      <c r="AJ969" s="114"/>
      <c r="AK969" s="114"/>
      <c r="AL969" s="114"/>
      <c r="AM969" s="114"/>
      <c r="AN969" s="114"/>
      <c r="AO969" s="114"/>
      <c r="AP969" s="114"/>
      <c r="AQ969" s="114"/>
      <c r="AR969" s="114"/>
      <c r="AS969" s="50"/>
      <c r="AT969" s="74"/>
      <c r="AU969" s="114"/>
      <c r="AV969" s="114"/>
      <c r="AW969" s="394"/>
      <c r="AX969" s="385"/>
      <c r="AY969" s="385"/>
      <c r="AZ969" s="385"/>
      <c r="BA969" s="385"/>
      <c r="BB969" s="385"/>
      <c r="BC969" s="385"/>
      <c r="BD969" s="385"/>
      <c r="BE969" s="385"/>
      <c r="BF969" s="385"/>
      <c r="BG969" s="385"/>
      <c r="BH969" s="385"/>
      <c r="BI969" s="385"/>
      <c r="BJ969" s="385"/>
      <c r="BK969" s="385"/>
      <c r="BL969" s="385"/>
      <c r="BM969" s="385"/>
      <c r="BN969" s="385"/>
      <c r="BO969" s="385"/>
      <c r="BP969" s="385"/>
      <c r="BQ969" s="385"/>
      <c r="BR969" s="385"/>
      <c r="BS969" s="385"/>
      <c r="BT969" s="385"/>
      <c r="BU969" s="385"/>
      <c r="BV969" s="385"/>
      <c r="BW969" s="385"/>
      <c r="BX969" s="385"/>
      <c r="BY969" s="385"/>
      <c r="BZ969" s="385"/>
      <c r="CA969" s="385"/>
    </row>
    <row r="970" spans="1:79" s="6" customFormat="1" ht="15" customHeight="1">
      <c r="A970" s="41" t="s">
        <v>183</v>
      </c>
      <c r="B970" s="402" t="s">
        <v>3220</v>
      </c>
      <c r="C970" s="113" t="s">
        <v>3220</v>
      </c>
      <c r="D970" s="393" t="s">
        <v>295</v>
      </c>
      <c r="E970" s="394" t="s">
        <v>535</v>
      </c>
      <c r="F970" s="402"/>
      <c r="G970" s="405" t="s">
        <v>3221</v>
      </c>
      <c r="H970" s="113">
        <v>2834</v>
      </c>
      <c r="I970" s="49" t="s">
        <v>1</v>
      </c>
      <c r="J970" s="48" t="s">
        <v>2362</v>
      </c>
      <c r="K970" s="51">
        <v>41324</v>
      </c>
      <c r="L970" s="173"/>
      <c r="M970" s="50"/>
      <c r="N970" s="50" t="s">
        <v>1</v>
      </c>
      <c r="O970" s="74">
        <f>1.4/2</f>
        <v>0.7</v>
      </c>
      <c r="P970" s="50">
        <v>7.47</v>
      </c>
      <c r="Q970" s="74">
        <v>7.83</v>
      </c>
      <c r="R970" s="50">
        <f>10/2</f>
        <v>5</v>
      </c>
      <c r="S970" s="74">
        <v>12</v>
      </c>
      <c r="T970" s="50">
        <v>0.05</v>
      </c>
      <c r="U970" s="131">
        <v>0.42</v>
      </c>
      <c r="V970" s="50">
        <v>0.66</v>
      </c>
      <c r="W970" s="74">
        <f>0.005/2</f>
        <v>2.5000000000000001E-3</v>
      </c>
      <c r="X970" s="50">
        <f>0.002/2</f>
        <v>1E-3</v>
      </c>
      <c r="Y970" s="74">
        <f>0.002/2</f>
        <v>1E-3</v>
      </c>
      <c r="Z970" s="271">
        <v>1</v>
      </c>
      <c r="AA970" s="271">
        <v>1</v>
      </c>
      <c r="AB970" s="114">
        <v>152</v>
      </c>
      <c r="AC970" s="50">
        <v>466</v>
      </c>
      <c r="AD970" s="271">
        <v>1</v>
      </c>
      <c r="AE970" s="50">
        <v>222</v>
      </c>
      <c r="AF970" s="49"/>
      <c r="AG970" s="114"/>
      <c r="AH970" s="114"/>
      <c r="AI970" s="114"/>
      <c r="AJ970" s="114"/>
      <c r="AK970" s="114"/>
      <c r="AL970" s="114"/>
      <c r="AM970" s="114"/>
      <c r="AN970" s="114"/>
      <c r="AO970" s="114"/>
      <c r="AP970" s="114"/>
      <c r="AQ970" s="114"/>
      <c r="AR970" s="114"/>
      <c r="AS970" s="50"/>
      <c r="AT970" s="74"/>
      <c r="AU970" s="114"/>
      <c r="AV970" s="114"/>
      <c r="AW970" s="394"/>
      <c r="AX970" s="385"/>
      <c r="AY970" s="385"/>
      <c r="AZ970" s="385"/>
      <c r="BA970" s="385"/>
      <c r="BB970" s="385"/>
      <c r="BC970" s="385"/>
      <c r="BD970" s="385"/>
      <c r="BE970" s="385"/>
      <c r="BF970" s="385"/>
      <c r="BG970" s="385"/>
      <c r="BH970" s="385"/>
      <c r="BI970" s="385"/>
      <c r="BJ970" s="385"/>
      <c r="BK970" s="385"/>
      <c r="BL970" s="385"/>
      <c r="BM970" s="385"/>
      <c r="BN970" s="385"/>
      <c r="BO970" s="385"/>
      <c r="BP970" s="385"/>
      <c r="BQ970" s="385"/>
      <c r="BR970" s="385"/>
      <c r="BS970" s="385"/>
      <c r="BT970" s="385"/>
      <c r="BU970" s="385"/>
      <c r="BV970" s="385"/>
      <c r="BW970" s="385"/>
      <c r="BX970" s="385"/>
      <c r="BY970" s="385"/>
      <c r="BZ970" s="385"/>
      <c r="CA970" s="385"/>
    </row>
    <row r="971" spans="1:79" s="6" customFormat="1" ht="15" customHeight="1">
      <c r="A971" s="41" t="s">
        <v>183</v>
      </c>
      <c r="B971" s="402" t="s">
        <v>3220</v>
      </c>
      <c r="C971" s="113" t="s">
        <v>3220</v>
      </c>
      <c r="D971" s="393" t="s">
        <v>295</v>
      </c>
      <c r="E971" s="394" t="s">
        <v>535</v>
      </c>
      <c r="F971" s="402"/>
      <c r="G971" s="405" t="s">
        <v>3221</v>
      </c>
      <c r="H971" s="113">
        <v>2834</v>
      </c>
      <c r="I971" s="49" t="s">
        <v>1</v>
      </c>
      <c r="J971" s="48" t="s">
        <v>3223</v>
      </c>
      <c r="K971" s="51">
        <v>41324</v>
      </c>
      <c r="L971" s="173"/>
      <c r="M971" s="50"/>
      <c r="N971" s="50" t="s">
        <v>1</v>
      </c>
      <c r="O971" s="74">
        <f>1.4/2</f>
        <v>0.7</v>
      </c>
      <c r="P971" s="50">
        <v>7.47</v>
      </c>
      <c r="Q971" s="74">
        <v>7.78</v>
      </c>
      <c r="R971" s="50">
        <v>32</v>
      </c>
      <c r="S971" s="74">
        <v>6.5</v>
      </c>
      <c r="T971" s="50">
        <v>7.0000000000000007E-2</v>
      </c>
      <c r="U971" s="131">
        <v>3.01</v>
      </c>
      <c r="V971" s="50">
        <v>1.17</v>
      </c>
      <c r="W971" s="74">
        <f>0.005/2</f>
        <v>2.5000000000000001E-3</v>
      </c>
      <c r="X971" s="50">
        <v>4.4999999999999998E-2</v>
      </c>
      <c r="Y971" s="74">
        <f>0.002/2</f>
        <v>1E-3</v>
      </c>
      <c r="Z971" s="271">
        <v>1</v>
      </c>
      <c r="AA971" s="271">
        <v>1</v>
      </c>
      <c r="AB971" s="114">
        <v>176</v>
      </c>
      <c r="AC971" s="50">
        <v>1217</v>
      </c>
      <c r="AD971" s="271">
        <v>1</v>
      </c>
      <c r="AE971" s="50">
        <v>1</v>
      </c>
      <c r="AF971" s="49"/>
      <c r="AG971" s="114"/>
      <c r="AH971" s="114"/>
      <c r="AI971" s="114"/>
      <c r="AJ971" s="114"/>
      <c r="AK971" s="114"/>
      <c r="AL971" s="114"/>
      <c r="AM971" s="114"/>
      <c r="AN971" s="114"/>
      <c r="AO971" s="114"/>
      <c r="AP971" s="114"/>
      <c r="AQ971" s="114"/>
      <c r="AR971" s="114"/>
      <c r="AS971" s="50"/>
      <c r="AT971" s="74"/>
      <c r="AU971" s="114"/>
      <c r="AV971" s="114"/>
      <c r="AW971" s="394"/>
      <c r="AX971" s="385"/>
      <c r="AY971" s="385"/>
      <c r="AZ971" s="385"/>
      <c r="BA971" s="385"/>
      <c r="BB971" s="385"/>
      <c r="BC971" s="385"/>
      <c r="BD971" s="385"/>
      <c r="BE971" s="385"/>
      <c r="BF971" s="385"/>
      <c r="BG971" s="385"/>
      <c r="BH971" s="385"/>
      <c r="BI971" s="385"/>
      <c r="BJ971" s="385"/>
      <c r="BK971" s="385"/>
      <c r="BL971" s="385"/>
      <c r="BM971" s="385"/>
      <c r="BN971" s="385"/>
      <c r="BO971" s="385"/>
      <c r="BP971" s="385"/>
      <c r="BQ971" s="385"/>
      <c r="BR971" s="385"/>
      <c r="BS971" s="385"/>
      <c r="BT971" s="385"/>
      <c r="BU971" s="385"/>
      <c r="BV971" s="385"/>
      <c r="BW971" s="385"/>
      <c r="BX971" s="385"/>
      <c r="BY971" s="385"/>
      <c r="BZ971" s="385"/>
      <c r="CA971" s="385"/>
    </row>
    <row r="972" spans="1:79" s="6" customFormat="1" ht="15" customHeight="1">
      <c r="A972" s="41" t="s">
        <v>183</v>
      </c>
      <c r="B972" s="402" t="s">
        <v>3220</v>
      </c>
      <c r="C972" s="113" t="s">
        <v>3220</v>
      </c>
      <c r="D972" s="393" t="s">
        <v>295</v>
      </c>
      <c r="E972" s="394" t="s">
        <v>535</v>
      </c>
      <c r="F972" s="402"/>
      <c r="G972" s="405" t="s">
        <v>3221</v>
      </c>
      <c r="H972" s="113">
        <v>2834</v>
      </c>
      <c r="I972" s="49" t="s">
        <v>1</v>
      </c>
      <c r="J972" s="48" t="s">
        <v>3224</v>
      </c>
      <c r="K972" s="51">
        <v>41324</v>
      </c>
      <c r="L972" s="173"/>
      <c r="M972" s="50"/>
      <c r="N972" s="50" t="s">
        <v>1</v>
      </c>
      <c r="O972" s="74">
        <f>1.4/2</f>
        <v>0.7</v>
      </c>
      <c r="P972" s="50">
        <v>7.47</v>
      </c>
      <c r="Q972" s="74">
        <v>8.02</v>
      </c>
      <c r="R972" s="50">
        <v>25</v>
      </c>
      <c r="S972" s="74">
        <v>11</v>
      </c>
      <c r="T972" s="50">
        <v>0.12</v>
      </c>
      <c r="U972" s="131">
        <v>0.92</v>
      </c>
      <c r="V972" s="50">
        <v>0.31</v>
      </c>
      <c r="W972" s="74">
        <v>1.2E-2</v>
      </c>
      <c r="X972" s="50">
        <v>0.159</v>
      </c>
      <c r="Y972" s="74">
        <f>0.002/2</f>
        <v>1E-3</v>
      </c>
      <c r="Z972" s="271">
        <v>1</v>
      </c>
      <c r="AA972" s="271">
        <v>1</v>
      </c>
      <c r="AB972" s="114">
        <v>130</v>
      </c>
      <c r="AC972" s="50">
        <v>886</v>
      </c>
      <c r="AD972" s="271">
        <v>1</v>
      </c>
      <c r="AE972" s="50">
        <f>1/2</f>
        <v>0.5</v>
      </c>
      <c r="AF972" s="49"/>
      <c r="AG972" s="114"/>
      <c r="AH972" s="114"/>
      <c r="AI972" s="114"/>
      <c r="AJ972" s="114"/>
      <c r="AK972" s="114"/>
      <c r="AL972" s="114"/>
      <c r="AM972" s="114"/>
      <c r="AN972" s="114"/>
      <c r="AO972" s="114"/>
      <c r="AP972" s="114"/>
      <c r="AQ972" s="114"/>
      <c r="AR972" s="114"/>
      <c r="AS972" s="50"/>
      <c r="AT972" s="74"/>
      <c r="AU972" s="114"/>
      <c r="AV972" s="114"/>
      <c r="AW972" s="394"/>
      <c r="AX972" s="385"/>
      <c r="AY972" s="385"/>
      <c r="AZ972" s="385"/>
      <c r="BA972" s="385"/>
      <c r="BB972" s="385"/>
      <c r="BC972" s="385"/>
      <c r="BD972" s="385"/>
      <c r="BE972" s="385"/>
      <c r="BF972" s="385"/>
      <c r="BG972" s="385"/>
      <c r="BH972" s="385"/>
      <c r="BI972" s="385"/>
      <c r="BJ972" s="385"/>
      <c r="BK972" s="385"/>
      <c r="BL972" s="385"/>
      <c r="BM972" s="385"/>
      <c r="BN972" s="385"/>
      <c r="BO972" s="385"/>
      <c r="BP972" s="385"/>
      <c r="BQ972" s="385"/>
      <c r="BR972" s="385"/>
      <c r="BS972" s="385"/>
      <c r="BT972" s="385"/>
      <c r="BU972" s="385"/>
      <c r="BV972" s="385"/>
      <c r="BW972" s="385"/>
      <c r="BX972" s="385"/>
      <c r="BY972" s="385"/>
      <c r="BZ972" s="385"/>
      <c r="CA972" s="385"/>
    </row>
    <row r="973" spans="1:79" s="6" customFormat="1" ht="15" customHeight="1">
      <c r="A973" s="41" t="s">
        <v>183</v>
      </c>
      <c r="B973" s="402" t="s">
        <v>1286</v>
      </c>
      <c r="C973" s="113" t="s">
        <v>2220</v>
      </c>
      <c r="D973" s="393" t="s">
        <v>735</v>
      </c>
      <c r="E973" s="394" t="s">
        <v>888</v>
      </c>
      <c r="F973" s="402"/>
      <c r="G973" s="405" t="s">
        <v>2221</v>
      </c>
      <c r="H973" s="74">
        <v>4151</v>
      </c>
      <c r="I973" s="50" t="s">
        <v>2</v>
      </c>
      <c r="J973" s="339" t="s">
        <v>1125</v>
      </c>
      <c r="K973" s="51">
        <v>41345</v>
      </c>
      <c r="L973" s="173">
        <v>41341</v>
      </c>
      <c r="M973" s="50">
        <f t="shared" ref="M973:M985" si="38">K973-L973</f>
        <v>4</v>
      </c>
      <c r="N973" s="50" t="s">
        <v>2</v>
      </c>
      <c r="O973" s="74">
        <f>2/2</f>
        <v>1</v>
      </c>
      <c r="P973" s="50">
        <v>5.6</v>
      </c>
      <c r="Q973" s="74">
        <v>5.5</v>
      </c>
      <c r="R973" s="50">
        <v>38</v>
      </c>
      <c r="S973" s="74">
        <v>53</v>
      </c>
      <c r="T973" s="50">
        <v>0.1</v>
      </c>
      <c r="U973" s="131">
        <v>1.2</v>
      </c>
      <c r="V973" s="50">
        <v>0.8</v>
      </c>
      <c r="W973" s="74">
        <v>2.9000000000000001E-2</v>
      </c>
      <c r="X973" s="50">
        <v>0.28199999999999997</v>
      </c>
      <c r="Y973" s="74">
        <f>0.03/2</f>
        <v>1.4999999999999999E-2</v>
      </c>
      <c r="Z973" s="271">
        <v>1</v>
      </c>
      <c r="AA973" s="271">
        <v>0.85599999999999998</v>
      </c>
      <c r="AB973" s="114">
        <v>14</v>
      </c>
      <c r="AC973" s="50">
        <v>687</v>
      </c>
      <c r="AD973" s="271">
        <v>0.3</v>
      </c>
      <c r="AE973" s="50"/>
      <c r="AF973" s="49"/>
      <c r="AG973" s="114"/>
      <c r="AH973" s="114"/>
      <c r="AI973" s="114"/>
      <c r="AJ973" s="114"/>
      <c r="AK973" s="114"/>
      <c r="AL973" s="114"/>
      <c r="AM973" s="114"/>
      <c r="AN973" s="114"/>
      <c r="AO973" s="114"/>
      <c r="AP973" s="114"/>
      <c r="AQ973" s="114"/>
      <c r="AR973" s="114"/>
      <c r="AS973" s="50"/>
      <c r="AT973" s="74"/>
      <c r="AU973" s="114"/>
      <c r="AV973" s="114"/>
      <c r="AW973" s="394"/>
      <c r="AX973" s="385"/>
      <c r="AY973" s="385"/>
      <c r="AZ973" s="385"/>
      <c r="BA973" s="385"/>
      <c r="BB973" s="385"/>
      <c r="BC973" s="385"/>
      <c r="BD973" s="385"/>
      <c r="BE973" s="385"/>
      <c r="BF973" s="385"/>
      <c r="BG973" s="385"/>
      <c r="BH973" s="385"/>
      <c r="BI973" s="385"/>
      <c r="BJ973" s="385"/>
      <c r="BK973" s="385"/>
      <c r="BL973" s="385"/>
      <c r="BM973" s="385"/>
      <c r="BN973" s="385"/>
      <c r="BO973" s="385"/>
      <c r="BP973" s="385"/>
      <c r="BQ973" s="385"/>
      <c r="BR973" s="385"/>
      <c r="BS973" s="385"/>
      <c r="BT973" s="385"/>
      <c r="BU973" s="385"/>
      <c r="BV973" s="385"/>
      <c r="BW973" s="385"/>
      <c r="BX973" s="385"/>
      <c r="BY973" s="385"/>
      <c r="BZ973" s="385"/>
      <c r="CA973" s="385"/>
    </row>
    <row r="974" spans="1:79" s="6" customFormat="1" ht="15" customHeight="1">
      <c r="A974" s="41" t="s">
        <v>183</v>
      </c>
      <c r="B974" s="402" t="s">
        <v>3962</v>
      </c>
      <c r="C974" s="113" t="s">
        <v>3963</v>
      </c>
      <c r="D974" s="393" t="s">
        <v>1837</v>
      </c>
      <c r="E974" s="394" t="s">
        <v>112</v>
      </c>
      <c r="F974" s="402"/>
      <c r="G974" s="405" t="s">
        <v>3961</v>
      </c>
      <c r="H974" s="74">
        <v>3272</v>
      </c>
      <c r="I974" s="50" t="s">
        <v>1</v>
      </c>
      <c r="J974" s="343" t="s">
        <v>3964</v>
      </c>
      <c r="K974" s="51">
        <v>41345</v>
      </c>
      <c r="L974" s="173">
        <v>41339</v>
      </c>
      <c r="M974" s="50">
        <f t="shared" si="38"/>
        <v>6</v>
      </c>
      <c r="N974" s="50" t="s">
        <v>2</v>
      </c>
      <c r="O974" s="74">
        <f>1.4/2</f>
        <v>0.7</v>
      </c>
      <c r="P974" s="50">
        <v>6.67</v>
      </c>
      <c r="Q974" s="74">
        <v>7.66</v>
      </c>
      <c r="R974" s="50">
        <v>38</v>
      </c>
      <c r="S974" s="74">
        <v>55</v>
      </c>
      <c r="T974" s="50">
        <v>0.09</v>
      </c>
      <c r="U974" s="131">
        <v>0.53</v>
      </c>
      <c r="V974" s="50">
        <v>0.26</v>
      </c>
      <c r="W974" s="74">
        <f>0.005/2</f>
        <v>2.5000000000000001E-3</v>
      </c>
      <c r="X974" s="50">
        <v>7.8E-2</v>
      </c>
      <c r="Y974" s="74">
        <f>0.002/2</f>
        <v>1E-3</v>
      </c>
      <c r="Z974" s="271"/>
      <c r="AA974" s="271"/>
      <c r="AB974" s="114"/>
      <c r="AC974" s="50"/>
      <c r="AD974" s="271"/>
      <c r="AE974" s="50"/>
      <c r="AF974" s="49"/>
      <c r="AG974" s="114"/>
      <c r="AH974" s="114"/>
      <c r="AI974" s="114"/>
      <c r="AJ974" s="114"/>
      <c r="AK974" s="114"/>
      <c r="AL974" s="114"/>
      <c r="AM974" s="114"/>
      <c r="AN974" s="114"/>
      <c r="AO974" s="114"/>
      <c r="AP974" s="114"/>
      <c r="AQ974" s="114"/>
      <c r="AR974" s="114"/>
      <c r="AS974" s="50"/>
      <c r="AT974" s="74"/>
      <c r="AU974" s="114"/>
      <c r="AV974" s="114"/>
      <c r="AW974" s="394"/>
      <c r="AX974" s="385"/>
      <c r="AY974" s="385"/>
      <c r="AZ974" s="385"/>
      <c r="BA974" s="385"/>
      <c r="BB974" s="385"/>
      <c r="BC974" s="385"/>
      <c r="BD974" s="385"/>
      <c r="BE974" s="385"/>
      <c r="BF974" s="385"/>
      <c r="BG974" s="385"/>
      <c r="BH974" s="385"/>
      <c r="BI974" s="385"/>
      <c r="BJ974" s="385"/>
      <c r="BK974" s="385"/>
      <c r="BL974" s="385"/>
      <c r="BM974" s="385"/>
      <c r="BN974" s="385"/>
      <c r="BO974" s="385"/>
      <c r="BP974" s="385"/>
      <c r="BQ974" s="385"/>
      <c r="BR974" s="385"/>
      <c r="BS974" s="385"/>
      <c r="BT974" s="385"/>
      <c r="BU974" s="385"/>
      <c r="BV974" s="385"/>
      <c r="BW974" s="385"/>
      <c r="BX974" s="385"/>
      <c r="BY974" s="385"/>
      <c r="BZ974" s="385"/>
      <c r="CA974" s="385"/>
    </row>
    <row r="975" spans="1:79" s="6" customFormat="1" ht="15" customHeight="1">
      <c r="A975" s="41" t="s">
        <v>183</v>
      </c>
      <c r="B975" s="402" t="s">
        <v>1910</v>
      </c>
      <c r="C975" s="113" t="s">
        <v>2239</v>
      </c>
      <c r="D975" s="393" t="s">
        <v>257</v>
      </c>
      <c r="E975" s="394" t="s">
        <v>823</v>
      </c>
      <c r="F975" s="402"/>
      <c r="G975" s="405" t="s">
        <v>2240</v>
      </c>
      <c r="H975" s="74">
        <v>4151</v>
      </c>
      <c r="I975" s="50" t="s">
        <v>2</v>
      </c>
      <c r="J975" s="48" t="s">
        <v>1030</v>
      </c>
      <c r="K975" s="51">
        <v>41226</v>
      </c>
      <c r="L975" s="173">
        <v>41221</v>
      </c>
      <c r="M975" s="50">
        <f t="shared" si="38"/>
        <v>5</v>
      </c>
      <c r="N975" s="50" t="s">
        <v>2</v>
      </c>
      <c r="O975" s="74">
        <v>11</v>
      </c>
      <c r="P975" s="50">
        <v>7.34</v>
      </c>
      <c r="Q975" s="74">
        <v>9.81</v>
      </c>
      <c r="R975" s="50">
        <v>200</v>
      </c>
      <c r="S975" s="74">
        <v>310</v>
      </c>
      <c r="T975" s="50">
        <v>0.37</v>
      </c>
      <c r="U975" s="131">
        <v>1.95</v>
      </c>
      <c r="V975" s="50">
        <v>0.43</v>
      </c>
      <c r="W975" s="74">
        <v>7.0000000000000007E-2</v>
      </c>
      <c r="X975" s="50">
        <v>0.23300000000000001</v>
      </c>
      <c r="Y975" s="74">
        <v>3.5999999999999997E-2</v>
      </c>
      <c r="Z975" s="271">
        <v>1</v>
      </c>
      <c r="AA975" s="271">
        <v>1</v>
      </c>
      <c r="AB975" s="114">
        <v>142</v>
      </c>
      <c r="AC975" s="50">
        <v>1046</v>
      </c>
      <c r="AD975" s="271">
        <v>0.95</v>
      </c>
      <c r="AE975" s="50"/>
      <c r="AF975" s="49"/>
      <c r="AG975" s="114"/>
      <c r="AH975" s="114"/>
      <c r="AI975" s="114"/>
      <c r="AJ975" s="114"/>
      <c r="AK975" s="114"/>
      <c r="AL975" s="114"/>
      <c r="AM975" s="114"/>
      <c r="AN975" s="114"/>
      <c r="AO975" s="114"/>
      <c r="AP975" s="114"/>
      <c r="AQ975" s="114"/>
      <c r="AR975" s="114"/>
      <c r="AS975" s="50"/>
      <c r="AT975" s="74"/>
      <c r="AU975" s="114"/>
      <c r="AV975" s="114"/>
      <c r="AW975" s="394"/>
      <c r="AX975" s="385"/>
      <c r="AY975" s="385"/>
      <c r="AZ975" s="385"/>
      <c r="BA975" s="385"/>
      <c r="BB975" s="385"/>
      <c r="BC975" s="385"/>
      <c r="BD975" s="385"/>
      <c r="BE975" s="385"/>
      <c r="BF975" s="385"/>
      <c r="BG975" s="385"/>
      <c r="BH975" s="385"/>
      <c r="BI975" s="385"/>
      <c r="BJ975" s="385"/>
      <c r="BK975" s="385"/>
      <c r="BL975" s="385"/>
      <c r="BM975" s="385"/>
      <c r="BN975" s="385"/>
      <c r="BO975" s="385"/>
      <c r="BP975" s="385"/>
      <c r="BQ975" s="385"/>
      <c r="BR975" s="385"/>
      <c r="BS975" s="385"/>
      <c r="BT975" s="385"/>
      <c r="BU975" s="385"/>
      <c r="BV975" s="385"/>
      <c r="BW975" s="385"/>
      <c r="BX975" s="385"/>
      <c r="BY975" s="385"/>
      <c r="BZ975" s="385"/>
      <c r="CA975" s="385"/>
    </row>
    <row r="976" spans="1:79" s="6" customFormat="1" ht="15" customHeight="1">
      <c r="A976" s="41" t="s">
        <v>183</v>
      </c>
      <c r="B976" s="402" t="s">
        <v>1910</v>
      </c>
      <c r="C976" s="113" t="s">
        <v>2239</v>
      </c>
      <c r="D976" s="393" t="s">
        <v>257</v>
      </c>
      <c r="E976" s="394" t="s">
        <v>823</v>
      </c>
      <c r="F976" s="402"/>
      <c r="G976" s="405" t="s">
        <v>2240</v>
      </c>
      <c r="H976" s="74">
        <v>4151</v>
      </c>
      <c r="I976" s="50" t="s">
        <v>2</v>
      </c>
      <c r="J976" s="48" t="s">
        <v>1031</v>
      </c>
      <c r="K976" s="51">
        <v>41226</v>
      </c>
      <c r="L976" s="173">
        <v>41221</v>
      </c>
      <c r="M976" s="50">
        <f t="shared" si="38"/>
        <v>5</v>
      </c>
      <c r="N976" s="50" t="s">
        <v>2</v>
      </c>
      <c r="O976" s="74">
        <v>26</v>
      </c>
      <c r="P976" s="50">
        <v>7.34</v>
      </c>
      <c r="Q976" s="74">
        <v>8.27</v>
      </c>
      <c r="R976" s="50">
        <v>460</v>
      </c>
      <c r="S976" s="74">
        <v>650</v>
      </c>
      <c r="T976" s="50">
        <v>0.69</v>
      </c>
      <c r="U976" s="131">
        <v>2.37</v>
      </c>
      <c r="V976" s="50">
        <v>0.28000000000000003</v>
      </c>
      <c r="W976" s="74">
        <v>0.11</v>
      </c>
      <c r="X976" s="50">
        <v>0.31</v>
      </c>
      <c r="Y976" s="74">
        <v>3.1E-2</v>
      </c>
      <c r="Z976" s="271">
        <v>1</v>
      </c>
      <c r="AA976" s="271">
        <v>1</v>
      </c>
      <c r="AB976" s="114">
        <v>90</v>
      </c>
      <c r="AC976" s="50">
        <v>599</v>
      </c>
      <c r="AD976" s="271">
        <v>0.9</v>
      </c>
      <c r="AE976" s="50"/>
      <c r="AF976" s="49"/>
      <c r="AG976" s="114"/>
      <c r="AH976" s="114"/>
      <c r="AI976" s="114"/>
      <c r="AJ976" s="114"/>
      <c r="AK976" s="114"/>
      <c r="AL976" s="114"/>
      <c r="AM976" s="114"/>
      <c r="AN976" s="114"/>
      <c r="AO976" s="114"/>
      <c r="AP976" s="114"/>
      <c r="AQ976" s="114"/>
      <c r="AR976" s="114"/>
      <c r="AS976" s="50"/>
      <c r="AT976" s="74"/>
      <c r="AU976" s="114"/>
      <c r="AV976" s="114"/>
      <c r="AW976" s="394"/>
      <c r="AX976" s="385"/>
      <c r="AY976" s="385"/>
      <c r="AZ976" s="385"/>
      <c r="BA976" s="385"/>
      <c r="BB976" s="385"/>
      <c r="BC976" s="385"/>
      <c r="BD976" s="385"/>
      <c r="BE976" s="385"/>
      <c r="BF976" s="385"/>
      <c r="BG976" s="385"/>
      <c r="BH976" s="385"/>
      <c r="BI976" s="385"/>
      <c r="BJ976" s="385"/>
      <c r="BK976" s="385"/>
      <c r="BL976" s="385"/>
      <c r="BM976" s="385"/>
      <c r="BN976" s="385"/>
      <c r="BO976" s="385"/>
      <c r="BP976" s="385"/>
      <c r="BQ976" s="385"/>
      <c r="BR976" s="385"/>
      <c r="BS976" s="385"/>
      <c r="BT976" s="385"/>
      <c r="BU976" s="385"/>
      <c r="BV976" s="385"/>
      <c r="BW976" s="385"/>
      <c r="BX976" s="385"/>
      <c r="BY976" s="385"/>
      <c r="BZ976" s="385"/>
      <c r="CA976" s="385"/>
    </row>
    <row r="977" spans="1:79" s="6" customFormat="1" ht="15" customHeight="1">
      <c r="A977" s="41" t="s">
        <v>183</v>
      </c>
      <c r="B977" s="402" t="s">
        <v>1910</v>
      </c>
      <c r="C977" s="113" t="s">
        <v>2239</v>
      </c>
      <c r="D977" s="393" t="s">
        <v>257</v>
      </c>
      <c r="E977" s="394" t="s">
        <v>823</v>
      </c>
      <c r="F977" s="402"/>
      <c r="G977" s="405" t="s">
        <v>2240</v>
      </c>
      <c r="H977" s="74">
        <v>4151</v>
      </c>
      <c r="I977" s="50" t="s">
        <v>2</v>
      </c>
      <c r="J977" s="339" t="s">
        <v>1032</v>
      </c>
      <c r="K977" s="51">
        <v>41226</v>
      </c>
      <c r="L977" s="173">
        <v>41221</v>
      </c>
      <c r="M977" s="50">
        <f t="shared" si="38"/>
        <v>5</v>
      </c>
      <c r="N977" s="50" t="s">
        <v>2</v>
      </c>
      <c r="O977" s="74">
        <v>2.8</v>
      </c>
      <c r="P977" s="50">
        <v>7.34</v>
      </c>
      <c r="Q977" s="74">
        <v>8.0399999999999991</v>
      </c>
      <c r="R977" s="50">
        <v>71</v>
      </c>
      <c r="S977" s="74">
        <v>63</v>
      </c>
      <c r="T977" s="50">
        <v>0.11</v>
      </c>
      <c r="U977" s="131">
        <v>0.66</v>
      </c>
      <c r="V977" s="50">
        <v>0.32</v>
      </c>
      <c r="W977" s="74">
        <v>1.7000000000000001E-2</v>
      </c>
      <c r="X977" s="50">
        <v>1.4999999999999999E-2</v>
      </c>
      <c r="Y977" s="74">
        <v>6.0000000000000001E-3</v>
      </c>
      <c r="Z977" s="271">
        <v>1</v>
      </c>
      <c r="AA977" s="271">
        <v>1</v>
      </c>
      <c r="AB977" s="114">
        <v>164</v>
      </c>
      <c r="AC977" s="50">
        <v>642</v>
      </c>
      <c r="AD977" s="271">
        <v>1</v>
      </c>
      <c r="AE977" s="50"/>
      <c r="AF977" s="49"/>
      <c r="AG977" s="114"/>
      <c r="AH977" s="114"/>
      <c r="AI977" s="114"/>
      <c r="AJ977" s="114"/>
      <c r="AK977" s="114"/>
      <c r="AL977" s="114"/>
      <c r="AM977" s="114"/>
      <c r="AN977" s="114"/>
      <c r="AO977" s="114"/>
      <c r="AP977" s="114"/>
      <c r="AQ977" s="114"/>
      <c r="AR977" s="114"/>
      <c r="AS977" s="50"/>
      <c r="AT977" s="74"/>
      <c r="AU977" s="114"/>
      <c r="AV977" s="114"/>
      <c r="AW977" s="394"/>
      <c r="AX977" s="385"/>
      <c r="AY977" s="385"/>
      <c r="AZ977" s="385"/>
      <c r="BA977" s="385"/>
      <c r="BB977" s="385"/>
      <c r="BC977" s="385"/>
      <c r="BD977" s="385"/>
      <c r="BE977" s="385"/>
      <c r="BF977" s="385"/>
      <c r="BG977" s="385"/>
      <c r="BH977" s="385"/>
      <c r="BI977" s="385"/>
      <c r="BJ977" s="385"/>
      <c r="BK977" s="385"/>
      <c r="BL977" s="385"/>
      <c r="BM977" s="385"/>
      <c r="BN977" s="385"/>
      <c r="BO977" s="385"/>
      <c r="BP977" s="385"/>
      <c r="BQ977" s="385"/>
      <c r="BR977" s="385"/>
      <c r="BS977" s="385"/>
      <c r="BT977" s="385"/>
      <c r="BU977" s="385"/>
      <c r="BV977" s="385"/>
      <c r="BW977" s="385"/>
      <c r="BX977" s="385"/>
      <c r="BY977" s="385"/>
      <c r="BZ977" s="385"/>
      <c r="CA977" s="385"/>
    </row>
    <row r="978" spans="1:79" s="6" customFormat="1" ht="15" customHeight="1">
      <c r="A978" s="41" t="s">
        <v>183</v>
      </c>
      <c r="B978" s="402" t="s">
        <v>1910</v>
      </c>
      <c r="C978" s="113" t="s">
        <v>3965</v>
      </c>
      <c r="D978" s="393" t="s">
        <v>2377</v>
      </c>
      <c r="E978" s="394" t="s">
        <v>1486</v>
      </c>
      <c r="F978" s="402"/>
      <c r="G978" s="405" t="s">
        <v>2262</v>
      </c>
      <c r="H978" s="74">
        <v>4151</v>
      </c>
      <c r="I978" s="50" t="s">
        <v>2</v>
      </c>
      <c r="J978" s="339" t="s">
        <v>1786</v>
      </c>
      <c r="K978" s="51">
        <v>41226</v>
      </c>
      <c r="L978" s="173">
        <v>41221</v>
      </c>
      <c r="M978" s="50">
        <f t="shared" si="38"/>
        <v>5</v>
      </c>
      <c r="N978" s="50" t="s">
        <v>2</v>
      </c>
      <c r="O978" s="74">
        <v>6.6</v>
      </c>
      <c r="P978" s="50">
        <v>7.24</v>
      </c>
      <c r="Q978" s="74">
        <v>7.16</v>
      </c>
      <c r="R978" s="50">
        <v>240</v>
      </c>
      <c r="S978" s="74">
        <v>1000</v>
      </c>
      <c r="T978" s="50">
        <v>1.3</v>
      </c>
      <c r="U978" s="131">
        <v>2.41</v>
      </c>
      <c r="V978" s="50">
        <v>0.53</v>
      </c>
      <c r="W978" s="74">
        <v>0.28699999999999998</v>
      </c>
      <c r="X978" s="50">
        <v>0.49299999999999999</v>
      </c>
      <c r="Y978" s="74">
        <v>4.7E-2</v>
      </c>
      <c r="Z978" s="271">
        <v>1</v>
      </c>
      <c r="AA978" s="271">
        <v>1</v>
      </c>
      <c r="AB978" s="114">
        <v>78</v>
      </c>
      <c r="AC978" s="50">
        <v>1187</v>
      </c>
      <c r="AD978" s="271">
        <v>0.95</v>
      </c>
      <c r="AE978" s="50"/>
      <c r="AF978" s="49"/>
      <c r="AG978" s="114"/>
      <c r="AH978" s="114"/>
      <c r="AI978" s="114"/>
      <c r="AJ978" s="114"/>
      <c r="AK978" s="114"/>
      <c r="AL978" s="114"/>
      <c r="AM978" s="114"/>
      <c r="AN978" s="114"/>
      <c r="AO978" s="114"/>
      <c r="AP978" s="114"/>
      <c r="AQ978" s="114"/>
      <c r="AR978" s="114"/>
      <c r="AS978" s="50"/>
      <c r="AT978" s="74"/>
      <c r="AU978" s="114"/>
      <c r="AV978" s="114"/>
      <c r="AW978" s="394"/>
      <c r="AX978" s="385"/>
      <c r="AY978" s="385"/>
      <c r="AZ978" s="385"/>
      <c r="BA978" s="385"/>
      <c r="BB978" s="385"/>
      <c r="BC978" s="385"/>
      <c r="BD978" s="385"/>
      <c r="BE978" s="385"/>
      <c r="BF978" s="385"/>
      <c r="BG978" s="385"/>
      <c r="BH978" s="385"/>
      <c r="BI978" s="385"/>
      <c r="BJ978" s="385"/>
      <c r="BK978" s="385"/>
      <c r="BL978" s="385"/>
      <c r="BM978" s="385"/>
      <c r="BN978" s="385"/>
      <c r="BO978" s="385"/>
      <c r="BP978" s="385"/>
      <c r="BQ978" s="385"/>
      <c r="BR978" s="385"/>
      <c r="BS978" s="385"/>
      <c r="BT978" s="385"/>
      <c r="BU978" s="385"/>
      <c r="BV978" s="385"/>
      <c r="BW978" s="385"/>
      <c r="BX978" s="385"/>
      <c r="BY978" s="385"/>
      <c r="BZ978" s="385"/>
      <c r="CA978" s="385"/>
    </row>
    <row r="979" spans="1:79" s="6" customFormat="1" ht="15" customHeight="1">
      <c r="A979" s="41" t="s">
        <v>183</v>
      </c>
      <c r="B979" s="402" t="s">
        <v>1029</v>
      </c>
      <c r="C979" s="113" t="s">
        <v>1029</v>
      </c>
      <c r="D979" s="393" t="s">
        <v>268</v>
      </c>
      <c r="E979" s="394" t="s">
        <v>269</v>
      </c>
      <c r="F979" s="402"/>
      <c r="G979" s="405" t="s">
        <v>274</v>
      </c>
      <c r="H979" s="49">
        <v>3484</v>
      </c>
      <c r="I979" s="50" t="s">
        <v>2</v>
      </c>
      <c r="J979" s="76" t="s">
        <v>271</v>
      </c>
      <c r="K979" s="51">
        <v>41253</v>
      </c>
      <c r="L979" s="173">
        <v>41250</v>
      </c>
      <c r="M979" s="50">
        <f t="shared" si="38"/>
        <v>3</v>
      </c>
      <c r="N979" s="50" t="s">
        <v>2</v>
      </c>
      <c r="O979" s="74">
        <v>2.2999999999999998</v>
      </c>
      <c r="P979" s="50">
        <v>7.03</v>
      </c>
      <c r="Q979" s="74">
        <v>6.89</v>
      </c>
      <c r="R979" s="50">
        <v>20.5</v>
      </c>
      <c r="S979" s="74">
        <v>22</v>
      </c>
      <c r="T979" s="50">
        <v>0.71</v>
      </c>
      <c r="U979" s="131">
        <v>0.67</v>
      </c>
      <c r="V979" s="50">
        <v>0.28999999999999998</v>
      </c>
      <c r="W979" s="74">
        <v>0.05</v>
      </c>
      <c r="X979" s="50">
        <v>0.27</v>
      </c>
      <c r="Y979" s="74">
        <v>7.0000000000000007E-2</v>
      </c>
      <c r="Z979" s="271"/>
      <c r="AA979" s="271"/>
      <c r="AB979" s="114"/>
      <c r="AC979" s="50"/>
      <c r="AD979" s="271"/>
      <c r="AE979" s="50"/>
      <c r="AF979" s="49"/>
      <c r="AG979" s="114"/>
      <c r="AH979" s="114"/>
      <c r="AI979" s="114"/>
      <c r="AJ979" s="114"/>
      <c r="AK979" s="114"/>
      <c r="AL979" s="114"/>
      <c r="AM979" s="114"/>
      <c r="AN979" s="114"/>
      <c r="AO979" s="114"/>
      <c r="AP979" s="114"/>
      <c r="AQ979" s="114"/>
      <c r="AR979" s="114"/>
      <c r="AS979" s="50"/>
      <c r="AT979" s="74"/>
      <c r="AU979" s="114"/>
      <c r="AV979" s="114"/>
      <c r="AW979" s="394"/>
      <c r="AX979" s="385"/>
      <c r="AY979" s="385"/>
      <c r="AZ979" s="385"/>
      <c r="BA979" s="385"/>
      <c r="BB979" s="385"/>
      <c r="BC979" s="385"/>
      <c r="BD979" s="385"/>
      <c r="BE979" s="385"/>
      <c r="BF979" s="385"/>
      <c r="BG979" s="385"/>
      <c r="BH979" s="385"/>
      <c r="BI979" s="385"/>
      <c r="BJ979" s="385"/>
      <c r="BK979" s="385"/>
      <c r="BL979" s="385"/>
      <c r="BM979" s="385"/>
      <c r="BN979" s="385"/>
      <c r="BO979" s="385"/>
      <c r="BP979" s="385"/>
      <c r="BQ979" s="385"/>
      <c r="BR979" s="385"/>
      <c r="BS979" s="385"/>
      <c r="BT979" s="385"/>
      <c r="BU979" s="385"/>
      <c r="BV979" s="385"/>
      <c r="BW979" s="385"/>
      <c r="BX979" s="385"/>
      <c r="BY979" s="385"/>
      <c r="BZ979" s="385"/>
      <c r="CA979" s="385"/>
    </row>
    <row r="980" spans="1:79" s="6" customFormat="1" ht="15" customHeight="1">
      <c r="A980" s="41" t="s">
        <v>183</v>
      </c>
      <c r="B980" s="402" t="s">
        <v>1029</v>
      </c>
      <c r="C980" s="113" t="s">
        <v>1029</v>
      </c>
      <c r="D980" s="393" t="s">
        <v>268</v>
      </c>
      <c r="E980" s="394" t="s">
        <v>269</v>
      </c>
      <c r="F980" s="402"/>
      <c r="G980" s="405" t="s">
        <v>274</v>
      </c>
      <c r="H980" s="49">
        <v>3484</v>
      </c>
      <c r="I980" s="50" t="s">
        <v>2</v>
      </c>
      <c r="J980" s="76" t="s">
        <v>272</v>
      </c>
      <c r="K980" s="51">
        <v>41253</v>
      </c>
      <c r="L980" s="173">
        <v>41250</v>
      </c>
      <c r="M980" s="50">
        <f t="shared" si="38"/>
        <v>3</v>
      </c>
      <c r="N980" s="50" t="s">
        <v>2</v>
      </c>
      <c r="O980" s="74">
        <v>2.1</v>
      </c>
      <c r="P980" s="50">
        <v>7.03</v>
      </c>
      <c r="Q980" s="74">
        <v>7.47</v>
      </c>
      <c r="R980" s="50">
        <f>2/2</f>
        <v>1</v>
      </c>
      <c r="S980" s="74">
        <v>38</v>
      </c>
      <c r="T980" s="50">
        <v>0.15</v>
      </c>
      <c r="U980" s="131">
        <v>0.3</v>
      </c>
      <c r="V980" s="50">
        <v>0.53</v>
      </c>
      <c r="W980" s="74">
        <v>0.04</v>
      </c>
      <c r="X980" s="50">
        <v>0.14000000000000001</v>
      </c>
      <c r="Y980" s="74">
        <v>0.08</v>
      </c>
      <c r="Z980" s="271"/>
      <c r="AA980" s="271"/>
      <c r="AB980" s="114"/>
      <c r="AC980" s="50"/>
      <c r="AD980" s="271"/>
      <c r="AE980" s="50"/>
      <c r="AF980" s="49"/>
      <c r="AG980" s="114"/>
      <c r="AH980" s="114"/>
      <c r="AI980" s="114"/>
      <c r="AJ980" s="114"/>
      <c r="AK980" s="114"/>
      <c r="AL980" s="114"/>
      <c r="AM980" s="114"/>
      <c r="AN980" s="114"/>
      <c r="AO980" s="114"/>
      <c r="AP980" s="114"/>
      <c r="AQ980" s="114"/>
      <c r="AR980" s="114"/>
      <c r="AS980" s="50"/>
      <c r="AT980" s="74"/>
      <c r="AU980" s="114"/>
      <c r="AV980" s="114"/>
      <c r="AW980" s="394"/>
      <c r="AX980" s="385"/>
      <c r="AY980" s="385"/>
      <c r="AZ980" s="385"/>
      <c r="BA980" s="385"/>
      <c r="BB980" s="385"/>
      <c r="BC980" s="385"/>
      <c r="BD980" s="385"/>
      <c r="BE980" s="385"/>
      <c r="BF980" s="385"/>
      <c r="BG980" s="385"/>
      <c r="BH980" s="385"/>
      <c r="BI980" s="385"/>
      <c r="BJ980" s="385"/>
      <c r="BK980" s="385"/>
      <c r="BL980" s="385"/>
      <c r="BM980" s="385"/>
      <c r="BN980" s="385"/>
      <c r="BO980" s="385"/>
      <c r="BP980" s="385"/>
      <c r="BQ980" s="385"/>
      <c r="BR980" s="385"/>
      <c r="BS980" s="385"/>
      <c r="BT980" s="385"/>
      <c r="BU980" s="385"/>
      <c r="BV980" s="385"/>
      <c r="BW980" s="385"/>
      <c r="BX980" s="385"/>
      <c r="BY980" s="385"/>
      <c r="BZ980" s="385"/>
      <c r="CA980" s="385"/>
    </row>
    <row r="981" spans="1:79" s="6" customFormat="1" ht="15" customHeight="1">
      <c r="A981" s="41" t="s">
        <v>183</v>
      </c>
      <c r="B981" s="402" t="s">
        <v>1029</v>
      </c>
      <c r="C981" s="113" t="s">
        <v>1029</v>
      </c>
      <c r="D981" s="393" t="s">
        <v>268</v>
      </c>
      <c r="E981" s="394" t="s">
        <v>269</v>
      </c>
      <c r="F981" s="402"/>
      <c r="G981" s="405" t="s">
        <v>274</v>
      </c>
      <c r="H981" s="49">
        <v>3484</v>
      </c>
      <c r="I981" s="50" t="s">
        <v>2</v>
      </c>
      <c r="J981" s="76" t="s">
        <v>270</v>
      </c>
      <c r="K981" s="51">
        <v>41253</v>
      </c>
      <c r="L981" s="173">
        <v>41250</v>
      </c>
      <c r="M981" s="50">
        <f t="shared" si="38"/>
        <v>3</v>
      </c>
      <c r="N981" s="50" t="s">
        <v>2</v>
      </c>
      <c r="O981" s="74">
        <v>2.4</v>
      </c>
      <c r="P981" s="50">
        <v>7.03</v>
      </c>
      <c r="Q981" s="74">
        <v>6.55</v>
      </c>
      <c r="R981" s="50">
        <v>13.8</v>
      </c>
      <c r="S981" s="74">
        <v>31.5</v>
      </c>
      <c r="T981" s="50">
        <v>0.09</v>
      </c>
      <c r="U981" s="131">
        <v>0.46</v>
      </c>
      <c r="V981" s="50">
        <v>0.31</v>
      </c>
      <c r="W981" s="74">
        <v>0.06</v>
      </c>
      <c r="X981" s="50">
        <v>0.11</v>
      </c>
      <c r="Y981" s="74">
        <v>0.35</v>
      </c>
      <c r="Z981" s="271"/>
      <c r="AA981" s="271"/>
      <c r="AB981" s="114"/>
      <c r="AC981" s="50"/>
      <c r="AD981" s="271"/>
      <c r="AE981" s="50"/>
      <c r="AF981" s="49"/>
      <c r="AG981" s="114"/>
      <c r="AH981" s="114"/>
      <c r="AI981" s="114"/>
      <c r="AJ981" s="114"/>
      <c r="AK981" s="114"/>
      <c r="AL981" s="114"/>
      <c r="AM981" s="114"/>
      <c r="AN981" s="114"/>
      <c r="AO981" s="114"/>
      <c r="AP981" s="114"/>
      <c r="AQ981" s="114"/>
      <c r="AR981" s="114"/>
      <c r="AS981" s="50"/>
      <c r="AT981" s="74"/>
      <c r="AU981" s="114"/>
      <c r="AV981" s="114"/>
      <c r="AW981" s="394"/>
      <c r="AX981" s="385"/>
      <c r="AY981" s="385"/>
      <c r="AZ981" s="385"/>
      <c r="BA981" s="385"/>
      <c r="BB981" s="385"/>
      <c r="BC981" s="385"/>
      <c r="BD981" s="385"/>
      <c r="BE981" s="385"/>
      <c r="BF981" s="385"/>
      <c r="BG981" s="385"/>
      <c r="BH981" s="385"/>
      <c r="BI981" s="385"/>
      <c r="BJ981" s="385"/>
      <c r="BK981" s="385"/>
      <c r="BL981" s="385"/>
      <c r="BM981" s="385"/>
      <c r="BN981" s="385"/>
      <c r="BO981" s="385"/>
      <c r="BP981" s="385"/>
      <c r="BQ981" s="385"/>
      <c r="BR981" s="385"/>
      <c r="BS981" s="385"/>
      <c r="BT981" s="385"/>
      <c r="BU981" s="385"/>
      <c r="BV981" s="385"/>
      <c r="BW981" s="385"/>
      <c r="BX981" s="385"/>
      <c r="BY981" s="385"/>
      <c r="BZ981" s="385"/>
      <c r="CA981" s="385"/>
    </row>
    <row r="982" spans="1:79" s="6" customFormat="1" ht="15" customHeight="1">
      <c r="A982" s="41" t="s">
        <v>183</v>
      </c>
      <c r="B982" s="402" t="s">
        <v>1029</v>
      </c>
      <c r="C982" s="113" t="s">
        <v>1029</v>
      </c>
      <c r="D982" s="393" t="s">
        <v>268</v>
      </c>
      <c r="E982" s="394" t="s">
        <v>269</v>
      </c>
      <c r="F982" s="402"/>
      <c r="G982" s="405" t="s">
        <v>274</v>
      </c>
      <c r="H982" s="49">
        <v>3484</v>
      </c>
      <c r="I982" s="50" t="s">
        <v>2</v>
      </c>
      <c r="J982" s="76" t="s">
        <v>273</v>
      </c>
      <c r="K982" s="51">
        <v>41253</v>
      </c>
      <c r="L982" s="173">
        <v>41250</v>
      </c>
      <c r="M982" s="50">
        <f t="shared" si="38"/>
        <v>3</v>
      </c>
      <c r="N982" s="50" t="s">
        <v>2</v>
      </c>
      <c r="O982" s="74">
        <v>2.5</v>
      </c>
      <c r="P982" s="50">
        <v>7.03</v>
      </c>
      <c r="Q982" s="74">
        <v>7.03</v>
      </c>
      <c r="R982" s="50">
        <v>13.8</v>
      </c>
      <c r="S982" s="74">
        <v>18.5</v>
      </c>
      <c r="T982" s="50">
        <v>0.46</v>
      </c>
      <c r="U982" s="131">
        <v>0.32</v>
      </c>
      <c r="V982" s="50">
        <v>0.27</v>
      </c>
      <c r="W982" s="74">
        <v>0.02</v>
      </c>
      <c r="X982" s="50">
        <v>0.04</v>
      </c>
      <c r="Y982" s="74">
        <v>0.13</v>
      </c>
      <c r="Z982" s="271"/>
      <c r="AA982" s="271"/>
      <c r="AB982" s="114"/>
      <c r="AC982" s="50"/>
      <c r="AD982" s="271"/>
      <c r="AE982" s="50"/>
      <c r="AF982" s="49"/>
      <c r="AG982" s="114"/>
      <c r="AH982" s="114"/>
      <c r="AI982" s="114"/>
      <c r="AJ982" s="114"/>
      <c r="AK982" s="114"/>
      <c r="AL982" s="114"/>
      <c r="AM982" s="114"/>
      <c r="AN982" s="114"/>
      <c r="AO982" s="114"/>
      <c r="AP982" s="114"/>
      <c r="AQ982" s="114"/>
      <c r="AR982" s="114"/>
      <c r="AS982" s="50"/>
      <c r="AT982" s="74"/>
      <c r="AU982" s="114"/>
      <c r="AV982" s="114"/>
      <c r="AW982" s="394"/>
      <c r="AX982" s="385"/>
      <c r="AY982" s="385"/>
      <c r="AZ982" s="385"/>
      <c r="BA982" s="385"/>
      <c r="BB982" s="385"/>
      <c r="BC982" s="385"/>
      <c r="BD982" s="385"/>
      <c r="BE982" s="385"/>
      <c r="BF982" s="385"/>
      <c r="BG982" s="385"/>
      <c r="BH982" s="385"/>
      <c r="BI982" s="385"/>
      <c r="BJ982" s="385"/>
      <c r="BK982" s="385"/>
      <c r="BL982" s="385"/>
      <c r="BM982" s="385"/>
      <c r="BN982" s="385"/>
      <c r="BO982" s="385"/>
      <c r="BP982" s="385"/>
      <c r="BQ982" s="385"/>
      <c r="BR982" s="385"/>
      <c r="BS982" s="385"/>
      <c r="BT982" s="385"/>
      <c r="BU982" s="385"/>
      <c r="BV982" s="385"/>
      <c r="BW982" s="385"/>
      <c r="BX982" s="385"/>
      <c r="BY982" s="385"/>
      <c r="BZ982" s="385"/>
      <c r="CA982" s="385"/>
    </row>
    <row r="983" spans="1:79" s="6" customFormat="1" ht="15" customHeight="1">
      <c r="A983" s="41" t="s">
        <v>183</v>
      </c>
      <c r="B983" s="402" t="s">
        <v>3967</v>
      </c>
      <c r="C983" s="113"/>
      <c r="D983" s="393" t="s">
        <v>268</v>
      </c>
      <c r="E983" s="394"/>
      <c r="F983" s="402"/>
      <c r="G983" s="405" t="s">
        <v>3966</v>
      </c>
      <c r="H983" s="74">
        <v>4119</v>
      </c>
      <c r="I983" s="50"/>
      <c r="J983" s="339" t="s">
        <v>641</v>
      </c>
      <c r="K983" s="51">
        <v>41260</v>
      </c>
      <c r="L983" s="173">
        <v>41226</v>
      </c>
      <c r="M983" s="50">
        <f t="shared" si="38"/>
        <v>34</v>
      </c>
      <c r="N983" s="50" t="s">
        <v>2</v>
      </c>
      <c r="O983" s="74">
        <f>5/2</f>
        <v>2.5</v>
      </c>
      <c r="P983" s="50">
        <v>5.3</v>
      </c>
      <c r="Q983" s="74">
        <v>7.31</v>
      </c>
      <c r="R983" s="50">
        <v>41</v>
      </c>
      <c r="S983" s="74">
        <v>24</v>
      </c>
      <c r="T983" s="50">
        <v>0.1</v>
      </c>
      <c r="U983" s="131">
        <v>2.72</v>
      </c>
      <c r="V983" s="50">
        <v>0.44</v>
      </c>
      <c r="W983" s="74">
        <v>8.0000000000000002E-3</v>
      </c>
      <c r="X983" s="50">
        <v>0.08</v>
      </c>
      <c r="Y983" s="74">
        <v>2E-3</v>
      </c>
      <c r="Z983" s="271"/>
      <c r="AA983" s="271"/>
      <c r="AB983" s="114"/>
      <c r="AC983" s="50"/>
      <c r="AD983" s="271"/>
      <c r="AE983" s="50"/>
      <c r="AF983" s="49"/>
      <c r="AG983" s="114"/>
      <c r="AH983" s="114"/>
      <c r="AI983" s="114"/>
      <c r="AJ983" s="114"/>
      <c r="AK983" s="114"/>
      <c r="AL983" s="114"/>
      <c r="AM983" s="114"/>
      <c r="AN983" s="114"/>
      <c r="AO983" s="114"/>
      <c r="AP983" s="114"/>
      <c r="AQ983" s="114"/>
      <c r="AR983" s="114"/>
      <c r="AS983" s="50"/>
      <c r="AT983" s="74"/>
      <c r="AU983" s="114"/>
      <c r="AV983" s="114"/>
      <c r="AW983" s="394"/>
      <c r="AX983" s="385"/>
      <c r="AY983" s="385"/>
      <c r="AZ983" s="385"/>
      <c r="BA983" s="385"/>
      <c r="BB983" s="385"/>
      <c r="BC983" s="385"/>
      <c r="BD983" s="385"/>
      <c r="BE983" s="385"/>
      <c r="BF983" s="385"/>
      <c r="BG983" s="385"/>
      <c r="BH983" s="385"/>
      <c r="BI983" s="385"/>
      <c r="BJ983" s="385"/>
      <c r="BK983" s="385"/>
      <c r="BL983" s="385"/>
      <c r="BM983" s="385"/>
      <c r="BN983" s="385"/>
      <c r="BO983" s="385"/>
      <c r="BP983" s="385"/>
      <c r="BQ983" s="385"/>
      <c r="BR983" s="385"/>
      <c r="BS983" s="385"/>
      <c r="BT983" s="385"/>
      <c r="BU983" s="385"/>
      <c r="BV983" s="385"/>
      <c r="BW983" s="385"/>
      <c r="BX983" s="385"/>
      <c r="BY983" s="385"/>
      <c r="BZ983" s="385"/>
      <c r="CA983" s="385"/>
    </row>
    <row r="984" spans="1:79" s="6" customFormat="1" ht="15" customHeight="1">
      <c r="A984" s="41" t="s">
        <v>183</v>
      </c>
      <c r="B984" s="402" t="s">
        <v>3969</v>
      </c>
      <c r="C984" s="113"/>
      <c r="D984" s="393" t="s">
        <v>89</v>
      </c>
      <c r="E984" s="394"/>
      <c r="F984" s="402"/>
      <c r="G984" s="405" t="s">
        <v>3968</v>
      </c>
      <c r="H984" s="74">
        <v>2869</v>
      </c>
      <c r="I984" s="50" t="s">
        <v>2</v>
      </c>
      <c r="J984" s="339" t="s">
        <v>3970</v>
      </c>
      <c r="K984" s="51">
        <v>41170</v>
      </c>
      <c r="L984" s="173">
        <v>41161</v>
      </c>
      <c r="M984" s="50">
        <f t="shared" si="38"/>
        <v>9</v>
      </c>
      <c r="N984" s="50" t="s">
        <v>2</v>
      </c>
      <c r="O984" s="74">
        <f>5/2</f>
        <v>2.5</v>
      </c>
      <c r="P984" s="50">
        <v>5</v>
      </c>
      <c r="Q984" s="74">
        <v>7.3</v>
      </c>
      <c r="R984" s="50">
        <v>53</v>
      </c>
      <c r="S984" s="74">
        <v>13</v>
      </c>
      <c r="T984" s="50">
        <f>1/2</f>
        <v>0.5</v>
      </c>
      <c r="U984" s="131">
        <f>1/2</f>
        <v>0.5</v>
      </c>
      <c r="V984" s="50">
        <v>0.51</v>
      </c>
      <c r="W984" s="74">
        <f>0.025/2</f>
        <v>1.2500000000000001E-2</v>
      </c>
      <c r="X984" s="50">
        <v>5.3999999999999999E-2</v>
      </c>
      <c r="Y984" s="74">
        <f>0.005/2</f>
        <v>2.5000000000000001E-3</v>
      </c>
      <c r="Z984" s="271"/>
      <c r="AA984" s="271"/>
      <c r="AB984" s="114"/>
      <c r="AC984" s="50"/>
      <c r="AD984" s="271"/>
      <c r="AE984" s="50"/>
      <c r="AF984" s="49"/>
      <c r="AG984" s="114"/>
      <c r="AH984" s="114"/>
      <c r="AI984" s="114"/>
      <c r="AJ984" s="114"/>
      <c r="AK984" s="114"/>
      <c r="AL984" s="114"/>
      <c r="AM984" s="114"/>
      <c r="AN984" s="114"/>
      <c r="AO984" s="114"/>
      <c r="AP984" s="114"/>
      <c r="AQ984" s="114"/>
      <c r="AR984" s="114"/>
      <c r="AS984" s="50"/>
      <c r="AT984" s="74"/>
      <c r="AU984" s="114"/>
      <c r="AV984" s="114"/>
      <c r="AW984" s="394"/>
      <c r="AX984" s="385"/>
      <c r="AY984" s="385"/>
      <c r="AZ984" s="385"/>
      <c r="BA984" s="385"/>
      <c r="BB984" s="385"/>
      <c r="BC984" s="385"/>
      <c r="BD984" s="385"/>
      <c r="BE984" s="385"/>
      <c r="BF984" s="385"/>
      <c r="BG984" s="385"/>
      <c r="BH984" s="385"/>
      <c r="BI984" s="385"/>
      <c r="BJ984" s="385"/>
      <c r="BK984" s="385"/>
      <c r="BL984" s="385"/>
      <c r="BM984" s="385"/>
      <c r="BN984" s="385"/>
      <c r="BO984" s="385"/>
      <c r="BP984" s="385"/>
      <c r="BQ984" s="385"/>
      <c r="BR984" s="385"/>
      <c r="BS984" s="385"/>
      <c r="BT984" s="385"/>
      <c r="BU984" s="385"/>
      <c r="BV984" s="385"/>
      <c r="BW984" s="385"/>
      <c r="BX984" s="385"/>
      <c r="BY984" s="385"/>
      <c r="BZ984" s="385"/>
      <c r="CA984" s="385"/>
    </row>
    <row r="985" spans="1:79" s="6" customFormat="1" ht="15" customHeight="1">
      <c r="A985" s="41" t="s">
        <v>183</v>
      </c>
      <c r="B985" s="402" t="s">
        <v>3969</v>
      </c>
      <c r="C985" s="113"/>
      <c r="D985" s="393" t="s">
        <v>89</v>
      </c>
      <c r="E985" s="394"/>
      <c r="F985" s="402" t="s">
        <v>3971</v>
      </c>
      <c r="G985" s="405" t="s">
        <v>3968</v>
      </c>
      <c r="H985" s="74">
        <v>2869</v>
      </c>
      <c r="I985" s="50" t="s">
        <v>2</v>
      </c>
      <c r="J985" s="339" t="s">
        <v>3970</v>
      </c>
      <c r="K985" s="51">
        <v>40835</v>
      </c>
      <c r="L985" s="173">
        <v>40831</v>
      </c>
      <c r="M985" s="50">
        <f t="shared" si="38"/>
        <v>4</v>
      </c>
      <c r="N985" s="50" t="s">
        <v>2</v>
      </c>
      <c r="O985" s="74">
        <f>5.3/2</f>
        <v>2.65</v>
      </c>
      <c r="P985" s="50">
        <v>4.9000000000000004</v>
      </c>
      <c r="Q985" s="74">
        <v>7.87</v>
      </c>
      <c r="R985" s="50">
        <v>31</v>
      </c>
      <c r="S985" s="74">
        <v>2.4</v>
      </c>
      <c r="T985" s="50">
        <v>0.43</v>
      </c>
      <c r="U985" s="131">
        <f>1/2</f>
        <v>0.5</v>
      </c>
      <c r="V985" s="50">
        <v>0.41</v>
      </c>
      <c r="W985" s="74">
        <f>0.025/2</f>
        <v>1.2500000000000001E-2</v>
      </c>
      <c r="X985" s="50">
        <v>0.03</v>
      </c>
      <c r="Y985" s="74">
        <f>0.005/2</f>
        <v>2.5000000000000001E-3</v>
      </c>
      <c r="Z985" s="271">
        <v>1</v>
      </c>
      <c r="AA985" s="271">
        <v>1</v>
      </c>
      <c r="AB985" s="114">
        <v>178</v>
      </c>
      <c r="AC985" s="50">
        <v>125</v>
      </c>
      <c r="AD985" s="271">
        <v>1</v>
      </c>
      <c r="AE985" s="50"/>
      <c r="AF985" s="49"/>
      <c r="AG985" s="114"/>
      <c r="AH985" s="114"/>
      <c r="AI985" s="114"/>
      <c r="AJ985" s="114"/>
      <c r="AK985" s="114"/>
      <c r="AL985" s="114"/>
      <c r="AM985" s="114"/>
      <c r="AN985" s="114"/>
      <c r="AO985" s="114"/>
      <c r="AP985" s="114"/>
      <c r="AQ985" s="114"/>
      <c r="AR985" s="114"/>
      <c r="AS985" s="50"/>
      <c r="AT985" s="74"/>
      <c r="AU985" s="114"/>
      <c r="AV985" s="114"/>
      <c r="AW985" s="394"/>
      <c r="AX985" s="385"/>
      <c r="AY985" s="385"/>
      <c r="AZ985" s="385"/>
      <c r="BA985" s="385"/>
      <c r="BB985" s="385"/>
      <c r="BC985" s="385"/>
      <c r="BD985" s="385"/>
      <c r="BE985" s="385"/>
      <c r="BF985" s="385"/>
      <c r="BG985" s="385"/>
      <c r="BH985" s="385"/>
      <c r="BI985" s="385"/>
      <c r="BJ985" s="385"/>
      <c r="BK985" s="385"/>
      <c r="BL985" s="385"/>
      <c r="BM985" s="385"/>
      <c r="BN985" s="385"/>
      <c r="BO985" s="385"/>
      <c r="BP985" s="385"/>
      <c r="BQ985" s="385"/>
      <c r="BR985" s="385"/>
      <c r="BS985" s="385"/>
      <c r="BT985" s="385"/>
      <c r="BU985" s="385"/>
      <c r="BV985" s="385"/>
      <c r="BW985" s="385"/>
      <c r="BX985" s="385"/>
      <c r="BY985" s="385"/>
      <c r="BZ985" s="385"/>
      <c r="CA985" s="385"/>
    </row>
    <row r="986" spans="1:79" s="6" customFormat="1" ht="15" customHeight="1">
      <c r="A986" s="41" t="s">
        <v>183</v>
      </c>
      <c r="B986" s="402" t="s">
        <v>3973</v>
      </c>
      <c r="C986" s="113" t="s">
        <v>3284</v>
      </c>
      <c r="D986" s="393" t="s">
        <v>111</v>
      </c>
      <c r="E986" s="394" t="s">
        <v>2143</v>
      </c>
      <c r="F986" s="402"/>
      <c r="G986" s="405" t="s">
        <v>3972</v>
      </c>
      <c r="H986" s="74">
        <v>3272</v>
      </c>
      <c r="I986" s="50" t="s">
        <v>2</v>
      </c>
      <c r="J986" s="339" t="s">
        <v>1119</v>
      </c>
      <c r="K986" s="51">
        <v>40934</v>
      </c>
      <c r="L986" s="173"/>
      <c r="M986" s="50"/>
      <c r="N986" s="50" t="s">
        <v>2</v>
      </c>
      <c r="O986" s="74">
        <f>1/2</f>
        <v>0.5</v>
      </c>
      <c r="P986" s="50"/>
      <c r="Q986" s="74">
        <v>6.81</v>
      </c>
      <c r="R986" s="50">
        <v>11.3</v>
      </c>
      <c r="S986" s="74">
        <v>22</v>
      </c>
      <c r="T986" s="50">
        <f>0.05/2</f>
        <v>2.5000000000000001E-2</v>
      </c>
      <c r="U986" s="131">
        <v>7.3999999999999996E-2</v>
      </c>
      <c r="V986" s="50">
        <v>1.71</v>
      </c>
      <c r="W986" s="74">
        <v>1.2E-2</v>
      </c>
      <c r="X986" s="50">
        <v>2.7E-2</v>
      </c>
      <c r="Y986" s="74">
        <f>0.002/2</f>
        <v>1E-3</v>
      </c>
      <c r="Z986" s="271">
        <v>1</v>
      </c>
      <c r="AA986" s="271">
        <v>1</v>
      </c>
      <c r="AB986" s="114">
        <v>109</v>
      </c>
      <c r="AC986" s="50">
        <v>339</v>
      </c>
      <c r="AD986" s="271">
        <v>1</v>
      </c>
      <c r="AE986" s="50"/>
      <c r="AF986" s="49"/>
      <c r="AG986" s="114"/>
      <c r="AH986" s="114"/>
      <c r="AI986" s="114"/>
      <c r="AJ986" s="114"/>
      <c r="AK986" s="114"/>
      <c r="AL986" s="114"/>
      <c r="AM986" s="114"/>
      <c r="AN986" s="114"/>
      <c r="AO986" s="114"/>
      <c r="AP986" s="114"/>
      <c r="AQ986" s="114"/>
      <c r="AR986" s="114"/>
      <c r="AS986" s="50"/>
      <c r="AT986" s="74"/>
      <c r="AU986" s="114"/>
      <c r="AV986" s="114"/>
      <c r="AW986" s="394"/>
      <c r="AX986" s="385"/>
      <c r="AY986" s="385"/>
      <c r="AZ986" s="385"/>
      <c r="BA986" s="385"/>
      <c r="BB986" s="385"/>
      <c r="BC986" s="385"/>
      <c r="BD986" s="385"/>
      <c r="BE986" s="385"/>
      <c r="BF986" s="385"/>
      <c r="BG986" s="385"/>
      <c r="BH986" s="385"/>
      <c r="BI986" s="385"/>
      <c r="BJ986" s="385"/>
      <c r="BK986" s="385"/>
      <c r="BL986" s="385"/>
      <c r="BM986" s="385"/>
      <c r="BN986" s="385"/>
      <c r="BO986" s="385"/>
      <c r="BP986" s="385"/>
      <c r="BQ986" s="385"/>
      <c r="BR986" s="385"/>
      <c r="BS986" s="385"/>
      <c r="BT986" s="385"/>
      <c r="BU986" s="385"/>
      <c r="BV986" s="385"/>
      <c r="BW986" s="385"/>
      <c r="BX986" s="385"/>
      <c r="BY986" s="385"/>
      <c r="BZ986" s="385"/>
      <c r="CA986" s="385"/>
    </row>
    <row r="987" spans="1:79" s="6" customFormat="1" ht="15" customHeight="1">
      <c r="A987" s="41" t="s">
        <v>183</v>
      </c>
      <c r="B987" s="402" t="s">
        <v>1993</v>
      </c>
      <c r="C987" s="113"/>
      <c r="D987" s="393" t="s">
        <v>350</v>
      </c>
      <c r="E987" s="394" t="s">
        <v>530</v>
      </c>
      <c r="F987" s="402"/>
      <c r="G987" s="405" t="s">
        <v>1994</v>
      </c>
      <c r="H987" s="113">
        <v>2121</v>
      </c>
      <c r="I987" s="49" t="s">
        <v>2</v>
      </c>
      <c r="J987" s="48" t="s">
        <v>1125</v>
      </c>
      <c r="K987" s="51">
        <v>40835</v>
      </c>
      <c r="L987" s="173">
        <v>40830</v>
      </c>
      <c r="M987" s="50">
        <f t="shared" ref="M987:M1006" si="39">K987-L987</f>
        <v>5</v>
      </c>
      <c r="N987" s="50" t="s">
        <v>2</v>
      </c>
      <c r="O987" s="74">
        <f>1.6/2</f>
        <v>0.8</v>
      </c>
      <c r="P987" s="50">
        <v>6.21</v>
      </c>
      <c r="Q987" s="74">
        <v>6.09</v>
      </c>
      <c r="R987" s="50">
        <v>140</v>
      </c>
      <c r="S987" s="74">
        <v>7.5</v>
      </c>
      <c r="T987" s="50">
        <v>0.03</v>
      </c>
      <c r="U987" s="131">
        <v>2.5</v>
      </c>
      <c r="V987" s="50">
        <v>0.24</v>
      </c>
      <c r="W987" s="74">
        <v>1.2999999999999999E-2</v>
      </c>
      <c r="X987" s="50">
        <v>7.6999999999999999E-2</v>
      </c>
      <c r="Y987" s="74">
        <f>0.002/2</f>
        <v>1E-3</v>
      </c>
      <c r="Z987" s="271">
        <v>9.8100000000000007E-2</v>
      </c>
      <c r="AA987" s="271">
        <v>9.5100000000000004E-2</v>
      </c>
      <c r="AB987" s="114">
        <v>4</v>
      </c>
      <c r="AC987" s="50">
        <v>18</v>
      </c>
      <c r="AD987" s="271">
        <v>0</v>
      </c>
      <c r="AE987" s="50"/>
      <c r="AF987" s="49"/>
      <c r="AG987" s="114"/>
      <c r="AH987" s="114"/>
      <c r="AI987" s="114"/>
      <c r="AJ987" s="114"/>
      <c r="AK987" s="114"/>
      <c r="AL987" s="114"/>
      <c r="AM987" s="114"/>
      <c r="AN987" s="114"/>
      <c r="AO987" s="114"/>
      <c r="AP987" s="114"/>
      <c r="AQ987" s="114"/>
      <c r="AR987" s="114"/>
      <c r="AS987" s="50"/>
      <c r="AT987" s="74"/>
      <c r="AU987" s="114"/>
      <c r="AV987" s="114"/>
      <c r="AW987" s="394"/>
      <c r="AX987" s="385"/>
      <c r="AY987" s="385"/>
      <c r="AZ987" s="385"/>
      <c r="BA987" s="385"/>
      <c r="BB987" s="385"/>
      <c r="BC987" s="385"/>
      <c r="BD987" s="385"/>
      <c r="BE987" s="385"/>
      <c r="BF987" s="385"/>
      <c r="BG987" s="385"/>
      <c r="BH987" s="385"/>
      <c r="BI987" s="385"/>
      <c r="BJ987" s="385"/>
      <c r="BK987" s="385"/>
      <c r="BL987" s="385"/>
      <c r="BM987" s="385"/>
      <c r="BN987" s="385"/>
      <c r="BO987" s="385"/>
      <c r="BP987" s="385"/>
      <c r="BQ987" s="385"/>
      <c r="BR987" s="385"/>
      <c r="BS987" s="385"/>
      <c r="BT987" s="385"/>
      <c r="BU987" s="385"/>
      <c r="BV987" s="385"/>
      <c r="BW987" s="385"/>
      <c r="BX987" s="385"/>
      <c r="BY987" s="385"/>
      <c r="BZ987" s="385"/>
      <c r="CA987" s="385"/>
    </row>
    <row r="988" spans="1:79" s="6" customFormat="1" ht="15" customHeight="1">
      <c r="A988" s="41" t="s">
        <v>183</v>
      </c>
      <c r="B988" s="402" t="s">
        <v>3974</v>
      </c>
      <c r="C988" s="113"/>
      <c r="D988" s="393" t="s">
        <v>1217</v>
      </c>
      <c r="E988" s="394" t="s">
        <v>1469</v>
      </c>
      <c r="F988" s="402"/>
      <c r="G988" s="405" t="s">
        <v>3975</v>
      </c>
      <c r="H988" s="74"/>
      <c r="I988" s="50" t="s">
        <v>2</v>
      </c>
      <c r="J988" s="339" t="s">
        <v>3976</v>
      </c>
      <c r="K988" s="51">
        <v>41136</v>
      </c>
      <c r="L988" s="173">
        <v>41131</v>
      </c>
      <c r="M988" s="50">
        <f t="shared" si="39"/>
        <v>5</v>
      </c>
      <c r="N988" s="50" t="s">
        <v>2</v>
      </c>
      <c r="O988" s="74">
        <f>1.4/2</f>
        <v>0.7</v>
      </c>
      <c r="P988" s="50">
        <v>7.8</v>
      </c>
      <c r="Q988" s="74">
        <v>7.62</v>
      </c>
      <c r="R988" s="50">
        <v>35</v>
      </c>
      <c r="S988" s="74">
        <v>25</v>
      </c>
      <c r="T988" s="50">
        <v>0.14000000000000001</v>
      </c>
      <c r="U988" s="131">
        <v>1.08</v>
      </c>
      <c r="V988" s="50">
        <v>0.2</v>
      </c>
      <c r="W988" s="74">
        <v>1.0999999999999999E-2</v>
      </c>
      <c r="X988" s="50">
        <v>5.2999999999999999E-2</v>
      </c>
      <c r="Y988" s="74">
        <v>2E-3</v>
      </c>
      <c r="Z988" s="271"/>
      <c r="AA988" s="271"/>
      <c r="AB988" s="114"/>
      <c r="AC988" s="50"/>
      <c r="AD988" s="271"/>
      <c r="AE988" s="50"/>
      <c r="AF988" s="49"/>
      <c r="AG988" s="114"/>
      <c r="AH988" s="114"/>
      <c r="AI988" s="114"/>
      <c r="AJ988" s="114"/>
      <c r="AK988" s="114"/>
      <c r="AL988" s="114"/>
      <c r="AM988" s="114"/>
      <c r="AN988" s="114"/>
      <c r="AO988" s="114"/>
      <c r="AP988" s="114"/>
      <c r="AQ988" s="114"/>
      <c r="AR988" s="114"/>
      <c r="AS988" s="50"/>
      <c r="AT988" s="74"/>
      <c r="AU988" s="114"/>
      <c r="AV988" s="114"/>
      <c r="AW988" s="394"/>
      <c r="AX988" s="385"/>
      <c r="AY988" s="385"/>
      <c r="AZ988" s="385"/>
      <c r="BA988" s="385"/>
      <c r="BB988" s="385"/>
      <c r="BC988" s="385"/>
      <c r="BD988" s="385"/>
      <c r="BE988" s="385"/>
      <c r="BF988" s="385"/>
      <c r="BG988" s="385"/>
      <c r="BH988" s="385"/>
      <c r="BI988" s="385"/>
      <c r="BJ988" s="385"/>
      <c r="BK988" s="385"/>
      <c r="BL988" s="385"/>
      <c r="BM988" s="385"/>
      <c r="BN988" s="385"/>
      <c r="BO988" s="385"/>
      <c r="BP988" s="385"/>
      <c r="BQ988" s="385"/>
      <c r="BR988" s="385"/>
      <c r="BS988" s="385"/>
      <c r="BT988" s="385"/>
      <c r="BU988" s="385"/>
      <c r="BV988" s="385"/>
      <c r="BW988" s="385"/>
      <c r="BX988" s="385"/>
      <c r="BY988" s="385"/>
      <c r="BZ988" s="385"/>
      <c r="CA988" s="385"/>
    </row>
    <row r="989" spans="1:79" s="6" customFormat="1" ht="15" customHeight="1">
      <c r="A989" s="41" t="s">
        <v>183</v>
      </c>
      <c r="B989" s="402" t="s">
        <v>3974</v>
      </c>
      <c r="C989" s="113"/>
      <c r="D989" s="393" t="s">
        <v>1217</v>
      </c>
      <c r="E989" s="394" t="s">
        <v>1469</v>
      </c>
      <c r="F989" s="402"/>
      <c r="G989" s="405" t="s">
        <v>3975</v>
      </c>
      <c r="H989" s="74"/>
      <c r="I989" s="50" t="s">
        <v>2</v>
      </c>
      <c r="J989" s="339" t="s">
        <v>3977</v>
      </c>
      <c r="K989" s="51">
        <v>41136</v>
      </c>
      <c r="L989" s="173">
        <v>41131</v>
      </c>
      <c r="M989" s="50">
        <f t="shared" si="39"/>
        <v>5</v>
      </c>
      <c r="N989" s="50" t="s">
        <v>2</v>
      </c>
      <c r="O989" s="74">
        <f>1.4/2</f>
        <v>0.7</v>
      </c>
      <c r="P989" s="50">
        <v>7.8</v>
      </c>
      <c r="Q989" s="74">
        <v>8.09</v>
      </c>
      <c r="R989" s="50">
        <v>15</v>
      </c>
      <c r="S989" s="74">
        <v>8</v>
      </c>
      <c r="T989" s="50">
        <v>0.05</v>
      </c>
      <c r="U989" s="131">
        <v>1</v>
      </c>
      <c r="V989" s="50">
        <v>1.02</v>
      </c>
      <c r="W989" s="74">
        <f>0.005/2</f>
        <v>2.5000000000000001E-3</v>
      </c>
      <c r="X989" s="50">
        <f>0.002/2</f>
        <v>1E-3</v>
      </c>
      <c r="Y989" s="74">
        <f>0.002/2</f>
        <v>1E-3</v>
      </c>
      <c r="Z989" s="271"/>
      <c r="AA989" s="271"/>
      <c r="AB989" s="114"/>
      <c r="AC989" s="50"/>
      <c r="AD989" s="271"/>
      <c r="AE989" s="50"/>
      <c r="AF989" s="49"/>
      <c r="AG989" s="114"/>
      <c r="AH989" s="114"/>
      <c r="AI989" s="114"/>
      <c r="AJ989" s="114"/>
      <c r="AK989" s="114"/>
      <c r="AL989" s="114"/>
      <c r="AM989" s="114"/>
      <c r="AN989" s="114"/>
      <c r="AO989" s="114"/>
      <c r="AP989" s="114"/>
      <c r="AQ989" s="114"/>
      <c r="AR989" s="114"/>
      <c r="AS989" s="50"/>
      <c r="AT989" s="74"/>
      <c r="AU989" s="114"/>
      <c r="AV989" s="114"/>
      <c r="AW989" s="394"/>
      <c r="AX989" s="385"/>
      <c r="AY989" s="385"/>
      <c r="AZ989" s="385"/>
      <c r="BA989" s="385"/>
      <c r="BB989" s="385"/>
      <c r="BC989" s="385"/>
      <c r="BD989" s="385"/>
      <c r="BE989" s="385"/>
      <c r="BF989" s="385"/>
      <c r="BG989" s="385"/>
      <c r="BH989" s="385"/>
      <c r="BI989" s="385"/>
      <c r="BJ989" s="385"/>
      <c r="BK989" s="385"/>
      <c r="BL989" s="385"/>
      <c r="BM989" s="385"/>
      <c r="BN989" s="385"/>
      <c r="BO989" s="385"/>
      <c r="BP989" s="385"/>
      <c r="BQ989" s="385"/>
      <c r="BR989" s="385"/>
      <c r="BS989" s="385"/>
      <c r="BT989" s="385"/>
      <c r="BU989" s="385"/>
      <c r="BV989" s="385"/>
      <c r="BW989" s="385"/>
      <c r="BX989" s="385"/>
      <c r="BY989" s="385"/>
      <c r="BZ989" s="385"/>
      <c r="CA989" s="385"/>
    </row>
    <row r="990" spans="1:79" s="6" customFormat="1" ht="15" customHeight="1">
      <c r="A990" s="41" t="s">
        <v>183</v>
      </c>
      <c r="B990" s="402" t="s">
        <v>1267</v>
      </c>
      <c r="C990" s="113" t="s">
        <v>1268</v>
      </c>
      <c r="D990" s="393" t="s">
        <v>205</v>
      </c>
      <c r="E990" s="394" t="s">
        <v>1269</v>
      </c>
      <c r="F990" s="402"/>
      <c r="G990" s="405" t="s">
        <v>1270</v>
      </c>
      <c r="H990" s="49">
        <v>3724</v>
      </c>
      <c r="I990" s="50" t="s">
        <v>2</v>
      </c>
      <c r="J990" s="76" t="s">
        <v>687</v>
      </c>
      <c r="K990" s="51">
        <v>41170</v>
      </c>
      <c r="L990" s="173">
        <v>41167</v>
      </c>
      <c r="M990" s="50">
        <f t="shared" si="39"/>
        <v>3</v>
      </c>
      <c r="N990" s="50" t="s">
        <v>2</v>
      </c>
      <c r="O990" s="74">
        <f>1/2</f>
        <v>0.5</v>
      </c>
      <c r="P990" s="50">
        <v>6.5</v>
      </c>
      <c r="Q990" s="74">
        <v>6.63</v>
      </c>
      <c r="R990" s="50">
        <v>219</v>
      </c>
      <c r="S990" s="74">
        <v>14</v>
      </c>
      <c r="T990" s="50">
        <v>4.8099999999999997E-2</v>
      </c>
      <c r="U990" s="131">
        <v>12.2</v>
      </c>
      <c r="V990" s="50">
        <v>1.1200000000000001</v>
      </c>
      <c r="W990" s="74">
        <v>1.7600000000000001E-2</v>
      </c>
      <c r="X990" s="50">
        <v>8.77E-2</v>
      </c>
      <c r="Y990" s="74">
        <v>1.18E-2</v>
      </c>
      <c r="Z990" s="271">
        <v>1</v>
      </c>
      <c r="AA990" s="271">
        <v>0.79100000000000004</v>
      </c>
      <c r="AB990" s="114">
        <v>18</v>
      </c>
      <c r="AC990" s="50">
        <v>122</v>
      </c>
      <c r="AD990" s="271">
        <v>0.3</v>
      </c>
      <c r="AE990" s="50"/>
      <c r="AF990" s="49"/>
      <c r="AG990" s="114"/>
      <c r="AH990" s="114"/>
      <c r="AI990" s="114"/>
      <c r="AJ990" s="114"/>
      <c r="AK990" s="114"/>
      <c r="AL990" s="114"/>
      <c r="AM990" s="114"/>
      <c r="AN990" s="114"/>
      <c r="AO990" s="114"/>
      <c r="AP990" s="114"/>
      <c r="AQ990" s="114"/>
      <c r="AR990" s="114"/>
      <c r="AS990" s="50"/>
      <c r="AT990" s="74"/>
      <c r="AU990" s="114"/>
      <c r="AV990" s="114"/>
      <c r="AW990" s="394"/>
      <c r="AX990" s="385"/>
      <c r="AY990" s="385"/>
      <c r="AZ990" s="385"/>
      <c r="BA990" s="385"/>
      <c r="BB990" s="385"/>
      <c r="BC990" s="385"/>
      <c r="BD990" s="385"/>
      <c r="BE990" s="385"/>
      <c r="BF990" s="385"/>
      <c r="BG990" s="385"/>
      <c r="BH990" s="385"/>
      <c r="BI990" s="385"/>
      <c r="BJ990" s="385"/>
      <c r="BK990" s="385"/>
      <c r="BL990" s="385"/>
      <c r="BM990" s="385"/>
      <c r="BN990" s="385"/>
      <c r="BO990" s="385"/>
      <c r="BP990" s="385"/>
      <c r="BQ990" s="385"/>
      <c r="BR990" s="385"/>
      <c r="BS990" s="385"/>
      <c r="BT990" s="385"/>
      <c r="BU990" s="385"/>
      <c r="BV990" s="385"/>
      <c r="BW990" s="385"/>
      <c r="BX990" s="385"/>
      <c r="BY990" s="385"/>
      <c r="BZ990" s="385"/>
      <c r="CA990" s="385"/>
    </row>
    <row r="991" spans="1:79" s="6" customFormat="1" ht="15" customHeight="1">
      <c r="A991" s="41" t="s">
        <v>183</v>
      </c>
      <c r="B991" s="402" t="s">
        <v>1267</v>
      </c>
      <c r="C991" s="113" t="s">
        <v>1268</v>
      </c>
      <c r="D991" s="393" t="s">
        <v>205</v>
      </c>
      <c r="E991" s="394" t="s">
        <v>1269</v>
      </c>
      <c r="F991" s="402"/>
      <c r="G991" s="405" t="s">
        <v>1270</v>
      </c>
      <c r="H991" s="49">
        <v>3724</v>
      </c>
      <c r="I991" s="50" t="s">
        <v>2</v>
      </c>
      <c r="J991" s="76" t="s">
        <v>1271</v>
      </c>
      <c r="K991" s="51">
        <v>41170</v>
      </c>
      <c r="L991" s="173">
        <v>41167</v>
      </c>
      <c r="M991" s="50">
        <f t="shared" si="39"/>
        <v>3</v>
      </c>
      <c r="N991" s="50" t="s">
        <v>2</v>
      </c>
      <c r="O991" s="74">
        <f>1/2</f>
        <v>0.5</v>
      </c>
      <c r="P991" s="50">
        <v>6.5</v>
      </c>
      <c r="Q991" s="74">
        <v>6.79</v>
      </c>
      <c r="R991" s="50">
        <v>46.2</v>
      </c>
      <c r="S991" s="74">
        <f>5/2</f>
        <v>2.5</v>
      </c>
      <c r="T991" s="50">
        <v>1.9800000000000002E-2</v>
      </c>
      <c r="U991" s="131">
        <v>1.33</v>
      </c>
      <c r="V991" s="50">
        <v>0.73</v>
      </c>
      <c r="W991" s="74">
        <f>0.005/2</f>
        <v>2.5000000000000001E-3</v>
      </c>
      <c r="X991" s="50">
        <v>4.6699999999999998E-2</v>
      </c>
      <c r="Y991" s="74">
        <f>0.0075/2</f>
        <v>3.7499999999999999E-3</v>
      </c>
      <c r="Z991" s="271">
        <v>1</v>
      </c>
      <c r="AA991" s="271">
        <v>1</v>
      </c>
      <c r="AB991" s="114">
        <v>6</v>
      </c>
      <c r="AC991" s="50">
        <v>45</v>
      </c>
      <c r="AD991" s="271">
        <v>1</v>
      </c>
      <c r="AE991" s="50"/>
      <c r="AF991" s="49"/>
      <c r="AG991" s="114"/>
      <c r="AH991" s="114"/>
      <c r="AI991" s="114"/>
      <c r="AJ991" s="114"/>
      <c r="AK991" s="114"/>
      <c r="AL991" s="114"/>
      <c r="AM991" s="114"/>
      <c r="AN991" s="114"/>
      <c r="AO991" s="114"/>
      <c r="AP991" s="114"/>
      <c r="AQ991" s="114"/>
      <c r="AR991" s="114"/>
      <c r="AS991" s="50"/>
      <c r="AT991" s="74"/>
      <c r="AU991" s="114"/>
      <c r="AV991" s="114"/>
      <c r="AW991" s="394"/>
      <c r="AX991" s="385"/>
      <c r="AY991" s="385"/>
      <c r="AZ991" s="385"/>
      <c r="BA991" s="385"/>
      <c r="BB991" s="385"/>
      <c r="BC991" s="385"/>
      <c r="BD991" s="385"/>
      <c r="BE991" s="385"/>
      <c r="BF991" s="385"/>
      <c r="BG991" s="385"/>
      <c r="BH991" s="385"/>
      <c r="BI991" s="385"/>
      <c r="BJ991" s="385"/>
      <c r="BK991" s="385"/>
      <c r="BL991" s="385"/>
      <c r="BM991" s="385"/>
      <c r="BN991" s="385"/>
      <c r="BO991" s="385"/>
      <c r="BP991" s="385"/>
      <c r="BQ991" s="385"/>
      <c r="BR991" s="385"/>
      <c r="BS991" s="385"/>
      <c r="BT991" s="385"/>
      <c r="BU991" s="385"/>
      <c r="BV991" s="385"/>
      <c r="BW991" s="385"/>
      <c r="BX991" s="385"/>
      <c r="BY991" s="385"/>
      <c r="BZ991" s="385"/>
      <c r="CA991" s="385"/>
    </row>
    <row r="992" spans="1:79" s="6" customFormat="1" ht="15" customHeight="1">
      <c r="A992" s="41" t="s">
        <v>183</v>
      </c>
      <c r="B992" s="402" t="s">
        <v>3967</v>
      </c>
      <c r="C992" s="113"/>
      <c r="D992" s="393" t="s">
        <v>262</v>
      </c>
      <c r="E992" s="394" t="s">
        <v>3978</v>
      </c>
      <c r="F992" s="402"/>
      <c r="G992" s="405" t="s">
        <v>3979</v>
      </c>
      <c r="H992" s="74">
        <v>4119</v>
      </c>
      <c r="I992" s="50" t="s">
        <v>2</v>
      </c>
      <c r="J992" s="339" t="s">
        <v>3980</v>
      </c>
      <c r="K992" s="51">
        <v>41072</v>
      </c>
      <c r="L992" s="173">
        <v>41067</v>
      </c>
      <c r="M992" s="50">
        <f t="shared" si="39"/>
        <v>5</v>
      </c>
      <c r="N992" s="50" t="s">
        <v>2</v>
      </c>
      <c r="O992" s="74">
        <f>5/2</f>
        <v>2.5</v>
      </c>
      <c r="P992" s="50">
        <v>5.38</v>
      </c>
      <c r="Q992" s="74">
        <v>6.09</v>
      </c>
      <c r="R992" s="50">
        <v>131</v>
      </c>
      <c r="S992" s="74">
        <v>78</v>
      </c>
      <c r="T992" s="50">
        <v>0.19</v>
      </c>
      <c r="U992" s="131">
        <v>2.34</v>
      </c>
      <c r="V992" s="50">
        <v>2.67</v>
      </c>
      <c r="W992" s="74">
        <v>3.5999999999999997E-2</v>
      </c>
      <c r="X992" s="50">
        <v>0.22</v>
      </c>
      <c r="Y992" s="74">
        <v>7.0000000000000001E-3</v>
      </c>
      <c r="Z992" s="271">
        <v>1</v>
      </c>
      <c r="AA992" s="271">
        <v>1</v>
      </c>
      <c r="AB992" s="114">
        <v>27</v>
      </c>
      <c r="AC992" s="50">
        <v>94</v>
      </c>
      <c r="AD992" s="271">
        <v>1</v>
      </c>
      <c r="AE992" s="50"/>
      <c r="AF992" s="49"/>
      <c r="AG992" s="114"/>
      <c r="AH992" s="114"/>
      <c r="AI992" s="114"/>
      <c r="AJ992" s="114"/>
      <c r="AK992" s="114"/>
      <c r="AL992" s="114"/>
      <c r="AM992" s="114"/>
      <c r="AN992" s="114"/>
      <c r="AO992" s="114"/>
      <c r="AP992" s="114"/>
      <c r="AQ992" s="114"/>
      <c r="AR992" s="114"/>
      <c r="AS992" s="50"/>
      <c r="AT992" s="74"/>
      <c r="AU992" s="114"/>
      <c r="AV992" s="114"/>
      <c r="AW992" s="394"/>
      <c r="AX992" s="385"/>
      <c r="AY992" s="385"/>
      <c r="AZ992" s="385"/>
      <c r="BA992" s="385"/>
      <c r="BB992" s="385"/>
      <c r="BC992" s="385"/>
      <c r="BD992" s="385"/>
      <c r="BE992" s="385"/>
      <c r="BF992" s="385"/>
      <c r="BG992" s="385"/>
      <c r="BH992" s="385"/>
      <c r="BI992" s="385"/>
      <c r="BJ992" s="385"/>
      <c r="BK992" s="385"/>
      <c r="BL992" s="385"/>
      <c r="BM992" s="385"/>
      <c r="BN992" s="385"/>
      <c r="BO992" s="385"/>
      <c r="BP992" s="385"/>
      <c r="BQ992" s="385"/>
      <c r="BR992" s="385"/>
      <c r="BS992" s="385"/>
      <c r="BT992" s="385"/>
      <c r="BU992" s="385"/>
      <c r="BV992" s="385"/>
      <c r="BW992" s="385"/>
      <c r="BX992" s="385"/>
      <c r="BY992" s="385"/>
      <c r="BZ992" s="385"/>
      <c r="CA992" s="385"/>
    </row>
    <row r="993" spans="1:79" s="6" customFormat="1" ht="15" customHeight="1">
      <c r="A993" s="41" t="s">
        <v>183</v>
      </c>
      <c r="B993" s="402" t="s">
        <v>3967</v>
      </c>
      <c r="C993" s="113"/>
      <c r="D993" s="393" t="s">
        <v>262</v>
      </c>
      <c r="E993" s="394" t="s">
        <v>3978</v>
      </c>
      <c r="F993" s="402"/>
      <c r="G993" s="405" t="s">
        <v>3979</v>
      </c>
      <c r="H993" s="74">
        <v>4119</v>
      </c>
      <c r="I993" s="50" t="s">
        <v>2</v>
      </c>
      <c r="J993" s="339" t="s">
        <v>3980</v>
      </c>
      <c r="K993" s="51">
        <v>41170</v>
      </c>
      <c r="L993" s="173">
        <v>41129</v>
      </c>
      <c r="M993" s="50">
        <f t="shared" si="39"/>
        <v>41</v>
      </c>
      <c r="N993" s="50" t="s">
        <v>2</v>
      </c>
      <c r="O993" s="74">
        <f>5/2</f>
        <v>2.5</v>
      </c>
      <c r="P993" s="50">
        <v>6.03</v>
      </c>
      <c r="Q993" s="74">
        <v>6.48</v>
      </c>
      <c r="R993" s="50">
        <v>136</v>
      </c>
      <c r="S993" s="74">
        <v>291</v>
      </c>
      <c r="T993" s="50">
        <v>0.2</v>
      </c>
      <c r="U993" s="131">
        <v>1.37</v>
      </c>
      <c r="V993" s="50">
        <v>1.39</v>
      </c>
      <c r="W993" s="74">
        <v>4.9000000000000002E-2</v>
      </c>
      <c r="X993" s="50">
        <v>0.3</v>
      </c>
      <c r="Y993" s="74">
        <v>6.0999999999999999E-2</v>
      </c>
      <c r="Z993" s="271"/>
      <c r="AA993" s="271"/>
      <c r="AB993" s="114"/>
      <c r="AC993" s="50"/>
      <c r="AD993" s="271"/>
      <c r="AE993" s="50"/>
      <c r="AF993" s="49"/>
      <c r="AG993" s="114"/>
      <c r="AH993" s="114"/>
      <c r="AI993" s="114"/>
      <c r="AJ993" s="114"/>
      <c r="AK993" s="114"/>
      <c r="AL993" s="114"/>
      <c r="AM993" s="114"/>
      <c r="AN993" s="114"/>
      <c r="AO993" s="114"/>
      <c r="AP993" s="114"/>
      <c r="AQ993" s="114"/>
      <c r="AR993" s="114"/>
      <c r="AS993" s="50"/>
      <c r="AT993" s="74"/>
      <c r="AU993" s="114"/>
      <c r="AV993" s="114"/>
      <c r="AW993" s="394"/>
      <c r="AX993" s="385"/>
      <c r="AY993" s="385"/>
      <c r="AZ993" s="385"/>
      <c r="BA993" s="385"/>
      <c r="BB993" s="385"/>
      <c r="BC993" s="385"/>
      <c r="BD993" s="385"/>
      <c r="BE993" s="385"/>
      <c r="BF993" s="385"/>
      <c r="BG993" s="385"/>
      <c r="BH993" s="385"/>
      <c r="BI993" s="385"/>
      <c r="BJ993" s="385"/>
      <c r="BK993" s="385"/>
      <c r="BL993" s="385"/>
      <c r="BM993" s="385"/>
      <c r="BN993" s="385"/>
      <c r="BO993" s="385"/>
      <c r="BP993" s="385"/>
      <c r="BQ993" s="385"/>
      <c r="BR993" s="385"/>
      <c r="BS993" s="385"/>
      <c r="BT993" s="385"/>
      <c r="BU993" s="385"/>
      <c r="BV993" s="385"/>
      <c r="BW993" s="385"/>
      <c r="BX993" s="385"/>
      <c r="BY993" s="385"/>
      <c r="BZ993" s="385"/>
      <c r="CA993" s="385"/>
    </row>
    <row r="994" spans="1:79" s="6" customFormat="1" ht="15" customHeight="1">
      <c r="A994" s="41" t="s">
        <v>183</v>
      </c>
      <c r="B994" s="402" t="s">
        <v>3967</v>
      </c>
      <c r="C994" s="113"/>
      <c r="D994" s="393" t="s">
        <v>262</v>
      </c>
      <c r="E994" s="394" t="s">
        <v>3978</v>
      </c>
      <c r="F994" s="402"/>
      <c r="G994" s="405" t="s">
        <v>3981</v>
      </c>
      <c r="H994" s="74">
        <v>4119</v>
      </c>
      <c r="I994" s="50" t="s">
        <v>2</v>
      </c>
      <c r="J994" s="339" t="s">
        <v>3982</v>
      </c>
      <c r="K994" s="51">
        <v>41072</v>
      </c>
      <c r="L994" s="173">
        <v>41067</v>
      </c>
      <c r="M994" s="50">
        <f t="shared" si="39"/>
        <v>5</v>
      </c>
      <c r="N994" s="50" t="s">
        <v>2</v>
      </c>
      <c r="O994" s="74">
        <f>5/2</f>
        <v>2.5</v>
      </c>
      <c r="P994" s="50">
        <v>6.56</v>
      </c>
      <c r="Q994" s="74">
        <v>5.77</v>
      </c>
      <c r="R994" s="50">
        <v>96.3</v>
      </c>
      <c r="S994" s="74">
        <v>29</v>
      </c>
      <c r="T994" s="50">
        <v>0.17</v>
      </c>
      <c r="U994" s="131">
        <v>2.0299999999999998</v>
      </c>
      <c r="V994" s="50">
        <v>1.66</v>
      </c>
      <c r="W994" s="74">
        <v>8.3000000000000004E-2</v>
      </c>
      <c r="X994" s="50">
        <v>0.27</v>
      </c>
      <c r="Y994" s="74">
        <v>1.9E-2</v>
      </c>
      <c r="Z994" s="271">
        <v>1</v>
      </c>
      <c r="AA994" s="271">
        <v>1</v>
      </c>
      <c r="AB994" s="114">
        <v>20.2</v>
      </c>
      <c r="AC994" s="50">
        <v>66</v>
      </c>
      <c r="AD994" s="271">
        <v>1</v>
      </c>
      <c r="AE994" s="50"/>
      <c r="AF994" s="49"/>
      <c r="AG994" s="114"/>
      <c r="AH994" s="114"/>
      <c r="AI994" s="114"/>
      <c r="AJ994" s="114"/>
      <c r="AK994" s="114"/>
      <c r="AL994" s="114"/>
      <c r="AM994" s="114"/>
      <c r="AN994" s="114"/>
      <c r="AO994" s="114"/>
      <c r="AP994" s="114"/>
      <c r="AQ994" s="114"/>
      <c r="AR994" s="114"/>
      <c r="AS994" s="50"/>
      <c r="AT994" s="74"/>
      <c r="AU994" s="114"/>
      <c r="AV994" s="114"/>
      <c r="AW994" s="394"/>
      <c r="AX994" s="385"/>
      <c r="AY994" s="385"/>
      <c r="AZ994" s="385"/>
      <c r="BA994" s="385"/>
      <c r="BB994" s="385"/>
      <c r="BC994" s="385"/>
      <c r="BD994" s="385"/>
      <c r="BE994" s="385"/>
      <c r="BF994" s="385"/>
      <c r="BG994" s="385"/>
      <c r="BH994" s="385"/>
      <c r="BI994" s="385"/>
      <c r="BJ994" s="385"/>
      <c r="BK994" s="385"/>
      <c r="BL994" s="385"/>
      <c r="BM994" s="385"/>
      <c r="BN994" s="385"/>
      <c r="BO994" s="385"/>
      <c r="BP994" s="385"/>
      <c r="BQ994" s="385"/>
      <c r="BR994" s="385"/>
      <c r="BS994" s="385"/>
      <c r="BT994" s="385"/>
      <c r="BU994" s="385"/>
      <c r="BV994" s="385"/>
      <c r="BW994" s="385"/>
      <c r="BX994" s="385"/>
      <c r="BY994" s="385"/>
      <c r="BZ994" s="385"/>
      <c r="CA994" s="385"/>
    </row>
    <row r="995" spans="1:79" s="6" customFormat="1" ht="15" customHeight="1">
      <c r="A995" s="41" t="s">
        <v>183</v>
      </c>
      <c r="B995" s="402" t="s">
        <v>3967</v>
      </c>
      <c r="C995" s="113"/>
      <c r="D995" s="393" t="s">
        <v>262</v>
      </c>
      <c r="E995" s="394" t="s">
        <v>3978</v>
      </c>
      <c r="F995" s="402"/>
      <c r="G995" s="405" t="s">
        <v>3981</v>
      </c>
      <c r="H995" s="74">
        <v>4119</v>
      </c>
      <c r="I995" s="50" t="s">
        <v>2</v>
      </c>
      <c r="J995" s="339" t="s">
        <v>3982</v>
      </c>
      <c r="K995" s="51">
        <v>41170</v>
      </c>
      <c r="L995" s="173">
        <v>41129</v>
      </c>
      <c r="M995" s="50">
        <f t="shared" si="39"/>
        <v>41</v>
      </c>
      <c r="N995" s="50" t="s">
        <v>2</v>
      </c>
      <c r="O995" s="74">
        <f>5/2</f>
        <v>2.5</v>
      </c>
      <c r="P995" s="50">
        <v>5.72</v>
      </c>
      <c r="Q995" s="74">
        <v>6.44</v>
      </c>
      <c r="R995" s="50">
        <v>134</v>
      </c>
      <c r="S995" s="74">
        <v>651</v>
      </c>
      <c r="T995" s="50">
        <v>1.47</v>
      </c>
      <c r="U995" s="131">
        <f>0.5/2</f>
        <v>0.25</v>
      </c>
      <c r="V995" s="50">
        <v>0.27</v>
      </c>
      <c r="W995" s="74">
        <v>0.02</v>
      </c>
      <c r="X995" s="50">
        <v>0.12</v>
      </c>
      <c r="Y995" s="74">
        <v>2.5000000000000001E-2</v>
      </c>
      <c r="Z995" s="271"/>
      <c r="AA995" s="271"/>
      <c r="AB995" s="114"/>
      <c r="AC995" s="50"/>
      <c r="AD995" s="271"/>
      <c r="AE995" s="50"/>
      <c r="AF995" s="49"/>
      <c r="AG995" s="114"/>
      <c r="AH995" s="114"/>
      <c r="AI995" s="114"/>
      <c r="AJ995" s="114"/>
      <c r="AK995" s="114"/>
      <c r="AL995" s="114"/>
      <c r="AM995" s="114"/>
      <c r="AN995" s="114"/>
      <c r="AO995" s="114"/>
      <c r="AP995" s="114"/>
      <c r="AQ995" s="114"/>
      <c r="AR995" s="114"/>
      <c r="AS995" s="50"/>
      <c r="AT995" s="74"/>
      <c r="AU995" s="114"/>
      <c r="AV995" s="114"/>
      <c r="AW995" s="394"/>
      <c r="AX995" s="385"/>
      <c r="AY995" s="385"/>
      <c r="AZ995" s="385"/>
      <c r="BA995" s="385"/>
      <c r="BB995" s="385"/>
      <c r="BC995" s="385"/>
      <c r="BD995" s="385"/>
      <c r="BE995" s="385"/>
      <c r="BF995" s="385"/>
      <c r="BG995" s="385"/>
      <c r="BH995" s="385"/>
      <c r="BI995" s="385"/>
      <c r="BJ995" s="385"/>
      <c r="BK995" s="385"/>
      <c r="BL995" s="385"/>
      <c r="BM995" s="385"/>
      <c r="BN995" s="385"/>
      <c r="BO995" s="385"/>
      <c r="BP995" s="385"/>
      <c r="BQ995" s="385"/>
      <c r="BR995" s="385"/>
      <c r="BS995" s="385"/>
      <c r="BT995" s="385"/>
      <c r="BU995" s="385"/>
      <c r="BV995" s="385"/>
      <c r="BW995" s="385"/>
      <c r="BX995" s="385"/>
      <c r="BY995" s="385"/>
      <c r="BZ995" s="385"/>
      <c r="CA995" s="385"/>
    </row>
    <row r="996" spans="1:79" s="6" customFormat="1" ht="15" customHeight="1">
      <c r="A996" s="41" t="s">
        <v>183</v>
      </c>
      <c r="B996" s="402" t="s">
        <v>3918</v>
      </c>
      <c r="C996" s="113" t="s">
        <v>3983</v>
      </c>
      <c r="D996" s="393" t="s">
        <v>735</v>
      </c>
      <c r="E996" s="394" t="s">
        <v>1293</v>
      </c>
      <c r="F996" s="402"/>
      <c r="G996" s="405" t="s">
        <v>3919</v>
      </c>
      <c r="H996" s="74">
        <v>3351</v>
      </c>
      <c r="I996" s="50" t="s">
        <v>2</v>
      </c>
      <c r="J996" s="339" t="s">
        <v>173</v>
      </c>
      <c r="K996" s="51">
        <v>41136</v>
      </c>
      <c r="L996" s="173">
        <v>41131</v>
      </c>
      <c r="M996" s="50">
        <f t="shared" si="39"/>
        <v>5</v>
      </c>
      <c r="N996" s="50" t="s">
        <v>2</v>
      </c>
      <c r="O996" s="74">
        <f>1/2</f>
        <v>0.5</v>
      </c>
      <c r="P996" s="50">
        <v>5.9</v>
      </c>
      <c r="Q996" s="74">
        <v>7.4</v>
      </c>
      <c r="R996" s="50">
        <f>5/2</f>
        <v>2.5</v>
      </c>
      <c r="S996" s="74">
        <v>11</v>
      </c>
      <c r="T996" s="50">
        <v>3.1E-2</v>
      </c>
      <c r="U996" s="131">
        <v>0.91</v>
      </c>
      <c r="V996" s="50">
        <v>0.53</v>
      </c>
      <c r="W996" s="74">
        <v>1.37</v>
      </c>
      <c r="X996" s="50">
        <v>0.248</v>
      </c>
      <c r="Y996" s="74">
        <f>0.005/2</f>
        <v>2.5000000000000001E-3</v>
      </c>
      <c r="Z996" s="271">
        <v>6.25E-2</v>
      </c>
      <c r="AA996" s="271">
        <v>6.25E-2</v>
      </c>
      <c r="AB996" s="114">
        <v>28</v>
      </c>
      <c r="AC996" s="50">
        <v>71</v>
      </c>
      <c r="AD996" s="271">
        <v>0</v>
      </c>
      <c r="AE996" s="50"/>
      <c r="AF996" s="49"/>
      <c r="AG996" s="114"/>
      <c r="AH996" s="114"/>
      <c r="AI996" s="114"/>
      <c r="AJ996" s="114"/>
      <c r="AK996" s="114"/>
      <c r="AL996" s="114"/>
      <c r="AM996" s="114"/>
      <c r="AN996" s="114"/>
      <c r="AO996" s="114"/>
      <c r="AP996" s="114"/>
      <c r="AQ996" s="114"/>
      <c r="AR996" s="114"/>
      <c r="AS996" s="50"/>
      <c r="AT996" s="74"/>
      <c r="AU996" s="114"/>
      <c r="AV996" s="114"/>
      <c r="AW996" s="394"/>
      <c r="AX996" s="385"/>
      <c r="AY996" s="385"/>
      <c r="AZ996" s="385"/>
      <c r="BA996" s="385"/>
      <c r="BB996" s="385"/>
      <c r="BC996" s="385"/>
      <c r="BD996" s="385"/>
      <c r="BE996" s="385"/>
      <c r="BF996" s="385"/>
      <c r="BG996" s="385"/>
      <c r="BH996" s="385"/>
      <c r="BI996" s="385"/>
      <c r="BJ996" s="385"/>
      <c r="BK996" s="385"/>
      <c r="BL996" s="385"/>
      <c r="BM996" s="385"/>
      <c r="BN996" s="385"/>
      <c r="BO996" s="385"/>
      <c r="BP996" s="385"/>
      <c r="BQ996" s="385"/>
      <c r="BR996" s="385"/>
      <c r="BS996" s="385"/>
      <c r="BT996" s="385"/>
      <c r="BU996" s="385"/>
      <c r="BV996" s="385"/>
      <c r="BW996" s="385"/>
      <c r="BX996" s="385"/>
      <c r="BY996" s="385"/>
      <c r="BZ996" s="385"/>
      <c r="CA996" s="385"/>
    </row>
    <row r="997" spans="1:79" s="6" customFormat="1" ht="15" customHeight="1">
      <c r="A997" s="41" t="s">
        <v>183</v>
      </c>
      <c r="B997" s="402" t="s">
        <v>3918</v>
      </c>
      <c r="C997" s="113" t="s">
        <v>3983</v>
      </c>
      <c r="D997" s="393" t="s">
        <v>735</v>
      </c>
      <c r="E997" s="394" t="s">
        <v>1293</v>
      </c>
      <c r="F997" s="402"/>
      <c r="G997" s="405" t="s">
        <v>3919</v>
      </c>
      <c r="H997" s="74">
        <v>3351</v>
      </c>
      <c r="I997" s="50" t="s">
        <v>2</v>
      </c>
      <c r="J997" s="339" t="s">
        <v>3920</v>
      </c>
      <c r="K997" s="51">
        <v>41136</v>
      </c>
      <c r="L997" s="173">
        <v>41131</v>
      </c>
      <c r="M997" s="50">
        <f t="shared" si="39"/>
        <v>5</v>
      </c>
      <c r="N997" s="50" t="s">
        <v>2</v>
      </c>
      <c r="O997" s="74">
        <v>1.3</v>
      </c>
      <c r="P997" s="50">
        <v>5.9</v>
      </c>
      <c r="Q997" s="74">
        <v>6.8</v>
      </c>
      <c r="R997" s="50">
        <v>31.3</v>
      </c>
      <c r="S997" s="74">
        <v>53</v>
      </c>
      <c r="T997" s="50">
        <v>0.13</v>
      </c>
      <c r="U997" s="131">
        <v>1.1200000000000001</v>
      </c>
      <c r="V997" s="50">
        <v>0.42499999999999999</v>
      </c>
      <c r="W997" s="74">
        <v>1.82</v>
      </c>
      <c r="X997" s="50">
        <v>0.32800000000000001</v>
      </c>
      <c r="Y997" s="74">
        <v>9.7000000000000003E-3</v>
      </c>
      <c r="Z997" s="271">
        <v>6.25E-2</v>
      </c>
      <c r="AA997" s="271">
        <v>6.25E-2</v>
      </c>
      <c r="AB997" s="114">
        <v>14</v>
      </c>
      <c r="AC997" s="50">
        <v>26</v>
      </c>
      <c r="AD997" s="271">
        <v>0</v>
      </c>
      <c r="AE997" s="50"/>
      <c r="AF997" s="49"/>
      <c r="AG997" s="114"/>
      <c r="AH997" s="114"/>
      <c r="AI997" s="114"/>
      <c r="AJ997" s="114"/>
      <c r="AK997" s="114"/>
      <c r="AL997" s="114"/>
      <c r="AM997" s="114"/>
      <c r="AN997" s="114"/>
      <c r="AO997" s="114"/>
      <c r="AP997" s="114"/>
      <c r="AQ997" s="114"/>
      <c r="AR997" s="114"/>
      <c r="AS997" s="50"/>
      <c r="AT997" s="74"/>
      <c r="AU997" s="114"/>
      <c r="AV997" s="114"/>
      <c r="AW997" s="394"/>
      <c r="AX997" s="385"/>
      <c r="AY997" s="385"/>
      <c r="AZ997" s="385"/>
      <c r="BA997" s="385"/>
      <c r="BB997" s="385"/>
      <c r="BC997" s="385"/>
      <c r="BD997" s="385"/>
      <c r="BE997" s="385"/>
      <c r="BF997" s="385"/>
      <c r="BG997" s="385"/>
      <c r="BH997" s="385"/>
      <c r="BI997" s="385"/>
      <c r="BJ997" s="385"/>
      <c r="BK997" s="385"/>
      <c r="BL997" s="385"/>
      <c r="BM997" s="385"/>
      <c r="BN997" s="385"/>
      <c r="BO997" s="385"/>
      <c r="BP997" s="385"/>
      <c r="BQ997" s="385"/>
      <c r="BR997" s="385"/>
      <c r="BS997" s="385"/>
      <c r="BT997" s="385"/>
      <c r="BU997" s="385"/>
      <c r="BV997" s="385"/>
      <c r="BW997" s="385"/>
      <c r="BX997" s="385"/>
      <c r="BY997" s="385"/>
      <c r="BZ997" s="385"/>
      <c r="CA997" s="385"/>
    </row>
    <row r="998" spans="1:79" s="6" customFormat="1" ht="15" customHeight="1">
      <c r="A998" s="41" t="s">
        <v>183</v>
      </c>
      <c r="B998" s="402" t="s">
        <v>3918</v>
      </c>
      <c r="C998" s="113" t="s">
        <v>3983</v>
      </c>
      <c r="D998" s="393" t="s">
        <v>735</v>
      </c>
      <c r="E998" s="394" t="s">
        <v>1293</v>
      </c>
      <c r="F998" s="402"/>
      <c r="G998" s="405" t="s">
        <v>3919</v>
      </c>
      <c r="H998" s="74">
        <v>3351</v>
      </c>
      <c r="I998" s="50" t="s">
        <v>2</v>
      </c>
      <c r="J998" s="339" t="s">
        <v>176</v>
      </c>
      <c r="K998" s="51">
        <v>41136</v>
      </c>
      <c r="L998" s="173">
        <v>41131</v>
      </c>
      <c r="M998" s="50">
        <f t="shared" si="39"/>
        <v>5</v>
      </c>
      <c r="N998" s="50" t="s">
        <v>2</v>
      </c>
      <c r="O998" s="74">
        <f>1/2</f>
        <v>0.5</v>
      </c>
      <c r="P998" s="50">
        <v>5.9</v>
      </c>
      <c r="Q998" s="74">
        <v>6.4</v>
      </c>
      <c r="R998" s="50">
        <v>30</v>
      </c>
      <c r="S998" s="74">
        <v>21</v>
      </c>
      <c r="T998" s="50">
        <v>6.9099999999999995E-2</v>
      </c>
      <c r="U998" s="131">
        <v>1.54</v>
      </c>
      <c r="V998" s="50">
        <v>2.0299999999999998</v>
      </c>
      <c r="W998" s="74">
        <v>0.95</v>
      </c>
      <c r="X998" s="50">
        <v>0.189</v>
      </c>
      <c r="Y998" s="74">
        <f>0.005/2</f>
        <v>2.5000000000000001E-3</v>
      </c>
      <c r="Z998" s="271">
        <v>6.25E-2</v>
      </c>
      <c r="AA998" s="271">
        <v>6.25E-2</v>
      </c>
      <c r="AB998" s="114">
        <v>26</v>
      </c>
      <c r="AC998" s="50">
        <v>57</v>
      </c>
      <c r="AD998" s="271">
        <v>0</v>
      </c>
      <c r="AE998" s="50"/>
      <c r="AF998" s="49"/>
      <c r="AG998" s="114"/>
      <c r="AH998" s="114"/>
      <c r="AI998" s="114"/>
      <c r="AJ998" s="114"/>
      <c r="AK998" s="114"/>
      <c r="AL998" s="114"/>
      <c r="AM998" s="114"/>
      <c r="AN998" s="114"/>
      <c r="AO998" s="114"/>
      <c r="AP998" s="114"/>
      <c r="AQ998" s="114"/>
      <c r="AR998" s="114"/>
      <c r="AS998" s="50"/>
      <c r="AT998" s="74"/>
      <c r="AU998" s="114"/>
      <c r="AV998" s="114"/>
      <c r="AW998" s="394"/>
      <c r="AX998" s="385"/>
      <c r="AY998" s="385"/>
      <c r="AZ998" s="385"/>
      <c r="BA998" s="385"/>
      <c r="BB998" s="385"/>
      <c r="BC998" s="385"/>
      <c r="BD998" s="385"/>
      <c r="BE998" s="385"/>
      <c r="BF998" s="385"/>
      <c r="BG998" s="385"/>
      <c r="BH998" s="385"/>
      <c r="BI998" s="385"/>
      <c r="BJ998" s="385"/>
      <c r="BK998" s="385"/>
      <c r="BL998" s="385"/>
      <c r="BM998" s="385"/>
      <c r="BN998" s="385"/>
      <c r="BO998" s="385"/>
      <c r="BP998" s="385"/>
      <c r="BQ998" s="385"/>
      <c r="BR998" s="385"/>
      <c r="BS998" s="385"/>
      <c r="BT998" s="385"/>
      <c r="BU998" s="385"/>
      <c r="BV998" s="385"/>
      <c r="BW998" s="385"/>
      <c r="BX998" s="385"/>
      <c r="BY998" s="385"/>
      <c r="BZ998" s="385"/>
      <c r="CA998" s="385"/>
    </row>
    <row r="999" spans="1:79" s="6" customFormat="1" ht="15" customHeight="1">
      <c r="A999" s="41" t="s">
        <v>183</v>
      </c>
      <c r="B999" s="402" t="s">
        <v>4016</v>
      </c>
      <c r="C999" s="113" t="s">
        <v>4017</v>
      </c>
      <c r="D999" s="393" t="s">
        <v>559</v>
      </c>
      <c r="E999" s="394"/>
      <c r="F999" s="424" t="s">
        <v>4018</v>
      </c>
      <c r="G999" s="405" t="s">
        <v>4019</v>
      </c>
      <c r="H999" s="74">
        <v>3271</v>
      </c>
      <c r="I999" s="50" t="s">
        <v>2</v>
      </c>
      <c r="J999" s="339" t="s">
        <v>510</v>
      </c>
      <c r="K999" s="51">
        <v>41044</v>
      </c>
      <c r="L999" s="173">
        <v>41039</v>
      </c>
      <c r="M999" s="50">
        <f t="shared" si="39"/>
        <v>5</v>
      </c>
      <c r="N999" s="50" t="s">
        <v>2</v>
      </c>
      <c r="O999" s="74">
        <f>1.4/2</f>
        <v>0.7</v>
      </c>
      <c r="P999" s="50">
        <v>6.5</v>
      </c>
      <c r="Q999" s="74">
        <v>8.9499999999999993</v>
      </c>
      <c r="R999" s="50">
        <v>22</v>
      </c>
      <c r="S999" s="74">
        <v>7</v>
      </c>
      <c r="T999" s="50">
        <v>0.03</v>
      </c>
      <c r="U999" s="131">
        <v>0.49</v>
      </c>
      <c r="V999" s="50">
        <v>1.18</v>
      </c>
      <c r="W999" s="74">
        <f>0.005/2</f>
        <v>2.5000000000000001E-3</v>
      </c>
      <c r="X999" s="50">
        <v>1.9E-2</v>
      </c>
      <c r="Y999" s="74">
        <f>0.002/2</f>
        <v>1E-3</v>
      </c>
      <c r="Z999" s="271">
        <v>1</v>
      </c>
      <c r="AA999" s="271">
        <v>1</v>
      </c>
      <c r="AB999" s="114">
        <v>100</v>
      </c>
      <c r="AC999" s="50">
        <v>508</v>
      </c>
      <c r="AD999" s="271">
        <v>1</v>
      </c>
      <c r="AE999" s="50"/>
      <c r="AF999" s="49"/>
      <c r="AG999" s="114"/>
      <c r="AH999" s="114"/>
      <c r="AI999" s="114"/>
      <c r="AJ999" s="114"/>
      <c r="AK999" s="114"/>
      <c r="AL999" s="114"/>
      <c r="AM999" s="114"/>
      <c r="AN999" s="114"/>
      <c r="AO999" s="114"/>
      <c r="AP999" s="114"/>
      <c r="AQ999" s="114"/>
      <c r="AR999" s="114"/>
      <c r="AS999" s="50"/>
      <c r="AT999" s="74"/>
      <c r="AU999" s="114"/>
      <c r="AV999" s="114"/>
      <c r="AW999" s="394"/>
      <c r="AX999" s="385"/>
      <c r="AY999" s="385"/>
      <c r="AZ999" s="385"/>
      <c r="BA999" s="385"/>
      <c r="BB999" s="385"/>
      <c r="BC999" s="385"/>
      <c r="BD999" s="385"/>
      <c r="BE999" s="385"/>
      <c r="BF999" s="385"/>
      <c r="BG999" s="385"/>
      <c r="BH999" s="385"/>
      <c r="BI999" s="385"/>
      <c r="BJ999" s="385"/>
      <c r="BK999" s="385"/>
      <c r="BL999" s="385"/>
      <c r="BM999" s="385"/>
      <c r="BN999" s="385"/>
      <c r="BO999" s="385"/>
      <c r="BP999" s="385"/>
      <c r="BQ999" s="385"/>
      <c r="BR999" s="385"/>
      <c r="BS999" s="385"/>
      <c r="BT999" s="385"/>
      <c r="BU999" s="385"/>
      <c r="BV999" s="385"/>
      <c r="BW999" s="385"/>
      <c r="BX999" s="385"/>
      <c r="BY999" s="385"/>
      <c r="BZ999" s="385"/>
      <c r="CA999" s="385"/>
    </row>
    <row r="1000" spans="1:79" s="6" customFormat="1" ht="15" customHeight="1">
      <c r="A1000" s="41" t="s">
        <v>183</v>
      </c>
      <c r="B1000" s="402" t="s">
        <v>2973</v>
      </c>
      <c r="C1000" s="113" t="s">
        <v>4020</v>
      </c>
      <c r="D1000" s="393" t="s">
        <v>480</v>
      </c>
      <c r="E1000" s="394" t="s">
        <v>44</v>
      </c>
      <c r="F1000" s="402"/>
      <c r="G1000" s="405" t="s">
        <v>4021</v>
      </c>
      <c r="H1000" s="74">
        <v>4952</v>
      </c>
      <c r="I1000" s="50" t="s">
        <v>1</v>
      </c>
      <c r="J1000" s="339" t="s">
        <v>4022</v>
      </c>
      <c r="K1000" s="51">
        <v>41170</v>
      </c>
      <c r="L1000" s="173">
        <v>41160</v>
      </c>
      <c r="M1000" s="50">
        <f t="shared" si="39"/>
        <v>10</v>
      </c>
      <c r="N1000" s="50" t="s">
        <v>2</v>
      </c>
      <c r="O1000" s="74">
        <v>3.5</v>
      </c>
      <c r="P1000" s="50">
        <v>7</v>
      </c>
      <c r="Q1000" s="74">
        <v>6.8</v>
      </c>
      <c r="R1000" s="50">
        <v>80</v>
      </c>
      <c r="S1000" s="74">
        <v>62</v>
      </c>
      <c r="T1000" s="50">
        <v>0.49</v>
      </c>
      <c r="U1000" s="131">
        <v>3.18</v>
      </c>
      <c r="V1000" s="50">
        <v>0.6</v>
      </c>
      <c r="W1000" s="74">
        <v>2.9000000000000001E-2</v>
      </c>
      <c r="X1000" s="50">
        <v>6.4000000000000001E-2</v>
      </c>
      <c r="Y1000" s="74">
        <f>0.03/2</f>
        <v>1.4999999999999999E-2</v>
      </c>
      <c r="Z1000" s="271"/>
      <c r="AA1000" s="271"/>
      <c r="AB1000" s="114"/>
      <c r="AC1000" s="50"/>
      <c r="AD1000" s="271"/>
      <c r="AE1000" s="50"/>
      <c r="AF1000" s="49"/>
      <c r="AG1000" s="114"/>
      <c r="AH1000" s="114"/>
      <c r="AI1000" s="114"/>
      <c r="AJ1000" s="114"/>
      <c r="AK1000" s="114"/>
      <c r="AL1000" s="114"/>
      <c r="AM1000" s="114"/>
      <c r="AN1000" s="114"/>
      <c r="AO1000" s="114"/>
      <c r="AP1000" s="114"/>
      <c r="AQ1000" s="114"/>
      <c r="AR1000" s="114"/>
      <c r="AS1000" s="50"/>
      <c r="AT1000" s="74"/>
      <c r="AU1000" s="114"/>
      <c r="AV1000" s="114"/>
      <c r="AW1000" s="394"/>
      <c r="AX1000" s="385"/>
      <c r="AY1000" s="385"/>
      <c r="AZ1000" s="385"/>
      <c r="BA1000" s="385"/>
      <c r="BB1000" s="385"/>
      <c r="BC1000" s="385"/>
      <c r="BD1000" s="385"/>
      <c r="BE1000" s="385"/>
      <c r="BF1000" s="385"/>
      <c r="BG1000" s="385"/>
      <c r="BH1000" s="385"/>
      <c r="BI1000" s="385"/>
      <c r="BJ1000" s="385"/>
      <c r="BK1000" s="385"/>
      <c r="BL1000" s="385"/>
      <c r="BM1000" s="385"/>
      <c r="BN1000" s="385"/>
      <c r="BO1000" s="385"/>
      <c r="BP1000" s="385"/>
      <c r="BQ1000" s="385"/>
      <c r="BR1000" s="385"/>
      <c r="BS1000" s="385"/>
      <c r="BT1000" s="385"/>
      <c r="BU1000" s="385"/>
      <c r="BV1000" s="385"/>
      <c r="BW1000" s="385"/>
      <c r="BX1000" s="385"/>
      <c r="BY1000" s="385"/>
      <c r="BZ1000" s="385"/>
      <c r="CA1000" s="385"/>
    </row>
    <row r="1001" spans="1:79" s="6" customFormat="1" ht="15" customHeight="1">
      <c r="A1001" s="41" t="s">
        <v>183</v>
      </c>
      <c r="B1001" s="402" t="s">
        <v>2973</v>
      </c>
      <c r="C1001" s="113" t="s">
        <v>4020</v>
      </c>
      <c r="D1001" s="393" t="s">
        <v>480</v>
      </c>
      <c r="E1001" s="394" t="s">
        <v>44</v>
      </c>
      <c r="F1001" s="402"/>
      <c r="G1001" s="405" t="s">
        <v>4021</v>
      </c>
      <c r="H1001" s="74">
        <v>4952</v>
      </c>
      <c r="I1001" s="50" t="s">
        <v>1</v>
      </c>
      <c r="J1001" s="339" t="s">
        <v>4023</v>
      </c>
      <c r="K1001" s="51">
        <v>41170</v>
      </c>
      <c r="L1001" s="173">
        <v>41160</v>
      </c>
      <c r="M1001" s="50">
        <f t="shared" si="39"/>
        <v>10</v>
      </c>
      <c r="N1001" s="50" t="s">
        <v>2</v>
      </c>
      <c r="O1001" s="74">
        <v>2.6</v>
      </c>
      <c r="P1001" s="50">
        <v>7</v>
      </c>
      <c r="Q1001" s="74">
        <v>6.5</v>
      </c>
      <c r="R1001" s="50">
        <v>65</v>
      </c>
      <c r="S1001" s="74">
        <v>72</v>
      </c>
      <c r="T1001" s="50">
        <v>0.48</v>
      </c>
      <c r="U1001" s="131">
        <v>2.2000000000000002</v>
      </c>
      <c r="V1001" s="50">
        <v>0.46</v>
      </c>
      <c r="W1001" s="74">
        <v>2.7E-2</v>
      </c>
      <c r="X1001" s="50">
        <v>7.8E-2</v>
      </c>
      <c r="Y1001" s="74">
        <f>0.03/2</f>
        <v>1.4999999999999999E-2</v>
      </c>
      <c r="Z1001" s="271"/>
      <c r="AA1001" s="271"/>
      <c r="AB1001" s="114"/>
      <c r="AC1001" s="50"/>
      <c r="AD1001" s="271"/>
      <c r="AE1001" s="50"/>
      <c r="AF1001" s="49"/>
      <c r="AG1001" s="114"/>
      <c r="AH1001" s="114"/>
      <c r="AI1001" s="114"/>
      <c r="AJ1001" s="114"/>
      <c r="AK1001" s="114"/>
      <c r="AL1001" s="114"/>
      <c r="AM1001" s="114"/>
      <c r="AN1001" s="114"/>
      <c r="AO1001" s="114"/>
      <c r="AP1001" s="114"/>
      <c r="AQ1001" s="114"/>
      <c r="AR1001" s="114"/>
      <c r="AS1001" s="50"/>
      <c r="AT1001" s="74"/>
      <c r="AU1001" s="114"/>
      <c r="AV1001" s="114"/>
      <c r="AW1001" s="394"/>
      <c r="AX1001" s="385"/>
      <c r="AY1001" s="385"/>
      <c r="AZ1001" s="385"/>
      <c r="BA1001" s="385"/>
      <c r="BB1001" s="385"/>
      <c r="BC1001" s="385"/>
      <c r="BD1001" s="385"/>
      <c r="BE1001" s="385"/>
      <c r="BF1001" s="385"/>
      <c r="BG1001" s="385"/>
      <c r="BH1001" s="385"/>
      <c r="BI1001" s="385"/>
      <c r="BJ1001" s="385"/>
      <c r="BK1001" s="385"/>
      <c r="BL1001" s="385"/>
      <c r="BM1001" s="385"/>
      <c r="BN1001" s="385"/>
      <c r="BO1001" s="385"/>
      <c r="BP1001" s="385"/>
      <c r="BQ1001" s="385"/>
      <c r="BR1001" s="385"/>
      <c r="BS1001" s="385"/>
      <c r="BT1001" s="385"/>
      <c r="BU1001" s="385"/>
      <c r="BV1001" s="385"/>
      <c r="BW1001" s="385"/>
      <c r="BX1001" s="385"/>
      <c r="BY1001" s="385"/>
      <c r="BZ1001" s="385"/>
      <c r="CA1001" s="385"/>
    </row>
    <row r="1002" spans="1:79" s="6" customFormat="1" ht="15" customHeight="1">
      <c r="A1002" s="41" t="s">
        <v>183</v>
      </c>
      <c r="B1002" s="402" t="s">
        <v>1970</v>
      </c>
      <c r="C1002" s="113"/>
      <c r="D1002" s="393" t="s">
        <v>111</v>
      </c>
      <c r="E1002" s="394" t="s">
        <v>112</v>
      </c>
      <c r="F1002" s="402"/>
      <c r="G1002" s="405" t="s">
        <v>4024</v>
      </c>
      <c r="H1002" s="74">
        <v>5093</v>
      </c>
      <c r="I1002" s="50" t="s">
        <v>2</v>
      </c>
      <c r="J1002" s="339" t="s">
        <v>4025</v>
      </c>
      <c r="K1002" s="51">
        <v>41240</v>
      </c>
      <c r="L1002" s="173">
        <v>41226</v>
      </c>
      <c r="M1002" s="50">
        <f t="shared" si="39"/>
        <v>14</v>
      </c>
      <c r="N1002" s="50" t="s">
        <v>2</v>
      </c>
      <c r="O1002" s="74">
        <v>2</v>
      </c>
      <c r="P1002" s="50">
        <v>6.5</v>
      </c>
      <c r="Q1002" s="74">
        <v>6.7</v>
      </c>
      <c r="R1002" s="50">
        <v>14</v>
      </c>
      <c r="S1002" s="74">
        <v>7</v>
      </c>
      <c r="T1002" s="50">
        <v>0.28000000000000003</v>
      </c>
      <c r="U1002" s="131">
        <v>5.78</v>
      </c>
      <c r="V1002" s="50">
        <v>1.1499999999999999</v>
      </c>
      <c r="W1002" s="74">
        <v>5.5E-2</v>
      </c>
      <c r="X1002" s="50">
        <v>1.65</v>
      </c>
      <c r="Y1002" s="74">
        <f>0.03/2</f>
        <v>1.4999999999999999E-2</v>
      </c>
      <c r="Z1002" s="271">
        <v>1</v>
      </c>
      <c r="AA1002" s="271">
        <v>0.88500000000000001</v>
      </c>
      <c r="AB1002" s="114">
        <v>9</v>
      </c>
      <c r="AC1002" s="50">
        <v>65</v>
      </c>
      <c r="AD1002" s="271">
        <v>0.35</v>
      </c>
      <c r="AE1002" s="50"/>
      <c r="AF1002" s="49"/>
      <c r="AG1002" s="114"/>
      <c r="AH1002" s="114"/>
      <c r="AI1002" s="114"/>
      <c r="AJ1002" s="114"/>
      <c r="AK1002" s="114"/>
      <c r="AL1002" s="114"/>
      <c r="AM1002" s="114"/>
      <c r="AN1002" s="114"/>
      <c r="AO1002" s="114"/>
      <c r="AP1002" s="114"/>
      <c r="AQ1002" s="114"/>
      <c r="AR1002" s="114"/>
      <c r="AS1002" s="50"/>
      <c r="AT1002" s="74"/>
      <c r="AU1002" s="114"/>
      <c r="AV1002" s="114"/>
      <c r="AW1002" s="394"/>
      <c r="AX1002" s="385"/>
      <c r="AY1002" s="385"/>
      <c r="AZ1002" s="385"/>
      <c r="BA1002" s="385"/>
      <c r="BB1002" s="385"/>
      <c r="BC1002" s="385"/>
      <c r="BD1002" s="385"/>
      <c r="BE1002" s="385"/>
      <c r="BF1002" s="385"/>
      <c r="BG1002" s="385"/>
      <c r="BH1002" s="385"/>
      <c r="BI1002" s="385"/>
      <c r="BJ1002" s="385"/>
      <c r="BK1002" s="385"/>
      <c r="BL1002" s="385"/>
      <c r="BM1002" s="385"/>
      <c r="BN1002" s="385"/>
      <c r="BO1002" s="385"/>
      <c r="BP1002" s="385"/>
      <c r="BQ1002" s="385"/>
      <c r="BR1002" s="385"/>
      <c r="BS1002" s="385"/>
      <c r="BT1002" s="385"/>
      <c r="BU1002" s="385"/>
      <c r="BV1002" s="385"/>
      <c r="BW1002" s="385"/>
      <c r="BX1002" s="385"/>
      <c r="BY1002" s="385"/>
      <c r="BZ1002" s="385"/>
      <c r="CA1002" s="385"/>
    </row>
    <row r="1003" spans="1:79" s="6" customFormat="1" ht="15" customHeight="1">
      <c r="A1003" s="41" t="s">
        <v>183</v>
      </c>
      <c r="B1003" s="402" t="s">
        <v>2189</v>
      </c>
      <c r="C1003" s="113"/>
      <c r="D1003" s="393" t="s">
        <v>89</v>
      </c>
      <c r="E1003" s="394" t="s">
        <v>535</v>
      </c>
      <c r="F1003" s="402"/>
      <c r="G1003" s="405" t="s">
        <v>2190</v>
      </c>
      <c r="H1003" s="113">
        <v>3629</v>
      </c>
      <c r="I1003" s="49"/>
      <c r="J1003" s="48" t="s">
        <v>2036</v>
      </c>
      <c r="K1003" s="51">
        <v>41170</v>
      </c>
      <c r="L1003" s="173">
        <v>41161</v>
      </c>
      <c r="M1003" s="50">
        <f t="shared" si="39"/>
        <v>9</v>
      </c>
      <c r="N1003" s="50" t="s">
        <v>2</v>
      </c>
      <c r="O1003" s="74">
        <f>1/2</f>
        <v>0.5</v>
      </c>
      <c r="P1003" s="50">
        <v>5.9</v>
      </c>
      <c r="Q1003" s="74">
        <v>6.2</v>
      </c>
      <c r="R1003" s="50">
        <v>15</v>
      </c>
      <c r="S1003" s="74">
        <v>1.5</v>
      </c>
      <c r="T1003" s="50">
        <v>0.11</v>
      </c>
      <c r="U1003" s="131">
        <v>0.8</v>
      </c>
      <c r="V1003" s="50">
        <v>0.67</v>
      </c>
      <c r="W1003" s="74">
        <v>0.01</v>
      </c>
      <c r="X1003" s="50">
        <v>0.31</v>
      </c>
      <c r="Y1003" s="74">
        <v>1.2E-2</v>
      </c>
      <c r="Z1003" s="271"/>
      <c r="AA1003" s="271"/>
      <c r="AB1003" s="114"/>
      <c r="AC1003" s="50"/>
      <c r="AD1003" s="271"/>
      <c r="AE1003" s="50">
        <v>1</v>
      </c>
      <c r="AF1003" s="49"/>
      <c r="AG1003" s="114"/>
      <c r="AH1003" s="114"/>
      <c r="AI1003" s="114"/>
      <c r="AJ1003" s="114"/>
      <c r="AK1003" s="114"/>
      <c r="AL1003" s="114"/>
      <c r="AM1003" s="114"/>
      <c r="AN1003" s="114"/>
      <c r="AO1003" s="114"/>
      <c r="AP1003" s="114"/>
      <c r="AQ1003" s="114"/>
      <c r="AR1003" s="114"/>
      <c r="AS1003" s="50"/>
      <c r="AT1003" s="74"/>
      <c r="AU1003" s="114"/>
      <c r="AV1003" s="114"/>
      <c r="AW1003" s="394"/>
      <c r="AX1003" s="385"/>
      <c r="AY1003" s="385"/>
      <c r="AZ1003" s="385"/>
      <c r="BA1003" s="385"/>
      <c r="BB1003" s="385"/>
      <c r="BC1003" s="385"/>
      <c r="BD1003" s="385"/>
      <c r="BE1003" s="385"/>
      <c r="BF1003" s="385"/>
      <c r="BG1003" s="385"/>
      <c r="BH1003" s="385"/>
      <c r="BI1003" s="385"/>
      <c r="BJ1003" s="385"/>
      <c r="BK1003" s="385"/>
      <c r="BL1003" s="385"/>
      <c r="BM1003" s="385"/>
      <c r="BN1003" s="385"/>
      <c r="BO1003" s="385"/>
      <c r="BP1003" s="385"/>
      <c r="BQ1003" s="385"/>
      <c r="BR1003" s="385"/>
      <c r="BS1003" s="385"/>
      <c r="BT1003" s="385"/>
      <c r="BU1003" s="385"/>
      <c r="BV1003" s="385"/>
      <c r="BW1003" s="385"/>
      <c r="BX1003" s="385"/>
      <c r="BY1003" s="385"/>
      <c r="BZ1003" s="385"/>
      <c r="CA1003" s="385"/>
    </row>
    <row r="1004" spans="1:79" s="6" customFormat="1" ht="15" customHeight="1">
      <c r="A1004" s="41" t="s">
        <v>183</v>
      </c>
      <c r="B1004" s="402" t="s">
        <v>2189</v>
      </c>
      <c r="C1004" s="113"/>
      <c r="D1004" s="393" t="s">
        <v>89</v>
      </c>
      <c r="E1004" s="394" t="s">
        <v>535</v>
      </c>
      <c r="F1004" s="402"/>
      <c r="G1004" s="405" t="s">
        <v>2190</v>
      </c>
      <c r="H1004" s="113">
        <v>3629</v>
      </c>
      <c r="I1004" s="49" t="s">
        <v>1</v>
      </c>
      <c r="J1004" s="48" t="s">
        <v>2191</v>
      </c>
      <c r="K1004" s="51">
        <v>41170</v>
      </c>
      <c r="L1004" s="173">
        <v>41161</v>
      </c>
      <c r="M1004" s="50">
        <f t="shared" si="39"/>
        <v>9</v>
      </c>
      <c r="N1004" s="50" t="s">
        <v>2</v>
      </c>
      <c r="O1004" s="74">
        <f>1/2</f>
        <v>0.5</v>
      </c>
      <c r="P1004" s="50">
        <v>5.9</v>
      </c>
      <c r="Q1004" s="74">
        <v>5.4</v>
      </c>
      <c r="R1004" s="50">
        <v>13</v>
      </c>
      <c r="S1004" s="74">
        <v>1.2</v>
      </c>
      <c r="T1004" s="50">
        <v>0.13</v>
      </c>
      <c r="U1004" s="131">
        <v>0.78</v>
      </c>
      <c r="V1004" s="50">
        <v>0.67</v>
      </c>
      <c r="W1004" s="74">
        <v>0.01</v>
      </c>
      <c r="X1004" s="50">
        <v>0.31</v>
      </c>
      <c r="Y1004" s="74">
        <v>1.2E-2</v>
      </c>
      <c r="Z1004" s="271"/>
      <c r="AA1004" s="271"/>
      <c r="AB1004" s="114"/>
      <c r="AC1004" s="50"/>
      <c r="AD1004" s="271"/>
      <c r="AE1004" s="50">
        <v>1</v>
      </c>
      <c r="AF1004" s="49"/>
      <c r="AG1004" s="114"/>
      <c r="AH1004" s="114"/>
      <c r="AI1004" s="114"/>
      <c r="AJ1004" s="114"/>
      <c r="AK1004" s="114"/>
      <c r="AL1004" s="114"/>
      <c r="AM1004" s="114"/>
      <c r="AN1004" s="114"/>
      <c r="AO1004" s="114"/>
      <c r="AP1004" s="114"/>
      <c r="AQ1004" s="114"/>
      <c r="AR1004" s="114"/>
      <c r="AS1004" s="50"/>
      <c r="AT1004" s="74"/>
      <c r="AU1004" s="114"/>
      <c r="AV1004" s="114"/>
      <c r="AW1004" s="394"/>
      <c r="AX1004" s="385"/>
      <c r="AY1004" s="385"/>
      <c r="AZ1004" s="385"/>
      <c r="BA1004" s="385"/>
      <c r="BB1004" s="385"/>
      <c r="BC1004" s="385"/>
      <c r="BD1004" s="385"/>
      <c r="BE1004" s="385"/>
      <c r="BF1004" s="385"/>
      <c r="BG1004" s="385"/>
      <c r="BH1004" s="385"/>
      <c r="BI1004" s="385"/>
      <c r="BJ1004" s="385"/>
      <c r="BK1004" s="385"/>
      <c r="BL1004" s="385"/>
      <c r="BM1004" s="385"/>
      <c r="BN1004" s="385"/>
      <c r="BO1004" s="385"/>
      <c r="BP1004" s="385"/>
      <c r="BQ1004" s="385"/>
      <c r="BR1004" s="385"/>
      <c r="BS1004" s="385"/>
      <c r="BT1004" s="385"/>
      <c r="BU1004" s="385"/>
      <c r="BV1004" s="385"/>
      <c r="BW1004" s="385"/>
      <c r="BX1004" s="385"/>
      <c r="BY1004" s="385"/>
      <c r="BZ1004" s="385"/>
      <c r="CA1004" s="385"/>
    </row>
    <row r="1005" spans="1:79" s="6" customFormat="1" ht="15" customHeight="1">
      <c r="A1005" s="41" t="s">
        <v>183</v>
      </c>
      <c r="B1005" s="402" t="s">
        <v>2189</v>
      </c>
      <c r="C1005" s="113"/>
      <c r="D1005" s="393" t="s">
        <v>89</v>
      </c>
      <c r="E1005" s="394" t="s">
        <v>535</v>
      </c>
      <c r="F1005" s="402"/>
      <c r="G1005" s="405" t="s">
        <v>2190</v>
      </c>
      <c r="H1005" s="113">
        <v>3629</v>
      </c>
      <c r="I1005" s="49" t="s">
        <v>1</v>
      </c>
      <c r="J1005" s="48" t="s">
        <v>2192</v>
      </c>
      <c r="K1005" s="51">
        <v>41170</v>
      </c>
      <c r="L1005" s="173">
        <v>41161</v>
      </c>
      <c r="M1005" s="50">
        <f t="shared" si="39"/>
        <v>9</v>
      </c>
      <c r="N1005" s="50" t="s">
        <v>2</v>
      </c>
      <c r="O1005" s="74">
        <f>1/2</f>
        <v>0.5</v>
      </c>
      <c r="P1005" s="50">
        <v>5.9</v>
      </c>
      <c r="Q1005" s="74">
        <v>5.4</v>
      </c>
      <c r="R1005" s="50">
        <v>11</v>
      </c>
      <c r="S1005" s="74">
        <v>1.6</v>
      </c>
      <c r="T1005" s="50">
        <v>0.1</v>
      </c>
      <c r="U1005" s="131">
        <v>0.82</v>
      </c>
      <c r="V1005" s="50">
        <v>0.65</v>
      </c>
      <c r="W1005" s="74">
        <v>0.01</v>
      </c>
      <c r="X1005" s="50">
        <v>0.3</v>
      </c>
      <c r="Y1005" s="74">
        <v>0.01</v>
      </c>
      <c r="Z1005" s="271"/>
      <c r="AA1005" s="271"/>
      <c r="AB1005" s="114"/>
      <c r="AC1005" s="50"/>
      <c r="AD1005" s="271"/>
      <c r="AE1005" s="50"/>
      <c r="AF1005" s="49"/>
      <c r="AG1005" s="114"/>
      <c r="AH1005" s="114"/>
      <c r="AI1005" s="114"/>
      <c r="AJ1005" s="114"/>
      <c r="AK1005" s="114"/>
      <c r="AL1005" s="114"/>
      <c r="AM1005" s="114"/>
      <c r="AN1005" s="114"/>
      <c r="AO1005" s="114"/>
      <c r="AP1005" s="114"/>
      <c r="AQ1005" s="114"/>
      <c r="AR1005" s="114"/>
      <c r="AS1005" s="50"/>
      <c r="AT1005" s="74"/>
      <c r="AU1005" s="114"/>
      <c r="AV1005" s="114"/>
      <c r="AW1005" s="394"/>
      <c r="AX1005" s="385"/>
      <c r="AY1005" s="385"/>
      <c r="AZ1005" s="385"/>
      <c r="BA1005" s="385"/>
      <c r="BB1005" s="385"/>
      <c r="BC1005" s="385"/>
      <c r="BD1005" s="385"/>
      <c r="BE1005" s="385"/>
      <c r="BF1005" s="385"/>
      <c r="BG1005" s="385"/>
      <c r="BH1005" s="385"/>
      <c r="BI1005" s="385"/>
      <c r="BJ1005" s="385"/>
      <c r="BK1005" s="385"/>
      <c r="BL1005" s="385"/>
      <c r="BM1005" s="385"/>
      <c r="BN1005" s="385"/>
      <c r="BO1005" s="385"/>
      <c r="BP1005" s="385"/>
      <c r="BQ1005" s="385"/>
      <c r="BR1005" s="385"/>
      <c r="BS1005" s="385"/>
      <c r="BT1005" s="385"/>
      <c r="BU1005" s="385"/>
      <c r="BV1005" s="385"/>
      <c r="BW1005" s="385"/>
      <c r="BX1005" s="385"/>
      <c r="BY1005" s="385"/>
      <c r="BZ1005" s="385"/>
      <c r="CA1005" s="385"/>
    </row>
    <row r="1006" spans="1:79" s="6" customFormat="1" ht="15" customHeight="1">
      <c r="A1006" s="41" t="s">
        <v>183</v>
      </c>
      <c r="B1006" s="402" t="s">
        <v>2189</v>
      </c>
      <c r="C1006" s="113"/>
      <c r="D1006" s="393" t="s">
        <v>89</v>
      </c>
      <c r="E1006" s="394" t="s">
        <v>535</v>
      </c>
      <c r="F1006" s="402"/>
      <c r="G1006" s="405" t="s">
        <v>2190</v>
      </c>
      <c r="H1006" s="113">
        <v>3629</v>
      </c>
      <c r="I1006" s="49" t="s">
        <v>1</v>
      </c>
      <c r="J1006" s="48" t="s">
        <v>2193</v>
      </c>
      <c r="K1006" s="51">
        <v>41170</v>
      </c>
      <c r="L1006" s="173">
        <v>41161</v>
      </c>
      <c r="M1006" s="50">
        <f t="shared" si="39"/>
        <v>9</v>
      </c>
      <c r="N1006" s="50" t="s">
        <v>2</v>
      </c>
      <c r="O1006" s="74">
        <f>1/2</f>
        <v>0.5</v>
      </c>
      <c r="P1006" s="50">
        <v>5.9</v>
      </c>
      <c r="Q1006" s="74">
        <v>5.9</v>
      </c>
      <c r="R1006" s="50">
        <v>12</v>
      </c>
      <c r="S1006" s="74">
        <v>1.7</v>
      </c>
      <c r="T1006" s="50">
        <v>0.12</v>
      </c>
      <c r="U1006" s="131">
        <v>0.8</v>
      </c>
      <c r="V1006" s="50">
        <v>0.65</v>
      </c>
      <c r="W1006" s="74">
        <v>0.01</v>
      </c>
      <c r="X1006" s="50">
        <v>0.31</v>
      </c>
      <c r="Y1006" s="74">
        <v>1.2E-2</v>
      </c>
      <c r="Z1006" s="271"/>
      <c r="AA1006" s="271"/>
      <c r="AB1006" s="114"/>
      <c r="AC1006" s="50"/>
      <c r="AD1006" s="271"/>
      <c r="AE1006" s="50">
        <v>1</v>
      </c>
      <c r="AF1006" s="49"/>
      <c r="AG1006" s="114"/>
      <c r="AH1006" s="114"/>
      <c r="AI1006" s="114"/>
      <c r="AJ1006" s="114"/>
      <c r="AK1006" s="114"/>
      <c r="AL1006" s="114"/>
      <c r="AM1006" s="114"/>
      <c r="AN1006" s="114"/>
      <c r="AO1006" s="114"/>
      <c r="AP1006" s="114"/>
      <c r="AQ1006" s="114"/>
      <c r="AR1006" s="114"/>
      <c r="AS1006" s="50"/>
      <c r="AT1006" s="74"/>
      <c r="AU1006" s="114"/>
      <c r="AV1006" s="114"/>
      <c r="AW1006" s="394"/>
      <c r="AX1006" s="385"/>
      <c r="AY1006" s="385"/>
      <c r="AZ1006" s="385"/>
      <c r="BA1006" s="385"/>
      <c r="BB1006" s="385"/>
      <c r="BC1006" s="385"/>
      <c r="BD1006" s="385"/>
      <c r="BE1006" s="385"/>
      <c r="BF1006" s="385"/>
      <c r="BG1006" s="385"/>
      <c r="BH1006" s="385"/>
      <c r="BI1006" s="385"/>
      <c r="BJ1006" s="385"/>
      <c r="BK1006" s="385"/>
      <c r="BL1006" s="385"/>
      <c r="BM1006" s="385"/>
      <c r="BN1006" s="385"/>
      <c r="BO1006" s="385"/>
      <c r="BP1006" s="385"/>
      <c r="BQ1006" s="385"/>
      <c r="BR1006" s="385"/>
      <c r="BS1006" s="385"/>
      <c r="BT1006" s="385"/>
      <c r="BU1006" s="385"/>
      <c r="BV1006" s="385"/>
      <c r="BW1006" s="385"/>
      <c r="BX1006" s="385"/>
      <c r="BY1006" s="385"/>
      <c r="BZ1006" s="385"/>
      <c r="CA1006" s="385"/>
    </row>
    <row r="1007" spans="1:79" s="6" customFormat="1" ht="15" customHeight="1">
      <c r="A1007" s="41" t="s">
        <v>183</v>
      </c>
      <c r="B1007" s="402" t="s">
        <v>1287</v>
      </c>
      <c r="C1007" s="113" t="s">
        <v>1288</v>
      </c>
      <c r="D1007" s="393" t="s">
        <v>434</v>
      </c>
      <c r="E1007" s="394" t="s">
        <v>1289</v>
      </c>
      <c r="F1007" s="402"/>
      <c r="G1007" s="405" t="s">
        <v>1290</v>
      </c>
      <c r="H1007" s="49">
        <v>3728</v>
      </c>
      <c r="I1007" s="50" t="s">
        <v>2</v>
      </c>
      <c r="J1007" s="76" t="s">
        <v>1291</v>
      </c>
      <c r="K1007" s="51">
        <v>41178</v>
      </c>
      <c r="L1007" s="173">
        <v>41170</v>
      </c>
      <c r="M1007" s="50">
        <v>8</v>
      </c>
      <c r="N1007" s="50" t="s">
        <v>2</v>
      </c>
      <c r="O1007" s="74">
        <f>5/2</f>
        <v>2.5</v>
      </c>
      <c r="P1007" s="50">
        <v>6</v>
      </c>
      <c r="Q1007" s="74">
        <v>5.8</v>
      </c>
      <c r="R1007" s="50">
        <v>29</v>
      </c>
      <c r="S1007" s="74">
        <v>26</v>
      </c>
      <c r="T1007" s="50">
        <f>0.1/2</f>
        <v>0.05</v>
      </c>
      <c r="U1007" s="131">
        <v>1.2</v>
      </c>
      <c r="V1007" s="50">
        <v>1.3</v>
      </c>
      <c r="W1007" s="74">
        <f>0.04/2</f>
        <v>0.02</v>
      </c>
      <c r="X1007" s="50">
        <v>3.4000000000000002E-2</v>
      </c>
      <c r="Y1007" s="74">
        <f>0.013/2</f>
        <v>6.4999999999999997E-3</v>
      </c>
      <c r="Z1007" s="271"/>
      <c r="AA1007" s="271"/>
      <c r="AB1007" s="114"/>
      <c r="AC1007" s="50"/>
      <c r="AD1007" s="271"/>
      <c r="AE1007" s="50"/>
      <c r="AF1007" s="49"/>
      <c r="AG1007" s="114"/>
      <c r="AH1007" s="114"/>
      <c r="AI1007" s="114"/>
      <c r="AJ1007" s="114"/>
      <c r="AK1007" s="114"/>
      <c r="AL1007" s="114"/>
      <c r="AM1007" s="114"/>
      <c r="AN1007" s="114"/>
      <c r="AO1007" s="114"/>
      <c r="AP1007" s="114"/>
      <c r="AQ1007" s="114"/>
      <c r="AR1007" s="114"/>
      <c r="AS1007" s="50"/>
      <c r="AT1007" s="74"/>
      <c r="AU1007" s="114"/>
      <c r="AV1007" s="114"/>
      <c r="AW1007" s="394"/>
      <c r="AX1007" s="385"/>
      <c r="AY1007" s="385"/>
      <c r="AZ1007" s="385"/>
      <c r="BA1007" s="385"/>
      <c r="BB1007" s="385"/>
      <c r="BC1007" s="385"/>
      <c r="BD1007" s="385"/>
      <c r="BE1007" s="385"/>
      <c r="BF1007" s="385"/>
      <c r="BG1007" s="385"/>
      <c r="BH1007" s="385"/>
      <c r="BI1007" s="385"/>
      <c r="BJ1007" s="385"/>
      <c r="BK1007" s="385"/>
      <c r="BL1007" s="385"/>
      <c r="BM1007" s="385"/>
      <c r="BN1007" s="385"/>
      <c r="BO1007" s="385"/>
      <c r="BP1007" s="385"/>
      <c r="BQ1007" s="385"/>
      <c r="BR1007" s="385"/>
      <c r="BS1007" s="385"/>
      <c r="BT1007" s="385"/>
      <c r="BU1007" s="385"/>
      <c r="BV1007" s="385"/>
      <c r="BW1007" s="385"/>
      <c r="BX1007" s="385"/>
      <c r="BY1007" s="385"/>
      <c r="BZ1007" s="385"/>
      <c r="CA1007" s="385"/>
    </row>
    <row r="1008" spans="1:79" s="6" customFormat="1" ht="15" customHeight="1">
      <c r="A1008" s="41" t="s">
        <v>183</v>
      </c>
      <c r="B1008" s="402" t="s">
        <v>1287</v>
      </c>
      <c r="C1008" s="113" t="s">
        <v>1288</v>
      </c>
      <c r="D1008" s="393" t="s">
        <v>434</v>
      </c>
      <c r="E1008" s="394" t="s">
        <v>1289</v>
      </c>
      <c r="F1008" s="402"/>
      <c r="G1008" s="405" t="s">
        <v>1290</v>
      </c>
      <c r="H1008" s="49">
        <v>3728</v>
      </c>
      <c r="I1008" s="50" t="s">
        <v>2</v>
      </c>
      <c r="J1008" s="76" t="s">
        <v>254</v>
      </c>
      <c r="K1008" s="51">
        <v>41170</v>
      </c>
      <c r="L1008" s="173">
        <v>41160</v>
      </c>
      <c r="M1008" s="50">
        <v>8</v>
      </c>
      <c r="N1008" s="50" t="s">
        <v>2</v>
      </c>
      <c r="O1008" s="74">
        <f>5/2</f>
        <v>2.5</v>
      </c>
      <c r="P1008" s="50">
        <v>5.9</v>
      </c>
      <c r="Q1008" s="74">
        <v>5.7</v>
      </c>
      <c r="R1008" s="50">
        <v>140</v>
      </c>
      <c r="S1008" s="74">
        <f>5/2</f>
        <v>2.5</v>
      </c>
      <c r="T1008" s="50">
        <f>0.1/2</f>
        <v>0.05</v>
      </c>
      <c r="U1008" s="131">
        <v>4.7</v>
      </c>
      <c r="V1008" s="50">
        <v>2</v>
      </c>
      <c r="W1008" s="74">
        <v>6.3E-2</v>
      </c>
      <c r="X1008" s="50">
        <v>0.1</v>
      </c>
      <c r="Y1008" s="74">
        <v>0.17</v>
      </c>
      <c r="Z1008" s="271"/>
      <c r="AA1008" s="271"/>
      <c r="AB1008" s="114"/>
      <c r="AC1008" s="50"/>
      <c r="AD1008" s="271"/>
      <c r="AE1008" s="50"/>
      <c r="AF1008" s="49"/>
      <c r="AG1008" s="114"/>
      <c r="AH1008" s="114"/>
      <c r="AI1008" s="114"/>
      <c r="AJ1008" s="114"/>
      <c r="AK1008" s="114"/>
      <c r="AL1008" s="114"/>
      <c r="AM1008" s="114"/>
      <c r="AN1008" s="114"/>
      <c r="AO1008" s="114"/>
      <c r="AP1008" s="114"/>
      <c r="AQ1008" s="114"/>
      <c r="AR1008" s="114"/>
      <c r="AS1008" s="50"/>
      <c r="AT1008" s="74"/>
      <c r="AU1008" s="114"/>
      <c r="AV1008" s="114"/>
      <c r="AW1008" s="394"/>
      <c r="AX1008" s="385"/>
      <c r="AY1008" s="385"/>
      <c r="AZ1008" s="385"/>
      <c r="BA1008" s="385"/>
      <c r="BB1008" s="385"/>
      <c r="BC1008" s="385"/>
      <c r="BD1008" s="385"/>
      <c r="BE1008" s="385"/>
      <c r="BF1008" s="385"/>
      <c r="BG1008" s="385"/>
      <c r="BH1008" s="385"/>
      <c r="BI1008" s="385"/>
      <c r="BJ1008" s="385"/>
      <c r="BK1008" s="385"/>
      <c r="BL1008" s="385"/>
      <c r="BM1008" s="385"/>
      <c r="BN1008" s="385"/>
      <c r="BO1008" s="385"/>
      <c r="BP1008" s="385"/>
      <c r="BQ1008" s="385"/>
      <c r="BR1008" s="385"/>
      <c r="BS1008" s="385"/>
      <c r="BT1008" s="385"/>
      <c r="BU1008" s="385"/>
      <c r="BV1008" s="385"/>
      <c r="BW1008" s="385"/>
      <c r="BX1008" s="385"/>
      <c r="BY1008" s="385"/>
      <c r="BZ1008" s="385"/>
      <c r="CA1008" s="385"/>
    </row>
    <row r="1009" spans="1:79" s="6" customFormat="1" ht="15" customHeight="1">
      <c r="A1009" s="41" t="s">
        <v>183</v>
      </c>
      <c r="B1009" s="402" t="s">
        <v>1287</v>
      </c>
      <c r="C1009" s="113" t="s">
        <v>1288</v>
      </c>
      <c r="D1009" s="393" t="s">
        <v>434</v>
      </c>
      <c r="E1009" s="394" t="s">
        <v>1289</v>
      </c>
      <c r="F1009" s="402"/>
      <c r="G1009" s="405" t="s">
        <v>1290</v>
      </c>
      <c r="H1009" s="49">
        <v>3728</v>
      </c>
      <c r="I1009" s="50" t="s">
        <v>2</v>
      </c>
      <c r="J1009" s="76" t="s">
        <v>690</v>
      </c>
      <c r="K1009" s="51">
        <v>41178</v>
      </c>
      <c r="L1009" s="173">
        <v>41170</v>
      </c>
      <c r="M1009" s="50">
        <v>8</v>
      </c>
      <c r="N1009" s="50" t="s">
        <v>2</v>
      </c>
      <c r="O1009" s="74">
        <f>5/2</f>
        <v>2.5</v>
      </c>
      <c r="P1009" s="50">
        <v>6</v>
      </c>
      <c r="Q1009" s="74">
        <v>5.6</v>
      </c>
      <c r="R1009" s="50">
        <v>35</v>
      </c>
      <c r="S1009" s="74">
        <v>64</v>
      </c>
      <c r="T1009" s="50">
        <f>0.1/2</f>
        <v>0.05</v>
      </c>
      <c r="U1009" s="131">
        <v>1.4</v>
      </c>
      <c r="V1009" s="50">
        <v>0.96</v>
      </c>
      <c r="W1009" s="74">
        <f>0.04/2</f>
        <v>0.02</v>
      </c>
      <c r="X1009" s="50">
        <v>0.11</v>
      </c>
      <c r="Y1009" s="74">
        <f>0.013/2</f>
        <v>6.4999999999999997E-3</v>
      </c>
      <c r="Z1009" s="271"/>
      <c r="AA1009" s="271"/>
      <c r="AB1009" s="114"/>
      <c r="AC1009" s="50"/>
      <c r="AD1009" s="271"/>
      <c r="AE1009" s="50"/>
      <c r="AF1009" s="49"/>
      <c r="AG1009" s="114"/>
      <c r="AH1009" s="114"/>
      <c r="AI1009" s="114"/>
      <c r="AJ1009" s="114"/>
      <c r="AK1009" s="114"/>
      <c r="AL1009" s="114"/>
      <c r="AM1009" s="114"/>
      <c r="AN1009" s="114"/>
      <c r="AO1009" s="114"/>
      <c r="AP1009" s="114"/>
      <c r="AQ1009" s="114"/>
      <c r="AR1009" s="114"/>
      <c r="AS1009" s="50"/>
      <c r="AT1009" s="74"/>
      <c r="AU1009" s="114"/>
      <c r="AV1009" s="114"/>
      <c r="AW1009" s="394"/>
      <c r="AX1009" s="385"/>
      <c r="AY1009" s="385"/>
      <c r="AZ1009" s="385"/>
      <c r="BA1009" s="385"/>
      <c r="BB1009" s="385"/>
      <c r="BC1009" s="385"/>
      <c r="BD1009" s="385"/>
      <c r="BE1009" s="385"/>
      <c r="BF1009" s="385"/>
      <c r="BG1009" s="385"/>
      <c r="BH1009" s="385"/>
      <c r="BI1009" s="385"/>
      <c r="BJ1009" s="385"/>
      <c r="BK1009" s="385"/>
      <c r="BL1009" s="385"/>
      <c r="BM1009" s="385"/>
      <c r="BN1009" s="385"/>
      <c r="BO1009" s="385"/>
      <c r="BP1009" s="385"/>
      <c r="BQ1009" s="385"/>
      <c r="BR1009" s="385"/>
      <c r="BS1009" s="385"/>
      <c r="BT1009" s="385"/>
      <c r="BU1009" s="385"/>
      <c r="BV1009" s="385"/>
      <c r="BW1009" s="385"/>
      <c r="BX1009" s="385"/>
      <c r="BY1009" s="385"/>
      <c r="BZ1009" s="385"/>
      <c r="CA1009" s="385"/>
    </row>
    <row r="1010" spans="1:79" s="6" customFormat="1" ht="15" customHeight="1">
      <c r="A1010" s="41" t="s">
        <v>183</v>
      </c>
      <c r="B1010" s="402" t="s">
        <v>1287</v>
      </c>
      <c r="C1010" s="113" t="s">
        <v>1288</v>
      </c>
      <c r="D1010" s="393" t="s">
        <v>434</v>
      </c>
      <c r="E1010" s="394" t="s">
        <v>1289</v>
      </c>
      <c r="F1010" s="402"/>
      <c r="G1010" s="405" t="s">
        <v>1290</v>
      </c>
      <c r="H1010" s="49">
        <v>3728</v>
      </c>
      <c r="I1010" s="50" t="s">
        <v>2</v>
      </c>
      <c r="J1010" s="76" t="s">
        <v>96</v>
      </c>
      <c r="K1010" s="51">
        <v>41170</v>
      </c>
      <c r="L1010" s="173">
        <v>41160</v>
      </c>
      <c r="M1010" s="50">
        <v>10</v>
      </c>
      <c r="N1010" s="50" t="s">
        <v>2</v>
      </c>
      <c r="O1010" s="74">
        <f>5/2</f>
        <v>2.5</v>
      </c>
      <c r="P1010" s="50">
        <v>5.9</v>
      </c>
      <c r="Q1010" s="74">
        <v>5.7</v>
      </c>
      <c r="R1010" s="50">
        <v>150</v>
      </c>
      <c r="S1010" s="74">
        <v>15</v>
      </c>
      <c r="T1010" s="50">
        <f>0.1/2</f>
        <v>0.05</v>
      </c>
      <c r="U1010" s="131">
        <v>4.0999999999999996</v>
      </c>
      <c r="V1010" s="50">
        <v>2</v>
      </c>
      <c r="W1010" s="74">
        <f>0.04/2</f>
        <v>0.02</v>
      </c>
      <c r="X1010" s="50">
        <v>0.18</v>
      </c>
      <c r="Y1010" s="74">
        <f>0.013/2</f>
        <v>6.4999999999999997E-3</v>
      </c>
      <c r="Z1010" s="271"/>
      <c r="AA1010" s="271"/>
      <c r="AB1010" s="114"/>
      <c r="AC1010" s="50"/>
      <c r="AD1010" s="271"/>
      <c r="AE1010" s="50"/>
      <c r="AF1010" s="49"/>
      <c r="AG1010" s="114"/>
      <c r="AH1010" s="114"/>
      <c r="AI1010" s="114"/>
      <c r="AJ1010" s="114"/>
      <c r="AK1010" s="114"/>
      <c r="AL1010" s="114"/>
      <c r="AM1010" s="114"/>
      <c r="AN1010" s="114"/>
      <c r="AO1010" s="114"/>
      <c r="AP1010" s="114"/>
      <c r="AQ1010" s="114"/>
      <c r="AR1010" s="114"/>
      <c r="AS1010" s="50"/>
      <c r="AT1010" s="74"/>
      <c r="AU1010" s="114"/>
      <c r="AV1010" s="114"/>
      <c r="AW1010" s="394"/>
      <c r="AX1010" s="385"/>
      <c r="AY1010" s="385"/>
      <c r="AZ1010" s="385"/>
      <c r="BA1010" s="385"/>
      <c r="BB1010" s="385"/>
      <c r="BC1010" s="385"/>
      <c r="BD1010" s="385"/>
      <c r="BE1010" s="385"/>
      <c r="BF1010" s="385"/>
      <c r="BG1010" s="385"/>
      <c r="BH1010" s="385"/>
      <c r="BI1010" s="385"/>
      <c r="BJ1010" s="385"/>
      <c r="BK1010" s="385"/>
      <c r="BL1010" s="385"/>
      <c r="BM1010" s="385"/>
      <c r="BN1010" s="385"/>
      <c r="BO1010" s="385"/>
      <c r="BP1010" s="385"/>
      <c r="BQ1010" s="385"/>
      <c r="BR1010" s="385"/>
      <c r="BS1010" s="385"/>
      <c r="BT1010" s="385"/>
      <c r="BU1010" s="385"/>
      <c r="BV1010" s="385"/>
      <c r="BW1010" s="385"/>
      <c r="BX1010" s="385"/>
      <c r="BY1010" s="385"/>
      <c r="BZ1010" s="385"/>
      <c r="CA1010" s="385"/>
    </row>
    <row r="1011" spans="1:79" s="6" customFormat="1" ht="15" customHeight="1">
      <c r="A1011" s="41" t="s">
        <v>183</v>
      </c>
      <c r="B1011" s="402" t="s">
        <v>1287</v>
      </c>
      <c r="C1011" s="113" t="s">
        <v>1288</v>
      </c>
      <c r="D1011" s="393" t="s">
        <v>434</v>
      </c>
      <c r="E1011" s="394" t="s">
        <v>1289</v>
      </c>
      <c r="F1011" s="402"/>
      <c r="G1011" s="405" t="s">
        <v>1290</v>
      </c>
      <c r="H1011" s="49">
        <v>3728</v>
      </c>
      <c r="I1011" s="50" t="s">
        <v>2</v>
      </c>
      <c r="J1011" s="76" t="s">
        <v>255</v>
      </c>
      <c r="K1011" s="51">
        <v>41170</v>
      </c>
      <c r="L1011" s="173">
        <v>41160</v>
      </c>
      <c r="M1011" s="50">
        <v>10</v>
      </c>
      <c r="N1011" s="50" t="s">
        <v>2</v>
      </c>
      <c r="O1011" s="74">
        <f>5/2</f>
        <v>2.5</v>
      </c>
      <c r="P1011" s="50">
        <v>5.9</v>
      </c>
      <c r="Q1011" s="74">
        <v>5.5</v>
      </c>
      <c r="R1011" s="50">
        <v>110</v>
      </c>
      <c r="S1011" s="74">
        <f>5/2</f>
        <v>2.5</v>
      </c>
      <c r="T1011" s="50">
        <f>0.1/2</f>
        <v>0.05</v>
      </c>
      <c r="U1011" s="131">
        <v>3</v>
      </c>
      <c r="V1011" s="50">
        <v>2.2000000000000002</v>
      </c>
      <c r="W1011" s="74">
        <v>7.4999999999999997E-2</v>
      </c>
      <c r="X1011" s="50">
        <v>0.3</v>
      </c>
      <c r="Y1011" s="74">
        <v>1.4E-2</v>
      </c>
      <c r="Z1011" s="271"/>
      <c r="AA1011" s="271"/>
      <c r="AB1011" s="114"/>
      <c r="AC1011" s="50"/>
      <c r="AD1011" s="271"/>
      <c r="AE1011" s="50"/>
      <c r="AF1011" s="49"/>
      <c r="AG1011" s="114"/>
      <c r="AH1011" s="114"/>
      <c r="AI1011" s="114"/>
      <c r="AJ1011" s="114"/>
      <c r="AK1011" s="114"/>
      <c r="AL1011" s="114"/>
      <c r="AM1011" s="114"/>
      <c r="AN1011" s="114"/>
      <c r="AO1011" s="114"/>
      <c r="AP1011" s="114"/>
      <c r="AQ1011" s="114"/>
      <c r="AR1011" s="114"/>
      <c r="AS1011" s="50"/>
      <c r="AT1011" s="74"/>
      <c r="AU1011" s="114"/>
      <c r="AV1011" s="114"/>
      <c r="AW1011" s="394"/>
      <c r="AX1011" s="385"/>
      <c r="AY1011" s="385"/>
      <c r="AZ1011" s="385"/>
      <c r="BA1011" s="385"/>
      <c r="BB1011" s="385"/>
      <c r="BC1011" s="385"/>
      <c r="BD1011" s="385"/>
      <c r="BE1011" s="385"/>
      <c r="BF1011" s="385"/>
      <c r="BG1011" s="385"/>
      <c r="BH1011" s="385"/>
      <c r="BI1011" s="385"/>
      <c r="BJ1011" s="385"/>
      <c r="BK1011" s="385"/>
      <c r="BL1011" s="385"/>
      <c r="BM1011" s="385"/>
      <c r="BN1011" s="385"/>
      <c r="BO1011" s="385"/>
      <c r="BP1011" s="385"/>
      <c r="BQ1011" s="385"/>
      <c r="BR1011" s="385"/>
      <c r="BS1011" s="385"/>
      <c r="BT1011" s="385"/>
      <c r="BU1011" s="385"/>
      <c r="BV1011" s="385"/>
      <c r="BW1011" s="385"/>
      <c r="BX1011" s="385"/>
      <c r="BY1011" s="385"/>
      <c r="BZ1011" s="385"/>
      <c r="CA1011" s="385"/>
    </row>
    <row r="1012" spans="1:79" s="6" customFormat="1" ht="15" customHeight="1">
      <c r="A1012" s="41" t="s">
        <v>183</v>
      </c>
      <c r="B1012" s="402" t="s">
        <v>2516</v>
      </c>
      <c r="C1012" s="113"/>
      <c r="D1012" s="393" t="s">
        <v>89</v>
      </c>
      <c r="E1012" s="394" t="s">
        <v>535</v>
      </c>
      <c r="F1012" s="402"/>
      <c r="G1012" s="405" t="s">
        <v>2517</v>
      </c>
      <c r="H1012" s="74">
        <v>3827</v>
      </c>
      <c r="I1012" s="50" t="s">
        <v>1</v>
      </c>
      <c r="J1012" s="339" t="s">
        <v>4026</v>
      </c>
      <c r="K1012" s="51">
        <v>41050</v>
      </c>
      <c r="L1012" s="173">
        <v>41044</v>
      </c>
      <c r="M1012" s="50">
        <f t="shared" ref="M1012:M1023" si="40">K1012-L1012</f>
        <v>6</v>
      </c>
      <c r="N1012" s="50" t="s">
        <v>2</v>
      </c>
      <c r="O1012" s="74">
        <v>2.1</v>
      </c>
      <c r="P1012" s="50">
        <v>7.84</v>
      </c>
      <c r="Q1012" s="74">
        <v>6.85</v>
      </c>
      <c r="R1012" s="50">
        <v>25</v>
      </c>
      <c r="S1012" s="74">
        <v>480</v>
      </c>
      <c r="T1012" s="50">
        <v>0.81</v>
      </c>
      <c r="U1012" s="131">
        <v>1.95</v>
      </c>
      <c r="V1012" s="50">
        <v>0.24</v>
      </c>
      <c r="W1012" s="74">
        <v>4.4999999999999998E-2</v>
      </c>
      <c r="X1012" s="50">
        <v>0.23400000000000001</v>
      </c>
      <c r="Y1012" s="74">
        <v>0.02</v>
      </c>
      <c r="Z1012" s="271">
        <v>1</v>
      </c>
      <c r="AA1012" s="271">
        <v>1</v>
      </c>
      <c r="AB1012" s="114">
        <v>18</v>
      </c>
      <c r="AC1012" s="50">
        <v>93</v>
      </c>
      <c r="AD1012" s="271">
        <v>1</v>
      </c>
      <c r="AE1012" s="50"/>
      <c r="AF1012" s="49"/>
      <c r="AG1012" s="114"/>
      <c r="AH1012" s="114"/>
      <c r="AI1012" s="114"/>
      <c r="AJ1012" s="114"/>
      <c r="AK1012" s="114"/>
      <c r="AL1012" s="114"/>
      <c r="AM1012" s="114"/>
      <c r="AN1012" s="114"/>
      <c r="AO1012" s="114"/>
      <c r="AP1012" s="114"/>
      <c r="AQ1012" s="114"/>
      <c r="AR1012" s="114"/>
      <c r="AS1012" s="50"/>
      <c r="AT1012" s="74"/>
      <c r="AU1012" s="114"/>
      <c r="AV1012" s="114"/>
      <c r="AW1012" s="394"/>
      <c r="AX1012" s="385"/>
      <c r="AY1012" s="385"/>
      <c r="AZ1012" s="385"/>
      <c r="BA1012" s="385"/>
      <c r="BB1012" s="385"/>
      <c r="BC1012" s="385"/>
      <c r="BD1012" s="385"/>
      <c r="BE1012" s="385"/>
      <c r="BF1012" s="385"/>
      <c r="BG1012" s="385"/>
      <c r="BH1012" s="385"/>
      <c r="BI1012" s="385"/>
      <c r="BJ1012" s="385"/>
      <c r="BK1012" s="385"/>
      <c r="BL1012" s="385"/>
      <c r="BM1012" s="385"/>
      <c r="BN1012" s="385"/>
      <c r="BO1012" s="385"/>
      <c r="BP1012" s="385"/>
      <c r="BQ1012" s="385"/>
      <c r="BR1012" s="385"/>
      <c r="BS1012" s="385"/>
      <c r="BT1012" s="385"/>
      <c r="BU1012" s="385"/>
      <c r="BV1012" s="385"/>
      <c r="BW1012" s="385"/>
      <c r="BX1012" s="385"/>
      <c r="BY1012" s="385"/>
      <c r="BZ1012" s="385"/>
      <c r="CA1012" s="385"/>
    </row>
    <row r="1013" spans="1:79" s="6" customFormat="1" ht="15" customHeight="1">
      <c r="A1013" s="41" t="s">
        <v>183</v>
      </c>
      <c r="B1013" s="402" t="s">
        <v>2516</v>
      </c>
      <c r="C1013" s="113"/>
      <c r="D1013" s="393" t="s">
        <v>89</v>
      </c>
      <c r="E1013" s="394" t="s">
        <v>535</v>
      </c>
      <c r="F1013" s="402"/>
      <c r="G1013" s="405" t="s">
        <v>2517</v>
      </c>
      <c r="H1013" s="74">
        <v>3827</v>
      </c>
      <c r="I1013" s="50" t="s">
        <v>1</v>
      </c>
      <c r="J1013" s="339" t="s">
        <v>3197</v>
      </c>
      <c r="K1013" s="51">
        <v>41050</v>
      </c>
      <c r="L1013" s="173">
        <v>41044</v>
      </c>
      <c r="M1013" s="50">
        <f t="shared" si="40"/>
        <v>6</v>
      </c>
      <c r="N1013" s="50" t="s">
        <v>2</v>
      </c>
      <c r="O1013" s="74">
        <v>2</v>
      </c>
      <c r="P1013" s="50">
        <v>7.84</v>
      </c>
      <c r="Q1013" s="74">
        <v>6.95</v>
      </c>
      <c r="R1013" s="50">
        <v>48</v>
      </c>
      <c r="S1013" s="74">
        <v>100</v>
      </c>
      <c r="T1013" s="50">
        <v>0.37</v>
      </c>
      <c r="U1013" s="131">
        <v>1.58</v>
      </c>
      <c r="V1013" s="50">
        <v>1.58</v>
      </c>
      <c r="W1013" s="74">
        <v>1.9E-2</v>
      </c>
      <c r="X1013" s="50">
        <v>7.8E-2</v>
      </c>
      <c r="Y1013" s="74">
        <v>7.0000000000000001E-3</v>
      </c>
      <c r="Z1013" s="271">
        <v>1</v>
      </c>
      <c r="AA1013" s="271">
        <v>1</v>
      </c>
      <c r="AB1013" s="114">
        <v>2</v>
      </c>
      <c r="AC1013" s="50">
        <v>53</v>
      </c>
      <c r="AD1013" s="271">
        <v>0.95</v>
      </c>
      <c r="AE1013" s="50"/>
      <c r="AF1013" s="49"/>
      <c r="AG1013" s="114"/>
      <c r="AH1013" s="114"/>
      <c r="AI1013" s="114"/>
      <c r="AJ1013" s="114"/>
      <c r="AK1013" s="114"/>
      <c r="AL1013" s="114"/>
      <c r="AM1013" s="114"/>
      <c r="AN1013" s="114"/>
      <c r="AO1013" s="114"/>
      <c r="AP1013" s="114"/>
      <c r="AQ1013" s="114"/>
      <c r="AR1013" s="114"/>
      <c r="AS1013" s="50"/>
      <c r="AT1013" s="74"/>
      <c r="AU1013" s="114"/>
      <c r="AV1013" s="114"/>
      <c r="AW1013" s="394"/>
      <c r="AX1013" s="385"/>
      <c r="AY1013" s="385"/>
      <c r="AZ1013" s="385"/>
      <c r="BA1013" s="385"/>
      <c r="BB1013" s="385"/>
      <c r="BC1013" s="385"/>
      <c r="BD1013" s="385"/>
      <c r="BE1013" s="385"/>
      <c r="BF1013" s="385"/>
      <c r="BG1013" s="385"/>
      <c r="BH1013" s="385"/>
      <c r="BI1013" s="385"/>
      <c r="BJ1013" s="385"/>
      <c r="BK1013" s="385"/>
      <c r="BL1013" s="385"/>
      <c r="BM1013" s="385"/>
      <c r="BN1013" s="385"/>
      <c r="BO1013" s="385"/>
      <c r="BP1013" s="385"/>
      <c r="BQ1013" s="385"/>
      <c r="BR1013" s="385"/>
      <c r="BS1013" s="385"/>
      <c r="BT1013" s="385"/>
      <c r="BU1013" s="385"/>
      <c r="BV1013" s="385"/>
      <c r="BW1013" s="385"/>
      <c r="BX1013" s="385"/>
      <c r="BY1013" s="385"/>
      <c r="BZ1013" s="385"/>
      <c r="CA1013" s="385"/>
    </row>
    <row r="1014" spans="1:79" s="6" customFormat="1" ht="15" customHeight="1">
      <c r="A1014" s="41" t="s">
        <v>183</v>
      </c>
      <c r="B1014" s="402" t="s">
        <v>2516</v>
      </c>
      <c r="C1014" s="113"/>
      <c r="D1014" s="393" t="s">
        <v>89</v>
      </c>
      <c r="E1014" s="394" t="s">
        <v>535</v>
      </c>
      <c r="F1014" s="402"/>
      <c r="G1014" s="405" t="s">
        <v>2517</v>
      </c>
      <c r="H1014" s="74">
        <v>3827</v>
      </c>
      <c r="I1014" s="50" t="s">
        <v>1</v>
      </c>
      <c r="J1014" s="339" t="s">
        <v>4027</v>
      </c>
      <c r="K1014" s="51">
        <v>41050</v>
      </c>
      <c r="L1014" s="173">
        <v>41044</v>
      </c>
      <c r="M1014" s="50">
        <f t="shared" si="40"/>
        <v>6</v>
      </c>
      <c r="N1014" s="50" t="s">
        <v>2</v>
      </c>
      <c r="O1014" s="74">
        <f>1.4/2</f>
        <v>0.7</v>
      </c>
      <c r="P1014" s="50">
        <v>7.84</v>
      </c>
      <c r="Q1014" s="74">
        <v>7.47</v>
      </c>
      <c r="R1014" s="50">
        <v>46</v>
      </c>
      <c r="S1014" s="74">
        <v>320</v>
      </c>
      <c r="T1014" s="50">
        <v>0.99</v>
      </c>
      <c r="U1014" s="131">
        <v>1.71</v>
      </c>
      <c r="V1014" s="50">
        <v>1.33</v>
      </c>
      <c r="W1014" s="74">
        <v>3.4000000000000002E-2</v>
      </c>
      <c r="X1014" s="50">
        <v>0.13700000000000001</v>
      </c>
      <c r="Y1014" s="74">
        <v>5.0000000000000001E-3</v>
      </c>
      <c r="Z1014" s="271">
        <v>1</v>
      </c>
      <c r="AA1014" s="271">
        <v>1</v>
      </c>
      <c r="AB1014" s="114">
        <v>46</v>
      </c>
      <c r="AC1014" s="50">
        <v>209</v>
      </c>
      <c r="AD1014" s="271">
        <v>1</v>
      </c>
      <c r="AE1014" s="50"/>
      <c r="AF1014" s="49"/>
      <c r="AG1014" s="114"/>
      <c r="AH1014" s="114"/>
      <c r="AI1014" s="114"/>
      <c r="AJ1014" s="114"/>
      <c r="AK1014" s="114"/>
      <c r="AL1014" s="114"/>
      <c r="AM1014" s="114"/>
      <c r="AN1014" s="114"/>
      <c r="AO1014" s="114"/>
      <c r="AP1014" s="114"/>
      <c r="AQ1014" s="114"/>
      <c r="AR1014" s="114"/>
      <c r="AS1014" s="50"/>
      <c r="AT1014" s="74"/>
      <c r="AU1014" s="114"/>
      <c r="AV1014" s="114"/>
      <c r="AW1014" s="394"/>
      <c r="AX1014" s="385"/>
      <c r="AY1014" s="385"/>
      <c r="AZ1014" s="385"/>
      <c r="BA1014" s="385"/>
      <c r="BB1014" s="385"/>
      <c r="BC1014" s="385"/>
      <c r="BD1014" s="385"/>
      <c r="BE1014" s="385"/>
      <c r="BF1014" s="385"/>
      <c r="BG1014" s="385"/>
      <c r="BH1014" s="385"/>
      <c r="BI1014" s="385"/>
      <c r="BJ1014" s="385"/>
      <c r="BK1014" s="385"/>
      <c r="BL1014" s="385"/>
      <c r="BM1014" s="385"/>
      <c r="BN1014" s="385"/>
      <c r="BO1014" s="385"/>
      <c r="BP1014" s="385"/>
      <c r="BQ1014" s="385"/>
      <c r="BR1014" s="385"/>
      <c r="BS1014" s="385"/>
      <c r="BT1014" s="385"/>
      <c r="BU1014" s="385"/>
      <c r="BV1014" s="385"/>
      <c r="BW1014" s="385"/>
      <c r="BX1014" s="385"/>
      <c r="BY1014" s="385"/>
      <c r="BZ1014" s="385"/>
      <c r="CA1014" s="385"/>
    </row>
    <row r="1015" spans="1:79" s="6" customFormat="1" ht="15" customHeight="1">
      <c r="A1015" s="41" t="s">
        <v>183</v>
      </c>
      <c r="B1015" s="402" t="s">
        <v>1435</v>
      </c>
      <c r="C1015" s="113" t="s">
        <v>1436</v>
      </c>
      <c r="D1015" s="393" t="s">
        <v>684</v>
      </c>
      <c r="E1015" s="394" t="s">
        <v>112</v>
      </c>
      <c r="F1015" s="402"/>
      <c r="G1015" s="405" t="s">
        <v>1437</v>
      </c>
      <c r="H1015" s="74">
        <v>2051</v>
      </c>
      <c r="I1015" s="50" t="s">
        <v>1</v>
      </c>
      <c r="J1015" s="339" t="s">
        <v>1438</v>
      </c>
      <c r="K1015" s="51">
        <v>41030</v>
      </c>
      <c r="L1015" s="173">
        <v>41022</v>
      </c>
      <c r="M1015" s="50">
        <f t="shared" si="40"/>
        <v>8</v>
      </c>
      <c r="N1015" s="50" t="s">
        <v>2</v>
      </c>
      <c r="O1015" s="74">
        <f>5/2</f>
        <v>2.5</v>
      </c>
      <c r="P1015" s="50">
        <v>6</v>
      </c>
      <c r="Q1015" s="74">
        <v>6.08</v>
      </c>
      <c r="R1015" s="50">
        <v>35</v>
      </c>
      <c r="S1015" s="74">
        <v>7</v>
      </c>
      <c r="T1015" s="50">
        <f>0.1/2</f>
        <v>0.05</v>
      </c>
      <c r="U1015" s="131">
        <f>1/2</f>
        <v>0.5</v>
      </c>
      <c r="V1015" s="50">
        <v>0.25</v>
      </c>
      <c r="W1015" s="74">
        <f>0.04/2</f>
        <v>0.02</v>
      </c>
      <c r="X1015" s="50">
        <v>0.12</v>
      </c>
      <c r="Y1015" s="74">
        <f>0.013/2</f>
        <v>6.4999999999999997E-3</v>
      </c>
      <c r="Z1015" s="271"/>
      <c r="AA1015" s="271"/>
      <c r="AB1015" s="114"/>
      <c r="AC1015" s="50"/>
      <c r="AD1015" s="271"/>
      <c r="AE1015" s="50"/>
      <c r="AF1015" s="49"/>
      <c r="AG1015" s="114"/>
      <c r="AH1015" s="114"/>
      <c r="AI1015" s="114"/>
      <c r="AJ1015" s="114"/>
      <c r="AK1015" s="114"/>
      <c r="AL1015" s="114"/>
      <c r="AM1015" s="114"/>
      <c r="AN1015" s="114"/>
      <c r="AO1015" s="114"/>
      <c r="AP1015" s="114"/>
      <c r="AQ1015" s="114"/>
      <c r="AR1015" s="114"/>
      <c r="AS1015" s="50"/>
      <c r="AT1015" s="74"/>
      <c r="AU1015" s="114"/>
      <c r="AV1015" s="114"/>
      <c r="AW1015" s="394"/>
      <c r="AX1015" s="385"/>
      <c r="AY1015" s="385"/>
      <c r="AZ1015" s="385"/>
      <c r="BA1015" s="385"/>
      <c r="BB1015" s="385"/>
      <c r="BC1015" s="385"/>
      <c r="BD1015" s="385"/>
      <c r="BE1015" s="385"/>
      <c r="BF1015" s="385"/>
      <c r="BG1015" s="385"/>
      <c r="BH1015" s="385"/>
      <c r="BI1015" s="385"/>
      <c r="BJ1015" s="385"/>
      <c r="BK1015" s="385"/>
      <c r="BL1015" s="385"/>
      <c r="BM1015" s="385"/>
      <c r="BN1015" s="385"/>
      <c r="BO1015" s="385"/>
      <c r="BP1015" s="385"/>
      <c r="BQ1015" s="385"/>
      <c r="BR1015" s="385"/>
      <c r="BS1015" s="385"/>
      <c r="BT1015" s="385"/>
      <c r="BU1015" s="385"/>
      <c r="BV1015" s="385"/>
      <c r="BW1015" s="385"/>
      <c r="BX1015" s="385"/>
      <c r="BY1015" s="385"/>
      <c r="BZ1015" s="385"/>
      <c r="CA1015" s="385"/>
    </row>
    <row r="1016" spans="1:79" s="6" customFormat="1" ht="15" customHeight="1">
      <c r="A1016" s="41" t="s">
        <v>183</v>
      </c>
      <c r="B1016" s="402" t="s">
        <v>4028</v>
      </c>
      <c r="C1016" s="113"/>
      <c r="D1016" s="393" t="s">
        <v>84</v>
      </c>
      <c r="E1016" s="394"/>
      <c r="F1016" s="402"/>
      <c r="G1016" s="405" t="s">
        <v>4029</v>
      </c>
      <c r="H1016" s="74">
        <v>2653</v>
      </c>
      <c r="I1016" s="50"/>
      <c r="J1016" s="339" t="s">
        <v>4030</v>
      </c>
      <c r="K1016" s="51">
        <v>41105</v>
      </c>
      <c r="L1016" s="173">
        <v>41085</v>
      </c>
      <c r="M1016" s="50">
        <f t="shared" si="40"/>
        <v>20</v>
      </c>
      <c r="N1016" s="50" t="s">
        <v>2</v>
      </c>
      <c r="O1016" s="74">
        <v>4.5</v>
      </c>
      <c r="P1016" s="50">
        <v>6</v>
      </c>
      <c r="Q1016" s="74">
        <v>7.6</v>
      </c>
      <c r="R1016" s="50">
        <v>6.8</v>
      </c>
      <c r="S1016" s="74">
        <v>5</v>
      </c>
      <c r="T1016" s="50">
        <v>0.1</v>
      </c>
      <c r="U1016" s="131">
        <v>0.43</v>
      </c>
      <c r="V1016" s="50">
        <v>2.6</v>
      </c>
      <c r="W1016" s="74">
        <v>0.04</v>
      </c>
      <c r="X1016" s="50">
        <v>7.0000000000000007E-2</v>
      </c>
      <c r="Y1016" s="74">
        <f>0.02/2</f>
        <v>0.01</v>
      </c>
      <c r="Z1016" s="271">
        <v>1</v>
      </c>
      <c r="AA1016" s="271">
        <v>0.502</v>
      </c>
      <c r="AB1016" s="114">
        <f>1/2</f>
        <v>0.5</v>
      </c>
      <c r="AC1016" s="50">
        <v>44.6</v>
      </c>
      <c r="AD1016" s="271">
        <v>0.4</v>
      </c>
      <c r="AE1016" s="50"/>
      <c r="AF1016" s="49"/>
      <c r="AG1016" s="114"/>
      <c r="AH1016" s="114"/>
      <c r="AI1016" s="114"/>
      <c r="AJ1016" s="114"/>
      <c r="AK1016" s="114"/>
      <c r="AL1016" s="114"/>
      <c r="AM1016" s="114"/>
      <c r="AN1016" s="114"/>
      <c r="AO1016" s="114"/>
      <c r="AP1016" s="114"/>
      <c r="AQ1016" s="114"/>
      <c r="AR1016" s="114"/>
      <c r="AS1016" s="50"/>
      <c r="AT1016" s="74"/>
      <c r="AU1016" s="114"/>
      <c r="AV1016" s="114"/>
      <c r="AW1016" s="394"/>
      <c r="AX1016" s="385"/>
      <c r="AY1016" s="385"/>
      <c r="AZ1016" s="385"/>
      <c r="BA1016" s="385"/>
      <c r="BB1016" s="385"/>
      <c r="BC1016" s="385"/>
      <c r="BD1016" s="385"/>
      <c r="BE1016" s="385"/>
      <c r="BF1016" s="385"/>
      <c r="BG1016" s="385"/>
      <c r="BH1016" s="385"/>
      <c r="BI1016" s="385"/>
      <c r="BJ1016" s="385"/>
      <c r="BK1016" s="385"/>
      <c r="BL1016" s="385"/>
      <c r="BM1016" s="385"/>
      <c r="BN1016" s="385"/>
      <c r="BO1016" s="385"/>
      <c r="BP1016" s="385"/>
      <c r="BQ1016" s="385"/>
      <c r="BR1016" s="385"/>
      <c r="BS1016" s="385"/>
      <c r="BT1016" s="385"/>
      <c r="BU1016" s="385"/>
      <c r="BV1016" s="385"/>
      <c r="BW1016" s="385"/>
      <c r="BX1016" s="385"/>
      <c r="BY1016" s="385"/>
      <c r="BZ1016" s="385"/>
      <c r="CA1016" s="385"/>
    </row>
    <row r="1017" spans="1:79" s="6" customFormat="1" ht="15" customHeight="1">
      <c r="A1017" s="41" t="s">
        <v>183</v>
      </c>
      <c r="B1017" s="402" t="s">
        <v>2088</v>
      </c>
      <c r="C1017" s="113" t="s">
        <v>2089</v>
      </c>
      <c r="D1017" s="393" t="s">
        <v>350</v>
      </c>
      <c r="E1017" s="394" t="s">
        <v>467</v>
      </c>
      <c r="F1017" s="402"/>
      <c r="G1017" s="405" t="s">
        <v>3597</v>
      </c>
      <c r="H1017" s="74">
        <v>4213</v>
      </c>
      <c r="I1017" s="50" t="s">
        <v>2</v>
      </c>
      <c r="J1017" s="339" t="s">
        <v>2047</v>
      </c>
      <c r="K1017" s="51">
        <v>41051</v>
      </c>
      <c r="L1017" s="173">
        <v>41044</v>
      </c>
      <c r="M1017" s="50">
        <f t="shared" si="40"/>
        <v>7</v>
      </c>
      <c r="N1017" s="50" t="s">
        <v>2</v>
      </c>
      <c r="O1017" s="74">
        <v>4.5999999999999996</v>
      </c>
      <c r="P1017" s="50">
        <v>6.8</v>
      </c>
      <c r="Q1017" s="74">
        <v>7</v>
      </c>
      <c r="R1017" s="50">
        <v>150</v>
      </c>
      <c r="S1017" s="74">
        <v>91</v>
      </c>
      <c r="T1017" s="50">
        <v>0.27</v>
      </c>
      <c r="U1017" s="131">
        <v>2.98</v>
      </c>
      <c r="V1017" s="50">
        <v>0.18</v>
      </c>
      <c r="W1017" s="74">
        <v>4.7E-2</v>
      </c>
      <c r="X1017" s="50">
        <v>0.28100000000000003</v>
      </c>
      <c r="Y1017" s="74">
        <v>0.01</v>
      </c>
      <c r="Z1017" s="271">
        <v>1</v>
      </c>
      <c r="AA1017" s="271">
        <v>1</v>
      </c>
      <c r="AB1017" s="114">
        <v>12</v>
      </c>
      <c r="AC1017" s="50">
        <v>93</v>
      </c>
      <c r="AD1017" s="271">
        <v>1</v>
      </c>
      <c r="AE1017" s="50"/>
      <c r="AF1017" s="49"/>
      <c r="AG1017" s="114"/>
      <c r="AH1017" s="114"/>
      <c r="AI1017" s="114"/>
      <c r="AJ1017" s="114"/>
      <c r="AK1017" s="114"/>
      <c r="AL1017" s="114"/>
      <c r="AM1017" s="114"/>
      <c r="AN1017" s="114"/>
      <c r="AO1017" s="114"/>
      <c r="AP1017" s="114"/>
      <c r="AQ1017" s="114"/>
      <c r="AR1017" s="114"/>
      <c r="AS1017" s="50"/>
      <c r="AT1017" s="74"/>
      <c r="AU1017" s="114"/>
      <c r="AV1017" s="114"/>
      <c r="AW1017" s="394"/>
      <c r="AX1017" s="385"/>
      <c r="AY1017" s="385"/>
      <c r="AZ1017" s="385"/>
      <c r="BA1017" s="385"/>
      <c r="BB1017" s="385"/>
      <c r="BC1017" s="385"/>
      <c r="BD1017" s="385"/>
      <c r="BE1017" s="385"/>
      <c r="BF1017" s="385"/>
      <c r="BG1017" s="385"/>
      <c r="BH1017" s="385"/>
      <c r="BI1017" s="385"/>
      <c r="BJ1017" s="385"/>
      <c r="BK1017" s="385"/>
      <c r="BL1017" s="385"/>
      <c r="BM1017" s="385"/>
      <c r="BN1017" s="385"/>
      <c r="BO1017" s="385"/>
      <c r="BP1017" s="385"/>
      <c r="BQ1017" s="385"/>
      <c r="BR1017" s="385"/>
      <c r="BS1017" s="385"/>
      <c r="BT1017" s="385"/>
      <c r="BU1017" s="385"/>
      <c r="BV1017" s="385"/>
      <c r="BW1017" s="385"/>
      <c r="BX1017" s="385"/>
      <c r="BY1017" s="385"/>
      <c r="BZ1017" s="385"/>
      <c r="CA1017" s="385"/>
    </row>
    <row r="1018" spans="1:79" s="6" customFormat="1" ht="15" customHeight="1">
      <c r="A1018" s="41" t="s">
        <v>183</v>
      </c>
      <c r="B1018" s="402" t="s">
        <v>2088</v>
      </c>
      <c r="C1018" s="113" t="s">
        <v>4031</v>
      </c>
      <c r="D1018" s="393" t="s">
        <v>372</v>
      </c>
      <c r="E1018" s="394" t="s">
        <v>467</v>
      </c>
      <c r="F1018" s="402"/>
      <c r="G1018" s="405" t="s">
        <v>4032</v>
      </c>
      <c r="H1018" s="74">
        <v>4213</v>
      </c>
      <c r="I1018" s="50" t="s">
        <v>2</v>
      </c>
      <c r="J1018" s="339" t="s">
        <v>4033</v>
      </c>
      <c r="K1018" s="51">
        <v>41051</v>
      </c>
      <c r="L1018" s="173">
        <v>41044</v>
      </c>
      <c r="M1018" s="50">
        <f t="shared" si="40"/>
        <v>7</v>
      </c>
      <c r="N1018" s="50" t="s">
        <v>2</v>
      </c>
      <c r="O1018" s="74">
        <f>1.4/2</f>
        <v>0.7</v>
      </c>
      <c r="P1018" s="50">
        <v>7.4</v>
      </c>
      <c r="Q1018" s="74">
        <v>9.9</v>
      </c>
      <c r="R1018" s="50">
        <v>30</v>
      </c>
      <c r="S1018" s="74">
        <f>5/2</f>
        <v>2.5</v>
      </c>
      <c r="T1018" s="50">
        <v>0.14000000000000001</v>
      </c>
      <c r="U1018" s="131">
        <v>2.83</v>
      </c>
      <c r="V1018" s="50">
        <v>0.52</v>
      </c>
      <c r="W1018" s="74">
        <v>6.8999999999999999E-3</v>
      </c>
      <c r="X1018" s="50">
        <v>1.7999999999999999E-2</v>
      </c>
      <c r="Y1018" s="74">
        <f>0.002/2</f>
        <v>1E-3</v>
      </c>
      <c r="Z1018" s="271">
        <v>1</v>
      </c>
      <c r="AA1018" s="271">
        <v>1</v>
      </c>
      <c r="AB1018" s="114">
        <v>8</v>
      </c>
      <c r="AC1018" s="50">
        <v>48</v>
      </c>
      <c r="AD1018" s="271">
        <v>0.9</v>
      </c>
      <c r="AE1018" s="50"/>
      <c r="AF1018" s="49"/>
      <c r="AG1018" s="114"/>
      <c r="AH1018" s="114"/>
      <c r="AI1018" s="114"/>
      <c r="AJ1018" s="114"/>
      <c r="AK1018" s="114"/>
      <c r="AL1018" s="114"/>
      <c r="AM1018" s="114"/>
      <c r="AN1018" s="114"/>
      <c r="AO1018" s="114"/>
      <c r="AP1018" s="114"/>
      <c r="AQ1018" s="114"/>
      <c r="AR1018" s="114"/>
      <c r="AS1018" s="50"/>
      <c r="AT1018" s="74"/>
      <c r="AU1018" s="114"/>
      <c r="AV1018" s="114"/>
      <c r="AW1018" s="394"/>
      <c r="AX1018" s="385"/>
      <c r="AY1018" s="385"/>
      <c r="AZ1018" s="385"/>
      <c r="BA1018" s="385"/>
      <c r="BB1018" s="385"/>
      <c r="BC1018" s="385"/>
      <c r="BD1018" s="385"/>
      <c r="BE1018" s="385"/>
      <c r="BF1018" s="385"/>
      <c r="BG1018" s="385"/>
      <c r="BH1018" s="385"/>
      <c r="BI1018" s="385"/>
      <c r="BJ1018" s="385"/>
      <c r="BK1018" s="385"/>
      <c r="BL1018" s="385"/>
      <c r="BM1018" s="385"/>
      <c r="BN1018" s="385"/>
      <c r="BO1018" s="385"/>
      <c r="BP1018" s="385"/>
      <c r="BQ1018" s="385"/>
      <c r="BR1018" s="385"/>
      <c r="BS1018" s="385"/>
      <c r="BT1018" s="385"/>
      <c r="BU1018" s="385"/>
      <c r="BV1018" s="385"/>
      <c r="BW1018" s="385"/>
      <c r="BX1018" s="385"/>
      <c r="BY1018" s="385"/>
      <c r="BZ1018" s="385"/>
      <c r="CA1018" s="385"/>
    </row>
    <row r="1019" spans="1:79" s="6" customFormat="1" ht="15" customHeight="1">
      <c r="A1019" s="41" t="s">
        <v>183</v>
      </c>
      <c r="B1019" s="402" t="s">
        <v>2088</v>
      </c>
      <c r="C1019" s="113" t="s">
        <v>2094</v>
      </c>
      <c r="D1019" s="393" t="s">
        <v>735</v>
      </c>
      <c r="E1019" s="394" t="s">
        <v>467</v>
      </c>
      <c r="F1019" s="402"/>
      <c r="G1019" s="405" t="s">
        <v>3600</v>
      </c>
      <c r="H1019" s="113">
        <v>4213</v>
      </c>
      <c r="I1019" s="49" t="s">
        <v>2</v>
      </c>
      <c r="J1019" s="48" t="s">
        <v>2095</v>
      </c>
      <c r="K1019" s="51">
        <v>41051</v>
      </c>
      <c r="L1019" s="173">
        <v>41044</v>
      </c>
      <c r="M1019" s="50">
        <f t="shared" si="40"/>
        <v>7</v>
      </c>
      <c r="N1019" s="50" t="s">
        <v>2</v>
      </c>
      <c r="O1019" s="74">
        <f>1.4/2</f>
        <v>0.7</v>
      </c>
      <c r="P1019" s="50">
        <v>7</v>
      </c>
      <c r="Q1019" s="74">
        <v>7.2</v>
      </c>
      <c r="R1019" s="50">
        <f>10/2</f>
        <v>5</v>
      </c>
      <c r="S1019" s="74">
        <f>5/2</f>
        <v>2.5</v>
      </c>
      <c r="T1019" s="50">
        <v>0.22</v>
      </c>
      <c r="U1019" s="131">
        <v>0.39</v>
      </c>
      <c r="V1019" s="50">
        <v>0.28999999999999998</v>
      </c>
      <c r="W1019" s="74">
        <f>0.005/2</f>
        <v>2.5000000000000001E-3</v>
      </c>
      <c r="X1019" s="50">
        <v>4.2999999999999997E-2</v>
      </c>
      <c r="Y1019" s="74">
        <f>0.002/2</f>
        <v>1E-3</v>
      </c>
      <c r="Z1019" s="271">
        <v>1</v>
      </c>
      <c r="AA1019" s="271">
        <v>1</v>
      </c>
      <c r="AB1019" s="114">
        <v>48</v>
      </c>
      <c r="AC1019" s="50">
        <v>253</v>
      </c>
      <c r="AD1019" s="271">
        <v>1</v>
      </c>
      <c r="AE1019" s="50"/>
      <c r="AF1019" s="49"/>
      <c r="AG1019" s="114"/>
      <c r="AH1019" s="114"/>
      <c r="AI1019" s="114"/>
      <c r="AJ1019" s="114"/>
      <c r="AK1019" s="114"/>
      <c r="AL1019" s="114"/>
      <c r="AM1019" s="114"/>
      <c r="AN1019" s="114"/>
      <c r="AO1019" s="114"/>
      <c r="AP1019" s="114"/>
      <c r="AQ1019" s="114"/>
      <c r="AR1019" s="114"/>
      <c r="AS1019" s="50"/>
      <c r="AT1019" s="74"/>
      <c r="AU1019" s="114"/>
      <c r="AV1019" s="114"/>
      <c r="AW1019" s="394"/>
      <c r="AX1019" s="385"/>
      <c r="AY1019" s="385"/>
      <c r="AZ1019" s="385"/>
      <c r="BA1019" s="385"/>
      <c r="BB1019" s="385"/>
      <c r="BC1019" s="385"/>
      <c r="BD1019" s="385"/>
      <c r="BE1019" s="385"/>
      <c r="BF1019" s="385"/>
      <c r="BG1019" s="385"/>
      <c r="BH1019" s="385"/>
      <c r="BI1019" s="385"/>
      <c r="BJ1019" s="385"/>
      <c r="BK1019" s="385"/>
      <c r="BL1019" s="385"/>
      <c r="BM1019" s="385"/>
      <c r="BN1019" s="385"/>
      <c r="BO1019" s="385"/>
      <c r="BP1019" s="385"/>
      <c r="BQ1019" s="385"/>
      <c r="BR1019" s="385"/>
      <c r="BS1019" s="385"/>
      <c r="BT1019" s="385"/>
      <c r="BU1019" s="385"/>
      <c r="BV1019" s="385"/>
      <c r="BW1019" s="385"/>
      <c r="BX1019" s="385"/>
      <c r="BY1019" s="385"/>
      <c r="BZ1019" s="385"/>
      <c r="CA1019" s="385"/>
    </row>
    <row r="1020" spans="1:79" s="6" customFormat="1" ht="15" customHeight="1">
      <c r="A1020" s="41" t="s">
        <v>183</v>
      </c>
      <c r="B1020" s="386" t="s">
        <v>956</v>
      </c>
      <c r="C1020" s="149" t="s">
        <v>4034</v>
      </c>
      <c r="D1020" s="392" t="s">
        <v>372</v>
      </c>
      <c r="E1020" s="258" t="s">
        <v>235</v>
      </c>
      <c r="F1020" s="386"/>
      <c r="G1020" s="389" t="s">
        <v>373</v>
      </c>
      <c r="H1020" s="55">
        <v>4151</v>
      </c>
      <c r="I1020" s="54" t="s">
        <v>2</v>
      </c>
      <c r="J1020" s="61" t="s">
        <v>374</v>
      </c>
      <c r="K1020" s="51">
        <v>41030</v>
      </c>
      <c r="L1020" s="173">
        <v>41022</v>
      </c>
      <c r="M1020" s="50">
        <f t="shared" si="40"/>
        <v>8</v>
      </c>
      <c r="N1020" s="50" t="s">
        <v>2</v>
      </c>
      <c r="O1020" s="74">
        <f>1/2</f>
        <v>0.5</v>
      </c>
      <c r="P1020" s="50">
        <v>4.6100000000000003</v>
      </c>
      <c r="Q1020" s="74">
        <v>3.36</v>
      </c>
      <c r="R1020" s="50">
        <v>17.2</v>
      </c>
      <c r="S1020" s="74">
        <v>18.5</v>
      </c>
      <c r="T1020" s="50">
        <v>0.08</v>
      </c>
      <c r="U1020" s="131">
        <v>0.42</v>
      </c>
      <c r="V1020" s="50">
        <f>0.2/2</f>
        <v>0.1</v>
      </c>
      <c r="W1020" s="74">
        <v>0.02</v>
      </c>
      <c r="X1020" s="50">
        <v>0.14000000000000001</v>
      </c>
      <c r="Y1020" s="74">
        <v>0.03</v>
      </c>
      <c r="Z1020" s="271">
        <v>0.70699999999999996</v>
      </c>
      <c r="AA1020" s="271">
        <v>0.61599999999999999</v>
      </c>
      <c r="AB1020" s="114">
        <v>1.75</v>
      </c>
      <c r="AC1020" s="50">
        <v>10.5</v>
      </c>
      <c r="AD1020" s="271">
        <v>0</v>
      </c>
      <c r="AE1020" s="50"/>
      <c r="AF1020" s="49"/>
      <c r="AG1020" s="114"/>
      <c r="AH1020" s="114"/>
      <c r="AI1020" s="114"/>
      <c r="AJ1020" s="114"/>
      <c r="AK1020" s="114"/>
      <c r="AL1020" s="114"/>
      <c r="AM1020" s="114"/>
      <c r="AN1020" s="114"/>
      <c r="AO1020" s="114"/>
      <c r="AP1020" s="114"/>
      <c r="AQ1020" s="114"/>
      <c r="AR1020" s="114"/>
      <c r="AS1020" s="50"/>
      <c r="AT1020" s="74"/>
      <c r="AU1020" s="114"/>
      <c r="AV1020" s="114"/>
      <c r="AW1020" s="394"/>
      <c r="AX1020" s="385"/>
      <c r="AY1020" s="385"/>
      <c r="AZ1020" s="385"/>
      <c r="BA1020" s="385"/>
      <c r="BB1020" s="385"/>
      <c r="BC1020" s="385"/>
      <c r="BD1020" s="385"/>
      <c r="BE1020" s="385"/>
      <c r="BF1020" s="385"/>
      <c r="BG1020" s="385"/>
      <c r="BH1020" s="385"/>
      <c r="BI1020" s="385"/>
      <c r="BJ1020" s="385"/>
      <c r="BK1020" s="385"/>
      <c r="BL1020" s="385"/>
      <c r="BM1020" s="385"/>
      <c r="BN1020" s="385"/>
      <c r="BO1020" s="385"/>
      <c r="BP1020" s="385"/>
      <c r="BQ1020" s="385"/>
      <c r="BR1020" s="385"/>
      <c r="BS1020" s="385"/>
      <c r="BT1020" s="385"/>
      <c r="BU1020" s="385"/>
      <c r="BV1020" s="385"/>
      <c r="BW1020" s="385"/>
      <c r="BX1020" s="385"/>
      <c r="BY1020" s="385"/>
      <c r="BZ1020" s="385"/>
      <c r="CA1020" s="385"/>
    </row>
    <row r="1021" spans="1:79" s="6" customFormat="1" ht="15" customHeight="1">
      <c r="A1021" s="41" t="s">
        <v>183</v>
      </c>
      <c r="B1021" s="402" t="s">
        <v>1281</v>
      </c>
      <c r="C1021" s="113" t="s">
        <v>1282</v>
      </c>
      <c r="D1021" s="393" t="s">
        <v>1896</v>
      </c>
      <c r="E1021" s="394" t="s">
        <v>1283</v>
      </c>
      <c r="F1021" s="402"/>
      <c r="G1021" s="405" t="s">
        <v>1284</v>
      </c>
      <c r="H1021" s="49">
        <v>5171</v>
      </c>
      <c r="I1021" s="50" t="s">
        <v>2</v>
      </c>
      <c r="J1021" s="76" t="s">
        <v>4035</v>
      </c>
      <c r="K1021" s="51">
        <v>41044</v>
      </c>
      <c r="L1021" s="173">
        <v>41039</v>
      </c>
      <c r="M1021" s="50">
        <f t="shared" si="40"/>
        <v>5</v>
      </c>
      <c r="N1021" s="50" t="s">
        <v>2</v>
      </c>
      <c r="O1021" s="74">
        <f>5/2</f>
        <v>2.5</v>
      </c>
      <c r="P1021" s="50">
        <v>7.1</v>
      </c>
      <c r="Q1021" s="74">
        <v>7.49</v>
      </c>
      <c r="R1021" s="50">
        <v>18</v>
      </c>
      <c r="S1021" s="74">
        <v>14</v>
      </c>
      <c r="T1021" s="50">
        <f>0.1/2</f>
        <v>0.05</v>
      </c>
      <c r="U1021" s="131">
        <v>2.6</v>
      </c>
      <c r="V1021" s="50">
        <v>0.8</v>
      </c>
      <c r="W1021" s="74">
        <f>0.04/2</f>
        <v>0.02</v>
      </c>
      <c r="X1021" s="50">
        <f>0.02/2</f>
        <v>0.01</v>
      </c>
      <c r="Y1021" s="74">
        <f>0.013/2</f>
        <v>6.4999999999999997E-3</v>
      </c>
      <c r="Z1021" s="271"/>
      <c r="AA1021" s="271"/>
      <c r="AB1021" s="114"/>
      <c r="AC1021" s="50"/>
      <c r="AD1021" s="271"/>
      <c r="AE1021" s="50"/>
      <c r="AF1021" s="49"/>
      <c r="AG1021" s="114"/>
      <c r="AH1021" s="114"/>
      <c r="AI1021" s="114"/>
      <c r="AJ1021" s="114"/>
      <c r="AK1021" s="114"/>
      <c r="AL1021" s="114"/>
      <c r="AM1021" s="114"/>
      <c r="AN1021" s="114"/>
      <c r="AO1021" s="114"/>
      <c r="AP1021" s="114"/>
      <c r="AQ1021" s="114"/>
      <c r="AR1021" s="114"/>
      <c r="AS1021" s="50"/>
      <c r="AT1021" s="74"/>
      <c r="AU1021" s="114"/>
      <c r="AV1021" s="114"/>
      <c r="AW1021" s="394"/>
      <c r="AX1021" s="385"/>
      <c r="AY1021" s="385"/>
      <c r="AZ1021" s="385"/>
      <c r="BA1021" s="385"/>
      <c r="BB1021" s="385"/>
      <c r="BC1021" s="385"/>
      <c r="BD1021" s="385"/>
      <c r="BE1021" s="385"/>
      <c r="BF1021" s="385"/>
      <c r="BG1021" s="385"/>
      <c r="BH1021" s="385"/>
      <c r="BI1021" s="385"/>
      <c r="BJ1021" s="385"/>
      <c r="BK1021" s="385"/>
      <c r="BL1021" s="385"/>
      <c r="BM1021" s="385"/>
      <c r="BN1021" s="385"/>
      <c r="BO1021" s="385"/>
      <c r="BP1021" s="385"/>
      <c r="BQ1021" s="385"/>
      <c r="BR1021" s="385"/>
      <c r="BS1021" s="385"/>
      <c r="BT1021" s="385"/>
      <c r="BU1021" s="385"/>
      <c r="BV1021" s="385"/>
      <c r="BW1021" s="385"/>
      <c r="BX1021" s="385"/>
      <c r="BY1021" s="385"/>
      <c r="BZ1021" s="385"/>
      <c r="CA1021" s="385"/>
    </row>
    <row r="1022" spans="1:79" s="6" customFormat="1" ht="15" customHeight="1">
      <c r="A1022" s="41" t="s">
        <v>183</v>
      </c>
      <c r="B1022" s="402" t="s">
        <v>4038</v>
      </c>
      <c r="C1022" s="113"/>
      <c r="D1022" s="393" t="s">
        <v>156</v>
      </c>
      <c r="E1022" s="394" t="s">
        <v>4039</v>
      </c>
      <c r="F1022" s="402"/>
      <c r="G1022" s="405" t="s">
        <v>4036</v>
      </c>
      <c r="H1022" s="74">
        <v>3441</v>
      </c>
      <c r="I1022" s="50" t="s">
        <v>2</v>
      </c>
      <c r="J1022" s="339" t="s">
        <v>4037</v>
      </c>
      <c r="K1022" s="51">
        <v>40920</v>
      </c>
      <c r="L1022" s="173">
        <v>40904</v>
      </c>
      <c r="M1022" s="50">
        <f t="shared" si="40"/>
        <v>16</v>
      </c>
      <c r="N1022" s="50" t="s">
        <v>2</v>
      </c>
      <c r="O1022" s="74">
        <f>5/2</f>
        <v>2.5</v>
      </c>
      <c r="P1022" s="50">
        <v>7.97</v>
      </c>
      <c r="Q1022" s="74">
        <v>7.32</v>
      </c>
      <c r="R1022" s="50">
        <v>8</v>
      </c>
      <c r="S1022" s="74">
        <v>11</v>
      </c>
      <c r="T1022" s="50">
        <v>0.73</v>
      </c>
      <c r="U1022" s="131">
        <v>2.1</v>
      </c>
      <c r="V1022" s="50">
        <v>0.17</v>
      </c>
      <c r="W1022" s="74">
        <f>0.04/2</f>
        <v>0.02</v>
      </c>
      <c r="X1022" s="50">
        <v>2.1000000000000001E-2</v>
      </c>
      <c r="Y1022" s="74">
        <v>1.4E-2</v>
      </c>
      <c r="Z1022" s="271">
        <v>1</v>
      </c>
      <c r="AA1022" s="271">
        <v>1</v>
      </c>
      <c r="AB1022" s="114">
        <v>50</v>
      </c>
      <c r="AC1022" s="50">
        <v>109</v>
      </c>
      <c r="AD1022" s="271">
        <v>1</v>
      </c>
      <c r="AE1022" s="50"/>
      <c r="AF1022" s="49"/>
      <c r="AG1022" s="114"/>
      <c r="AH1022" s="114"/>
      <c r="AI1022" s="114"/>
      <c r="AJ1022" s="114"/>
      <c r="AK1022" s="114"/>
      <c r="AL1022" s="114"/>
      <c r="AM1022" s="114"/>
      <c r="AN1022" s="114"/>
      <c r="AO1022" s="114"/>
      <c r="AP1022" s="114"/>
      <c r="AQ1022" s="114"/>
      <c r="AR1022" s="114"/>
      <c r="AS1022" s="50"/>
      <c r="AT1022" s="74"/>
      <c r="AU1022" s="114"/>
      <c r="AV1022" s="114"/>
      <c r="AW1022" s="394"/>
      <c r="AX1022" s="385"/>
      <c r="AY1022" s="385"/>
      <c r="AZ1022" s="385"/>
      <c r="BA1022" s="385"/>
      <c r="BB1022" s="385"/>
      <c r="BC1022" s="385"/>
      <c r="BD1022" s="385"/>
      <c r="BE1022" s="385"/>
      <c r="BF1022" s="385"/>
      <c r="BG1022" s="385"/>
      <c r="BH1022" s="385"/>
      <c r="BI1022" s="385"/>
      <c r="BJ1022" s="385"/>
      <c r="BK1022" s="385"/>
      <c r="BL1022" s="385"/>
      <c r="BM1022" s="385"/>
      <c r="BN1022" s="385"/>
      <c r="BO1022" s="385"/>
      <c r="BP1022" s="385"/>
      <c r="BQ1022" s="385"/>
      <c r="BR1022" s="385"/>
      <c r="BS1022" s="385"/>
      <c r="BT1022" s="385"/>
      <c r="BU1022" s="385"/>
      <c r="BV1022" s="385"/>
      <c r="BW1022" s="385"/>
      <c r="BX1022" s="385"/>
      <c r="BY1022" s="385"/>
      <c r="BZ1022" s="385"/>
      <c r="CA1022" s="385"/>
    </row>
    <row r="1023" spans="1:79" ht="15" customHeight="1">
      <c r="A1023" s="41" t="s">
        <v>183</v>
      </c>
      <c r="B1023" s="402" t="s">
        <v>4038</v>
      </c>
      <c r="D1023" s="393" t="s">
        <v>156</v>
      </c>
      <c r="E1023" s="394" t="s">
        <v>4039</v>
      </c>
      <c r="G1023" s="405" t="s">
        <v>4036</v>
      </c>
      <c r="H1023" s="74">
        <v>3441</v>
      </c>
      <c r="I1023" s="50" t="s">
        <v>2</v>
      </c>
      <c r="J1023" s="339" t="s">
        <v>2100</v>
      </c>
      <c r="K1023" s="51">
        <v>40920</v>
      </c>
      <c r="L1023" s="173">
        <v>40904</v>
      </c>
      <c r="M1023" s="50">
        <f t="shared" si="40"/>
        <v>16</v>
      </c>
      <c r="N1023" s="50" t="s">
        <v>2</v>
      </c>
      <c r="O1023" s="74">
        <f>5/2</f>
        <v>2.5</v>
      </c>
      <c r="P1023" s="50">
        <v>7.97</v>
      </c>
      <c r="Q1023" s="74">
        <v>6.11</v>
      </c>
      <c r="R1023" s="50">
        <v>71</v>
      </c>
      <c r="S1023" s="74">
        <v>370</v>
      </c>
      <c r="T1023" s="50">
        <f>0.1/2</f>
        <v>0.05</v>
      </c>
      <c r="U1023" s="131">
        <f>1/2</f>
        <v>0.5</v>
      </c>
      <c r="V1023" s="50">
        <v>1.1000000000000001</v>
      </c>
      <c r="W1023" s="74">
        <f>0.04/2</f>
        <v>0.02</v>
      </c>
      <c r="X1023" s="50">
        <v>0.51</v>
      </c>
      <c r="Y1023" s="74">
        <v>0.14000000000000001</v>
      </c>
      <c r="Z1023" s="271">
        <v>1</v>
      </c>
      <c r="AA1023" s="271">
        <v>1</v>
      </c>
      <c r="AB1023" s="114">
        <v>57</v>
      </c>
      <c r="AC1023" s="50">
        <v>163</v>
      </c>
      <c r="AD1023" s="271">
        <v>0.95</v>
      </c>
    </row>
    <row r="1024" spans="1:79" ht="15" customHeight="1">
      <c r="A1024" s="41" t="s">
        <v>183</v>
      </c>
      <c r="B1024" s="386" t="s">
        <v>199</v>
      </c>
      <c r="C1024" s="149" t="s">
        <v>199</v>
      </c>
      <c r="D1024" s="392" t="s">
        <v>200</v>
      </c>
      <c r="E1024" s="258" t="s">
        <v>201</v>
      </c>
      <c r="F1024" s="386"/>
      <c r="G1024" s="389" t="s">
        <v>202</v>
      </c>
      <c r="H1024" s="55">
        <v>33</v>
      </c>
      <c r="I1024" s="54" t="s">
        <v>1</v>
      </c>
      <c r="J1024" s="61" t="s">
        <v>203</v>
      </c>
      <c r="K1024" s="51">
        <v>41044</v>
      </c>
      <c r="L1024" s="173"/>
      <c r="N1024" s="50" t="s">
        <v>2</v>
      </c>
      <c r="O1024" s="74">
        <f>1/2</f>
        <v>0.5</v>
      </c>
      <c r="P1024" s="50">
        <v>5.76</v>
      </c>
      <c r="Q1024" s="74">
        <v>5.05</v>
      </c>
      <c r="R1024" s="50">
        <v>7.5</v>
      </c>
      <c r="S1024" s="74">
        <f>1/2</f>
        <v>0.5</v>
      </c>
      <c r="T1024" s="50">
        <v>0.2</v>
      </c>
      <c r="U1024" s="131">
        <v>0.96</v>
      </c>
      <c r="V1024" s="50">
        <f>1/2</f>
        <v>0.5</v>
      </c>
      <c r="W1024" s="74">
        <v>8.9999999999999993E-3</v>
      </c>
      <c r="X1024" s="50">
        <v>5.6000000000000001E-2</v>
      </c>
      <c r="Y1024" s="74">
        <f>0.002/2</f>
        <v>1E-3</v>
      </c>
    </row>
    <row r="1025" spans="1:79" ht="15" customHeight="1">
      <c r="A1025" s="41" t="s">
        <v>183</v>
      </c>
      <c r="B1025" s="402" t="s">
        <v>199</v>
      </c>
      <c r="C1025" s="113" t="s">
        <v>199</v>
      </c>
      <c r="D1025" s="393" t="s">
        <v>200</v>
      </c>
      <c r="E1025" s="394" t="s">
        <v>201</v>
      </c>
      <c r="G1025" s="405" t="s">
        <v>202</v>
      </c>
      <c r="H1025" s="74">
        <v>33</v>
      </c>
      <c r="I1025" s="50" t="s">
        <v>1</v>
      </c>
      <c r="J1025" s="339" t="s">
        <v>203</v>
      </c>
      <c r="K1025" s="51">
        <v>41116</v>
      </c>
      <c r="L1025" s="173"/>
      <c r="N1025" s="50" t="s">
        <v>2</v>
      </c>
      <c r="P1025" s="50">
        <v>5.36</v>
      </c>
      <c r="AE1025" s="50">
        <v>48</v>
      </c>
    </row>
    <row r="1026" spans="1:79" ht="15" customHeight="1">
      <c r="A1026" s="41" t="s">
        <v>183</v>
      </c>
      <c r="B1026" s="402" t="s">
        <v>199</v>
      </c>
      <c r="C1026" s="113" t="s">
        <v>199</v>
      </c>
      <c r="D1026" s="393" t="s">
        <v>200</v>
      </c>
      <c r="E1026" s="394" t="s">
        <v>201</v>
      </c>
      <c r="G1026" s="405" t="s">
        <v>202</v>
      </c>
      <c r="H1026" s="74">
        <v>33</v>
      </c>
      <c r="I1026" s="50" t="s">
        <v>1</v>
      </c>
      <c r="J1026" s="339" t="s">
        <v>203</v>
      </c>
      <c r="K1026" s="51">
        <v>41438</v>
      </c>
      <c r="L1026" s="173"/>
      <c r="N1026" s="50" t="s">
        <v>2</v>
      </c>
      <c r="O1026" s="74">
        <f>1/2</f>
        <v>0.5</v>
      </c>
      <c r="P1026" s="50">
        <v>5.41</v>
      </c>
      <c r="Q1026" s="74">
        <v>5.4</v>
      </c>
      <c r="R1026" s="50">
        <f>1/2</f>
        <v>0.5</v>
      </c>
      <c r="S1026" s="74">
        <v>2</v>
      </c>
      <c r="T1026" s="50">
        <v>0.11</v>
      </c>
      <c r="U1026" s="131">
        <v>0.35</v>
      </c>
      <c r="V1026" s="50">
        <v>0.39</v>
      </c>
      <c r="W1026" s="74">
        <v>8.9999999999999993E-3</v>
      </c>
      <c r="X1026" s="50">
        <v>0.11899999999999999</v>
      </c>
      <c r="Y1026" s="74">
        <v>1.0999999999999999E-2</v>
      </c>
      <c r="AE1026" s="50">
        <v>0</v>
      </c>
    </row>
    <row r="1027" spans="1:79" ht="15" customHeight="1">
      <c r="A1027" s="41" t="s">
        <v>183</v>
      </c>
      <c r="B1027" s="386" t="s">
        <v>362</v>
      </c>
      <c r="C1027" s="149" t="s">
        <v>363</v>
      </c>
      <c r="D1027" s="392" t="s">
        <v>205</v>
      </c>
      <c r="E1027" s="258" t="s">
        <v>364</v>
      </c>
      <c r="F1027" s="386"/>
      <c r="G1027" s="389" t="s">
        <v>365</v>
      </c>
      <c r="H1027" s="55">
        <v>4952</v>
      </c>
      <c r="I1027" s="54" t="s">
        <v>2</v>
      </c>
      <c r="J1027" s="61" t="s">
        <v>366</v>
      </c>
      <c r="K1027" s="51">
        <v>41402</v>
      </c>
      <c r="L1027" s="173">
        <v>41384</v>
      </c>
      <c r="M1027" s="50">
        <f t="shared" ref="M1027:M1051" si="41">K1027-L1027</f>
        <v>18</v>
      </c>
      <c r="N1027" s="50" t="s">
        <v>2</v>
      </c>
      <c r="O1027" s="74">
        <v>2.21</v>
      </c>
      <c r="P1027" s="50">
        <v>6</v>
      </c>
      <c r="Q1027" s="74">
        <v>6.31</v>
      </c>
      <c r="R1027" s="50">
        <f>10/2</f>
        <v>5</v>
      </c>
      <c r="S1027" s="74">
        <v>329</v>
      </c>
      <c r="T1027" s="50">
        <v>1.03</v>
      </c>
      <c r="U1027" s="131">
        <v>2</v>
      </c>
      <c r="V1027" s="50">
        <v>0.47099999999999997</v>
      </c>
      <c r="W1027" s="74">
        <v>1.5800000000000002E-2</v>
      </c>
      <c r="X1027" s="50">
        <v>7.9799999999999996E-2</v>
      </c>
      <c r="Y1027" s="74">
        <v>2.0799999999999999E-2</v>
      </c>
    </row>
    <row r="1028" spans="1:79" ht="15" customHeight="1">
      <c r="A1028" s="41" t="s">
        <v>183</v>
      </c>
      <c r="B1028" s="402" t="s">
        <v>2595</v>
      </c>
      <c r="D1028" s="393" t="s">
        <v>2722</v>
      </c>
      <c r="E1028" s="394" t="s">
        <v>1056</v>
      </c>
      <c r="G1028" s="405" t="s">
        <v>2596</v>
      </c>
      <c r="H1028" s="74">
        <v>3842</v>
      </c>
      <c r="I1028" s="50" t="s">
        <v>2</v>
      </c>
      <c r="J1028" s="339" t="s">
        <v>510</v>
      </c>
      <c r="K1028" s="51">
        <v>41465</v>
      </c>
      <c r="L1028" s="173">
        <v>41452</v>
      </c>
      <c r="M1028" s="50">
        <f t="shared" si="41"/>
        <v>13</v>
      </c>
      <c r="N1028" s="50" t="s">
        <v>2</v>
      </c>
      <c r="O1028" s="74">
        <v>1.8</v>
      </c>
      <c r="P1028" s="50">
        <v>5.1100000000000003</v>
      </c>
      <c r="Q1028" s="74">
        <v>5.84</v>
      </c>
      <c r="R1028" s="50">
        <v>48</v>
      </c>
      <c r="S1028" s="74">
        <v>100</v>
      </c>
      <c r="T1028" s="50">
        <v>0.34100000000000003</v>
      </c>
      <c r="U1028" s="131">
        <v>3.78</v>
      </c>
      <c r="V1028" s="50">
        <v>1</v>
      </c>
      <c r="W1028" s="74">
        <v>2.5000000000000001E-2</v>
      </c>
      <c r="X1028" s="50">
        <v>0.215</v>
      </c>
      <c r="Y1028" s="74">
        <v>2.1999999999999999E-2</v>
      </c>
    </row>
    <row r="1029" spans="1:79" ht="15" customHeight="1">
      <c r="A1029" s="41" t="s">
        <v>183</v>
      </c>
      <c r="B1029" s="402" t="s">
        <v>3235</v>
      </c>
      <c r="C1029" s="113" t="s">
        <v>3264</v>
      </c>
      <c r="D1029" s="393" t="s">
        <v>1748</v>
      </c>
      <c r="E1029" s="394" t="s">
        <v>3265</v>
      </c>
      <c r="G1029" s="405" t="s">
        <v>3266</v>
      </c>
      <c r="H1029" s="113">
        <v>3273</v>
      </c>
      <c r="I1029" s="49" t="s">
        <v>2</v>
      </c>
      <c r="J1029" s="48" t="s">
        <v>3144</v>
      </c>
      <c r="K1029" s="51">
        <v>41402</v>
      </c>
      <c r="L1029" s="173">
        <v>41384</v>
      </c>
      <c r="M1029" s="50">
        <f t="shared" si="41"/>
        <v>18</v>
      </c>
      <c r="N1029" s="50" t="s">
        <v>2</v>
      </c>
      <c r="O1029" s="74">
        <f>5/2</f>
        <v>2.5</v>
      </c>
      <c r="P1029" s="50">
        <v>7</v>
      </c>
      <c r="Q1029" s="74">
        <v>7.3</v>
      </c>
      <c r="R1029" s="50">
        <f>5/2</f>
        <v>2.5</v>
      </c>
      <c r="S1029" s="74">
        <v>18</v>
      </c>
      <c r="T1029" s="50">
        <f>0.1/2</f>
        <v>0.05</v>
      </c>
      <c r="U1029" s="131">
        <f>1/2</f>
        <v>0.5</v>
      </c>
      <c r="V1029" s="50">
        <v>2.5</v>
      </c>
      <c r="W1029" s="74">
        <f>0.04/2</f>
        <v>0.02</v>
      </c>
      <c r="X1029" s="50">
        <v>4.2999999999999997E-2</v>
      </c>
      <c r="Y1029" s="74">
        <f>0.013/2</f>
        <v>6.4999999999999997E-3</v>
      </c>
    </row>
    <row r="1030" spans="1:79" ht="15" customHeight="1">
      <c r="A1030" s="41" t="s">
        <v>183</v>
      </c>
      <c r="B1030" s="402" t="s">
        <v>2544</v>
      </c>
      <c r="C1030" s="113" t="s">
        <v>1823</v>
      </c>
      <c r="D1030" s="393" t="s">
        <v>827</v>
      </c>
      <c r="E1030" s="394" t="s">
        <v>1824</v>
      </c>
      <c r="G1030" s="405" t="s">
        <v>1795</v>
      </c>
      <c r="H1030" s="74">
        <v>3691</v>
      </c>
      <c r="I1030" s="50" t="s">
        <v>2</v>
      </c>
      <c r="J1030" s="339" t="s">
        <v>1796</v>
      </c>
      <c r="K1030" s="51">
        <v>41345</v>
      </c>
      <c r="L1030" s="173">
        <v>41341</v>
      </c>
      <c r="M1030" s="50">
        <f t="shared" si="41"/>
        <v>4</v>
      </c>
      <c r="N1030" s="50" t="s">
        <v>2</v>
      </c>
      <c r="O1030" s="74">
        <f>1.4/2</f>
        <v>0.7</v>
      </c>
      <c r="P1030" s="50">
        <v>7.9</v>
      </c>
      <c r="Q1030" s="74">
        <v>7.03</v>
      </c>
      <c r="R1030" s="50">
        <f>10/2</f>
        <v>5</v>
      </c>
      <c r="S1030" s="74">
        <f>5/2</f>
        <v>2.5</v>
      </c>
      <c r="T1030" s="50">
        <v>0.02</v>
      </c>
      <c r="U1030" s="131">
        <v>0.2</v>
      </c>
      <c r="V1030" s="50">
        <v>1.93</v>
      </c>
      <c r="W1030" s="74">
        <f>0.005/2</f>
        <v>2.5000000000000001E-3</v>
      </c>
      <c r="X1030" s="50">
        <v>5.1999999999999998E-2</v>
      </c>
      <c r="Y1030" s="74">
        <v>3.0000000000000001E-3</v>
      </c>
      <c r="Z1030" s="271">
        <v>1</v>
      </c>
      <c r="AA1030" s="271">
        <v>1</v>
      </c>
      <c r="AB1030" s="114">
        <v>38</v>
      </c>
      <c r="AC1030" s="50">
        <v>214</v>
      </c>
      <c r="AD1030" s="271">
        <v>1</v>
      </c>
      <c r="AT1030" s="74">
        <f>0.0002/2</f>
        <v>1E-4</v>
      </c>
    </row>
    <row r="1031" spans="1:79" s="6" customFormat="1" ht="15" customHeight="1">
      <c r="A1031" s="41" t="s">
        <v>183</v>
      </c>
      <c r="B1031" s="385" t="s">
        <v>2684</v>
      </c>
      <c r="C1031" s="18" t="s">
        <v>2688</v>
      </c>
      <c r="D1031" s="377" t="s">
        <v>836</v>
      </c>
      <c r="E1031" s="20" t="s">
        <v>364</v>
      </c>
      <c r="F1031" s="385"/>
      <c r="G1031" s="390" t="s">
        <v>4077</v>
      </c>
      <c r="H1031" s="6">
        <v>4953</v>
      </c>
      <c r="I1031" s="7" t="s">
        <v>2</v>
      </c>
      <c r="J1031" s="344" t="s">
        <v>4118</v>
      </c>
      <c r="K1031" s="16">
        <v>40920</v>
      </c>
      <c r="L1031" s="17">
        <v>40909</v>
      </c>
      <c r="M1031" s="50">
        <f t="shared" si="41"/>
        <v>11</v>
      </c>
      <c r="N1031" s="7" t="s">
        <v>2</v>
      </c>
      <c r="O1031" s="6">
        <v>3.5</v>
      </c>
      <c r="P1031" s="7">
        <v>5.89</v>
      </c>
      <c r="Q1031" s="6">
        <v>7.26</v>
      </c>
      <c r="R1031" s="7">
        <v>75</v>
      </c>
      <c r="S1031" s="6">
        <v>82</v>
      </c>
      <c r="T1031" s="7">
        <v>0.16</v>
      </c>
      <c r="U1031" s="8">
        <v>1.23</v>
      </c>
      <c r="V1031" s="7">
        <v>2.0499999999999998</v>
      </c>
      <c r="W1031" s="6">
        <v>1.2999999999999999E-2</v>
      </c>
      <c r="X1031" s="7">
        <v>3.9E-2</v>
      </c>
      <c r="Y1031" s="6">
        <v>8.0000000000000002E-3</v>
      </c>
      <c r="Z1031" s="323">
        <v>1</v>
      </c>
      <c r="AA1031" s="323">
        <v>1</v>
      </c>
      <c r="AB1031" s="20">
        <v>106</v>
      </c>
      <c r="AC1031" s="7">
        <v>1634</v>
      </c>
      <c r="AD1031" s="323">
        <f>20/20</f>
        <v>1</v>
      </c>
      <c r="AE1031" s="7"/>
      <c r="AF1031" s="19"/>
      <c r="AG1031" s="20"/>
      <c r="AH1031" s="20"/>
      <c r="AI1031" s="20"/>
      <c r="AJ1031" s="20"/>
      <c r="AK1031" s="20"/>
      <c r="AL1031" s="20"/>
      <c r="AM1031" s="20"/>
      <c r="AN1031" s="20"/>
      <c r="AO1031" s="20"/>
      <c r="AP1031" s="20"/>
      <c r="AQ1031" s="20"/>
      <c r="AR1031" s="20"/>
      <c r="AS1031" s="7"/>
      <c r="AU1031" s="20"/>
      <c r="AV1031" s="20"/>
      <c r="AX1031" s="385"/>
      <c r="AY1031" s="385"/>
      <c r="AZ1031" s="385"/>
      <c r="BA1031" s="385"/>
      <c r="BB1031" s="385"/>
      <c r="BC1031" s="385"/>
      <c r="BD1031" s="385"/>
      <c r="BE1031" s="385"/>
      <c r="BF1031" s="385"/>
      <c r="BG1031" s="385"/>
      <c r="BH1031" s="385"/>
      <c r="BI1031" s="385"/>
      <c r="BJ1031" s="385"/>
      <c r="BK1031" s="385"/>
      <c r="BL1031" s="385"/>
      <c r="BM1031" s="385"/>
      <c r="BN1031" s="385"/>
      <c r="BO1031" s="385"/>
      <c r="BP1031" s="385"/>
      <c r="BQ1031" s="385"/>
      <c r="BR1031" s="385"/>
      <c r="BS1031" s="385"/>
      <c r="BT1031" s="385"/>
      <c r="BU1031" s="385"/>
      <c r="BV1031" s="385"/>
      <c r="BW1031" s="385"/>
      <c r="BX1031" s="385"/>
      <c r="BY1031" s="385"/>
      <c r="BZ1031" s="385"/>
      <c r="CA1031" s="385"/>
    </row>
    <row r="1032" spans="1:79" s="6" customFormat="1" ht="15" customHeight="1">
      <c r="A1032" s="41" t="s">
        <v>183</v>
      </c>
      <c r="B1032" s="402" t="s">
        <v>2684</v>
      </c>
      <c r="C1032" s="113" t="s">
        <v>2688</v>
      </c>
      <c r="D1032" s="393" t="s">
        <v>836</v>
      </c>
      <c r="E1032" s="394" t="s">
        <v>364</v>
      </c>
      <c r="F1032" s="402"/>
      <c r="G1032" s="405" t="s">
        <v>4077</v>
      </c>
      <c r="H1032" s="113">
        <v>4953</v>
      </c>
      <c r="I1032" s="49" t="s">
        <v>2</v>
      </c>
      <c r="J1032" s="48" t="s">
        <v>2689</v>
      </c>
      <c r="K1032" s="51">
        <v>41374</v>
      </c>
      <c r="L1032" s="115">
        <v>41364</v>
      </c>
      <c r="M1032" s="50">
        <f t="shared" si="41"/>
        <v>10</v>
      </c>
      <c r="N1032" s="50" t="s">
        <v>2</v>
      </c>
      <c r="O1032" s="74">
        <v>1.5</v>
      </c>
      <c r="P1032" s="50">
        <v>5.78</v>
      </c>
      <c r="Q1032" s="74">
        <v>7.32</v>
      </c>
      <c r="R1032" s="50">
        <v>25</v>
      </c>
      <c r="S1032" s="74">
        <v>21</v>
      </c>
      <c r="T1032" s="50">
        <v>0.14000000000000001</v>
      </c>
      <c r="U1032" s="131">
        <v>1.63</v>
      </c>
      <c r="V1032" s="50">
        <v>0.61</v>
      </c>
      <c r="W1032" s="74">
        <v>8.9999999999999993E-3</v>
      </c>
      <c r="X1032" s="50">
        <v>2.5999999999999999E-2</v>
      </c>
      <c r="Y1032" s="74">
        <v>4.0000000000000001E-3</v>
      </c>
      <c r="Z1032" s="271">
        <v>1</v>
      </c>
      <c r="AA1032" s="271">
        <v>1</v>
      </c>
      <c r="AB1032" s="114">
        <v>24</v>
      </c>
      <c r="AC1032" s="50">
        <v>501</v>
      </c>
      <c r="AD1032" s="271">
        <v>1</v>
      </c>
      <c r="AE1032" s="7"/>
      <c r="AF1032" s="19"/>
      <c r="AG1032" s="20"/>
      <c r="AH1032" s="20"/>
      <c r="AI1032" s="20"/>
      <c r="AJ1032" s="20"/>
      <c r="AK1032" s="20"/>
      <c r="AL1032" s="20"/>
      <c r="AM1032" s="20"/>
      <c r="AN1032" s="20"/>
      <c r="AO1032" s="20"/>
      <c r="AP1032" s="20"/>
      <c r="AQ1032" s="20"/>
      <c r="AR1032" s="20"/>
      <c r="AS1032" s="7"/>
      <c r="AU1032" s="20"/>
      <c r="AV1032" s="20"/>
      <c r="AX1032" s="385"/>
      <c r="AY1032" s="385"/>
      <c r="AZ1032" s="385"/>
      <c r="BA1032" s="385"/>
      <c r="BB1032" s="385"/>
      <c r="BC1032" s="385"/>
      <c r="BD1032" s="385"/>
      <c r="BE1032" s="385"/>
      <c r="BF1032" s="385"/>
      <c r="BG1032" s="385"/>
      <c r="BH1032" s="385"/>
      <c r="BI1032" s="385"/>
      <c r="BJ1032" s="385"/>
      <c r="BK1032" s="385"/>
      <c r="BL1032" s="385"/>
      <c r="BM1032" s="385"/>
      <c r="BN1032" s="385"/>
      <c r="BO1032" s="385"/>
      <c r="BP1032" s="385"/>
      <c r="BQ1032" s="385"/>
      <c r="BR1032" s="385"/>
      <c r="BS1032" s="385"/>
      <c r="BT1032" s="385"/>
      <c r="BU1032" s="385"/>
      <c r="BV1032" s="385"/>
      <c r="BW1032" s="385"/>
      <c r="BX1032" s="385"/>
      <c r="BY1032" s="385"/>
      <c r="BZ1032" s="385"/>
      <c r="CA1032" s="385"/>
    </row>
    <row r="1033" spans="1:79" s="6" customFormat="1" ht="15" customHeight="1">
      <c r="A1033" s="41" t="s">
        <v>183</v>
      </c>
      <c r="B1033" s="402" t="s">
        <v>2684</v>
      </c>
      <c r="C1033" s="113" t="s">
        <v>2688</v>
      </c>
      <c r="D1033" s="393" t="s">
        <v>836</v>
      </c>
      <c r="E1033" s="394" t="s">
        <v>364</v>
      </c>
      <c r="F1033" s="402"/>
      <c r="G1033" s="405" t="s">
        <v>4077</v>
      </c>
      <c r="H1033" s="49">
        <v>4953</v>
      </c>
      <c r="I1033" s="49" t="s">
        <v>2</v>
      </c>
      <c r="J1033" s="76" t="s">
        <v>2689</v>
      </c>
      <c r="K1033" s="51">
        <v>41030</v>
      </c>
      <c r="L1033" s="115">
        <v>40999</v>
      </c>
      <c r="M1033" s="50">
        <f t="shared" si="41"/>
        <v>31</v>
      </c>
      <c r="N1033" s="50" t="s">
        <v>2</v>
      </c>
      <c r="O1033" s="74">
        <v>1.9</v>
      </c>
      <c r="P1033" s="50">
        <v>5.8</v>
      </c>
      <c r="Q1033" s="74">
        <v>7.08</v>
      </c>
      <c r="R1033" s="50">
        <v>76</v>
      </c>
      <c r="S1033" s="74">
        <v>59</v>
      </c>
      <c r="T1033" s="50">
        <v>0.21</v>
      </c>
      <c r="U1033" s="131">
        <v>1.41</v>
      </c>
      <c r="V1033" s="50">
        <v>0.97</v>
      </c>
      <c r="W1033" s="74">
        <v>1.7000000000000001E-2</v>
      </c>
      <c r="X1033" s="50">
        <v>2.7E-2</v>
      </c>
      <c r="Y1033" s="74">
        <v>4.0000000000000001E-3</v>
      </c>
      <c r="Z1033" s="271"/>
      <c r="AA1033" s="271"/>
      <c r="AB1033" s="114"/>
      <c r="AC1033" s="50"/>
      <c r="AD1033" s="271"/>
      <c r="AE1033" s="7"/>
      <c r="AF1033" s="19"/>
      <c r="AG1033" s="20"/>
      <c r="AH1033" s="20"/>
      <c r="AI1033" s="20"/>
      <c r="AJ1033" s="20"/>
      <c r="AK1033" s="20"/>
      <c r="AL1033" s="20"/>
      <c r="AM1033" s="20"/>
      <c r="AN1033" s="20"/>
      <c r="AO1033" s="20"/>
      <c r="AP1033" s="20"/>
      <c r="AQ1033" s="20"/>
      <c r="AR1033" s="20"/>
      <c r="AS1033" s="7"/>
      <c r="AU1033" s="20"/>
      <c r="AV1033" s="20"/>
      <c r="AX1033" s="385"/>
      <c r="AY1033" s="385"/>
      <c r="AZ1033" s="385"/>
      <c r="BA1033" s="385"/>
      <c r="BB1033" s="385"/>
      <c r="BC1033" s="385"/>
      <c r="BD1033" s="385"/>
      <c r="BE1033" s="385"/>
      <c r="BF1033" s="385"/>
      <c r="BG1033" s="385"/>
      <c r="BH1033" s="385"/>
      <c r="BI1033" s="385"/>
      <c r="BJ1033" s="385"/>
      <c r="BK1033" s="385"/>
      <c r="BL1033" s="385"/>
      <c r="BM1033" s="385"/>
      <c r="BN1033" s="385"/>
      <c r="BO1033" s="385"/>
      <c r="BP1033" s="385"/>
      <c r="BQ1033" s="385"/>
      <c r="BR1033" s="385"/>
      <c r="BS1033" s="385"/>
      <c r="BT1033" s="385"/>
      <c r="BU1033" s="385"/>
      <c r="BV1033" s="385"/>
      <c r="BW1033" s="385"/>
      <c r="BX1033" s="385"/>
      <c r="BY1033" s="385"/>
      <c r="BZ1033" s="385"/>
      <c r="CA1033" s="385"/>
    </row>
    <row r="1034" spans="1:79" ht="15" customHeight="1">
      <c r="A1034" s="41" t="s">
        <v>183</v>
      </c>
      <c r="B1034" s="385" t="s">
        <v>4194</v>
      </c>
      <c r="C1034" s="18" t="s">
        <v>4195</v>
      </c>
      <c r="D1034" s="377" t="s">
        <v>684</v>
      </c>
      <c r="E1034" s="20" t="s">
        <v>112</v>
      </c>
      <c r="F1034" s="385"/>
      <c r="G1034" s="390" t="s">
        <v>4196</v>
      </c>
      <c r="H1034" s="6">
        <v>3271</v>
      </c>
      <c r="I1034" s="7" t="s">
        <v>1</v>
      </c>
      <c r="J1034" s="344" t="s">
        <v>75</v>
      </c>
      <c r="K1034" s="16">
        <v>41456</v>
      </c>
      <c r="L1034" s="17">
        <v>41452</v>
      </c>
      <c r="M1034" s="50">
        <f t="shared" si="41"/>
        <v>4</v>
      </c>
      <c r="N1034" s="7" t="s">
        <v>2</v>
      </c>
      <c r="O1034" s="6">
        <v>1</v>
      </c>
      <c r="P1034" s="7">
        <v>7.6</v>
      </c>
      <c r="Q1034" s="6">
        <v>7.5</v>
      </c>
      <c r="R1034" s="7">
        <v>15</v>
      </c>
      <c r="S1034" s="6">
        <v>35</v>
      </c>
      <c r="T1034" s="7">
        <v>0.21</v>
      </c>
      <c r="U1034" s="8">
        <v>0.67</v>
      </c>
      <c r="V1034" s="7">
        <v>0.4</v>
      </c>
      <c r="W1034" s="6">
        <v>5.0000000000000001E-3</v>
      </c>
      <c r="X1034" s="7">
        <v>3.7999999999999999E-2</v>
      </c>
      <c r="Y1034" s="6">
        <v>1.4999999999999999E-2</v>
      </c>
      <c r="Z1034" s="323"/>
      <c r="AA1034" s="323"/>
      <c r="AB1034" s="20"/>
      <c r="AC1034" s="7"/>
      <c r="AD1034" s="323"/>
      <c r="AE1034" s="7">
        <v>5000</v>
      </c>
      <c r="AF1034" s="19"/>
      <c r="AG1034" s="20"/>
      <c r="AH1034" s="20"/>
      <c r="AI1034" s="20"/>
      <c r="AJ1034" s="20"/>
      <c r="AK1034" s="20"/>
      <c r="AL1034" s="20"/>
      <c r="AM1034" s="20"/>
      <c r="AN1034" s="20"/>
      <c r="AO1034" s="20"/>
      <c r="AP1034" s="20"/>
      <c r="AQ1034" s="20"/>
      <c r="AR1034" s="20"/>
      <c r="AS1034" s="7"/>
      <c r="AT1034" s="6"/>
      <c r="AU1034" s="20"/>
      <c r="AV1034" s="20"/>
      <c r="AW1034" s="6"/>
    </row>
    <row r="1035" spans="1:79" ht="15" customHeight="1">
      <c r="A1035" s="41" t="s">
        <v>183</v>
      </c>
      <c r="B1035" s="385" t="s">
        <v>4197</v>
      </c>
      <c r="C1035" s="18" t="s">
        <v>4195</v>
      </c>
      <c r="D1035" s="377" t="s">
        <v>684</v>
      </c>
      <c r="E1035" s="20" t="s">
        <v>112</v>
      </c>
      <c r="F1035" s="385"/>
      <c r="G1035" s="390" t="s">
        <v>4196</v>
      </c>
      <c r="H1035" s="6">
        <v>3271</v>
      </c>
      <c r="I1035" s="7" t="s">
        <v>1</v>
      </c>
      <c r="J1035" s="344" t="s">
        <v>74</v>
      </c>
      <c r="K1035" s="16">
        <v>41456</v>
      </c>
      <c r="L1035" s="17">
        <v>41452</v>
      </c>
      <c r="M1035" s="50">
        <f t="shared" si="41"/>
        <v>4</v>
      </c>
      <c r="N1035" s="7" t="s">
        <v>2</v>
      </c>
      <c r="O1035" s="6">
        <v>1</v>
      </c>
      <c r="P1035" s="7">
        <v>7</v>
      </c>
      <c r="Q1035" s="6">
        <v>7.3</v>
      </c>
      <c r="R1035" s="7">
        <v>14</v>
      </c>
      <c r="S1035" s="6">
        <v>35</v>
      </c>
      <c r="T1035" s="7">
        <v>0.14000000000000001</v>
      </c>
      <c r="U1035" s="8">
        <v>1.17</v>
      </c>
      <c r="V1035" s="7">
        <v>0.2</v>
      </c>
      <c r="W1035" s="6">
        <v>5.0000000000000001E-3</v>
      </c>
      <c r="X1035" s="7">
        <v>1.4999999999999999E-2</v>
      </c>
      <c r="Y1035" s="6">
        <v>1.4999999999999999E-2</v>
      </c>
      <c r="Z1035" s="323"/>
      <c r="AA1035" s="323"/>
      <c r="AB1035" s="20"/>
      <c r="AC1035" s="7"/>
      <c r="AD1035" s="323"/>
      <c r="AE1035" s="7">
        <v>1500</v>
      </c>
      <c r="AF1035" s="19"/>
      <c r="AG1035" s="20"/>
      <c r="AH1035" s="20"/>
      <c r="AI1035" s="20"/>
      <c r="AJ1035" s="20"/>
      <c r="AK1035" s="20"/>
      <c r="AL1035" s="20"/>
      <c r="AM1035" s="20"/>
      <c r="AN1035" s="20"/>
      <c r="AO1035" s="20"/>
      <c r="AP1035" s="20"/>
      <c r="AQ1035" s="20"/>
      <c r="AR1035" s="20"/>
      <c r="AS1035" s="7"/>
      <c r="AT1035" s="6"/>
      <c r="AU1035" s="20"/>
      <c r="AV1035" s="20"/>
      <c r="AW1035" s="6"/>
    </row>
    <row r="1036" spans="1:79" ht="15" customHeight="1">
      <c r="A1036" s="41" t="s">
        <v>183</v>
      </c>
      <c r="B1036" s="385" t="s">
        <v>4194</v>
      </c>
      <c r="C1036" s="18" t="s">
        <v>4195</v>
      </c>
      <c r="D1036" s="377" t="s">
        <v>684</v>
      </c>
      <c r="E1036" s="20" t="s">
        <v>112</v>
      </c>
      <c r="F1036" s="385"/>
      <c r="G1036" s="390" t="s">
        <v>4196</v>
      </c>
      <c r="H1036" s="6">
        <v>3271</v>
      </c>
      <c r="I1036" s="7" t="s">
        <v>1</v>
      </c>
      <c r="J1036" s="344" t="s">
        <v>75</v>
      </c>
      <c r="K1036" s="16">
        <v>41345</v>
      </c>
      <c r="L1036" s="17">
        <v>41341</v>
      </c>
      <c r="M1036" s="50">
        <f t="shared" si="41"/>
        <v>4</v>
      </c>
      <c r="N1036" s="7" t="s">
        <v>2</v>
      </c>
      <c r="O1036" s="6">
        <v>1</v>
      </c>
      <c r="P1036" s="7">
        <v>6.1</v>
      </c>
      <c r="Q1036" s="6">
        <v>7.5</v>
      </c>
      <c r="R1036" s="7">
        <f>10/2</f>
        <v>5</v>
      </c>
      <c r="S1036" s="6">
        <v>197</v>
      </c>
      <c r="T1036" s="7">
        <v>0.27</v>
      </c>
      <c r="U1036" s="8">
        <v>0.32</v>
      </c>
      <c r="V1036" s="7">
        <v>0.52</v>
      </c>
      <c r="W1036" s="6">
        <v>2.5999999999999999E-2</v>
      </c>
      <c r="X1036" s="7">
        <v>6.6000000000000003E-2</v>
      </c>
      <c r="Y1036" s="6">
        <f>0.03/2</f>
        <v>1.4999999999999999E-2</v>
      </c>
      <c r="Z1036" s="323"/>
      <c r="AA1036" s="323"/>
      <c r="AB1036" s="20"/>
      <c r="AC1036" s="7"/>
      <c r="AD1036" s="323"/>
      <c r="AE1036" s="7"/>
      <c r="AF1036" s="19"/>
      <c r="AG1036" s="20"/>
      <c r="AH1036" s="20"/>
      <c r="AI1036" s="20"/>
      <c r="AJ1036" s="20"/>
      <c r="AK1036" s="20"/>
      <c r="AL1036" s="20"/>
      <c r="AM1036" s="20"/>
      <c r="AN1036" s="20"/>
      <c r="AO1036" s="20"/>
      <c r="AP1036" s="20"/>
      <c r="AQ1036" s="20"/>
      <c r="AR1036" s="20"/>
      <c r="AS1036" s="7"/>
      <c r="AT1036" s="6"/>
      <c r="AU1036" s="20"/>
      <c r="AV1036" s="20"/>
      <c r="AW1036" s="6"/>
    </row>
    <row r="1037" spans="1:79" ht="15" customHeight="1">
      <c r="A1037" s="41" t="s">
        <v>183</v>
      </c>
      <c r="B1037" s="385" t="s">
        <v>4194</v>
      </c>
      <c r="C1037" s="18" t="s">
        <v>4195</v>
      </c>
      <c r="D1037" s="377" t="s">
        <v>684</v>
      </c>
      <c r="E1037" s="20" t="s">
        <v>112</v>
      </c>
      <c r="F1037" s="385"/>
      <c r="G1037" s="390" t="s">
        <v>4196</v>
      </c>
      <c r="H1037" s="6">
        <v>3271</v>
      </c>
      <c r="I1037" s="7" t="s">
        <v>1</v>
      </c>
      <c r="J1037" s="344" t="s">
        <v>74</v>
      </c>
      <c r="K1037" s="16">
        <v>41345</v>
      </c>
      <c r="L1037" s="17">
        <v>41341</v>
      </c>
      <c r="M1037" s="50">
        <f t="shared" si="41"/>
        <v>4</v>
      </c>
      <c r="N1037" s="7" t="s">
        <v>2</v>
      </c>
      <c r="O1037" s="6">
        <v>3.8</v>
      </c>
      <c r="P1037" s="7">
        <v>6.1</v>
      </c>
      <c r="Q1037" s="6">
        <v>9.6999999999999993</v>
      </c>
      <c r="R1037" s="7">
        <v>5</v>
      </c>
      <c r="S1037" s="6">
        <v>344</v>
      </c>
      <c r="T1037" s="7">
        <v>0.32</v>
      </c>
      <c r="U1037" s="8">
        <v>0.66</v>
      </c>
      <c r="V1037" s="7">
        <v>0.28000000000000003</v>
      </c>
      <c r="W1037" s="6">
        <v>3.1E-2</v>
      </c>
      <c r="X1037" s="7">
        <v>0.16400000000000001</v>
      </c>
      <c r="Y1037" s="6">
        <f>0.03/2</f>
        <v>1.4999999999999999E-2</v>
      </c>
      <c r="Z1037" s="323"/>
      <c r="AA1037" s="323"/>
      <c r="AB1037" s="20"/>
      <c r="AC1037" s="7"/>
      <c r="AD1037" s="323"/>
      <c r="AE1037" s="7"/>
      <c r="AF1037" s="19"/>
      <c r="AG1037" s="20"/>
      <c r="AH1037" s="20"/>
      <c r="AI1037" s="20"/>
      <c r="AJ1037" s="20"/>
      <c r="AK1037" s="20"/>
      <c r="AL1037" s="20"/>
      <c r="AM1037" s="20"/>
      <c r="AN1037" s="20"/>
      <c r="AO1037" s="20"/>
      <c r="AP1037" s="20"/>
      <c r="AQ1037" s="20"/>
      <c r="AR1037" s="20"/>
      <c r="AS1037" s="7"/>
      <c r="AT1037" s="6"/>
      <c r="AU1037" s="20"/>
      <c r="AV1037" s="20"/>
      <c r="AW1037" s="6"/>
    </row>
    <row r="1038" spans="1:79" ht="15" customHeight="1">
      <c r="A1038" s="41" t="s">
        <v>183</v>
      </c>
      <c r="B1038" s="385" t="s">
        <v>4198</v>
      </c>
      <c r="C1038" s="18" t="s">
        <v>4199</v>
      </c>
      <c r="D1038" s="377" t="s">
        <v>56</v>
      </c>
      <c r="E1038" s="20" t="s">
        <v>4200</v>
      </c>
      <c r="F1038" s="385"/>
      <c r="G1038" s="390" t="s">
        <v>4201</v>
      </c>
      <c r="H1038" s="6">
        <v>4011</v>
      </c>
      <c r="I1038" s="7" t="s">
        <v>2</v>
      </c>
      <c r="J1038" s="344" t="s">
        <v>4202</v>
      </c>
      <c r="K1038" s="16">
        <v>41431</v>
      </c>
      <c r="L1038" s="17">
        <v>41428</v>
      </c>
      <c r="M1038" s="50">
        <f t="shared" si="41"/>
        <v>3</v>
      </c>
      <c r="N1038" s="7" t="s">
        <v>2</v>
      </c>
      <c r="O1038" s="6">
        <v>1</v>
      </c>
      <c r="P1038" s="7">
        <v>6.6</v>
      </c>
      <c r="Q1038" s="6">
        <v>6.5</v>
      </c>
      <c r="R1038" s="7">
        <v>20</v>
      </c>
      <c r="S1038" s="6">
        <v>15</v>
      </c>
      <c r="T1038" s="7">
        <v>0.27800000000000002</v>
      </c>
      <c r="U1038" s="8">
        <v>0.50800000000000001</v>
      </c>
      <c r="V1038" s="7">
        <v>0.21</v>
      </c>
      <c r="W1038" s="6">
        <v>2.5000000000000001E-3</v>
      </c>
      <c r="X1038" s="7">
        <v>1.2500000000000001E-2</v>
      </c>
      <c r="Y1038" s="6">
        <v>2.5000000000000001E-3</v>
      </c>
      <c r="Z1038" s="323">
        <v>1</v>
      </c>
      <c r="AA1038" s="323">
        <v>1</v>
      </c>
      <c r="AB1038" s="20">
        <v>140</v>
      </c>
      <c r="AC1038" s="7">
        <v>382</v>
      </c>
      <c r="AD1038" s="323">
        <v>1</v>
      </c>
      <c r="AE1038" s="7"/>
      <c r="AF1038" s="19"/>
      <c r="AG1038" s="20"/>
      <c r="AH1038" s="20"/>
      <c r="AI1038" s="20"/>
      <c r="AJ1038" s="20"/>
      <c r="AK1038" s="20"/>
      <c r="AL1038" s="20"/>
      <c r="AM1038" s="20"/>
      <c r="AN1038" s="20"/>
      <c r="AO1038" s="20"/>
      <c r="AP1038" s="20"/>
      <c r="AQ1038" s="20"/>
      <c r="AR1038" s="20"/>
      <c r="AS1038" s="7"/>
      <c r="AT1038" s="6"/>
      <c r="AU1038" s="20"/>
      <c r="AV1038" s="20"/>
      <c r="AW1038" s="6"/>
    </row>
    <row r="1039" spans="1:79" ht="15" customHeight="1">
      <c r="A1039" s="41" t="s">
        <v>183</v>
      </c>
      <c r="B1039" s="385" t="s">
        <v>4198</v>
      </c>
      <c r="C1039" s="18" t="s">
        <v>4203</v>
      </c>
      <c r="D1039" s="377" t="s">
        <v>56</v>
      </c>
      <c r="E1039" s="20" t="s">
        <v>4204</v>
      </c>
      <c r="F1039" s="385"/>
      <c r="G1039" s="390" t="s">
        <v>4205</v>
      </c>
      <c r="H1039" s="6">
        <v>4011</v>
      </c>
      <c r="I1039" s="7" t="s">
        <v>2</v>
      </c>
      <c r="J1039" s="344" t="s">
        <v>4206</v>
      </c>
      <c r="K1039" s="16">
        <v>41431</v>
      </c>
      <c r="L1039" s="17">
        <v>41428</v>
      </c>
      <c r="M1039" s="50">
        <f t="shared" si="41"/>
        <v>3</v>
      </c>
      <c r="N1039" s="7" t="s">
        <v>2</v>
      </c>
      <c r="O1039" s="6">
        <v>1</v>
      </c>
      <c r="P1039" s="7">
        <v>6.6</v>
      </c>
      <c r="Q1039" s="6">
        <v>5.8</v>
      </c>
      <c r="R1039" s="7">
        <v>36</v>
      </c>
      <c r="S1039" s="6">
        <v>15</v>
      </c>
      <c r="T1039" s="7">
        <v>2.9000000000000001E-2</v>
      </c>
      <c r="U1039" s="8">
        <v>0.59399999999999997</v>
      </c>
      <c r="V1039" s="7">
        <v>2.5000000000000001E-2</v>
      </c>
      <c r="W1039" s="6">
        <v>2.4E-2</v>
      </c>
      <c r="X1039" s="7">
        <v>9.9000000000000005E-2</v>
      </c>
      <c r="Y1039" s="6">
        <v>2.5000000000000001E-3</v>
      </c>
      <c r="Z1039" s="323">
        <v>1</v>
      </c>
      <c r="AA1039" s="323">
        <v>1</v>
      </c>
      <c r="AB1039" s="20">
        <v>20</v>
      </c>
      <c r="AC1039" s="7">
        <v>65</v>
      </c>
      <c r="AD1039" s="323">
        <v>1</v>
      </c>
      <c r="AE1039" s="7"/>
      <c r="AF1039" s="19"/>
      <c r="AG1039" s="20"/>
      <c r="AH1039" s="20"/>
      <c r="AI1039" s="20"/>
      <c r="AJ1039" s="20"/>
      <c r="AK1039" s="20"/>
      <c r="AL1039" s="20"/>
      <c r="AM1039" s="20"/>
      <c r="AN1039" s="20"/>
      <c r="AO1039" s="20"/>
      <c r="AP1039" s="20"/>
      <c r="AQ1039" s="20"/>
      <c r="AR1039" s="20"/>
      <c r="AS1039" s="7"/>
      <c r="AT1039" s="6"/>
      <c r="AU1039" s="20"/>
      <c r="AV1039" s="20"/>
      <c r="AW1039" s="6"/>
    </row>
    <row r="1040" spans="1:79" ht="15" customHeight="1">
      <c r="A1040" s="41" t="s">
        <v>183</v>
      </c>
      <c r="B1040" s="385" t="s">
        <v>4207</v>
      </c>
      <c r="C1040" s="18" t="s">
        <v>1055</v>
      </c>
      <c r="D1040" s="377" t="s">
        <v>205</v>
      </c>
      <c r="E1040" s="20" t="s">
        <v>4208</v>
      </c>
      <c r="F1040" s="385"/>
      <c r="G1040" s="390" t="s">
        <v>1057</v>
      </c>
      <c r="H1040" s="6">
        <v>3221</v>
      </c>
      <c r="I1040" s="7" t="s">
        <v>1</v>
      </c>
      <c r="J1040" s="344" t="s">
        <v>130</v>
      </c>
      <c r="K1040" s="16">
        <v>41402</v>
      </c>
      <c r="L1040" s="17">
        <v>41383</v>
      </c>
      <c r="M1040" s="50">
        <f t="shared" si="41"/>
        <v>19</v>
      </c>
      <c r="N1040" s="7" t="s">
        <v>2</v>
      </c>
      <c r="O1040" s="6">
        <v>0.5</v>
      </c>
      <c r="P1040" s="7">
        <v>6.6</v>
      </c>
      <c r="Q1040" s="6">
        <v>8.5</v>
      </c>
      <c r="R1040" s="7">
        <v>496</v>
      </c>
      <c r="S1040" s="6">
        <v>383</v>
      </c>
      <c r="T1040" s="7">
        <v>1.23</v>
      </c>
      <c r="U1040" s="8">
        <v>9.19</v>
      </c>
      <c r="V1040" s="7">
        <v>1.08</v>
      </c>
      <c r="W1040" s="6">
        <v>4.5999999999999999E-2</v>
      </c>
      <c r="X1040" s="7">
        <v>0.38300000000000001</v>
      </c>
      <c r="Y1040" s="6">
        <v>1.2E-2</v>
      </c>
      <c r="Z1040" s="323"/>
      <c r="AA1040" s="323"/>
      <c r="AB1040" s="20"/>
      <c r="AC1040" s="7"/>
      <c r="AD1040" s="323"/>
      <c r="AE1040" s="7"/>
      <c r="AF1040" s="19"/>
      <c r="AG1040" s="20"/>
      <c r="AH1040" s="20"/>
      <c r="AI1040" s="20"/>
      <c r="AJ1040" s="20"/>
      <c r="AK1040" s="20"/>
      <c r="AL1040" s="20"/>
      <c r="AM1040" s="20"/>
      <c r="AN1040" s="20"/>
      <c r="AO1040" s="20"/>
      <c r="AP1040" s="20"/>
      <c r="AQ1040" s="20"/>
      <c r="AR1040" s="20"/>
      <c r="AS1040" s="7"/>
      <c r="AT1040" s="6"/>
      <c r="AU1040" s="20"/>
      <c r="AV1040" s="20"/>
      <c r="AW1040" s="6"/>
    </row>
    <row r="1041" spans="1:49" ht="15" customHeight="1">
      <c r="A1041" s="41" t="s">
        <v>183</v>
      </c>
      <c r="B1041" s="385" t="s">
        <v>4209</v>
      </c>
      <c r="C1041" s="18" t="s">
        <v>4210</v>
      </c>
      <c r="D1041" s="377" t="s">
        <v>462</v>
      </c>
      <c r="E1041" s="20"/>
      <c r="F1041" s="385" t="s">
        <v>4211</v>
      </c>
      <c r="G1041" s="390" t="s">
        <v>4212</v>
      </c>
      <c r="H1041" s="6">
        <v>3273</v>
      </c>
      <c r="I1041" s="7" t="s">
        <v>2</v>
      </c>
      <c r="J1041" s="344" t="s">
        <v>510</v>
      </c>
      <c r="K1041" s="16">
        <v>41432</v>
      </c>
      <c r="L1041" s="17">
        <v>41428</v>
      </c>
      <c r="M1041" s="50">
        <f t="shared" si="41"/>
        <v>4</v>
      </c>
      <c r="N1041" s="7" t="s">
        <v>2</v>
      </c>
      <c r="O1041" s="6">
        <v>1.6</v>
      </c>
      <c r="P1041" s="7">
        <v>6.5</v>
      </c>
      <c r="Q1041" s="6">
        <v>11.1</v>
      </c>
      <c r="R1041" s="7">
        <v>185</v>
      </c>
      <c r="S1041" s="6">
        <v>3600</v>
      </c>
      <c r="T1041" s="7">
        <v>3.1</v>
      </c>
      <c r="U1041" s="8">
        <v>1.17</v>
      </c>
      <c r="V1041" s="7">
        <v>1.82</v>
      </c>
      <c r="W1041" s="6">
        <v>0.25900000000000001</v>
      </c>
      <c r="X1041" s="7">
        <v>0.65700000000000003</v>
      </c>
      <c r="Y1041" s="6">
        <v>0.06</v>
      </c>
      <c r="Z1041" s="323"/>
      <c r="AA1041" s="323"/>
      <c r="AB1041" s="20"/>
      <c r="AC1041" s="7"/>
      <c r="AD1041" s="323"/>
      <c r="AE1041" s="7"/>
      <c r="AF1041" s="19"/>
      <c r="AG1041" s="20"/>
      <c r="AH1041" s="20"/>
      <c r="AI1041" s="20"/>
      <c r="AJ1041" s="20"/>
      <c r="AK1041" s="20"/>
      <c r="AL1041" s="20"/>
      <c r="AM1041" s="20"/>
      <c r="AN1041" s="20"/>
      <c r="AO1041" s="20"/>
      <c r="AP1041" s="20"/>
      <c r="AQ1041" s="20"/>
      <c r="AR1041" s="20"/>
      <c r="AS1041" s="7"/>
      <c r="AT1041" s="6"/>
      <c r="AU1041" s="20"/>
      <c r="AV1041" s="20"/>
      <c r="AW1041" s="6"/>
    </row>
    <row r="1042" spans="1:49" ht="15" customHeight="1">
      <c r="A1042" s="41" t="s">
        <v>183</v>
      </c>
      <c r="B1042" s="385" t="s">
        <v>4213</v>
      </c>
      <c r="C1042" s="18" t="s">
        <v>4214</v>
      </c>
      <c r="D1042" s="377" t="s">
        <v>133</v>
      </c>
      <c r="E1042" s="20"/>
      <c r="F1042" s="385" t="s">
        <v>3336</v>
      </c>
      <c r="G1042" s="390" t="s">
        <v>4215</v>
      </c>
      <c r="H1042" s="6">
        <v>4212</v>
      </c>
      <c r="I1042" s="7" t="s">
        <v>2</v>
      </c>
      <c r="J1042" s="344" t="s">
        <v>366</v>
      </c>
      <c r="K1042" s="16">
        <v>41432</v>
      </c>
      <c r="L1042" s="17">
        <v>41428</v>
      </c>
      <c r="M1042" s="50">
        <f t="shared" si="41"/>
        <v>4</v>
      </c>
      <c r="N1042" s="7" t="s">
        <v>2</v>
      </c>
      <c r="O1042" s="6">
        <v>7.1</v>
      </c>
      <c r="P1042" s="7">
        <v>6.5</v>
      </c>
      <c r="Q1042" s="6">
        <v>6.96</v>
      </c>
      <c r="R1042" s="7">
        <v>271</v>
      </c>
      <c r="S1042" s="6">
        <v>240</v>
      </c>
      <c r="T1042" s="7">
        <v>3.92</v>
      </c>
      <c r="U1042" s="8">
        <v>1.64</v>
      </c>
      <c r="V1042" s="7">
        <v>0.08</v>
      </c>
      <c r="W1042" s="6">
        <v>2.5999999999999999E-2</v>
      </c>
      <c r="X1042" s="7">
        <v>0.29099999999999998</v>
      </c>
      <c r="Y1042" s="6">
        <v>5.7000000000000002E-2</v>
      </c>
      <c r="Z1042" s="323"/>
      <c r="AA1042" s="323"/>
      <c r="AB1042" s="20"/>
      <c r="AC1042" s="7"/>
      <c r="AD1042" s="323"/>
      <c r="AE1042" s="7"/>
      <c r="AF1042" s="19"/>
      <c r="AG1042" s="20"/>
      <c r="AH1042" s="20"/>
      <c r="AI1042" s="20"/>
      <c r="AJ1042" s="20"/>
      <c r="AK1042" s="20"/>
      <c r="AL1042" s="20"/>
      <c r="AM1042" s="20"/>
      <c r="AN1042" s="20"/>
      <c r="AO1042" s="20"/>
      <c r="AP1042" s="20"/>
      <c r="AQ1042" s="20"/>
      <c r="AR1042" s="20"/>
      <c r="AS1042" s="7"/>
      <c r="AT1042" s="6"/>
      <c r="AU1042" s="20"/>
      <c r="AV1042" s="20"/>
      <c r="AW1042" s="6"/>
    </row>
    <row r="1043" spans="1:49" ht="15" customHeight="1">
      <c r="A1043" s="41" t="s">
        <v>183</v>
      </c>
      <c r="B1043" s="385" t="s">
        <v>4216</v>
      </c>
      <c r="C1043" s="18" t="s">
        <v>4217</v>
      </c>
      <c r="D1043" s="377" t="s">
        <v>3090</v>
      </c>
      <c r="E1043" s="20" t="s">
        <v>4218</v>
      </c>
      <c r="F1043" s="374" t="s">
        <v>4219</v>
      </c>
      <c r="G1043" s="390" t="s">
        <v>4220</v>
      </c>
      <c r="H1043" s="6">
        <v>4212</v>
      </c>
      <c r="I1043" s="7" t="s">
        <v>2</v>
      </c>
      <c r="J1043" s="344" t="s">
        <v>510</v>
      </c>
      <c r="K1043" s="16">
        <v>41432</v>
      </c>
      <c r="L1043" s="17">
        <v>41428</v>
      </c>
      <c r="M1043" s="50">
        <f t="shared" si="41"/>
        <v>4</v>
      </c>
      <c r="N1043" s="7" t="s">
        <v>2</v>
      </c>
      <c r="O1043" s="6">
        <v>0.7</v>
      </c>
      <c r="P1043" s="7">
        <v>6.5</v>
      </c>
      <c r="Q1043" s="6">
        <v>7.22</v>
      </c>
      <c r="R1043" s="7">
        <v>53</v>
      </c>
      <c r="S1043" s="6">
        <v>33</v>
      </c>
      <c r="T1043" s="7">
        <v>0.35</v>
      </c>
      <c r="U1043" s="8">
        <v>0.61</v>
      </c>
      <c r="V1043" s="7">
        <v>0.21</v>
      </c>
      <c r="W1043" s="6">
        <v>1.7000000000000001E-2</v>
      </c>
      <c r="X1043" s="7">
        <v>9.8000000000000004E-2</v>
      </c>
      <c r="Y1043" s="6">
        <v>1.7000000000000001E-2</v>
      </c>
      <c r="Z1043" s="323"/>
      <c r="AA1043" s="323"/>
      <c r="AB1043" s="20"/>
      <c r="AC1043" s="7"/>
      <c r="AD1043" s="323"/>
      <c r="AE1043" s="7"/>
      <c r="AF1043" s="19"/>
      <c r="AG1043" s="20"/>
      <c r="AH1043" s="20"/>
      <c r="AI1043" s="20"/>
      <c r="AJ1043" s="20"/>
      <c r="AK1043" s="20"/>
      <c r="AL1043" s="20"/>
      <c r="AM1043" s="20"/>
      <c r="AN1043" s="20"/>
      <c r="AO1043" s="20"/>
      <c r="AP1043" s="20"/>
      <c r="AQ1043" s="20"/>
      <c r="AR1043" s="20"/>
      <c r="AS1043" s="7"/>
      <c r="AT1043" s="6"/>
      <c r="AU1043" s="20"/>
      <c r="AV1043" s="20"/>
      <c r="AW1043" s="6"/>
    </row>
    <row r="1044" spans="1:49" ht="15" customHeight="1">
      <c r="A1044" s="41" t="s">
        <v>183</v>
      </c>
      <c r="B1044" s="385" t="s">
        <v>4221</v>
      </c>
      <c r="C1044" s="18"/>
      <c r="D1044" s="377" t="s">
        <v>827</v>
      </c>
      <c r="E1044" s="20"/>
      <c r="F1044" s="385"/>
      <c r="G1044" s="390" t="s">
        <v>3951</v>
      </c>
      <c r="H1044" s="6">
        <v>3011</v>
      </c>
      <c r="I1044" s="7" t="s">
        <v>2</v>
      </c>
      <c r="J1044" s="344" t="s">
        <v>4222</v>
      </c>
      <c r="K1044" s="16">
        <v>41184</v>
      </c>
      <c r="L1044" s="17">
        <v>41180</v>
      </c>
      <c r="M1044" s="50">
        <f t="shared" si="41"/>
        <v>4</v>
      </c>
      <c r="N1044" s="7" t="s">
        <v>2</v>
      </c>
      <c r="O1044" s="6">
        <v>0.5</v>
      </c>
      <c r="P1044" s="7">
        <v>5.5</v>
      </c>
      <c r="Q1044" s="6">
        <v>5.8</v>
      </c>
      <c r="R1044" s="7">
        <v>45</v>
      </c>
      <c r="S1044" s="6">
        <v>2</v>
      </c>
      <c r="T1044" s="7">
        <v>7.6999999999999999E-2</v>
      </c>
      <c r="U1044" s="8">
        <v>0.91</v>
      </c>
      <c r="V1044" s="7">
        <v>0.55000000000000004</v>
      </c>
      <c r="W1044" s="6">
        <v>1E-3</v>
      </c>
      <c r="X1044" s="7">
        <v>8.8999999999999999E-3</v>
      </c>
      <c r="Y1044" s="6">
        <v>1E-3</v>
      </c>
      <c r="Z1044" s="323">
        <v>1</v>
      </c>
      <c r="AA1044" s="323">
        <v>1</v>
      </c>
      <c r="AB1044" s="20">
        <v>50</v>
      </c>
      <c r="AC1044" s="7">
        <v>179</v>
      </c>
      <c r="AD1044" s="323">
        <v>1</v>
      </c>
      <c r="AE1044" s="7"/>
      <c r="AF1044" s="19"/>
      <c r="AG1044" s="20"/>
      <c r="AH1044" s="20"/>
      <c r="AI1044" s="20"/>
      <c r="AJ1044" s="20"/>
      <c r="AK1044" s="20"/>
      <c r="AL1044" s="20"/>
      <c r="AM1044" s="20"/>
      <c r="AN1044" s="20"/>
      <c r="AO1044" s="20"/>
      <c r="AP1044" s="20"/>
      <c r="AQ1044" s="20"/>
      <c r="AR1044" s="20"/>
      <c r="AS1044" s="7"/>
      <c r="AT1044" s="6"/>
      <c r="AU1044" s="20"/>
      <c r="AV1044" s="20"/>
      <c r="AW1044" s="6"/>
    </row>
    <row r="1045" spans="1:49" ht="15" customHeight="1">
      <c r="A1045" s="41" t="s">
        <v>183</v>
      </c>
      <c r="B1045" s="385" t="s">
        <v>4221</v>
      </c>
      <c r="C1045" s="18"/>
      <c r="D1045" s="377" t="s">
        <v>827</v>
      </c>
      <c r="E1045" s="20"/>
      <c r="F1045" s="385"/>
      <c r="G1045" s="390" t="s">
        <v>3951</v>
      </c>
      <c r="H1045" s="6">
        <v>3011</v>
      </c>
      <c r="I1045" s="7" t="s">
        <v>2</v>
      </c>
      <c r="J1045" s="344" t="s">
        <v>4222</v>
      </c>
      <c r="K1045" s="16">
        <v>41085</v>
      </c>
      <c r="L1045" s="17">
        <v>41082</v>
      </c>
      <c r="M1045" s="50">
        <f t="shared" si="41"/>
        <v>3</v>
      </c>
      <c r="N1045" s="7" t="s">
        <v>2</v>
      </c>
      <c r="O1045" s="6">
        <v>0.5</v>
      </c>
      <c r="P1045" s="7">
        <v>5.8</v>
      </c>
      <c r="Q1045" s="6">
        <v>6.2</v>
      </c>
      <c r="R1045" s="7">
        <v>17</v>
      </c>
      <c r="S1045" s="6">
        <v>4</v>
      </c>
      <c r="T1045" s="7">
        <v>2.4E-2</v>
      </c>
      <c r="U1045" s="8">
        <v>0.25</v>
      </c>
      <c r="V1045" s="7">
        <v>0.45</v>
      </c>
      <c r="W1045" s="6">
        <v>2.8999999999999998E-3</v>
      </c>
      <c r="X1045" s="7">
        <v>4.8000000000000001E-2</v>
      </c>
      <c r="Y1045" s="6">
        <v>1E-3</v>
      </c>
      <c r="Z1045" s="323">
        <v>1</v>
      </c>
      <c r="AA1045" s="323">
        <v>1</v>
      </c>
      <c r="AB1045" s="20">
        <v>46</v>
      </c>
      <c r="AC1045" s="7">
        <v>227</v>
      </c>
      <c r="AD1045" s="323">
        <v>1</v>
      </c>
      <c r="AE1045" s="7"/>
      <c r="AF1045" s="19"/>
      <c r="AG1045" s="20"/>
      <c r="AH1045" s="20"/>
      <c r="AI1045" s="20"/>
      <c r="AJ1045" s="20"/>
      <c r="AK1045" s="20"/>
      <c r="AL1045" s="20"/>
      <c r="AM1045" s="20"/>
      <c r="AN1045" s="20"/>
      <c r="AO1045" s="20"/>
      <c r="AP1045" s="20"/>
      <c r="AQ1045" s="20"/>
      <c r="AR1045" s="20"/>
      <c r="AS1045" s="7"/>
      <c r="AT1045" s="6"/>
      <c r="AU1045" s="20"/>
      <c r="AV1045" s="20"/>
      <c r="AW1045" s="6"/>
    </row>
    <row r="1046" spans="1:49" ht="15" customHeight="1">
      <c r="A1046" s="41" t="s">
        <v>183</v>
      </c>
      <c r="B1046" s="385" t="s">
        <v>4224</v>
      </c>
      <c r="C1046" s="18" t="s">
        <v>4224</v>
      </c>
      <c r="D1046" s="377" t="s">
        <v>684</v>
      </c>
      <c r="E1046" s="20" t="s">
        <v>322</v>
      </c>
      <c r="F1046" s="385" t="s">
        <v>1911</v>
      </c>
      <c r="G1046" s="390" t="s">
        <v>4225</v>
      </c>
      <c r="H1046" s="6">
        <v>3484</v>
      </c>
      <c r="I1046" s="7" t="s">
        <v>2</v>
      </c>
      <c r="J1046" s="344" t="s">
        <v>4226</v>
      </c>
      <c r="K1046" s="16">
        <v>41432</v>
      </c>
      <c r="L1046" s="17">
        <v>41428</v>
      </c>
      <c r="M1046" s="50">
        <f t="shared" si="41"/>
        <v>4</v>
      </c>
      <c r="N1046" s="7" t="s">
        <v>2</v>
      </c>
      <c r="O1046" s="6">
        <v>2.5</v>
      </c>
      <c r="P1046" s="7">
        <v>6.04</v>
      </c>
      <c r="Q1046" s="6">
        <v>6.25</v>
      </c>
      <c r="R1046" s="7">
        <v>11</v>
      </c>
      <c r="S1046" s="6">
        <v>8</v>
      </c>
      <c r="T1046" s="7">
        <v>0.02</v>
      </c>
      <c r="U1046" s="8">
        <v>0.25</v>
      </c>
      <c r="V1046" s="7">
        <v>0.69</v>
      </c>
      <c r="W1046" s="6">
        <v>6.0000000000000001E-3</v>
      </c>
      <c r="X1046" s="7">
        <v>0.08</v>
      </c>
      <c r="Y1046" s="6">
        <v>1.7999999999999999E-2</v>
      </c>
      <c r="Z1046" s="323"/>
      <c r="AA1046" s="323"/>
      <c r="AB1046" s="20"/>
      <c r="AC1046" s="7"/>
      <c r="AD1046" s="323"/>
      <c r="AE1046" s="7"/>
      <c r="AF1046" s="19"/>
      <c r="AG1046" s="20"/>
      <c r="AH1046" s="20"/>
      <c r="AI1046" s="20"/>
      <c r="AJ1046" s="20"/>
      <c r="AK1046" s="20"/>
      <c r="AL1046" s="20"/>
      <c r="AM1046" s="20"/>
      <c r="AN1046" s="20"/>
      <c r="AO1046" s="20"/>
      <c r="AP1046" s="20"/>
      <c r="AQ1046" s="20"/>
      <c r="AR1046" s="20"/>
      <c r="AS1046" s="7"/>
      <c r="AT1046" s="6"/>
      <c r="AU1046" s="20"/>
      <c r="AV1046" s="20"/>
      <c r="AW1046" s="6"/>
    </row>
    <row r="1047" spans="1:49" ht="15" customHeight="1">
      <c r="A1047" s="41" t="s">
        <v>183</v>
      </c>
      <c r="B1047" s="385" t="s">
        <v>4224</v>
      </c>
      <c r="C1047" s="18" t="s">
        <v>4224</v>
      </c>
      <c r="D1047" s="377" t="s">
        <v>684</v>
      </c>
      <c r="E1047" s="20" t="s">
        <v>322</v>
      </c>
      <c r="F1047" s="385" t="s">
        <v>1911</v>
      </c>
      <c r="G1047" s="390" t="s">
        <v>4225</v>
      </c>
      <c r="H1047" s="6">
        <v>3484</v>
      </c>
      <c r="I1047" s="7" t="s">
        <v>2</v>
      </c>
      <c r="J1047" s="344" t="s">
        <v>4227</v>
      </c>
      <c r="K1047" s="16">
        <v>41432</v>
      </c>
      <c r="L1047" s="17">
        <v>41428</v>
      </c>
      <c r="M1047" s="50">
        <f t="shared" si="41"/>
        <v>4</v>
      </c>
      <c r="N1047" s="7" t="s">
        <v>2</v>
      </c>
      <c r="O1047" s="6">
        <v>2.5</v>
      </c>
      <c r="P1047" s="7">
        <v>5.76</v>
      </c>
      <c r="Q1047" s="6">
        <v>5.92</v>
      </c>
      <c r="R1047" s="7">
        <v>14</v>
      </c>
      <c r="S1047" s="6">
        <v>0.5</v>
      </c>
      <c r="T1047" s="7">
        <v>0.02</v>
      </c>
      <c r="U1047" s="8">
        <v>0.71</v>
      </c>
      <c r="V1047" s="7">
        <v>0.69</v>
      </c>
      <c r="W1047" s="6">
        <v>6.0000000000000001E-3</v>
      </c>
      <c r="X1047" s="7">
        <v>0.02</v>
      </c>
      <c r="Y1047" s="6">
        <v>2E-3</v>
      </c>
      <c r="Z1047" s="323"/>
      <c r="AA1047" s="323"/>
      <c r="AB1047" s="20"/>
      <c r="AC1047" s="7"/>
      <c r="AD1047" s="323"/>
      <c r="AE1047" s="7"/>
      <c r="AF1047" s="19"/>
      <c r="AG1047" s="20"/>
      <c r="AH1047" s="20"/>
      <c r="AI1047" s="20"/>
      <c r="AJ1047" s="20"/>
      <c r="AK1047" s="20"/>
      <c r="AL1047" s="20"/>
      <c r="AM1047" s="20"/>
      <c r="AN1047" s="20"/>
      <c r="AO1047" s="20"/>
      <c r="AP1047" s="20"/>
      <c r="AQ1047" s="20"/>
      <c r="AR1047" s="20"/>
      <c r="AS1047" s="7"/>
      <c r="AT1047" s="6"/>
      <c r="AU1047" s="20"/>
      <c r="AV1047" s="20"/>
      <c r="AW1047" s="6"/>
    </row>
    <row r="1048" spans="1:49" ht="15" customHeight="1">
      <c r="A1048" s="41" t="s">
        <v>183</v>
      </c>
      <c r="B1048" s="385" t="s">
        <v>956</v>
      </c>
      <c r="C1048" s="18" t="s">
        <v>4228</v>
      </c>
      <c r="D1048" s="377" t="s">
        <v>127</v>
      </c>
      <c r="E1048" s="20" t="s">
        <v>4229</v>
      </c>
      <c r="F1048" s="385"/>
      <c r="G1048" s="390" t="s">
        <v>4230</v>
      </c>
      <c r="H1048" s="6">
        <v>4151</v>
      </c>
      <c r="I1048" s="7" t="s">
        <v>2</v>
      </c>
      <c r="J1048" s="344" t="s">
        <v>81</v>
      </c>
      <c r="K1048" s="16">
        <v>41432</v>
      </c>
      <c r="L1048" s="17">
        <v>41417</v>
      </c>
      <c r="M1048" s="50">
        <f t="shared" si="41"/>
        <v>15</v>
      </c>
      <c r="N1048" s="7" t="s">
        <v>2</v>
      </c>
      <c r="O1048" s="6">
        <v>2.4</v>
      </c>
      <c r="P1048" s="7">
        <v>5.67</v>
      </c>
      <c r="Q1048" s="6">
        <v>7.24</v>
      </c>
      <c r="R1048" s="7">
        <v>20.5</v>
      </c>
      <c r="S1048" s="6">
        <v>6.5</v>
      </c>
      <c r="T1048" s="7">
        <v>7.0000000000000007E-2</v>
      </c>
      <c r="U1048" s="8">
        <v>0.66</v>
      </c>
      <c r="V1048" s="7">
        <v>0.28000000000000003</v>
      </c>
      <c r="W1048" s="6">
        <v>5.0000000000000001E-3</v>
      </c>
      <c r="X1048" s="7">
        <v>5.0000000000000001E-3</v>
      </c>
      <c r="Y1048" s="6">
        <v>0.01</v>
      </c>
      <c r="Z1048" s="323"/>
      <c r="AA1048" s="323"/>
      <c r="AB1048" s="20"/>
      <c r="AC1048" s="7"/>
      <c r="AD1048" s="323"/>
      <c r="AE1048" s="7"/>
      <c r="AF1048" s="19"/>
      <c r="AG1048" s="20"/>
      <c r="AH1048" s="20"/>
      <c r="AI1048" s="20"/>
      <c r="AJ1048" s="20"/>
      <c r="AK1048" s="20"/>
      <c r="AL1048" s="20"/>
      <c r="AM1048" s="20"/>
      <c r="AN1048" s="20"/>
      <c r="AO1048" s="20"/>
      <c r="AP1048" s="20"/>
      <c r="AQ1048" s="20"/>
      <c r="AR1048" s="20"/>
      <c r="AS1048" s="7"/>
      <c r="AT1048" s="6"/>
      <c r="AU1048" s="20"/>
      <c r="AV1048" s="20"/>
      <c r="AW1048" s="6"/>
    </row>
    <row r="1049" spans="1:49" ht="15" customHeight="1">
      <c r="A1049" s="41" t="s">
        <v>183</v>
      </c>
      <c r="B1049" s="385" t="s">
        <v>956</v>
      </c>
      <c r="C1049" s="18" t="s">
        <v>4231</v>
      </c>
      <c r="D1049" s="377" t="s">
        <v>1830</v>
      </c>
      <c r="E1049" s="20" t="s">
        <v>3271</v>
      </c>
      <c r="F1049" s="385"/>
      <c r="G1049" s="390" t="s">
        <v>3272</v>
      </c>
      <c r="H1049" s="6">
        <v>4151</v>
      </c>
      <c r="I1049" s="7" t="s">
        <v>2</v>
      </c>
      <c r="J1049" s="344" t="s">
        <v>81</v>
      </c>
      <c r="K1049" s="16">
        <v>41157</v>
      </c>
      <c r="L1049" s="17">
        <v>41153</v>
      </c>
      <c r="M1049" s="50">
        <f t="shared" si="41"/>
        <v>4</v>
      </c>
      <c r="N1049" s="7" t="s">
        <v>2</v>
      </c>
      <c r="O1049" s="6">
        <v>7.7</v>
      </c>
      <c r="P1049" s="7">
        <v>7.4</v>
      </c>
      <c r="Q1049" s="6">
        <v>7.47</v>
      </c>
      <c r="R1049" s="7">
        <v>69.099999999999994</v>
      </c>
      <c r="S1049" s="6">
        <v>101</v>
      </c>
      <c r="T1049" s="7">
        <v>0.09</v>
      </c>
      <c r="U1049" s="8">
        <v>0.69</v>
      </c>
      <c r="V1049" s="7">
        <v>0.24</v>
      </c>
      <c r="W1049" s="6">
        <v>0.01</v>
      </c>
      <c r="X1049" s="7">
        <v>0.08</v>
      </c>
      <c r="Y1049" s="6">
        <v>0.01</v>
      </c>
      <c r="Z1049" s="323">
        <v>1</v>
      </c>
      <c r="AA1049" s="323">
        <v>1</v>
      </c>
      <c r="AB1049" s="20">
        <v>30.1</v>
      </c>
      <c r="AC1049" s="7">
        <v>97.7</v>
      </c>
      <c r="AD1049" s="323">
        <v>1</v>
      </c>
      <c r="AE1049" s="7"/>
      <c r="AF1049" s="19"/>
      <c r="AG1049" s="20"/>
      <c r="AH1049" s="20"/>
      <c r="AI1049" s="20"/>
      <c r="AJ1049" s="20"/>
      <c r="AK1049" s="20"/>
      <c r="AL1049" s="20"/>
      <c r="AM1049" s="20"/>
      <c r="AN1049" s="20"/>
      <c r="AO1049" s="20"/>
      <c r="AP1049" s="20"/>
      <c r="AQ1049" s="20"/>
      <c r="AR1049" s="20"/>
      <c r="AS1049" s="7"/>
      <c r="AT1049" s="6"/>
      <c r="AU1049" s="20"/>
      <c r="AV1049" s="20"/>
      <c r="AW1049" s="6"/>
    </row>
    <row r="1050" spans="1:49" ht="15" customHeight="1">
      <c r="A1050" s="41" t="s">
        <v>183</v>
      </c>
      <c r="B1050" s="385" t="s">
        <v>4232</v>
      </c>
      <c r="C1050" s="18"/>
      <c r="D1050" s="377" t="s">
        <v>56</v>
      </c>
      <c r="E1050" s="20" t="s">
        <v>95</v>
      </c>
      <c r="F1050" s="385"/>
      <c r="G1050" s="390" t="s">
        <v>3731</v>
      </c>
      <c r="H1050" s="6">
        <v>4426</v>
      </c>
      <c r="I1050" s="7" t="s">
        <v>1</v>
      </c>
      <c r="J1050" s="344" t="s">
        <v>74</v>
      </c>
      <c r="K1050" s="16">
        <v>41402</v>
      </c>
      <c r="L1050" s="17">
        <v>41384</v>
      </c>
      <c r="M1050" s="50">
        <f t="shared" si="41"/>
        <v>18</v>
      </c>
      <c r="N1050" s="7" t="s">
        <v>2</v>
      </c>
      <c r="O1050" s="6">
        <v>0.7</v>
      </c>
      <c r="P1050" s="7">
        <v>7.2</v>
      </c>
      <c r="Q1050" s="6">
        <v>8.06</v>
      </c>
      <c r="R1050" s="7">
        <v>114</v>
      </c>
      <c r="S1050" s="6">
        <v>10</v>
      </c>
      <c r="T1050" s="7">
        <v>0.15</v>
      </c>
      <c r="U1050" s="8">
        <v>1.83</v>
      </c>
      <c r="V1050" s="7">
        <v>5.0000000000000001E-3</v>
      </c>
      <c r="W1050" s="6">
        <v>2.5000000000000001E-3</v>
      </c>
      <c r="X1050" s="7">
        <v>1.2E-2</v>
      </c>
      <c r="Y1050" s="6">
        <v>0.01</v>
      </c>
      <c r="Z1050" s="323"/>
      <c r="AA1050" s="323"/>
      <c r="AB1050" s="20"/>
      <c r="AC1050" s="7"/>
      <c r="AD1050" s="323"/>
      <c r="AE1050" s="7"/>
      <c r="AF1050" s="19"/>
      <c r="AG1050" s="20"/>
      <c r="AH1050" s="20"/>
      <c r="AI1050" s="20">
        <v>30</v>
      </c>
      <c r="AJ1050" s="20">
        <v>5</v>
      </c>
      <c r="AK1050" s="20"/>
      <c r="AL1050" s="20"/>
      <c r="AM1050" s="20"/>
      <c r="AN1050" s="20"/>
      <c r="AO1050" s="20"/>
      <c r="AP1050" s="20"/>
      <c r="AQ1050" s="20"/>
      <c r="AR1050" s="20"/>
      <c r="AS1050" s="7"/>
      <c r="AT1050" s="6"/>
      <c r="AU1050" s="20"/>
      <c r="AV1050" s="20"/>
      <c r="AW1050" s="6"/>
    </row>
    <row r="1051" spans="1:49" ht="15" customHeight="1">
      <c r="A1051" s="41" t="s">
        <v>183</v>
      </c>
      <c r="B1051" s="385" t="s">
        <v>3213</v>
      </c>
      <c r="C1051" s="18" t="s">
        <v>3213</v>
      </c>
      <c r="D1051" s="377" t="s">
        <v>2691</v>
      </c>
      <c r="E1051" s="20" t="s">
        <v>4233</v>
      </c>
      <c r="F1051" s="385"/>
      <c r="G1051" s="390" t="s">
        <v>3215</v>
      </c>
      <c r="H1051" s="6">
        <v>4142</v>
      </c>
      <c r="I1051" s="7" t="s">
        <v>2</v>
      </c>
      <c r="J1051" s="344" t="s">
        <v>81</v>
      </c>
      <c r="K1051" s="16">
        <v>41402</v>
      </c>
      <c r="L1051" s="17">
        <v>41384</v>
      </c>
      <c r="M1051" s="50">
        <f t="shared" si="41"/>
        <v>18</v>
      </c>
      <c r="N1051" s="7" t="s">
        <v>2</v>
      </c>
      <c r="O1051" s="6">
        <v>5.0999999999999996</v>
      </c>
      <c r="P1051" s="7">
        <v>5.0999999999999996</v>
      </c>
      <c r="Q1051" s="6">
        <v>6.2</v>
      </c>
      <c r="R1051" s="7">
        <v>89</v>
      </c>
      <c r="S1051" s="6">
        <v>217</v>
      </c>
      <c r="T1051" s="7">
        <v>0.26</v>
      </c>
      <c r="U1051" s="8">
        <v>1.34</v>
      </c>
      <c r="V1051" s="7">
        <v>0.24</v>
      </c>
      <c r="W1051" s="6">
        <v>0.17</v>
      </c>
      <c r="X1051" s="7">
        <v>0.161</v>
      </c>
      <c r="Y1051" s="6">
        <v>1.4999999999999999E-2</v>
      </c>
      <c r="Z1051" s="323"/>
      <c r="AA1051" s="323"/>
      <c r="AB1051" s="20"/>
      <c r="AC1051" s="7"/>
      <c r="AD1051" s="323"/>
      <c r="AE1051" s="7"/>
      <c r="AF1051" s="19"/>
      <c r="AG1051" s="20"/>
      <c r="AH1051" s="20"/>
      <c r="AI1051" s="20"/>
      <c r="AJ1051" s="20"/>
      <c r="AK1051" s="20"/>
      <c r="AL1051" s="20"/>
      <c r="AM1051" s="20"/>
      <c r="AN1051" s="20"/>
      <c r="AO1051" s="20"/>
      <c r="AP1051" s="20"/>
      <c r="AQ1051" s="20"/>
      <c r="AR1051" s="20"/>
      <c r="AS1051" s="7"/>
      <c r="AT1051" s="6"/>
      <c r="AU1051" s="20"/>
      <c r="AV1051" s="20"/>
      <c r="AW1051" s="6"/>
    </row>
    <row r="1052" spans="1:49" ht="15" customHeight="1">
      <c r="A1052" s="41" t="s">
        <v>183</v>
      </c>
      <c r="B1052" s="385" t="s">
        <v>4241</v>
      </c>
      <c r="D1052" s="393" t="s">
        <v>434</v>
      </c>
      <c r="E1052" s="394" t="s">
        <v>304</v>
      </c>
      <c r="G1052" s="405" t="s">
        <v>4240</v>
      </c>
      <c r="H1052" s="74">
        <v>8744</v>
      </c>
      <c r="I1052" s="50" t="s">
        <v>1</v>
      </c>
      <c r="J1052" s="339" t="s">
        <v>4242</v>
      </c>
      <c r="K1052" s="51">
        <v>41021</v>
      </c>
      <c r="L1052" s="173"/>
      <c r="N1052" s="50" t="s">
        <v>2</v>
      </c>
      <c r="O1052" s="74">
        <f t="shared" ref="O1052:O1059" si="42">5/2</f>
        <v>2.5</v>
      </c>
      <c r="P1052" s="50">
        <v>6.21</v>
      </c>
      <c r="Q1052" s="74">
        <v>6.57</v>
      </c>
      <c r="R1052" s="50">
        <v>42</v>
      </c>
      <c r="S1052" s="74">
        <v>7</v>
      </c>
      <c r="T1052" s="50">
        <v>0.15</v>
      </c>
      <c r="U1052" s="131">
        <f>1/2</f>
        <v>0.5</v>
      </c>
      <c r="V1052" s="50">
        <v>0.17</v>
      </c>
      <c r="W1052" s="74">
        <f>0.04/2</f>
        <v>0.02</v>
      </c>
      <c r="X1052" s="50">
        <v>0.22</v>
      </c>
      <c r="Y1052" s="74">
        <f>0.013/2</f>
        <v>6.4999999999999997E-3</v>
      </c>
      <c r="Z1052" s="271">
        <v>1</v>
      </c>
      <c r="AA1052" s="271">
        <v>0.70699999999999996</v>
      </c>
      <c r="AB1052" s="114">
        <v>3.3</v>
      </c>
      <c r="AC1052" s="50">
        <v>32</v>
      </c>
      <c r="AD1052" s="271">
        <v>0</v>
      </c>
    </row>
    <row r="1053" spans="1:49" ht="15" customHeight="1">
      <c r="A1053" s="41" t="s">
        <v>183</v>
      </c>
      <c r="B1053" s="402" t="s">
        <v>4241</v>
      </c>
      <c r="D1053" s="393" t="s">
        <v>434</v>
      </c>
      <c r="E1053" s="394" t="s">
        <v>304</v>
      </c>
      <c r="G1053" s="405" t="s">
        <v>4240</v>
      </c>
      <c r="H1053" s="74">
        <v>8744</v>
      </c>
      <c r="I1053" s="50" t="s">
        <v>1</v>
      </c>
      <c r="J1053" s="339" t="s">
        <v>4243</v>
      </c>
      <c r="K1053" s="51">
        <v>41021</v>
      </c>
      <c r="L1053" s="173"/>
      <c r="N1053" s="50" t="s">
        <v>2</v>
      </c>
      <c r="O1053" s="74">
        <f t="shared" si="42"/>
        <v>2.5</v>
      </c>
      <c r="P1053" s="50">
        <v>6.21</v>
      </c>
      <c r="Q1053" s="74">
        <v>6.89</v>
      </c>
      <c r="R1053" s="50">
        <v>38</v>
      </c>
      <c r="S1053" s="74">
        <v>28</v>
      </c>
      <c r="T1053" s="50">
        <f>0.1/2</f>
        <v>0.05</v>
      </c>
      <c r="U1053" s="131">
        <f>1/2</f>
        <v>0.5</v>
      </c>
      <c r="V1053" s="50">
        <v>0.4</v>
      </c>
      <c r="W1053" s="74">
        <v>5.3999999999999999E-2</v>
      </c>
      <c r="X1053" s="50">
        <v>0.25</v>
      </c>
      <c r="Y1053" s="74">
        <v>4.2000000000000003E-2</v>
      </c>
      <c r="Z1053" s="271">
        <v>1</v>
      </c>
      <c r="AA1053" s="271">
        <v>1</v>
      </c>
      <c r="AB1053" s="114">
        <v>370</v>
      </c>
      <c r="AC1053" s="50">
        <v>2640</v>
      </c>
      <c r="AD1053" s="271">
        <v>1</v>
      </c>
    </row>
    <row r="1054" spans="1:49" ht="15" customHeight="1">
      <c r="A1054" s="41" t="s">
        <v>183</v>
      </c>
      <c r="B1054" s="402" t="s">
        <v>4241</v>
      </c>
      <c r="D1054" s="393" t="s">
        <v>434</v>
      </c>
      <c r="E1054" s="394" t="s">
        <v>304</v>
      </c>
      <c r="G1054" s="405" t="s">
        <v>4240</v>
      </c>
      <c r="H1054" s="74">
        <v>8744</v>
      </c>
      <c r="I1054" s="50" t="s">
        <v>1</v>
      </c>
      <c r="J1054" s="339" t="s">
        <v>4244</v>
      </c>
      <c r="K1054" s="51">
        <v>41021</v>
      </c>
      <c r="L1054" s="173"/>
      <c r="N1054" s="50" t="s">
        <v>2</v>
      </c>
      <c r="O1054" s="74">
        <f t="shared" si="42"/>
        <v>2.5</v>
      </c>
      <c r="P1054" s="50">
        <v>6.21</v>
      </c>
      <c r="Q1054" s="74">
        <v>6.55</v>
      </c>
      <c r="R1054" s="50">
        <v>37</v>
      </c>
      <c r="S1054" s="74">
        <v>49</v>
      </c>
      <c r="T1054" s="50">
        <f>0.1/2</f>
        <v>0.05</v>
      </c>
      <c r="U1054" s="131">
        <f>1/2</f>
        <v>0.5</v>
      </c>
      <c r="V1054" s="50">
        <f>0.1/2</f>
        <v>0.05</v>
      </c>
      <c r="W1054" s="74">
        <f>0.04/2</f>
        <v>0.02</v>
      </c>
      <c r="X1054" s="50">
        <v>4.3999999999999997E-2</v>
      </c>
      <c r="Y1054" s="74">
        <f>0.013/2</f>
        <v>6.4999999999999997E-3</v>
      </c>
      <c r="Z1054" s="271">
        <v>1</v>
      </c>
      <c r="AA1054" s="271">
        <v>1</v>
      </c>
      <c r="AB1054" s="114">
        <v>3.1</v>
      </c>
      <c r="AC1054" s="50">
        <v>14</v>
      </c>
      <c r="AD1054" s="271">
        <v>1</v>
      </c>
    </row>
    <row r="1055" spans="1:49" ht="15" customHeight="1">
      <c r="A1055" s="41" t="s">
        <v>183</v>
      </c>
      <c r="B1055" s="402" t="s">
        <v>4241</v>
      </c>
      <c r="D1055" s="393" t="s">
        <v>434</v>
      </c>
      <c r="E1055" s="394" t="s">
        <v>304</v>
      </c>
      <c r="G1055" s="405" t="s">
        <v>4240</v>
      </c>
      <c r="H1055" s="74">
        <v>8744</v>
      </c>
      <c r="I1055" s="50" t="s">
        <v>1</v>
      </c>
      <c r="J1055" s="339" t="s">
        <v>4245</v>
      </c>
      <c r="K1055" s="51">
        <v>41021</v>
      </c>
      <c r="L1055" s="173"/>
      <c r="N1055" s="50" t="s">
        <v>2</v>
      </c>
      <c r="O1055" s="74">
        <f t="shared" si="42"/>
        <v>2.5</v>
      </c>
      <c r="P1055" s="50">
        <v>6.21</v>
      </c>
      <c r="Q1055" s="74">
        <v>8.11</v>
      </c>
      <c r="R1055" s="50">
        <v>28</v>
      </c>
      <c r="S1055" s="74">
        <v>180</v>
      </c>
      <c r="T1055" s="50">
        <f>0.1/2</f>
        <v>0.05</v>
      </c>
      <c r="U1055" s="131">
        <f>1/2</f>
        <v>0.5</v>
      </c>
      <c r="V1055" s="50">
        <f>0.1/2</f>
        <v>0.05</v>
      </c>
      <c r="W1055" s="74">
        <v>4.2000000000000003E-2</v>
      </c>
      <c r="X1055" s="50">
        <v>0.06</v>
      </c>
      <c r="Y1055" s="74">
        <v>2.8000000000000001E-2</v>
      </c>
      <c r="Z1055" s="271">
        <v>1</v>
      </c>
      <c r="AA1055" s="271">
        <v>1</v>
      </c>
      <c r="AB1055" s="114">
        <v>17</v>
      </c>
      <c r="AC1055" s="50">
        <v>51</v>
      </c>
      <c r="AD1055" s="271">
        <v>1</v>
      </c>
    </row>
    <row r="1056" spans="1:49" ht="15" customHeight="1">
      <c r="A1056" s="41" t="s">
        <v>183</v>
      </c>
      <c r="B1056" s="385" t="s">
        <v>4241</v>
      </c>
      <c r="D1056" s="393" t="s">
        <v>434</v>
      </c>
      <c r="E1056" s="394" t="s">
        <v>304</v>
      </c>
      <c r="G1056" s="405" t="s">
        <v>4240</v>
      </c>
      <c r="H1056" s="74">
        <v>8744</v>
      </c>
      <c r="I1056" s="50" t="s">
        <v>1</v>
      </c>
      <c r="J1056" s="339" t="s">
        <v>1144</v>
      </c>
      <c r="K1056" s="51">
        <v>41115</v>
      </c>
      <c r="L1056" s="173"/>
      <c r="N1056" s="50" t="s">
        <v>2</v>
      </c>
      <c r="O1056" s="74">
        <f t="shared" si="42"/>
        <v>2.5</v>
      </c>
      <c r="P1056" s="50">
        <v>6.21</v>
      </c>
      <c r="Q1056" s="74">
        <v>6.14</v>
      </c>
      <c r="R1056" s="50">
        <v>35</v>
      </c>
      <c r="S1056" s="74">
        <v>130</v>
      </c>
      <c r="T1056" s="50">
        <f>0.1/2</f>
        <v>0.05</v>
      </c>
      <c r="U1056" s="131">
        <v>1.1000000000000001</v>
      </c>
      <c r="V1056" s="50">
        <v>0.32</v>
      </c>
      <c r="W1056" s="74">
        <f>0.04/2</f>
        <v>0.02</v>
      </c>
      <c r="X1056" s="50">
        <v>8.2000000000000003E-2</v>
      </c>
      <c r="Y1056" s="74">
        <v>0.1</v>
      </c>
    </row>
    <row r="1057" spans="1:31" ht="15" customHeight="1">
      <c r="A1057" s="41" t="s">
        <v>183</v>
      </c>
      <c r="B1057" s="402" t="s">
        <v>4241</v>
      </c>
      <c r="D1057" s="393" t="s">
        <v>434</v>
      </c>
      <c r="E1057" s="394" t="s">
        <v>304</v>
      </c>
      <c r="G1057" s="405" t="s">
        <v>4240</v>
      </c>
      <c r="H1057" s="74">
        <v>8744</v>
      </c>
      <c r="I1057" s="50" t="s">
        <v>1</v>
      </c>
      <c r="J1057" s="339" t="s">
        <v>1716</v>
      </c>
      <c r="K1057" s="51">
        <v>41105</v>
      </c>
      <c r="L1057" s="173"/>
      <c r="N1057" s="50" t="s">
        <v>2</v>
      </c>
      <c r="O1057" s="74">
        <f t="shared" si="42"/>
        <v>2.5</v>
      </c>
      <c r="P1057" s="50">
        <v>6.21</v>
      </c>
      <c r="Q1057" s="74">
        <v>6.73</v>
      </c>
      <c r="R1057" s="50">
        <v>57</v>
      </c>
      <c r="S1057" s="74">
        <v>27</v>
      </c>
      <c r="T1057" s="50">
        <v>0.12</v>
      </c>
      <c r="U1057" s="131">
        <v>1.4</v>
      </c>
      <c r="V1057" s="50">
        <v>0.5</v>
      </c>
      <c r="W1057" s="74">
        <v>0.1</v>
      </c>
      <c r="X1057" s="50">
        <v>0.4</v>
      </c>
      <c r="Y1057" s="74">
        <v>6.2E-2</v>
      </c>
    </row>
    <row r="1058" spans="1:31" ht="15" customHeight="1">
      <c r="A1058" s="41" t="s">
        <v>183</v>
      </c>
      <c r="B1058" s="402" t="s">
        <v>4241</v>
      </c>
      <c r="D1058" s="393" t="s">
        <v>434</v>
      </c>
      <c r="E1058" s="394" t="s">
        <v>304</v>
      </c>
      <c r="G1058" s="405" t="s">
        <v>4240</v>
      </c>
      <c r="H1058" s="74">
        <v>8744</v>
      </c>
      <c r="I1058" s="50" t="s">
        <v>1</v>
      </c>
      <c r="J1058" s="339" t="s">
        <v>4244</v>
      </c>
      <c r="K1058" s="51">
        <v>41105</v>
      </c>
      <c r="L1058" s="173"/>
      <c r="N1058" s="50" t="s">
        <v>2</v>
      </c>
      <c r="O1058" s="74">
        <f t="shared" si="42"/>
        <v>2.5</v>
      </c>
      <c r="P1058" s="50">
        <v>6.21</v>
      </c>
      <c r="Q1058" s="74">
        <v>6.55</v>
      </c>
      <c r="R1058" s="50">
        <v>18</v>
      </c>
      <c r="S1058" s="74">
        <v>32</v>
      </c>
      <c r="T1058" s="50">
        <f>0.1/2</f>
        <v>0.05</v>
      </c>
      <c r="U1058" s="131">
        <v>1.5</v>
      </c>
      <c r="V1058" s="50">
        <v>0.53</v>
      </c>
      <c r="W1058" s="74">
        <f>0.04/2</f>
        <v>0.02</v>
      </c>
      <c r="X1058" s="50">
        <v>0.37</v>
      </c>
      <c r="Y1058" s="74">
        <v>0.03</v>
      </c>
    </row>
    <row r="1059" spans="1:31" ht="15" customHeight="1">
      <c r="A1059" s="41" t="s">
        <v>183</v>
      </c>
      <c r="B1059" s="402" t="s">
        <v>4241</v>
      </c>
      <c r="D1059" s="393" t="s">
        <v>434</v>
      </c>
      <c r="E1059" s="394" t="s">
        <v>304</v>
      </c>
      <c r="G1059" s="405" t="s">
        <v>4240</v>
      </c>
      <c r="H1059" s="74">
        <v>8744</v>
      </c>
      <c r="I1059" s="50" t="s">
        <v>1</v>
      </c>
      <c r="J1059" s="339" t="s">
        <v>4246</v>
      </c>
      <c r="K1059" s="51">
        <v>41105</v>
      </c>
      <c r="L1059" s="173"/>
      <c r="N1059" s="50" t="s">
        <v>2</v>
      </c>
      <c r="O1059" s="74">
        <f t="shared" si="42"/>
        <v>2.5</v>
      </c>
      <c r="P1059" s="50">
        <v>6.21</v>
      </c>
      <c r="Q1059" s="74">
        <v>6.56</v>
      </c>
      <c r="R1059" s="50">
        <f>5/2</f>
        <v>2.5</v>
      </c>
      <c r="S1059" s="74">
        <v>8</v>
      </c>
      <c r="T1059" s="50">
        <f>0.1/2</f>
        <v>0.05</v>
      </c>
      <c r="U1059" s="131">
        <v>1.2</v>
      </c>
      <c r="V1059" s="50">
        <v>0.42</v>
      </c>
      <c r="W1059" s="74">
        <f>0.04/2</f>
        <v>0.02</v>
      </c>
      <c r="X1059" s="50">
        <v>8.7999999999999995E-2</v>
      </c>
      <c r="Y1059" s="74">
        <f>0.013/2</f>
        <v>6.4999999999999997E-3</v>
      </c>
    </row>
    <row r="1060" spans="1:31" ht="15" customHeight="1">
      <c r="A1060" s="41" t="s">
        <v>183</v>
      </c>
      <c r="B1060" s="386" t="s">
        <v>123</v>
      </c>
      <c r="C1060" s="149" t="s">
        <v>123</v>
      </c>
      <c r="D1060" s="392" t="s">
        <v>41</v>
      </c>
      <c r="E1060" s="258" t="s">
        <v>960</v>
      </c>
      <c r="F1060" s="386" t="s">
        <v>961</v>
      </c>
      <c r="G1060" s="363" t="s">
        <v>153</v>
      </c>
      <c r="H1060" s="55">
        <v>3471</v>
      </c>
      <c r="I1060" s="54" t="s">
        <v>2</v>
      </c>
      <c r="J1060" s="61" t="s">
        <v>4247</v>
      </c>
      <c r="K1060" s="51">
        <v>41226</v>
      </c>
      <c r="L1060" s="173">
        <v>41221</v>
      </c>
      <c r="M1060" s="50">
        <f>K1060-L1060</f>
        <v>5</v>
      </c>
      <c r="N1060" s="50" t="s">
        <v>2</v>
      </c>
      <c r="O1060" s="74">
        <f>1.4/2</f>
        <v>0.7</v>
      </c>
      <c r="P1060" s="50">
        <v>5.76</v>
      </c>
      <c r="Q1060" s="74">
        <v>5.95</v>
      </c>
      <c r="R1060" s="50">
        <v>60</v>
      </c>
      <c r="S1060" s="74">
        <f>5/2</f>
        <v>2.5</v>
      </c>
      <c r="T1060" s="50">
        <v>0.2</v>
      </c>
      <c r="U1060" s="131">
        <v>0.94</v>
      </c>
      <c r="V1060" s="50">
        <v>0.44</v>
      </c>
      <c r="W1060" s="74">
        <f>0.005/2</f>
        <v>2.5000000000000001E-3</v>
      </c>
      <c r="X1060" s="50">
        <v>0.67700000000000005</v>
      </c>
      <c r="Y1060" s="74">
        <f>0.002/2</f>
        <v>1E-3</v>
      </c>
      <c r="Z1060" s="271">
        <v>1</v>
      </c>
      <c r="AA1060" s="271">
        <v>1</v>
      </c>
      <c r="AB1060" s="114">
        <v>8</v>
      </c>
      <c r="AC1060" s="50">
        <v>40</v>
      </c>
      <c r="AD1060" s="271">
        <v>0.5</v>
      </c>
    </row>
    <row r="1061" spans="1:31" ht="15" customHeight="1">
      <c r="A1061" s="41" t="s">
        <v>183</v>
      </c>
      <c r="B1061" s="386" t="s">
        <v>123</v>
      </c>
      <c r="C1061" s="149" t="s">
        <v>123</v>
      </c>
      <c r="D1061" s="392" t="s">
        <v>41</v>
      </c>
      <c r="E1061" s="258" t="s">
        <v>960</v>
      </c>
      <c r="F1061" s="386" t="s">
        <v>961</v>
      </c>
      <c r="G1061" s="363" t="s">
        <v>153</v>
      </c>
      <c r="H1061" s="55">
        <v>3471</v>
      </c>
      <c r="I1061" s="54" t="s">
        <v>2</v>
      </c>
      <c r="J1061" s="61" t="s">
        <v>4247</v>
      </c>
      <c r="K1061" s="51">
        <v>41374</v>
      </c>
      <c r="L1061" s="173">
        <v>41365</v>
      </c>
      <c r="M1061" s="50">
        <f>K1061-L1061</f>
        <v>9</v>
      </c>
      <c r="N1061" s="50" t="s">
        <v>2</v>
      </c>
      <c r="O1061" s="74">
        <f>1.4/2</f>
        <v>0.7</v>
      </c>
      <c r="Q1061" s="74">
        <v>5.5</v>
      </c>
      <c r="R1061" s="50">
        <f>10/2</f>
        <v>5</v>
      </c>
      <c r="S1061" s="74">
        <v>14</v>
      </c>
      <c r="T1061" s="50">
        <v>7.0000000000000007E-2</v>
      </c>
      <c r="U1061" s="131">
        <v>1.8</v>
      </c>
      <c r="V1061" s="50">
        <v>0.68</v>
      </c>
      <c r="W1061" s="74">
        <v>7.0000000000000001E-3</v>
      </c>
      <c r="X1061" s="50">
        <v>0.11799999999999999</v>
      </c>
      <c r="Y1061" s="74">
        <f>0.002/2</f>
        <v>1E-3</v>
      </c>
      <c r="Z1061" s="271">
        <v>0.85199999999999998</v>
      </c>
      <c r="AA1061" s="271">
        <v>0.68400000000000005</v>
      </c>
      <c r="AB1061" s="114">
        <v>4</v>
      </c>
      <c r="AC1061" s="50">
        <v>18</v>
      </c>
      <c r="AD1061" s="271">
        <v>0</v>
      </c>
    </row>
    <row r="1062" spans="1:31" ht="15" customHeight="1">
      <c r="A1062" s="41" t="s">
        <v>183</v>
      </c>
      <c r="B1062" s="402" t="s">
        <v>4251</v>
      </c>
      <c r="D1062" s="393" t="s">
        <v>1759</v>
      </c>
      <c r="G1062" s="405" t="s">
        <v>4252</v>
      </c>
      <c r="H1062" s="74"/>
      <c r="J1062" s="339" t="s">
        <v>4030</v>
      </c>
      <c r="K1062" s="51">
        <v>40877</v>
      </c>
      <c r="L1062" s="173"/>
      <c r="O1062" s="74">
        <f t="shared" ref="O1062:O1067" si="43">5/2</f>
        <v>2.5</v>
      </c>
      <c r="Q1062" s="74">
        <v>7.5</v>
      </c>
      <c r="R1062" s="50">
        <v>77.2</v>
      </c>
      <c r="S1062" s="74">
        <v>25</v>
      </c>
      <c r="T1062" s="50">
        <v>0.13</v>
      </c>
      <c r="U1062" s="131">
        <f>0.5/2</f>
        <v>0.25</v>
      </c>
      <c r="V1062" s="50">
        <v>0.93</v>
      </c>
      <c r="W1062" s="74">
        <v>7.0000000000000001E-3</v>
      </c>
      <c r="X1062" s="50">
        <v>7.0000000000000007E-2</v>
      </c>
      <c r="Y1062" s="74">
        <v>3.0000000000000001E-3</v>
      </c>
      <c r="Z1062" s="271">
        <v>1</v>
      </c>
      <c r="AA1062" s="271">
        <v>1</v>
      </c>
      <c r="AB1062" s="114">
        <v>59</v>
      </c>
      <c r="AC1062" s="50">
        <v>260</v>
      </c>
      <c r="AD1062" s="271">
        <v>1</v>
      </c>
    </row>
    <row r="1063" spans="1:31" ht="15" customHeight="1">
      <c r="A1063" s="41" t="s">
        <v>183</v>
      </c>
      <c r="B1063" s="402" t="s">
        <v>4253</v>
      </c>
      <c r="D1063" s="393" t="s">
        <v>910</v>
      </c>
      <c r="E1063" s="394" t="s">
        <v>4039</v>
      </c>
      <c r="G1063" s="405" t="s">
        <v>4254</v>
      </c>
      <c r="H1063" s="74">
        <v>3499</v>
      </c>
      <c r="J1063" s="339" t="s">
        <v>4255</v>
      </c>
      <c r="K1063" s="51">
        <v>40996</v>
      </c>
      <c r="L1063" s="173"/>
      <c r="O1063" s="74">
        <f t="shared" si="43"/>
        <v>2.5</v>
      </c>
      <c r="P1063" s="50">
        <v>6.54</v>
      </c>
      <c r="Q1063" s="74">
        <v>6.54</v>
      </c>
      <c r="R1063" s="50">
        <v>88</v>
      </c>
      <c r="S1063" s="74">
        <v>36</v>
      </c>
      <c r="T1063" s="50">
        <v>0.44</v>
      </c>
      <c r="U1063" s="131">
        <v>3.38</v>
      </c>
      <c r="V1063" s="50">
        <v>0.74099999999999999</v>
      </c>
      <c r="W1063" s="74">
        <v>5.6000000000000001E-2</v>
      </c>
      <c r="X1063" s="50">
        <v>6.0999999999999999E-2</v>
      </c>
      <c r="Y1063" s="74">
        <v>4.4000000000000003E-3</v>
      </c>
      <c r="Z1063" s="271">
        <v>1</v>
      </c>
      <c r="AA1063" s="271">
        <v>1</v>
      </c>
      <c r="AB1063" s="114">
        <v>10</v>
      </c>
      <c r="AC1063" s="50">
        <v>46</v>
      </c>
      <c r="AD1063" s="271">
        <v>1</v>
      </c>
    </row>
    <row r="1064" spans="1:31" ht="15" customHeight="1">
      <c r="A1064" s="41" t="s">
        <v>183</v>
      </c>
      <c r="B1064" s="402" t="s">
        <v>4253</v>
      </c>
      <c r="D1064" s="393" t="s">
        <v>910</v>
      </c>
      <c r="E1064" s="394" t="s">
        <v>4039</v>
      </c>
      <c r="G1064" s="405" t="s">
        <v>4254</v>
      </c>
      <c r="H1064" s="74">
        <v>3499</v>
      </c>
      <c r="J1064" s="339" t="s">
        <v>4256</v>
      </c>
      <c r="K1064" s="51">
        <v>40996</v>
      </c>
      <c r="L1064" s="173"/>
      <c r="O1064" s="74">
        <f t="shared" si="43"/>
        <v>2.5</v>
      </c>
      <c r="P1064" s="50">
        <v>7.65</v>
      </c>
      <c r="Q1064" s="74">
        <v>6.84</v>
      </c>
      <c r="R1064" s="50">
        <v>34</v>
      </c>
      <c r="S1064" s="74">
        <v>55</v>
      </c>
      <c r="T1064" s="50">
        <v>0.12</v>
      </c>
      <c r="U1064" s="131">
        <v>1.28</v>
      </c>
      <c r="V1064" s="50">
        <v>0.38900000000000001</v>
      </c>
      <c r="W1064" s="74">
        <f>0.01/2</f>
        <v>5.0000000000000001E-3</v>
      </c>
      <c r="X1064" s="50">
        <v>3.5999999999999997E-2</v>
      </c>
      <c r="Y1064" s="74">
        <v>3.3E-3</v>
      </c>
      <c r="Z1064" s="271">
        <v>1</v>
      </c>
      <c r="AA1064" s="271">
        <v>1</v>
      </c>
      <c r="AB1064" s="114">
        <v>18</v>
      </c>
      <c r="AC1064" s="50">
        <v>1420</v>
      </c>
      <c r="AD1064" s="271">
        <v>1</v>
      </c>
    </row>
    <row r="1065" spans="1:31" ht="15" customHeight="1">
      <c r="A1065" s="41" t="s">
        <v>183</v>
      </c>
      <c r="B1065" s="402" t="s">
        <v>4253</v>
      </c>
      <c r="D1065" s="393" t="s">
        <v>910</v>
      </c>
      <c r="E1065" s="394" t="s">
        <v>4039</v>
      </c>
      <c r="G1065" s="405" t="s">
        <v>4254</v>
      </c>
      <c r="H1065" s="74">
        <v>3499</v>
      </c>
      <c r="J1065" s="339" t="s">
        <v>4257</v>
      </c>
      <c r="K1065" s="51">
        <v>40996</v>
      </c>
      <c r="L1065" s="173"/>
      <c r="O1065" s="74">
        <f t="shared" si="43"/>
        <v>2.5</v>
      </c>
      <c r="P1065" s="50">
        <v>7.65</v>
      </c>
      <c r="Q1065" s="74">
        <v>7.04</v>
      </c>
      <c r="R1065" s="50">
        <f>10/2</f>
        <v>5</v>
      </c>
      <c r="S1065" s="74">
        <v>7</v>
      </c>
      <c r="T1065" s="50">
        <f>0.1/2</f>
        <v>0.05</v>
      </c>
      <c r="U1065" s="131">
        <v>1.17</v>
      </c>
      <c r="V1065" s="50">
        <v>0.54</v>
      </c>
      <c r="W1065" s="74">
        <f>0.01/2</f>
        <v>5.0000000000000001E-3</v>
      </c>
      <c r="X1065" s="50">
        <f>0.025/2</f>
        <v>1.2500000000000001E-2</v>
      </c>
      <c r="Y1065" s="74">
        <v>2.8999999999999998E-3</v>
      </c>
      <c r="Z1065" s="271">
        <v>1</v>
      </c>
      <c r="AA1065" s="271">
        <v>1</v>
      </c>
      <c r="AB1065" s="114">
        <v>32</v>
      </c>
      <c r="AC1065" s="50">
        <v>82</v>
      </c>
      <c r="AD1065" s="271">
        <v>1</v>
      </c>
    </row>
    <row r="1066" spans="1:31" ht="15" customHeight="1">
      <c r="A1066" s="41" t="s">
        <v>183</v>
      </c>
      <c r="B1066" s="402" t="s">
        <v>4253</v>
      </c>
      <c r="D1066" s="393" t="s">
        <v>910</v>
      </c>
      <c r="E1066" s="394" t="s">
        <v>4039</v>
      </c>
      <c r="G1066" s="405" t="s">
        <v>4254</v>
      </c>
      <c r="H1066" s="74">
        <v>3499</v>
      </c>
      <c r="J1066" s="339" t="s">
        <v>4258</v>
      </c>
      <c r="K1066" s="51">
        <v>40996</v>
      </c>
      <c r="L1066" s="173"/>
      <c r="O1066" s="74">
        <f t="shared" si="43"/>
        <v>2.5</v>
      </c>
      <c r="P1066" s="50">
        <v>7.65</v>
      </c>
      <c r="Q1066" s="74">
        <v>7.57</v>
      </c>
      <c r="R1066" s="50">
        <f>10/2</f>
        <v>5</v>
      </c>
      <c r="S1066" s="74">
        <v>7</v>
      </c>
      <c r="T1066" s="50">
        <f>0.1/2</f>
        <v>0.05</v>
      </c>
      <c r="U1066" s="131">
        <v>1.45</v>
      </c>
      <c r="V1066" s="50">
        <v>0.76100000000000001</v>
      </c>
      <c r="W1066" s="74">
        <v>1.7000000000000001E-2</v>
      </c>
      <c r="X1066" s="50">
        <v>5.6000000000000001E-2</v>
      </c>
      <c r="Y1066" s="74">
        <v>1.7500000000000002E-2</v>
      </c>
      <c r="Z1066" s="271">
        <v>1</v>
      </c>
      <c r="AA1066" s="271">
        <v>1</v>
      </c>
      <c r="AB1066" s="114">
        <v>84</v>
      </c>
      <c r="AC1066" s="50">
        <v>1415</v>
      </c>
      <c r="AD1066" s="271">
        <v>1</v>
      </c>
    </row>
    <row r="1067" spans="1:31" ht="15" customHeight="1">
      <c r="A1067" s="41" t="s">
        <v>183</v>
      </c>
      <c r="B1067" s="402" t="s">
        <v>4253</v>
      </c>
      <c r="D1067" s="393" t="s">
        <v>910</v>
      </c>
      <c r="E1067" s="394" t="s">
        <v>4039</v>
      </c>
      <c r="G1067" s="405" t="s">
        <v>4254</v>
      </c>
      <c r="H1067" s="74">
        <v>3499</v>
      </c>
      <c r="J1067" s="339" t="s">
        <v>4259</v>
      </c>
      <c r="K1067" s="51">
        <v>40996</v>
      </c>
      <c r="L1067" s="173"/>
      <c r="O1067" s="74">
        <f t="shared" si="43"/>
        <v>2.5</v>
      </c>
      <c r="P1067" s="50">
        <v>7.65</v>
      </c>
      <c r="Q1067" s="74">
        <v>6.77</v>
      </c>
      <c r="R1067" s="50">
        <v>91</v>
      </c>
      <c r="S1067" s="74">
        <v>58</v>
      </c>
      <c r="T1067" s="50">
        <v>0.2</v>
      </c>
      <c r="U1067" s="131">
        <v>2.65</v>
      </c>
      <c r="V1067" s="50">
        <v>0.32</v>
      </c>
      <c r="W1067" s="74">
        <v>6.5000000000000002E-2</v>
      </c>
      <c r="X1067" s="50">
        <v>8.8999999999999996E-2</v>
      </c>
      <c r="Y1067" s="74">
        <v>1.9E-2</v>
      </c>
      <c r="Z1067" s="271">
        <v>1</v>
      </c>
      <c r="AA1067" s="271">
        <v>1</v>
      </c>
      <c r="AB1067" s="114">
        <v>32</v>
      </c>
      <c r="AC1067" s="50">
        <v>93</v>
      </c>
      <c r="AD1067" s="271">
        <v>0.95</v>
      </c>
    </row>
    <row r="1068" spans="1:31" ht="15" customHeight="1">
      <c r="A1068" s="41" t="s">
        <v>183</v>
      </c>
      <c r="B1068" s="402" t="s">
        <v>4260</v>
      </c>
      <c r="D1068" s="393" t="s">
        <v>290</v>
      </c>
      <c r="G1068" s="405" t="s">
        <v>4261</v>
      </c>
      <c r="H1068" s="74">
        <v>3273</v>
      </c>
      <c r="J1068" s="339" t="s">
        <v>1119</v>
      </c>
      <c r="K1068" s="51">
        <v>41180</v>
      </c>
      <c r="L1068" s="173">
        <v>41179</v>
      </c>
      <c r="M1068" s="50">
        <f t="shared" ref="M1068:M1083" si="44">K1068-L1068</f>
        <v>1</v>
      </c>
      <c r="O1068" s="74">
        <f>2/2</f>
        <v>1</v>
      </c>
      <c r="Q1068" s="74">
        <v>7.7</v>
      </c>
      <c r="R1068" s="50">
        <v>11</v>
      </c>
      <c r="S1068" s="74">
        <f>1/2</f>
        <v>0.5</v>
      </c>
      <c r="T1068" s="50">
        <f>0.05/2</f>
        <v>2.5000000000000001E-2</v>
      </c>
      <c r="U1068" s="131">
        <v>0.23</v>
      </c>
      <c r="V1068" s="50">
        <v>1.47</v>
      </c>
      <c r="W1068" s="74">
        <f>0.01/2</f>
        <v>5.0000000000000001E-3</v>
      </c>
      <c r="X1068" s="50">
        <f>0.03/2</f>
        <v>1.4999999999999999E-2</v>
      </c>
      <c r="Y1068" s="74">
        <f>0.03/2</f>
        <v>1.4999999999999999E-2</v>
      </c>
      <c r="Z1068" s="271">
        <v>1</v>
      </c>
      <c r="AA1068" s="271">
        <v>1</v>
      </c>
      <c r="AB1068" s="114">
        <v>75</v>
      </c>
      <c r="AC1068" s="50">
        <v>324</v>
      </c>
      <c r="AD1068" s="271">
        <v>0.85</v>
      </c>
    </row>
    <row r="1069" spans="1:31" ht="15" customHeight="1">
      <c r="A1069" s="41" t="s">
        <v>183</v>
      </c>
      <c r="B1069" s="402" t="s">
        <v>4260</v>
      </c>
      <c r="D1069" s="393" t="s">
        <v>290</v>
      </c>
      <c r="G1069" s="405" t="s">
        <v>4261</v>
      </c>
      <c r="H1069" s="74">
        <v>3273</v>
      </c>
      <c r="J1069" s="339" t="s">
        <v>4262</v>
      </c>
      <c r="K1069" s="51">
        <v>41180</v>
      </c>
      <c r="L1069" s="173">
        <v>41179</v>
      </c>
      <c r="M1069" s="50">
        <f t="shared" si="44"/>
        <v>1</v>
      </c>
      <c r="O1069" s="74">
        <f>2/2</f>
        <v>1</v>
      </c>
      <c r="Q1069" s="74">
        <v>7.8</v>
      </c>
      <c r="R1069" s="50">
        <v>13</v>
      </c>
      <c r="S1069" s="74">
        <f>1/2</f>
        <v>0.5</v>
      </c>
      <c r="T1069" s="50">
        <v>0.14000000000000001</v>
      </c>
      <c r="U1069" s="131">
        <v>0.22</v>
      </c>
      <c r="V1069" s="50">
        <v>1.4</v>
      </c>
      <c r="W1069" s="74">
        <f>0.01/2</f>
        <v>5.0000000000000001E-3</v>
      </c>
      <c r="X1069" s="50">
        <f>0.03/2</f>
        <v>1.4999999999999999E-2</v>
      </c>
      <c r="Y1069" s="74">
        <f>0.03/2</f>
        <v>1.4999999999999999E-2</v>
      </c>
      <c r="Z1069" s="271">
        <v>1</v>
      </c>
      <c r="AA1069" s="271">
        <v>1</v>
      </c>
      <c r="AB1069" s="114">
        <v>81</v>
      </c>
      <c r="AC1069" s="50">
        <v>313</v>
      </c>
      <c r="AD1069" s="271">
        <v>1</v>
      </c>
    </row>
    <row r="1070" spans="1:31" ht="15" customHeight="1">
      <c r="A1070" s="41" t="s">
        <v>183</v>
      </c>
      <c r="B1070" s="402" t="s">
        <v>4263</v>
      </c>
      <c r="D1070" s="393" t="s">
        <v>251</v>
      </c>
      <c r="E1070" s="394" t="s">
        <v>252</v>
      </c>
      <c r="F1070" s="402" t="s">
        <v>2816</v>
      </c>
      <c r="G1070" s="405" t="s">
        <v>4264</v>
      </c>
      <c r="H1070" s="74">
        <v>2023</v>
      </c>
      <c r="I1070" s="50" t="s">
        <v>1</v>
      </c>
      <c r="J1070" s="339" t="s">
        <v>4265</v>
      </c>
      <c r="K1070" s="51">
        <v>41180</v>
      </c>
      <c r="L1070" s="173">
        <v>41174</v>
      </c>
      <c r="M1070" s="50">
        <f t="shared" si="44"/>
        <v>6</v>
      </c>
      <c r="N1070" s="50" t="s">
        <v>2</v>
      </c>
      <c r="O1070" s="74">
        <f>5/2</f>
        <v>2.5</v>
      </c>
      <c r="P1070" s="50">
        <v>6.4</v>
      </c>
      <c r="Q1070" s="74">
        <v>7.09</v>
      </c>
      <c r="R1070" s="50">
        <v>92</v>
      </c>
      <c r="S1070" s="74">
        <v>130</v>
      </c>
      <c r="T1070" s="50">
        <f>0.1/2</f>
        <v>0.05</v>
      </c>
      <c r="U1070" s="131">
        <f>1/2</f>
        <v>0.5</v>
      </c>
      <c r="V1070" s="50">
        <v>0.34</v>
      </c>
      <c r="W1070" s="74">
        <f>0.04/2</f>
        <v>0.02</v>
      </c>
      <c r="X1070" s="50">
        <v>0.16</v>
      </c>
      <c r="Y1070" s="74">
        <f>0.013/2</f>
        <v>6.4999999999999997E-3</v>
      </c>
      <c r="AE1070" s="50">
        <v>620</v>
      </c>
    </row>
    <row r="1071" spans="1:31" ht="15" customHeight="1">
      <c r="A1071" s="41" t="s">
        <v>183</v>
      </c>
      <c r="B1071" s="402" t="s">
        <v>4263</v>
      </c>
      <c r="D1071" s="393" t="s">
        <v>251</v>
      </c>
      <c r="E1071" s="394" t="s">
        <v>252</v>
      </c>
      <c r="F1071" s="402" t="s">
        <v>2816</v>
      </c>
      <c r="G1071" s="405" t="s">
        <v>4264</v>
      </c>
      <c r="H1071" s="74">
        <v>2023</v>
      </c>
      <c r="I1071" s="50" t="s">
        <v>1</v>
      </c>
      <c r="J1071" s="339" t="s">
        <v>4266</v>
      </c>
      <c r="K1071" s="51">
        <v>41180</v>
      </c>
      <c r="L1071" s="173">
        <v>41174</v>
      </c>
      <c r="M1071" s="50">
        <f t="shared" si="44"/>
        <v>6</v>
      </c>
      <c r="N1071" s="50" t="s">
        <v>2</v>
      </c>
      <c r="O1071" s="74">
        <f>5/2</f>
        <v>2.5</v>
      </c>
      <c r="P1071" s="50">
        <v>6.4</v>
      </c>
      <c r="Q1071" s="74">
        <v>6.36</v>
      </c>
      <c r="R1071" s="50">
        <f>5/2</f>
        <v>2.5</v>
      </c>
      <c r="S1071" s="74">
        <v>14</v>
      </c>
      <c r="T1071" s="50">
        <f>0.1/2</f>
        <v>0.05</v>
      </c>
      <c r="U1071" s="131">
        <f>1/2</f>
        <v>0.5</v>
      </c>
      <c r="V1071" s="50">
        <v>0.31</v>
      </c>
      <c r="W1071" s="74">
        <f>0.04/2</f>
        <v>0.02</v>
      </c>
      <c r="X1071" s="50">
        <v>0.16</v>
      </c>
      <c r="Y1071" s="74">
        <f>0.013/2</f>
        <v>6.4999999999999997E-3</v>
      </c>
      <c r="AE1071" s="50">
        <v>320</v>
      </c>
    </row>
    <row r="1072" spans="1:31" ht="15" customHeight="1">
      <c r="A1072" s="41" t="s">
        <v>183</v>
      </c>
      <c r="B1072" s="402" t="s">
        <v>4263</v>
      </c>
      <c r="D1072" s="393" t="s">
        <v>251</v>
      </c>
      <c r="E1072" s="394" t="s">
        <v>252</v>
      </c>
      <c r="F1072" s="402" t="s">
        <v>2816</v>
      </c>
      <c r="G1072" s="405" t="s">
        <v>4264</v>
      </c>
      <c r="H1072" s="74">
        <v>2023</v>
      </c>
      <c r="I1072" s="50" t="s">
        <v>1</v>
      </c>
      <c r="J1072" s="339" t="s">
        <v>4267</v>
      </c>
      <c r="K1072" s="51">
        <v>41180</v>
      </c>
      <c r="L1072" s="173">
        <v>41174</v>
      </c>
      <c r="M1072" s="50">
        <f t="shared" si="44"/>
        <v>6</v>
      </c>
      <c r="N1072" s="50" t="s">
        <v>2</v>
      </c>
      <c r="O1072" s="74">
        <f>5/2</f>
        <v>2.5</v>
      </c>
      <c r="P1072" s="50">
        <v>6.4</v>
      </c>
      <c r="Q1072" s="74">
        <v>6.56</v>
      </c>
      <c r="R1072" s="50">
        <f>5/2</f>
        <v>2.5</v>
      </c>
      <c r="S1072" s="74">
        <v>14</v>
      </c>
      <c r="T1072" s="50">
        <f>0.1/2</f>
        <v>0.05</v>
      </c>
      <c r="U1072" s="131">
        <f>1/2</f>
        <v>0.5</v>
      </c>
      <c r="V1072" s="50">
        <v>0.37</v>
      </c>
      <c r="W1072" s="74">
        <f>0.04/2</f>
        <v>0.02</v>
      </c>
      <c r="X1072" s="50">
        <v>7.8E-2</v>
      </c>
      <c r="Y1072" s="74">
        <f>0.013/2</f>
        <v>6.4999999999999997E-3</v>
      </c>
      <c r="AE1072" s="50">
        <v>220</v>
      </c>
    </row>
    <row r="1073" spans="1:30" ht="15" customHeight="1">
      <c r="A1073" s="41" t="s">
        <v>183</v>
      </c>
      <c r="B1073" s="402" t="s">
        <v>1843</v>
      </c>
      <c r="C1073" s="113" t="s">
        <v>1243</v>
      </c>
      <c r="D1073" s="393" t="s">
        <v>133</v>
      </c>
      <c r="E1073" s="394" t="s">
        <v>1546</v>
      </c>
      <c r="F1073" s="401"/>
      <c r="G1073" s="405" t="s">
        <v>1810</v>
      </c>
      <c r="H1073" s="113">
        <v>4151</v>
      </c>
      <c r="I1073" s="49" t="s">
        <v>2</v>
      </c>
      <c r="J1073" s="48" t="s">
        <v>1786</v>
      </c>
      <c r="K1073" s="51">
        <v>41170</v>
      </c>
      <c r="L1073" s="173">
        <v>41167</v>
      </c>
      <c r="M1073" s="50">
        <f t="shared" si="44"/>
        <v>3</v>
      </c>
      <c r="N1073" s="50" t="s">
        <v>2</v>
      </c>
      <c r="O1073" s="74">
        <v>2.4</v>
      </c>
      <c r="P1073" s="50">
        <v>4.4400000000000004</v>
      </c>
      <c r="Q1073" s="74">
        <v>7.22</v>
      </c>
      <c r="R1073" s="50">
        <v>200</v>
      </c>
      <c r="S1073" s="74">
        <v>99</v>
      </c>
      <c r="T1073" s="50">
        <v>0.15</v>
      </c>
      <c r="U1073" s="131">
        <v>2.1</v>
      </c>
      <c r="V1073" s="50">
        <v>1.38</v>
      </c>
      <c r="W1073" s="74">
        <v>3.6999999999999998E-2</v>
      </c>
      <c r="X1073" s="50">
        <v>0.10299999999999999</v>
      </c>
      <c r="Y1073" s="74">
        <v>1.7999999999999999E-2</v>
      </c>
      <c r="Z1073" s="271">
        <v>1</v>
      </c>
      <c r="AA1073" s="271">
        <v>1</v>
      </c>
      <c r="AB1073" s="114">
        <v>52</v>
      </c>
      <c r="AC1073" s="50">
        <v>291</v>
      </c>
      <c r="AD1073" s="271">
        <v>1</v>
      </c>
    </row>
    <row r="1074" spans="1:30" ht="15" customHeight="1">
      <c r="A1074" s="41" t="s">
        <v>183</v>
      </c>
      <c r="B1074" s="402" t="s">
        <v>1843</v>
      </c>
      <c r="C1074" s="113" t="s">
        <v>1243</v>
      </c>
      <c r="D1074" s="393" t="s">
        <v>133</v>
      </c>
      <c r="E1074" s="394" t="s">
        <v>1546</v>
      </c>
      <c r="F1074" s="401"/>
      <c r="G1074" s="405" t="s">
        <v>1810</v>
      </c>
      <c r="H1074" s="113">
        <v>4151</v>
      </c>
      <c r="I1074" s="49" t="s">
        <v>2</v>
      </c>
      <c r="J1074" s="48" t="s">
        <v>641</v>
      </c>
      <c r="K1074" s="51">
        <v>41170</v>
      </c>
      <c r="L1074" s="173">
        <v>41167</v>
      </c>
      <c r="M1074" s="50">
        <f t="shared" si="44"/>
        <v>3</v>
      </c>
      <c r="N1074" s="50" t="s">
        <v>2</v>
      </c>
      <c r="O1074" s="74">
        <v>2</v>
      </c>
      <c r="P1074" s="50">
        <v>4.4400000000000004</v>
      </c>
      <c r="Q1074" s="74">
        <v>7.27</v>
      </c>
      <c r="R1074" s="50">
        <v>130</v>
      </c>
      <c r="S1074" s="74">
        <v>40</v>
      </c>
      <c r="T1074" s="50">
        <v>0.09</v>
      </c>
      <c r="U1074" s="131">
        <v>1.81</v>
      </c>
      <c r="V1074" s="50">
        <v>1.2</v>
      </c>
      <c r="W1074" s="74">
        <v>3.6999999999999998E-2</v>
      </c>
      <c r="X1074" s="50">
        <v>0.108</v>
      </c>
      <c r="Y1074" s="74">
        <v>7.0000000000000001E-3</v>
      </c>
      <c r="Z1074" s="271">
        <v>1</v>
      </c>
      <c r="AA1074" s="271">
        <v>1</v>
      </c>
      <c r="AB1074" s="114">
        <v>56</v>
      </c>
      <c r="AC1074" s="50">
        <v>428</v>
      </c>
      <c r="AD1074" s="271">
        <v>1</v>
      </c>
    </row>
    <row r="1075" spans="1:30" ht="15" customHeight="1">
      <c r="A1075" s="41" t="s">
        <v>183</v>
      </c>
      <c r="B1075" s="402" t="s">
        <v>1843</v>
      </c>
      <c r="C1075" s="113" t="s">
        <v>1243</v>
      </c>
      <c r="D1075" s="393" t="s">
        <v>133</v>
      </c>
      <c r="E1075" s="394" t="s">
        <v>1546</v>
      </c>
      <c r="F1075" s="401"/>
      <c r="G1075" s="405" t="s">
        <v>1810</v>
      </c>
      <c r="H1075" s="113">
        <v>4151</v>
      </c>
      <c r="I1075" s="49" t="s">
        <v>2</v>
      </c>
      <c r="J1075" s="48" t="s">
        <v>643</v>
      </c>
      <c r="K1075" s="51">
        <v>41170</v>
      </c>
      <c r="L1075" s="173">
        <v>41167</v>
      </c>
      <c r="M1075" s="50">
        <f t="shared" si="44"/>
        <v>3</v>
      </c>
      <c r="N1075" s="50" t="s">
        <v>2</v>
      </c>
      <c r="O1075" s="74">
        <v>2.1</v>
      </c>
      <c r="P1075" s="50">
        <v>4.4400000000000004</v>
      </c>
      <c r="Q1075" s="74">
        <v>7.03</v>
      </c>
      <c r="R1075" s="50">
        <v>85</v>
      </c>
      <c r="S1075" s="74">
        <v>27</v>
      </c>
      <c r="T1075" s="50">
        <v>0.11</v>
      </c>
      <c r="U1075" s="131">
        <v>1.71</v>
      </c>
      <c r="V1075" s="50">
        <v>0.74</v>
      </c>
      <c r="W1075" s="74">
        <v>2.4E-2</v>
      </c>
      <c r="X1075" s="50">
        <v>7.0999999999999994E-2</v>
      </c>
      <c r="Y1075" s="74">
        <v>5.0000000000000001E-3</v>
      </c>
      <c r="Z1075" s="271">
        <v>1</v>
      </c>
      <c r="AA1075" s="271">
        <v>1</v>
      </c>
      <c r="AB1075" s="114">
        <v>18</v>
      </c>
      <c r="AC1075" s="50">
        <v>157</v>
      </c>
      <c r="AD1075" s="271">
        <v>1</v>
      </c>
    </row>
    <row r="1076" spans="1:30" ht="15" customHeight="1">
      <c r="A1076" s="41" t="s">
        <v>183</v>
      </c>
      <c r="B1076" s="402" t="s">
        <v>4268</v>
      </c>
      <c r="C1076" s="113" t="s">
        <v>4269</v>
      </c>
      <c r="D1076" s="393" t="s">
        <v>89</v>
      </c>
      <c r="E1076" s="394" t="s">
        <v>4270</v>
      </c>
      <c r="F1076" s="402" t="s">
        <v>627</v>
      </c>
      <c r="G1076" s="405" t="s">
        <v>4271</v>
      </c>
      <c r="H1076" s="74">
        <v>3844</v>
      </c>
      <c r="I1076" s="50" t="s">
        <v>2</v>
      </c>
      <c r="J1076" s="48" t="s">
        <v>431</v>
      </c>
      <c r="K1076" s="51">
        <v>41050</v>
      </c>
      <c r="L1076" s="173">
        <v>41045</v>
      </c>
      <c r="M1076" s="50">
        <f t="shared" si="44"/>
        <v>5</v>
      </c>
      <c r="N1076" s="50" t="s">
        <v>2</v>
      </c>
      <c r="O1076" s="74">
        <f>5/2</f>
        <v>2.5</v>
      </c>
      <c r="P1076" s="50">
        <v>7.1</v>
      </c>
      <c r="Q1076" s="74">
        <v>7.2</v>
      </c>
      <c r="R1076" s="50">
        <v>200</v>
      </c>
      <c r="S1076" s="74">
        <v>110</v>
      </c>
      <c r="T1076" s="50">
        <f>0.1/2</f>
        <v>0.05</v>
      </c>
      <c r="U1076" s="131">
        <v>2.4</v>
      </c>
      <c r="V1076" s="50">
        <v>0.4</v>
      </c>
      <c r="W1076" s="74">
        <f>0.04/2</f>
        <v>0.02</v>
      </c>
      <c r="X1076" s="50">
        <v>0.11</v>
      </c>
      <c r="Y1076" s="74">
        <v>0.03</v>
      </c>
      <c r="Z1076" s="271">
        <v>1</v>
      </c>
      <c r="AA1076" s="271">
        <v>1</v>
      </c>
      <c r="AB1076" s="114">
        <v>1100</v>
      </c>
      <c r="AC1076" s="50">
        <v>5640</v>
      </c>
      <c r="AD1076" s="271">
        <v>0.9</v>
      </c>
    </row>
    <row r="1077" spans="1:30" ht="15" customHeight="1">
      <c r="A1077" s="41" t="s">
        <v>183</v>
      </c>
      <c r="B1077" s="402" t="s">
        <v>4268</v>
      </c>
      <c r="C1077" s="113" t="s">
        <v>4269</v>
      </c>
      <c r="D1077" s="393" t="s">
        <v>89</v>
      </c>
      <c r="E1077" s="394" t="s">
        <v>4270</v>
      </c>
      <c r="F1077" s="402" t="s">
        <v>627</v>
      </c>
      <c r="G1077" s="405" t="s">
        <v>4271</v>
      </c>
      <c r="H1077" s="74">
        <v>3844</v>
      </c>
      <c r="I1077" s="50" t="s">
        <v>2</v>
      </c>
      <c r="J1077" s="48" t="s">
        <v>4272</v>
      </c>
      <c r="K1077" s="51">
        <v>41050</v>
      </c>
      <c r="L1077" s="173">
        <v>41045</v>
      </c>
      <c r="M1077" s="50">
        <f t="shared" si="44"/>
        <v>5</v>
      </c>
      <c r="N1077" s="50" t="s">
        <v>2</v>
      </c>
      <c r="O1077" s="74">
        <f>5/2</f>
        <v>2.5</v>
      </c>
      <c r="P1077" s="50">
        <v>6.4</v>
      </c>
      <c r="Q1077" s="74">
        <v>6.63</v>
      </c>
      <c r="R1077" s="50">
        <v>35</v>
      </c>
      <c r="S1077" s="74">
        <v>15</v>
      </c>
      <c r="T1077" s="50">
        <f>0.1/2</f>
        <v>0.05</v>
      </c>
      <c r="U1077" s="131">
        <f>1/2</f>
        <v>0.5</v>
      </c>
      <c r="V1077" s="50">
        <v>0.15</v>
      </c>
      <c r="W1077" s="74">
        <f>0.04/2</f>
        <v>0.02</v>
      </c>
      <c r="X1077" s="50">
        <f>0.02/2</f>
        <v>0.01</v>
      </c>
      <c r="Y1077" s="74">
        <f>0.013/2</f>
        <v>6.4999999999999997E-3</v>
      </c>
      <c r="Z1077" s="271">
        <v>1</v>
      </c>
      <c r="AA1077" s="271">
        <v>1</v>
      </c>
      <c r="AB1077" s="114">
        <f>5/2</f>
        <v>2.5</v>
      </c>
      <c r="AC1077" s="50">
        <v>15</v>
      </c>
      <c r="AD1077" s="271">
        <v>1</v>
      </c>
    </row>
    <row r="1078" spans="1:30" ht="15" customHeight="1">
      <c r="A1078" s="41" t="s">
        <v>183</v>
      </c>
      <c r="B1078" s="402" t="s">
        <v>4268</v>
      </c>
      <c r="C1078" s="113" t="s">
        <v>4273</v>
      </c>
      <c r="D1078" s="393" t="s">
        <v>89</v>
      </c>
      <c r="E1078" s="394" t="s">
        <v>4270</v>
      </c>
      <c r="F1078" s="402" t="s">
        <v>627</v>
      </c>
      <c r="G1078" s="405" t="s">
        <v>4274</v>
      </c>
      <c r="H1078" s="74">
        <v>3844</v>
      </c>
      <c r="I1078" s="50" t="s">
        <v>2</v>
      </c>
      <c r="J1078" s="48" t="s">
        <v>4275</v>
      </c>
      <c r="K1078" s="51">
        <v>41050</v>
      </c>
      <c r="L1078" s="173">
        <v>41045</v>
      </c>
      <c r="M1078" s="50">
        <f t="shared" si="44"/>
        <v>5</v>
      </c>
      <c r="N1078" s="50" t="s">
        <v>2</v>
      </c>
      <c r="O1078" s="74">
        <f>5/2</f>
        <v>2.5</v>
      </c>
      <c r="P1078" s="50">
        <v>6.3</v>
      </c>
      <c r="Q1078" s="74">
        <v>6.13</v>
      </c>
      <c r="R1078" s="50">
        <v>39</v>
      </c>
      <c r="S1078" s="74">
        <v>11</v>
      </c>
      <c r="T1078" s="50">
        <f>0.1/2</f>
        <v>0.05</v>
      </c>
      <c r="U1078" s="131">
        <f>1/2</f>
        <v>0.5</v>
      </c>
      <c r="V1078" s="50">
        <v>0.16</v>
      </c>
      <c r="W1078" s="74">
        <f>0.04/2</f>
        <v>0.02</v>
      </c>
      <c r="X1078" s="50">
        <f>0.02/2</f>
        <v>0.01</v>
      </c>
      <c r="Y1078" s="74">
        <f>0.013/2</f>
        <v>6.4999999999999997E-3</v>
      </c>
      <c r="Z1078" s="271">
        <v>1</v>
      </c>
      <c r="AA1078" s="271">
        <v>1</v>
      </c>
      <c r="AB1078" s="114">
        <f>5/2</f>
        <v>2.5</v>
      </c>
      <c r="AC1078" s="50">
        <v>15</v>
      </c>
      <c r="AD1078" s="271">
        <v>1</v>
      </c>
    </row>
    <row r="1079" spans="1:30" ht="15" customHeight="1">
      <c r="A1079" s="41" t="s">
        <v>183</v>
      </c>
      <c r="B1079" s="402" t="s">
        <v>3695</v>
      </c>
      <c r="D1079" s="393" t="s">
        <v>861</v>
      </c>
      <c r="E1079" s="394" t="s">
        <v>862</v>
      </c>
      <c r="G1079" s="405" t="s">
        <v>1025</v>
      </c>
      <c r="H1079" s="74">
        <v>3672</v>
      </c>
      <c r="J1079" s="339" t="s">
        <v>863</v>
      </c>
      <c r="K1079" s="51">
        <v>41108</v>
      </c>
      <c r="L1079" s="173">
        <v>41104</v>
      </c>
      <c r="M1079" s="50">
        <f t="shared" si="44"/>
        <v>4</v>
      </c>
      <c r="N1079" s="50" t="s">
        <v>2</v>
      </c>
      <c r="O1079" s="74">
        <f>1.4/2</f>
        <v>0.7</v>
      </c>
      <c r="P1079" s="50">
        <v>4.32</v>
      </c>
      <c r="Q1079" s="74">
        <v>6.11</v>
      </c>
      <c r="R1079" s="50">
        <v>36</v>
      </c>
      <c r="S1079" s="74">
        <v>29</v>
      </c>
      <c r="T1079" s="50">
        <v>0.12</v>
      </c>
      <c r="U1079" s="131">
        <v>1</v>
      </c>
      <c r="V1079" s="50">
        <v>0.34</v>
      </c>
      <c r="W1079" s="74">
        <v>0.03</v>
      </c>
      <c r="X1079" s="50">
        <v>0.10100000000000001</v>
      </c>
      <c r="Y1079" s="74">
        <v>1.2999999999999999E-2</v>
      </c>
    </row>
    <row r="1080" spans="1:30" ht="15" customHeight="1">
      <c r="A1080" s="41" t="s">
        <v>183</v>
      </c>
      <c r="B1080" s="402" t="s">
        <v>3695</v>
      </c>
      <c r="D1080" s="393" t="s">
        <v>861</v>
      </c>
      <c r="E1080" s="394" t="s">
        <v>862</v>
      </c>
      <c r="G1080" s="405" t="s">
        <v>1025</v>
      </c>
      <c r="H1080" s="74">
        <v>3672</v>
      </c>
      <c r="J1080" s="339" t="s">
        <v>864</v>
      </c>
      <c r="K1080" s="51">
        <v>41108</v>
      </c>
      <c r="L1080" s="173">
        <v>41104</v>
      </c>
      <c r="M1080" s="50">
        <f t="shared" si="44"/>
        <v>4</v>
      </c>
      <c r="N1080" s="50" t="s">
        <v>2</v>
      </c>
      <c r="O1080" s="74">
        <v>1.8</v>
      </c>
      <c r="P1080" s="50">
        <v>4.32</v>
      </c>
      <c r="Q1080" s="74">
        <v>6.32</v>
      </c>
      <c r="R1080" s="50">
        <v>110</v>
      </c>
      <c r="S1080" s="74">
        <v>60</v>
      </c>
      <c r="T1080" s="50">
        <v>0.38</v>
      </c>
      <c r="U1080" s="131">
        <v>4.07</v>
      </c>
      <c r="V1080" s="50">
        <v>1.08</v>
      </c>
      <c r="W1080" s="74">
        <v>3.76</v>
      </c>
      <c r="X1080" s="50">
        <v>1.68</v>
      </c>
      <c r="Y1080" s="74">
        <v>8.5999999999999993E-2</v>
      </c>
    </row>
    <row r="1081" spans="1:30" ht="15" customHeight="1">
      <c r="A1081" s="41" t="s">
        <v>183</v>
      </c>
      <c r="B1081" s="402" t="s">
        <v>3695</v>
      </c>
      <c r="D1081" s="393" t="s">
        <v>861</v>
      </c>
      <c r="E1081" s="394" t="s">
        <v>862</v>
      </c>
      <c r="G1081" s="405" t="s">
        <v>1025</v>
      </c>
      <c r="H1081" s="74">
        <v>3672</v>
      </c>
      <c r="J1081" s="339" t="s">
        <v>865</v>
      </c>
      <c r="K1081" s="51">
        <v>41108</v>
      </c>
      <c r="L1081" s="173">
        <v>41104</v>
      </c>
      <c r="M1081" s="50">
        <f t="shared" si="44"/>
        <v>4</v>
      </c>
      <c r="N1081" s="50" t="s">
        <v>2</v>
      </c>
      <c r="O1081" s="74">
        <f>1.4/2</f>
        <v>0.7</v>
      </c>
      <c r="P1081" s="50">
        <v>4.32</v>
      </c>
      <c r="Q1081" s="74">
        <v>5.0199999999999996</v>
      </c>
      <c r="R1081" s="50">
        <v>18</v>
      </c>
      <c r="S1081" s="74">
        <v>19</v>
      </c>
      <c r="T1081" s="50">
        <v>0.11</v>
      </c>
      <c r="U1081" s="131">
        <v>1.17</v>
      </c>
      <c r="V1081" s="50">
        <v>0.31</v>
      </c>
      <c r="W1081" s="74">
        <v>5.6000000000000001E-2</v>
      </c>
      <c r="X1081" s="50">
        <v>0.1</v>
      </c>
      <c r="Y1081" s="74">
        <v>1.2E-2</v>
      </c>
    </row>
    <row r="1082" spans="1:30" ht="15" customHeight="1">
      <c r="A1082" s="41" t="s">
        <v>183</v>
      </c>
      <c r="B1082" s="402" t="s">
        <v>3695</v>
      </c>
      <c r="D1082" s="393" t="s">
        <v>861</v>
      </c>
      <c r="E1082" s="394" t="s">
        <v>862</v>
      </c>
      <c r="G1082" s="405" t="s">
        <v>1025</v>
      </c>
      <c r="H1082" s="74">
        <v>3672</v>
      </c>
      <c r="J1082" s="339" t="s">
        <v>866</v>
      </c>
      <c r="K1082" s="51">
        <v>41108</v>
      </c>
      <c r="L1082" s="173">
        <v>41104</v>
      </c>
      <c r="M1082" s="50">
        <f t="shared" si="44"/>
        <v>4</v>
      </c>
      <c r="N1082" s="50" t="s">
        <v>2</v>
      </c>
      <c r="O1082" s="74">
        <f>1.4/2</f>
        <v>0.7</v>
      </c>
      <c r="P1082" s="50">
        <v>4.32</v>
      </c>
      <c r="Q1082" s="74">
        <v>6.27</v>
      </c>
      <c r="R1082" s="50">
        <v>32</v>
      </c>
      <c r="S1082" s="74">
        <v>14</v>
      </c>
      <c r="T1082" s="50">
        <v>0.05</v>
      </c>
      <c r="U1082" s="131">
        <v>2.0099999999999998</v>
      </c>
      <c r="V1082" s="50">
        <v>0.33</v>
      </c>
      <c r="W1082" s="74">
        <v>5.6000000000000001E-2</v>
      </c>
      <c r="X1082" s="50">
        <v>0.13600000000000001</v>
      </c>
      <c r="Y1082" s="74">
        <v>2E-3</v>
      </c>
    </row>
    <row r="1083" spans="1:30" ht="15" customHeight="1">
      <c r="A1083" s="41" t="s">
        <v>183</v>
      </c>
      <c r="B1083" s="402" t="s">
        <v>3695</v>
      </c>
      <c r="D1083" s="393" t="s">
        <v>861</v>
      </c>
      <c r="E1083" s="394" t="s">
        <v>862</v>
      </c>
      <c r="G1083" s="405" t="s">
        <v>1025</v>
      </c>
      <c r="H1083" s="74">
        <v>3672</v>
      </c>
      <c r="J1083" s="339" t="s">
        <v>867</v>
      </c>
      <c r="K1083" s="51">
        <v>41108</v>
      </c>
      <c r="L1083" s="173">
        <v>41104</v>
      </c>
      <c r="M1083" s="50">
        <f t="shared" si="44"/>
        <v>4</v>
      </c>
      <c r="N1083" s="50" t="s">
        <v>2</v>
      </c>
      <c r="O1083" s="74">
        <f>1.4/2</f>
        <v>0.7</v>
      </c>
      <c r="P1083" s="50">
        <v>4.32</v>
      </c>
      <c r="Q1083" s="74">
        <v>4.4800000000000004</v>
      </c>
      <c r="R1083" s="50">
        <v>110</v>
      </c>
      <c r="S1083" s="74">
        <v>6</v>
      </c>
      <c r="T1083" s="50">
        <v>0.18</v>
      </c>
      <c r="U1083" s="131">
        <v>3.8</v>
      </c>
      <c r="V1083" s="50">
        <v>1.0900000000000001</v>
      </c>
      <c r="W1083" s="74">
        <v>6.8000000000000005E-2</v>
      </c>
      <c r="X1083" s="50">
        <v>1.1000000000000001</v>
      </c>
      <c r="Y1083" s="74">
        <v>6.0000000000000001E-3</v>
      </c>
    </row>
    <row r="1084" spans="1:30" ht="15" customHeight="1">
      <c r="A1084" s="41" t="s">
        <v>183</v>
      </c>
      <c r="B1084" s="402" t="s">
        <v>4276</v>
      </c>
      <c r="C1084" s="113" t="s">
        <v>3789</v>
      </c>
      <c r="D1084" s="393" t="s">
        <v>56</v>
      </c>
      <c r="E1084" s="394" t="s">
        <v>95</v>
      </c>
      <c r="G1084" s="405" t="s">
        <v>3790</v>
      </c>
      <c r="H1084" s="74">
        <v>4111</v>
      </c>
      <c r="I1084" s="50" t="s">
        <v>1</v>
      </c>
      <c r="J1084" s="339" t="s">
        <v>194</v>
      </c>
      <c r="K1084" s="51">
        <v>41156</v>
      </c>
      <c r="L1084" s="173"/>
      <c r="N1084" s="50" t="s">
        <v>2</v>
      </c>
      <c r="O1084" s="74">
        <v>2.2999999999999998</v>
      </c>
      <c r="Q1084" s="74">
        <v>7.16</v>
      </c>
      <c r="R1084" s="50">
        <v>98</v>
      </c>
      <c r="S1084" s="74">
        <v>167</v>
      </c>
      <c r="T1084" s="50">
        <f>0.05/2</f>
        <v>2.5000000000000001E-2</v>
      </c>
      <c r="U1084" s="131">
        <v>0.93600000000000005</v>
      </c>
      <c r="V1084" s="50">
        <v>0.51</v>
      </c>
      <c r="W1084" s="74">
        <v>3.7699999999999997E-2</v>
      </c>
      <c r="X1084" s="50">
        <v>0.184</v>
      </c>
      <c r="Y1084" s="74">
        <v>2.93E-2</v>
      </c>
    </row>
    <row r="1085" spans="1:30" ht="15" customHeight="1">
      <c r="A1085" s="41" t="s">
        <v>183</v>
      </c>
      <c r="B1085" s="402" t="s">
        <v>4276</v>
      </c>
      <c r="C1085" s="113" t="s">
        <v>3789</v>
      </c>
      <c r="D1085" s="393" t="s">
        <v>56</v>
      </c>
      <c r="E1085" s="394" t="s">
        <v>95</v>
      </c>
      <c r="G1085" s="405" t="s">
        <v>3790</v>
      </c>
      <c r="H1085" s="74">
        <v>4111</v>
      </c>
      <c r="I1085" s="50" t="s">
        <v>1</v>
      </c>
      <c r="J1085" s="339" t="s">
        <v>4277</v>
      </c>
      <c r="K1085" s="51">
        <v>41156</v>
      </c>
      <c r="L1085" s="173"/>
      <c r="N1085" s="50" t="s">
        <v>2</v>
      </c>
      <c r="O1085" s="74">
        <v>1</v>
      </c>
      <c r="P1085" s="50">
        <v>6.28</v>
      </c>
      <c r="Q1085" s="74">
        <v>6.23</v>
      </c>
      <c r="R1085" s="50">
        <v>95</v>
      </c>
      <c r="S1085" s="74">
        <v>29</v>
      </c>
      <c r="T1085" s="50">
        <f>0.05/2</f>
        <v>2.5000000000000001E-2</v>
      </c>
      <c r="U1085" s="131">
        <v>1.04</v>
      </c>
      <c r="V1085" s="50">
        <v>0.60399999999999998</v>
      </c>
      <c r="W1085" s="74">
        <v>1.55E-2</v>
      </c>
      <c r="X1085" s="50">
        <v>3.7699999999999997E-2</v>
      </c>
      <c r="Y1085" s="74">
        <v>2.3400000000000001E-2</v>
      </c>
    </row>
    <row r="1086" spans="1:30" ht="15" customHeight="1">
      <c r="A1086" s="41" t="s">
        <v>183</v>
      </c>
      <c r="B1086" s="402" t="s">
        <v>4276</v>
      </c>
      <c r="C1086" s="113" t="s">
        <v>3782</v>
      </c>
      <c r="D1086" s="393" t="s">
        <v>1896</v>
      </c>
      <c r="E1086" s="394" t="s">
        <v>3783</v>
      </c>
      <c r="G1086" s="405" t="s">
        <v>3784</v>
      </c>
      <c r="H1086" s="74">
        <v>4111</v>
      </c>
      <c r="I1086" s="50" t="s">
        <v>1</v>
      </c>
      <c r="J1086" s="339" t="s">
        <v>4278</v>
      </c>
      <c r="K1086" s="51">
        <v>41149</v>
      </c>
      <c r="L1086" s="173">
        <v>41148</v>
      </c>
      <c r="M1086" s="50">
        <f>K1086-L1086</f>
        <v>1</v>
      </c>
      <c r="N1086" s="50" t="s">
        <v>2</v>
      </c>
      <c r="O1086" s="74">
        <f>0.5/2</f>
        <v>0.25</v>
      </c>
      <c r="Q1086" s="74">
        <v>6.54</v>
      </c>
      <c r="R1086" s="50">
        <v>29</v>
      </c>
      <c r="S1086" s="74">
        <v>46</v>
      </c>
      <c r="T1086" s="50">
        <v>0.09</v>
      </c>
      <c r="U1086" s="131">
        <v>0.78800000000000003</v>
      </c>
      <c r="V1086" s="50">
        <v>0.65600000000000003</v>
      </c>
      <c r="W1086" s="74">
        <v>6.59E-2</v>
      </c>
      <c r="X1086" s="50">
        <v>0.158</v>
      </c>
      <c r="Y1086" s="74">
        <v>2.3300000000000001E-2</v>
      </c>
    </row>
    <row r="1087" spans="1:30" ht="15" customHeight="1">
      <c r="A1087" s="41" t="s">
        <v>183</v>
      </c>
      <c r="B1087" s="402" t="s">
        <v>4276</v>
      </c>
      <c r="C1087" s="113" t="s">
        <v>3782</v>
      </c>
      <c r="D1087" s="393" t="s">
        <v>1896</v>
      </c>
      <c r="E1087" s="394" t="s">
        <v>3783</v>
      </c>
      <c r="G1087" s="405" t="s">
        <v>3784</v>
      </c>
      <c r="H1087" s="74">
        <v>4111</v>
      </c>
      <c r="I1087" s="50" t="s">
        <v>1</v>
      </c>
      <c r="J1087" s="339" t="s">
        <v>4279</v>
      </c>
      <c r="K1087" s="51">
        <v>41148</v>
      </c>
      <c r="L1087" s="173"/>
      <c r="N1087" s="50" t="s">
        <v>2</v>
      </c>
      <c r="O1087" s="74">
        <v>1.68</v>
      </c>
      <c r="Q1087" s="74">
        <v>6.16</v>
      </c>
      <c r="R1087" s="50">
        <v>12</v>
      </c>
      <c r="S1087" s="74">
        <v>18</v>
      </c>
      <c r="T1087" s="50">
        <f>0.05/2</f>
        <v>2.5000000000000001E-2</v>
      </c>
      <c r="U1087" s="131">
        <v>0.70599999999999996</v>
      </c>
      <c r="V1087" s="50">
        <v>0.54800000000000004</v>
      </c>
      <c r="W1087" s="74">
        <v>2.4E-2</v>
      </c>
      <c r="X1087" s="50">
        <v>0.35699999999999998</v>
      </c>
      <c r="Y1087" s="74">
        <v>6.7499999999999999E-3</v>
      </c>
      <c r="Z1087" s="271">
        <v>0.48299999999999998</v>
      </c>
      <c r="AA1087" s="271">
        <v>0.39200000000000002</v>
      </c>
      <c r="AD1087" s="271">
        <v>0</v>
      </c>
    </row>
    <row r="1088" spans="1:30" ht="15" customHeight="1">
      <c r="A1088" s="41" t="s">
        <v>183</v>
      </c>
      <c r="B1088" s="402" t="s">
        <v>4276</v>
      </c>
      <c r="C1088" s="113" t="s">
        <v>3782</v>
      </c>
      <c r="D1088" s="393" t="s">
        <v>1896</v>
      </c>
      <c r="E1088" s="394" t="s">
        <v>3783</v>
      </c>
      <c r="G1088" s="405" t="s">
        <v>3784</v>
      </c>
      <c r="H1088" s="74">
        <v>4111</v>
      </c>
      <c r="I1088" s="50" t="s">
        <v>1</v>
      </c>
      <c r="J1088" s="339" t="s">
        <v>4280</v>
      </c>
      <c r="K1088" s="51">
        <v>41149</v>
      </c>
      <c r="L1088" s="173">
        <v>41148</v>
      </c>
      <c r="M1088" s="50">
        <f>K1088-L1088</f>
        <v>1</v>
      </c>
      <c r="N1088" s="50" t="s">
        <v>2</v>
      </c>
      <c r="O1088" s="74">
        <v>0.82</v>
      </c>
      <c r="Q1088" s="74">
        <v>6.76</v>
      </c>
      <c r="R1088" s="50">
        <v>80</v>
      </c>
      <c r="S1088" s="74">
        <v>11</v>
      </c>
      <c r="T1088" s="50">
        <v>0.14000000000000001</v>
      </c>
      <c r="U1088" s="131">
        <v>0.872</v>
      </c>
      <c r="V1088" s="50">
        <v>1</v>
      </c>
      <c r="W1088" s="74">
        <v>2.24E-2</v>
      </c>
      <c r="X1088" s="50">
        <v>0.115</v>
      </c>
      <c r="Y1088" s="74">
        <f>0.003/2</f>
        <v>1.5E-3</v>
      </c>
    </row>
    <row r="1089" spans="1:79" ht="15" customHeight="1">
      <c r="A1089" s="41" t="s">
        <v>183</v>
      </c>
      <c r="B1089" s="402" t="s">
        <v>4276</v>
      </c>
      <c r="C1089" s="113" t="s">
        <v>3782</v>
      </c>
      <c r="D1089" s="393" t="s">
        <v>1896</v>
      </c>
      <c r="E1089" s="394" t="s">
        <v>3783</v>
      </c>
      <c r="G1089" s="405" t="s">
        <v>3784</v>
      </c>
      <c r="H1089" s="74">
        <v>4111</v>
      </c>
      <c r="I1089" s="50" t="s">
        <v>1</v>
      </c>
      <c r="J1089" s="339" t="s">
        <v>1617</v>
      </c>
      <c r="K1089" s="51">
        <v>41148</v>
      </c>
      <c r="L1089" s="173"/>
      <c r="N1089" s="50" t="s">
        <v>2</v>
      </c>
      <c r="O1089" s="74">
        <v>0.65</v>
      </c>
      <c r="Q1089" s="74">
        <v>6.06</v>
      </c>
      <c r="R1089" s="50">
        <f>10/2</f>
        <v>5</v>
      </c>
      <c r="S1089" s="74">
        <v>2</v>
      </c>
      <c r="T1089" s="50">
        <f>0.05/2</f>
        <v>2.5000000000000001E-2</v>
      </c>
      <c r="U1089" s="131">
        <v>0.39400000000000002</v>
      </c>
      <c r="V1089" s="50">
        <v>0.317</v>
      </c>
      <c r="W1089" s="74">
        <f>0.005/2</f>
        <v>2.5000000000000001E-3</v>
      </c>
      <c r="X1089" s="50">
        <v>0.152</v>
      </c>
      <c r="Y1089" s="74">
        <f>0.003/2</f>
        <v>1.5E-3</v>
      </c>
      <c r="Z1089" s="271">
        <v>0.86099999999999999</v>
      </c>
      <c r="AA1089" s="271">
        <v>0.62</v>
      </c>
      <c r="AB1089" s="114">
        <f>2/2</f>
        <v>1</v>
      </c>
      <c r="AC1089" s="50">
        <v>5</v>
      </c>
      <c r="AD1089" s="271">
        <v>0</v>
      </c>
    </row>
    <row r="1090" spans="1:79" ht="15" customHeight="1">
      <c r="A1090" s="41" t="s">
        <v>183</v>
      </c>
      <c r="B1090" s="402" t="s">
        <v>4281</v>
      </c>
      <c r="C1090" s="113" t="s">
        <v>490</v>
      </c>
      <c r="D1090" s="393" t="s">
        <v>480</v>
      </c>
      <c r="E1090" s="394" t="s">
        <v>44</v>
      </c>
      <c r="G1090" s="405" t="s">
        <v>491</v>
      </c>
      <c r="H1090" s="74">
        <v>3724</v>
      </c>
      <c r="I1090" s="50" t="s">
        <v>1</v>
      </c>
      <c r="J1090" s="61" t="s">
        <v>249</v>
      </c>
      <c r="K1090" s="51">
        <v>41131</v>
      </c>
      <c r="L1090" s="173">
        <v>41126</v>
      </c>
      <c r="M1090" s="50">
        <f t="shared" ref="M1090:M1097" si="45">K1090-L1090</f>
        <v>5</v>
      </c>
      <c r="N1090" s="50" t="s">
        <v>2</v>
      </c>
      <c r="O1090" s="74">
        <f>1.7/2</f>
        <v>0.85</v>
      </c>
      <c r="P1090" s="50">
        <v>5.44</v>
      </c>
      <c r="Q1090" s="74">
        <v>7.65</v>
      </c>
      <c r="R1090" s="50">
        <f>20/2</f>
        <v>10</v>
      </c>
      <c r="S1090" s="74">
        <v>12.4</v>
      </c>
      <c r="T1090" s="50">
        <v>0.12</v>
      </c>
      <c r="U1090" s="131">
        <f>1/2</f>
        <v>0.5</v>
      </c>
      <c r="V1090" s="50">
        <v>0.71</v>
      </c>
      <c r="W1090" s="74">
        <f>0.005/2</f>
        <v>2.5000000000000001E-3</v>
      </c>
      <c r="X1090" s="50">
        <f>0.01/2</f>
        <v>5.0000000000000001E-3</v>
      </c>
      <c r="Y1090" s="74">
        <f>0.005/2</f>
        <v>2.5000000000000001E-3</v>
      </c>
    </row>
    <row r="1091" spans="1:79" ht="15" customHeight="1">
      <c r="A1091" s="41" t="s">
        <v>183</v>
      </c>
      <c r="B1091" s="402" t="s">
        <v>4281</v>
      </c>
      <c r="C1091" s="113" t="s">
        <v>490</v>
      </c>
      <c r="D1091" s="393" t="s">
        <v>480</v>
      </c>
      <c r="E1091" s="394" t="s">
        <v>44</v>
      </c>
      <c r="G1091" s="405" t="s">
        <v>491</v>
      </c>
      <c r="H1091" s="74">
        <v>3724</v>
      </c>
      <c r="I1091" s="50" t="s">
        <v>1</v>
      </c>
      <c r="J1091" s="61" t="s">
        <v>445</v>
      </c>
      <c r="K1091" s="51">
        <v>41131</v>
      </c>
      <c r="L1091" s="173">
        <v>41126</v>
      </c>
      <c r="M1091" s="50">
        <f t="shared" si="45"/>
        <v>5</v>
      </c>
      <c r="N1091" s="50" t="s">
        <v>2</v>
      </c>
      <c r="O1091" s="74">
        <f>1.8/2</f>
        <v>0.9</v>
      </c>
      <c r="P1091" s="50">
        <v>5.44</v>
      </c>
      <c r="Q1091" s="74">
        <v>6.71</v>
      </c>
      <c r="R1091" s="50">
        <v>69</v>
      </c>
      <c r="S1091" s="74">
        <v>91</v>
      </c>
      <c r="T1091" s="50">
        <v>0.19800000000000001</v>
      </c>
      <c r="U1091" s="131">
        <v>1.8</v>
      </c>
      <c r="V1091" s="50">
        <v>0.6</v>
      </c>
      <c r="W1091" s="74">
        <v>1.4E-2</v>
      </c>
      <c r="X1091" s="50">
        <v>7.4999999999999997E-2</v>
      </c>
      <c r="Y1091" s="74">
        <v>1.5299999999999999E-2</v>
      </c>
      <c r="AE1091" s="50">
        <v>15000</v>
      </c>
    </row>
    <row r="1092" spans="1:79" ht="15" customHeight="1">
      <c r="A1092" s="41" t="s">
        <v>183</v>
      </c>
      <c r="B1092" s="402" t="s">
        <v>4281</v>
      </c>
      <c r="C1092" s="113" t="s">
        <v>490</v>
      </c>
      <c r="D1092" s="393" t="s">
        <v>480</v>
      </c>
      <c r="E1092" s="394" t="s">
        <v>44</v>
      </c>
      <c r="G1092" s="405" t="s">
        <v>491</v>
      </c>
      <c r="H1092" s="74">
        <v>3724</v>
      </c>
      <c r="I1092" s="50" t="s">
        <v>1</v>
      </c>
      <c r="J1092" s="61" t="s">
        <v>492</v>
      </c>
      <c r="K1092" s="51">
        <v>41131</v>
      </c>
      <c r="L1092" s="173">
        <v>41126</v>
      </c>
      <c r="M1092" s="50">
        <f t="shared" si="45"/>
        <v>5</v>
      </c>
      <c r="N1092" s="50" t="s">
        <v>2</v>
      </c>
      <c r="O1092" s="74">
        <f t="shared" ref="O1092:O1097" si="46">1.7/2</f>
        <v>0.85</v>
      </c>
      <c r="P1092" s="50">
        <v>5.44</v>
      </c>
      <c r="Q1092" s="74">
        <v>6.24</v>
      </c>
      <c r="R1092" s="50">
        <v>48</v>
      </c>
      <c r="S1092" s="74">
        <v>19.8</v>
      </c>
      <c r="T1092" s="50">
        <v>0.13300000000000001</v>
      </c>
      <c r="U1092" s="131">
        <v>1.3</v>
      </c>
      <c r="V1092" s="50">
        <v>0.68</v>
      </c>
      <c r="W1092" s="74">
        <v>1.4999999999999999E-2</v>
      </c>
      <c r="X1092" s="50">
        <v>0.09</v>
      </c>
      <c r="Y1092" s="74">
        <v>2.8500000000000001E-2</v>
      </c>
    </row>
    <row r="1093" spans="1:79" ht="15" customHeight="1">
      <c r="A1093" s="41" t="s">
        <v>183</v>
      </c>
      <c r="B1093" s="402" t="s">
        <v>4281</v>
      </c>
      <c r="C1093" s="113" t="s">
        <v>490</v>
      </c>
      <c r="D1093" s="393" t="s">
        <v>480</v>
      </c>
      <c r="E1093" s="394" t="s">
        <v>44</v>
      </c>
      <c r="G1093" s="405" t="s">
        <v>491</v>
      </c>
      <c r="H1093" s="74">
        <v>3724</v>
      </c>
      <c r="I1093" s="50" t="s">
        <v>1</v>
      </c>
      <c r="J1093" s="61" t="s">
        <v>493</v>
      </c>
      <c r="K1093" s="51">
        <v>41131</v>
      </c>
      <c r="L1093" s="173">
        <v>41126</v>
      </c>
      <c r="M1093" s="50">
        <f t="shared" si="45"/>
        <v>5</v>
      </c>
      <c r="N1093" s="50" t="s">
        <v>2</v>
      </c>
      <c r="O1093" s="74">
        <f t="shared" si="46"/>
        <v>0.85</v>
      </c>
      <c r="P1093" s="50">
        <v>5.44</v>
      </c>
      <c r="Q1093" s="74">
        <v>6.56</v>
      </c>
      <c r="R1093" s="50">
        <v>25</v>
      </c>
      <c r="S1093" s="74">
        <v>6.5</v>
      </c>
      <c r="T1093" s="50">
        <v>0.23599999999999999</v>
      </c>
      <c r="U1093" s="131">
        <f>1/2</f>
        <v>0.5</v>
      </c>
      <c r="V1093" s="50">
        <v>0.63</v>
      </c>
      <c r="W1093" s="74">
        <f>0.005/2</f>
        <v>2.5000000000000001E-3</v>
      </c>
      <c r="X1093" s="50">
        <v>0.03</v>
      </c>
      <c r="Y1093" s="74">
        <f>0.005/2</f>
        <v>2.5000000000000001E-3</v>
      </c>
    </row>
    <row r="1094" spans="1:79" ht="15" customHeight="1">
      <c r="A1094" s="41" t="s">
        <v>183</v>
      </c>
      <c r="B1094" s="402" t="s">
        <v>4281</v>
      </c>
      <c r="C1094" s="113" t="s">
        <v>490</v>
      </c>
      <c r="D1094" s="393" t="s">
        <v>480</v>
      </c>
      <c r="E1094" s="394" t="s">
        <v>44</v>
      </c>
      <c r="G1094" s="405" t="s">
        <v>491</v>
      </c>
      <c r="H1094" s="74">
        <v>3724</v>
      </c>
      <c r="I1094" s="50" t="s">
        <v>1</v>
      </c>
      <c r="J1094" s="61" t="s">
        <v>494</v>
      </c>
      <c r="K1094" s="51">
        <v>41131</v>
      </c>
      <c r="L1094" s="173">
        <v>41126</v>
      </c>
      <c r="M1094" s="50">
        <f t="shared" si="45"/>
        <v>5</v>
      </c>
      <c r="N1094" s="50" t="s">
        <v>2</v>
      </c>
      <c r="O1094" s="74">
        <f t="shared" si="46"/>
        <v>0.85</v>
      </c>
      <c r="P1094" s="50">
        <v>5.44</v>
      </c>
      <c r="Q1094" s="74">
        <v>6.31</v>
      </c>
      <c r="R1094" s="50">
        <v>30</v>
      </c>
      <c r="S1094" s="74">
        <v>10.8</v>
      </c>
      <c r="T1094" s="50">
        <v>0.16400000000000001</v>
      </c>
      <c r="U1094" s="131">
        <v>1</v>
      </c>
      <c r="V1094" s="50">
        <v>0.48</v>
      </c>
      <c r="W1094" s="74">
        <f>0.005/2</f>
        <v>2.5000000000000001E-3</v>
      </c>
      <c r="X1094" s="50">
        <v>1.6E-2</v>
      </c>
      <c r="Y1094" s="74">
        <f>0.005/2</f>
        <v>2.5000000000000001E-3</v>
      </c>
    </row>
    <row r="1095" spans="1:79" ht="15" customHeight="1">
      <c r="A1095" s="41" t="s">
        <v>183</v>
      </c>
      <c r="B1095" s="402" t="s">
        <v>4281</v>
      </c>
      <c r="C1095" s="113" t="s">
        <v>490</v>
      </c>
      <c r="D1095" s="393" t="s">
        <v>480</v>
      </c>
      <c r="E1095" s="394" t="s">
        <v>44</v>
      </c>
      <c r="G1095" s="405" t="s">
        <v>491</v>
      </c>
      <c r="H1095" s="74">
        <v>3724</v>
      </c>
      <c r="I1095" s="50" t="s">
        <v>1</v>
      </c>
      <c r="J1095" s="61" t="s">
        <v>495</v>
      </c>
      <c r="K1095" s="51">
        <v>41131</v>
      </c>
      <c r="L1095" s="173">
        <v>41126</v>
      </c>
      <c r="M1095" s="50">
        <f t="shared" si="45"/>
        <v>5</v>
      </c>
      <c r="N1095" s="50" t="s">
        <v>2</v>
      </c>
      <c r="O1095" s="74">
        <f t="shared" si="46"/>
        <v>0.85</v>
      </c>
      <c r="P1095" s="50">
        <v>5.44</v>
      </c>
      <c r="Q1095" s="74">
        <v>6.6</v>
      </c>
      <c r="R1095" s="50">
        <v>23</v>
      </c>
      <c r="S1095" s="74">
        <v>19.2</v>
      </c>
      <c r="T1095" s="50">
        <v>8.6999999999999994E-2</v>
      </c>
      <c r="U1095" s="131">
        <f>1/2</f>
        <v>0.5</v>
      </c>
      <c r="V1095" s="50">
        <v>0.83</v>
      </c>
      <c r="W1095" s="74">
        <v>6.0000000000000001E-3</v>
      </c>
      <c r="X1095" s="50">
        <v>2.5999999999999999E-2</v>
      </c>
      <c r="Y1095" s="74">
        <v>9.9000000000000008E-3</v>
      </c>
    </row>
    <row r="1096" spans="1:79" ht="15" customHeight="1">
      <c r="A1096" s="41" t="s">
        <v>183</v>
      </c>
      <c r="B1096" s="402" t="s">
        <v>4281</v>
      </c>
      <c r="C1096" s="113" t="s">
        <v>490</v>
      </c>
      <c r="D1096" s="393" t="s">
        <v>480</v>
      </c>
      <c r="E1096" s="394" t="s">
        <v>44</v>
      </c>
      <c r="G1096" s="405" t="s">
        <v>491</v>
      </c>
      <c r="H1096" s="74">
        <v>3724</v>
      </c>
      <c r="I1096" s="50" t="s">
        <v>1</v>
      </c>
      <c r="J1096" s="61" t="s">
        <v>496</v>
      </c>
      <c r="K1096" s="51">
        <v>41131</v>
      </c>
      <c r="L1096" s="173">
        <v>41126</v>
      </c>
      <c r="M1096" s="50">
        <f t="shared" si="45"/>
        <v>5</v>
      </c>
      <c r="N1096" s="50" t="s">
        <v>2</v>
      </c>
      <c r="O1096" s="74">
        <f t="shared" si="46"/>
        <v>0.85</v>
      </c>
      <c r="P1096" s="50">
        <v>5.44</v>
      </c>
      <c r="Q1096" s="74">
        <v>6.26</v>
      </c>
      <c r="R1096" s="50">
        <v>30</v>
      </c>
      <c r="S1096" s="74">
        <v>8.8000000000000007</v>
      </c>
      <c r="T1096" s="50">
        <v>5.7000000000000002E-2</v>
      </c>
      <c r="U1096" s="131">
        <f>1/2</f>
        <v>0.5</v>
      </c>
      <c r="V1096" s="50">
        <v>0.59</v>
      </c>
      <c r="W1096" s="74">
        <v>6.0000000000000001E-3</v>
      </c>
      <c r="X1096" s="50">
        <v>7.9000000000000001E-2</v>
      </c>
      <c r="Y1096" s="74">
        <v>8.0000000000000002E-3</v>
      </c>
    </row>
    <row r="1097" spans="1:79" ht="15" customHeight="1">
      <c r="A1097" s="41" t="s">
        <v>183</v>
      </c>
      <c r="B1097" s="402" t="s">
        <v>4281</v>
      </c>
      <c r="C1097" s="113" t="s">
        <v>490</v>
      </c>
      <c r="D1097" s="393" t="s">
        <v>480</v>
      </c>
      <c r="E1097" s="394" t="s">
        <v>44</v>
      </c>
      <c r="G1097" s="405" t="s">
        <v>491</v>
      </c>
      <c r="H1097" s="74">
        <v>3724</v>
      </c>
      <c r="I1097" s="50" t="s">
        <v>1</v>
      </c>
      <c r="J1097" s="61" t="s">
        <v>497</v>
      </c>
      <c r="K1097" s="51">
        <v>41131</v>
      </c>
      <c r="L1097" s="173">
        <v>41126</v>
      </c>
      <c r="M1097" s="50">
        <f t="shared" si="45"/>
        <v>5</v>
      </c>
      <c r="N1097" s="50" t="s">
        <v>2</v>
      </c>
      <c r="O1097" s="74">
        <f t="shared" si="46"/>
        <v>0.85</v>
      </c>
      <c r="P1097" s="50">
        <v>5.44</v>
      </c>
      <c r="Q1097" s="74">
        <v>6.44</v>
      </c>
      <c r="R1097" s="50">
        <f>20/2</f>
        <v>10</v>
      </c>
      <c r="S1097" s="74">
        <v>2</v>
      </c>
      <c r="T1097" s="50">
        <v>0.17799999999999999</v>
      </c>
      <c r="U1097" s="131">
        <f>1/2</f>
        <v>0.5</v>
      </c>
      <c r="V1097" s="50">
        <f>0.46/2</f>
        <v>0.23</v>
      </c>
      <c r="W1097" s="74">
        <f>0.005/2</f>
        <v>2.5000000000000001E-3</v>
      </c>
      <c r="X1097" s="50">
        <v>6.9000000000000006E-2</v>
      </c>
      <c r="Y1097" s="74">
        <f>0.005/2</f>
        <v>2.5000000000000001E-3</v>
      </c>
    </row>
    <row r="1098" spans="1:79" s="400" customFormat="1" ht="15" customHeight="1">
      <c r="A1098" s="41" t="s">
        <v>183</v>
      </c>
      <c r="B1098" s="402" t="s">
        <v>4249</v>
      </c>
      <c r="C1098" s="113"/>
      <c r="D1098" s="393" t="s">
        <v>234</v>
      </c>
      <c r="E1098" s="394"/>
      <c r="F1098" s="402"/>
      <c r="G1098" s="405" t="s">
        <v>4248</v>
      </c>
      <c r="H1098" s="404">
        <v>3271</v>
      </c>
      <c r="I1098" s="402" t="s">
        <v>1</v>
      </c>
      <c r="J1098" s="406"/>
      <c r="K1098" s="403">
        <v>41073</v>
      </c>
      <c r="L1098" s="398"/>
      <c r="M1098" s="402"/>
      <c r="N1098" s="402" t="s">
        <v>2</v>
      </c>
      <c r="O1098" s="404">
        <f>2.5/2</f>
        <v>1.25</v>
      </c>
      <c r="P1098" s="402">
        <v>6.88</v>
      </c>
      <c r="Q1098" s="404">
        <v>8.2100000000000009</v>
      </c>
      <c r="R1098" s="402">
        <v>64</v>
      </c>
      <c r="S1098" s="404">
        <v>46</v>
      </c>
      <c r="T1098" s="402">
        <f>0.05/2</f>
        <v>2.5000000000000001E-2</v>
      </c>
      <c r="U1098" s="395">
        <v>0.25</v>
      </c>
      <c r="V1098" s="402">
        <f>0.25/2</f>
        <v>0.125</v>
      </c>
      <c r="W1098" s="404">
        <v>0.05</v>
      </c>
      <c r="X1098" s="402">
        <v>0.22</v>
      </c>
      <c r="Y1098" s="404">
        <v>4.0000000000000001E-3</v>
      </c>
      <c r="Z1098" s="399"/>
      <c r="AA1098" s="399"/>
      <c r="AB1098" s="394"/>
      <c r="AC1098" s="402"/>
      <c r="AD1098" s="399"/>
      <c r="AE1098" s="402"/>
      <c r="AF1098" s="391"/>
      <c r="AG1098" s="394"/>
      <c r="AH1098" s="394"/>
      <c r="AI1098" s="394"/>
      <c r="AJ1098" s="394"/>
      <c r="AK1098" s="394"/>
      <c r="AL1098" s="394"/>
      <c r="AM1098" s="394"/>
      <c r="AN1098" s="394"/>
      <c r="AO1098" s="394"/>
      <c r="AP1098" s="394"/>
      <c r="AQ1098" s="394"/>
      <c r="AR1098" s="394"/>
      <c r="AS1098" s="402"/>
      <c r="AT1098" s="404"/>
      <c r="AU1098" s="394"/>
      <c r="AV1098" s="394"/>
      <c r="AW1098" s="394"/>
      <c r="AX1098" s="5"/>
      <c r="AY1098" s="5"/>
      <c r="AZ1098" s="5"/>
      <c r="BA1098" s="5"/>
      <c r="BB1098" s="5"/>
      <c r="BC1098" s="5"/>
      <c r="BD1098" s="5"/>
      <c r="BE1098" s="5"/>
      <c r="BF1098" s="5"/>
      <c r="BG1098" s="5"/>
      <c r="BH1098" s="5"/>
      <c r="BI1098" s="5"/>
      <c r="BJ1098" s="5"/>
      <c r="BK1098" s="5"/>
      <c r="BL1098" s="5"/>
      <c r="BM1098" s="5"/>
      <c r="BN1098" s="5"/>
      <c r="BO1098" s="5"/>
      <c r="BP1098" s="5"/>
      <c r="BQ1098" s="5"/>
      <c r="BR1098" s="5"/>
      <c r="BS1098" s="5"/>
      <c r="BT1098" s="5"/>
      <c r="BU1098" s="5"/>
      <c r="BV1098" s="5"/>
      <c r="BW1098" s="5"/>
      <c r="BX1098" s="5"/>
      <c r="BY1098" s="5"/>
      <c r="BZ1098" s="5"/>
      <c r="CA1098" s="5"/>
    </row>
    <row r="1099" spans="1:79" s="400" customFormat="1" ht="15" customHeight="1">
      <c r="A1099" s="41" t="s">
        <v>183</v>
      </c>
      <c r="B1099" s="402" t="s">
        <v>4249</v>
      </c>
      <c r="C1099" s="113"/>
      <c r="D1099" s="393" t="s">
        <v>234</v>
      </c>
      <c r="E1099" s="394"/>
      <c r="F1099" s="402"/>
      <c r="G1099" s="405" t="s">
        <v>4248</v>
      </c>
      <c r="H1099" s="404">
        <v>3271</v>
      </c>
      <c r="I1099" s="402" t="s">
        <v>1</v>
      </c>
      <c r="J1099" s="406"/>
      <c r="K1099" s="403">
        <v>41184</v>
      </c>
      <c r="L1099" s="398"/>
      <c r="M1099" s="402"/>
      <c r="N1099" s="402" t="s">
        <v>2</v>
      </c>
      <c r="O1099" s="404">
        <f>2.5/2</f>
        <v>1.25</v>
      </c>
      <c r="P1099" s="402">
        <v>6.33</v>
      </c>
      <c r="Q1099" s="404">
        <v>7.32</v>
      </c>
      <c r="R1099" s="402">
        <v>44</v>
      </c>
      <c r="S1099" s="404">
        <v>29.5</v>
      </c>
      <c r="T1099" s="402">
        <v>0.15</v>
      </c>
      <c r="U1099" s="395">
        <v>1.33</v>
      </c>
      <c r="V1099" s="402">
        <v>0.28000000000000003</v>
      </c>
      <c r="W1099" s="404">
        <v>0.02</v>
      </c>
      <c r="X1099" s="402">
        <v>0.01</v>
      </c>
      <c r="Y1099" s="404">
        <f>0.004/2</f>
        <v>2E-3</v>
      </c>
      <c r="Z1099" s="399">
        <v>1</v>
      </c>
      <c r="AA1099" s="399">
        <v>1</v>
      </c>
      <c r="AB1099" s="394">
        <v>122</v>
      </c>
      <c r="AC1099" s="402">
        <v>278</v>
      </c>
      <c r="AD1099" s="399">
        <v>1</v>
      </c>
      <c r="AE1099" s="402">
        <v>35</v>
      </c>
      <c r="AF1099" s="391"/>
      <c r="AG1099" s="394"/>
      <c r="AH1099" s="394"/>
      <c r="AI1099" s="394"/>
      <c r="AJ1099" s="394"/>
      <c r="AK1099" s="394"/>
      <c r="AL1099" s="394"/>
      <c r="AM1099" s="394"/>
      <c r="AN1099" s="394"/>
      <c r="AO1099" s="394"/>
      <c r="AP1099" s="394"/>
      <c r="AQ1099" s="394"/>
      <c r="AR1099" s="394"/>
      <c r="AS1099" s="402"/>
      <c r="AT1099" s="404"/>
      <c r="AU1099" s="394"/>
      <c r="AV1099" s="394"/>
      <c r="AW1099" s="394"/>
      <c r="AX1099" s="5"/>
      <c r="AY1099" s="5"/>
      <c r="AZ1099" s="5"/>
      <c r="BA1099" s="5"/>
      <c r="BB1099" s="5"/>
      <c r="BC1099" s="5"/>
      <c r="BD1099" s="5"/>
      <c r="BE1099" s="5"/>
      <c r="BF1099" s="5"/>
      <c r="BG1099" s="5"/>
      <c r="BH1099" s="5"/>
      <c r="BI1099" s="5"/>
      <c r="BJ1099" s="5"/>
      <c r="BK1099" s="5"/>
      <c r="BL1099" s="5"/>
      <c r="BM1099" s="5"/>
      <c r="BN1099" s="5"/>
      <c r="BO1099" s="5"/>
      <c r="BP1099" s="5"/>
      <c r="BQ1099" s="5"/>
      <c r="BR1099" s="5"/>
      <c r="BS1099" s="5"/>
      <c r="BT1099" s="5"/>
      <c r="BU1099" s="5"/>
      <c r="BV1099" s="5"/>
      <c r="BW1099" s="5"/>
      <c r="BX1099" s="5"/>
      <c r="BY1099" s="5"/>
      <c r="BZ1099" s="5"/>
      <c r="CA1099" s="5"/>
    </row>
    <row r="1100" spans="1:79" s="400" customFormat="1" ht="15" customHeight="1">
      <c r="A1100" s="41" t="s">
        <v>183</v>
      </c>
      <c r="B1100" s="402" t="s">
        <v>4249</v>
      </c>
      <c r="C1100" s="113"/>
      <c r="D1100" s="393" t="s">
        <v>234</v>
      </c>
      <c r="E1100" s="394"/>
      <c r="F1100" s="402"/>
      <c r="G1100" s="405" t="s">
        <v>4248</v>
      </c>
      <c r="H1100" s="404">
        <v>3271</v>
      </c>
      <c r="I1100" s="402" t="s">
        <v>1</v>
      </c>
      <c r="J1100" s="406"/>
      <c r="K1100" s="403">
        <v>41345</v>
      </c>
      <c r="L1100" s="398"/>
      <c r="M1100" s="402"/>
      <c r="N1100" s="402" t="s">
        <v>2</v>
      </c>
      <c r="O1100" s="404">
        <f>2.5/2</f>
        <v>1.25</v>
      </c>
      <c r="P1100" s="402">
        <v>7.57</v>
      </c>
      <c r="Q1100" s="404">
        <v>7.35</v>
      </c>
      <c r="R1100" s="402">
        <f>2/2</f>
        <v>1</v>
      </c>
      <c r="S1100" s="404">
        <v>24.5</v>
      </c>
      <c r="T1100" s="402">
        <v>0.14000000000000001</v>
      </c>
      <c r="U1100" s="395">
        <v>0.25</v>
      </c>
      <c r="V1100" s="402">
        <v>0.28000000000000003</v>
      </c>
      <c r="W1100" s="404">
        <v>0.01</v>
      </c>
      <c r="X1100" s="402">
        <v>0.03</v>
      </c>
      <c r="Y1100" s="404">
        <f>0.004/2</f>
        <v>2E-3</v>
      </c>
      <c r="Z1100" s="399"/>
      <c r="AA1100" s="399"/>
      <c r="AB1100" s="394"/>
      <c r="AC1100" s="402"/>
      <c r="AD1100" s="399"/>
      <c r="AE1100" s="402">
        <v>0</v>
      </c>
      <c r="AF1100" s="391"/>
      <c r="AG1100" s="394"/>
      <c r="AH1100" s="394"/>
      <c r="AI1100" s="394"/>
      <c r="AJ1100" s="394"/>
      <c r="AK1100" s="394"/>
      <c r="AL1100" s="394"/>
      <c r="AM1100" s="394"/>
      <c r="AN1100" s="394"/>
      <c r="AO1100" s="394"/>
      <c r="AP1100" s="394"/>
      <c r="AQ1100" s="394"/>
      <c r="AR1100" s="394"/>
      <c r="AS1100" s="402"/>
      <c r="AT1100" s="404"/>
      <c r="AU1100" s="394"/>
      <c r="AV1100" s="394"/>
      <c r="AW1100" s="394"/>
      <c r="AX1100" s="5"/>
      <c r="AY1100" s="5"/>
      <c r="AZ1100" s="5"/>
      <c r="BA1100" s="5"/>
      <c r="BB1100" s="5"/>
      <c r="BC1100" s="5"/>
      <c r="BD1100" s="5"/>
      <c r="BE1100" s="5"/>
      <c r="BF1100" s="5"/>
      <c r="BG1100" s="5"/>
      <c r="BH1100" s="5"/>
      <c r="BI1100" s="5"/>
      <c r="BJ1100" s="5"/>
      <c r="BK1100" s="5"/>
      <c r="BL1100" s="5"/>
      <c r="BM1100" s="5"/>
      <c r="BN1100" s="5"/>
      <c r="BO1100" s="5"/>
      <c r="BP1100" s="5"/>
      <c r="BQ1100" s="5"/>
      <c r="BR1100" s="5"/>
      <c r="BS1100" s="5"/>
      <c r="BT1100" s="5"/>
      <c r="BU1100" s="5"/>
      <c r="BV1100" s="5"/>
      <c r="BW1100" s="5"/>
      <c r="BX1100" s="5"/>
      <c r="BY1100" s="5"/>
      <c r="BZ1100" s="5"/>
      <c r="CA1100" s="5"/>
    </row>
    <row r="1101" spans="1:79" ht="15" customHeight="1">
      <c r="A1101" s="41" t="s">
        <v>183</v>
      </c>
      <c r="B1101" s="385" t="s">
        <v>3216</v>
      </c>
      <c r="C1101" s="18" t="s">
        <v>4284</v>
      </c>
      <c r="D1101" s="377" t="s">
        <v>818</v>
      </c>
      <c r="E1101" s="20" t="s">
        <v>4285</v>
      </c>
      <c r="F1101" s="385"/>
      <c r="G1101" s="390" t="s">
        <v>3219</v>
      </c>
      <c r="H1101" s="6">
        <v>3714</v>
      </c>
      <c r="I1101" s="7" t="s">
        <v>2</v>
      </c>
      <c r="J1101" s="344" t="s">
        <v>3144</v>
      </c>
      <c r="K1101" s="22">
        <v>41184</v>
      </c>
      <c r="L1101" s="324">
        <v>41180</v>
      </c>
      <c r="M1101" s="7">
        <v>4</v>
      </c>
      <c r="N1101" s="7" t="s">
        <v>2</v>
      </c>
      <c r="O1101" s="6">
        <v>2.5</v>
      </c>
      <c r="P1101" s="20">
        <v>7</v>
      </c>
      <c r="Q1101" s="7">
        <v>6.05</v>
      </c>
      <c r="R1101" s="6">
        <v>2.5</v>
      </c>
      <c r="S1101" s="7">
        <v>8</v>
      </c>
      <c r="T1101" s="6">
        <v>0.05</v>
      </c>
      <c r="U1101" s="9">
        <v>0.5</v>
      </c>
      <c r="V1101" s="6">
        <v>0.26</v>
      </c>
      <c r="W1101" s="7">
        <v>0.02</v>
      </c>
      <c r="X1101" s="6">
        <v>1E-3</v>
      </c>
      <c r="Y1101" s="7">
        <v>6.4999999999999997E-3</v>
      </c>
      <c r="Z1101" s="323">
        <v>1</v>
      </c>
      <c r="AA1101" s="323">
        <v>1</v>
      </c>
      <c r="AB1101" s="20">
        <v>2.8</v>
      </c>
      <c r="AC1101" s="7">
        <v>19</v>
      </c>
      <c r="AD1101" s="323">
        <v>1</v>
      </c>
    </row>
    <row r="1102" spans="1:79" ht="15" customHeight="1">
      <c r="A1102" s="41" t="s">
        <v>183</v>
      </c>
      <c r="B1102" s="385" t="s">
        <v>1843</v>
      </c>
      <c r="C1102" s="18" t="s">
        <v>4286</v>
      </c>
      <c r="D1102" s="377" t="s">
        <v>836</v>
      </c>
      <c r="E1102" s="20" t="s">
        <v>364</v>
      </c>
      <c r="F1102" s="385"/>
      <c r="G1102" s="390" t="s">
        <v>1878</v>
      </c>
      <c r="H1102" s="6">
        <v>4151</v>
      </c>
      <c r="I1102" s="7" t="s">
        <v>2</v>
      </c>
      <c r="J1102" s="344" t="s">
        <v>641</v>
      </c>
      <c r="K1102" s="22">
        <v>41201</v>
      </c>
      <c r="L1102" s="324">
        <v>41167</v>
      </c>
      <c r="M1102" s="7">
        <v>34</v>
      </c>
      <c r="N1102" s="7" t="s">
        <v>2</v>
      </c>
      <c r="O1102" s="6">
        <v>2.1</v>
      </c>
      <c r="P1102" s="20">
        <v>6.7</v>
      </c>
      <c r="Q1102" s="7">
        <v>7.17</v>
      </c>
      <c r="R1102" s="6">
        <v>5</v>
      </c>
      <c r="S1102" s="7">
        <v>54</v>
      </c>
      <c r="T1102" s="6">
        <v>7.0000000000000007E-2</v>
      </c>
      <c r="U1102" s="9">
        <v>0.34</v>
      </c>
      <c r="V1102" s="6">
        <v>0.18</v>
      </c>
      <c r="W1102" s="7">
        <v>1.4999999999999999E-2</v>
      </c>
      <c r="X1102" s="6">
        <v>0.10199999999999999</v>
      </c>
      <c r="Y1102" s="7">
        <v>3.5000000000000003E-2</v>
      </c>
      <c r="Z1102" s="323">
        <v>1</v>
      </c>
      <c r="AA1102" s="323">
        <v>1</v>
      </c>
      <c r="AB1102" s="20">
        <v>2</v>
      </c>
      <c r="AC1102" s="7">
        <v>16</v>
      </c>
      <c r="AD1102" s="323">
        <v>1</v>
      </c>
    </row>
    <row r="1103" spans="1:79" ht="15" customHeight="1">
      <c r="A1103" s="41" t="s">
        <v>183</v>
      </c>
      <c r="B1103" s="385" t="s">
        <v>4287</v>
      </c>
      <c r="C1103" s="18"/>
      <c r="D1103" s="377" t="s">
        <v>564</v>
      </c>
      <c r="E1103" s="20" t="s">
        <v>4288</v>
      </c>
      <c r="F1103" s="385"/>
      <c r="G1103" s="390" t="s">
        <v>4289</v>
      </c>
      <c r="H1103" s="6">
        <v>3089</v>
      </c>
      <c r="I1103" s="7" t="s">
        <v>2</v>
      </c>
      <c r="J1103" s="344" t="s">
        <v>4290</v>
      </c>
      <c r="K1103" s="22">
        <v>41184</v>
      </c>
      <c r="L1103" s="324"/>
      <c r="N1103" s="7" t="s">
        <v>2</v>
      </c>
      <c r="O1103" s="6">
        <v>1</v>
      </c>
      <c r="P1103" s="20">
        <v>6.4</v>
      </c>
      <c r="Q1103" s="7">
        <v>6.3</v>
      </c>
      <c r="R1103" s="6">
        <v>5</v>
      </c>
      <c r="S1103" s="7">
        <v>0.5</v>
      </c>
      <c r="T1103" s="6">
        <v>2.5000000000000001E-2</v>
      </c>
      <c r="U1103" s="9">
        <v>0.18</v>
      </c>
      <c r="V1103" s="6">
        <v>0.32</v>
      </c>
      <c r="W1103" s="7">
        <v>5.0000000000000001E-3</v>
      </c>
      <c r="X1103" s="6">
        <v>1.41</v>
      </c>
      <c r="Y1103" s="7">
        <v>1.4999999999999999E-2</v>
      </c>
      <c r="Z1103" s="323">
        <v>0.70699999999999996</v>
      </c>
      <c r="AA1103" s="323">
        <v>0.21</v>
      </c>
      <c r="AB1103" s="20">
        <v>1</v>
      </c>
      <c r="AC1103" s="7">
        <v>28</v>
      </c>
      <c r="AD1103" s="323">
        <v>0</v>
      </c>
    </row>
    <row r="1104" spans="1:79" ht="15" customHeight="1">
      <c r="A1104" s="41" t="s">
        <v>183</v>
      </c>
      <c r="B1104" s="385" t="s">
        <v>2101</v>
      </c>
      <c r="C1104" s="18"/>
      <c r="D1104" s="377" t="s">
        <v>303</v>
      </c>
      <c r="E1104" s="20"/>
      <c r="F1104" s="385"/>
      <c r="G1104" s="390" t="s">
        <v>3603</v>
      </c>
      <c r="H1104" s="6"/>
      <c r="I1104" s="7"/>
      <c r="J1104" s="344" t="s">
        <v>4291</v>
      </c>
      <c r="K1104" s="22">
        <v>41374</v>
      </c>
      <c r="L1104" s="6"/>
      <c r="N1104" s="7"/>
      <c r="O1104" s="6">
        <v>5.9</v>
      </c>
      <c r="P1104" s="20">
        <v>6.48</v>
      </c>
      <c r="Q1104" s="7">
        <v>6.63</v>
      </c>
      <c r="R1104" s="6">
        <v>280</v>
      </c>
      <c r="S1104" s="7">
        <v>45</v>
      </c>
      <c r="T1104" s="6">
        <v>0.88</v>
      </c>
      <c r="U1104" s="9">
        <v>2.81</v>
      </c>
      <c r="V1104" s="6">
        <v>0.97</v>
      </c>
      <c r="W1104" s="7">
        <v>2.19</v>
      </c>
      <c r="X1104" s="6">
        <v>0.26</v>
      </c>
      <c r="Y1104" s="7">
        <v>2.5000000000000001E-2</v>
      </c>
      <c r="Z1104" s="323">
        <v>1</v>
      </c>
      <c r="AA1104" s="323">
        <v>1</v>
      </c>
      <c r="AB1104" s="20">
        <v>1840</v>
      </c>
      <c r="AC1104" s="7">
        <v>2950</v>
      </c>
      <c r="AD1104" s="323">
        <v>1</v>
      </c>
    </row>
    <row r="1105" spans="1:30" ht="15" customHeight="1">
      <c r="A1105" s="41" t="s">
        <v>183</v>
      </c>
      <c r="B1105" s="385" t="s">
        <v>2101</v>
      </c>
      <c r="C1105" s="18"/>
      <c r="D1105" s="377" t="s">
        <v>303</v>
      </c>
      <c r="E1105" s="20"/>
      <c r="F1105" s="385"/>
      <c r="G1105" s="390" t="s">
        <v>3603</v>
      </c>
      <c r="H1105" s="6"/>
      <c r="I1105" s="7"/>
      <c r="J1105" s="344" t="s">
        <v>4292</v>
      </c>
      <c r="K1105" s="22">
        <v>41374</v>
      </c>
      <c r="L1105" s="6"/>
      <c r="N1105" s="7"/>
      <c r="O1105" s="6">
        <v>0.5</v>
      </c>
      <c r="P1105" s="20">
        <v>6.48</v>
      </c>
      <c r="Q1105" s="7">
        <v>6.71</v>
      </c>
      <c r="R1105" s="6">
        <v>355</v>
      </c>
      <c r="S1105" s="7">
        <v>54</v>
      </c>
      <c r="T1105" s="6">
        <v>0.36</v>
      </c>
      <c r="U1105" s="9">
        <v>5.7</v>
      </c>
      <c r="V1105" s="6">
        <v>0.96</v>
      </c>
      <c r="W1105" s="7">
        <v>0.89</v>
      </c>
      <c r="X1105" s="6">
        <v>0.16</v>
      </c>
      <c r="Y1105" s="7">
        <v>0.05</v>
      </c>
      <c r="Z1105" s="323">
        <v>6.25E-2</v>
      </c>
      <c r="AA1105" s="323">
        <v>6.25E-2</v>
      </c>
      <c r="AB1105" s="20">
        <v>3010</v>
      </c>
      <c r="AC1105" s="7">
        <v>1170</v>
      </c>
      <c r="AD1105" s="323">
        <v>0</v>
      </c>
    </row>
    <row r="1106" spans="1:30" ht="15" customHeight="1">
      <c r="A1106" s="41" t="s">
        <v>183</v>
      </c>
      <c r="B1106" s="385" t="s">
        <v>4293</v>
      </c>
      <c r="C1106" s="18" t="s">
        <v>4293</v>
      </c>
      <c r="D1106" s="377" t="s">
        <v>372</v>
      </c>
      <c r="E1106" s="20" t="s">
        <v>2258</v>
      </c>
      <c r="F1106" s="385"/>
      <c r="G1106" s="390" t="s">
        <v>2259</v>
      </c>
      <c r="H1106" s="6">
        <v>3471</v>
      </c>
      <c r="I1106" s="7" t="s">
        <v>2</v>
      </c>
      <c r="J1106" s="344" t="s">
        <v>3144</v>
      </c>
      <c r="K1106" s="22">
        <v>41170</v>
      </c>
      <c r="L1106" s="324">
        <v>41160</v>
      </c>
      <c r="M1106" s="7">
        <v>10</v>
      </c>
      <c r="N1106" s="7" t="s">
        <v>2</v>
      </c>
      <c r="O1106" s="6">
        <v>1</v>
      </c>
      <c r="P1106" s="20">
        <v>6</v>
      </c>
      <c r="Q1106" s="7">
        <v>4.9000000000000004</v>
      </c>
      <c r="R1106" s="6">
        <v>26</v>
      </c>
      <c r="S1106" s="7">
        <v>22</v>
      </c>
      <c r="T1106" s="6">
        <v>0.09</v>
      </c>
      <c r="U1106" s="9">
        <v>1.21</v>
      </c>
      <c r="V1106" s="6">
        <v>0.91</v>
      </c>
      <c r="W1106" s="7">
        <v>0.496</v>
      </c>
      <c r="X1106" s="6">
        <v>0.26800000000000002</v>
      </c>
      <c r="Y1106" s="7">
        <v>0.03</v>
      </c>
      <c r="Z1106" s="323"/>
      <c r="AA1106" s="323"/>
      <c r="AB1106" s="20"/>
      <c r="AC1106" s="7"/>
      <c r="AD1106" s="323"/>
    </row>
    <row r="1107" spans="1:30" ht="15" customHeight="1">
      <c r="A1107" s="41" t="s">
        <v>183</v>
      </c>
      <c r="B1107" s="385" t="s">
        <v>4293</v>
      </c>
      <c r="C1107" s="18" t="s">
        <v>4293</v>
      </c>
      <c r="D1107" s="377" t="s">
        <v>372</v>
      </c>
      <c r="E1107" s="20" t="s">
        <v>2258</v>
      </c>
      <c r="F1107" s="385"/>
      <c r="G1107" s="390" t="s">
        <v>2259</v>
      </c>
      <c r="H1107" s="6">
        <v>3471</v>
      </c>
      <c r="I1107" s="7" t="s">
        <v>2</v>
      </c>
      <c r="J1107" s="344" t="s">
        <v>3145</v>
      </c>
      <c r="K1107" s="22">
        <v>41170</v>
      </c>
      <c r="L1107" s="324">
        <v>41160</v>
      </c>
      <c r="M1107" s="7">
        <v>10</v>
      </c>
      <c r="N1107" s="7" t="s">
        <v>2</v>
      </c>
      <c r="O1107" s="6">
        <v>2</v>
      </c>
      <c r="P1107" s="20">
        <v>6</v>
      </c>
      <c r="Q1107" s="7">
        <v>4.4000000000000004</v>
      </c>
      <c r="R1107" s="6">
        <v>39</v>
      </c>
      <c r="S1107" s="7">
        <v>3</v>
      </c>
      <c r="T1107" s="6">
        <v>0.05</v>
      </c>
      <c r="U1107" s="9">
        <v>1.25</v>
      </c>
      <c r="V1107" s="6">
        <v>0.79</v>
      </c>
      <c r="W1107" s="7">
        <v>4.8000000000000001E-2</v>
      </c>
      <c r="X1107" s="6">
        <v>0.60699999999999998</v>
      </c>
      <c r="Y1107" s="7">
        <v>0.03</v>
      </c>
      <c r="Z1107" s="323"/>
      <c r="AA1107" s="323"/>
      <c r="AB1107" s="20"/>
      <c r="AC1107" s="7"/>
      <c r="AD1107" s="323"/>
    </row>
    <row r="1108" spans="1:30" ht="15" customHeight="1">
      <c r="A1108" s="41" t="s">
        <v>183</v>
      </c>
      <c r="B1108" s="385" t="s">
        <v>4294</v>
      </c>
      <c r="C1108" s="18" t="s">
        <v>4294</v>
      </c>
      <c r="D1108" s="377" t="s">
        <v>338</v>
      </c>
      <c r="E1108" s="20" t="s">
        <v>4295</v>
      </c>
      <c r="F1108" s="385"/>
      <c r="G1108" s="390" t="s">
        <v>4296</v>
      </c>
      <c r="H1108" s="6">
        <v>3469</v>
      </c>
      <c r="I1108" s="7" t="s">
        <v>2</v>
      </c>
      <c r="J1108" s="344">
        <v>1</v>
      </c>
      <c r="K1108" s="22">
        <v>41170</v>
      </c>
      <c r="L1108" s="324">
        <v>41160</v>
      </c>
      <c r="M1108" s="7">
        <v>10</v>
      </c>
      <c r="N1108" s="7" t="s">
        <v>2</v>
      </c>
      <c r="O1108" s="6">
        <v>0.75</v>
      </c>
      <c r="P1108" s="20">
        <v>4.5</v>
      </c>
      <c r="Q1108" s="7">
        <v>55</v>
      </c>
      <c r="R1108" s="6">
        <v>7.5</v>
      </c>
      <c r="S1108" s="7">
        <v>12</v>
      </c>
      <c r="T1108" s="6">
        <v>2.5000000000000001E-2</v>
      </c>
      <c r="U1108" s="9">
        <v>0.5</v>
      </c>
      <c r="V1108" s="6">
        <v>0.31</v>
      </c>
      <c r="W1108" s="7">
        <v>5.0000000000000001E-3</v>
      </c>
      <c r="X1108" s="6">
        <v>1.2999999999999999E-2</v>
      </c>
      <c r="Y1108" s="7">
        <v>2.5000000000000001E-3</v>
      </c>
      <c r="Z1108" s="323">
        <v>1</v>
      </c>
      <c r="AA1108" s="323">
        <v>1</v>
      </c>
      <c r="AB1108" s="20">
        <v>6</v>
      </c>
      <c r="AC1108" s="7">
        <v>35</v>
      </c>
      <c r="AD1108" s="323">
        <v>1</v>
      </c>
    </row>
    <row r="1109" spans="1:30" ht="15" customHeight="1">
      <c r="A1109" s="41" t="s">
        <v>183</v>
      </c>
      <c r="B1109" s="402" t="s">
        <v>4297</v>
      </c>
      <c r="C1109" s="113" t="s">
        <v>4298</v>
      </c>
      <c r="D1109" s="393" t="s">
        <v>133</v>
      </c>
      <c r="F1109" s="402">
        <v>4400</v>
      </c>
      <c r="G1109" s="405" t="s">
        <v>4299</v>
      </c>
      <c r="H1109" s="74"/>
      <c r="I1109" s="50" t="s">
        <v>2</v>
      </c>
      <c r="J1109" s="339" t="s">
        <v>1392</v>
      </c>
      <c r="K1109" s="51">
        <v>40815</v>
      </c>
      <c r="L1109" s="173"/>
      <c r="N1109" s="50" t="s">
        <v>2</v>
      </c>
      <c r="O1109" s="74">
        <f>1.4/2</f>
        <v>0.7</v>
      </c>
      <c r="Q1109" s="74">
        <v>7.31</v>
      </c>
      <c r="R1109" s="50">
        <v>68</v>
      </c>
      <c r="S1109" s="74">
        <v>69</v>
      </c>
      <c r="T1109" s="50">
        <v>0.25</v>
      </c>
      <c r="U1109" s="131">
        <v>2.1</v>
      </c>
      <c r="V1109" s="50">
        <v>1.5</v>
      </c>
      <c r="W1109" s="74">
        <v>1.2E-2</v>
      </c>
      <c r="X1109" s="50">
        <v>3.7999999999999999E-2</v>
      </c>
      <c r="Y1109" s="74">
        <v>5.0000000000000001E-3</v>
      </c>
      <c r="Z1109" s="271">
        <v>1</v>
      </c>
      <c r="AA1109" s="271">
        <v>1</v>
      </c>
      <c r="AB1109" s="114">
        <v>14</v>
      </c>
      <c r="AC1109" s="50">
        <v>201</v>
      </c>
      <c r="AD1109" s="271">
        <v>1</v>
      </c>
    </row>
    <row r="1110" spans="1:30" ht="15" customHeight="1">
      <c r="A1110" s="41" t="s">
        <v>183</v>
      </c>
      <c r="B1110" s="402" t="s">
        <v>4297</v>
      </c>
      <c r="C1110" s="113" t="s">
        <v>4298</v>
      </c>
      <c r="D1110" s="393" t="s">
        <v>133</v>
      </c>
      <c r="F1110" s="402">
        <v>4400</v>
      </c>
      <c r="G1110" s="405" t="s">
        <v>4299</v>
      </c>
      <c r="H1110" s="74"/>
      <c r="I1110" s="50" t="s">
        <v>2</v>
      </c>
      <c r="J1110" s="339" t="s">
        <v>1392</v>
      </c>
      <c r="K1110" s="51">
        <v>41170</v>
      </c>
      <c r="L1110" s="173"/>
      <c r="N1110" s="50" t="s">
        <v>2</v>
      </c>
      <c r="O1110" s="74">
        <v>4.7</v>
      </c>
      <c r="Q1110" s="74">
        <v>6.96</v>
      </c>
      <c r="R1110" s="50">
        <v>160</v>
      </c>
      <c r="S1110" s="74">
        <v>170</v>
      </c>
      <c r="T1110" s="50">
        <v>0.49</v>
      </c>
      <c r="U1110" s="131">
        <v>2.12</v>
      </c>
      <c r="V1110" s="50">
        <v>0.86</v>
      </c>
      <c r="W1110" s="74">
        <v>0.123</v>
      </c>
      <c r="X1110" s="50">
        <v>7.4999999999999997E-2</v>
      </c>
      <c r="Y1110" s="74">
        <v>8.9999999999999993E-3</v>
      </c>
      <c r="Z1110" s="271">
        <v>1</v>
      </c>
      <c r="AA1110" s="271">
        <v>1</v>
      </c>
      <c r="AB1110" s="114">
        <v>20</v>
      </c>
      <c r="AC1110" s="50">
        <v>87</v>
      </c>
      <c r="AD1110" s="271">
        <v>1</v>
      </c>
    </row>
    <row r="1111" spans="1:30" ht="15" customHeight="1">
      <c r="A1111" s="41" t="s">
        <v>183</v>
      </c>
      <c r="B1111" s="402" t="s">
        <v>4297</v>
      </c>
      <c r="C1111" s="113" t="s">
        <v>4298</v>
      </c>
      <c r="D1111" s="393" t="s">
        <v>133</v>
      </c>
      <c r="F1111" s="402">
        <v>4400</v>
      </c>
      <c r="G1111" s="405" t="s">
        <v>4299</v>
      </c>
      <c r="H1111" s="74"/>
      <c r="I1111" s="50" t="s">
        <v>2</v>
      </c>
      <c r="J1111" s="339" t="s">
        <v>1392</v>
      </c>
      <c r="K1111" s="51">
        <v>41402</v>
      </c>
      <c r="L1111" s="173"/>
      <c r="N1111" s="50" t="s">
        <v>2</v>
      </c>
      <c r="O1111" s="74">
        <v>2.4</v>
      </c>
      <c r="P1111" s="50">
        <v>7.08</v>
      </c>
      <c r="Q1111" s="74">
        <v>7.17</v>
      </c>
      <c r="R1111" s="50">
        <v>348</v>
      </c>
      <c r="S1111" s="74">
        <v>5100</v>
      </c>
      <c r="T1111" s="50">
        <v>8.1</v>
      </c>
      <c r="U1111" s="131">
        <v>11.2</v>
      </c>
      <c r="V1111" s="50">
        <v>0.27</v>
      </c>
      <c r="W1111" s="74">
        <v>3.5999999999999997E-2</v>
      </c>
      <c r="X1111" s="50">
        <v>0.19</v>
      </c>
      <c r="Y1111" s="74">
        <v>4.5999999999999999E-2</v>
      </c>
      <c r="Z1111" s="271">
        <v>1</v>
      </c>
      <c r="AA1111" s="271">
        <v>1</v>
      </c>
      <c r="AB1111" s="114">
        <v>10</v>
      </c>
      <c r="AC1111" s="50">
        <v>21</v>
      </c>
      <c r="AD1111" s="271">
        <v>1</v>
      </c>
    </row>
    <row r="1112" spans="1:30" ht="15" customHeight="1">
      <c r="A1112" s="41" t="s">
        <v>183</v>
      </c>
      <c r="B1112" s="402" t="s">
        <v>4297</v>
      </c>
      <c r="C1112" s="113" t="s">
        <v>4300</v>
      </c>
      <c r="D1112" s="393" t="s">
        <v>133</v>
      </c>
      <c r="G1112" s="405" t="s">
        <v>4301</v>
      </c>
      <c r="H1112" s="74"/>
      <c r="I1112" s="50" t="s">
        <v>2</v>
      </c>
      <c r="J1112" s="339" t="s">
        <v>1392</v>
      </c>
      <c r="K1112" s="51">
        <v>40815</v>
      </c>
      <c r="L1112" s="173"/>
      <c r="N1112" s="50" t="s">
        <v>2</v>
      </c>
      <c r="O1112" s="74">
        <f>1.6/2</f>
        <v>0.8</v>
      </c>
      <c r="Q1112" s="74">
        <v>7.17</v>
      </c>
      <c r="R1112" s="50">
        <v>61</v>
      </c>
      <c r="S1112" s="74">
        <v>28</v>
      </c>
      <c r="T1112" s="50">
        <v>0.08</v>
      </c>
      <c r="U1112" s="131">
        <v>0.45</v>
      </c>
      <c r="V1112" s="50">
        <v>0.36</v>
      </c>
      <c r="W1112" s="74">
        <v>4.0000000000000001E-3</v>
      </c>
      <c r="X1112" s="50">
        <v>5.0999999999999997E-2</v>
      </c>
      <c r="Y1112" s="74">
        <f>0.002/2</f>
        <v>1E-3</v>
      </c>
      <c r="Z1112" s="271">
        <v>1</v>
      </c>
      <c r="AA1112" s="271">
        <v>1</v>
      </c>
      <c r="AB1112" s="114">
        <v>10</v>
      </c>
      <c r="AC1112" s="50">
        <v>29</v>
      </c>
      <c r="AD1112" s="271">
        <v>1</v>
      </c>
    </row>
    <row r="1113" spans="1:30" ht="15" customHeight="1">
      <c r="A1113" s="41" t="s">
        <v>183</v>
      </c>
      <c r="B1113" s="402" t="s">
        <v>4297</v>
      </c>
      <c r="C1113" s="113" t="s">
        <v>4300</v>
      </c>
      <c r="D1113" s="393" t="s">
        <v>133</v>
      </c>
      <c r="G1113" s="405" t="s">
        <v>4301</v>
      </c>
      <c r="H1113" s="74"/>
      <c r="I1113" s="50" t="s">
        <v>2</v>
      </c>
      <c r="J1113" s="339" t="s">
        <v>1392</v>
      </c>
      <c r="K1113" s="51">
        <v>41170</v>
      </c>
      <c r="L1113" s="173"/>
      <c r="N1113" s="50" t="s">
        <v>2</v>
      </c>
      <c r="O1113" s="74">
        <f>1.4/2</f>
        <v>0.7</v>
      </c>
      <c r="Q1113" s="74">
        <v>7.2</v>
      </c>
      <c r="R1113" s="50">
        <v>38</v>
      </c>
      <c r="S1113" s="74">
        <v>37</v>
      </c>
      <c r="T1113" s="50">
        <v>0.23</v>
      </c>
      <c r="U1113" s="131">
        <v>1.8</v>
      </c>
      <c r="V1113" s="50">
        <v>1.92</v>
      </c>
      <c r="W1113" s="74">
        <v>6.4000000000000001E-2</v>
      </c>
      <c r="X1113" s="50">
        <v>0.15</v>
      </c>
      <c r="Y1113" s="74">
        <v>5.0000000000000001E-3</v>
      </c>
      <c r="Z1113" s="271">
        <v>8.8300000000000003E-2</v>
      </c>
      <c r="AA1113" s="271">
        <v>8.8300000000000003E-2</v>
      </c>
      <c r="AB1113" s="114">
        <v>14</v>
      </c>
      <c r="AC1113" s="50">
        <v>82</v>
      </c>
      <c r="AD1113" s="271">
        <v>0</v>
      </c>
    </row>
    <row r="1114" spans="1:30" ht="15" customHeight="1">
      <c r="A1114" s="41" t="s">
        <v>183</v>
      </c>
      <c r="B1114" s="402" t="s">
        <v>4297</v>
      </c>
      <c r="C1114" s="113" t="s">
        <v>4300</v>
      </c>
      <c r="D1114" s="393" t="s">
        <v>133</v>
      </c>
      <c r="G1114" s="405" t="s">
        <v>4301</v>
      </c>
      <c r="H1114" s="74"/>
      <c r="I1114" s="50" t="s">
        <v>2</v>
      </c>
      <c r="J1114" s="339" t="s">
        <v>1392</v>
      </c>
      <c r="K1114" s="51">
        <v>41402</v>
      </c>
      <c r="L1114" s="173"/>
      <c r="N1114" s="50" t="s">
        <v>2</v>
      </c>
      <c r="O1114" s="74">
        <f>1.4/2</f>
        <v>0.7</v>
      </c>
      <c r="Q1114" s="74">
        <v>7.15</v>
      </c>
      <c r="R1114" s="50">
        <v>30</v>
      </c>
      <c r="S1114" s="74">
        <v>7.5</v>
      </c>
      <c r="T1114" s="50">
        <v>7.0000000000000007E-2</v>
      </c>
      <c r="U1114" s="131">
        <v>0.69</v>
      </c>
      <c r="V1114" s="50">
        <v>0.38</v>
      </c>
      <c r="W1114" s="74">
        <v>8.0000000000000002E-3</v>
      </c>
      <c r="X1114" s="50">
        <v>0.04</v>
      </c>
      <c r="Y1114" s="74">
        <f>0.002/2</f>
        <v>1E-3</v>
      </c>
      <c r="Z1114" s="271">
        <v>1</v>
      </c>
      <c r="AA1114" s="271">
        <v>1</v>
      </c>
      <c r="AB1114" s="114">
        <v>24</v>
      </c>
      <c r="AC1114" s="50">
        <v>94</v>
      </c>
      <c r="AD1114" s="271">
        <v>1</v>
      </c>
    </row>
    <row r="1115" spans="1:30" ht="15" customHeight="1">
      <c r="A1115" s="41" t="s">
        <v>183</v>
      </c>
      <c r="B1115" s="402" t="s">
        <v>4297</v>
      </c>
      <c r="C1115" s="113" t="s">
        <v>4302</v>
      </c>
      <c r="D1115" s="393" t="s">
        <v>192</v>
      </c>
      <c r="G1115" s="405" t="s">
        <v>229</v>
      </c>
      <c r="H1115" s="74"/>
      <c r="I1115" s="50" t="s">
        <v>2</v>
      </c>
      <c r="J1115" s="339" t="s">
        <v>1392</v>
      </c>
      <c r="K1115" s="51">
        <v>41180</v>
      </c>
      <c r="L1115" s="173"/>
      <c r="N1115" s="50" t="s">
        <v>2</v>
      </c>
      <c r="O1115" s="74">
        <f>1.5/2</f>
        <v>0.75</v>
      </c>
      <c r="P1115" s="50">
        <v>7.59</v>
      </c>
      <c r="Q1115" s="74">
        <v>7.4</v>
      </c>
      <c r="R1115" s="50">
        <v>16</v>
      </c>
      <c r="S1115" s="74">
        <f>5/2</f>
        <v>2.5</v>
      </c>
      <c r="T1115" s="50">
        <f>0.01/2</f>
        <v>5.0000000000000001E-3</v>
      </c>
      <c r="U1115" s="131">
        <v>0.8</v>
      </c>
      <c r="V1115" s="50">
        <v>1.04</v>
      </c>
      <c r="W1115" s="74">
        <v>1.6E-2</v>
      </c>
      <c r="X1115" s="50">
        <v>2.9000000000000001E-2</v>
      </c>
      <c r="Y1115" s="74">
        <f>0.002/2</f>
        <v>1E-3</v>
      </c>
      <c r="Z1115" s="271">
        <v>1</v>
      </c>
      <c r="AA1115" s="271">
        <v>0.70699999999999996</v>
      </c>
      <c r="AB1115" s="114">
        <v>42</v>
      </c>
      <c r="AC1115" s="50">
        <v>92</v>
      </c>
      <c r="AD1115" s="271">
        <v>0.05</v>
      </c>
    </row>
    <row r="1116" spans="1:30" ht="15" customHeight="1">
      <c r="A1116" s="41" t="s">
        <v>183</v>
      </c>
      <c r="B1116" s="402" t="s">
        <v>4297</v>
      </c>
      <c r="C1116" s="113" t="s">
        <v>4302</v>
      </c>
      <c r="D1116" s="393" t="s">
        <v>192</v>
      </c>
      <c r="G1116" s="405" t="s">
        <v>229</v>
      </c>
      <c r="H1116" s="74"/>
      <c r="I1116" s="50" t="s">
        <v>2</v>
      </c>
      <c r="J1116" s="339" t="s">
        <v>4303</v>
      </c>
      <c r="K1116" s="51">
        <v>41180</v>
      </c>
      <c r="L1116" s="173"/>
      <c r="N1116" s="50" t="s">
        <v>2</v>
      </c>
      <c r="O1116" s="74">
        <f t="shared" ref="O1116:O1122" si="47">1.4/2</f>
        <v>0.7</v>
      </c>
      <c r="P1116" s="50">
        <v>7.95</v>
      </c>
      <c r="Q1116" s="74">
        <v>7.9</v>
      </c>
      <c r="R1116" s="50">
        <v>37</v>
      </c>
      <c r="S1116" s="74">
        <v>10</v>
      </c>
      <c r="T1116" s="50">
        <v>0.13</v>
      </c>
      <c r="U1116" s="131">
        <v>0.76</v>
      </c>
      <c r="V1116" s="50">
        <v>1.21</v>
      </c>
      <c r="W1116" s="74">
        <f>0.005/2</f>
        <v>2.5000000000000001E-3</v>
      </c>
      <c r="X1116" s="50">
        <v>0.01</v>
      </c>
      <c r="Y1116" s="74">
        <f>0.002/2</f>
        <v>1E-3</v>
      </c>
      <c r="Z1116" s="271">
        <v>1</v>
      </c>
      <c r="AA1116" s="271">
        <v>1</v>
      </c>
      <c r="AB1116" s="114">
        <v>110</v>
      </c>
      <c r="AC1116" s="50">
        <v>466</v>
      </c>
      <c r="AD1116" s="271">
        <v>1</v>
      </c>
    </row>
    <row r="1117" spans="1:30" ht="15" customHeight="1">
      <c r="A1117" s="41" t="s">
        <v>183</v>
      </c>
      <c r="B1117" s="402" t="s">
        <v>4297</v>
      </c>
      <c r="C1117" s="113" t="s">
        <v>4302</v>
      </c>
      <c r="D1117" s="393" t="s">
        <v>192</v>
      </c>
      <c r="G1117" s="405" t="s">
        <v>229</v>
      </c>
      <c r="H1117" s="74"/>
      <c r="I1117" s="50" t="s">
        <v>2</v>
      </c>
      <c r="J1117" s="339" t="s">
        <v>1392</v>
      </c>
      <c r="K1117" s="51">
        <v>41403</v>
      </c>
      <c r="L1117" s="173"/>
      <c r="N1117" s="50" t="s">
        <v>2</v>
      </c>
      <c r="O1117" s="74">
        <f t="shared" si="47"/>
        <v>0.7</v>
      </c>
      <c r="P1117" s="50">
        <v>7.16</v>
      </c>
      <c r="Q1117" s="74">
        <v>7.15</v>
      </c>
      <c r="R1117" s="50">
        <v>101</v>
      </c>
      <c r="S1117" s="74">
        <v>86</v>
      </c>
      <c r="T1117" s="50">
        <v>0.13</v>
      </c>
      <c r="U1117" s="131">
        <v>1.6</v>
      </c>
      <c r="V1117" s="50">
        <f>0.01/2</f>
        <v>5.0000000000000001E-3</v>
      </c>
      <c r="W1117" s="74">
        <f>0.005/2</f>
        <v>2.5000000000000001E-3</v>
      </c>
      <c r="X1117" s="50">
        <v>2.8000000000000001E-2</v>
      </c>
      <c r="Y1117" s="74">
        <v>3.0000000000000001E-3</v>
      </c>
      <c r="Z1117" s="271">
        <v>1</v>
      </c>
      <c r="AA1117" s="271">
        <v>1</v>
      </c>
      <c r="AB1117" s="114">
        <v>54</v>
      </c>
      <c r="AC1117" s="50">
        <v>243</v>
      </c>
      <c r="AD1117" s="271">
        <v>1</v>
      </c>
    </row>
    <row r="1118" spans="1:30" ht="15" customHeight="1">
      <c r="A1118" s="41" t="s">
        <v>183</v>
      </c>
      <c r="B1118" s="402" t="s">
        <v>4297</v>
      </c>
      <c r="C1118" s="113" t="s">
        <v>4302</v>
      </c>
      <c r="D1118" s="393" t="s">
        <v>192</v>
      </c>
      <c r="G1118" s="405" t="s">
        <v>229</v>
      </c>
      <c r="H1118" s="74"/>
      <c r="I1118" s="50" t="s">
        <v>2</v>
      </c>
      <c r="J1118" s="339" t="s">
        <v>4303</v>
      </c>
      <c r="K1118" s="51">
        <v>41403</v>
      </c>
      <c r="L1118" s="173"/>
      <c r="N1118" s="50" t="s">
        <v>2</v>
      </c>
      <c r="O1118" s="74">
        <f t="shared" si="47"/>
        <v>0.7</v>
      </c>
      <c r="P1118" s="50">
        <v>7.23</v>
      </c>
      <c r="Q1118" s="74">
        <v>7.27</v>
      </c>
      <c r="R1118" s="50">
        <v>77</v>
      </c>
      <c r="S1118" s="74">
        <v>35</v>
      </c>
      <c r="T1118" s="50">
        <v>0.13</v>
      </c>
      <c r="U1118" s="131">
        <v>1.59</v>
      </c>
      <c r="V1118" s="50">
        <v>0.25</v>
      </c>
      <c r="W1118" s="74">
        <f>0.005/2</f>
        <v>2.5000000000000001E-3</v>
      </c>
      <c r="X1118" s="50">
        <v>5.6000000000000001E-2</v>
      </c>
      <c r="Y1118" s="74">
        <v>5.0000000000000001E-3</v>
      </c>
      <c r="Z1118" s="271">
        <v>1</v>
      </c>
      <c r="AA1118" s="271">
        <v>1</v>
      </c>
      <c r="AB1118" s="114">
        <v>60</v>
      </c>
      <c r="AC1118" s="50">
        <v>278</v>
      </c>
      <c r="AD1118" s="271">
        <v>1</v>
      </c>
    </row>
    <row r="1119" spans="1:30" ht="15" customHeight="1">
      <c r="A1119" s="41" t="s">
        <v>183</v>
      </c>
      <c r="B1119" s="402" t="s">
        <v>4297</v>
      </c>
      <c r="C1119" s="113" t="s">
        <v>4304</v>
      </c>
      <c r="D1119" s="393" t="s">
        <v>78</v>
      </c>
      <c r="G1119" s="405" t="s">
        <v>4305</v>
      </c>
      <c r="H1119" s="74"/>
      <c r="I1119" s="50" t="s">
        <v>2</v>
      </c>
      <c r="J1119" s="339" t="s">
        <v>1392</v>
      </c>
      <c r="K1119" s="51">
        <v>40809</v>
      </c>
      <c r="L1119" s="173"/>
      <c r="N1119" s="50" t="s">
        <v>2</v>
      </c>
      <c r="O1119" s="74">
        <f t="shared" si="47"/>
        <v>0.7</v>
      </c>
      <c r="Q1119" s="74">
        <v>6.35</v>
      </c>
      <c r="R1119" s="50">
        <v>26</v>
      </c>
      <c r="S1119" s="74">
        <v>23</v>
      </c>
      <c r="T1119" s="50">
        <v>0.1</v>
      </c>
      <c r="U1119" s="131">
        <v>0.79</v>
      </c>
      <c r="V1119" s="50">
        <v>0.14000000000000001</v>
      </c>
      <c r="W1119" s="74">
        <v>2.1999999999999999E-2</v>
      </c>
      <c r="X1119" s="50">
        <v>3.1E-2</v>
      </c>
      <c r="Y1119" s="74">
        <f>0.002/2</f>
        <v>1E-3</v>
      </c>
      <c r="Z1119" s="271">
        <v>1</v>
      </c>
      <c r="AA1119" s="271">
        <v>1</v>
      </c>
      <c r="AB1119" s="114">
        <v>4</v>
      </c>
      <c r="AC1119" s="50">
        <v>28</v>
      </c>
      <c r="AD1119" s="271">
        <v>0.95</v>
      </c>
    </row>
    <row r="1120" spans="1:30" ht="15" customHeight="1">
      <c r="A1120" s="41" t="s">
        <v>183</v>
      </c>
      <c r="B1120" s="402" t="s">
        <v>4297</v>
      </c>
      <c r="C1120" s="113" t="s">
        <v>4304</v>
      </c>
      <c r="D1120" s="393" t="s">
        <v>78</v>
      </c>
      <c r="G1120" s="405" t="s">
        <v>4305</v>
      </c>
      <c r="H1120" s="74"/>
      <c r="I1120" s="50" t="s">
        <v>2</v>
      </c>
      <c r="J1120" s="339" t="s">
        <v>1392</v>
      </c>
      <c r="K1120" s="51">
        <v>41139</v>
      </c>
      <c r="L1120" s="173"/>
      <c r="N1120" s="50" t="s">
        <v>2</v>
      </c>
      <c r="O1120" s="74">
        <f t="shared" si="47"/>
        <v>0.7</v>
      </c>
      <c r="Q1120" s="74">
        <v>7.45</v>
      </c>
      <c r="R1120" s="50">
        <v>230</v>
      </c>
      <c r="S1120" s="74">
        <v>12</v>
      </c>
      <c r="T1120" s="50">
        <v>1.06</v>
      </c>
      <c r="U1120" s="131">
        <v>15.3</v>
      </c>
      <c r="V1120" s="50">
        <v>3.38</v>
      </c>
      <c r="W1120" s="74">
        <v>0.22600000000000001</v>
      </c>
      <c r="X1120" s="50">
        <v>0.32100000000000001</v>
      </c>
      <c r="Y1120" s="74">
        <v>1.9E-2</v>
      </c>
      <c r="Z1120" s="271">
        <v>1</v>
      </c>
      <c r="AA1120" s="271">
        <v>1</v>
      </c>
      <c r="AB1120" s="114">
        <v>92</v>
      </c>
      <c r="AC1120" s="50">
        <v>405</v>
      </c>
      <c r="AD1120" s="271">
        <v>0.95</v>
      </c>
    </row>
    <row r="1121" spans="1:30" ht="15" customHeight="1">
      <c r="A1121" s="41" t="s">
        <v>183</v>
      </c>
      <c r="B1121" s="402" t="s">
        <v>4297</v>
      </c>
      <c r="C1121" s="113" t="s">
        <v>4304</v>
      </c>
      <c r="D1121" s="393" t="s">
        <v>78</v>
      </c>
      <c r="G1121" s="405" t="s">
        <v>4305</v>
      </c>
      <c r="H1121" s="74"/>
      <c r="I1121" s="50" t="s">
        <v>2</v>
      </c>
      <c r="J1121" s="339" t="s">
        <v>1392</v>
      </c>
      <c r="K1121" s="51">
        <v>41423</v>
      </c>
      <c r="L1121" s="173"/>
      <c r="N1121" s="50" t="s">
        <v>2</v>
      </c>
      <c r="O1121" s="74">
        <f t="shared" si="47"/>
        <v>0.7</v>
      </c>
      <c r="Q1121" s="74">
        <v>6.98</v>
      </c>
      <c r="R1121" s="50">
        <v>30</v>
      </c>
      <c r="S1121" s="74">
        <v>5.5</v>
      </c>
      <c r="T1121" s="50">
        <v>0.09</v>
      </c>
      <c r="U1121" s="131">
        <v>0.87</v>
      </c>
      <c r="V1121" s="50">
        <v>0.99</v>
      </c>
      <c r="W1121" s="74">
        <v>2.5000000000000001E-2</v>
      </c>
      <c r="X1121" s="50">
        <v>2.3E-2</v>
      </c>
      <c r="Y1121" s="74">
        <f>0.002/2</f>
        <v>1E-3</v>
      </c>
      <c r="Z1121" s="271">
        <v>1</v>
      </c>
      <c r="AA1121" s="271">
        <v>1</v>
      </c>
      <c r="AB1121" s="114">
        <v>8</v>
      </c>
      <c r="AC1121" s="50">
        <v>52</v>
      </c>
      <c r="AD1121" s="271">
        <v>1</v>
      </c>
    </row>
    <row r="1122" spans="1:30" ht="15" customHeight="1">
      <c r="A1122" s="41" t="s">
        <v>183</v>
      </c>
      <c r="B1122" s="402" t="s">
        <v>4297</v>
      </c>
      <c r="C1122" s="113" t="s">
        <v>4306</v>
      </c>
      <c r="D1122" s="393" t="s">
        <v>290</v>
      </c>
      <c r="G1122" s="405" t="s">
        <v>4307</v>
      </c>
      <c r="H1122" s="74"/>
      <c r="I1122" s="50" t="s">
        <v>2</v>
      </c>
      <c r="J1122" s="339" t="s">
        <v>1392</v>
      </c>
      <c r="K1122" s="51">
        <v>40809</v>
      </c>
      <c r="L1122" s="173"/>
      <c r="N1122" s="50" t="s">
        <v>2</v>
      </c>
      <c r="O1122" s="74">
        <f t="shared" si="47"/>
        <v>0.7</v>
      </c>
      <c r="Q1122" s="74">
        <v>6</v>
      </c>
      <c r="R1122" s="50">
        <f>10/2</f>
        <v>5</v>
      </c>
      <c r="S1122" s="74">
        <v>15</v>
      </c>
      <c r="T1122" s="50">
        <v>0.02</v>
      </c>
      <c r="U1122" s="131">
        <v>0.3</v>
      </c>
      <c r="V1122" s="50">
        <v>0.04</v>
      </c>
      <c r="W1122" s="74">
        <v>3.0000000000000001E-3</v>
      </c>
      <c r="X1122" s="50">
        <v>1.9E-2</v>
      </c>
      <c r="Y1122" s="74">
        <f>0.002/2</f>
        <v>1E-3</v>
      </c>
      <c r="Z1122" s="271">
        <v>1</v>
      </c>
      <c r="AA1122" s="271">
        <v>1</v>
      </c>
      <c r="AB1122" s="114">
        <v>2</v>
      </c>
      <c r="AC1122" s="50">
        <v>7</v>
      </c>
      <c r="AD1122" s="271">
        <v>1</v>
      </c>
    </row>
    <row r="1123" spans="1:30" ht="15" customHeight="1">
      <c r="A1123" s="41" t="s">
        <v>183</v>
      </c>
      <c r="B1123" s="402" t="s">
        <v>4297</v>
      </c>
      <c r="C1123" s="113" t="s">
        <v>4306</v>
      </c>
      <c r="D1123" s="393" t="s">
        <v>290</v>
      </c>
      <c r="G1123" s="405" t="s">
        <v>4307</v>
      </c>
      <c r="H1123" s="74"/>
      <c r="I1123" s="50" t="s">
        <v>2</v>
      </c>
      <c r="J1123" s="339" t="s">
        <v>1392</v>
      </c>
      <c r="K1123" s="51">
        <v>41180</v>
      </c>
      <c r="L1123" s="173"/>
      <c r="N1123" s="50" t="s">
        <v>2</v>
      </c>
      <c r="O1123" s="74">
        <v>1.8</v>
      </c>
      <c r="R1123" s="50">
        <v>23</v>
      </c>
      <c r="S1123" s="74">
        <v>1100</v>
      </c>
      <c r="T1123" s="50">
        <v>0.56000000000000005</v>
      </c>
      <c r="U1123" s="131">
        <v>2.5299999999999998</v>
      </c>
      <c r="V1123" s="50">
        <v>0.4</v>
      </c>
      <c r="W1123" s="74">
        <v>7.6999999999999999E-2</v>
      </c>
      <c r="X1123" s="50">
        <v>0.86199999999999999</v>
      </c>
      <c r="Y1123" s="74">
        <v>9.7000000000000003E-2</v>
      </c>
      <c r="Z1123" s="271">
        <v>1</v>
      </c>
      <c r="AA1123" s="271">
        <v>0.752</v>
      </c>
      <c r="AB1123" s="114">
        <v>4</v>
      </c>
      <c r="AC1123" s="50">
        <v>12</v>
      </c>
      <c r="AD1123" s="271">
        <v>0.15</v>
      </c>
    </row>
    <row r="1124" spans="1:30" ht="15" customHeight="1">
      <c r="A1124" s="41" t="s">
        <v>183</v>
      </c>
      <c r="B1124" s="402" t="s">
        <v>4297</v>
      </c>
      <c r="C1124" s="113" t="s">
        <v>4306</v>
      </c>
      <c r="D1124" s="393" t="s">
        <v>290</v>
      </c>
      <c r="G1124" s="405" t="s">
        <v>4307</v>
      </c>
      <c r="H1124" s="74"/>
      <c r="I1124" s="50" t="s">
        <v>2</v>
      </c>
      <c r="J1124" s="339" t="s">
        <v>1392</v>
      </c>
      <c r="K1124" s="51">
        <v>41422</v>
      </c>
      <c r="L1124" s="173"/>
      <c r="N1124" s="50" t="s">
        <v>2</v>
      </c>
      <c r="O1124" s="74">
        <v>33</v>
      </c>
      <c r="P1124" s="50">
        <v>6.75</v>
      </c>
      <c r="Q1124" s="74">
        <v>6.65</v>
      </c>
      <c r="R1124" s="50">
        <v>172</v>
      </c>
      <c r="S1124" s="74">
        <v>35</v>
      </c>
      <c r="T1124" s="50">
        <v>0.76</v>
      </c>
      <c r="U1124" s="131">
        <v>2.76</v>
      </c>
      <c r="V1124" s="50">
        <v>0.31</v>
      </c>
      <c r="W1124" s="74">
        <v>2.8000000000000001E-2</v>
      </c>
      <c r="X1124" s="50">
        <v>0.35199999999999998</v>
      </c>
      <c r="Y1124" s="74">
        <v>4.4999999999999998E-2</v>
      </c>
      <c r="Z1124" s="271">
        <v>1</v>
      </c>
      <c r="AA1124" s="271">
        <v>0.85199999999999998</v>
      </c>
      <c r="AB1124" s="114">
        <v>8</v>
      </c>
      <c r="AC1124" s="50">
        <v>41</v>
      </c>
      <c r="AD1124" s="271">
        <v>0.35</v>
      </c>
    </row>
    <row r="1125" spans="1:30" ht="15" customHeight="1">
      <c r="A1125" s="41" t="s">
        <v>183</v>
      </c>
      <c r="B1125" s="402" t="s">
        <v>4297</v>
      </c>
      <c r="C1125" s="113" t="s">
        <v>4308</v>
      </c>
      <c r="D1125" s="393" t="s">
        <v>192</v>
      </c>
      <c r="G1125" s="405" t="s">
        <v>4309</v>
      </c>
      <c r="H1125" s="74"/>
      <c r="I1125" s="50" t="s">
        <v>2</v>
      </c>
      <c r="J1125" s="339" t="s">
        <v>1392</v>
      </c>
      <c r="K1125" s="51">
        <v>40801</v>
      </c>
      <c r="L1125" s="173"/>
      <c r="N1125" s="50" t="s">
        <v>2</v>
      </c>
      <c r="O1125" s="74">
        <f>1.4/2</f>
        <v>0.7</v>
      </c>
      <c r="Q1125" s="74">
        <v>7.01</v>
      </c>
      <c r="R1125" s="50">
        <v>57</v>
      </c>
      <c r="S1125" s="74">
        <v>23</v>
      </c>
      <c r="T1125" s="50">
        <v>0.14000000000000001</v>
      </c>
      <c r="U1125" s="131">
        <v>1.8</v>
      </c>
      <c r="V1125" s="50">
        <v>1.3</v>
      </c>
      <c r="W1125" s="74">
        <v>2.3E-2</v>
      </c>
      <c r="X1125" s="50">
        <v>0.114</v>
      </c>
      <c r="Y1125" s="74">
        <v>1.0999999999999999E-2</v>
      </c>
      <c r="Z1125" s="271">
        <v>1</v>
      </c>
      <c r="AA1125" s="271">
        <v>1</v>
      </c>
      <c r="AB1125" s="114">
        <v>20</v>
      </c>
      <c r="AC1125" s="50">
        <v>55</v>
      </c>
      <c r="AD1125" s="271">
        <v>1</v>
      </c>
    </row>
    <row r="1126" spans="1:30" ht="15" customHeight="1">
      <c r="A1126" s="41" t="s">
        <v>183</v>
      </c>
      <c r="B1126" s="402" t="s">
        <v>4297</v>
      </c>
      <c r="C1126" s="113" t="s">
        <v>4308</v>
      </c>
      <c r="D1126" s="393" t="s">
        <v>192</v>
      </c>
      <c r="G1126" s="405" t="s">
        <v>4309</v>
      </c>
      <c r="H1126" s="74"/>
      <c r="I1126" s="50" t="s">
        <v>2</v>
      </c>
      <c r="J1126" s="339" t="s">
        <v>4303</v>
      </c>
      <c r="K1126" s="51">
        <v>40801</v>
      </c>
      <c r="L1126" s="173"/>
      <c r="N1126" s="50" t="s">
        <v>2</v>
      </c>
      <c r="O1126" s="74">
        <v>1.8</v>
      </c>
      <c r="Q1126" s="74">
        <v>6.74</v>
      </c>
      <c r="R1126" s="50">
        <v>120</v>
      </c>
      <c r="S1126" s="74">
        <v>29</v>
      </c>
      <c r="T1126" s="50">
        <v>0.28999999999999998</v>
      </c>
      <c r="U1126" s="131">
        <v>2.2999999999999998</v>
      </c>
      <c r="V1126" s="50">
        <v>1.1000000000000001</v>
      </c>
      <c r="W1126" s="74">
        <v>2.8000000000000001E-2</v>
      </c>
      <c r="X1126" s="50">
        <v>0.14899999999999999</v>
      </c>
      <c r="Y1126" s="74">
        <v>1.0999999999999999E-2</v>
      </c>
      <c r="Z1126" s="271">
        <v>1</v>
      </c>
      <c r="AA1126" s="271">
        <v>1</v>
      </c>
      <c r="AB1126" s="114">
        <v>12</v>
      </c>
      <c r="AC1126" s="50">
        <v>74</v>
      </c>
      <c r="AD1126" s="271">
        <v>1</v>
      </c>
    </row>
    <row r="1127" spans="1:30" ht="15" customHeight="1">
      <c r="A1127" s="41" t="s">
        <v>183</v>
      </c>
      <c r="B1127" s="402" t="s">
        <v>4297</v>
      </c>
      <c r="C1127" s="113" t="s">
        <v>4308</v>
      </c>
      <c r="D1127" s="393" t="s">
        <v>192</v>
      </c>
      <c r="G1127" s="405" t="s">
        <v>4309</v>
      </c>
      <c r="H1127" s="74"/>
      <c r="I1127" s="50" t="s">
        <v>2</v>
      </c>
      <c r="J1127" s="339" t="s">
        <v>1392</v>
      </c>
      <c r="K1127" s="51">
        <v>41180</v>
      </c>
      <c r="L1127" s="173"/>
      <c r="N1127" s="50" t="s">
        <v>2</v>
      </c>
      <c r="O1127" s="74">
        <f>1.4/2</f>
        <v>0.7</v>
      </c>
      <c r="P1127" s="50">
        <v>7.33</v>
      </c>
      <c r="Q1127" s="74">
        <v>7.17</v>
      </c>
      <c r="R1127" s="50">
        <v>14</v>
      </c>
      <c r="S1127" s="74">
        <v>7</v>
      </c>
      <c r="T1127" s="50">
        <v>0.03</v>
      </c>
      <c r="U1127" s="131">
        <v>0.44</v>
      </c>
      <c r="V1127" s="50">
        <f>0.01/2</f>
        <v>5.0000000000000001E-3</v>
      </c>
      <c r="W1127" s="74">
        <f>0.005/2</f>
        <v>2.5000000000000001E-3</v>
      </c>
      <c r="X1127" s="50">
        <v>1.4E-2</v>
      </c>
      <c r="Y1127" s="74">
        <f>0.002/2</f>
        <v>1E-3</v>
      </c>
      <c r="Z1127" s="271">
        <v>1</v>
      </c>
      <c r="AA1127" s="271">
        <v>1</v>
      </c>
      <c r="AB1127" s="114">
        <v>48</v>
      </c>
      <c r="AC1127" s="50">
        <v>181</v>
      </c>
      <c r="AD1127" s="271">
        <v>1</v>
      </c>
    </row>
    <row r="1128" spans="1:30" ht="15" customHeight="1">
      <c r="A1128" s="41" t="s">
        <v>183</v>
      </c>
      <c r="B1128" s="402" t="s">
        <v>4297</v>
      </c>
      <c r="C1128" s="113" t="s">
        <v>4308</v>
      </c>
      <c r="D1128" s="393" t="s">
        <v>192</v>
      </c>
      <c r="G1128" s="405" t="s">
        <v>4309</v>
      </c>
      <c r="H1128" s="74"/>
      <c r="I1128" s="50" t="s">
        <v>2</v>
      </c>
      <c r="J1128" s="339" t="s">
        <v>4303</v>
      </c>
      <c r="K1128" s="51">
        <v>41180</v>
      </c>
      <c r="L1128" s="173"/>
      <c r="N1128" s="50" t="s">
        <v>2</v>
      </c>
      <c r="O1128" s="74">
        <v>3.9</v>
      </c>
      <c r="P1128" s="50">
        <v>7.36</v>
      </c>
      <c r="Q1128" s="74">
        <v>7.45</v>
      </c>
      <c r="R1128" s="50">
        <v>110</v>
      </c>
      <c r="S1128" s="74">
        <v>49</v>
      </c>
      <c r="T1128" s="50">
        <v>0.13</v>
      </c>
      <c r="U1128" s="131">
        <v>1.51</v>
      </c>
      <c r="V1128" s="50">
        <v>0.03</v>
      </c>
      <c r="W1128" s="74">
        <f>0.005/2</f>
        <v>2.5000000000000001E-3</v>
      </c>
      <c r="X1128" s="50">
        <v>0.09</v>
      </c>
      <c r="Y1128" s="74">
        <v>4.0000000000000001E-3</v>
      </c>
      <c r="Z1128" s="271">
        <v>1</v>
      </c>
      <c r="AA1128" s="271">
        <v>1</v>
      </c>
      <c r="AB1128" s="114">
        <v>34</v>
      </c>
      <c r="AC1128" s="50">
        <v>85</v>
      </c>
      <c r="AD1128" s="271">
        <v>1</v>
      </c>
    </row>
    <row r="1129" spans="1:30" ht="15" customHeight="1">
      <c r="A1129" s="41" t="s">
        <v>183</v>
      </c>
      <c r="B1129" s="402" t="s">
        <v>4297</v>
      </c>
      <c r="C1129" s="113" t="s">
        <v>4308</v>
      </c>
      <c r="D1129" s="393" t="s">
        <v>192</v>
      </c>
      <c r="G1129" s="405" t="s">
        <v>4309</v>
      </c>
      <c r="H1129" s="74"/>
      <c r="I1129" s="50" t="s">
        <v>2</v>
      </c>
      <c r="J1129" s="339" t="s">
        <v>1392</v>
      </c>
      <c r="K1129" s="51">
        <v>41403</v>
      </c>
      <c r="L1129" s="173"/>
      <c r="N1129" s="50" t="s">
        <v>2</v>
      </c>
      <c r="O1129" s="74">
        <f>1.4/2</f>
        <v>0.7</v>
      </c>
      <c r="P1129" s="50">
        <v>7.16</v>
      </c>
      <c r="Q1129" s="74">
        <v>7.15</v>
      </c>
      <c r="R1129" s="50">
        <v>101</v>
      </c>
      <c r="S1129" s="74">
        <v>86</v>
      </c>
      <c r="T1129" s="50">
        <v>0.13</v>
      </c>
      <c r="U1129" s="131">
        <v>1.6</v>
      </c>
      <c r="V1129" s="50">
        <f>0.01/2</f>
        <v>5.0000000000000001E-3</v>
      </c>
      <c r="W1129" s="74">
        <f>0.005/2</f>
        <v>2.5000000000000001E-3</v>
      </c>
      <c r="X1129" s="50">
        <v>2.8000000000000001E-2</v>
      </c>
      <c r="Y1129" s="74">
        <v>3.0000000000000001E-3</v>
      </c>
      <c r="Z1129" s="271">
        <v>1</v>
      </c>
      <c r="AA1129" s="271">
        <v>1</v>
      </c>
      <c r="AB1129" s="114">
        <v>54</v>
      </c>
      <c r="AC1129" s="50">
        <v>243</v>
      </c>
      <c r="AD1129" s="271">
        <v>1</v>
      </c>
    </row>
    <row r="1130" spans="1:30" ht="15" customHeight="1">
      <c r="A1130" s="41" t="s">
        <v>183</v>
      </c>
      <c r="B1130" s="402" t="s">
        <v>4297</v>
      </c>
      <c r="C1130" s="113" t="s">
        <v>4308</v>
      </c>
      <c r="D1130" s="393" t="s">
        <v>192</v>
      </c>
      <c r="G1130" s="405" t="s">
        <v>4309</v>
      </c>
      <c r="H1130" s="74"/>
      <c r="I1130" s="50" t="s">
        <v>2</v>
      </c>
      <c r="J1130" s="339" t="s">
        <v>4303</v>
      </c>
      <c r="K1130" s="51">
        <v>41403</v>
      </c>
      <c r="L1130" s="173"/>
      <c r="N1130" s="50" t="s">
        <v>2</v>
      </c>
      <c r="O1130" s="74">
        <f>1.4/2</f>
        <v>0.7</v>
      </c>
      <c r="P1130" s="50">
        <v>7.23</v>
      </c>
      <c r="Q1130" s="74">
        <v>7.27</v>
      </c>
      <c r="R1130" s="50">
        <v>77</v>
      </c>
      <c r="S1130" s="74">
        <v>35</v>
      </c>
      <c r="T1130" s="50">
        <v>0.13</v>
      </c>
      <c r="U1130" s="131">
        <v>1.59</v>
      </c>
      <c r="V1130" s="50">
        <v>0.25</v>
      </c>
      <c r="W1130" s="74">
        <f>0.005/2</f>
        <v>2.5000000000000001E-3</v>
      </c>
      <c r="X1130" s="50">
        <v>5.6000000000000001E-2</v>
      </c>
      <c r="Y1130" s="74">
        <v>5.0000000000000001E-3</v>
      </c>
      <c r="Z1130" s="271">
        <v>1</v>
      </c>
      <c r="AA1130" s="271">
        <v>1</v>
      </c>
      <c r="AB1130" s="114">
        <v>60</v>
      </c>
      <c r="AC1130" s="50">
        <v>278</v>
      </c>
      <c r="AD1130" s="271">
        <v>1</v>
      </c>
    </row>
    <row r="1131" spans="1:30" ht="15" customHeight="1">
      <c r="A1131" s="41" t="s">
        <v>183</v>
      </c>
      <c r="B1131" s="402" t="s">
        <v>4297</v>
      </c>
      <c r="C1131" s="113" t="s">
        <v>4310</v>
      </c>
      <c r="D1131" s="393" t="s">
        <v>406</v>
      </c>
      <c r="G1131" s="405" t="s">
        <v>4311</v>
      </c>
      <c r="H1131" s="74"/>
      <c r="I1131" s="50" t="s">
        <v>2</v>
      </c>
      <c r="J1131" s="339" t="s">
        <v>2034</v>
      </c>
      <c r="K1131" s="51">
        <v>40815</v>
      </c>
      <c r="L1131" s="173"/>
      <c r="N1131" s="50" t="s">
        <v>2</v>
      </c>
      <c r="O1131" s="74">
        <f>1.6/2</f>
        <v>0.8</v>
      </c>
      <c r="Q1131" s="74">
        <v>6.45</v>
      </c>
      <c r="R1131" s="50">
        <v>13</v>
      </c>
      <c r="S1131" s="74">
        <v>9</v>
      </c>
      <c r="T1131" s="50">
        <v>0.04</v>
      </c>
      <c r="U1131" s="131">
        <v>0.33</v>
      </c>
      <c r="V1131" s="50">
        <v>0.18</v>
      </c>
      <c r="W1131" s="74">
        <v>1.4E-2</v>
      </c>
      <c r="X1131" s="50">
        <v>4.7E-2</v>
      </c>
      <c r="Y1131" s="74">
        <f>0.002/2</f>
        <v>1E-3</v>
      </c>
      <c r="Z1131" s="271">
        <v>0.65900000000000003</v>
      </c>
      <c r="AA1131" s="271">
        <v>0.63700000000000001</v>
      </c>
      <c r="AB1131" s="114">
        <v>2</v>
      </c>
      <c r="AC1131" s="50">
        <v>8</v>
      </c>
      <c r="AD1131" s="271">
        <v>0</v>
      </c>
    </row>
    <row r="1132" spans="1:30" ht="15" customHeight="1">
      <c r="A1132" s="41" t="s">
        <v>183</v>
      </c>
      <c r="B1132" s="402" t="s">
        <v>4297</v>
      </c>
      <c r="C1132" s="113" t="s">
        <v>4310</v>
      </c>
      <c r="D1132" s="393" t="s">
        <v>406</v>
      </c>
      <c r="G1132" s="405" t="s">
        <v>4311</v>
      </c>
      <c r="H1132" s="74"/>
      <c r="I1132" s="50" t="s">
        <v>2</v>
      </c>
      <c r="J1132" s="339" t="s">
        <v>2034</v>
      </c>
      <c r="K1132" s="51">
        <v>41180</v>
      </c>
      <c r="L1132" s="173"/>
      <c r="N1132" s="50" t="s">
        <v>2</v>
      </c>
      <c r="O1132" s="74">
        <f>1.4/2</f>
        <v>0.7</v>
      </c>
      <c r="P1132" s="50">
        <v>6.63</v>
      </c>
      <c r="Q1132" s="74">
        <v>6.6</v>
      </c>
      <c r="R1132" s="50">
        <v>31</v>
      </c>
      <c r="S1132" s="74">
        <v>22</v>
      </c>
      <c r="T1132" s="50">
        <v>0.05</v>
      </c>
      <c r="U1132" s="131">
        <v>1.99</v>
      </c>
      <c r="V1132" s="50">
        <v>1.63</v>
      </c>
      <c r="Y1132" s="74">
        <v>6.0000000000000001E-3</v>
      </c>
      <c r="Z1132" s="271">
        <v>0.35399999999999998</v>
      </c>
      <c r="AA1132" s="271">
        <v>0.25900000000000001</v>
      </c>
      <c r="AB1132" s="114">
        <v>16</v>
      </c>
      <c r="AC1132" s="50">
        <v>96</v>
      </c>
      <c r="AD1132" s="271">
        <v>0</v>
      </c>
    </row>
    <row r="1133" spans="1:30" ht="15" customHeight="1">
      <c r="A1133" s="41" t="s">
        <v>183</v>
      </c>
      <c r="B1133" s="402" t="s">
        <v>4297</v>
      </c>
      <c r="C1133" s="113" t="s">
        <v>4310</v>
      </c>
      <c r="D1133" s="393" t="s">
        <v>406</v>
      </c>
      <c r="G1133" s="405" t="s">
        <v>4311</v>
      </c>
      <c r="H1133" s="74"/>
      <c r="I1133" s="50" t="s">
        <v>2</v>
      </c>
      <c r="J1133" s="339" t="s">
        <v>4477</v>
      </c>
      <c r="K1133" s="51">
        <v>41423</v>
      </c>
      <c r="L1133" s="173"/>
      <c r="N1133" s="50" t="s">
        <v>2</v>
      </c>
      <c r="O1133" s="74">
        <f>1.4/2</f>
        <v>0.7</v>
      </c>
      <c r="Q1133" s="74">
        <v>6.5</v>
      </c>
      <c r="R1133" s="50">
        <v>12</v>
      </c>
      <c r="S1133" s="74">
        <v>17</v>
      </c>
      <c r="T1133" s="50">
        <v>0.17</v>
      </c>
      <c r="U1133" s="131">
        <v>0.84</v>
      </c>
      <c r="V1133" s="50">
        <v>0.76</v>
      </c>
      <c r="W1133" s="74">
        <v>4.2000000000000003E-2</v>
      </c>
      <c r="X1133" s="50">
        <v>0.14599999999999999</v>
      </c>
      <c r="Y1133" s="74">
        <v>6.0000000000000001E-3</v>
      </c>
      <c r="Z1133" s="271">
        <v>0.48299999999999998</v>
      </c>
      <c r="AA1133" s="271">
        <v>0.35399999999999998</v>
      </c>
      <c r="AB1133" s="114">
        <v>4</v>
      </c>
      <c r="AC1133" s="50">
        <v>34</v>
      </c>
      <c r="AD1133" s="271">
        <v>0</v>
      </c>
    </row>
    <row r="1134" spans="1:30" ht="15" customHeight="1">
      <c r="A1134" s="41" t="s">
        <v>183</v>
      </c>
      <c r="B1134" s="402" t="s">
        <v>4297</v>
      </c>
      <c r="C1134" s="113" t="s">
        <v>4312</v>
      </c>
      <c r="D1134" s="393" t="s">
        <v>640</v>
      </c>
      <c r="G1134" s="405" t="s">
        <v>4313</v>
      </c>
      <c r="H1134" s="74"/>
      <c r="I1134" s="50" t="s">
        <v>2</v>
      </c>
      <c r="J1134" s="339" t="s">
        <v>460</v>
      </c>
      <c r="K1134" s="51">
        <v>41043</v>
      </c>
      <c r="L1134" s="173">
        <v>41039</v>
      </c>
      <c r="M1134" s="50">
        <f t="shared" ref="M1134:M1139" si="48">K1134-L1134</f>
        <v>4</v>
      </c>
      <c r="N1134" s="50" t="s">
        <v>2</v>
      </c>
      <c r="O1134" s="74">
        <v>0.7</v>
      </c>
      <c r="P1134" s="50">
        <v>5.4</v>
      </c>
      <c r="Q1134" s="74">
        <v>6.96</v>
      </c>
      <c r="R1134" s="50">
        <v>76</v>
      </c>
      <c r="S1134" s="74">
        <v>42</v>
      </c>
      <c r="T1134" s="50">
        <v>0.15</v>
      </c>
      <c r="U1134" s="131">
        <v>1.95</v>
      </c>
      <c r="V1134" s="50">
        <v>1.45</v>
      </c>
      <c r="W1134" s="74">
        <v>6.9000000000000006E-2</v>
      </c>
      <c r="X1134" s="50">
        <v>3.6999999999999998E-2</v>
      </c>
      <c r="Y1134" s="74">
        <v>2.1999999999999999E-2</v>
      </c>
      <c r="Z1134" s="271">
        <v>1</v>
      </c>
      <c r="AA1134" s="271">
        <v>0.70699999999999996</v>
      </c>
      <c r="AB1134" s="114">
        <v>16</v>
      </c>
      <c r="AC1134" s="50">
        <v>58</v>
      </c>
      <c r="AD1134" s="271">
        <v>0</v>
      </c>
    </row>
    <row r="1135" spans="1:30" ht="15" customHeight="1">
      <c r="A1135" s="41" t="s">
        <v>183</v>
      </c>
      <c r="B1135" s="402" t="s">
        <v>4297</v>
      </c>
      <c r="C1135" s="113" t="s">
        <v>4312</v>
      </c>
      <c r="D1135" s="393" t="s">
        <v>640</v>
      </c>
      <c r="G1135" s="405" t="s">
        <v>4313</v>
      </c>
      <c r="H1135" s="74"/>
      <c r="I1135" s="50" t="s">
        <v>2</v>
      </c>
      <c r="J1135" s="339" t="s">
        <v>460</v>
      </c>
      <c r="K1135" s="51">
        <v>41226</v>
      </c>
      <c r="L1135" s="173">
        <v>41221</v>
      </c>
      <c r="M1135" s="50">
        <f t="shared" si="48"/>
        <v>5</v>
      </c>
      <c r="N1135" s="50" t="s">
        <v>2</v>
      </c>
      <c r="O1135" s="74">
        <v>1.4</v>
      </c>
      <c r="P1135" s="50">
        <v>5.2</v>
      </c>
      <c r="Q1135" s="74">
        <v>7.13</v>
      </c>
      <c r="R1135" s="50">
        <v>50</v>
      </c>
      <c r="S1135" s="74">
        <v>31</v>
      </c>
      <c r="T1135" s="50">
        <v>7.0000000000000007E-2</v>
      </c>
      <c r="U1135" s="131">
        <v>0.91</v>
      </c>
      <c r="V1135" s="50">
        <v>1.63</v>
      </c>
      <c r="W1135" s="74">
        <v>0.05</v>
      </c>
      <c r="X1135" s="50">
        <v>7.1999999999999995E-2</v>
      </c>
      <c r="Y1135" s="74">
        <v>3.0000000000000001E-3</v>
      </c>
      <c r="Z1135" s="271">
        <v>1</v>
      </c>
      <c r="AA1135" s="271">
        <v>1</v>
      </c>
      <c r="AB1135" s="114">
        <v>50</v>
      </c>
      <c r="AC1135" s="50">
        <v>308</v>
      </c>
      <c r="AD1135" s="271">
        <v>0.95</v>
      </c>
    </row>
    <row r="1136" spans="1:30" ht="15" customHeight="1">
      <c r="A1136" s="41" t="s">
        <v>183</v>
      </c>
      <c r="B1136" s="402" t="s">
        <v>575</v>
      </c>
      <c r="D1136" s="393" t="s">
        <v>56</v>
      </c>
      <c r="E1136" s="394" t="s">
        <v>95</v>
      </c>
      <c r="G1136" s="405" t="s">
        <v>301</v>
      </c>
      <c r="H1136" s="74">
        <v>5171</v>
      </c>
      <c r="I1136" s="50" t="s">
        <v>1</v>
      </c>
      <c r="J1136" s="61" t="s">
        <v>81</v>
      </c>
      <c r="K1136" s="51">
        <v>41240</v>
      </c>
      <c r="L1136" s="173">
        <v>41237</v>
      </c>
      <c r="M1136" s="50">
        <f t="shared" si="48"/>
        <v>3</v>
      </c>
      <c r="N1136" s="50" t="s">
        <v>2</v>
      </c>
      <c r="O1136" s="74">
        <f>5/2</f>
        <v>2.5</v>
      </c>
      <c r="P1136" s="50">
        <v>6.5</v>
      </c>
      <c r="Q1136" s="74">
        <v>7.6</v>
      </c>
      <c r="R1136" s="50">
        <v>14</v>
      </c>
      <c r="S1136" s="74">
        <v>9</v>
      </c>
      <c r="T1136" s="50">
        <f>0.1/2</f>
        <v>0.05</v>
      </c>
      <c r="U1136" s="131">
        <f>1/2</f>
        <v>0.5</v>
      </c>
      <c r="V1136" s="50">
        <v>0.34</v>
      </c>
      <c r="W1136" s="74">
        <f>0.04/2</f>
        <v>0.02</v>
      </c>
      <c r="X1136" s="50">
        <v>5.5E-2</v>
      </c>
      <c r="Y1136" s="74">
        <f>0.013/2</f>
        <v>6.4999999999999997E-3</v>
      </c>
      <c r="Z1136" s="271">
        <v>1</v>
      </c>
      <c r="AA1136" s="271">
        <v>1</v>
      </c>
      <c r="AB1136" s="114">
        <v>55</v>
      </c>
      <c r="AC1136" s="50">
        <v>183</v>
      </c>
      <c r="AD1136" s="271">
        <v>1</v>
      </c>
    </row>
    <row r="1137" spans="1:47" ht="15" customHeight="1">
      <c r="A1137" s="41" t="s">
        <v>183</v>
      </c>
      <c r="B1137" s="402" t="s">
        <v>575</v>
      </c>
      <c r="D1137" s="393" t="s">
        <v>56</v>
      </c>
      <c r="E1137" s="394" t="s">
        <v>95</v>
      </c>
      <c r="G1137" s="405" t="s">
        <v>301</v>
      </c>
      <c r="H1137" s="74">
        <v>5171</v>
      </c>
      <c r="I1137" s="50" t="s">
        <v>1</v>
      </c>
      <c r="J1137" s="61" t="s">
        <v>114</v>
      </c>
      <c r="K1137" s="51">
        <v>41240</v>
      </c>
      <c r="L1137" s="173">
        <v>41237</v>
      </c>
      <c r="M1137" s="50">
        <f t="shared" si="48"/>
        <v>3</v>
      </c>
      <c r="N1137" s="50" t="s">
        <v>2</v>
      </c>
      <c r="O1137" s="74">
        <f>5/2</f>
        <v>2.5</v>
      </c>
      <c r="P1137" s="50">
        <v>6.5</v>
      </c>
      <c r="Q1137" s="74">
        <v>6.4</v>
      </c>
      <c r="R1137" s="50">
        <v>20</v>
      </c>
      <c r="S1137" s="74">
        <f>5/2</f>
        <v>2.5</v>
      </c>
      <c r="T1137" s="50">
        <f>0.1/2</f>
        <v>0.05</v>
      </c>
      <c r="U1137" s="131">
        <f>1/2</f>
        <v>0.5</v>
      </c>
      <c r="V1137" s="50">
        <v>2.9</v>
      </c>
      <c r="W1137" s="74">
        <f>0.04/2</f>
        <v>0.02</v>
      </c>
      <c r="X1137" s="50">
        <f>0.02/2</f>
        <v>0.01</v>
      </c>
      <c r="Y1137" s="74">
        <f>0.013/2</f>
        <v>6.4999999999999997E-3</v>
      </c>
      <c r="Z1137" s="271">
        <v>1</v>
      </c>
      <c r="AA1137" s="271">
        <v>1</v>
      </c>
      <c r="AB1137" s="114">
        <v>45</v>
      </c>
      <c r="AC1137" s="50">
        <v>167</v>
      </c>
      <c r="AD1137" s="271">
        <v>1</v>
      </c>
    </row>
    <row r="1138" spans="1:47" ht="15" customHeight="1">
      <c r="A1138" s="41" t="s">
        <v>183</v>
      </c>
      <c r="B1138" s="402" t="s">
        <v>575</v>
      </c>
      <c r="D1138" s="393" t="s">
        <v>56</v>
      </c>
      <c r="E1138" s="394" t="s">
        <v>95</v>
      </c>
      <c r="G1138" s="405" t="s">
        <v>301</v>
      </c>
      <c r="H1138" s="74">
        <v>5171</v>
      </c>
      <c r="I1138" s="50" t="s">
        <v>1</v>
      </c>
      <c r="J1138" s="61" t="s">
        <v>81</v>
      </c>
      <c r="K1138" s="51">
        <v>41402</v>
      </c>
      <c r="L1138" s="173">
        <v>41389</v>
      </c>
      <c r="M1138" s="50">
        <f t="shared" si="48"/>
        <v>13</v>
      </c>
      <c r="N1138" s="50" t="s">
        <v>2</v>
      </c>
      <c r="O1138" s="74">
        <f>5/2</f>
        <v>2.5</v>
      </c>
      <c r="P1138" s="50">
        <v>7.32</v>
      </c>
      <c r="Q1138" s="74">
        <v>6.84</v>
      </c>
      <c r="R1138" s="50">
        <v>38</v>
      </c>
      <c r="S1138" s="74">
        <v>8</v>
      </c>
      <c r="T1138" s="50">
        <v>0.52</v>
      </c>
      <c r="U1138" s="131">
        <f>1/2</f>
        <v>0.5</v>
      </c>
      <c r="V1138" s="50">
        <f>0.1/2</f>
        <v>0.05</v>
      </c>
      <c r="W1138" s="74">
        <f>0.04/2</f>
        <v>0.02</v>
      </c>
      <c r="X1138" s="50">
        <f>0.02/2</f>
        <v>0.01</v>
      </c>
      <c r="Y1138" s="74">
        <f>0.013/2</f>
        <v>6.4999999999999997E-3</v>
      </c>
    </row>
    <row r="1139" spans="1:47" ht="15" customHeight="1">
      <c r="A1139" s="41" t="s">
        <v>183</v>
      </c>
      <c r="B1139" s="402" t="s">
        <v>575</v>
      </c>
      <c r="D1139" s="393" t="s">
        <v>56</v>
      </c>
      <c r="E1139" s="394" t="s">
        <v>95</v>
      </c>
      <c r="G1139" s="405" t="s">
        <v>301</v>
      </c>
      <c r="H1139" s="74">
        <v>5171</v>
      </c>
      <c r="I1139" s="50" t="s">
        <v>1</v>
      </c>
      <c r="J1139" s="61" t="s">
        <v>114</v>
      </c>
      <c r="K1139" s="51">
        <v>41402</v>
      </c>
      <c r="L1139" s="173">
        <v>41389</v>
      </c>
      <c r="M1139" s="50">
        <f t="shared" si="48"/>
        <v>13</v>
      </c>
      <c r="N1139" s="50" t="s">
        <v>2</v>
      </c>
      <c r="O1139" s="74">
        <f>5/2</f>
        <v>2.5</v>
      </c>
      <c r="P1139" s="50">
        <v>7.4</v>
      </c>
      <c r="Q1139" s="74">
        <v>6.81</v>
      </c>
      <c r="R1139" s="50">
        <v>35</v>
      </c>
      <c r="S1139" s="74">
        <v>29</v>
      </c>
      <c r="T1139" s="50">
        <f>0.1/2</f>
        <v>0.05</v>
      </c>
      <c r="U1139" s="131">
        <v>1.2</v>
      </c>
      <c r="V1139" s="50">
        <v>1.8</v>
      </c>
      <c r="W1139" s="74">
        <v>5.5E-2</v>
      </c>
      <c r="X1139" s="50">
        <v>0.1</v>
      </c>
      <c r="Y1139" s="74">
        <v>1.9E-2</v>
      </c>
    </row>
    <row r="1140" spans="1:47" ht="15" customHeight="1">
      <c r="A1140" s="41" t="s">
        <v>183</v>
      </c>
      <c r="B1140" s="385" t="s">
        <v>2288</v>
      </c>
      <c r="C1140" s="18" t="s">
        <v>2288</v>
      </c>
      <c r="D1140" s="377" t="s">
        <v>2379</v>
      </c>
      <c r="E1140" s="20" t="s">
        <v>4314</v>
      </c>
      <c r="F1140" s="385"/>
      <c r="G1140" s="390" t="s">
        <v>2290</v>
      </c>
      <c r="H1140" s="6">
        <v>3841</v>
      </c>
      <c r="I1140" s="7" t="s">
        <v>2</v>
      </c>
      <c r="J1140" s="344" t="s">
        <v>4315</v>
      </c>
      <c r="K1140" s="22">
        <v>41226</v>
      </c>
      <c r="L1140" s="324">
        <v>41220</v>
      </c>
      <c r="M1140" s="7">
        <v>6</v>
      </c>
      <c r="N1140" s="7" t="s">
        <v>2</v>
      </c>
      <c r="O1140" s="6">
        <f>1.4/2</f>
        <v>0.7</v>
      </c>
      <c r="P1140" s="20">
        <v>7.04</v>
      </c>
      <c r="Q1140" s="7">
        <v>7.13</v>
      </c>
      <c r="R1140" s="6">
        <v>16</v>
      </c>
      <c r="S1140" s="7">
        <f>5/2</f>
        <v>2.5</v>
      </c>
      <c r="T1140" s="6">
        <v>0.06</v>
      </c>
      <c r="U1140" s="9">
        <v>0.56999999999999995</v>
      </c>
      <c r="V1140" s="6">
        <v>0.19</v>
      </c>
      <c r="W1140" s="7">
        <v>6.0000000000000001E-3</v>
      </c>
      <c r="X1140" s="6">
        <v>5.7000000000000002E-2</v>
      </c>
      <c r="Y1140" s="7">
        <f>0.002/2</f>
        <v>1E-3</v>
      </c>
      <c r="Z1140" s="323">
        <v>1</v>
      </c>
      <c r="AA1140" s="323">
        <v>1</v>
      </c>
      <c r="AB1140" s="20">
        <v>14</v>
      </c>
      <c r="AC1140" s="7">
        <v>335</v>
      </c>
      <c r="AD1140" s="323">
        <v>1</v>
      </c>
      <c r="AE1140" s="7"/>
      <c r="AF1140" s="19"/>
      <c r="AG1140" s="20"/>
      <c r="AH1140" s="20"/>
      <c r="AI1140" s="20"/>
      <c r="AJ1140" s="20"/>
      <c r="AK1140" s="20"/>
      <c r="AL1140" s="20"/>
      <c r="AM1140" s="20"/>
      <c r="AN1140" s="20"/>
      <c r="AO1140" s="20"/>
      <c r="AP1140" s="20"/>
      <c r="AQ1140" s="20"/>
      <c r="AR1140" s="20"/>
      <c r="AS1140" s="7"/>
      <c r="AT1140" s="6"/>
      <c r="AU1140" s="20"/>
    </row>
    <row r="1141" spans="1:47" ht="15" customHeight="1">
      <c r="A1141" s="41" t="s">
        <v>183</v>
      </c>
      <c r="B1141" s="385" t="s">
        <v>2288</v>
      </c>
      <c r="C1141" s="18" t="s">
        <v>2288</v>
      </c>
      <c r="D1141" s="377" t="s">
        <v>2379</v>
      </c>
      <c r="E1141" s="20" t="s">
        <v>4314</v>
      </c>
      <c r="F1141" s="385"/>
      <c r="G1141" s="390" t="s">
        <v>2290</v>
      </c>
      <c r="H1141" s="6">
        <v>3841</v>
      </c>
      <c r="I1141" s="7" t="s">
        <v>2</v>
      </c>
      <c r="J1141" s="344" t="s">
        <v>2293</v>
      </c>
      <c r="K1141" s="22">
        <v>41226</v>
      </c>
      <c r="L1141" s="324">
        <v>41220</v>
      </c>
      <c r="M1141" s="7">
        <v>6</v>
      </c>
      <c r="N1141" s="7" t="s">
        <v>2</v>
      </c>
      <c r="O1141" s="6">
        <f>1.4/2</f>
        <v>0.7</v>
      </c>
      <c r="P1141" s="20">
        <v>6.71</v>
      </c>
      <c r="Q1141" s="7">
        <v>6.71</v>
      </c>
      <c r="R1141" s="6">
        <v>12</v>
      </c>
      <c r="S1141" s="7">
        <f>0.5/2</f>
        <v>0.25</v>
      </c>
      <c r="T1141" s="6">
        <v>0.04</v>
      </c>
      <c r="U1141" s="9">
        <v>0.37</v>
      </c>
      <c r="V1141" s="6">
        <v>0.18</v>
      </c>
      <c r="W1141" s="7">
        <f>0.005/2</f>
        <v>2.5000000000000001E-3</v>
      </c>
      <c r="X1141" s="6">
        <v>0.11799999999999999</v>
      </c>
      <c r="Y1141" s="7">
        <f>0.002/2</f>
        <v>1E-3</v>
      </c>
      <c r="Z1141" s="323">
        <v>1</v>
      </c>
      <c r="AA1141" s="323">
        <v>0.91200000000000003</v>
      </c>
      <c r="AB1141" s="20">
        <v>28</v>
      </c>
      <c r="AC1141" s="7">
        <v>199</v>
      </c>
      <c r="AD1141" s="323">
        <v>0.4</v>
      </c>
      <c r="AE1141" s="7"/>
      <c r="AF1141" s="19"/>
      <c r="AG1141" s="20"/>
      <c r="AH1141" s="20"/>
      <c r="AI1141" s="20"/>
      <c r="AJ1141" s="20"/>
      <c r="AK1141" s="20"/>
      <c r="AL1141" s="20"/>
      <c r="AM1141" s="20"/>
      <c r="AN1141" s="20"/>
      <c r="AO1141" s="20"/>
      <c r="AP1141" s="20"/>
      <c r="AQ1141" s="20"/>
      <c r="AR1141" s="20"/>
      <c r="AS1141" s="7"/>
      <c r="AT1141" s="6"/>
      <c r="AU1141" s="20"/>
    </row>
    <row r="1142" spans="1:47" ht="15" customHeight="1">
      <c r="A1142" s="41" t="s">
        <v>183</v>
      </c>
      <c r="B1142" s="385" t="s">
        <v>4316</v>
      </c>
      <c r="C1142" s="18" t="s">
        <v>4317</v>
      </c>
      <c r="D1142" s="377" t="s">
        <v>290</v>
      </c>
      <c r="E1142" s="20" t="s">
        <v>112</v>
      </c>
      <c r="F1142" s="385"/>
      <c r="G1142" s="390" t="s">
        <v>4318</v>
      </c>
      <c r="H1142" s="6">
        <v>3462</v>
      </c>
      <c r="I1142" s="7" t="s">
        <v>1</v>
      </c>
      <c r="J1142" s="344" t="s">
        <v>643</v>
      </c>
      <c r="K1142" s="22">
        <v>41170</v>
      </c>
      <c r="L1142" s="324">
        <v>41160</v>
      </c>
      <c r="M1142" s="7">
        <v>10</v>
      </c>
      <c r="N1142" s="7" t="s">
        <v>2</v>
      </c>
      <c r="O1142" s="6">
        <v>3.2</v>
      </c>
      <c r="P1142" s="20">
        <v>5.93</v>
      </c>
      <c r="Q1142" s="7">
        <v>7.86</v>
      </c>
      <c r="R1142" s="6">
        <v>170</v>
      </c>
      <c r="S1142" s="7">
        <v>850</v>
      </c>
      <c r="T1142" s="6">
        <v>0.65</v>
      </c>
      <c r="U1142" s="9">
        <v>2.6</v>
      </c>
      <c r="V1142" s="6">
        <v>2.41</v>
      </c>
      <c r="W1142" s="7">
        <v>0.21299999999999999</v>
      </c>
      <c r="X1142" s="6">
        <v>1.4</v>
      </c>
      <c r="Y1142" s="7">
        <v>5.0999999999999997E-2</v>
      </c>
      <c r="Z1142" s="323">
        <v>1</v>
      </c>
      <c r="AA1142" s="323">
        <v>1</v>
      </c>
      <c r="AB1142" s="20">
        <v>62</v>
      </c>
      <c r="AC1142" s="7">
        <v>348</v>
      </c>
      <c r="AD1142" s="323">
        <v>1</v>
      </c>
      <c r="AE1142" s="7"/>
      <c r="AF1142" s="19"/>
      <c r="AG1142" s="20"/>
      <c r="AH1142" s="20"/>
      <c r="AI1142" s="20"/>
      <c r="AJ1142" s="20"/>
      <c r="AK1142" s="20"/>
      <c r="AL1142" s="20"/>
      <c r="AM1142" s="20"/>
      <c r="AN1142" s="20"/>
      <c r="AO1142" s="20"/>
      <c r="AP1142" s="20"/>
      <c r="AQ1142" s="20"/>
      <c r="AR1142" s="20"/>
      <c r="AS1142" s="7"/>
      <c r="AT1142" s="6"/>
      <c r="AU1142" s="20"/>
    </row>
    <row r="1143" spans="1:47" ht="15" customHeight="1">
      <c r="A1143" s="6" t="s">
        <v>183</v>
      </c>
      <c r="B1143" s="385" t="s">
        <v>4319</v>
      </c>
      <c r="C1143" s="18" t="s">
        <v>4320</v>
      </c>
      <c r="D1143" s="377" t="s">
        <v>1881</v>
      </c>
      <c r="E1143" s="20" t="s">
        <v>1546</v>
      </c>
      <c r="F1143" s="385"/>
      <c r="G1143" s="390" t="s">
        <v>3073</v>
      </c>
      <c r="H1143" s="6">
        <v>3724</v>
      </c>
      <c r="I1143" s="7" t="s">
        <v>4321</v>
      </c>
      <c r="J1143" s="344" t="s">
        <v>4322</v>
      </c>
      <c r="K1143" s="22">
        <v>41157</v>
      </c>
      <c r="L1143" s="324">
        <v>41149</v>
      </c>
      <c r="M1143" s="7">
        <v>8</v>
      </c>
      <c r="N1143" s="7" t="s">
        <v>2</v>
      </c>
      <c r="O1143" s="6">
        <f>1.9/2</f>
        <v>0.95</v>
      </c>
      <c r="P1143" s="20">
        <v>5.7</v>
      </c>
      <c r="Q1143" s="7">
        <v>6.7</v>
      </c>
      <c r="R1143" s="6">
        <v>21</v>
      </c>
      <c r="S1143" s="7">
        <v>4.2</v>
      </c>
      <c r="T1143" s="6">
        <v>5.6000000000000001E-2</v>
      </c>
      <c r="U1143" s="9">
        <f>1/2</f>
        <v>0.5</v>
      </c>
      <c r="V1143" s="6">
        <v>2.2799999999999998</v>
      </c>
      <c r="W1143" s="7">
        <f>0.005/2</f>
        <v>2.5000000000000001E-3</v>
      </c>
      <c r="X1143" s="6">
        <v>3.1E-2</v>
      </c>
      <c r="Y1143" s="7">
        <f>0.005/2</f>
        <v>2.5000000000000001E-3</v>
      </c>
      <c r="Z1143" s="323">
        <v>1</v>
      </c>
      <c r="AA1143" s="323">
        <v>1</v>
      </c>
      <c r="AB1143" s="20">
        <v>95</v>
      </c>
      <c r="AC1143" s="7">
        <v>1062</v>
      </c>
      <c r="AD1143" s="323">
        <v>0.9</v>
      </c>
      <c r="AE1143" s="7">
        <v>50</v>
      </c>
      <c r="AF1143" s="19"/>
      <c r="AG1143" s="20">
        <f>0.21/2</f>
        <v>0.105</v>
      </c>
      <c r="AH1143" s="20"/>
      <c r="AI1143" s="20"/>
      <c r="AJ1143" s="20"/>
      <c r="AK1143" s="20"/>
      <c r="AL1143" s="20"/>
      <c r="AM1143" s="20"/>
      <c r="AN1143" s="20"/>
      <c r="AO1143" s="20"/>
      <c r="AP1143" s="20"/>
      <c r="AQ1143" s="20"/>
      <c r="AR1143" s="20"/>
      <c r="AS1143" s="7"/>
      <c r="AT1143" s="6"/>
      <c r="AU1143" s="20"/>
    </row>
    <row r="1144" spans="1:47" ht="15" customHeight="1">
      <c r="A1144" s="41" t="s">
        <v>183</v>
      </c>
      <c r="B1144" s="385" t="s">
        <v>4323</v>
      </c>
      <c r="C1144" s="18" t="s">
        <v>4323</v>
      </c>
      <c r="D1144" s="377" t="s">
        <v>735</v>
      </c>
      <c r="E1144" s="20" t="s">
        <v>1937</v>
      </c>
      <c r="F1144" s="385"/>
      <c r="G1144" s="390" t="s">
        <v>1938</v>
      </c>
      <c r="H1144" s="6">
        <v>3441</v>
      </c>
      <c r="I1144" s="7" t="s">
        <v>2</v>
      </c>
      <c r="J1144" s="344" t="s">
        <v>3251</v>
      </c>
      <c r="K1144" s="22">
        <v>41030</v>
      </c>
      <c r="L1144" s="324">
        <v>41021</v>
      </c>
      <c r="M1144" s="50">
        <v>9</v>
      </c>
      <c r="N1144" s="7" t="s">
        <v>2</v>
      </c>
      <c r="O1144" s="6">
        <f>1.4/2</f>
        <v>0.7</v>
      </c>
      <c r="P1144" s="20">
        <v>7</v>
      </c>
      <c r="Q1144" s="7">
        <v>6.82</v>
      </c>
      <c r="R1144" s="6">
        <v>39</v>
      </c>
      <c r="S1144" s="7">
        <v>55</v>
      </c>
      <c r="T1144" s="6">
        <v>0.04</v>
      </c>
      <c r="U1144" s="9">
        <v>0.96</v>
      </c>
      <c r="V1144" s="6">
        <v>0.61</v>
      </c>
      <c r="W1144" s="7">
        <v>0.02</v>
      </c>
      <c r="X1144" s="6">
        <v>0.19800000000000001</v>
      </c>
      <c r="Y1144" s="7">
        <v>4.0000000000000001E-3</v>
      </c>
      <c r="Z1144" s="323"/>
      <c r="AA1144" s="323"/>
      <c r="AB1144" s="20"/>
      <c r="AC1144" s="7"/>
      <c r="AD1144" s="323"/>
      <c r="AE1144" s="7"/>
      <c r="AF1144" s="19"/>
      <c r="AG1144" s="20"/>
      <c r="AH1144" s="20"/>
      <c r="AI1144" s="20"/>
      <c r="AJ1144" s="20"/>
      <c r="AK1144" s="20"/>
      <c r="AL1144" s="20"/>
      <c r="AM1144" s="20"/>
      <c r="AN1144" s="20"/>
      <c r="AO1144" s="20"/>
      <c r="AP1144" s="20"/>
      <c r="AQ1144" s="20"/>
      <c r="AR1144" s="20"/>
      <c r="AS1144" s="7"/>
      <c r="AT1144" s="6"/>
      <c r="AU1144" s="20"/>
    </row>
    <row r="1145" spans="1:47" ht="15" customHeight="1">
      <c r="A1145" s="41" t="s">
        <v>183</v>
      </c>
      <c r="B1145" s="385" t="s">
        <v>4323</v>
      </c>
      <c r="C1145" s="18" t="s">
        <v>4323</v>
      </c>
      <c r="D1145" s="377" t="s">
        <v>735</v>
      </c>
      <c r="E1145" s="20" t="s">
        <v>1937</v>
      </c>
      <c r="F1145" s="385"/>
      <c r="G1145" s="390" t="s">
        <v>1938</v>
      </c>
      <c r="H1145" s="6">
        <v>3441</v>
      </c>
      <c r="I1145" s="7" t="s">
        <v>2</v>
      </c>
      <c r="J1145" s="344" t="s">
        <v>2494</v>
      </c>
      <c r="K1145" s="22">
        <v>41030</v>
      </c>
      <c r="L1145" s="324">
        <v>41021</v>
      </c>
      <c r="M1145" s="7">
        <v>9</v>
      </c>
      <c r="N1145" s="7" t="s">
        <v>2</v>
      </c>
      <c r="O1145" s="6">
        <f>1.4/2</f>
        <v>0.7</v>
      </c>
      <c r="P1145" s="20"/>
      <c r="Q1145" s="7">
        <v>6.55</v>
      </c>
      <c r="R1145" s="6">
        <v>39</v>
      </c>
      <c r="S1145" s="7">
        <v>13</v>
      </c>
      <c r="T1145" s="6">
        <v>0.1</v>
      </c>
      <c r="U1145" s="9">
        <v>1.92</v>
      </c>
      <c r="V1145" s="6">
        <v>0.69</v>
      </c>
      <c r="W1145" s="7">
        <v>1.2E-2</v>
      </c>
      <c r="X1145" s="6">
        <v>0.755</v>
      </c>
      <c r="Y1145" s="7">
        <v>4.0000000000000001E-3</v>
      </c>
      <c r="Z1145" s="323">
        <v>0.77500000000000002</v>
      </c>
      <c r="AA1145" s="323">
        <v>0.25900000000000001</v>
      </c>
      <c r="AB1145" s="20">
        <v>12</v>
      </c>
      <c r="AC1145" s="7">
        <v>46</v>
      </c>
      <c r="AD1145" s="323">
        <v>0</v>
      </c>
      <c r="AE1145" s="7"/>
      <c r="AF1145" s="19"/>
      <c r="AG1145" s="20"/>
      <c r="AH1145" s="20"/>
      <c r="AI1145" s="20"/>
      <c r="AJ1145" s="20"/>
      <c r="AK1145" s="20"/>
      <c r="AL1145" s="20"/>
      <c r="AM1145" s="20"/>
      <c r="AN1145" s="20"/>
      <c r="AO1145" s="20"/>
      <c r="AP1145" s="20"/>
      <c r="AQ1145" s="20"/>
      <c r="AR1145" s="20"/>
      <c r="AS1145" s="7"/>
      <c r="AT1145" s="6"/>
      <c r="AU1145" s="20"/>
    </row>
    <row r="1146" spans="1:47" ht="15" customHeight="1">
      <c r="A1146" s="41" t="s">
        <v>183</v>
      </c>
      <c r="B1146" s="385" t="s">
        <v>4324</v>
      </c>
      <c r="C1146" s="18" t="s">
        <v>4210</v>
      </c>
      <c r="D1146" s="377" t="s">
        <v>462</v>
      </c>
      <c r="E1146" s="20"/>
      <c r="F1146" s="385" t="s">
        <v>4211</v>
      </c>
      <c r="G1146" s="390" t="s">
        <v>4212</v>
      </c>
      <c r="H1146" s="6">
        <v>3273</v>
      </c>
      <c r="I1146" s="7" t="s">
        <v>2</v>
      </c>
      <c r="J1146" s="344" t="s">
        <v>510</v>
      </c>
      <c r="K1146" s="22">
        <v>41037</v>
      </c>
      <c r="L1146" s="324">
        <v>41033</v>
      </c>
      <c r="M1146" s="7">
        <v>4</v>
      </c>
      <c r="N1146" s="7" t="s">
        <v>2</v>
      </c>
      <c r="O1146" s="6">
        <v>1.9</v>
      </c>
      <c r="P1146" s="20">
        <v>6.5</v>
      </c>
      <c r="Q1146" s="7">
        <v>9</v>
      </c>
      <c r="R1146" s="6">
        <v>41</v>
      </c>
      <c r="S1146" s="325">
        <v>8200</v>
      </c>
      <c r="T1146" s="6">
        <v>5.56</v>
      </c>
      <c r="U1146" s="9">
        <v>1.74</v>
      </c>
      <c r="V1146" s="6">
        <v>0.51</v>
      </c>
      <c r="W1146" s="7">
        <v>0.61799999999999999</v>
      </c>
      <c r="X1146" s="6">
        <v>1.54</v>
      </c>
      <c r="Y1146" s="7">
        <v>0.18</v>
      </c>
      <c r="Z1146" s="323">
        <v>1</v>
      </c>
      <c r="AA1146" s="323">
        <v>1</v>
      </c>
      <c r="AB1146" s="20">
        <v>156</v>
      </c>
      <c r="AC1146" s="7">
        <v>217</v>
      </c>
      <c r="AD1146" s="323">
        <v>1</v>
      </c>
      <c r="AE1146" s="7"/>
      <c r="AF1146" s="19"/>
      <c r="AG1146" s="20"/>
      <c r="AH1146" s="20"/>
      <c r="AI1146" s="20"/>
      <c r="AJ1146" s="20"/>
      <c r="AK1146" s="20"/>
      <c r="AL1146" s="20"/>
      <c r="AM1146" s="20"/>
      <c r="AN1146" s="20"/>
      <c r="AO1146" s="20"/>
      <c r="AP1146" s="20"/>
      <c r="AQ1146" s="20"/>
      <c r="AR1146" s="20"/>
      <c r="AS1146" s="7"/>
      <c r="AT1146" s="6"/>
      <c r="AU1146" s="20"/>
    </row>
    <row r="1147" spans="1:47" ht="15" customHeight="1">
      <c r="A1147" s="41" t="s">
        <v>183</v>
      </c>
      <c r="B1147" s="385" t="s">
        <v>4325</v>
      </c>
      <c r="C1147" s="18" t="s">
        <v>4325</v>
      </c>
      <c r="D1147" s="377" t="s">
        <v>1217</v>
      </c>
      <c r="E1147" s="20" t="s">
        <v>1469</v>
      </c>
      <c r="F1147" s="385"/>
      <c r="G1147" s="390" t="s">
        <v>3975</v>
      </c>
      <c r="H1147" s="6">
        <v>212310</v>
      </c>
      <c r="I1147" s="7" t="s">
        <v>2</v>
      </c>
      <c r="J1147" s="344" t="s">
        <v>4326</v>
      </c>
      <c r="K1147" s="22">
        <v>41021</v>
      </c>
      <c r="L1147" s="324">
        <v>41011</v>
      </c>
      <c r="M1147" s="7">
        <v>10</v>
      </c>
      <c r="N1147" s="7" t="s">
        <v>2</v>
      </c>
      <c r="O1147" s="6">
        <f>1.4/2</f>
        <v>0.7</v>
      </c>
      <c r="P1147" s="20">
        <v>6</v>
      </c>
      <c r="Q1147" s="7">
        <v>7.48</v>
      </c>
      <c r="R1147" s="6">
        <v>11</v>
      </c>
      <c r="S1147" s="7">
        <v>51</v>
      </c>
      <c r="T1147" s="6">
        <v>0.12</v>
      </c>
      <c r="U1147" s="9">
        <v>0.92</v>
      </c>
      <c r="V1147" s="6">
        <v>0.31</v>
      </c>
      <c r="W1147" s="7">
        <v>1.2E-2</v>
      </c>
      <c r="X1147" s="6">
        <v>2.5999999999999999E-2</v>
      </c>
      <c r="Y1147" s="7">
        <v>4.0000000000000001E-3</v>
      </c>
      <c r="Z1147" s="323">
        <v>1</v>
      </c>
      <c r="AA1147" s="323">
        <v>1</v>
      </c>
      <c r="AB1147" s="20">
        <v>26</v>
      </c>
      <c r="AC1147" s="7">
        <v>68</v>
      </c>
      <c r="AD1147" s="323">
        <v>1</v>
      </c>
      <c r="AE1147" s="7"/>
      <c r="AF1147" s="19"/>
      <c r="AG1147" s="20"/>
      <c r="AH1147" s="20"/>
      <c r="AI1147" s="20"/>
      <c r="AJ1147" s="20"/>
      <c r="AK1147" s="20"/>
      <c r="AL1147" s="20"/>
      <c r="AM1147" s="20"/>
      <c r="AN1147" s="20"/>
      <c r="AO1147" s="20"/>
      <c r="AP1147" s="20"/>
      <c r="AQ1147" s="20"/>
      <c r="AR1147" s="20"/>
      <c r="AS1147" s="7"/>
      <c r="AT1147" s="6"/>
      <c r="AU1147" s="20"/>
    </row>
    <row r="1148" spans="1:47" ht="15" customHeight="1">
      <c r="A1148" s="41" t="s">
        <v>183</v>
      </c>
      <c r="B1148" s="385" t="s">
        <v>4325</v>
      </c>
      <c r="C1148" s="18" t="s">
        <v>4325</v>
      </c>
      <c r="D1148" s="377" t="s">
        <v>1217</v>
      </c>
      <c r="E1148" s="20" t="s">
        <v>1469</v>
      </c>
      <c r="F1148" s="385"/>
      <c r="G1148" s="390" t="s">
        <v>3975</v>
      </c>
      <c r="H1148" s="6">
        <v>212310</v>
      </c>
      <c r="I1148" s="7" t="s">
        <v>2</v>
      </c>
      <c r="J1148" s="344" t="s">
        <v>4327</v>
      </c>
      <c r="K1148" s="22">
        <v>41021</v>
      </c>
      <c r="L1148" s="324">
        <v>41011</v>
      </c>
      <c r="M1148" s="7">
        <v>10</v>
      </c>
      <c r="N1148" s="7" t="s">
        <v>2</v>
      </c>
      <c r="O1148" s="6">
        <f>1.4/2</f>
        <v>0.7</v>
      </c>
      <c r="P1148" s="20">
        <v>6</v>
      </c>
      <c r="Q1148" s="7">
        <v>7.77</v>
      </c>
      <c r="R1148" s="6">
        <v>10</v>
      </c>
      <c r="S1148" s="7">
        <v>190</v>
      </c>
      <c r="T1148" s="6">
        <v>0.12</v>
      </c>
      <c r="U1148" s="9">
        <v>0.34</v>
      </c>
      <c r="V1148" s="6">
        <v>0.34</v>
      </c>
      <c r="W1148" s="7">
        <v>2.1000000000000001E-2</v>
      </c>
      <c r="X1148" s="6">
        <v>3.7999999999999999E-2</v>
      </c>
      <c r="Y1148" s="7">
        <v>5.0000000000000001E-3</v>
      </c>
      <c r="Z1148" s="323">
        <v>1</v>
      </c>
      <c r="AA1148" s="323">
        <v>1</v>
      </c>
      <c r="AB1148" s="20">
        <v>72</v>
      </c>
      <c r="AC1148" s="7">
        <v>177</v>
      </c>
      <c r="AD1148" s="323">
        <v>1</v>
      </c>
      <c r="AE1148" s="7"/>
      <c r="AF1148" s="19"/>
      <c r="AG1148" s="20"/>
      <c r="AH1148" s="20"/>
      <c r="AI1148" s="20"/>
      <c r="AJ1148" s="20"/>
      <c r="AK1148" s="20"/>
      <c r="AL1148" s="20"/>
      <c r="AM1148" s="20"/>
      <c r="AN1148" s="20"/>
      <c r="AO1148" s="20"/>
      <c r="AP1148" s="20"/>
      <c r="AQ1148" s="20"/>
      <c r="AR1148" s="20"/>
      <c r="AS1148" s="7"/>
      <c r="AT1148" s="6"/>
      <c r="AU1148" s="20"/>
    </row>
    <row r="1149" spans="1:47" ht="15" customHeight="1">
      <c r="A1149" s="41" t="s">
        <v>183</v>
      </c>
      <c r="B1149" s="385" t="s">
        <v>1312</v>
      </c>
      <c r="C1149" s="18"/>
      <c r="D1149" s="377" t="s">
        <v>262</v>
      </c>
      <c r="E1149" s="20" t="s">
        <v>1314</v>
      </c>
      <c r="F1149" s="385"/>
      <c r="G1149" s="390" t="s">
        <v>1315</v>
      </c>
      <c r="H1149" s="6">
        <v>5172</v>
      </c>
      <c r="I1149" s="7"/>
      <c r="J1149" s="344"/>
      <c r="K1149" s="22">
        <v>41085</v>
      </c>
      <c r="L1149" s="6"/>
      <c r="N1149" s="7" t="s">
        <v>2</v>
      </c>
      <c r="O1149" s="6">
        <f>1/5</f>
        <v>0.2</v>
      </c>
      <c r="P1149" s="20">
        <v>6.08</v>
      </c>
      <c r="Q1149" s="7">
        <v>6.18</v>
      </c>
      <c r="R1149" s="6">
        <v>40</v>
      </c>
      <c r="S1149" s="7">
        <v>15</v>
      </c>
      <c r="T1149" s="6">
        <f>0.1/2</f>
        <v>0.05</v>
      </c>
      <c r="U1149" s="9">
        <v>1.61</v>
      </c>
      <c r="V1149" s="6">
        <v>0.34</v>
      </c>
      <c r="W1149" s="7">
        <f>0.05/2</f>
        <v>2.5000000000000001E-2</v>
      </c>
      <c r="X1149" s="6">
        <v>0.17</v>
      </c>
      <c r="Y1149" s="7">
        <f>0.05/2</f>
        <v>2.5000000000000001E-2</v>
      </c>
      <c r="Z1149" s="323">
        <v>1</v>
      </c>
      <c r="AA1149" s="323">
        <v>0.68200000000000005</v>
      </c>
      <c r="AB1149" s="20">
        <v>12</v>
      </c>
      <c r="AC1149" s="7">
        <v>50</v>
      </c>
      <c r="AD1149" s="323">
        <v>0.05</v>
      </c>
      <c r="AE1149" s="7"/>
      <c r="AF1149" s="19"/>
      <c r="AG1149" s="20"/>
      <c r="AH1149" s="20"/>
      <c r="AI1149" s="20"/>
      <c r="AJ1149" s="20"/>
      <c r="AK1149" s="20"/>
      <c r="AL1149" s="20"/>
      <c r="AM1149" s="20"/>
      <c r="AN1149" s="20"/>
      <c r="AO1149" s="20"/>
      <c r="AP1149" s="20"/>
      <c r="AQ1149" s="20"/>
      <c r="AR1149" s="20"/>
      <c r="AS1149" s="7"/>
      <c r="AT1149" s="6"/>
      <c r="AU1149" s="20"/>
    </row>
    <row r="1150" spans="1:47" ht="15" customHeight="1">
      <c r="A1150" s="41" t="s">
        <v>183</v>
      </c>
      <c r="B1150" s="385" t="s">
        <v>4328</v>
      </c>
      <c r="C1150" s="18" t="s">
        <v>4328</v>
      </c>
      <c r="D1150" s="377" t="s">
        <v>372</v>
      </c>
      <c r="E1150" s="20" t="s">
        <v>235</v>
      </c>
      <c r="F1150" s="385"/>
      <c r="G1150" s="390" t="s">
        <v>4329</v>
      </c>
      <c r="H1150" s="6"/>
      <c r="I1150" s="7"/>
      <c r="J1150" s="14" t="s">
        <v>641</v>
      </c>
      <c r="K1150" s="22">
        <v>41030</v>
      </c>
      <c r="L1150" s="324">
        <v>41022</v>
      </c>
      <c r="M1150" s="7">
        <v>8</v>
      </c>
      <c r="N1150" s="7" t="s">
        <v>2</v>
      </c>
      <c r="O1150" s="6">
        <v>2.1</v>
      </c>
      <c r="P1150" s="20">
        <v>5.45</v>
      </c>
      <c r="Q1150" s="7">
        <v>5.97</v>
      </c>
      <c r="R1150" s="6">
        <v>49.7</v>
      </c>
      <c r="S1150" s="7">
        <v>83</v>
      </c>
      <c r="T1150" s="6">
        <v>0.2</v>
      </c>
      <c r="U1150" s="9">
        <v>1.34</v>
      </c>
      <c r="V1150" s="6">
        <v>0.42</v>
      </c>
      <c r="W1150" s="7">
        <f>0.01/2</f>
        <v>5.0000000000000001E-3</v>
      </c>
      <c r="X1150" s="6">
        <v>0.03</v>
      </c>
      <c r="Y1150" s="7">
        <f>0.02/2</f>
        <v>0.01</v>
      </c>
      <c r="Z1150" s="323"/>
      <c r="AA1150" s="323"/>
      <c r="AB1150" s="20"/>
      <c r="AC1150" s="7"/>
      <c r="AD1150" s="323"/>
      <c r="AE1150" s="7"/>
      <c r="AF1150" s="19"/>
      <c r="AG1150" s="20"/>
      <c r="AH1150" s="20"/>
      <c r="AI1150" s="20"/>
      <c r="AJ1150" s="20"/>
      <c r="AK1150" s="20"/>
      <c r="AL1150" s="20"/>
      <c r="AM1150" s="20"/>
      <c r="AN1150" s="20"/>
      <c r="AO1150" s="20"/>
      <c r="AP1150" s="20"/>
      <c r="AQ1150" s="20"/>
      <c r="AR1150" s="20"/>
      <c r="AS1150" s="7"/>
      <c r="AT1150" s="6"/>
      <c r="AU1150" s="20"/>
    </row>
    <row r="1151" spans="1:47" ht="15" customHeight="1">
      <c r="A1151" s="41" t="s">
        <v>183</v>
      </c>
      <c r="B1151" s="385" t="s">
        <v>4330</v>
      </c>
      <c r="C1151" s="18" t="s">
        <v>4331</v>
      </c>
      <c r="D1151" s="377" t="s">
        <v>1683</v>
      </c>
      <c r="E1151" s="20" t="s">
        <v>953</v>
      </c>
      <c r="F1151" s="385" t="s">
        <v>4332</v>
      </c>
      <c r="G1151" s="390" t="s">
        <v>263</v>
      </c>
      <c r="H1151" s="6">
        <v>3826</v>
      </c>
      <c r="I1151" s="7" t="s">
        <v>2</v>
      </c>
      <c r="J1151" s="344" t="s">
        <v>271</v>
      </c>
      <c r="K1151" s="22">
        <v>41050</v>
      </c>
      <c r="L1151" s="324">
        <v>41044</v>
      </c>
      <c r="M1151" s="7">
        <v>6</v>
      </c>
      <c r="N1151" s="7" t="s">
        <v>2</v>
      </c>
      <c r="O1151" s="6">
        <f>5/2</f>
        <v>2.5</v>
      </c>
      <c r="P1151" s="20">
        <v>6.3</v>
      </c>
      <c r="Q1151" s="7">
        <v>4.4000000000000004</v>
      </c>
      <c r="R1151" s="6">
        <v>49</v>
      </c>
      <c r="S1151" s="7">
        <v>10</v>
      </c>
      <c r="T1151" s="6">
        <f>0.1/2</f>
        <v>0.05</v>
      </c>
      <c r="U1151" s="9">
        <f>1/2</f>
        <v>0.5</v>
      </c>
      <c r="V1151" s="6">
        <v>0.18</v>
      </c>
      <c r="W1151" s="7">
        <f>0.04/2</f>
        <v>0.02</v>
      </c>
      <c r="X1151" s="6">
        <v>0.34</v>
      </c>
      <c r="Y1151" s="7">
        <f>0.013/2</f>
        <v>6.4999999999999997E-3</v>
      </c>
      <c r="Z1151" s="323"/>
      <c r="AA1151" s="323"/>
      <c r="AB1151" s="20"/>
      <c r="AC1151" s="7"/>
      <c r="AD1151" s="323"/>
      <c r="AE1151" s="7"/>
      <c r="AF1151" s="19"/>
      <c r="AG1151" s="20"/>
      <c r="AH1151" s="20"/>
      <c r="AI1151" s="20"/>
      <c r="AJ1151" s="20"/>
      <c r="AK1151" s="20"/>
      <c r="AL1151" s="20"/>
      <c r="AM1151" s="20"/>
      <c r="AN1151" s="20"/>
      <c r="AO1151" s="20"/>
      <c r="AP1151" s="20"/>
      <c r="AQ1151" s="20"/>
      <c r="AR1151" s="20"/>
      <c r="AS1151" s="7"/>
      <c r="AT1151" s="6"/>
      <c r="AU1151" s="20"/>
    </row>
    <row r="1152" spans="1:47" ht="15" customHeight="1">
      <c r="A1152" s="41" t="s">
        <v>183</v>
      </c>
      <c r="B1152" s="385" t="s">
        <v>4330</v>
      </c>
      <c r="C1152" s="18" t="s">
        <v>4331</v>
      </c>
      <c r="D1152" s="377" t="s">
        <v>1683</v>
      </c>
      <c r="E1152" s="20" t="s">
        <v>953</v>
      </c>
      <c r="F1152" s="385" t="s">
        <v>4332</v>
      </c>
      <c r="G1152" s="390" t="s">
        <v>263</v>
      </c>
      <c r="H1152" s="6">
        <v>3826</v>
      </c>
      <c r="I1152" s="7" t="s">
        <v>2</v>
      </c>
      <c r="J1152" s="344" t="s">
        <v>272</v>
      </c>
      <c r="K1152" s="22">
        <v>41050</v>
      </c>
      <c r="L1152" s="324">
        <v>41044</v>
      </c>
      <c r="M1152" s="7">
        <v>6</v>
      </c>
      <c r="N1152" s="7" t="s">
        <v>2</v>
      </c>
      <c r="O1152" s="6">
        <f>5/2</f>
        <v>2.5</v>
      </c>
      <c r="P1152" s="20">
        <v>6.3</v>
      </c>
      <c r="Q1152" s="7">
        <v>3.07</v>
      </c>
      <c r="R1152" s="6">
        <v>59</v>
      </c>
      <c r="S1152" s="7">
        <v>28</v>
      </c>
      <c r="T1152" s="6">
        <f>0.1/2</f>
        <v>0.05</v>
      </c>
      <c r="U1152" s="9">
        <f>1/2</f>
        <v>0.5</v>
      </c>
      <c r="V1152" s="6">
        <v>0.28999999999999998</v>
      </c>
      <c r="W1152" s="7">
        <f>0.04/2</f>
        <v>0.02</v>
      </c>
      <c r="X1152" s="6">
        <v>0.22</v>
      </c>
      <c r="Y1152" s="7">
        <f>0.013/2</f>
        <v>6.4999999999999997E-3</v>
      </c>
      <c r="Z1152" s="323"/>
      <c r="AA1152" s="323"/>
      <c r="AB1152" s="20"/>
      <c r="AC1152" s="7"/>
      <c r="AD1152" s="323"/>
      <c r="AE1152" s="7"/>
      <c r="AF1152" s="19"/>
      <c r="AG1152" s="20"/>
      <c r="AH1152" s="20"/>
      <c r="AI1152" s="20"/>
      <c r="AJ1152" s="20"/>
      <c r="AK1152" s="20"/>
      <c r="AL1152" s="20"/>
      <c r="AM1152" s="20"/>
      <c r="AN1152" s="20"/>
      <c r="AO1152" s="20"/>
      <c r="AP1152" s="20"/>
      <c r="AQ1152" s="20"/>
      <c r="AR1152" s="20"/>
      <c r="AS1152" s="7"/>
      <c r="AT1152" s="6"/>
      <c r="AU1152" s="20"/>
    </row>
    <row r="1153" spans="1:47" ht="15" customHeight="1">
      <c r="A1153" s="41" t="s">
        <v>183</v>
      </c>
      <c r="B1153" s="385" t="s">
        <v>4330</v>
      </c>
      <c r="C1153" s="18" t="s">
        <v>4331</v>
      </c>
      <c r="D1153" s="377" t="s">
        <v>1683</v>
      </c>
      <c r="E1153" s="20" t="s">
        <v>953</v>
      </c>
      <c r="F1153" s="385" t="s">
        <v>4332</v>
      </c>
      <c r="G1153" s="390" t="s">
        <v>263</v>
      </c>
      <c r="H1153" s="6">
        <v>3826</v>
      </c>
      <c r="I1153" s="7" t="s">
        <v>2</v>
      </c>
      <c r="J1153" s="344" t="s">
        <v>4333</v>
      </c>
      <c r="K1153" s="22">
        <v>41050</v>
      </c>
      <c r="L1153" s="324">
        <v>41044</v>
      </c>
      <c r="M1153" s="7">
        <v>6</v>
      </c>
      <c r="N1153" s="7" t="s">
        <v>2</v>
      </c>
      <c r="O1153" s="6">
        <f>5/2</f>
        <v>2.5</v>
      </c>
      <c r="P1153" s="20">
        <v>6.3</v>
      </c>
      <c r="Q1153" s="7">
        <v>4.0199999999999996</v>
      </c>
      <c r="R1153" s="6">
        <v>8</v>
      </c>
      <c r="S1153" s="7">
        <f>5/2</f>
        <v>2.5</v>
      </c>
      <c r="T1153" s="6">
        <f>0.1/2</f>
        <v>0.05</v>
      </c>
      <c r="U1153" s="9">
        <f>1/2</f>
        <v>0.5</v>
      </c>
      <c r="V1153" s="6">
        <v>0.2</v>
      </c>
      <c r="W1153" s="7">
        <f>0.04/2</f>
        <v>0.02</v>
      </c>
      <c r="X1153" s="6">
        <v>5.7000000000000002E-2</v>
      </c>
      <c r="Y1153" s="7">
        <f>0.013/2</f>
        <v>6.4999999999999997E-3</v>
      </c>
      <c r="Z1153" s="323"/>
      <c r="AA1153" s="323"/>
      <c r="AB1153" s="20"/>
      <c r="AC1153" s="7"/>
      <c r="AD1153" s="323"/>
      <c r="AE1153" s="7"/>
      <c r="AF1153" s="19"/>
      <c r="AG1153" s="20"/>
      <c r="AH1153" s="20"/>
      <c r="AI1153" s="20"/>
      <c r="AJ1153" s="20"/>
      <c r="AK1153" s="20"/>
      <c r="AL1153" s="20"/>
      <c r="AM1153" s="20"/>
      <c r="AN1153" s="20"/>
      <c r="AO1153" s="20"/>
      <c r="AP1153" s="20"/>
      <c r="AQ1153" s="20"/>
      <c r="AR1153" s="20"/>
      <c r="AS1153" s="7"/>
      <c r="AT1153" s="6"/>
      <c r="AU1153" s="20"/>
    </row>
    <row r="1154" spans="1:47" ht="15" customHeight="1">
      <c r="A1154" s="41" t="s">
        <v>183</v>
      </c>
      <c r="B1154" s="385" t="s">
        <v>4330</v>
      </c>
      <c r="C1154" s="18" t="s">
        <v>4331</v>
      </c>
      <c r="D1154" s="377" t="s">
        <v>1683</v>
      </c>
      <c r="E1154" s="20" t="s">
        <v>953</v>
      </c>
      <c r="F1154" s="385" t="s">
        <v>4332</v>
      </c>
      <c r="G1154" s="390" t="s">
        <v>263</v>
      </c>
      <c r="H1154" s="6">
        <v>3826</v>
      </c>
      <c r="I1154" s="7" t="s">
        <v>2</v>
      </c>
      <c r="J1154" s="344" t="s">
        <v>273</v>
      </c>
      <c r="K1154" s="22">
        <v>41050</v>
      </c>
      <c r="L1154" s="324">
        <v>41044</v>
      </c>
      <c r="M1154" s="7">
        <v>6</v>
      </c>
      <c r="N1154" s="7" t="s">
        <v>2</v>
      </c>
      <c r="O1154" s="6">
        <f>5/2</f>
        <v>2.5</v>
      </c>
      <c r="P1154" s="20">
        <v>6.3</v>
      </c>
      <c r="Q1154" s="7">
        <v>4.55</v>
      </c>
      <c r="R1154" s="6">
        <v>55</v>
      </c>
      <c r="S1154" s="7">
        <v>8</v>
      </c>
      <c r="T1154" s="6">
        <f>0.1/2</f>
        <v>0.05</v>
      </c>
      <c r="U1154" s="9">
        <v>1.2</v>
      </c>
      <c r="V1154" s="6">
        <v>0.2</v>
      </c>
      <c r="W1154" s="7">
        <f>0.04/2</f>
        <v>0.02</v>
      </c>
      <c r="X1154" s="6">
        <f>0.02/2</f>
        <v>0.01</v>
      </c>
      <c r="Y1154" s="7">
        <f>0.013/2</f>
        <v>6.4999999999999997E-3</v>
      </c>
      <c r="Z1154" s="323"/>
      <c r="AA1154" s="323"/>
      <c r="AB1154" s="20"/>
      <c r="AC1154" s="7"/>
      <c r="AD1154" s="323"/>
      <c r="AE1154" s="7"/>
      <c r="AF1154" s="19"/>
      <c r="AG1154" s="20"/>
      <c r="AH1154" s="20"/>
      <c r="AI1154" s="20"/>
      <c r="AJ1154" s="20"/>
      <c r="AK1154" s="20"/>
      <c r="AL1154" s="20"/>
      <c r="AM1154" s="20"/>
      <c r="AN1154" s="20"/>
      <c r="AO1154" s="20"/>
      <c r="AP1154" s="20"/>
      <c r="AQ1154" s="20"/>
      <c r="AR1154" s="20"/>
      <c r="AS1154" s="7"/>
      <c r="AT1154" s="6"/>
      <c r="AU1154" s="20"/>
    </row>
    <row r="1155" spans="1:47" ht="15" customHeight="1">
      <c r="A1155" s="41" t="s">
        <v>183</v>
      </c>
      <c r="B1155" s="385" t="s">
        <v>908</v>
      </c>
      <c r="C1155" s="18" t="s">
        <v>4334</v>
      </c>
      <c r="D1155" s="377" t="s">
        <v>910</v>
      </c>
      <c r="E1155" s="20" t="s">
        <v>1546</v>
      </c>
      <c r="F1155" s="385"/>
      <c r="G1155" s="390" t="s">
        <v>911</v>
      </c>
      <c r="H1155" s="6">
        <v>5171</v>
      </c>
      <c r="I1155" s="7" t="s">
        <v>2</v>
      </c>
      <c r="J1155" s="344" t="s">
        <v>4335</v>
      </c>
      <c r="K1155" s="22">
        <v>41031</v>
      </c>
      <c r="L1155" s="324">
        <v>41022</v>
      </c>
      <c r="M1155" s="7">
        <v>9</v>
      </c>
      <c r="N1155" s="7" t="s">
        <v>2</v>
      </c>
      <c r="O1155" s="6">
        <f>5/2</f>
        <v>2.5</v>
      </c>
      <c r="P1155" s="20">
        <v>6</v>
      </c>
      <c r="Q1155" s="7">
        <v>7.1</v>
      </c>
      <c r="R1155" s="6">
        <v>22</v>
      </c>
      <c r="S1155" s="7">
        <v>30</v>
      </c>
      <c r="T1155" s="6">
        <f>0.1/2</f>
        <v>0.05</v>
      </c>
      <c r="U1155" s="9">
        <f>1/2</f>
        <v>0.5</v>
      </c>
      <c r="V1155" s="6">
        <v>0.13</v>
      </c>
      <c r="W1155" s="7">
        <f>0.04/2</f>
        <v>0.02</v>
      </c>
      <c r="X1155" s="6">
        <v>0.37</v>
      </c>
      <c r="Y1155" s="7">
        <f>0.013/2</f>
        <v>6.4999999999999997E-3</v>
      </c>
      <c r="Z1155" s="323"/>
      <c r="AA1155" s="323"/>
      <c r="AB1155" s="20"/>
      <c r="AC1155" s="7"/>
      <c r="AD1155" s="323"/>
      <c r="AE1155" s="7"/>
      <c r="AF1155" s="19"/>
      <c r="AG1155" s="20"/>
      <c r="AH1155" s="20"/>
      <c r="AI1155" s="20"/>
      <c r="AJ1155" s="20"/>
      <c r="AK1155" s="20"/>
      <c r="AL1155" s="20"/>
      <c r="AM1155" s="20"/>
      <c r="AN1155" s="20"/>
      <c r="AO1155" s="20"/>
      <c r="AP1155" s="20"/>
      <c r="AQ1155" s="20"/>
      <c r="AR1155" s="20"/>
      <c r="AS1155" s="7"/>
      <c r="AT1155" s="6"/>
      <c r="AU1155" s="20"/>
    </row>
    <row r="1156" spans="1:47" ht="15" customHeight="1">
      <c r="A1156" s="41" t="s">
        <v>183</v>
      </c>
      <c r="B1156" s="385" t="s">
        <v>4336</v>
      </c>
      <c r="C1156" s="18" t="s">
        <v>4336</v>
      </c>
      <c r="D1156" s="377" t="s">
        <v>213</v>
      </c>
      <c r="E1156" s="20" t="s">
        <v>4337</v>
      </c>
      <c r="F1156" s="385"/>
      <c r="G1156" s="390" t="s">
        <v>4338</v>
      </c>
      <c r="H1156" s="6">
        <v>3541</v>
      </c>
      <c r="I1156" s="7" t="s">
        <v>2</v>
      </c>
      <c r="J1156" s="406" t="s">
        <v>5410</v>
      </c>
      <c r="K1156" s="22">
        <v>40999</v>
      </c>
      <c r="L1156" s="324">
        <v>40996</v>
      </c>
      <c r="M1156" s="7">
        <v>3</v>
      </c>
      <c r="N1156" s="7" t="s">
        <v>2</v>
      </c>
      <c r="O1156" s="6">
        <f>1.7/2</f>
        <v>0.85</v>
      </c>
      <c r="P1156" s="20">
        <v>6</v>
      </c>
      <c r="Q1156" s="7">
        <v>6.7</v>
      </c>
      <c r="R1156" s="6">
        <f>20/2</f>
        <v>10</v>
      </c>
      <c r="S1156" s="7">
        <v>5.2</v>
      </c>
      <c r="T1156" s="6">
        <v>0.08</v>
      </c>
      <c r="U1156" s="9">
        <v>4</v>
      </c>
      <c r="V1156" s="6">
        <v>0.8</v>
      </c>
      <c r="W1156" s="7">
        <f>0.005/2</f>
        <v>2.5000000000000001E-3</v>
      </c>
      <c r="X1156" s="6">
        <v>2.3E-2</v>
      </c>
      <c r="Y1156" s="7">
        <f>0.005/2</f>
        <v>2.5000000000000001E-3</v>
      </c>
      <c r="Z1156" s="323"/>
      <c r="AA1156" s="323"/>
      <c r="AB1156" s="20"/>
      <c r="AC1156" s="7"/>
      <c r="AD1156" s="323"/>
      <c r="AE1156" s="7"/>
      <c r="AF1156" s="19"/>
      <c r="AG1156" s="20"/>
      <c r="AH1156" s="20"/>
      <c r="AI1156" s="20"/>
      <c r="AJ1156" s="20"/>
      <c r="AK1156" s="20"/>
      <c r="AL1156" s="20"/>
      <c r="AM1156" s="20"/>
      <c r="AN1156" s="20"/>
      <c r="AO1156" s="20"/>
      <c r="AP1156" s="20"/>
      <c r="AQ1156" s="20"/>
      <c r="AR1156" s="20"/>
      <c r="AS1156" s="7"/>
      <c r="AT1156" s="6"/>
      <c r="AU1156" s="20"/>
    </row>
    <row r="1157" spans="1:47" ht="15" customHeight="1">
      <c r="A1157" s="41" t="s">
        <v>183</v>
      </c>
      <c r="B1157" s="385" t="s">
        <v>4336</v>
      </c>
      <c r="C1157" s="18" t="s">
        <v>4336</v>
      </c>
      <c r="D1157" s="377" t="s">
        <v>213</v>
      </c>
      <c r="E1157" s="20" t="s">
        <v>4339</v>
      </c>
      <c r="F1157" s="385"/>
      <c r="G1157" s="390" t="s">
        <v>4338</v>
      </c>
      <c r="H1157" s="6">
        <v>3541</v>
      </c>
      <c r="I1157" s="7" t="s">
        <v>2</v>
      </c>
      <c r="J1157" s="406" t="s">
        <v>5411</v>
      </c>
      <c r="K1157" s="22">
        <v>40999</v>
      </c>
      <c r="L1157" s="324">
        <v>40996</v>
      </c>
      <c r="M1157" s="7">
        <v>3</v>
      </c>
      <c r="N1157" s="7" t="s">
        <v>2</v>
      </c>
      <c r="O1157" s="6">
        <f>1.8/2</f>
        <v>0.9</v>
      </c>
      <c r="P1157" s="20">
        <v>6</v>
      </c>
      <c r="Q1157" s="7">
        <v>6.7</v>
      </c>
      <c r="R1157" s="6">
        <f>20/2</f>
        <v>10</v>
      </c>
      <c r="S1157" s="7">
        <v>1.8</v>
      </c>
      <c r="T1157" s="6">
        <v>2.7E-2</v>
      </c>
      <c r="U1157" s="9">
        <v>1.1000000000000001</v>
      </c>
      <c r="V1157" s="6">
        <v>0.82</v>
      </c>
      <c r="W1157" s="7">
        <f>0.005/2</f>
        <v>2.5000000000000001E-3</v>
      </c>
      <c r="X1157" s="6">
        <v>0.21099999999999999</v>
      </c>
      <c r="Y1157" s="7">
        <f>0.005/2</f>
        <v>2.5000000000000001E-3</v>
      </c>
      <c r="Z1157" s="323"/>
      <c r="AA1157" s="323"/>
      <c r="AB1157" s="20"/>
      <c r="AC1157" s="7"/>
      <c r="AD1157" s="323"/>
      <c r="AE1157" s="7"/>
      <c r="AF1157" s="19"/>
      <c r="AG1157" s="20"/>
      <c r="AH1157" s="20"/>
      <c r="AI1157" s="20"/>
      <c r="AJ1157" s="20"/>
      <c r="AK1157" s="20"/>
      <c r="AL1157" s="20"/>
      <c r="AM1157" s="20"/>
      <c r="AN1157" s="20"/>
      <c r="AO1157" s="20"/>
      <c r="AP1157" s="20"/>
      <c r="AQ1157" s="20"/>
      <c r="AR1157" s="20"/>
      <c r="AS1157" s="7"/>
      <c r="AT1157" s="6"/>
      <c r="AU1157" s="20"/>
    </row>
    <row r="1158" spans="1:47" ht="15" customHeight="1">
      <c r="A1158" s="41" t="s">
        <v>183</v>
      </c>
      <c r="B1158" s="385" t="s">
        <v>4336</v>
      </c>
      <c r="C1158" s="18" t="s">
        <v>4336</v>
      </c>
      <c r="D1158" s="377" t="s">
        <v>213</v>
      </c>
      <c r="E1158" s="20" t="s">
        <v>4340</v>
      </c>
      <c r="F1158" s="385"/>
      <c r="G1158" s="390" t="s">
        <v>4338</v>
      </c>
      <c r="H1158" s="6">
        <v>3541</v>
      </c>
      <c r="I1158" s="7" t="s">
        <v>2</v>
      </c>
      <c r="J1158" s="344" t="s">
        <v>255</v>
      </c>
      <c r="K1158" s="22">
        <v>41223</v>
      </c>
      <c r="L1158" s="324">
        <v>41211</v>
      </c>
      <c r="M1158" s="7">
        <v>12</v>
      </c>
      <c r="N1158" s="7" t="s">
        <v>2</v>
      </c>
      <c r="O1158" s="326">
        <f>1.7/2</f>
        <v>0.85</v>
      </c>
      <c r="P1158" s="20">
        <v>5.2</v>
      </c>
      <c r="Q1158" s="7">
        <v>6.5</v>
      </c>
      <c r="R1158" s="6">
        <v>26</v>
      </c>
      <c r="S1158" s="7">
        <v>29.1</v>
      </c>
      <c r="T1158" s="6">
        <v>0.13</v>
      </c>
      <c r="U1158" s="9">
        <v>1.1000000000000001</v>
      </c>
      <c r="V1158" s="6">
        <f>0.46/2</f>
        <v>0.23</v>
      </c>
      <c r="W1158" s="7">
        <f>0.005/2</f>
        <v>2.5000000000000001E-3</v>
      </c>
      <c r="X1158" s="6">
        <v>0.02</v>
      </c>
      <c r="Y1158" s="7">
        <f>0.005/2</f>
        <v>2.5000000000000001E-3</v>
      </c>
      <c r="Z1158" s="323"/>
      <c r="AA1158" s="323"/>
      <c r="AB1158" s="20"/>
      <c r="AC1158" s="7"/>
      <c r="AD1158" s="323"/>
      <c r="AE1158" s="7"/>
      <c r="AF1158" s="19"/>
      <c r="AG1158" s="20"/>
      <c r="AH1158" s="20"/>
      <c r="AI1158" s="20"/>
      <c r="AJ1158" s="20"/>
      <c r="AK1158" s="20"/>
      <c r="AL1158" s="20"/>
      <c r="AM1158" s="20"/>
      <c r="AN1158" s="20"/>
      <c r="AO1158" s="20"/>
      <c r="AP1158" s="20"/>
      <c r="AQ1158" s="20"/>
      <c r="AR1158" s="20"/>
      <c r="AS1158" s="7"/>
      <c r="AT1158" s="6"/>
      <c r="AU1158" s="20"/>
    </row>
    <row r="1159" spans="1:47" ht="15" customHeight="1">
      <c r="A1159" s="41" t="s">
        <v>183</v>
      </c>
      <c r="B1159" s="385" t="s">
        <v>4336</v>
      </c>
      <c r="C1159" s="18" t="s">
        <v>4336</v>
      </c>
      <c r="D1159" s="377" t="s">
        <v>213</v>
      </c>
      <c r="E1159" s="20" t="s">
        <v>4337</v>
      </c>
      <c r="F1159" s="385"/>
      <c r="G1159" s="390" t="s">
        <v>4338</v>
      </c>
      <c r="H1159" s="6">
        <v>3541</v>
      </c>
      <c r="I1159" s="7" t="s">
        <v>2</v>
      </c>
      <c r="J1159" s="344" t="s">
        <v>1867</v>
      </c>
      <c r="K1159" s="22">
        <v>41223</v>
      </c>
      <c r="L1159" s="324">
        <v>41211</v>
      </c>
      <c r="M1159" s="7">
        <v>12</v>
      </c>
      <c r="N1159" s="7" t="s">
        <v>2</v>
      </c>
      <c r="O1159" s="6">
        <f>2/2</f>
        <v>1</v>
      </c>
      <c r="P1159" s="20">
        <v>5.2</v>
      </c>
      <c r="Q1159" s="7">
        <v>6</v>
      </c>
      <c r="R1159" s="6">
        <v>26</v>
      </c>
      <c r="S1159" s="7">
        <v>29.1</v>
      </c>
      <c r="T1159" s="6">
        <v>3.5999999999999997E-2</v>
      </c>
      <c r="U1159" s="9">
        <f>1/2</f>
        <v>0.5</v>
      </c>
      <c r="V1159" s="6">
        <v>0.87</v>
      </c>
      <c r="W1159" s="7">
        <f>0.007/2</f>
        <v>3.5000000000000001E-3</v>
      </c>
      <c r="X1159" s="6">
        <v>0.27100000000000002</v>
      </c>
      <c r="Y1159" s="7">
        <f>0.005/2</f>
        <v>2.5000000000000001E-3</v>
      </c>
      <c r="Z1159" s="323"/>
      <c r="AA1159" s="323"/>
      <c r="AB1159" s="20"/>
      <c r="AC1159" s="7"/>
      <c r="AD1159" s="323"/>
      <c r="AE1159" s="7"/>
      <c r="AF1159" s="19"/>
      <c r="AG1159" s="20"/>
      <c r="AH1159" s="20"/>
      <c r="AI1159" s="20"/>
      <c r="AJ1159" s="20"/>
      <c r="AK1159" s="20"/>
      <c r="AL1159" s="20"/>
      <c r="AM1159" s="20"/>
      <c r="AN1159" s="20"/>
      <c r="AO1159" s="20"/>
      <c r="AP1159" s="20"/>
      <c r="AQ1159" s="20"/>
      <c r="AR1159" s="20"/>
      <c r="AS1159" s="7"/>
      <c r="AT1159" s="6"/>
      <c r="AU1159" s="20"/>
    </row>
    <row r="1160" spans="1:47" ht="15" customHeight="1">
      <c r="A1160" s="41" t="s">
        <v>183</v>
      </c>
      <c r="B1160" s="385" t="s">
        <v>4336</v>
      </c>
      <c r="C1160" s="18" t="s">
        <v>4336</v>
      </c>
      <c r="D1160" s="377" t="s">
        <v>213</v>
      </c>
      <c r="E1160" s="20" t="s">
        <v>4342</v>
      </c>
      <c r="F1160" s="385"/>
      <c r="G1160" s="390" t="s">
        <v>4338</v>
      </c>
      <c r="H1160" s="6">
        <v>3541</v>
      </c>
      <c r="I1160" s="7" t="s">
        <v>2</v>
      </c>
      <c r="J1160" s="344" t="s">
        <v>1291</v>
      </c>
      <c r="K1160" s="22">
        <v>41223</v>
      </c>
      <c r="L1160" s="324">
        <v>41211</v>
      </c>
      <c r="M1160" s="7">
        <v>12</v>
      </c>
      <c r="N1160" s="7" t="s">
        <v>2</v>
      </c>
      <c r="O1160" s="6">
        <f>1.9/2</f>
        <v>0.95</v>
      </c>
      <c r="P1160" s="20">
        <v>5.2</v>
      </c>
      <c r="Q1160" s="7">
        <v>7.2</v>
      </c>
      <c r="R1160" s="6">
        <v>20</v>
      </c>
      <c r="S1160" s="7">
        <v>57</v>
      </c>
      <c r="T1160" s="6">
        <v>0.40500000000000003</v>
      </c>
      <c r="U1160" s="9">
        <f>1/2</f>
        <v>0.5</v>
      </c>
      <c r="V1160" s="6">
        <v>0.56000000000000005</v>
      </c>
      <c r="W1160" s="7">
        <f>0.005/2</f>
        <v>2.5000000000000001E-3</v>
      </c>
      <c r="X1160" s="6">
        <v>1.7999999999999999E-2</v>
      </c>
      <c r="Y1160" s="7">
        <f>0.005/2</f>
        <v>2.5000000000000001E-3</v>
      </c>
      <c r="Z1160" s="323"/>
      <c r="AA1160" s="323"/>
      <c r="AB1160" s="20"/>
      <c r="AC1160" s="7"/>
      <c r="AD1160" s="323"/>
      <c r="AE1160" s="7"/>
      <c r="AF1160" s="19"/>
      <c r="AG1160" s="20"/>
      <c r="AH1160" s="20"/>
      <c r="AI1160" s="20"/>
      <c r="AJ1160" s="20"/>
      <c r="AK1160" s="20"/>
      <c r="AL1160" s="20"/>
      <c r="AM1160" s="20"/>
      <c r="AN1160" s="20"/>
      <c r="AO1160" s="20"/>
      <c r="AP1160" s="20"/>
      <c r="AQ1160" s="20"/>
      <c r="AR1160" s="20"/>
      <c r="AS1160" s="7"/>
      <c r="AT1160" s="6"/>
      <c r="AU1160" s="20"/>
    </row>
    <row r="1161" spans="1:47" ht="15" customHeight="1">
      <c r="A1161" s="41" t="s">
        <v>183</v>
      </c>
      <c r="B1161" s="385" t="s">
        <v>4343</v>
      </c>
      <c r="C1161" s="18" t="s">
        <v>4343</v>
      </c>
      <c r="D1161" s="377" t="s">
        <v>314</v>
      </c>
      <c r="E1161" s="20" t="s">
        <v>2019</v>
      </c>
      <c r="F1161" s="385" t="s">
        <v>4344</v>
      </c>
      <c r="G1161" s="390" t="s">
        <v>2021</v>
      </c>
      <c r="H1161" s="6">
        <v>3511</v>
      </c>
      <c r="I1161" s="7" t="s">
        <v>1</v>
      </c>
      <c r="J1161" s="344" t="s">
        <v>1030</v>
      </c>
      <c r="K1161" s="22">
        <v>41030</v>
      </c>
      <c r="L1161" s="324">
        <v>41025</v>
      </c>
      <c r="M1161" s="7">
        <v>5</v>
      </c>
      <c r="N1161" s="7" t="s">
        <v>2</v>
      </c>
      <c r="O1161" s="6">
        <v>10</v>
      </c>
      <c r="P1161" s="20">
        <v>6.34</v>
      </c>
      <c r="Q1161" s="7">
        <v>6.34</v>
      </c>
      <c r="R1161" s="6">
        <v>55</v>
      </c>
      <c r="S1161" s="7">
        <v>1400</v>
      </c>
      <c r="T1161" s="6">
        <v>1.93</v>
      </c>
      <c r="U1161" s="9">
        <v>12.2</v>
      </c>
      <c r="V1161" s="6">
        <v>0.14000000000000001</v>
      </c>
      <c r="W1161" s="7">
        <v>0.10199999999999999</v>
      </c>
      <c r="X1161" s="6">
        <v>0.38600000000000001</v>
      </c>
      <c r="Y1161" s="7">
        <v>0.03</v>
      </c>
      <c r="Z1161" s="323"/>
      <c r="AA1161" s="323"/>
      <c r="AB1161" s="20"/>
      <c r="AC1161" s="7"/>
      <c r="AD1161" s="323"/>
      <c r="AE1161" s="7"/>
      <c r="AF1161" s="19"/>
      <c r="AG1161" s="20"/>
      <c r="AH1161" s="20"/>
      <c r="AI1161" s="20"/>
      <c r="AJ1161" s="20"/>
      <c r="AK1161" s="20"/>
      <c r="AL1161" s="20"/>
      <c r="AM1161" s="20"/>
      <c r="AN1161" s="20"/>
      <c r="AO1161" s="20"/>
      <c r="AP1161" s="20"/>
      <c r="AQ1161" s="20"/>
      <c r="AR1161" s="20"/>
      <c r="AS1161" s="7"/>
      <c r="AT1161" s="6"/>
      <c r="AU1161" s="20"/>
    </row>
    <row r="1162" spans="1:47" ht="15" customHeight="1">
      <c r="A1162" s="41" t="s">
        <v>183</v>
      </c>
      <c r="B1162" s="385" t="s">
        <v>4345</v>
      </c>
      <c r="C1162" s="18" t="s">
        <v>4345</v>
      </c>
      <c r="D1162" s="377" t="s">
        <v>303</v>
      </c>
      <c r="E1162" s="20" t="s">
        <v>4346</v>
      </c>
      <c r="F1162" s="385">
        <v>5306</v>
      </c>
      <c r="G1162" s="390" t="s">
        <v>455</v>
      </c>
      <c r="H1162" s="6">
        <v>3421</v>
      </c>
      <c r="I1162" s="7" t="s">
        <v>1</v>
      </c>
      <c r="J1162" s="344" t="s">
        <v>272</v>
      </c>
      <c r="K1162" s="22">
        <v>41030</v>
      </c>
      <c r="L1162" s="324">
        <v>41021</v>
      </c>
      <c r="M1162" s="7">
        <v>9</v>
      </c>
      <c r="N1162" s="7" t="s">
        <v>2</v>
      </c>
      <c r="O1162" s="6">
        <f>5/2</f>
        <v>2.5</v>
      </c>
      <c r="P1162" s="20">
        <v>5</v>
      </c>
      <c r="Q1162" s="7">
        <v>5.4</v>
      </c>
      <c r="R1162" s="6">
        <f>5/2</f>
        <v>2.5</v>
      </c>
      <c r="S1162" s="7">
        <v>34</v>
      </c>
      <c r="T1162" s="6">
        <f>0.1/2</f>
        <v>0.05</v>
      </c>
      <c r="U1162" s="9">
        <f>1/2</f>
        <v>0.5</v>
      </c>
      <c r="V1162" s="6">
        <v>0.17</v>
      </c>
      <c r="W1162" s="7">
        <f>0.04/2</f>
        <v>0.02</v>
      </c>
      <c r="X1162" s="6">
        <v>0.02</v>
      </c>
      <c r="Y1162" s="7">
        <f>0.013/2</f>
        <v>6.4999999999999997E-3</v>
      </c>
      <c r="Z1162" s="323"/>
      <c r="AA1162" s="323"/>
      <c r="AB1162" s="20"/>
      <c r="AC1162" s="7"/>
      <c r="AD1162" s="323"/>
      <c r="AE1162" s="7"/>
      <c r="AF1162" s="19"/>
      <c r="AG1162" s="20"/>
      <c r="AH1162" s="20"/>
      <c r="AI1162" s="20"/>
      <c r="AJ1162" s="20"/>
      <c r="AK1162" s="20"/>
      <c r="AL1162" s="20"/>
      <c r="AM1162" s="20"/>
      <c r="AN1162" s="20"/>
      <c r="AO1162" s="20"/>
      <c r="AP1162" s="20"/>
      <c r="AQ1162" s="20"/>
      <c r="AR1162" s="20"/>
      <c r="AS1162" s="7"/>
      <c r="AT1162" s="6"/>
      <c r="AU1162" s="20"/>
    </row>
    <row r="1163" spans="1:47" ht="15" customHeight="1">
      <c r="A1163" s="41" t="s">
        <v>183</v>
      </c>
      <c r="B1163" s="385" t="s">
        <v>4345</v>
      </c>
      <c r="C1163" s="18" t="s">
        <v>4345</v>
      </c>
      <c r="D1163" s="377" t="s">
        <v>303</v>
      </c>
      <c r="E1163" s="20" t="s">
        <v>4346</v>
      </c>
      <c r="F1163" s="385">
        <v>5306</v>
      </c>
      <c r="G1163" s="390" t="s">
        <v>455</v>
      </c>
      <c r="H1163" s="6">
        <v>3421</v>
      </c>
      <c r="I1163" s="7" t="s">
        <v>1</v>
      </c>
      <c r="J1163" s="344" t="s">
        <v>271</v>
      </c>
      <c r="K1163" s="22">
        <v>41030</v>
      </c>
      <c r="L1163" s="324">
        <v>41021</v>
      </c>
      <c r="M1163" s="7">
        <v>9</v>
      </c>
      <c r="N1163" s="7" t="s">
        <v>2</v>
      </c>
      <c r="O1163" s="6">
        <f>5/2</f>
        <v>2.5</v>
      </c>
      <c r="P1163" s="20">
        <v>5</v>
      </c>
      <c r="Q1163" s="7">
        <v>5.5</v>
      </c>
      <c r="R1163" s="6">
        <f>5/2</f>
        <v>2.5</v>
      </c>
      <c r="S1163" s="7">
        <v>35</v>
      </c>
      <c r="T1163" s="6">
        <f>0.1/2</f>
        <v>0.05</v>
      </c>
      <c r="U1163" s="9">
        <v>1.1000000000000001</v>
      </c>
      <c r="V1163" s="6">
        <v>0.43</v>
      </c>
      <c r="W1163" s="7">
        <f>0.04/2</f>
        <v>0.02</v>
      </c>
      <c r="X1163" s="6">
        <v>0.17</v>
      </c>
      <c r="Y1163" s="7">
        <f>0.013/2</f>
        <v>6.4999999999999997E-3</v>
      </c>
      <c r="Z1163" s="323"/>
      <c r="AA1163" s="323"/>
      <c r="AB1163" s="20"/>
      <c r="AC1163" s="7"/>
      <c r="AD1163" s="323"/>
      <c r="AE1163" s="7"/>
      <c r="AF1163" s="19"/>
      <c r="AG1163" s="20"/>
      <c r="AH1163" s="20"/>
      <c r="AI1163" s="20"/>
      <c r="AJ1163" s="20"/>
      <c r="AK1163" s="20"/>
      <c r="AL1163" s="20"/>
      <c r="AM1163" s="20"/>
      <c r="AN1163" s="20"/>
      <c r="AO1163" s="20"/>
      <c r="AP1163" s="20"/>
      <c r="AQ1163" s="20"/>
      <c r="AR1163" s="20"/>
      <c r="AS1163" s="7"/>
      <c r="AT1163" s="6"/>
      <c r="AU1163" s="20"/>
    </row>
    <row r="1164" spans="1:47" ht="15" customHeight="1">
      <c r="A1164" s="41" t="s">
        <v>183</v>
      </c>
      <c r="B1164" s="385" t="s">
        <v>1843</v>
      </c>
      <c r="C1164" s="18" t="s">
        <v>1383</v>
      </c>
      <c r="D1164" s="377" t="s">
        <v>200</v>
      </c>
      <c r="E1164" s="20" t="s">
        <v>112</v>
      </c>
      <c r="F1164" s="385"/>
      <c r="G1164" s="390" t="s">
        <v>2243</v>
      </c>
      <c r="H1164" s="6">
        <v>4151</v>
      </c>
      <c r="I1164" s="7" t="s">
        <v>1</v>
      </c>
      <c r="J1164" s="344" t="s">
        <v>641</v>
      </c>
      <c r="K1164" s="22">
        <v>41030</v>
      </c>
      <c r="L1164" s="324">
        <v>41025</v>
      </c>
      <c r="M1164" s="7">
        <v>5</v>
      </c>
      <c r="N1164" s="7" t="s">
        <v>2</v>
      </c>
      <c r="O1164" s="6">
        <f>1.4/2</f>
        <v>0.7</v>
      </c>
      <c r="P1164" s="20">
        <v>6.35</v>
      </c>
      <c r="Q1164" s="7">
        <v>6.26</v>
      </c>
      <c r="R1164" s="6">
        <v>20</v>
      </c>
      <c r="S1164" s="7">
        <v>22</v>
      </c>
      <c r="T1164" s="6">
        <v>0.17</v>
      </c>
      <c r="U1164" s="9">
        <v>1.79</v>
      </c>
      <c r="V1164" s="6">
        <v>0.4</v>
      </c>
      <c r="W1164" s="7">
        <f>0.005/2</f>
        <v>2.5000000000000001E-3</v>
      </c>
      <c r="X1164" s="6">
        <v>0.02</v>
      </c>
      <c r="Y1164" s="7">
        <f>0.002/2</f>
        <v>1E-3</v>
      </c>
      <c r="Z1164" s="323"/>
      <c r="AA1164" s="323"/>
      <c r="AB1164" s="20"/>
      <c r="AC1164" s="7"/>
      <c r="AD1164" s="323"/>
      <c r="AE1164" s="7"/>
      <c r="AF1164" s="19"/>
      <c r="AG1164" s="20"/>
      <c r="AH1164" s="20"/>
      <c r="AI1164" s="20"/>
      <c r="AJ1164" s="20"/>
      <c r="AK1164" s="20"/>
      <c r="AL1164" s="20"/>
      <c r="AM1164" s="20"/>
      <c r="AN1164" s="20"/>
      <c r="AO1164" s="20"/>
      <c r="AP1164" s="20"/>
      <c r="AQ1164" s="20"/>
      <c r="AR1164" s="20"/>
      <c r="AS1164" s="7"/>
      <c r="AT1164" s="6"/>
      <c r="AU1164" s="20"/>
    </row>
    <row r="1165" spans="1:47" ht="15" customHeight="1">
      <c r="A1165" s="41" t="s">
        <v>183</v>
      </c>
      <c r="B1165" s="385" t="s">
        <v>1843</v>
      </c>
      <c r="C1165" s="18" t="s">
        <v>2241</v>
      </c>
      <c r="D1165" s="377" t="s">
        <v>257</v>
      </c>
      <c r="E1165" s="20" t="s">
        <v>823</v>
      </c>
      <c r="F1165" s="385"/>
      <c r="G1165" s="390" t="s">
        <v>2242</v>
      </c>
      <c r="H1165" s="6">
        <v>4151</v>
      </c>
      <c r="I1165" s="7" t="s">
        <v>2</v>
      </c>
      <c r="J1165" s="344" t="s">
        <v>641</v>
      </c>
      <c r="K1165" s="22">
        <v>41030</v>
      </c>
      <c r="L1165" s="324">
        <v>41022</v>
      </c>
      <c r="M1165" s="7">
        <v>8</v>
      </c>
      <c r="N1165" s="7" t="s">
        <v>2</v>
      </c>
      <c r="O1165" s="6">
        <v>18</v>
      </c>
      <c r="P1165" s="20">
        <v>5.87</v>
      </c>
      <c r="Q1165" s="7">
        <v>7.3</v>
      </c>
      <c r="R1165" s="6">
        <v>41</v>
      </c>
      <c r="S1165" s="7">
        <v>440</v>
      </c>
      <c r="T1165" s="6">
        <v>0.47</v>
      </c>
      <c r="U1165" s="9">
        <v>1.52</v>
      </c>
      <c r="V1165" s="6">
        <v>0.56000000000000005</v>
      </c>
      <c r="W1165" s="7">
        <v>6.6000000000000003E-2</v>
      </c>
      <c r="X1165" s="6">
        <v>0.16600000000000001</v>
      </c>
      <c r="Y1165" s="7">
        <v>0.05</v>
      </c>
      <c r="Z1165" s="323"/>
      <c r="AA1165" s="323"/>
      <c r="AB1165" s="20"/>
      <c r="AC1165" s="7"/>
      <c r="AD1165" s="323"/>
      <c r="AE1165" s="7"/>
      <c r="AF1165" s="19"/>
      <c r="AG1165" s="20"/>
      <c r="AH1165" s="20"/>
      <c r="AI1165" s="20"/>
      <c r="AJ1165" s="20"/>
      <c r="AK1165" s="20"/>
      <c r="AL1165" s="20"/>
      <c r="AM1165" s="20"/>
      <c r="AN1165" s="20"/>
      <c r="AO1165" s="20"/>
      <c r="AP1165" s="20"/>
      <c r="AQ1165" s="20"/>
      <c r="AR1165" s="20"/>
      <c r="AS1165" s="7"/>
      <c r="AT1165" s="6"/>
      <c r="AU1165" s="20"/>
    </row>
    <row r="1166" spans="1:47" ht="15" customHeight="1">
      <c r="A1166" s="41" t="s">
        <v>183</v>
      </c>
      <c r="B1166" s="385" t="s">
        <v>1843</v>
      </c>
      <c r="C1166" s="18" t="s">
        <v>2241</v>
      </c>
      <c r="D1166" s="377" t="s">
        <v>257</v>
      </c>
      <c r="E1166" s="20" t="s">
        <v>823</v>
      </c>
      <c r="F1166" s="385"/>
      <c r="G1166" s="390" t="s">
        <v>2242</v>
      </c>
      <c r="H1166" s="6">
        <v>4151</v>
      </c>
      <c r="I1166" s="7" t="s">
        <v>2</v>
      </c>
      <c r="J1166" s="344" t="s">
        <v>643</v>
      </c>
      <c r="K1166" s="22">
        <v>41030</v>
      </c>
      <c r="L1166" s="324">
        <v>41022</v>
      </c>
      <c r="M1166" s="7">
        <v>8</v>
      </c>
      <c r="N1166" s="7" t="s">
        <v>2</v>
      </c>
      <c r="O1166" s="6">
        <v>10</v>
      </c>
      <c r="P1166" s="20">
        <v>5.87</v>
      </c>
      <c r="Q1166" s="7">
        <v>7.01</v>
      </c>
      <c r="R1166" s="6">
        <v>32</v>
      </c>
      <c r="S1166" s="7">
        <v>210</v>
      </c>
      <c r="T1166" s="6">
        <v>0.27</v>
      </c>
      <c r="U1166" s="9">
        <v>1.02</v>
      </c>
      <c r="V1166" s="6">
        <v>0.39</v>
      </c>
      <c r="W1166" s="7">
        <v>3.3000000000000002E-2</v>
      </c>
      <c r="X1166" s="6">
        <v>8.5000000000000006E-2</v>
      </c>
      <c r="Y1166" s="7">
        <v>0.02</v>
      </c>
      <c r="Z1166" s="323"/>
      <c r="AA1166" s="323"/>
      <c r="AB1166" s="20"/>
      <c r="AC1166" s="7"/>
      <c r="AD1166" s="323"/>
      <c r="AE1166" s="7"/>
      <c r="AF1166" s="19"/>
      <c r="AG1166" s="20"/>
      <c r="AH1166" s="20"/>
      <c r="AI1166" s="20"/>
      <c r="AJ1166" s="20"/>
      <c r="AK1166" s="20"/>
      <c r="AL1166" s="20"/>
      <c r="AM1166" s="20"/>
      <c r="AN1166" s="20"/>
      <c r="AO1166" s="20"/>
      <c r="AP1166" s="20"/>
      <c r="AQ1166" s="20"/>
      <c r="AR1166" s="20"/>
      <c r="AS1166" s="7"/>
      <c r="AT1166" s="6"/>
      <c r="AU1166" s="20"/>
    </row>
    <row r="1167" spans="1:47" ht="15" customHeight="1">
      <c r="A1167" s="41" t="s">
        <v>183</v>
      </c>
      <c r="B1167" s="385" t="s">
        <v>1843</v>
      </c>
      <c r="C1167" s="18" t="s">
        <v>4347</v>
      </c>
      <c r="D1167" s="377" t="s">
        <v>56</v>
      </c>
      <c r="E1167" s="20" t="s">
        <v>2211</v>
      </c>
      <c r="F1167" s="385"/>
      <c r="G1167" s="390" t="s">
        <v>2212</v>
      </c>
      <c r="H1167" s="6">
        <v>4151</v>
      </c>
      <c r="I1167" s="7" t="s">
        <v>1</v>
      </c>
      <c r="J1167" s="344" t="s">
        <v>510</v>
      </c>
      <c r="K1167" s="22">
        <v>41044</v>
      </c>
      <c r="L1167" s="324">
        <v>41039</v>
      </c>
      <c r="M1167" s="7">
        <v>5</v>
      </c>
      <c r="N1167" s="7" t="s">
        <v>2</v>
      </c>
      <c r="O1167" s="6">
        <v>19</v>
      </c>
      <c r="P1167" s="20">
        <v>6.5</v>
      </c>
      <c r="Q1167" s="7">
        <v>7.48</v>
      </c>
      <c r="R1167" s="6">
        <v>280</v>
      </c>
      <c r="S1167" s="7">
        <v>560</v>
      </c>
      <c r="T1167" s="6">
        <v>0.48</v>
      </c>
      <c r="U1167" s="9">
        <v>1.36</v>
      </c>
      <c r="V1167" s="6">
        <f>0.01/2</f>
        <v>5.0000000000000001E-3</v>
      </c>
      <c r="W1167" s="7">
        <v>5.6000000000000001E-2</v>
      </c>
      <c r="X1167" s="6">
        <v>0.13600000000000001</v>
      </c>
      <c r="Y1167" s="7">
        <v>8.0000000000000002E-3</v>
      </c>
      <c r="Z1167" s="323">
        <v>1</v>
      </c>
      <c r="AA1167" s="323">
        <v>1</v>
      </c>
      <c r="AB1167" s="20">
        <v>12</v>
      </c>
      <c r="AC1167" s="7">
        <v>38</v>
      </c>
      <c r="AD1167" s="323">
        <v>1</v>
      </c>
      <c r="AE1167" s="7"/>
      <c r="AF1167" s="19"/>
      <c r="AG1167" s="20"/>
      <c r="AH1167" s="20"/>
      <c r="AI1167" s="20"/>
      <c r="AJ1167" s="20"/>
      <c r="AK1167" s="20"/>
      <c r="AL1167" s="20"/>
      <c r="AM1167" s="20"/>
      <c r="AN1167" s="20"/>
      <c r="AO1167" s="20"/>
      <c r="AP1167" s="20"/>
      <c r="AQ1167" s="20"/>
      <c r="AR1167" s="20"/>
      <c r="AS1167" s="7"/>
      <c r="AT1167" s="6"/>
      <c r="AU1167" s="20"/>
    </row>
    <row r="1168" spans="1:47" ht="15" customHeight="1">
      <c r="A1168" s="41" t="s">
        <v>183</v>
      </c>
      <c r="B1168" s="385" t="s">
        <v>4348</v>
      </c>
      <c r="C1168" s="18" t="s">
        <v>4349</v>
      </c>
      <c r="D1168" s="377" t="s">
        <v>379</v>
      </c>
      <c r="E1168" s="20" t="s">
        <v>214</v>
      </c>
      <c r="F1168" s="385">
        <v>4315</v>
      </c>
      <c r="G1168" s="390" t="s">
        <v>4350</v>
      </c>
      <c r="H1168" s="6">
        <v>2653</v>
      </c>
      <c r="I1168" s="7" t="s">
        <v>1</v>
      </c>
      <c r="J1168" s="344" t="s">
        <v>4351</v>
      </c>
      <c r="K1168" s="22">
        <v>40996</v>
      </c>
      <c r="L1168" s="324">
        <v>40977</v>
      </c>
      <c r="M1168" s="7">
        <v>19</v>
      </c>
      <c r="N1168" s="7" t="s">
        <v>2</v>
      </c>
      <c r="O1168" s="6">
        <v>4</v>
      </c>
      <c r="P1168" s="20">
        <v>5.5</v>
      </c>
      <c r="Q1168" s="7">
        <v>7.4</v>
      </c>
      <c r="R1168" s="6">
        <v>220</v>
      </c>
      <c r="S1168" s="7">
        <v>160</v>
      </c>
      <c r="T1168" s="6">
        <v>0.25900000000000001</v>
      </c>
      <c r="U1168" s="9">
        <v>1.6</v>
      </c>
      <c r="V1168" s="6">
        <v>0.67</v>
      </c>
      <c r="W1168" s="7">
        <v>2.3E-2</v>
      </c>
      <c r="X1168" s="6">
        <v>0.29599999999999999</v>
      </c>
      <c r="Y1168" s="7">
        <v>1.0800000000000001E-2</v>
      </c>
      <c r="Z1168" s="323">
        <v>1</v>
      </c>
      <c r="AA1168" s="323">
        <v>1</v>
      </c>
      <c r="AB1168" s="20">
        <v>16</v>
      </c>
      <c r="AC1168" s="7">
        <v>84</v>
      </c>
      <c r="AD1168" s="323">
        <v>1</v>
      </c>
      <c r="AE1168" s="7"/>
      <c r="AF1168" s="19"/>
      <c r="AG1168" s="20"/>
      <c r="AH1168" s="20"/>
      <c r="AI1168" s="20"/>
      <c r="AJ1168" s="20"/>
      <c r="AK1168" s="20"/>
      <c r="AL1168" s="20"/>
      <c r="AM1168" s="20"/>
      <c r="AN1168" s="20"/>
      <c r="AO1168" s="20"/>
      <c r="AP1168" s="20"/>
      <c r="AQ1168" s="20"/>
      <c r="AR1168" s="20"/>
      <c r="AS1168" s="7"/>
      <c r="AT1168" s="6"/>
      <c r="AU1168" s="20"/>
    </row>
    <row r="1169" spans="1:79" ht="15" customHeight="1">
      <c r="A1169" s="41" t="s">
        <v>183</v>
      </c>
      <c r="B1169" s="385" t="s">
        <v>4352</v>
      </c>
      <c r="C1169" s="18" t="s">
        <v>4352</v>
      </c>
      <c r="D1169" s="377" t="s">
        <v>234</v>
      </c>
      <c r="E1169" s="20"/>
      <c r="F1169" s="385"/>
      <c r="G1169" s="390" t="s">
        <v>4248</v>
      </c>
      <c r="H1169" s="6">
        <v>3271</v>
      </c>
      <c r="I1169" s="7" t="s">
        <v>1</v>
      </c>
      <c r="J1169" s="344" t="s">
        <v>1528</v>
      </c>
      <c r="K1169" s="22">
        <v>40835</v>
      </c>
      <c r="L1169" s="324">
        <v>40832</v>
      </c>
      <c r="M1169" s="7">
        <v>3</v>
      </c>
      <c r="N1169" s="7" t="s">
        <v>2</v>
      </c>
      <c r="O1169" s="6">
        <f>2.5/2</f>
        <v>1.25</v>
      </c>
      <c r="P1169" s="20"/>
      <c r="Q1169" s="7">
        <v>8.81</v>
      </c>
      <c r="R1169" s="6">
        <v>35</v>
      </c>
      <c r="S1169" s="7">
        <v>245</v>
      </c>
      <c r="T1169" s="6">
        <v>0.11</v>
      </c>
      <c r="U1169" s="9">
        <v>0.31</v>
      </c>
      <c r="V1169" s="6">
        <v>0.31</v>
      </c>
      <c r="W1169" s="7">
        <v>0.01</v>
      </c>
      <c r="X1169" s="6">
        <v>0.04</v>
      </c>
      <c r="Y1169" s="7">
        <f>0.004/2</f>
        <v>2E-3</v>
      </c>
      <c r="Z1169" s="323">
        <v>1</v>
      </c>
      <c r="AA1169" s="323">
        <v>1</v>
      </c>
      <c r="AB1169" s="20">
        <v>14</v>
      </c>
      <c r="AC1169" s="7">
        <v>43.1</v>
      </c>
      <c r="AD1169" s="323">
        <v>1</v>
      </c>
      <c r="AE1169" s="7"/>
      <c r="AF1169" s="19"/>
      <c r="AG1169" s="20"/>
      <c r="AH1169" s="20"/>
      <c r="AI1169" s="20"/>
      <c r="AJ1169" s="20"/>
      <c r="AK1169" s="20"/>
      <c r="AL1169" s="20"/>
      <c r="AM1169" s="20"/>
      <c r="AN1169" s="20"/>
      <c r="AO1169" s="20"/>
      <c r="AP1169" s="20"/>
      <c r="AQ1169" s="20"/>
      <c r="AR1169" s="20"/>
      <c r="AS1169" s="7"/>
      <c r="AT1169" s="6"/>
      <c r="AU1169" s="20"/>
    </row>
    <row r="1170" spans="1:79" ht="15" customHeight="1">
      <c r="A1170" s="41" t="s">
        <v>183</v>
      </c>
      <c r="B1170" s="385" t="s">
        <v>4353</v>
      </c>
      <c r="C1170" s="18" t="s">
        <v>4353</v>
      </c>
      <c r="D1170" s="377" t="s">
        <v>684</v>
      </c>
      <c r="E1170" s="20" t="s">
        <v>112</v>
      </c>
      <c r="F1170" s="385"/>
      <c r="G1170" s="390" t="s">
        <v>3275</v>
      </c>
      <c r="H1170" s="6">
        <v>3841</v>
      </c>
      <c r="I1170" s="7" t="s">
        <v>2</v>
      </c>
      <c r="J1170" s="344" t="s">
        <v>3276</v>
      </c>
      <c r="K1170" s="22">
        <v>41043</v>
      </c>
      <c r="L1170" s="324">
        <v>41039</v>
      </c>
      <c r="M1170" s="7">
        <v>4</v>
      </c>
      <c r="N1170" s="7" t="s">
        <v>2</v>
      </c>
      <c r="O1170" s="6">
        <v>2.9</v>
      </c>
      <c r="P1170" s="20">
        <v>6.7</v>
      </c>
      <c r="Q1170" s="7">
        <v>6.1</v>
      </c>
      <c r="R1170" s="6">
        <v>42</v>
      </c>
      <c r="S1170" s="7">
        <v>35</v>
      </c>
      <c r="T1170" s="6">
        <v>0.2</v>
      </c>
      <c r="U1170" s="9">
        <v>3.21</v>
      </c>
      <c r="V1170" s="6">
        <v>0.67</v>
      </c>
      <c r="W1170" s="7">
        <v>0.04</v>
      </c>
      <c r="X1170" s="6">
        <v>0.36</v>
      </c>
      <c r="Y1170" s="7">
        <f>0.03/2</f>
        <v>1.4999999999999999E-2</v>
      </c>
      <c r="Z1170" s="323"/>
      <c r="AA1170" s="323"/>
      <c r="AB1170" s="20"/>
      <c r="AC1170" s="7"/>
      <c r="AD1170" s="323"/>
      <c r="AE1170" s="7"/>
      <c r="AF1170" s="19"/>
      <c r="AG1170" s="20"/>
      <c r="AH1170" s="20"/>
      <c r="AI1170" s="20"/>
      <c r="AJ1170" s="20"/>
      <c r="AK1170" s="20"/>
      <c r="AL1170" s="20"/>
      <c r="AM1170" s="20"/>
      <c r="AN1170" s="20"/>
      <c r="AO1170" s="20"/>
      <c r="AP1170" s="20"/>
      <c r="AQ1170" s="20"/>
      <c r="AR1170" s="20"/>
      <c r="AS1170" s="7"/>
      <c r="AT1170" s="6"/>
      <c r="AU1170" s="20"/>
    </row>
    <row r="1171" spans="1:79" ht="15" customHeight="1">
      <c r="A1171" s="41" t="s">
        <v>183</v>
      </c>
      <c r="B1171" s="385" t="s">
        <v>4353</v>
      </c>
      <c r="C1171" s="18" t="s">
        <v>4353</v>
      </c>
      <c r="D1171" s="377" t="s">
        <v>684</v>
      </c>
      <c r="E1171" s="20" t="s">
        <v>112</v>
      </c>
      <c r="F1171" s="385"/>
      <c r="G1171" s="390" t="s">
        <v>3275</v>
      </c>
      <c r="H1171" s="6">
        <v>3841</v>
      </c>
      <c r="I1171" s="7" t="s">
        <v>2</v>
      </c>
      <c r="J1171" s="344" t="s">
        <v>3277</v>
      </c>
      <c r="K1171" s="22">
        <v>41043</v>
      </c>
      <c r="L1171" s="324">
        <v>41039</v>
      </c>
      <c r="M1171" s="7">
        <v>4</v>
      </c>
      <c r="N1171" s="7" t="s">
        <v>2</v>
      </c>
      <c r="O1171" s="6">
        <f>2/2</f>
        <v>1</v>
      </c>
      <c r="P1171" s="20">
        <v>6.7</v>
      </c>
      <c r="Q1171" s="7">
        <v>7.1</v>
      </c>
      <c r="R1171" s="6">
        <f>10/2</f>
        <v>5</v>
      </c>
      <c r="S1171" s="7">
        <v>2</v>
      </c>
      <c r="T1171" s="6">
        <f>0.05/2</f>
        <v>2.5000000000000001E-2</v>
      </c>
      <c r="U1171" s="9">
        <v>0.16</v>
      </c>
      <c r="V1171" s="6">
        <v>2.73</v>
      </c>
      <c r="W1171" s="7">
        <f>0.01/2</f>
        <v>5.0000000000000001E-3</v>
      </c>
      <c r="X1171" s="6">
        <f>0.03/2</f>
        <v>1.4999999999999999E-2</v>
      </c>
      <c r="Y1171" s="7">
        <f>0.03/2</f>
        <v>1.4999999999999999E-2</v>
      </c>
      <c r="Z1171" s="323"/>
      <c r="AA1171" s="323"/>
      <c r="AB1171" s="20"/>
      <c r="AC1171" s="7"/>
      <c r="AD1171" s="323"/>
      <c r="AE1171" s="7"/>
      <c r="AF1171" s="19"/>
      <c r="AG1171" s="20"/>
      <c r="AH1171" s="20"/>
      <c r="AI1171" s="20"/>
      <c r="AJ1171" s="20"/>
      <c r="AK1171" s="20"/>
      <c r="AL1171" s="20"/>
      <c r="AM1171" s="20"/>
      <c r="AN1171" s="20"/>
      <c r="AO1171" s="20"/>
      <c r="AP1171" s="20"/>
      <c r="AQ1171" s="20"/>
      <c r="AR1171" s="20"/>
      <c r="AS1171" s="7"/>
      <c r="AT1171" s="6"/>
      <c r="AU1171" s="20"/>
    </row>
    <row r="1172" spans="1:79" ht="15" customHeight="1">
      <c r="A1172" s="41" t="s">
        <v>183</v>
      </c>
      <c r="B1172" s="385" t="s">
        <v>4353</v>
      </c>
      <c r="C1172" s="18" t="s">
        <v>4353</v>
      </c>
      <c r="D1172" s="377" t="s">
        <v>684</v>
      </c>
      <c r="E1172" s="20" t="s">
        <v>112</v>
      </c>
      <c r="F1172" s="385"/>
      <c r="G1172" s="390" t="s">
        <v>3275</v>
      </c>
      <c r="H1172" s="6">
        <v>3841</v>
      </c>
      <c r="I1172" s="7" t="s">
        <v>2</v>
      </c>
      <c r="J1172" s="344" t="s">
        <v>3278</v>
      </c>
      <c r="K1172" s="22">
        <v>41043</v>
      </c>
      <c r="L1172" s="324">
        <v>41039</v>
      </c>
      <c r="M1172" s="7">
        <v>4</v>
      </c>
      <c r="N1172" s="7" t="s">
        <v>2</v>
      </c>
      <c r="O1172" s="6">
        <v>3.2</v>
      </c>
      <c r="P1172" s="20">
        <v>6.7</v>
      </c>
      <c r="Q1172" s="7">
        <v>6.8</v>
      </c>
      <c r="R1172" s="6">
        <v>26</v>
      </c>
      <c r="S1172" s="7">
        <v>112</v>
      </c>
      <c r="T1172" s="6">
        <v>0.15</v>
      </c>
      <c r="U1172" s="9">
        <v>1.23</v>
      </c>
      <c r="V1172" s="6">
        <v>0.8</v>
      </c>
      <c r="W1172" s="7">
        <v>0.02</v>
      </c>
      <c r="X1172" s="6">
        <v>0.16800000000000001</v>
      </c>
      <c r="Y1172" s="7">
        <f>0.03/2</f>
        <v>1.4999999999999999E-2</v>
      </c>
      <c r="Z1172" s="323"/>
      <c r="AA1172" s="323"/>
      <c r="AB1172" s="20"/>
      <c r="AC1172" s="7"/>
      <c r="AD1172" s="323"/>
      <c r="AE1172" s="7"/>
      <c r="AF1172" s="19"/>
      <c r="AG1172" s="20"/>
      <c r="AH1172" s="20"/>
      <c r="AI1172" s="20"/>
      <c r="AJ1172" s="20"/>
      <c r="AK1172" s="20"/>
      <c r="AL1172" s="20"/>
      <c r="AM1172" s="20"/>
      <c r="AN1172" s="20"/>
      <c r="AO1172" s="20"/>
      <c r="AP1172" s="20"/>
      <c r="AQ1172" s="20"/>
      <c r="AR1172" s="20"/>
      <c r="AS1172" s="7"/>
      <c r="AT1172" s="6"/>
      <c r="AU1172" s="20"/>
    </row>
    <row r="1173" spans="1:79" ht="15" customHeight="1">
      <c r="A1173" s="41" t="s">
        <v>183</v>
      </c>
      <c r="B1173" s="385" t="s">
        <v>4354</v>
      </c>
      <c r="C1173" s="18" t="s">
        <v>4354</v>
      </c>
      <c r="D1173" s="377" t="s">
        <v>290</v>
      </c>
      <c r="E1173" s="20" t="s">
        <v>112</v>
      </c>
      <c r="F1173" s="385"/>
      <c r="G1173" s="405" t="s">
        <v>1851</v>
      </c>
      <c r="H1173" s="6">
        <v>2899</v>
      </c>
      <c r="I1173" s="7" t="s">
        <v>2</v>
      </c>
      <c r="J1173" s="344" t="s">
        <v>3144</v>
      </c>
      <c r="K1173" s="22">
        <v>40984</v>
      </c>
      <c r="L1173" s="324">
        <v>40971</v>
      </c>
      <c r="M1173" s="7">
        <v>3</v>
      </c>
      <c r="N1173" s="7" t="s">
        <v>2</v>
      </c>
      <c r="O1173" s="6">
        <f>2/2</f>
        <v>1</v>
      </c>
      <c r="P1173" s="20">
        <v>6.3</v>
      </c>
      <c r="Q1173" s="7">
        <v>7.8</v>
      </c>
      <c r="R1173" s="6">
        <f>20/2</f>
        <v>10</v>
      </c>
      <c r="S1173" s="7">
        <v>1.2</v>
      </c>
      <c r="T1173" s="6">
        <v>5.1999999999999998E-2</v>
      </c>
      <c r="U1173" s="9">
        <f>1/2</f>
        <v>0.5</v>
      </c>
      <c r="V1173" s="6">
        <v>1.07</v>
      </c>
      <c r="W1173" s="7">
        <f>0.005/2</f>
        <v>2.5000000000000001E-3</v>
      </c>
      <c r="X1173" s="6">
        <v>1.0999999999999999E-2</v>
      </c>
      <c r="Y1173" s="7">
        <f>0.005/2</f>
        <v>2.5000000000000001E-3</v>
      </c>
      <c r="Z1173" s="323"/>
      <c r="AA1173" s="323"/>
      <c r="AB1173" s="20"/>
      <c r="AC1173" s="7"/>
      <c r="AD1173" s="323"/>
      <c r="AE1173" s="7"/>
      <c r="AF1173" s="19"/>
      <c r="AG1173" s="20"/>
      <c r="AH1173" s="20"/>
      <c r="AI1173" s="20"/>
      <c r="AJ1173" s="20"/>
      <c r="AK1173" s="20"/>
      <c r="AL1173" s="20"/>
      <c r="AM1173" s="20"/>
      <c r="AN1173" s="20"/>
      <c r="AO1173" s="20"/>
      <c r="AP1173" s="20"/>
      <c r="AQ1173" s="20"/>
      <c r="AR1173" s="20"/>
      <c r="AS1173" s="7"/>
      <c r="AT1173" s="6"/>
      <c r="AU1173" s="20"/>
    </row>
    <row r="1174" spans="1:79" ht="15" customHeight="1">
      <c r="A1174" s="41" t="s">
        <v>183</v>
      </c>
      <c r="B1174" s="385" t="s">
        <v>4355</v>
      </c>
      <c r="C1174" s="18" t="s">
        <v>4355</v>
      </c>
      <c r="D1174" s="377" t="s">
        <v>1881</v>
      </c>
      <c r="E1174" s="20" t="s">
        <v>1329</v>
      </c>
      <c r="F1174" s="385"/>
      <c r="G1174" s="390" t="s">
        <v>1330</v>
      </c>
      <c r="H1174" s="6">
        <v>3398</v>
      </c>
      <c r="I1174" s="7" t="s">
        <v>2</v>
      </c>
      <c r="J1174" s="344" t="s">
        <v>3145</v>
      </c>
      <c r="K1174" s="22">
        <v>41072</v>
      </c>
      <c r="L1174" s="324">
        <v>41066</v>
      </c>
      <c r="M1174" s="7">
        <v>6</v>
      </c>
      <c r="N1174" s="7" t="s">
        <v>2</v>
      </c>
      <c r="O1174" s="6">
        <v>2.4</v>
      </c>
      <c r="P1174" s="20">
        <v>6.79</v>
      </c>
      <c r="Q1174" s="7">
        <v>3.86</v>
      </c>
      <c r="R1174" s="6">
        <v>130</v>
      </c>
      <c r="S1174" s="7">
        <v>210</v>
      </c>
      <c r="T1174" s="6">
        <v>0.39</v>
      </c>
      <c r="U1174" s="9">
        <v>2.65</v>
      </c>
      <c r="V1174" s="6">
        <v>0.34</v>
      </c>
      <c r="W1174" s="7">
        <v>3.5999999999999997E-2</v>
      </c>
      <c r="X1174" s="6">
        <v>0.161</v>
      </c>
      <c r="Y1174" s="7">
        <v>2.4E-2</v>
      </c>
      <c r="Z1174" s="323"/>
      <c r="AA1174" s="323"/>
      <c r="AB1174" s="20"/>
      <c r="AC1174" s="7"/>
      <c r="AD1174" s="323"/>
      <c r="AE1174" s="7"/>
      <c r="AF1174" s="19"/>
      <c r="AG1174" s="20"/>
      <c r="AH1174" s="20"/>
      <c r="AI1174" s="20"/>
      <c r="AJ1174" s="20"/>
      <c r="AK1174" s="20"/>
      <c r="AL1174" s="20"/>
      <c r="AM1174" s="20"/>
      <c r="AN1174" s="20"/>
      <c r="AO1174" s="20"/>
      <c r="AP1174" s="20"/>
      <c r="AQ1174" s="20"/>
      <c r="AR1174" s="20"/>
      <c r="AS1174" s="7"/>
      <c r="AT1174" s="6"/>
      <c r="AU1174" s="20"/>
    </row>
    <row r="1175" spans="1:79" s="400" customFormat="1" ht="15" customHeight="1">
      <c r="A1175" s="41" t="s">
        <v>183</v>
      </c>
      <c r="B1175" s="385" t="s">
        <v>4356</v>
      </c>
      <c r="C1175" s="18" t="s">
        <v>4356</v>
      </c>
      <c r="D1175" s="377" t="s">
        <v>262</v>
      </c>
      <c r="E1175" s="20" t="s">
        <v>4357</v>
      </c>
      <c r="F1175" s="385" t="s">
        <v>4358</v>
      </c>
      <c r="G1175" s="390" t="s">
        <v>4359</v>
      </c>
      <c r="H1175" s="384"/>
      <c r="I1175" s="385"/>
      <c r="J1175" s="344"/>
      <c r="K1175" s="22">
        <v>40835</v>
      </c>
      <c r="L1175" s="324"/>
      <c r="M1175" s="385"/>
      <c r="N1175" s="385"/>
      <c r="O1175" s="384">
        <v>1.25</v>
      </c>
      <c r="P1175" s="20"/>
      <c r="Q1175" s="385">
        <v>6.8</v>
      </c>
      <c r="R1175" s="384">
        <v>47</v>
      </c>
      <c r="S1175" s="385">
        <v>5</v>
      </c>
      <c r="T1175" s="384">
        <v>0.05</v>
      </c>
      <c r="U1175" s="9">
        <v>0.5</v>
      </c>
      <c r="V1175" s="384">
        <v>0.5</v>
      </c>
      <c r="W1175" s="385">
        <v>0.02</v>
      </c>
      <c r="X1175" s="384">
        <v>2.1000000000000001E-2</v>
      </c>
      <c r="Y1175" s="385">
        <v>6.4999999999999997E-3</v>
      </c>
      <c r="Z1175" s="323"/>
      <c r="AA1175" s="323"/>
      <c r="AB1175" s="20"/>
      <c r="AC1175" s="385"/>
      <c r="AD1175" s="323"/>
      <c r="AE1175" s="385"/>
      <c r="AF1175" s="378"/>
      <c r="AG1175" s="20"/>
      <c r="AH1175" s="20"/>
      <c r="AI1175" s="20"/>
      <c r="AJ1175" s="20"/>
      <c r="AK1175" s="20"/>
      <c r="AL1175" s="20"/>
      <c r="AM1175" s="20"/>
      <c r="AN1175" s="20"/>
      <c r="AO1175" s="20"/>
      <c r="AP1175" s="20"/>
      <c r="AQ1175" s="20"/>
      <c r="AR1175" s="20"/>
      <c r="AS1175" s="385"/>
      <c r="AT1175" s="384"/>
      <c r="AU1175" s="20"/>
      <c r="AV1175" s="394"/>
      <c r="AW1175" s="394"/>
      <c r="AX1175" s="5"/>
      <c r="AY1175" s="5"/>
      <c r="AZ1175" s="5"/>
      <c r="BA1175" s="5"/>
      <c r="BB1175" s="5"/>
      <c r="BC1175" s="5"/>
      <c r="BD1175" s="5"/>
      <c r="BE1175" s="5"/>
      <c r="BF1175" s="5"/>
      <c r="BG1175" s="5"/>
      <c r="BH1175" s="5"/>
      <c r="BI1175" s="5"/>
      <c r="BJ1175" s="5"/>
      <c r="BK1175" s="5"/>
      <c r="BL1175" s="5"/>
      <c r="BM1175" s="5"/>
      <c r="BN1175" s="5"/>
      <c r="BO1175" s="5"/>
      <c r="BP1175" s="5"/>
      <c r="BQ1175" s="5"/>
      <c r="BR1175" s="5"/>
      <c r="BS1175" s="5"/>
      <c r="BT1175" s="5"/>
      <c r="BU1175" s="5"/>
      <c r="BV1175" s="5"/>
      <c r="BW1175" s="5"/>
      <c r="BX1175" s="5"/>
      <c r="BY1175" s="5"/>
      <c r="BZ1175" s="5"/>
      <c r="CA1175" s="5"/>
    </row>
    <row r="1176" spans="1:79" ht="15" customHeight="1">
      <c r="A1176" s="41" t="s">
        <v>183</v>
      </c>
      <c r="B1176" s="385" t="s">
        <v>4356</v>
      </c>
      <c r="C1176" s="18" t="s">
        <v>4356</v>
      </c>
      <c r="D1176" s="377" t="s">
        <v>262</v>
      </c>
      <c r="E1176" s="20" t="s">
        <v>4357</v>
      </c>
      <c r="F1176" s="385" t="s">
        <v>4358</v>
      </c>
      <c r="G1176" s="390" t="s">
        <v>4359</v>
      </c>
      <c r="H1176" s="6"/>
      <c r="I1176" s="7" t="s">
        <v>1</v>
      </c>
      <c r="J1176" s="344" t="s">
        <v>4360</v>
      </c>
      <c r="K1176" s="22">
        <v>41044</v>
      </c>
      <c r="L1176" s="324">
        <v>41039</v>
      </c>
      <c r="M1176" s="7">
        <v>5</v>
      </c>
      <c r="N1176" s="7" t="s">
        <v>2</v>
      </c>
      <c r="O1176" s="6">
        <v>2.1</v>
      </c>
      <c r="P1176" s="20">
        <v>8.1</v>
      </c>
      <c r="Q1176" s="7">
        <v>7.2</v>
      </c>
      <c r="R1176" s="6">
        <v>43</v>
      </c>
      <c r="S1176" s="7">
        <v>2</v>
      </c>
      <c r="T1176" s="6">
        <v>0.05</v>
      </c>
      <c r="U1176" s="9">
        <v>0.6</v>
      </c>
      <c r="V1176" s="6">
        <v>0.51600000000000001</v>
      </c>
      <c r="W1176" s="7">
        <v>5.6600000000000001E-3</v>
      </c>
      <c r="X1176" s="6">
        <v>2.3199999999999998E-2</v>
      </c>
      <c r="Y1176" s="7">
        <v>4.8199999999999996E-3</v>
      </c>
      <c r="Z1176" s="323"/>
      <c r="AA1176" s="323"/>
      <c r="AB1176" s="20"/>
      <c r="AC1176" s="7"/>
      <c r="AD1176" s="323"/>
      <c r="AE1176" s="7"/>
      <c r="AF1176" s="19"/>
      <c r="AG1176" s="20"/>
      <c r="AH1176" s="20"/>
      <c r="AI1176" s="20"/>
      <c r="AJ1176" s="20"/>
      <c r="AK1176" s="20"/>
      <c r="AL1176" s="20"/>
      <c r="AM1176" s="20"/>
      <c r="AN1176" s="20"/>
      <c r="AO1176" s="20"/>
      <c r="AP1176" s="20"/>
      <c r="AQ1176" s="20"/>
      <c r="AR1176" s="20"/>
      <c r="AS1176" s="7"/>
      <c r="AT1176" s="6"/>
      <c r="AU1176" s="20"/>
    </row>
    <row r="1177" spans="1:79" ht="15" customHeight="1">
      <c r="A1177" s="41" t="s">
        <v>183</v>
      </c>
      <c r="B1177" s="385" t="s">
        <v>4361</v>
      </c>
      <c r="C1177" s="18"/>
      <c r="D1177" s="377" t="s">
        <v>2591</v>
      </c>
      <c r="E1177" s="20" t="s">
        <v>4362</v>
      </c>
      <c r="F1177" s="385"/>
      <c r="G1177" s="390" t="s">
        <v>4363</v>
      </c>
      <c r="H1177" s="6">
        <v>5171</v>
      </c>
      <c r="I1177" s="7" t="s">
        <v>2</v>
      </c>
      <c r="J1177" s="344" t="s">
        <v>2494</v>
      </c>
      <c r="K1177" s="22">
        <v>41182</v>
      </c>
      <c r="L1177" s="324">
        <v>41181</v>
      </c>
      <c r="M1177" s="7">
        <v>1</v>
      </c>
      <c r="N1177" s="7" t="s">
        <v>2</v>
      </c>
      <c r="O1177" s="6">
        <f>2/2</f>
        <v>1</v>
      </c>
      <c r="P1177" s="20">
        <v>7.5</v>
      </c>
      <c r="Q1177" s="7">
        <v>6.9</v>
      </c>
      <c r="R1177" s="6">
        <v>18</v>
      </c>
      <c r="S1177" s="7">
        <v>61</v>
      </c>
      <c r="T1177" s="6">
        <v>0.2</v>
      </c>
      <c r="U1177" s="9">
        <v>0.54</v>
      </c>
      <c r="V1177" s="6">
        <v>0.41</v>
      </c>
      <c r="W1177" s="7">
        <v>1.9E-2</v>
      </c>
      <c r="X1177" s="6">
        <v>3.7999999999999999E-2</v>
      </c>
      <c r="Y1177" s="7">
        <f>0.03/2</f>
        <v>1.4999999999999999E-2</v>
      </c>
      <c r="Z1177" s="323">
        <v>1</v>
      </c>
      <c r="AA1177" s="323">
        <v>1</v>
      </c>
      <c r="AB1177" s="20">
        <v>31</v>
      </c>
      <c r="AC1177" s="7">
        <v>104</v>
      </c>
      <c r="AD1177" s="323">
        <v>1</v>
      </c>
      <c r="AE1177" s="7"/>
      <c r="AF1177" s="19"/>
      <c r="AG1177" s="20"/>
      <c r="AH1177" s="20"/>
      <c r="AI1177" s="20"/>
      <c r="AJ1177" s="20"/>
      <c r="AK1177" s="20"/>
      <c r="AL1177" s="20"/>
      <c r="AM1177" s="20"/>
      <c r="AN1177" s="20"/>
      <c r="AO1177" s="20"/>
      <c r="AP1177" s="20"/>
      <c r="AQ1177" s="20"/>
      <c r="AR1177" s="20"/>
      <c r="AS1177" s="7"/>
      <c r="AT1177" s="6"/>
      <c r="AU1177" s="20"/>
    </row>
    <row r="1178" spans="1:79" ht="15" customHeight="1">
      <c r="A1178" s="41" t="s">
        <v>183</v>
      </c>
      <c r="B1178" s="385" t="s">
        <v>4361</v>
      </c>
      <c r="C1178" s="18"/>
      <c r="D1178" s="377" t="s">
        <v>2591</v>
      </c>
      <c r="E1178" s="20" t="s">
        <v>4362</v>
      </c>
      <c r="F1178" s="385"/>
      <c r="G1178" s="390" t="s">
        <v>4363</v>
      </c>
      <c r="H1178" s="6">
        <v>5171</v>
      </c>
      <c r="I1178" s="7" t="s">
        <v>2</v>
      </c>
      <c r="J1178" s="344" t="s">
        <v>3251</v>
      </c>
      <c r="K1178" s="22">
        <v>41182</v>
      </c>
      <c r="L1178" s="324">
        <v>41181</v>
      </c>
      <c r="M1178" s="7">
        <v>1</v>
      </c>
      <c r="N1178" s="7" t="s">
        <v>2</v>
      </c>
      <c r="O1178" s="6">
        <f>2/2</f>
        <v>1</v>
      </c>
      <c r="P1178" s="20">
        <v>7.5</v>
      </c>
      <c r="Q1178" s="7">
        <v>7.4</v>
      </c>
      <c r="R1178" s="6">
        <v>24</v>
      </c>
      <c r="S1178" s="7">
        <v>10</v>
      </c>
      <c r="T1178" s="6">
        <v>0.14000000000000001</v>
      </c>
      <c r="U1178" s="9">
        <v>0.84</v>
      </c>
      <c r="V1178" s="6">
        <v>0.34</v>
      </c>
      <c r="W1178" s="7">
        <v>1.6E-2</v>
      </c>
      <c r="X1178" s="6">
        <f>0.03/2</f>
        <v>1.4999999999999999E-2</v>
      </c>
      <c r="Y1178" s="7">
        <f>0.03/2</f>
        <v>1.4999999999999999E-2</v>
      </c>
      <c r="Z1178" s="323">
        <v>1</v>
      </c>
      <c r="AA1178" s="323">
        <v>1</v>
      </c>
      <c r="AB1178" s="20">
        <v>54</v>
      </c>
      <c r="AC1178" s="7">
        <v>130</v>
      </c>
      <c r="AD1178" s="323">
        <v>1</v>
      </c>
      <c r="AE1178" s="7"/>
      <c r="AF1178" s="19"/>
      <c r="AG1178" s="20"/>
      <c r="AH1178" s="20"/>
      <c r="AI1178" s="20"/>
      <c r="AJ1178" s="20"/>
      <c r="AK1178" s="20"/>
      <c r="AL1178" s="20"/>
      <c r="AM1178" s="20"/>
      <c r="AN1178" s="20"/>
      <c r="AO1178" s="20"/>
      <c r="AP1178" s="20"/>
      <c r="AQ1178" s="20"/>
      <c r="AR1178" s="20"/>
      <c r="AS1178" s="7"/>
      <c r="AT1178" s="6"/>
      <c r="AU1178" s="20"/>
    </row>
    <row r="1179" spans="1:79" ht="15" customHeight="1">
      <c r="A1179" s="41" t="s">
        <v>183</v>
      </c>
      <c r="B1179" s="385" t="s">
        <v>4364</v>
      </c>
      <c r="C1179" s="18" t="s">
        <v>4364</v>
      </c>
      <c r="D1179" s="377" t="s">
        <v>2913</v>
      </c>
      <c r="E1179" s="20"/>
      <c r="F1179" s="385"/>
      <c r="G1179" s="390" t="s">
        <v>4365</v>
      </c>
      <c r="H1179" s="6"/>
      <c r="I1179" s="7"/>
      <c r="J1179" s="344" t="s">
        <v>641</v>
      </c>
      <c r="K1179" s="22">
        <v>41184</v>
      </c>
      <c r="L1179" s="324">
        <v>41180</v>
      </c>
      <c r="M1179" s="7">
        <v>4</v>
      </c>
      <c r="N1179" s="7" t="s">
        <v>2</v>
      </c>
      <c r="O1179" s="6">
        <v>5</v>
      </c>
      <c r="P1179" s="20">
        <v>5.42</v>
      </c>
      <c r="Q1179" s="7">
        <v>7.14</v>
      </c>
      <c r="R1179" s="6">
        <v>6.8</v>
      </c>
      <c r="S1179" s="7">
        <f>1/2</f>
        <v>0.5</v>
      </c>
      <c r="T1179" s="6">
        <f>0.05/2</f>
        <v>2.5000000000000001E-2</v>
      </c>
      <c r="U1179" s="9">
        <v>0.43</v>
      </c>
      <c r="V1179" s="6">
        <f>0.2/2</f>
        <v>0.1</v>
      </c>
      <c r="W1179" s="7">
        <f>0.01/2</f>
        <v>5.0000000000000001E-3</v>
      </c>
      <c r="X1179" s="6">
        <v>0.26</v>
      </c>
      <c r="Y1179" s="7">
        <f>0.02/2</f>
        <v>0.01</v>
      </c>
      <c r="Z1179" s="323"/>
      <c r="AA1179" s="323"/>
      <c r="AB1179" s="20"/>
      <c r="AC1179" s="7"/>
      <c r="AD1179" s="323"/>
      <c r="AE1179" s="7"/>
      <c r="AF1179" s="19"/>
      <c r="AG1179" s="20"/>
      <c r="AH1179" s="20"/>
      <c r="AI1179" s="20"/>
      <c r="AJ1179" s="20"/>
      <c r="AK1179" s="20"/>
      <c r="AL1179" s="20"/>
      <c r="AM1179" s="20"/>
      <c r="AN1179" s="20"/>
      <c r="AO1179" s="20"/>
      <c r="AP1179" s="20"/>
      <c r="AQ1179" s="20"/>
      <c r="AR1179" s="20"/>
      <c r="AS1179" s="7"/>
      <c r="AT1179" s="6"/>
      <c r="AU1179" s="20"/>
    </row>
    <row r="1180" spans="1:79" ht="15" customHeight="1">
      <c r="A1180" s="41" t="s">
        <v>183</v>
      </c>
      <c r="B1180" s="385" t="s">
        <v>4364</v>
      </c>
      <c r="C1180" s="18" t="s">
        <v>4364</v>
      </c>
      <c r="D1180" s="377" t="s">
        <v>2913</v>
      </c>
      <c r="E1180" s="20"/>
      <c r="F1180" s="385"/>
      <c r="G1180" s="390" t="s">
        <v>4365</v>
      </c>
      <c r="H1180" s="6"/>
      <c r="I1180" s="7"/>
      <c r="J1180" s="344" t="s">
        <v>643</v>
      </c>
      <c r="K1180" s="22">
        <v>41184</v>
      </c>
      <c r="L1180" s="324">
        <v>41180</v>
      </c>
      <c r="M1180" s="7">
        <v>4</v>
      </c>
      <c r="N1180" s="7" t="s">
        <v>2</v>
      </c>
      <c r="O1180" s="6">
        <v>3.3</v>
      </c>
      <c r="P1180" s="20">
        <v>5.21</v>
      </c>
      <c r="Q1180" s="7">
        <v>5.74</v>
      </c>
      <c r="R1180" s="6">
        <f>2/2</f>
        <v>1</v>
      </c>
      <c r="S1180" s="7">
        <f>1/2</f>
        <v>0.5</v>
      </c>
      <c r="T1180" s="6">
        <f>0.05/2</f>
        <v>2.5000000000000001E-2</v>
      </c>
      <c r="U1180" s="9">
        <v>0.39</v>
      </c>
      <c r="V1180" s="6">
        <f>0.2/2</f>
        <v>0.1</v>
      </c>
      <c r="W1180" s="7">
        <f>0.01/2</f>
        <v>5.0000000000000001E-3</v>
      </c>
      <c r="X1180" s="6">
        <v>0.1</v>
      </c>
      <c r="Y1180" s="7">
        <f>0.02/2</f>
        <v>0.01</v>
      </c>
      <c r="Z1180" s="323"/>
      <c r="AA1180" s="323"/>
      <c r="AB1180" s="20"/>
      <c r="AC1180" s="7"/>
      <c r="AD1180" s="323"/>
      <c r="AE1180" s="7"/>
      <c r="AF1180" s="19"/>
      <c r="AG1180" s="20"/>
      <c r="AH1180" s="20"/>
      <c r="AI1180" s="20"/>
      <c r="AJ1180" s="20"/>
      <c r="AK1180" s="20"/>
      <c r="AL1180" s="20"/>
      <c r="AM1180" s="20"/>
      <c r="AN1180" s="20"/>
      <c r="AO1180" s="20"/>
      <c r="AP1180" s="20"/>
      <c r="AQ1180" s="20"/>
      <c r="AR1180" s="20"/>
      <c r="AS1180" s="7"/>
      <c r="AT1180" s="6"/>
      <c r="AU1180" s="20"/>
    </row>
    <row r="1181" spans="1:79" ht="15" customHeight="1">
      <c r="A1181" s="41" t="s">
        <v>183</v>
      </c>
      <c r="B1181" s="385" t="s">
        <v>688</v>
      </c>
      <c r="C1181" s="18" t="s">
        <v>4366</v>
      </c>
      <c r="D1181" s="377" t="s">
        <v>234</v>
      </c>
      <c r="E1181" s="20" t="s">
        <v>235</v>
      </c>
      <c r="F1181" s="385"/>
      <c r="G1181" s="390" t="s">
        <v>689</v>
      </c>
      <c r="H1181" s="6">
        <v>3471</v>
      </c>
      <c r="I1181" s="7" t="s">
        <v>2</v>
      </c>
      <c r="J1181" s="344" t="s">
        <v>357</v>
      </c>
      <c r="K1181" s="22">
        <v>41170</v>
      </c>
      <c r="L1181" s="324">
        <v>41166</v>
      </c>
      <c r="M1181" s="7">
        <v>4</v>
      </c>
      <c r="N1181" s="7" t="s">
        <v>2</v>
      </c>
      <c r="O1181" s="6">
        <v>2.4</v>
      </c>
      <c r="P1181" s="20">
        <v>5</v>
      </c>
      <c r="Q1181" s="7">
        <v>5.33</v>
      </c>
      <c r="R1181" s="6">
        <v>38.4</v>
      </c>
      <c r="S1181" s="7">
        <v>6</v>
      </c>
      <c r="T1181" s="6">
        <v>0.15</v>
      </c>
      <c r="U1181" s="9">
        <v>2.94</v>
      </c>
      <c r="V1181" s="6">
        <v>1.3</v>
      </c>
      <c r="W1181" s="7">
        <v>0.105</v>
      </c>
      <c r="X1181" s="6">
        <v>0.19800000000000001</v>
      </c>
      <c r="Y1181" s="7">
        <v>1.6E-2</v>
      </c>
      <c r="Z1181" s="323"/>
      <c r="AA1181" s="323"/>
      <c r="AB1181" s="20">
        <v>17.13</v>
      </c>
      <c r="AC1181" s="7"/>
      <c r="AD1181" s="323"/>
      <c r="AE1181" s="7"/>
      <c r="AF1181" s="19"/>
      <c r="AG1181" s="20"/>
      <c r="AH1181" s="20"/>
      <c r="AI1181" s="20"/>
      <c r="AJ1181" s="20"/>
      <c r="AK1181" s="20"/>
      <c r="AL1181" s="20"/>
      <c r="AM1181" s="20"/>
      <c r="AN1181" s="20"/>
      <c r="AO1181" s="20"/>
      <c r="AP1181" s="20"/>
      <c r="AQ1181" s="20"/>
      <c r="AR1181" s="20"/>
      <c r="AS1181" s="7"/>
      <c r="AT1181" s="6"/>
      <c r="AU1181" s="20"/>
    </row>
    <row r="1182" spans="1:79" ht="15" customHeight="1">
      <c r="A1182" s="41" t="s">
        <v>183</v>
      </c>
      <c r="B1182" s="385" t="s">
        <v>688</v>
      </c>
      <c r="C1182" s="18" t="s">
        <v>4366</v>
      </c>
      <c r="D1182" s="377" t="s">
        <v>234</v>
      </c>
      <c r="E1182" s="20" t="s">
        <v>235</v>
      </c>
      <c r="F1182" s="385"/>
      <c r="G1182" s="390" t="s">
        <v>689</v>
      </c>
      <c r="H1182" s="6">
        <v>3471</v>
      </c>
      <c r="I1182" s="7" t="s">
        <v>2</v>
      </c>
      <c r="J1182" s="344" t="s">
        <v>691</v>
      </c>
      <c r="K1182" s="22">
        <v>41170</v>
      </c>
      <c r="L1182" s="324">
        <v>41166</v>
      </c>
      <c r="M1182" s="7">
        <v>4</v>
      </c>
      <c r="N1182" s="7" t="s">
        <v>2</v>
      </c>
      <c r="O1182" s="6">
        <v>2.4</v>
      </c>
      <c r="P1182" s="20">
        <v>5</v>
      </c>
      <c r="Q1182" s="7">
        <v>5.4</v>
      </c>
      <c r="R1182" s="6">
        <v>32.1</v>
      </c>
      <c r="S1182" s="7">
        <v>7</v>
      </c>
      <c r="T1182" s="6">
        <v>0.11</v>
      </c>
      <c r="U1182" s="9">
        <v>2.59</v>
      </c>
      <c r="V1182" s="6">
        <v>1.1299999999999999</v>
      </c>
      <c r="W1182" s="7">
        <v>0.13</v>
      </c>
      <c r="X1182" s="6">
        <v>0.21</v>
      </c>
      <c r="Y1182" s="7">
        <v>7.0000000000000001E-3</v>
      </c>
      <c r="Z1182" s="323"/>
      <c r="AA1182" s="323"/>
      <c r="AB1182" s="20">
        <v>11.26</v>
      </c>
      <c r="AC1182" s="7"/>
      <c r="AD1182" s="323"/>
      <c r="AE1182" s="7"/>
      <c r="AF1182" s="19"/>
      <c r="AG1182" s="20"/>
      <c r="AH1182" s="20"/>
      <c r="AI1182" s="20"/>
      <c r="AJ1182" s="20"/>
      <c r="AK1182" s="20"/>
      <c r="AL1182" s="20"/>
      <c r="AM1182" s="20"/>
      <c r="AN1182" s="20"/>
      <c r="AO1182" s="20"/>
      <c r="AP1182" s="20"/>
      <c r="AQ1182" s="20"/>
      <c r="AR1182" s="20"/>
      <c r="AS1182" s="7"/>
      <c r="AT1182" s="6"/>
      <c r="AU1182" s="20"/>
    </row>
    <row r="1183" spans="1:79" ht="15" customHeight="1">
      <c r="A1183" s="41" t="s">
        <v>183</v>
      </c>
      <c r="B1183" s="385" t="s">
        <v>688</v>
      </c>
      <c r="C1183" s="18" t="s">
        <v>4366</v>
      </c>
      <c r="D1183" s="377" t="s">
        <v>234</v>
      </c>
      <c r="E1183" s="20" t="s">
        <v>235</v>
      </c>
      <c r="F1183" s="385"/>
      <c r="G1183" s="390" t="s">
        <v>689</v>
      </c>
      <c r="H1183" s="6">
        <v>3471</v>
      </c>
      <c r="I1183" s="7" t="s">
        <v>2</v>
      </c>
      <c r="J1183" s="344" t="s">
        <v>4367</v>
      </c>
      <c r="K1183" s="22">
        <v>41170</v>
      </c>
      <c r="L1183" s="324">
        <v>41166</v>
      </c>
      <c r="M1183" s="7">
        <v>4</v>
      </c>
      <c r="N1183" s="7" t="s">
        <v>2</v>
      </c>
      <c r="O1183" s="6">
        <f>1/2</f>
        <v>0.5</v>
      </c>
      <c r="P1183" s="20">
        <v>5</v>
      </c>
      <c r="Q1183" s="7">
        <v>4.93</v>
      </c>
      <c r="R1183" s="6">
        <v>44.4</v>
      </c>
      <c r="S1183" s="7">
        <v>26</v>
      </c>
      <c r="T1183" s="6">
        <v>0.27</v>
      </c>
      <c r="U1183" s="9">
        <v>3.05</v>
      </c>
      <c r="V1183" s="6">
        <v>1.28</v>
      </c>
      <c r="W1183" s="7">
        <v>8.8999999999999996E-2</v>
      </c>
      <c r="X1183" s="6">
        <v>0.13</v>
      </c>
      <c r="Y1183" s="7">
        <v>2.5999999999999999E-2</v>
      </c>
      <c r="Z1183" s="323"/>
      <c r="AA1183" s="323"/>
      <c r="AB1183" s="20">
        <v>10.92</v>
      </c>
      <c r="AC1183" s="7"/>
      <c r="AD1183" s="323"/>
      <c r="AE1183" s="7"/>
      <c r="AF1183" s="19"/>
      <c r="AG1183" s="20"/>
      <c r="AH1183" s="20"/>
      <c r="AI1183" s="20"/>
      <c r="AJ1183" s="20"/>
      <c r="AK1183" s="20"/>
      <c r="AL1183" s="20"/>
      <c r="AM1183" s="20"/>
      <c r="AN1183" s="20"/>
      <c r="AO1183" s="20"/>
      <c r="AP1183" s="20"/>
      <c r="AQ1183" s="20"/>
      <c r="AR1183" s="20"/>
      <c r="AS1183" s="7"/>
      <c r="AT1183" s="6"/>
      <c r="AU1183" s="20"/>
    </row>
    <row r="1184" spans="1:79" ht="15" customHeight="1">
      <c r="A1184" s="41" t="s">
        <v>183</v>
      </c>
      <c r="B1184" s="385" t="s">
        <v>4368</v>
      </c>
      <c r="C1184" s="18" t="s">
        <v>4368</v>
      </c>
      <c r="D1184" s="377" t="s">
        <v>89</v>
      </c>
      <c r="E1184" s="20"/>
      <c r="F1184" s="385"/>
      <c r="G1184" s="390" t="s">
        <v>4369</v>
      </c>
      <c r="H1184" s="6"/>
      <c r="I1184" s="7" t="s">
        <v>2</v>
      </c>
      <c r="J1184" s="344" t="s">
        <v>4370</v>
      </c>
      <c r="K1184" s="22">
        <v>41180</v>
      </c>
      <c r="L1184" s="324">
        <v>41174</v>
      </c>
      <c r="M1184" s="7">
        <v>6</v>
      </c>
      <c r="N1184" s="7" t="s">
        <v>2</v>
      </c>
      <c r="O1184" s="6">
        <v>20.399999999999999</v>
      </c>
      <c r="P1184" s="20">
        <v>5.9</v>
      </c>
      <c r="Q1184" s="7">
        <v>5.8</v>
      </c>
      <c r="R1184" s="6">
        <f>10/2</f>
        <v>5</v>
      </c>
      <c r="S1184" s="7">
        <f>12.5/2</f>
        <v>6.25</v>
      </c>
      <c r="T1184" s="6">
        <f>0.1/2</f>
        <v>0.05</v>
      </c>
      <c r="U1184" s="9">
        <v>1.2</v>
      </c>
      <c r="V1184" s="6">
        <v>0.66</v>
      </c>
      <c r="W1184" s="7">
        <f>0.02/2</f>
        <v>0.01</v>
      </c>
      <c r="X1184" s="6">
        <v>7.0000000000000007E-2</v>
      </c>
      <c r="Y1184" s="7">
        <v>3.0000000000000001E-3</v>
      </c>
      <c r="Z1184" s="323"/>
      <c r="AA1184" s="323"/>
      <c r="AB1184" s="20"/>
      <c r="AC1184" s="7"/>
      <c r="AD1184" s="323"/>
      <c r="AE1184" s="7"/>
      <c r="AF1184" s="19"/>
      <c r="AG1184" s="20"/>
      <c r="AH1184" s="20"/>
      <c r="AI1184" s="20"/>
      <c r="AJ1184" s="20"/>
      <c r="AK1184" s="20"/>
      <c r="AL1184" s="20"/>
      <c r="AM1184" s="20"/>
      <c r="AN1184" s="20"/>
      <c r="AO1184" s="20"/>
      <c r="AP1184" s="20"/>
      <c r="AQ1184" s="20"/>
      <c r="AR1184" s="20"/>
      <c r="AS1184" s="7"/>
      <c r="AT1184" s="6"/>
      <c r="AU1184" s="20"/>
    </row>
    <row r="1185" spans="1:47" ht="15" customHeight="1">
      <c r="A1185" s="41" t="s">
        <v>183</v>
      </c>
      <c r="B1185" s="385" t="s">
        <v>4371</v>
      </c>
      <c r="C1185" s="18"/>
      <c r="D1185" s="377" t="s">
        <v>684</v>
      </c>
      <c r="E1185" s="20"/>
      <c r="F1185" s="385"/>
      <c r="G1185" s="390" t="s">
        <v>4372</v>
      </c>
      <c r="H1185" s="6"/>
      <c r="I1185" s="7" t="s">
        <v>2</v>
      </c>
      <c r="J1185" s="344" t="s">
        <v>4373</v>
      </c>
      <c r="K1185" s="22">
        <v>41171</v>
      </c>
      <c r="L1185" s="324">
        <v>41156</v>
      </c>
      <c r="M1185" s="7">
        <v>15</v>
      </c>
      <c r="N1185" s="7" t="s">
        <v>2</v>
      </c>
      <c r="O1185" s="6">
        <f>5/2</f>
        <v>2.5</v>
      </c>
      <c r="P1185" s="20">
        <v>4.2</v>
      </c>
      <c r="Q1185" s="7">
        <v>5.0999999999999996</v>
      </c>
      <c r="R1185" s="6">
        <v>53.2</v>
      </c>
      <c r="S1185" s="7">
        <v>21</v>
      </c>
      <c r="T1185" s="6">
        <v>0.1</v>
      </c>
      <c r="U1185" s="9">
        <f>0.5/2</f>
        <v>0.25</v>
      </c>
      <c r="V1185" s="6">
        <v>1.07</v>
      </c>
      <c r="W1185" s="7">
        <v>0.107</v>
      </c>
      <c r="X1185" s="6">
        <v>0.42</v>
      </c>
      <c r="Y1185" s="7">
        <v>8.9999999999999993E-3</v>
      </c>
      <c r="Z1185" s="323">
        <v>0.26200000000000001</v>
      </c>
      <c r="AA1185" s="323">
        <v>0.13300000000000001</v>
      </c>
      <c r="AB1185" s="20">
        <v>11.1</v>
      </c>
      <c r="AC1185" s="7">
        <v>113</v>
      </c>
      <c r="AD1185" s="323">
        <v>0</v>
      </c>
      <c r="AE1185" s="7"/>
      <c r="AF1185" s="19"/>
      <c r="AG1185" s="20"/>
      <c r="AH1185" s="20"/>
      <c r="AI1185" s="20"/>
      <c r="AJ1185" s="20"/>
      <c r="AK1185" s="20"/>
      <c r="AL1185" s="20"/>
      <c r="AM1185" s="20"/>
      <c r="AN1185" s="20"/>
      <c r="AO1185" s="20"/>
      <c r="AP1185" s="20"/>
      <c r="AQ1185" s="20"/>
      <c r="AR1185" s="20"/>
      <c r="AS1185" s="7"/>
      <c r="AT1185" s="6"/>
      <c r="AU1185" s="20"/>
    </row>
    <row r="1186" spans="1:47" ht="15" customHeight="1">
      <c r="A1186" s="41" t="s">
        <v>183</v>
      </c>
      <c r="B1186" s="385" t="s">
        <v>3740</v>
      </c>
      <c r="C1186" s="18" t="s">
        <v>3740</v>
      </c>
      <c r="D1186" s="377" t="s">
        <v>806</v>
      </c>
      <c r="E1186" s="20" t="s">
        <v>535</v>
      </c>
      <c r="F1186" s="385"/>
      <c r="G1186" s="390" t="s">
        <v>3718</v>
      </c>
      <c r="H1186" s="6">
        <v>3679</v>
      </c>
      <c r="I1186" s="7" t="s">
        <v>1</v>
      </c>
      <c r="J1186" s="344" t="s">
        <v>3251</v>
      </c>
      <c r="K1186" s="22">
        <v>41157</v>
      </c>
      <c r="L1186" s="324">
        <v>41149</v>
      </c>
      <c r="M1186" s="7">
        <v>8</v>
      </c>
      <c r="N1186" s="7" t="s">
        <v>2</v>
      </c>
      <c r="O1186" s="6">
        <v>1.2</v>
      </c>
      <c r="P1186" s="20"/>
      <c r="Q1186" s="7">
        <v>7.1</v>
      </c>
      <c r="R1186" s="6">
        <v>19</v>
      </c>
      <c r="S1186" s="7">
        <v>6</v>
      </c>
      <c r="T1186" s="6">
        <v>0.06</v>
      </c>
      <c r="U1186" s="9">
        <v>0.13</v>
      </c>
      <c r="V1186" s="6">
        <v>0.21</v>
      </c>
      <c r="W1186" s="7">
        <v>0.02</v>
      </c>
      <c r="X1186" s="6">
        <v>0.05</v>
      </c>
      <c r="Y1186" s="7">
        <f>0.001/2</f>
        <v>5.0000000000000001E-4</v>
      </c>
      <c r="Z1186" s="323">
        <v>1</v>
      </c>
      <c r="AA1186" s="323">
        <v>1</v>
      </c>
      <c r="AB1186" s="20">
        <v>6</v>
      </c>
      <c r="AC1186" s="7">
        <v>25</v>
      </c>
      <c r="AD1186" s="323">
        <v>1</v>
      </c>
      <c r="AE1186" s="7" t="s">
        <v>4374</v>
      </c>
      <c r="AF1186" s="19"/>
      <c r="AG1186" s="20"/>
      <c r="AH1186" s="20"/>
      <c r="AI1186" s="20"/>
      <c r="AJ1186" s="20"/>
      <c r="AK1186" s="20"/>
      <c r="AL1186" s="20"/>
      <c r="AM1186" s="20"/>
      <c r="AN1186" s="20"/>
      <c r="AO1186" s="20"/>
      <c r="AP1186" s="20"/>
      <c r="AQ1186" s="20"/>
      <c r="AR1186" s="20"/>
      <c r="AS1186" s="7"/>
      <c r="AT1186" s="6">
        <f>0.0002/2</f>
        <v>1E-4</v>
      </c>
      <c r="AU1186" s="20"/>
    </row>
    <row r="1187" spans="1:47" ht="15" customHeight="1">
      <c r="A1187" s="41" t="s">
        <v>183</v>
      </c>
      <c r="B1187" s="385" t="s">
        <v>3740</v>
      </c>
      <c r="C1187" s="18" t="s">
        <v>3740</v>
      </c>
      <c r="D1187" s="377" t="s">
        <v>806</v>
      </c>
      <c r="E1187" s="20" t="s">
        <v>535</v>
      </c>
      <c r="F1187" s="385"/>
      <c r="G1187" s="390" t="s">
        <v>3718</v>
      </c>
      <c r="H1187" s="6">
        <v>3679</v>
      </c>
      <c r="I1187" s="7" t="s">
        <v>1</v>
      </c>
      <c r="J1187" s="344" t="s">
        <v>2494</v>
      </c>
      <c r="K1187" s="22">
        <v>41157</v>
      </c>
      <c r="L1187" s="324">
        <v>41149</v>
      </c>
      <c r="M1187" s="7">
        <v>8</v>
      </c>
      <c r="N1187" s="7" t="s">
        <v>2</v>
      </c>
      <c r="O1187" s="6">
        <v>1.3</v>
      </c>
      <c r="P1187" s="20"/>
      <c r="Q1187" s="7">
        <v>7.1</v>
      </c>
      <c r="R1187" s="6">
        <v>15</v>
      </c>
      <c r="S1187" s="7">
        <v>9</v>
      </c>
      <c r="T1187" s="6">
        <v>0.11</v>
      </c>
      <c r="U1187" s="9">
        <f>0.05/2</f>
        <v>2.5000000000000001E-2</v>
      </c>
      <c r="V1187" s="6">
        <v>0.13</v>
      </c>
      <c r="W1187" s="7">
        <v>0.02</v>
      </c>
      <c r="X1187" s="6">
        <v>0.03</v>
      </c>
      <c r="Y1187" s="7">
        <f>0.001/2</f>
        <v>5.0000000000000001E-4</v>
      </c>
      <c r="Z1187" s="323">
        <v>1</v>
      </c>
      <c r="AA1187" s="323">
        <v>1</v>
      </c>
      <c r="AB1187" s="20">
        <v>16</v>
      </c>
      <c r="AC1187" s="7">
        <v>43</v>
      </c>
      <c r="AD1187" s="323">
        <v>1</v>
      </c>
      <c r="AE1187" s="7">
        <v>215</v>
      </c>
      <c r="AF1187" s="19"/>
      <c r="AG1187" s="20"/>
      <c r="AH1187" s="20"/>
      <c r="AI1187" s="20"/>
      <c r="AJ1187" s="20"/>
      <c r="AK1187" s="20"/>
      <c r="AL1187" s="20"/>
      <c r="AM1187" s="20"/>
      <c r="AN1187" s="20"/>
      <c r="AO1187" s="20"/>
      <c r="AP1187" s="20"/>
      <c r="AQ1187" s="20"/>
      <c r="AR1187" s="20"/>
      <c r="AS1187" s="7"/>
      <c r="AT1187" s="6">
        <f>0.0002/2</f>
        <v>1E-4</v>
      </c>
      <c r="AU1187" s="20"/>
    </row>
    <row r="1188" spans="1:47" ht="15" customHeight="1">
      <c r="A1188" s="41" t="s">
        <v>183</v>
      </c>
      <c r="B1188" s="385" t="s">
        <v>4375</v>
      </c>
      <c r="C1188" s="18" t="s">
        <v>4375</v>
      </c>
      <c r="D1188" s="377" t="s">
        <v>1759</v>
      </c>
      <c r="E1188" s="20"/>
      <c r="F1188" s="385" t="s">
        <v>2236</v>
      </c>
      <c r="G1188" s="390" t="s">
        <v>2237</v>
      </c>
      <c r="H1188" s="6">
        <v>2899</v>
      </c>
      <c r="I1188" s="7" t="s">
        <v>2</v>
      </c>
      <c r="J1188" s="344" t="s">
        <v>3144</v>
      </c>
      <c r="K1188" s="22">
        <v>41170</v>
      </c>
      <c r="L1188" s="324">
        <v>41160</v>
      </c>
      <c r="M1188" s="7">
        <v>10</v>
      </c>
      <c r="N1188" s="7" t="s">
        <v>2</v>
      </c>
      <c r="O1188" s="6">
        <v>4</v>
      </c>
      <c r="P1188" s="20">
        <v>6.7</v>
      </c>
      <c r="Q1188" s="7">
        <v>6.4</v>
      </c>
      <c r="R1188" s="6">
        <v>57</v>
      </c>
      <c r="S1188" s="7">
        <v>116</v>
      </c>
      <c r="T1188" s="6">
        <v>0.4</v>
      </c>
      <c r="U1188" s="9">
        <v>1.39</v>
      </c>
      <c r="V1188" s="6">
        <v>0.13</v>
      </c>
      <c r="W1188" s="7">
        <v>0.03</v>
      </c>
      <c r="X1188" s="6">
        <v>0.13700000000000001</v>
      </c>
      <c r="Y1188" s="7">
        <v>0.03</v>
      </c>
      <c r="Z1188" s="323"/>
      <c r="AA1188" s="323"/>
      <c r="AB1188" s="20"/>
      <c r="AC1188" s="7"/>
      <c r="AD1188" s="323"/>
      <c r="AE1188" s="7"/>
      <c r="AF1188" s="19"/>
      <c r="AG1188" s="20"/>
      <c r="AH1188" s="20"/>
      <c r="AI1188" s="20"/>
      <c r="AJ1188" s="20"/>
      <c r="AK1188" s="20"/>
      <c r="AL1188" s="20"/>
      <c r="AM1188" s="20"/>
      <c r="AN1188" s="20"/>
      <c r="AO1188" s="20"/>
      <c r="AP1188" s="20"/>
      <c r="AQ1188" s="20"/>
      <c r="AR1188" s="20"/>
      <c r="AS1188" s="7"/>
      <c r="AT1188" s="6"/>
      <c r="AU1188" s="20"/>
    </row>
    <row r="1189" spans="1:47" ht="15" customHeight="1">
      <c r="A1189" s="41" t="s">
        <v>183</v>
      </c>
      <c r="B1189" s="385" t="s">
        <v>4376</v>
      </c>
      <c r="C1189" s="18" t="s">
        <v>4376</v>
      </c>
      <c r="D1189" s="377" t="s">
        <v>156</v>
      </c>
      <c r="E1189" s="20"/>
      <c r="F1189" s="385"/>
      <c r="G1189" s="390" t="s">
        <v>4377</v>
      </c>
      <c r="H1189" s="6"/>
      <c r="I1189" s="7" t="s">
        <v>2</v>
      </c>
      <c r="J1189" s="344" t="s">
        <v>4378</v>
      </c>
      <c r="K1189" s="22">
        <v>41170</v>
      </c>
      <c r="L1189" s="324">
        <v>41160</v>
      </c>
      <c r="M1189" s="7">
        <v>10</v>
      </c>
      <c r="N1189" s="7" t="s">
        <v>2</v>
      </c>
      <c r="O1189" s="6">
        <v>32.4</v>
      </c>
      <c r="P1189" s="20">
        <v>5.3</v>
      </c>
      <c r="Q1189" s="7">
        <v>5.7</v>
      </c>
      <c r="R1189" s="6">
        <v>390</v>
      </c>
      <c r="S1189" s="7">
        <f>25/2</f>
        <v>12.5</v>
      </c>
      <c r="T1189" s="6">
        <v>0.53</v>
      </c>
      <c r="U1189" s="9">
        <v>6.3</v>
      </c>
      <c r="V1189" s="6">
        <v>0.56000000000000005</v>
      </c>
      <c r="W1189" s="7">
        <f>0.02/2</f>
        <v>0.01</v>
      </c>
      <c r="X1189" s="6">
        <v>0.56000000000000005</v>
      </c>
      <c r="Y1189" s="7">
        <v>6.0000000000000001E-3</v>
      </c>
      <c r="Z1189" s="323"/>
      <c r="AA1189" s="323"/>
      <c r="AB1189" s="20"/>
      <c r="AC1189" s="7"/>
      <c r="AD1189" s="323"/>
      <c r="AE1189" s="7"/>
      <c r="AF1189" s="19"/>
      <c r="AG1189" s="20"/>
      <c r="AH1189" s="20"/>
      <c r="AI1189" s="20"/>
      <c r="AJ1189" s="20"/>
      <c r="AK1189" s="20"/>
      <c r="AL1189" s="20"/>
      <c r="AM1189" s="20"/>
      <c r="AN1189" s="20"/>
      <c r="AO1189" s="20"/>
      <c r="AP1189" s="20"/>
      <c r="AQ1189" s="20"/>
      <c r="AR1189" s="20"/>
      <c r="AS1189" s="7"/>
      <c r="AT1189" s="6"/>
      <c r="AU1189" s="20"/>
    </row>
    <row r="1190" spans="1:47" ht="15" customHeight="1">
      <c r="A1190" s="41" t="s">
        <v>183</v>
      </c>
      <c r="B1190" s="385" t="s">
        <v>4379</v>
      </c>
      <c r="C1190" s="18" t="s">
        <v>4379</v>
      </c>
      <c r="D1190" s="377" t="s">
        <v>3869</v>
      </c>
      <c r="E1190" s="20" t="s">
        <v>4380</v>
      </c>
      <c r="F1190" s="385">
        <v>4205</v>
      </c>
      <c r="G1190" s="390" t="s">
        <v>4381</v>
      </c>
      <c r="H1190" s="6">
        <v>3491</v>
      </c>
      <c r="I1190" s="7" t="s">
        <v>2</v>
      </c>
      <c r="J1190" s="344" t="s">
        <v>3144</v>
      </c>
      <c r="K1190" s="22">
        <v>41157</v>
      </c>
      <c r="L1190" s="324">
        <v>41153</v>
      </c>
      <c r="M1190" s="7">
        <v>4</v>
      </c>
      <c r="N1190" s="7" t="s">
        <v>2</v>
      </c>
      <c r="O1190" s="6">
        <f>1.7/2</f>
        <v>0.85</v>
      </c>
      <c r="P1190" s="20">
        <v>6.9</v>
      </c>
      <c r="Q1190" s="7">
        <v>7.7</v>
      </c>
      <c r="R1190" s="6">
        <v>71</v>
      </c>
      <c r="S1190" s="7">
        <v>67</v>
      </c>
      <c r="T1190" s="6">
        <v>0.155</v>
      </c>
      <c r="U1190" s="9">
        <f>1/2</f>
        <v>0.5</v>
      </c>
      <c r="V1190" s="6">
        <v>0.49</v>
      </c>
      <c r="W1190" s="7">
        <v>1.2E-2</v>
      </c>
      <c r="X1190" s="6">
        <v>4.3999999999999997E-2</v>
      </c>
      <c r="Y1190" s="7">
        <f>0.005/2</f>
        <v>2.5000000000000001E-3</v>
      </c>
      <c r="Z1190" s="323">
        <v>1</v>
      </c>
      <c r="AA1190" s="323">
        <v>1</v>
      </c>
      <c r="AB1190" s="20">
        <v>10</v>
      </c>
      <c r="AC1190" s="7">
        <v>126</v>
      </c>
      <c r="AD1190" s="323">
        <v>1</v>
      </c>
      <c r="AE1190" s="7"/>
      <c r="AF1190" s="19"/>
      <c r="AG1190" s="20"/>
      <c r="AH1190" s="20"/>
      <c r="AI1190" s="20"/>
      <c r="AJ1190" s="20"/>
      <c r="AK1190" s="20"/>
      <c r="AL1190" s="20"/>
      <c r="AM1190" s="20"/>
      <c r="AN1190" s="20"/>
      <c r="AO1190" s="20"/>
      <c r="AP1190" s="20"/>
      <c r="AQ1190" s="20"/>
      <c r="AR1190" s="20"/>
      <c r="AS1190" s="7"/>
      <c r="AT1190" s="6"/>
      <c r="AU1190" s="20"/>
    </row>
    <row r="1191" spans="1:47" ht="15" customHeight="1">
      <c r="A1191" s="41" t="s">
        <v>183</v>
      </c>
      <c r="B1191" s="385" t="s">
        <v>1863</v>
      </c>
      <c r="C1191" s="18" t="s">
        <v>1863</v>
      </c>
      <c r="D1191" s="377" t="s">
        <v>1864</v>
      </c>
      <c r="E1191" s="20" t="s">
        <v>1865</v>
      </c>
      <c r="F1191" s="385"/>
      <c r="G1191" s="390" t="s">
        <v>1866</v>
      </c>
      <c r="H1191" s="6">
        <v>2611</v>
      </c>
      <c r="I1191" s="7" t="s">
        <v>2</v>
      </c>
      <c r="J1191" s="344" t="s">
        <v>4382</v>
      </c>
      <c r="K1191" s="22">
        <v>41201</v>
      </c>
      <c r="L1191" s="324">
        <v>41156</v>
      </c>
      <c r="M1191" s="50">
        <f>K1191-L1191</f>
        <v>45</v>
      </c>
      <c r="N1191" s="7" t="s">
        <v>2</v>
      </c>
      <c r="O1191" s="6">
        <f>1.4/2</f>
        <v>0.7</v>
      </c>
      <c r="P1191" s="20">
        <v>6.1</v>
      </c>
      <c r="Q1191" s="7">
        <v>7.29</v>
      </c>
      <c r="R1191" s="6">
        <v>77</v>
      </c>
      <c r="S1191" s="7">
        <v>27</v>
      </c>
      <c r="T1191" s="6">
        <v>0.06</v>
      </c>
      <c r="U1191" s="9">
        <v>1.42</v>
      </c>
      <c r="V1191" s="6">
        <v>0.1</v>
      </c>
      <c r="W1191" s="7">
        <v>4.0000000000000001E-3</v>
      </c>
      <c r="X1191" s="6">
        <v>3.3000000000000002E-2</v>
      </c>
      <c r="Y1191" s="7">
        <f>0.002/2</f>
        <v>1E-3</v>
      </c>
      <c r="Z1191" s="323"/>
      <c r="AA1191" s="323"/>
      <c r="AB1191" s="20"/>
      <c r="AC1191" s="7"/>
      <c r="AD1191" s="323"/>
      <c r="AE1191" s="7"/>
      <c r="AF1191" s="19"/>
      <c r="AG1191" s="20"/>
      <c r="AH1191" s="20"/>
      <c r="AI1191" s="20"/>
      <c r="AJ1191" s="20"/>
      <c r="AK1191" s="20"/>
      <c r="AL1191" s="20"/>
      <c r="AM1191" s="20"/>
      <c r="AN1191" s="20"/>
      <c r="AO1191" s="20"/>
      <c r="AP1191" s="20"/>
      <c r="AQ1191" s="20"/>
      <c r="AR1191" s="20"/>
      <c r="AS1191" s="7"/>
      <c r="AT1191" s="6"/>
      <c r="AU1191" s="20"/>
    </row>
    <row r="1192" spans="1:47" ht="15" customHeight="1">
      <c r="A1192" s="41" t="s">
        <v>183</v>
      </c>
      <c r="B1192" s="385" t="s">
        <v>1863</v>
      </c>
      <c r="C1192" s="18" t="s">
        <v>1863</v>
      </c>
      <c r="D1192" s="377" t="s">
        <v>1864</v>
      </c>
      <c r="E1192" s="20" t="s">
        <v>1868</v>
      </c>
      <c r="F1192" s="385"/>
      <c r="G1192" s="390" t="s">
        <v>1866</v>
      </c>
      <c r="H1192" s="6">
        <v>2611</v>
      </c>
      <c r="I1192" s="7" t="s">
        <v>2</v>
      </c>
      <c r="J1192" s="344" t="s">
        <v>4383</v>
      </c>
      <c r="K1192" s="22">
        <v>41201</v>
      </c>
      <c r="L1192" s="324">
        <v>41156</v>
      </c>
      <c r="M1192" s="50">
        <f>K1192-L1192</f>
        <v>45</v>
      </c>
      <c r="N1192" s="7" t="s">
        <v>2</v>
      </c>
      <c r="O1192" s="6">
        <f>1.5/2</f>
        <v>0.75</v>
      </c>
      <c r="P1192" s="20">
        <v>4.2</v>
      </c>
      <c r="Q1192" s="7">
        <v>6.93</v>
      </c>
      <c r="R1192" s="6">
        <v>18</v>
      </c>
      <c r="S1192" s="7">
        <v>7</v>
      </c>
      <c r="T1192" s="6">
        <v>0.03</v>
      </c>
      <c r="U1192" s="9">
        <v>1.23</v>
      </c>
      <c r="V1192" s="6">
        <v>0.37</v>
      </c>
      <c r="W1192" s="7">
        <v>8.0000000000000002E-3</v>
      </c>
      <c r="X1192" s="6">
        <v>4.3999999999999997E-2</v>
      </c>
      <c r="Y1192" s="7">
        <f>0.002/2</f>
        <v>1E-3</v>
      </c>
      <c r="Z1192" s="323"/>
      <c r="AA1192" s="323"/>
      <c r="AB1192" s="20"/>
      <c r="AC1192" s="7"/>
      <c r="AD1192" s="323"/>
      <c r="AE1192" s="7"/>
      <c r="AF1192" s="19"/>
      <c r="AG1192" s="20"/>
      <c r="AH1192" s="20"/>
      <c r="AI1192" s="20"/>
      <c r="AJ1192" s="20"/>
      <c r="AK1192" s="20"/>
      <c r="AL1192" s="20"/>
      <c r="AM1192" s="20"/>
      <c r="AN1192" s="20"/>
      <c r="AO1192" s="20"/>
      <c r="AP1192" s="20"/>
      <c r="AQ1192" s="20"/>
      <c r="AR1192" s="20"/>
      <c r="AS1192" s="7"/>
      <c r="AT1192" s="6"/>
      <c r="AU1192" s="20"/>
    </row>
    <row r="1193" spans="1:47" ht="15" customHeight="1">
      <c r="A1193" s="41" t="s">
        <v>183</v>
      </c>
      <c r="B1193" s="385" t="s">
        <v>5474</v>
      </c>
      <c r="C1193" s="18"/>
      <c r="D1193" s="377" t="s">
        <v>1524</v>
      </c>
      <c r="E1193" s="20" t="s">
        <v>686</v>
      </c>
      <c r="F1193" s="385"/>
      <c r="G1193" s="390" t="s">
        <v>4384</v>
      </c>
      <c r="H1193" s="6">
        <v>2671</v>
      </c>
      <c r="I1193" s="7" t="s">
        <v>2</v>
      </c>
      <c r="J1193" s="344" t="s">
        <v>4385</v>
      </c>
      <c r="K1193" s="22">
        <v>41184</v>
      </c>
      <c r="L1193" s="324">
        <v>41180</v>
      </c>
      <c r="M1193" s="7">
        <v>4</v>
      </c>
      <c r="N1193" s="7" t="s">
        <v>2</v>
      </c>
      <c r="O1193" s="6">
        <f>1/2</f>
        <v>0.5</v>
      </c>
      <c r="P1193" s="20">
        <v>5.5</v>
      </c>
      <c r="Q1193" s="7">
        <v>6.6</v>
      </c>
      <c r="R1193" s="6">
        <v>24</v>
      </c>
      <c r="S1193" s="7">
        <v>9</v>
      </c>
      <c r="T1193" s="6">
        <v>3.9E-2</v>
      </c>
      <c r="U1193" s="9">
        <v>0.52</v>
      </c>
      <c r="V1193" s="6">
        <v>0.32</v>
      </c>
      <c r="W1193" s="7">
        <v>4.7999999999999996E-3</v>
      </c>
      <c r="X1193" s="6">
        <v>7.3999999999999996E-2</v>
      </c>
      <c r="Y1193" s="7">
        <f>0.002/2</f>
        <v>1E-3</v>
      </c>
      <c r="Z1193" s="323">
        <v>1</v>
      </c>
      <c r="AA1193" s="323">
        <v>0.89100000000000001</v>
      </c>
      <c r="AB1193" s="20">
        <v>6</v>
      </c>
      <c r="AC1193" s="7">
        <v>14</v>
      </c>
      <c r="AD1193" s="323">
        <v>0.4</v>
      </c>
      <c r="AE1193" s="7"/>
      <c r="AF1193" s="19"/>
      <c r="AG1193" s="20"/>
      <c r="AH1193" s="20"/>
      <c r="AI1193" s="20"/>
      <c r="AJ1193" s="20"/>
      <c r="AK1193" s="20"/>
      <c r="AL1193" s="20"/>
      <c r="AM1193" s="20"/>
      <c r="AN1193" s="20"/>
      <c r="AO1193" s="20"/>
      <c r="AP1193" s="20"/>
      <c r="AQ1193" s="20"/>
      <c r="AR1193" s="20"/>
      <c r="AS1193" s="7"/>
      <c r="AT1193" s="6"/>
      <c r="AU1193" s="20"/>
    </row>
    <row r="1194" spans="1:47" ht="15" customHeight="1">
      <c r="A1194" s="41" t="s">
        <v>183</v>
      </c>
      <c r="B1194" s="385" t="s">
        <v>5474</v>
      </c>
      <c r="C1194" s="18"/>
      <c r="D1194" s="377" t="s">
        <v>1524</v>
      </c>
      <c r="E1194" s="20" t="s">
        <v>686</v>
      </c>
      <c r="F1194" s="385"/>
      <c r="G1194" s="390" t="s">
        <v>4384</v>
      </c>
      <c r="H1194" s="6">
        <v>2671</v>
      </c>
      <c r="I1194" s="7" t="s">
        <v>2</v>
      </c>
      <c r="J1194" s="344" t="s">
        <v>4386</v>
      </c>
      <c r="K1194" s="22">
        <v>41184</v>
      </c>
      <c r="L1194" s="324">
        <v>41180</v>
      </c>
      <c r="M1194" s="7">
        <v>4</v>
      </c>
      <c r="N1194" s="7" t="s">
        <v>2</v>
      </c>
      <c r="O1194" s="6">
        <v>1.7</v>
      </c>
      <c r="P1194" s="20">
        <v>5.5</v>
      </c>
      <c r="Q1194" s="7">
        <v>5.7</v>
      </c>
      <c r="R1194" s="6">
        <v>13</v>
      </c>
      <c r="S1194" s="7">
        <v>35</v>
      </c>
      <c r="T1194" s="6">
        <v>0.13</v>
      </c>
      <c r="U1194" s="9">
        <f>0.5/2</f>
        <v>0.25</v>
      </c>
      <c r="V1194" s="6">
        <v>0.16</v>
      </c>
      <c r="W1194" s="7">
        <v>6.6E-3</v>
      </c>
      <c r="X1194" s="6">
        <v>5.3999999999999999E-2</v>
      </c>
      <c r="Y1194" s="7">
        <f>0.002/2</f>
        <v>1E-3</v>
      </c>
      <c r="Z1194" s="323">
        <v>1</v>
      </c>
      <c r="AA1194" s="323">
        <v>1</v>
      </c>
      <c r="AB1194" s="20">
        <v>8</v>
      </c>
      <c r="AC1194" s="7">
        <v>13</v>
      </c>
      <c r="AD1194" s="323">
        <v>1</v>
      </c>
      <c r="AE1194" s="7"/>
      <c r="AF1194" s="19"/>
      <c r="AG1194" s="20"/>
      <c r="AH1194" s="20"/>
      <c r="AI1194" s="20"/>
      <c r="AJ1194" s="20"/>
      <c r="AK1194" s="20"/>
      <c r="AL1194" s="20"/>
      <c r="AM1194" s="20"/>
      <c r="AN1194" s="20"/>
      <c r="AO1194" s="20"/>
      <c r="AP1194" s="20"/>
      <c r="AQ1194" s="20"/>
      <c r="AR1194" s="20"/>
      <c r="AS1194" s="7"/>
      <c r="AT1194" s="6"/>
      <c r="AU1194" s="20"/>
    </row>
    <row r="1195" spans="1:47" ht="15" customHeight="1">
      <c r="A1195" s="41" t="s">
        <v>183</v>
      </c>
      <c r="B1195" s="385" t="s">
        <v>4387</v>
      </c>
      <c r="C1195" s="18" t="s">
        <v>4387</v>
      </c>
      <c r="D1195" s="377" t="s">
        <v>41</v>
      </c>
      <c r="E1195" s="20" t="s">
        <v>4388</v>
      </c>
      <c r="F1195" s="385">
        <v>4404</v>
      </c>
      <c r="G1195" s="390" t="s">
        <v>4389</v>
      </c>
      <c r="H1195" s="6">
        <v>3724</v>
      </c>
      <c r="I1195" s="7" t="s">
        <v>2</v>
      </c>
      <c r="J1195" s="344" t="s">
        <v>460</v>
      </c>
      <c r="K1195" s="22">
        <v>40996</v>
      </c>
      <c r="L1195" s="324">
        <v>40971</v>
      </c>
      <c r="M1195" s="7">
        <v>25</v>
      </c>
      <c r="N1195" s="7" t="s">
        <v>2</v>
      </c>
      <c r="O1195" s="6">
        <v>2.1</v>
      </c>
      <c r="P1195" s="20">
        <v>5.04</v>
      </c>
      <c r="Q1195" s="7">
        <v>6.41</v>
      </c>
      <c r="R1195" s="6">
        <v>70</v>
      </c>
      <c r="S1195" s="7">
        <v>66</v>
      </c>
      <c r="T1195" s="6">
        <v>0.2</v>
      </c>
      <c r="U1195" s="9">
        <v>1.19</v>
      </c>
      <c r="V1195" s="6">
        <v>0.68</v>
      </c>
      <c r="W1195" s="7">
        <v>1.4999999999999999E-2</v>
      </c>
      <c r="X1195" s="6">
        <v>4.9000000000000002E-2</v>
      </c>
      <c r="Y1195" s="7">
        <v>8.9999999999999993E-3</v>
      </c>
      <c r="Z1195" s="323">
        <v>1</v>
      </c>
      <c r="AA1195" s="323">
        <v>1</v>
      </c>
      <c r="AB1195" s="20">
        <v>8</v>
      </c>
      <c r="AC1195" s="7">
        <v>99</v>
      </c>
      <c r="AD1195" s="323">
        <v>1</v>
      </c>
      <c r="AE1195" s="7"/>
      <c r="AF1195" s="19"/>
      <c r="AG1195" s="20"/>
      <c r="AH1195" s="20"/>
      <c r="AI1195" s="20"/>
      <c r="AJ1195" s="20"/>
      <c r="AK1195" s="20"/>
      <c r="AL1195" s="20"/>
      <c r="AM1195" s="20"/>
      <c r="AN1195" s="20"/>
      <c r="AO1195" s="20"/>
      <c r="AP1195" s="20"/>
      <c r="AQ1195" s="20"/>
      <c r="AR1195" s="20"/>
      <c r="AS1195" s="7"/>
      <c r="AT1195" s="6"/>
      <c r="AU1195" s="20"/>
    </row>
    <row r="1196" spans="1:47" ht="15" customHeight="1">
      <c r="A1196" s="41" t="s">
        <v>183</v>
      </c>
      <c r="B1196" s="385" t="s">
        <v>4387</v>
      </c>
      <c r="C1196" s="18" t="s">
        <v>4387</v>
      </c>
      <c r="D1196" s="377" t="s">
        <v>41</v>
      </c>
      <c r="E1196" s="20" t="s">
        <v>4388</v>
      </c>
      <c r="F1196" s="385">
        <v>4404</v>
      </c>
      <c r="G1196" s="390" t="s">
        <v>4389</v>
      </c>
      <c r="H1196" s="6">
        <v>3724</v>
      </c>
      <c r="I1196" s="7" t="s">
        <v>2</v>
      </c>
      <c r="J1196" s="344" t="s">
        <v>357</v>
      </c>
      <c r="K1196" s="22">
        <v>40996</v>
      </c>
      <c r="L1196" s="324">
        <v>40971</v>
      </c>
      <c r="M1196" s="7">
        <v>25</v>
      </c>
      <c r="N1196" s="7" t="s">
        <v>2</v>
      </c>
      <c r="O1196" s="6">
        <v>6.1</v>
      </c>
      <c r="P1196" s="20">
        <v>5.04</v>
      </c>
      <c r="Q1196" s="7">
        <v>6.39</v>
      </c>
      <c r="R1196" s="6">
        <v>113</v>
      </c>
      <c r="S1196" s="7">
        <v>200</v>
      </c>
      <c r="T1196" s="6">
        <v>0.37</v>
      </c>
      <c r="U1196" s="9">
        <v>3.19</v>
      </c>
      <c r="V1196" s="6">
        <v>0.92</v>
      </c>
      <c r="W1196" s="7">
        <v>4.8000000000000001E-2</v>
      </c>
      <c r="X1196" s="6">
        <v>0.35599999999999998</v>
      </c>
      <c r="Y1196" s="7">
        <v>3.1E-2</v>
      </c>
      <c r="Z1196" s="323">
        <v>1</v>
      </c>
      <c r="AA1196" s="323">
        <v>1</v>
      </c>
      <c r="AB1196" s="20">
        <v>36</v>
      </c>
      <c r="AC1196" s="7">
        <v>236</v>
      </c>
      <c r="AD1196" s="323">
        <v>0.6</v>
      </c>
      <c r="AE1196" s="7"/>
      <c r="AF1196" s="19"/>
      <c r="AG1196" s="20"/>
      <c r="AH1196" s="20"/>
      <c r="AI1196" s="20"/>
      <c r="AJ1196" s="20"/>
      <c r="AK1196" s="20"/>
      <c r="AL1196" s="20"/>
      <c r="AM1196" s="20"/>
      <c r="AN1196" s="20"/>
      <c r="AO1196" s="20"/>
      <c r="AP1196" s="20"/>
      <c r="AQ1196" s="20"/>
      <c r="AR1196" s="20"/>
      <c r="AS1196" s="7"/>
      <c r="AT1196" s="6"/>
      <c r="AU1196" s="20"/>
    </row>
    <row r="1197" spans="1:47" ht="15" customHeight="1">
      <c r="A1197" s="41" t="s">
        <v>183</v>
      </c>
      <c r="B1197" s="385" t="s">
        <v>4387</v>
      </c>
      <c r="C1197" s="18" t="s">
        <v>4387</v>
      </c>
      <c r="D1197" s="377" t="s">
        <v>41</v>
      </c>
      <c r="E1197" s="20" t="s">
        <v>4388</v>
      </c>
      <c r="F1197" s="385">
        <v>4404</v>
      </c>
      <c r="G1197" s="390" t="s">
        <v>4389</v>
      </c>
      <c r="H1197" s="6">
        <v>3724</v>
      </c>
      <c r="I1197" s="7" t="s">
        <v>2</v>
      </c>
      <c r="J1197" s="344" t="s">
        <v>3630</v>
      </c>
      <c r="K1197" s="22">
        <v>40996</v>
      </c>
      <c r="L1197" s="324">
        <v>40971</v>
      </c>
      <c r="M1197" s="7">
        <v>25</v>
      </c>
      <c r="N1197" s="7" t="s">
        <v>2</v>
      </c>
      <c r="O1197" s="6">
        <v>1.4</v>
      </c>
      <c r="P1197" s="20">
        <v>5.04</v>
      </c>
      <c r="Q1197" s="7">
        <v>5.42</v>
      </c>
      <c r="R1197" s="6">
        <v>45</v>
      </c>
      <c r="S1197" s="7">
        <v>43</v>
      </c>
      <c r="T1197" s="6">
        <v>0.21</v>
      </c>
      <c r="U1197" s="9">
        <v>2.65</v>
      </c>
      <c r="V1197" s="6">
        <v>0.84</v>
      </c>
      <c r="W1197" s="7">
        <v>1.7000000000000001E-2</v>
      </c>
      <c r="X1197" s="6">
        <v>0.30099999999999999</v>
      </c>
      <c r="Y1197" s="7">
        <v>7.0000000000000001E-3</v>
      </c>
      <c r="Z1197" s="323">
        <v>1</v>
      </c>
      <c r="AA1197" s="323">
        <v>0.752</v>
      </c>
      <c r="AB1197" s="20">
        <v>10</v>
      </c>
      <c r="AC1197" s="7">
        <v>27</v>
      </c>
      <c r="AD1197" s="323">
        <v>0.15</v>
      </c>
      <c r="AE1197" s="7"/>
      <c r="AF1197" s="19"/>
      <c r="AG1197" s="20"/>
      <c r="AH1197" s="20"/>
      <c r="AI1197" s="20"/>
      <c r="AJ1197" s="20"/>
      <c r="AK1197" s="20"/>
      <c r="AL1197" s="20"/>
      <c r="AM1197" s="20"/>
      <c r="AN1197" s="20"/>
      <c r="AO1197" s="20"/>
      <c r="AP1197" s="20"/>
      <c r="AQ1197" s="20"/>
      <c r="AR1197" s="20"/>
      <c r="AS1197" s="7"/>
      <c r="AT1197" s="6"/>
      <c r="AU1197" s="20"/>
    </row>
    <row r="1198" spans="1:47" ht="15" customHeight="1">
      <c r="A1198" s="41" t="s">
        <v>183</v>
      </c>
      <c r="B1198" s="385" t="s">
        <v>4387</v>
      </c>
      <c r="C1198" s="18" t="s">
        <v>4387</v>
      </c>
      <c r="D1198" s="377" t="s">
        <v>41</v>
      </c>
      <c r="E1198" s="20" t="s">
        <v>4388</v>
      </c>
      <c r="F1198" s="385">
        <v>4404</v>
      </c>
      <c r="G1198" s="390" t="s">
        <v>4389</v>
      </c>
      <c r="H1198" s="6">
        <v>3724</v>
      </c>
      <c r="I1198" s="7" t="s">
        <v>2</v>
      </c>
      <c r="J1198" s="344" t="s">
        <v>460</v>
      </c>
      <c r="K1198" s="22">
        <v>41170</v>
      </c>
      <c r="L1198" s="324">
        <v>41160</v>
      </c>
      <c r="M1198" s="7">
        <v>25</v>
      </c>
      <c r="N1198" s="7" t="s">
        <v>2</v>
      </c>
      <c r="O1198" s="6">
        <v>1.5</v>
      </c>
      <c r="P1198" s="20">
        <v>5.04</v>
      </c>
      <c r="Q1198" s="7">
        <v>6.28</v>
      </c>
      <c r="R1198" s="6">
        <v>43</v>
      </c>
      <c r="S1198" s="7">
        <v>10</v>
      </c>
      <c r="T1198" s="6">
        <v>0.06</v>
      </c>
      <c r="U1198" s="9">
        <v>1.2</v>
      </c>
      <c r="V1198" s="6">
        <v>0.7</v>
      </c>
      <c r="W1198" s="7">
        <v>1.2E-2</v>
      </c>
      <c r="X1198" s="6">
        <v>3.4000000000000002E-2</v>
      </c>
      <c r="Y1198" s="7">
        <v>6.0000000000000001E-3</v>
      </c>
      <c r="Z1198" s="323"/>
      <c r="AA1198" s="323"/>
      <c r="AB1198" s="20"/>
      <c r="AC1198" s="7"/>
      <c r="AD1198" s="323"/>
      <c r="AE1198" s="7"/>
      <c r="AF1198" s="19"/>
      <c r="AG1198" s="20"/>
      <c r="AH1198" s="20"/>
      <c r="AI1198" s="20"/>
      <c r="AJ1198" s="20"/>
      <c r="AK1198" s="20"/>
      <c r="AL1198" s="20"/>
      <c r="AM1198" s="20"/>
      <c r="AN1198" s="20"/>
      <c r="AO1198" s="20"/>
      <c r="AP1198" s="20"/>
      <c r="AQ1198" s="20"/>
      <c r="AR1198" s="20"/>
      <c r="AS1198" s="7"/>
      <c r="AT1198" s="6"/>
      <c r="AU1198" s="20"/>
    </row>
    <row r="1199" spans="1:47" ht="15" customHeight="1">
      <c r="A1199" s="41" t="s">
        <v>183</v>
      </c>
      <c r="B1199" s="385" t="s">
        <v>4387</v>
      </c>
      <c r="C1199" s="18" t="s">
        <v>4387</v>
      </c>
      <c r="D1199" s="377" t="s">
        <v>41</v>
      </c>
      <c r="E1199" s="20" t="s">
        <v>4388</v>
      </c>
      <c r="F1199" s="385">
        <v>4404</v>
      </c>
      <c r="G1199" s="390" t="s">
        <v>4389</v>
      </c>
      <c r="H1199" s="6">
        <v>3724</v>
      </c>
      <c r="I1199" s="7" t="s">
        <v>2</v>
      </c>
      <c r="J1199" s="344" t="s">
        <v>357</v>
      </c>
      <c r="K1199" s="22">
        <v>41170</v>
      </c>
      <c r="L1199" s="324">
        <v>41160</v>
      </c>
      <c r="M1199" s="7">
        <v>25</v>
      </c>
      <c r="N1199" s="7" t="s">
        <v>2</v>
      </c>
      <c r="O1199" s="6">
        <f>1.4/2</f>
        <v>0.7</v>
      </c>
      <c r="P1199" s="20">
        <v>5.04</v>
      </c>
      <c r="Q1199" s="7">
        <v>6.41</v>
      </c>
      <c r="R1199" s="6">
        <v>62</v>
      </c>
      <c r="S1199" s="7">
        <v>16</v>
      </c>
      <c r="T1199" s="6">
        <v>0.09</v>
      </c>
      <c r="U1199" s="9">
        <v>2.76</v>
      </c>
      <c r="V1199" s="6">
        <v>0.71</v>
      </c>
      <c r="W1199" s="7">
        <v>1.4999999999999999E-2</v>
      </c>
      <c r="X1199" s="6">
        <v>0.46200000000000002</v>
      </c>
      <c r="Y1199" s="7">
        <v>3.0000000000000001E-3</v>
      </c>
      <c r="Z1199" s="323"/>
      <c r="AA1199" s="323"/>
      <c r="AB1199" s="20"/>
      <c r="AC1199" s="7"/>
      <c r="AD1199" s="323"/>
      <c r="AE1199" s="7"/>
      <c r="AF1199" s="19"/>
      <c r="AG1199" s="20"/>
      <c r="AH1199" s="20"/>
      <c r="AI1199" s="20"/>
      <c r="AJ1199" s="20"/>
      <c r="AK1199" s="20"/>
      <c r="AL1199" s="20"/>
      <c r="AM1199" s="20"/>
      <c r="AN1199" s="20"/>
      <c r="AO1199" s="20"/>
      <c r="AP1199" s="20"/>
      <c r="AQ1199" s="20"/>
      <c r="AR1199" s="20"/>
      <c r="AS1199" s="7"/>
      <c r="AT1199" s="6"/>
      <c r="AU1199" s="20"/>
    </row>
    <row r="1200" spans="1:47" ht="15" customHeight="1">
      <c r="A1200" s="41" t="s">
        <v>183</v>
      </c>
      <c r="B1200" s="385" t="s">
        <v>4387</v>
      </c>
      <c r="C1200" s="18" t="s">
        <v>4387</v>
      </c>
      <c r="D1200" s="377" t="s">
        <v>41</v>
      </c>
      <c r="E1200" s="20" t="s">
        <v>4388</v>
      </c>
      <c r="F1200" s="385">
        <v>4404</v>
      </c>
      <c r="G1200" s="390" t="s">
        <v>4389</v>
      </c>
      <c r="H1200" s="6">
        <v>3724</v>
      </c>
      <c r="I1200" s="7" t="s">
        <v>2</v>
      </c>
      <c r="J1200" s="344" t="s">
        <v>3630</v>
      </c>
      <c r="K1200" s="22">
        <v>41170</v>
      </c>
      <c r="L1200" s="324">
        <v>41160</v>
      </c>
      <c r="M1200" s="7">
        <v>25</v>
      </c>
      <c r="N1200" s="7" t="s">
        <v>2</v>
      </c>
      <c r="O1200" s="6">
        <f>1.4/2</f>
        <v>0.7</v>
      </c>
      <c r="P1200" s="20">
        <v>5.04</v>
      </c>
      <c r="Q1200" s="7">
        <v>4.99</v>
      </c>
      <c r="R1200" s="6">
        <v>81</v>
      </c>
      <c r="S1200" s="7">
        <f>5/2</f>
        <v>2.5</v>
      </c>
      <c r="T1200" s="6">
        <v>0.05</v>
      </c>
      <c r="U1200" s="9">
        <v>2.64</v>
      </c>
      <c r="V1200" s="6">
        <v>1.32</v>
      </c>
      <c r="W1200" s="7">
        <v>0.03</v>
      </c>
      <c r="X1200" s="6">
        <v>0.74</v>
      </c>
      <c r="Y1200" s="7">
        <v>3.0000000000000001E-3</v>
      </c>
      <c r="Z1200" s="323"/>
      <c r="AA1200" s="323"/>
      <c r="AB1200" s="20"/>
      <c r="AC1200" s="7"/>
      <c r="AD1200" s="323"/>
      <c r="AE1200" s="7"/>
      <c r="AF1200" s="19"/>
      <c r="AG1200" s="20"/>
      <c r="AH1200" s="20"/>
      <c r="AI1200" s="20"/>
      <c r="AJ1200" s="20"/>
      <c r="AK1200" s="20"/>
      <c r="AL1200" s="20"/>
      <c r="AM1200" s="20"/>
      <c r="AN1200" s="20"/>
      <c r="AO1200" s="20"/>
      <c r="AP1200" s="20"/>
      <c r="AQ1200" s="20"/>
      <c r="AR1200" s="20"/>
      <c r="AS1200" s="7"/>
      <c r="AT1200" s="6"/>
      <c r="AU1200" s="20"/>
    </row>
    <row r="1201" spans="1:47" ht="15" customHeight="1">
      <c r="A1201" s="41" t="s">
        <v>183</v>
      </c>
      <c r="B1201" s="385" t="s">
        <v>4390</v>
      </c>
      <c r="C1201" s="18" t="s">
        <v>4390</v>
      </c>
      <c r="D1201" s="377" t="s">
        <v>350</v>
      </c>
      <c r="E1201" s="20"/>
      <c r="F1201" s="385"/>
      <c r="G1201" s="390" t="s">
        <v>4391</v>
      </c>
      <c r="H1201" s="6"/>
      <c r="I1201" s="7" t="s">
        <v>2</v>
      </c>
      <c r="J1201" s="344" t="s">
        <v>4392</v>
      </c>
      <c r="K1201" s="22">
        <v>41131</v>
      </c>
      <c r="L1201" s="324">
        <v>41126</v>
      </c>
      <c r="M1201" s="7">
        <v>5</v>
      </c>
      <c r="N1201" s="7" t="s">
        <v>2</v>
      </c>
      <c r="O1201" s="6">
        <v>2.2000000000000002</v>
      </c>
      <c r="P1201" s="20"/>
      <c r="Q1201" s="7">
        <v>5.67</v>
      </c>
      <c r="R1201" s="6">
        <v>190</v>
      </c>
      <c r="S1201" s="7">
        <v>85</v>
      </c>
      <c r="T1201" s="6">
        <v>0.4</v>
      </c>
      <c r="U1201" s="9">
        <v>4.16</v>
      </c>
      <c r="V1201" s="6">
        <v>1.58</v>
      </c>
      <c r="W1201" s="7">
        <v>3.3000000000000002E-2</v>
      </c>
      <c r="X1201" s="6">
        <v>0.38200000000000001</v>
      </c>
      <c r="Y1201" s="7">
        <v>8.9999999999999993E-3</v>
      </c>
      <c r="Z1201" s="323">
        <v>1</v>
      </c>
      <c r="AA1201" s="323">
        <v>1</v>
      </c>
      <c r="AB1201" s="20">
        <v>22</v>
      </c>
      <c r="AC1201" s="7">
        <v>72</v>
      </c>
      <c r="AD1201" s="323">
        <v>0.7</v>
      </c>
      <c r="AE1201" s="7"/>
      <c r="AF1201" s="19"/>
      <c r="AG1201" s="20"/>
      <c r="AH1201" s="20"/>
      <c r="AI1201" s="20"/>
      <c r="AJ1201" s="20"/>
      <c r="AK1201" s="20"/>
      <c r="AL1201" s="20"/>
      <c r="AM1201" s="20"/>
      <c r="AN1201" s="20"/>
      <c r="AO1201" s="20"/>
      <c r="AP1201" s="20"/>
      <c r="AQ1201" s="20"/>
      <c r="AR1201" s="20"/>
      <c r="AS1201" s="7"/>
      <c r="AT1201" s="6"/>
      <c r="AU1201" s="20"/>
    </row>
    <row r="1202" spans="1:47" ht="15" customHeight="1">
      <c r="A1202" s="41" t="s">
        <v>183</v>
      </c>
      <c r="B1202" s="385" t="s">
        <v>4393</v>
      </c>
      <c r="C1202" s="18" t="s">
        <v>4393</v>
      </c>
      <c r="D1202" s="377" t="s">
        <v>347</v>
      </c>
      <c r="E1202" s="20"/>
      <c r="F1202" s="385" t="s">
        <v>4394</v>
      </c>
      <c r="G1202" s="390" t="s">
        <v>968</v>
      </c>
      <c r="H1202" s="6">
        <v>3663</v>
      </c>
      <c r="I1202" s="7" t="s">
        <v>2</v>
      </c>
      <c r="J1202" s="344" t="s">
        <v>3251</v>
      </c>
      <c r="K1202" s="22">
        <v>41105</v>
      </c>
      <c r="L1202" s="324">
        <v>41102</v>
      </c>
      <c r="M1202" s="7">
        <v>3</v>
      </c>
      <c r="N1202" s="7" t="s">
        <v>2</v>
      </c>
      <c r="O1202" s="6">
        <f>5/2</f>
        <v>2.5</v>
      </c>
      <c r="P1202" s="20">
        <v>6.21</v>
      </c>
      <c r="Q1202" s="7">
        <v>7.16</v>
      </c>
      <c r="R1202" s="6">
        <f>5/2</f>
        <v>2.5</v>
      </c>
      <c r="S1202" s="7">
        <v>9</v>
      </c>
      <c r="T1202" s="6">
        <f>0.1/2</f>
        <v>0.05</v>
      </c>
      <c r="U1202" s="9">
        <f>1/2</f>
        <v>0.5</v>
      </c>
      <c r="V1202" s="6">
        <f>0.1/1</f>
        <v>0.1</v>
      </c>
      <c r="W1202" s="7">
        <f>0.04/2</f>
        <v>0.02</v>
      </c>
      <c r="X1202" s="6">
        <f>0.02/2</f>
        <v>0.01</v>
      </c>
      <c r="Y1202" s="7">
        <f>0.013/2</f>
        <v>6.4999999999999997E-3</v>
      </c>
      <c r="Z1202" s="323"/>
      <c r="AA1202" s="323"/>
      <c r="AB1202" s="20"/>
      <c r="AC1202" s="7"/>
      <c r="AD1202" s="323"/>
      <c r="AE1202" s="7"/>
      <c r="AF1202" s="19"/>
      <c r="AG1202" s="20"/>
      <c r="AH1202" s="20"/>
      <c r="AI1202" s="20"/>
      <c r="AJ1202" s="20"/>
      <c r="AK1202" s="20"/>
      <c r="AL1202" s="20"/>
      <c r="AM1202" s="20"/>
      <c r="AN1202" s="20"/>
      <c r="AO1202" s="20"/>
      <c r="AP1202" s="20"/>
      <c r="AQ1202" s="20"/>
      <c r="AR1202" s="20"/>
      <c r="AS1202" s="7"/>
      <c r="AT1202" s="6"/>
      <c r="AU1202" s="20"/>
    </row>
    <row r="1203" spans="1:47" ht="15" customHeight="1">
      <c r="A1203" s="41" t="s">
        <v>183</v>
      </c>
      <c r="B1203" s="385" t="s">
        <v>4395</v>
      </c>
      <c r="C1203" s="18" t="s">
        <v>4396</v>
      </c>
      <c r="D1203" s="377" t="s">
        <v>1837</v>
      </c>
      <c r="E1203" s="20" t="s">
        <v>112</v>
      </c>
      <c r="F1203" s="385" t="s">
        <v>4397</v>
      </c>
      <c r="G1203" s="390" t="s">
        <v>3961</v>
      </c>
      <c r="H1203" s="6">
        <v>3272</v>
      </c>
      <c r="I1203" s="7" t="s">
        <v>1</v>
      </c>
      <c r="J1203" s="344" t="s">
        <v>4398</v>
      </c>
      <c r="K1203" s="22">
        <v>41170</v>
      </c>
      <c r="L1203" s="324">
        <v>41160</v>
      </c>
      <c r="M1203" s="7">
        <v>10</v>
      </c>
      <c r="N1203" s="7" t="s">
        <v>2</v>
      </c>
      <c r="O1203" s="6">
        <f>1.4/2</f>
        <v>0.7</v>
      </c>
      <c r="P1203" s="20">
        <v>6.33</v>
      </c>
      <c r="Q1203" s="7">
        <v>7.33</v>
      </c>
      <c r="R1203" s="6">
        <v>18</v>
      </c>
      <c r="S1203" s="7">
        <f>5/2</f>
        <v>2.5</v>
      </c>
      <c r="T1203" s="6">
        <v>0.04</v>
      </c>
      <c r="U1203" s="9">
        <v>1.18</v>
      </c>
      <c r="V1203" s="6">
        <v>1.25</v>
      </c>
      <c r="W1203" s="7">
        <f>0.005/2</f>
        <v>2.5000000000000001E-3</v>
      </c>
      <c r="X1203" s="6">
        <v>0.26300000000000001</v>
      </c>
      <c r="Y1203" s="7">
        <f>0.002/2</f>
        <v>1E-3</v>
      </c>
      <c r="Z1203" s="323">
        <v>0.93899999999999995</v>
      </c>
      <c r="AA1203" s="323">
        <v>0.79400000000000004</v>
      </c>
      <c r="AB1203" s="20">
        <v>20</v>
      </c>
      <c r="AC1203" s="7">
        <v>20</v>
      </c>
      <c r="AD1203" s="323">
        <v>0.5</v>
      </c>
      <c r="AE1203" s="7"/>
      <c r="AF1203" s="19"/>
      <c r="AG1203" s="20"/>
      <c r="AH1203" s="20"/>
      <c r="AI1203" s="20"/>
      <c r="AJ1203" s="20"/>
      <c r="AK1203" s="20"/>
      <c r="AL1203" s="20"/>
      <c r="AM1203" s="20"/>
      <c r="AN1203" s="20"/>
      <c r="AO1203" s="20"/>
      <c r="AP1203" s="20"/>
      <c r="AQ1203" s="20"/>
      <c r="AR1203" s="20"/>
      <c r="AS1203" s="7"/>
      <c r="AT1203" s="6"/>
      <c r="AU1203" s="20"/>
    </row>
    <row r="1204" spans="1:47" ht="15" customHeight="1">
      <c r="A1204" s="41" t="s">
        <v>183</v>
      </c>
      <c r="B1204" s="385" t="s">
        <v>4399</v>
      </c>
      <c r="C1204" s="18"/>
      <c r="D1204" s="377" t="s">
        <v>268</v>
      </c>
      <c r="E1204" s="20" t="s">
        <v>252</v>
      </c>
      <c r="F1204" s="385" t="s">
        <v>4400</v>
      </c>
      <c r="G1204" s="390" t="s">
        <v>4401</v>
      </c>
      <c r="H1204" s="6">
        <v>3643</v>
      </c>
      <c r="I1204" s="7" t="s">
        <v>2</v>
      </c>
      <c r="J1204" s="344" t="s">
        <v>3251</v>
      </c>
      <c r="K1204" s="22">
        <v>41170</v>
      </c>
      <c r="L1204" s="324">
        <v>41160</v>
      </c>
      <c r="M1204" s="7">
        <v>10</v>
      </c>
      <c r="N1204" s="7" t="s">
        <v>2</v>
      </c>
      <c r="O1204" s="6">
        <f>2/2</f>
        <v>1</v>
      </c>
      <c r="P1204" s="20">
        <v>5.7</v>
      </c>
      <c r="Q1204" s="7">
        <v>6.6</v>
      </c>
      <c r="R1204" s="6">
        <v>86</v>
      </c>
      <c r="S1204" s="7">
        <v>12</v>
      </c>
      <c r="T1204" s="6">
        <f>0.05/2</f>
        <v>2.5000000000000001E-2</v>
      </c>
      <c r="U1204" s="9">
        <v>4.33</v>
      </c>
      <c r="V1204" s="6">
        <v>0.85</v>
      </c>
      <c r="W1204" s="7">
        <v>3.3000000000000002E-2</v>
      </c>
      <c r="X1204" s="6">
        <v>0.17699999999999999</v>
      </c>
      <c r="Y1204" s="7">
        <f>0.003/2</f>
        <v>1.5E-3</v>
      </c>
      <c r="Z1204" s="323">
        <v>1</v>
      </c>
      <c r="AA1204" s="323">
        <v>0.91700000000000004</v>
      </c>
      <c r="AB1204" s="20">
        <v>12</v>
      </c>
      <c r="AC1204" s="7">
        <v>65</v>
      </c>
      <c r="AD1204" s="323">
        <v>0.4</v>
      </c>
      <c r="AE1204" s="7"/>
      <c r="AF1204" s="19"/>
      <c r="AG1204" s="20"/>
      <c r="AH1204" s="20"/>
      <c r="AI1204" s="20"/>
      <c r="AJ1204" s="20"/>
      <c r="AK1204" s="20"/>
      <c r="AL1204" s="20"/>
      <c r="AM1204" s="20"/>
      <c r="AN1204" s="20"/>
      <c r="AO1204" s="20"/>
      <c r="AP1204" s="20"/>
      <c r="AQ1204" s="20"/>
      <c r="AR1204" s="20"/>
      <c r="AS1204" s="7"/>
      <c r="AT1204" s="6"/>
      <c r="AU1204" s="20"/>
    </row>
    <row r="1205" spans="1:47" ht="15" customHeight="1">
      <c r="A1205" s="41" t="s">
        <v>183</v>
      </c>
      <c r="B1205" s="385" t="s">
        <v>4399</v>
      </c>
      <c r="C1205" s="18"/>
      <c r="D1205" s="377" t="s">
        <v>268</v>
      </c>
      <c r="E1205" s="20" t="s">
        <v>252</v>
      </c>
      <c r="F1205" s="385" t="s">
        <v>4400</v>
      </c>
      <c r="G1205" s="390" t="s">
        <v>4401</v>
      </c>
      <c r="H1205" s="6">
        <v>3643</v>
      </c>
      <c r="I1205" s="7" t="s">
        <v>2</v>
      </c>
      <c r="J1205" s="344" t="s">
        <v>2494</v>
      </c>
      <c r="K1205" s="22">
        <v>41170</v>
      </c>
      <c r="L1205" s="324">
        <v>41160</v>
      </c>
      <c r="M1205" s="7">
        <v>10</v>
      </c>
      <c r="N1205" s="7" t="s">
        <v>2</v>
      </c>
      <c r="O1205" s="6">
        <f>2/2</f>
        <v>1</v>
      </c>
      <c r="P1205" s="20">
        <v>5.7</v>
      </c>
      <c r="Q1205" s="7">
        <v>6.7</v>
      </c>
      <c r="R1205" s="6">
        <v>118</v>
      </c>
      <c r="S1205" s="7">
        <v>18</v>
      </c>
      <c r="T1205" s="6">
        <v>0.09</v>
      </c>
      <c r="U1205" s="9">
        <v>3.92</v>
      </c>
      <c r="V1205" s="6">
        <v>1.9</v>
      </c>
      <c r="W1205" s="7">
        <v>6.5000000000000002E-2</v>
      </c>
      <c r="X1205" s="6">
        <v>0.33</v>
      </c>
      <c r="Y1205" s="7">
        <v>6.5000000000000002E-2</v>
      </c>
      <c r="Z1205" s="323">
        <v>1</v>
      </c>
      <c r="AA1205" s="323">
        <v>1</v>
      </c>
      <c r="AB1205" s="20">
        <v>55</v>
      </c>
      <c r="AC1205" s="7">
        <v>278</v>
      </c>
      <c r="AD1205" s="323">
        <v>1</v>
      </c>
      <c r="AE1205" s="7"/>
      <c r="AF1205" s="19"/>
      <c r="AG1205" s="20"/>
      <c r="AH1205" s="20"/>
      <c r="AI1205" s="20"/>
      <c r="AJ1205" s="20"/>
      <c r="AK1205" s="20"/>
      <c r="AL1205" s="20"/>
      <c r="AM1205" s="20"/>
      <c r="AN1205" s="20"/>
      <c r="AO1205" s="20"/>
      <c r="AP1205" s="20"/>
      <c r="AQ1205" s="20"/>
      <c r="AR1205" s="20"/>
      <c r="AS1205" s="7"/>
      <c r="AT1205" s="6"/>
      <c r="AU1205" s="20"/>
    </row>
    <row r="1206" spans="1:47" ht="15" customHeight="1">
      <c r="A1206" s="41" t="s">
        <v>183</v>
      </c>
      <c r="B1206" s="385" t="s">
        <v>4402</v>
      </c>
      <c r="C1206" s="18" t="s">
        <v>4402</v>
      </c>
      <c r="D1206" s="377" t="s">
        <v>372</v>
      </c>
      <c r="E1206" s="20" t="s">
        <v>309</v>
      </c>
      <c r="F1206" s="385"/>
      <c r="G1206" s="390" t="s">
        <v>4403</v>
      </c>
      <c r="H1206" s="6">
        <v>3679</v>
      </c>
      <c r="I1206" s="7" t="s">
        <v>2</v>
      </c>
      <c r="J1206" s="344" t="s">
        <v>1030</v>
      </c>
      <c r="K1206" s="22">
        <v>41170</v>
      </c>
      <c r="L1206" s="324">
        <v>41161</v>
      </c>
      <c r="M1206" s="7">
        <v>9</v>
      </c>
      <c r="N1206" s="7" t="s">
        <v>2</v>
      </c>
      <c r="O1206" s="6">
        <f>1.8/2</f>
        <v>0.9</v>
      </c>
      <c r="P1206" s="20">
        <v>6.1</v>
      </c>
      <c r="Q1206" s="7">
        <v>5.7</v>
      </c>
      <c r="R1206" s="6">
        <v>21</v>
      </c>
      <c r="S1206" s="7">
        <v>41.4</v>
      </c>
      <c r="T1206" s="6">
        <v>3.4000000000000002E-2</v>
      </c>
      <c r="U1206" s="9">
        <f>1/2</f>
        <v>0.5</v>
      </c>
      <c r="V1206" s="6">
        <v>0.63</v>
      </c>
      <c r="W1206" s="7">
        <v>8.0000000000000002E-3</v>
      </c>
      <c r="X1206" s="6">
        <v>6.0999999999999999E-2</v>
      </c>
      <c r="Y1206" s="7">
        <v>2.23E-2</v>
      </c>
      <c r="Z1206" s="323">
        <v>1</v>
      </c>
      <c r="AA1206" s="323">
        <v>1</v>
      </c>
      <c r="AB1206" s="20">
        <v>12</v>
      </c>
      <c r="AC1206" s="7">
        <v>51</v>
      </c>
      <c r="AD1206" s="323">
        <v>0.85</v>
      </c>
      <c r="AE1206" s="7"/>
      <c r="AF1206" s="19"/>
      <c r="AG1206" s="20"/>
      <c r="AH1206" s="20"/>
      <c r="AI1206" s="20"/>
      <c r="AJ1206" s="20"/>
      <c r="AK1206" s="20"/>
      <c r="AL1206" s="20"/>
      <c r="AM1206" s="20"/>
      <c r="AN1206" s="20"/>
      <c r="AO1206" s="20"/>
      <c r="AP1206" s="20"/>
      <c r="AQ1206" s="20"/>
      <c r="AR1206" s="20"/>
      <c r="AS1206" s="7"/>
      <c r="AT1206" s="6"/>
      <c r="AU1206" s="20"/>
    </row>
    <row r="1207" spans="1:47" ht="15" customHeight="1">
      <c r="A1207" s="41" t="s">
        <v>183</v>
      </c>
      <c r="B1207" s="385" t="s">
        <v>4404</v>
      </c>
      <c r="C1207" s="18" t="s">
        <v>424</v>
      </c>
      <c r="D1207" s="377" t="s">
        <v>425</v>
      </c>
      <c r="E1207" s="20" t="s">
        <v>235</v>
      </c>
      <c r="F1207" s="385"/>
      <c r="G1207" s="390" t="s">
        <v>426</v>
      </c>
      <c r="H1207" s="6">
        <v>3351</v>
      </c>
      <c r="I1207" s="7" t="s">
        <v>1</v>
      </c>
      <c r="J1207" s="344" t="s">
        <v>510</v>
      </c>
      <c r="K1207" s="22">
        <v>41180</v>
      </c>
      <c r="L1207" s="324">
        <v>41174</v>
      </c>
      <c r="M1207" s="7">
        <v>6</v>
      </c>
      <c r="N1207" s="7" t="s">
        <v>2</v>
      </c>
      <c r="O1207" s="6">
        <f>5/2</f>
        <v>2.5</v>
      </c>
      <c r="P1207" s="20">
        <v>4.79</v>
      </c>
      <c r="Q1207" s="7">
        <v>6.56</v>
      </c>
      <c r="R1207" s="6">
        <f>5/2</f>
        <v>2.5</v>
      </c>
      <c r="S1207" s="7">
        <v>9</v>
      </c>
      <c r="T1207" s="6">
        <f>0.1/2</f>
        <v>0.05</v>
      </c>
      <c r="U1207" s="9">
        <v>1</v>
      </c>
      <c r="V1207" s="6">
        <v>0.61</v>
      </c>
      <c r="W1207" s="7">
        <v>0.39</v>
      </c>
      <c r="X1207" s="6">
        <v>0.75</v>
      </c>
      <c r="Y1207" s="7">
        <v>1.7000000000000001E-2</v>
      </c>
      <c r="Z1207" s="323">
        <v>6.25E-2</v>
      </c>
      <c r="AA1207" s="323">
        <v>6.25E-2</v>
      </c>
      <c r="AB1207" s="20">
        <v>10</v>
      </c>
      <c r="AC1207" s="7">
        <v>43</v>
      </c>
      <c r="AD1207" s="323">
        <v>0</v>
      </c>
      <c r="AE1207" s="7"/>
      <c r="AF1207" s="19"/>
      <c r="AG1207" s="20"/>
      <c r="AH1207" s="20"/>
      <c r="AI1207" s="20">
        <v>160</v>
      </c>
      <c r="AJ1207" s="20"/>
      <c r="AK1207" s="20"/>
      <c r="AL1207" s="20"/>
      <c r="AM1207" s="20"/>
      <c r="AN1207" s="20"/>
      <c r="AO1207" s="20"/>
      <c r="AP1207" s="20"/>
      <c r="AQ1207" s="20"/>
      <c r="AR1207" s="20"/>
      <c r="AS1207" s="7"/>
      <c r="AT1207" s="6"/>
      <c r="AU1207" s="20"/>
    </row>
    <row r="1208" spans="1:47" ht="15" customHeight="1">
      <c r="A1208" s="41" t="s">
        <v>183</v>
      </c>
      <c r="B1208" s="385" t="s">
        <v>4404</v>
      </c>
      <c r="C1208" s="18" t="s">
        <v>4405</v>
      </c>
      <c r="D1208" s="377" t="s">
        <v>372</v>
      </c>
      <c r="E1208" s="20" t="s">
        <v>235</v>
      </c>
      <c r="F1208" s="385"/>
      <c r="G1208" s="390" t="s">
        <v>1930</v>
      </c>
      <c r="H1208" s="6">
        <v>3351</v>
      </c>
      <c r="I1208" s="7" t="s">
        <v>1</v>
      </c>
      <c r="J1208" s="344" t="s">
        <v>4406</v>
      </c>
      <c r="K1208" s="22">
        <v>41170</v>
      </c>
      <c r="L1208" s="324">
        <v>41161</v>
      </c>
      <c r="M1208" s="7">
        <v>9</v>
      </c>
      <c r="N1208" s="7" t="s">
        <v>2</v>
      </c>
      <c r="O1208" s="6">
        <f>5/2</f>
        <v>2.5</v>
      </c>
      <c r="P1208" s="20">
        <v>5.68</v>
      </c>
      <c r="Q1208" s="7">
        <v>6.56</v>
      </c>
      <c r="R1208" s="6">
        <v>31</v>
      </c>
      <c r="S1208" s="7">
        <v>7</v>
      </c>
      <c r="T1208" s="6">
        <f>0.01/2</f>
        <v>5.0000000000000001E-3</v>
      </c>
      <c r="U1208" s="9">
        <f>1/2</f>
        <v>0.5</v>
      </c>
      <c r="V1208" s="6">
        <v>0.49</v>
      </c>
      <c r="W1208" s="7">
        <v>0.38</v>
      </c>
      <c r="X1208" s="6">
        <v>0.19</v>
      </c>
      <c r="Y1208" s="7">
        <f>0.013/2</f>
        <v>6.4999999999999997E-3</v>
      </c>
      <c r="Z1208" s="323">
        <v>6.25E-2</v>
      </c>
      <c r="AA1208" s="323">
        <v>6.25E-2</v>
      </c>
      <c r="AB1208" s="20">
        <v>20</v>
      </c>
      <c r="AC1208" s="7">
        <v>70</v>
      </c>
      <c r="AD1208" s="323">
        <v>0</v>
      </c>
      <c r="AE1208" s="7">
        <f>1/2</f>
        <v>0.5</v>
      </c>
      <c r="AF1208" s="19"/>
      <c r="AG1208" s="20"/>
      <c r="AH1208" s="20"/>
      <c r="AI1208" s="20"/>
      <c r="AJ1208" s="20"/>
      <c r="AK1208" s="20"/>
      <c r="AL1208" s="20"/>
      <c r="AM1208" s="20"/>
      <c r="AN1208" s="20"/>
      <c r="AO1208" s="20"/>
      <c r="AP1208" s="20"/>
      <c r="AQ1208" s="20"/>
      <c r="AR1208" s="20"/>
      <c r="AS1208" s="7"/>
      <c r="AT1208" s="6"/>
      <c r="AU1208" s="20"/>
    </row>
    <row r="1209" spans="1:47" ht="15" customHeight="1">
      <c r="A1209" s="41" t="s">
        <v>183</v>
      </c>
      <c r="B1209" s="385" t="s">
        <v>4407</v>
      </c>
      <c r="C1209" s="18" t="s">
        <v>4407</v>
      </c>
      <c r="D1209" s="377" t="s">
        <v>56</v>
      </c>
      <c r="E1209" s="20" t="s">
        <v>95</v>
      </c>
      <c r="F1209" s="385"/>
      <c r="G1209" s="390" t="s">
        <v>4408</v>
      </c>
      <c r="H1209" s="6">
        <v>3465</v>
      </c>
      <c r="I1209" s="7"/>
      <c r="J1209" s="344" t="s">
        <v>3702</v>
      </c>
      <c r="K1209" s="22">
        <v>41197</v>
      </c>
      <c r="L1209" s="324">
        <v>41192</v>
      </c>
      <c r="M1209" s="7">
        <v>5</v>
      </c>
      <c r="N1209" s="7" t="s">
        <v>2</v>
      </c>
      <c r="O1209" s="6">
        <v>1.6</v>
      </c>
      <c r="P1209" s="20">
        <v>6.65</v>
      </c>
      <c r="Q1209" s="7">
        <v>6.59</v>
      </c>
      <c r="R1209" s="6">
        <v>23.7</v>
      </c>
      <c r="S1209" s="7">
        <f>1/2</f>
        <v>0.5</v>
      </c>
      <c r="T1209" s="6">
        <v>0.05</v>
      </c>
      <c r="U1209" s="9">
        <v>1.04</v>
      </c>
      <c r="V1209" s="6">
        <v>0.5</v>
      </c>
      <c r="W1209" s="7">
        <v>0.06</v>
      </c>
      <c r="X1209" s="6">
        <v>0.18</v>
      </c>
      <c r="Y1209" s="7">
        <f>0.02/2</f>
        <v>0.01</v>
      </c>
      <c r="Z1209" s="323">
        <v>0.95199999999999996</v>
      </c>
      <c r="AA1209" s="323">
        <v>0.61299999999999999</v>
      </c>
      <c r="AB1209" s="20">
        <v>11.5</v>
      </c>
      <c r="AC1209" s="7">
        <v>25.2</v>
      </c>
      <c r="AD1209" s="323">
        <v>0.05</v>
      </c>
      <c r="AE1209" s="7"/>
      <c r="AF1209" s="19"/>
      <c r="AG1209" s="20"/>
      <c r="AH1209" s="20"/>
      <c r="AI1209" s="20"/>
      <c r="AJ1209" s="20"/>
      <c r="AK1209" s="20"/>
      <c r="AL1209" s="20"/>
      <c r="AM1209" s="20"/>
      <c r="AN1209" s="20"/>
      <c r="AO1209" s="20"/>
      <c r="AP1209" s="20"/>
      <c r="AQ1209" s="20"/>
      <c r="AR1209" s="20"/>
      <c r="AS1209" s="7"/>
      <c r="AT1209" s="6"/>
      <c r="AU1209" s="20"/>
    </row>
    <row r="1210" spans="1:47" ht="15" customHeight="1">
      <c r="A1210" s="41" t="s">
        <v>183</v>
      </c>
      <c r="B1210" s="385" t="s">
        <v>4407</v>
      </c>
      <c r="C1210" s="18" t="s">
        <v>4407</v>
      </c>
      <c r="D1210" s="377" t="s">
        <v>56</v>
      </c>
      <c r="E1210" s="20" t="s">
        <v>95</v>
      </c>
      <c r="F1210" s="385"/>
      <c r="G1210" s="390" t="s">
        <v>4408</v>
      </c>
      <c r="H1210" s="6">
        <v>3465</v>
      </c>
      <c r="I1210" s="7"/>
      <c r="J1210" s="344" t="s">
        <v>4409</v>
      </c>
      <c r="K1210" s="22">
        <v>41197</v>
      </c>
      <c r="L1210" s="324">
        <v>41192</v>
      </c>
      <c r="M1210" s="7">
        <v>5</v>
      </c>
      <c r="N1210" s="7" t="s">
        <v>2</v>
      </c>
      <c r="O1210" s="6">
        <v>1</v>
      </c>
      <c r="P1210" s="20">
        <v>6</v>
      </c>
      <c r="Q1210" s="7">
        <v>5.64</v>
      </c>
      <c r="R1210" s="6">
        <v>26.9</v>
      </c>
      <c r="S1210" s="7">
        <v>2</v>
      </c>
      <c r="T1210" s="6">
        <v>0.06</v>
      </c>
      <c r="U1210" s="9">
        <v>1</v>
      </c>
      <c r="V1210" s="6">
        <v>0.87</v>
      </c>
      <c r="W1210" s="7">
        <v>0.05</v>
      </c>
      <c r="X1210" s="6">
        <v>0.18</v>
      </c>
      <c r="Y1210" s="7">
        <f>0.02/2</f>
        <v>0.01</v>
      </c>
      <c r="Z1210" s="323">
        <v>0.89700000000000002</v>
      </c>
      <c r="AA1210" s="323">
        <v>0.38900000000000001</v>
      </c>
      <c r="AB1210" s="20">
        <v>10.3</v>
      </c>
      <c r="AC1210" s="7">
        <v>33.1</v>
      </c>
      <c r="AD1210" s="323">
        <v>0</v>
      </c>
      <c r="AE1210" s="7"/>
      <c r="AF1210" s="19"/>
      <c r="AG1210" s="20"/>
      <c r="AH1210" s="20"/>
      <c r="AI1210" s="20"/>
      <c r="AJ1210" s="20"/>
      <c r="AK1210" s="20"/>
      <c r="AL1210" s="20"/>
      <c r="AM1210" s="20"/>
      <c r="AN1210" s="20"/>
      <c r="AO1210" s="20"/>
      <c r="AP1210" s="20"/>
      <c r="AQ1210" s="20"/>
      <c r="AR1210" s="20"/>
      <c r="AS1210" s="7"/>
      <c r="AT1210" s="6"/>
      <c r="AU1210" s="20"/>
    </row>
    <row r="1211" spans="1:47" ht="15" customHeight="1">
      <c r="A1211" s="41" t="s">
        <v>183</v>
      </c>
      <c r="B1211" s="385" t="s">
        <v>4410</v>
      </c>
      <c r="C1211" s="18" t="s">
        <v>4411</v>
      </c>
      <c r="D1211" s="377" t="s">
        <v>56</v>
      </c>
      <c r="E1211" s="20" t="s">
        <v>4412</v>
      </c>
      <c r="F1211" s="385"/>
      <c r="G1211" s="390" t="s">
        <v>4413</v>
      </c>
      <c r="H1211" s="6">
        <v>4173</v>
      </c>
      <c r="I1211" s="7" t="s">
        <v>2</v>
      </c>
      <c r="J1211" s="344"/>
      <c r="K1211" s="22">
        <v>41176</v>
      </c>
      <c r="L1211" s="324">
        <v>41170</v>
      </c>
      <c r="M1211" s="7">
        <v>6</v>
      </c>
      <c r="N1211" s="7" t="s">
        <v>2</v>
      </c>
      <c r="O1211" s="6">
        <f>5/2</f>
        <v>2.5</v>
      </c>
      <c r="P1211" s="20">
        <v>5.77</v>
      </c>
      <c r="Q1211" s="7">
        <v>8.76</v>
      </c>
      <c r="R1211" s="6">
        <f>5/2</f>
        <v>2.5</v>
      </c>
      <c r="S1211" s="7">
        <v>10</v>
      </c>
      <c r="T1211" s="6">
        <f>0.1/2</f>
        <v>0.05</v>
      </c>
      <c r="U1211" s="9">
        <f>1/2</f>
        <v>0.5</v>
      </c>
      <c r="V1211" s="6">
        <v>0.37</v>
      </c>
      <c r="W1211" s="7">
        <f>0.04/2</f>
        <v>0.02</v>
      </c>
      <c r="X1211" s="6">
        <v>0.45</v>
      </c>
      <c r="Y1211" s="7">
        <f>0.013/2</f>
        <v>6.4999999999999997E-3</v>
      </c>
      <c r="Z1211" s="323">
        <v>1</v>
      </c>
      <c r="AA1211" s="323">
        <v>0.749</v>
      </c>
      <c r="AB1211" s="20">
        <v>1.3</v>
      </c>
      <c r="AC1211" s="7">
        <v>13</v>
      </c>
      <c r="AD1211" s="323">
        <v>0.25</v>
      </c>
      <c r="AE1211" s="7"/>
      <c r="AF1211" s="19"/>
      <c r="AG1211" s="20"/>
      <c r="AH1211" s="20"/>
      <c r="AI1211" s="20"/>
      <c r="AJ1211" s="20"/>
      <c r="AK1211" s="20"/>
      <c r="AL1211" s="20"/>
      <c r="AM1211" s="20"/>
      <c r="AN1211" s="20"/>
      <c r="AO1211" s="20"/>
      <c r="AP1211" s="20"/>
      <c r="AQ1211" s="20"/>
      <c r="AR1211" s="20"/>
      <c r="AS1211" s="7"/>
      <c r="AT1211" s="6"/>
      <c r="AU1211" s="20"/>
    </row>
    <row r="1212" spans="1:47" ht="15" customHeight="1">
      <c r="A1212" s="41" t="s">
        <v>183</v>
      </c>
      <c r="B1212" s="385" t="s">
        <v>1058</v>
      </c>
      <c r="C1212" s="18" t="s">
        <v>1058</v>
      </c>
      <c r="D1212" s="377" t="s">
        <v>1135</v>
      </c>
      <c r="E1212" s="20"/>
      <c r="F1212" s="385" t="s">
        <v>4414</v>
      </c>
      <c r="G1212" s="390" t="s">
        <v>1060</v>
      </c>
      <c r="H1212" s="6">
        <v>3357</v>
      </c>
      <c r="I1212" s="7" t="s">
        <v>2</v>
      </c>
      <c r="J1212" s="344" t="s">
        <v>700</v>
      </c>
      <c r="K1212" s="22">
        <v>41170</v>
      </c>
      <c r="L1212" s="324">
        <v>41525</v>
      </c>
      <c r="M1212" s="7">
        <v>10</v>
      </c>
      <c r="N1212" s="7" t="s">
        <v>2</v>
      </c>
      <c r="O1212" s="6">
        <f>1.9/2</f>
        <v>0.95</v>
      </c>
      <c r="P1212" s="20">
        <v>6.6</v>
      </c>
      <c r="Q1212" s="7">
        <v>6.38</v>
      </c>
      <c r="R1212" s="6">
        <f>20/2</f>
        <v>10</v>
      </c>
      <c r="S1212" s="7">
        <v>4.5</v>
      </c>
      <c r="T1212" s="6">
        <v>3.7999999999999999E-2</v>
      </c>
      <c r="U1212" s="9">
        <f>1/2</f>
        <v>0.5</v>
      </c>
      <c r="V1212" s="6">
        <v>0.5</v>
      </c>
      <c r="W1212" s="7">
        <v>3.9E-2</v>
      </c>
      <c r="X1212" s="6">
        <v>7.8E-2</v>
      </c>
      <c r="Y1212" s="7">
        <v>1.78E-2</v>
      </c>
      <c r="Z1212" s="323">
        <v>0.749</v>
      </c>
      <c r="AA1212" s="323">
        <v>0.72</v>
      </c>
      <c r="AB1212" s="20">
        <v>10</v>
      </c>
      <c r="AC1212" s="7">
        <v>66</v>
      </c>
      <c r="AD1212" s="323">
        <v>0.05</v>
      </c>
      <c r="AE1212" s="7"/>
      <c r="AF1212" s="19"/>
      <c r="AG1212" s="20"/>
      <c r="AH1212" s="20"/>
      <c r="AI1212" s="20"/>
      <c r="AJ1212" s="20"/>
      <c r="AK1212" s="20"/>
      <c r="AL1212" s="20"/>
      <c r="AM1212" s="20"/>
      <c r="AN1212" s="20"/>
      <c r="AO1212" s="20"/>
      <c r="AP1212" s="20"/>
      <c r="AQ1212" s="20"/>
      <c r="AR1212" s="20"/>
      <c r="AS1212" s="7"/>
      <c r="AT1212" s="6"/>
      <c r="AU1212" s="20"/>
    </row>
    <row r="1213" spans="1:47" ht="15" customHeight="1">
      <c r="A1213" s="41" t="s">
        <v>183</v>
      </c>
      <c r="B1213" s="385" t="s">
        <v>1058</v>
      </c>
      <c r="C1213" s="18" t="s">
        <v>1058</v>
      </c>
      <c r="D1213" s="377" t="s">
        <v>1135</v>
      </c>
      <c r="E1213" s="20"/>
      <c r="F1213" s="385" t="s">
        <v>4414</v>
      </c>
      <c r="G1213" s="390" t="s">
        <v>1060</v>
      </c>
      <c r="H1213" s="6">
        <v>3357</v>
      </c>
      <c r="I1213" s="7" t="s">
        <v>2</v>
      </c>
      <c r="J1213" s="344" t="s">
        <v>1061</v>
      </c>
      <c r="K1213" s="22">
        <v>41170</v>
      </c>
      <c r="L1213" s="324">
        <v>41525</v>
      </c>
      <c r="M1213" s="7">
        <v>10</v>
      </c>
      <c r="N1213" s="7" t="s">
        <v>2</v>
      </c>
      <c r="O1213" s="6">
        <f>1.9/2</f>
        <v>0.95</v>
      </c>
      <c r="P1213" s="20">
        <v>6.6</v>
      </c>
      <c r="Q1213" s="7">
        <v>6.49</v>
      </c>
      <c r="R1213" s="6">
        <v>62</v>
      </c>
      <c r="S1213" s="7">
        <v>10.5</v>
      </c>
      <c r="T1213" s="6">
        <v>9.0999999999999998E-2</v>
      </c>
      <c r="U1213" s="9">
        <v>1.3</v>
      </c>
      <c r="V1213" s="6">
        <v>0.9</v>
      </c>
      <c r="W1213" s="7">
        <v>5.2999999999999999E-2</v>
      </c>
      <c r="X1213" s="6">
        <v>0.4</v>
      </c>
      <c r="Y1213" s="7">
        <v>0.04</v>
      </c>
      <c r="Z1213" s="323">
        <v>1</v>
      </c>
      <c r="AA1213" s="323">
        <v>0.77200000000000002</v>
      </c>
      <c r="AB1213" s="20">
        <v>12</v>
      </c>
      <c r="AC1213" s="7">
        <v>79</v>
      </c>
      <c r="AD1213" s="323">
        <v>0.2</v>
      </c>
      <c r="AE1213" s="7"/>
      <c r="AF1213" s="19"/>
      <c r="AG1213" s="20"/>
      <c r="AH1213" s="20"/>
      <c r="AI1213" s="20"/>
      <c r="AJ1213" s="20"/>
      <c r="AK1213" s="20"/>
      <c r="AL1213" s="20"/>
      <c r="AM1213" s="20"/>
      <c r="AN1213" s="20"/>
      <c r="AO1213" s="20"/>
      <c r="AP1213" s="20"/>
      <c r="AQ1213" s="20"/>
      <c r="AR1213" s="20"/>
      <c r="AS1213" s="7"/>
      <c r="AT1213" s="6"/>
      <c r="AU1213" s="20"/>
    </row>
    <row r="1214" spans="1:47" ht="15" customHeight="1">
      <c r="A1214" s="41" t="s">
        <v>183</v>
      </c>
      <c r="B1214" s="385" t="s">
        <v>1058</v>
      </c>
      <c r="C1214" s="18" t="s">
        <v>1058</v>
      </c>
      <c r="D1214" s="377" t="s">
        <v>1135</v>
      </c>
      <c r="E1214" s="20"/>
      <c r="F1214" s="385" t="s">
        <v>4414</v>
      </c>
      <c r="G1214" s="390" t="s">
        <v>1060</v>
      </c>
      <c r="H1214" s="6">
        <v>3357</v>
      </c>
      <c r="I1214" s="7" t="s">
        <v>2</v>
      </c>
      <c r="J1214" s="344" t="s">
        <v>1062</v>
      </c>
      <c r="K1214" s="22">
        <v>41170</v>
      </c>
      <c r="L1214" s="324">
        <v>41525</v>
      </c>
      <c r="M1214" s="7">
        <v>10</v>
      </c>
      <c r="N1214" s="7" t="s">
        <v>2</v>
      </c>
      <c r="O1214" s="6">
        <f>1.8/2</f>
        <v>0.9</v>
      </c>
      <c r="P1214" s="20">
        <v>6.6</v>
      </c>
      <c r="Q1214" s="7">
        <v>6.33</v>
      </c>
      <c r="R1214" s="6">
        <v>21</v>
      </c>
      <c r="S1214" s="7">
        <v>7</v>
      </c>
      <c r="T1214" s="6">
        <v>3.5999999999999997E-2</v>
      </c>
      <c r="U1214" s="9">
        <v>1</v>
      </c>
      <c r="V1214" s="6">
        <f>0.46/2</f>
        <v>0.23</v>
      </c>
      <c r="W1214" s="7">
        <v>1.2999999999999999E-2</v>
      </c>
      <c r="X1214" s="6">
        <v>7.0999999999999994E-2</v>
      </c>
      <c r="Y1214" s="7">
        <v>5.1999999999999998E-3</v>
      </c>
      <c r="Z1214" s="323">
        <v>1</v>
      </c>
      <c r="AA1214" s="323">
        <v>1</v>
      </c>
      <c r="AB1214" s="20">
        <v>12</v>
      </c>
      <c r="AC1214" s="7">
        <v>65</v>
      </c>
      <c r="AD1214" s="323">
        <v>0.95</v>
      </c>
      <c r="AE1214" s="7"/>
      <c r="AF1214" s="19"/>
      <c r="AG1214" s="20"/>
      <c r="AH1214" s="20"/>
      <c r="AI1214" s="20"/>
      <c r="AJ1214" s="20"/>
      <c r="AK1214" s="20"/>
      <c r="AL1214" s="20"/>
      <c r="AM1214" s="20"/>
      <c r="AN1214" s="20"/>
      <c r="AO1214" s="20"/>
      <c r="AP1214" s="20"/>
      <c r="AQ1214" s="20"/>
      <c r="AR1214" s="20"/>
      <c r="AS1214" s="7"/>
      <c r="AT1214" s="6"/>
      <c r="AU1214" s="20"/>
    </row>
    <row r="1215" spans="1:47" ht="15" customHeight="1">
      <c r="A1215" s="41" t="s">
        <v>183</v>
      </c>
      <c r="B1215" s="385" t="s">
        <v>1058</v>
      </c>
      <c r="C1215" s="18" t="s">
        <v>1058</v>
      </c>
      <c r="D1215" s="377" t="s">
        <v>1135</v>
      </c>
      <c r="E1215" s="20"/>
      <c r="F1215" s="385" t="s">
        <v>4414</v>
      </c>
      <c r="G1215" s="390" t="s">
        <v>1060</v>
      </c>
      <c r="H1215" s="6">
        <v>3357</v>
      </c>
      <c r="I1215" s="7" t="s">
        <v>2</v>
      </c>
      <c r="J1215" s="344" t="s">
        <v>1063</v>
      </c>
      <c r="K1215" s="22">
        <v>41170</v>
      </c>
      <c r="L1215" s="324">
        <v>41525</v>
      </c>
      <c r="M1215" s="7">
        <v>10</v>
      </c>
      <c r="N1215" s="7" t="s">
        <v>2</v>
      </c>
      <c r="O1215" s="6">
        <f>1.7/2</f>
        <v>0.85</v>
      </c>
      <c r="P1215" s="20">
        <v>6.6</v>
      </c>
      <c r="Q1215" s="7">
        <v>6.17</v>
      </c>
      <c r="R1215" s="6">
        <v>34</v>
      </c>
      <c r="S1215" s="7">
        <v>31.5</v>
      </c>
      <c r="T1215" s="6">
        <v>6.5000000000000002E-2</v>
      </c>
      <c r="U1215" s="9">
        <v>1.4</v>
      </c>
      <c r="V1215" s="6">
        <v>2.5099999999999998</v>
      </c>
      <c r="W1215" s="7">
        <v>2.8000000000000001E-2</v>
      </c>
      <c r="X1215" s="6">
        <v>7.1999999999999995E-2</v>
      </c>
      <c r="Y1215" s="7">
        <v>1.23E-2</v>
      </c>
      <c r="Z1215" s="323">
        <v>1</v>
      </c>
      <c r="AA1215" s="323">
        <v>1</v>
      </c>
      <c r="AB1215" s="20">
        <v>54</v>
      </c>
      <c r="AC1215" s="7">
        <v>355</v>
      </c>
      <c r="AD1215" s="323">
        <v>1</v>
      </c>
      <c r="AE1215" s="7"/>
      <c r="AF1215" s="19"/>
      <c r="AG1215" s="20"/>
      <c r="AH1215" s="20"/>
      <c r="AI1215" s="20"/>
      <c r="AJ1215" s="20"/>
      <c r="AK1215" s="20"/>
      <c r="AL1215" s="20"/>
      <c r="AM1215" s="20"/>
      <c r="AN1215" s="20"/>
      <c r="AO1215" s="20"/>
      <c r="AP1215" s="20"/>
      <c r="AQ1215" s="20"/>
      <c r="AR1215" s="20"/>
      <c r="AS1215" s="7"/>
      <c r="AT1215" s="6"/>
      <c r="AU1215" s="20"/>
    </row>
    <row r="1216" spans="1:47" ht="15" customHeight="1">
      <c r="A1216" s="41" t="s">
        <v>183</v>
      </c>
      <c r="B1216" s="385" t="s">
        <v>1058</v>
      </c>
      <c r="C1216" s="18" t="s">
        <v>1058</v>
      </c>
      <c r="D1216" s="377" t="s">
        <v>1135</v>
      </c>
      <c r="E1216" s="20"/>
      <c r="F1216" s="385" t="s">
        <v>4414</v>
      </c>
      <c r="G1216" s="390" t="s">
        <v>1060</v>
      </c>
      <c r="H1216" s="6">
        <v>3357</v>
      </c>
      <c r="I1216" s="7" t="s">
        <v>2</v>
      </c>
      <c r="J1216" s="344" t="s">
        <v>1064</v>
      </c>
      <c r="K1216" s="22">
        <v>41170</v>
      </c>
      <c r="L1216" s="324">
        <v>41525</v>
      </c>
      <c r="M1216" s="7">
        <v>10</v>
      </c>
      <c r="N1216" s="7" t="s">
        <v>2</v>
      </c>
      <c r="O1216" s="6">
        <f>1.7/2</f>
        <v>0.85</v>
      </c>
      <c r="P1216" s="20">
        <v>6.6</v>
      </c>
      <c r="Q1216" s="7">
        <v>6.7</v>
      </c>
      <c r="R1216" s="6">
        <v>71</v>
      </c>
      <c r="S1216" s="7">
        <v>175</v>
      </c>
      <c r="T1216" s="6">
        <v>0.14000000000000001</v>
      </c>
      <c r="U1216" s="9">
        <v>1.2</v>
      </c>
      <c r="V1216" s="6">
        <v>1.03</v>
      </c>
      <c r="W1216" s="7">
        <v>0.112</v>
      </c>
      <c r="X1216" s="6">
        <v>0.38900000000000001</v>
      </c>
      <c r="Y1216" s="7">
        <v>4.0300000000000002E-2</v>
      </c>
      <c r="Z1216" s="323">
        <v>1</v>
      </c>
      <c r="AA1216" s="323">
        <v>1</v>
      </c>
      <c r="AB1216" s="20">
        <v>20</v>
      </c>
      <c r="AC1216" s="7">
        <v>124</v>
      </c>
      <c r="AD1216" s="323">
        <v>1</v>
      </c>
      <c r="AE1216" s="7"/>
      <c r="AF1216" s="19"/>
      <c r="AG1216" s="20"/>
      <c r="AH1216" s="20"/>
      <c r="AI1216" s="20"/>
      <c r="AJ1216" s="20"/>
      <c r="AK1216" s="20"/>
      <c r="AL1216" s="20"/>
      <c r="AM1216" s="20"/>
      <c r="AN1216" s="20"/>
      <c r="AO1216" s="20"/>
      <c r="AP1216" s="20"/>
      <c r="AQ1216" s="20"/>
      <c r="AR1216" s="20"/>
      <c r="AS1216" s="7"/>
      <c r="AT1216" s="6"/>
      <c r="AU1216" s="20"/>
    </row>
    <row r="1217" spans="1:47" ht="15" customHeight="1">
      <c r="A1217" s="41" t="s">
        <v>183</v>
      </c>
      <c r="B1217" s="385" t="s">
        <v>1058</v>
      </c>
      <c r="C1217" s="18" t="s">
        <v>1058</v>
      </c>
      <c r="D1217" s="377" t="s">
        <v>1135</v>
      </c>
      <c r="E1217" s="20"/>
      <c r="F1217" s="385" t="s">
        <v>4414</v>
      </c>
      <c r="G1217" s="390" t="s">
        <v>1060</v>
      </c>
      <c r="H1217" s="6">
        <v>3357</v>
      </c>
      <c r="I1217" s="7" t="s">
        <v>2</v>
      </c>
      <c r="J1217" s="344" t="s">
        <v>1065</v>
      </c>
      <c r="K1217" s="22">
        <v>41170</v>
      </c>
      <c r="L1217" s="324">
        <v>41525</v>
      </c>
      <c r="M1217" s="7">
        <v>10</v>
      </c>
      <c r="N1217" s="7" t="s">
        <v>2</v>
      </c>
      <c r="O1217" s="6">
        <f>1.8/2</f>
        <v>0.9</v>
      </c>
      <c r="P1217" s="20">
        <v>6.6</v>
      </c>
      <c r="Q1217" s="7">
        <v>6.28</v>
      </c>
      <c r="R1217" s="6">
        <v>84</v>
      </c>
      <c r="S1217" s="7">
        <v>27.5</v>
      </c>
      <c r="T1217" s="6">
        <v>7.1999999999999995E-2</v>
      </c>
      <c r="U1217" s="9">
        <f>1/2</f>
        <v>0.5</v>
      </c>
      <c r="V1217" s="6">
        <v>0.86</v>
      </c>
      <c r="W1217" s="7">
        <v>4.5999999999999999E-2</v>
      </c>
      <c r="X1217" s="6">
        <v>0.107</v>
      </c>
      <c r="Y1217" s="7">
        <v>1.2500000000000001E-2</v>
      </c>
      <c r="Z1217" s="323">
        <v>1</v>
      </c>
      <c r="AA1217" s="323">
        <v>1</v>
      </c>
      <c r="AB1217" s="20">
        <v>20</v>
      </c>
      <c r="AC1217" s="7">
        <v>104</v>
      </c>
      <c r="AD1217" s="323">
        <v>1</v>
      </c>
      <c r="AE1217" s="7"/>
      <c r="AF1217" s="19"/>
      <c r="AG1217" s="20"/>
      <c r="AH1217" s="20"/>
      <c r="AI1217" s="20"/>
      <c r="AJ1217" s="20"/>
      <c r="AK1217" s="20"/>
      <c r="AL1217" s="20"/>
      <c r="AM1217" s="20"/>
      <c r="AN1217" s="20"/>
      <c r="AO1217" s="20"/>
      <c r="AP1217" s="20"/>
      <c r="AQ1217" s="20"/>
      <c r="AR1217" s="20"/>
      <c r="AS1217" s="7"/>
      <c r="AT1217" s="6"/>
      <c r="AU1217" s="20"/>
    </row>
    <row r="1218" spans="1:47" ht="15" customHeight="1">
      <c r="A1218" s="41" t="s">
        <v>183</v>
      </c>
      <c r="B1218" s="402" t="s">
        <v>4415</v>
      </c>
      <c r="D1218" s="393" t="s">
        <v>89</v>
      </c>
      <c r="E1218" s="394" t="s">
        <v>535</v>
      </c>
      <c r="G1218" s="405" t="s">
        <v>4416</v>
      </c>
      <c r="H1218" s="74">
        <v>2434</v>
      </c>
      <c r="I1218" s="50" t="s">
        <v>1</v>
      </c>
      <c r="J1218" s="339"/>
      <c r="K1218" s="51">
        <v>41149</v>
      </c>
      <c r="L1218" s="173">
        <v>41139</v>
      </c>
      <c r="M1218" s="50">
        <f t="shared" ref="M1218:M1226" si="49">K1218-L1218</f>
        <v>10</v>
      </c>
      <c r="N1218" s="50" t="s">
        <v>2</v>
      </c>
      <c r="O1218" s="74">
        <v>0.7</v>
      </c>
      <c r="P1218" s="50">
        <v>5.2</v>
      </c>
      <c r="Q1218" s="74">
        <v>7.9</v>
      </c>
      <c r="R1218" s="50">
        <v>10</v>
      </c>
      <c r="S1218" s="74">
        <v>3</v>
      </c>
      <c r="T1218" s="50">
        <v>3.3000000000000002E-2</v>
      </c>
      <c r="U1218" s="131">
        <v>0.08</v>
      </c>
      <c r="V1218" s="50">
        <v>0.27</v>
      </c>
      <c r="W1218" s="74">
        <f>0.005/2</f>
        <v>2.5000000000000001E-3</v>
      </c>
      <c r="X1218" s="50">
        <v>0.03</v>
      </c>
      <c r="Y1218" s="74">
        <f>0.005/2</f>
        <v>2.5000000000000001E-3</v>
      </c>
      <c r="AE1218" s="50">
        <v>731</v>
      </c>
      <c r="AT1218" s="74">
        <f>0.0002/2</f>
        <v>1E-4</v>
      </c>
    </row>
    <row r="1219" spans="1:47" ht="15" customHeight="1">
      <c r="A1219" s="41" t="s">
        <v>183</v>
      </c>
      <c r="B1219" s="402" t="s">
        <v>1843</v>
      </c>
      <c r="C1219" s="113" t="s">
        <v>1110</v>
      </c>
      <c r="D1219" s="393" t="s">
        <v>262</v>
      </c>
      <c r="E1219" s="394" t="s">
        <v>128</v>
      </c>
      <c r="G1219" s="405" t="s">
        <v>1876</v>
      </c>
      <c r="H1219" s="74">
        <v>4151</v>
      </c>
      <c r="I1219" s="50" t="s">
        <v>2</v>
      </c>
      <c r="J1219" s="339" t="s">
        <v>1030</v>
      </c>
      <c r="K1219" s="51">
        <v>41201</v>
      </c>
      <c r="L1219" s="173">
        <v>41198</v>
      </c>
      <c r="M1219" s="50">
        <f t="shared" si="49"/>
        <v>3</v>
      </c>
      <c r="N1219" s="50" t="s">
        <v>2</v>
      </c>
      <c r="O1219" s="74">
        <v>1.4</v>
      </c>
      <c r="P1219" s="50">
        <v>6.2</v>
      </c>
      <c r="Q1219" s="74">
        <v>6.73</v>
      </c>
      <c r="R1219" s="50">
        <f>10/2</f>
        <v>5</v>
      </c>
      <c r="S1219" s="74">
        <v>6</v>
      </c>
      <c r="T1219" s="50">
        <v>0.02</v>
      </c>
      <c r="U1219" s="131">
        <v>0.41</v>
      </c>
      <c r="V1219" s="50">
        <v>0.1</v>
      </c>
      <c r="W1219" s="74">
        <v>8.9999999999999993E-3</v>
      </c>
      <c r="X1219" s="50">
        <v>4.2000000000000003E-2</v>
      </c>
      <c r="Y1219" s="74">
        <f>0.002/2</f>
        <v>1E-3</v>
      </c>
      <c r="Z1219" s="271">
        <v>1</v>
      </c>
      <c r="AA1219" s="271">
        <v>1</v>
      </c>
      <c r="AB1219" s="114">
        <v>2</v>
      </c>
      <c r="AC1219" s="50">
        <v>15</v>
      </c>
      <c r="AD1219" s="271">
        <v>1</v>
      </c>
    </row>
    <row r="1220" spans="1:47" ht="15" customHeight="1">
      <c r="A1220" s="41" t="s">
        <v>183</v>
      </c>
      <c r="B1220" s="402" t="s">
        <v>1843</v>
      </c>
      <c r="C1220" s="113" t="s">
        <v>1110</v>
      </c>
      <c r="D1220" s="393" t="s">
        <v>262</v>
      </c>
      <c r="E1220" s="394" t="s">
        <v>128</v>
      </c>
      <c r="G1220" s="405" t="s">
        <v>1876</v>
      </c>
      <c r="H1220" s="74">
        <v>4151</v>
      </c>
      <c r="I1220" s="50" t="s">
        <v>2</v>
      </c>
      <c r="J1220" s="339" t="s">
        <v>1031</v>
      </c>
      <c r="K1220" s="51">
        <v>41201</v>
      </c>
      <c r="L1220" s="173">
        <v>41198</v>
      </c>
      <c r="M1220" s="50">
        <f t="shared" si="49"/>
        <v>3</v>
      </c>
      <c r="N1220" s="50" t="s">
        <v>2</v>
      </c>
      <c r="O1220" s="74">
        <f>1.6/2</f>
        <v>0.8</v>
      </c>
      <c r="P1220" s="50">
        <v>6.2</v>
      </c>
      <c r="Q1220" s="74">
        <v>6.64</v>
      </c>
      <c r="R1220" s="50">
        <f>10/2</f>
        <v>5</v>
      </c>
      <c r="S1220" s="74">
        <v>18</v>
      </c>
      <c r="T1220" s="50">
        <v>7.0000000000000007E-2</v>
      </c>
      <c r="U1220" s="131">
        <v>0.56999999999999995</v>
      </c>
      <c r="V1220" s="50">
        <v>0.1</v>
      </c>
      <c r="W1220" s="74">
        <v>0.01</v>
      </c>
      <c r="X1220" s="50">
        <v>6.5000000000000002E-2</v>
      </c>
      <c r="Y1220" s="74">
        <f>0.002/2</f>
        <v>1E-3</v>
      </c>
      <c r="Z1220" s="271">
        <v>1</v>
      </c>
      <c r="AA1220" s="271">
        <v>1</v>
      </c>
      <c r="AB1220" s="114">
        <v>2</v>
      </c>
      <c r="AC1220" s="50">
        <v>17</v>
      </c>
      <c r="AD1220" s="271">
        <v>0.8</v>
      </c>
    </row>
    <row r="1221" spans="1:47" ht="15" customHeight="1">
      <c r="A1221" s="41" t="s">
        <v>183</v>
      </c>
      <c r="B1221" s="402" t="s">
        <v>1818</v>
      </c>
      <c r="C1221" s="113" t="s">
        <v>4417</v>
      </c>
      <c r="D1221" s="393" t="s">
        <v>133</v>
      </c>
      <c r="E1221" s="394" t="s">
        <v>467</v>
      </c>
      <c r="G1221" s="405" t="s">
        <v>4418</v>
      </c>
      <c r="H1221" s="74">
        <v>4952</v>
      </c>
      <c r="I1221" s="50" t="s">
        <v>2</v>
      </c>
      <c r="J1221" s="339" t="s">
        <v>366</v>
      </c>
      <c r="K1221" s="51">
        <v>41105</v>
      </c>
      <c r="L1221" s="173">
        <v>41091</v>
      </c>
      <c r="M1221" s="50">
        <f t="shared" si="49"/>
        <v>14</v>
      </c>
      <c r="N1221" s="50" t="s">
        <v>2</v>
      </c>
      <c r="O1221" s="74">
        <f>1.8/2</f>
        <v>0.9</v>
      </c>
      <c r="P1221" s="50">
        <v>6.3</v>
      </c>
      <c r="Q1221" s="74">
        <v>6.9</v>
      </c>
      <c r="R1221" s="50">
        <v>170</v>
      </c>
      <c r="S1221" s="74">
        <v>118</v>
      </c>
      <c r="T1221" s="50">
        <v>0.47799999999999998</v>
      </c>
      <c r="U1221" s="131">
        <v>4</v>
      </c>
      <c r="V1221" s="50">
        <v>1.1399999999999999</v>
      </c>
      <c r="W1221" s="74">
        <v>2.5999999999999999E-2</v>
      </c>
      <c r="X1221" s="50">
        <v>0.11899999999999999</v>
      </c>
      <c r="Y1221" s="74">
        <v>2.1299999999999999E-2</v>
      </c>
      <c r="Z1221" s="271">
        <v>1</v>
      </c>
      <c r="AA1221" s="271">
        <v>1</v>
      </c>
      <c r="AB1221" s="114">
        <v>44</v>
      </c>
      <c r="AC1221" s="50">
        <v>157</v>
      </c>
      <c r="AD1221" s="271">
        <v>1</v>
      </c>
    </row>
    <row r="1222" spans="1:47" ht="15" customHeight="1">
      <c r="A1222" s="41" t="s">
        <v>183</v>
      </c>
      <c r="B1222" s="402" t="s">
        <v>1264</v>
      </c>
      <c r="C1222" s="113" t="s">
        <v>1264</v>
      </c>
      <c r="D1222" s="393" t="s">
        <v>347</v>
      </c>
      <c r="E1222" s="394" t="s">
        <v>1265</v>
      </c>
      <c r="G1222" s="405" t="s">
        <v>1266</v>
      </c>
      <c r="H1222" s="49">
        <v>3471</v>
      </c>
      <c r="I1222" s="50" t="s">
        <v>1</v>
      </c>
      <c r="J1222" s="76" t="s">
        <v>74</v>
      </c>
      <c r="K1222" s="51">
        <v>41131</v>
      </c>
      <c r="L1222" s="115">
        <v>41127</v>
      </c>
      <c r="M1222" s="50">
        <f t="shared" si="49"/>
        <v>4</v>
      </c>
      <c r="N1222" s="50" t="s">
        <v>2</v>
      </c>
      <c r="O1222" s="131">
        <f>1.4/2</f>
        <v>0.7</v>
      </c>
      <c r="P1222" s="50">
        <v>5.73</v>
      </c>
      <c r="Q1222" s="74">
        <v>5.68</v>
      </c>
      <c r="R1222" s="50">
        <f>10/2</f>
        <v>5</v>
      </c>
      <c r="S1222" s="74">
        <f>5/2</f>
        <v>2.5</v>
      </c>
      <c r="T1222" s="50">
        <f>0.01/2</f>
        <v>5.0000000000000001E-3</v>
      </c>
      <c r="U1222" s="131">
        <v>0.68</v>
      </c>
      <c r="V1222" s="50">
        <v>0.26</v>
      </c>
      <c r="W1222" s="74">
        <f>0.005/2</f>
        <v>2.5000000000000001E-3</v>
      </c>
      <c r="X1222" s="50">
        <v>5.5E-2</v>
      </c>
      <c r="Y1222" s="74">
        <v>7.0000000000000001E-3</v>
      </c>
    </row>
    <row r="1223" spans="1:47" ht="15" customHeight="1">
      <c r="A1223" s="41" t="s">
        <v>183</v>
      </c>
      <c r="B1223" s="402" t="s">
        <v>1264</v>
      </c>
      <c r="C1223" s="113" t="s">
        <v>1264</v>
      </c>
      <c r="D1223" s="393" t="s">
        <v>347</v>
      </c>
      <c r="E1223" s="394" t="s">
        <v>1265</v>
      </c>
      <c r="G1223" s="405" t="s">
        <v>1266</v>
      </c>
      <c r="H1223" s="49">
        <v>3471</v>
      </c>
      <c r="I1223" s="50" t="s">
        <v>1</v>
      </c>
      <c r="J1223" s="76" t="s">
        <v>75</v>
      </c>
      <c r="K1223" s="51">
        <v>41131</v>
      </c>
      <c r="L1223" s="115">
        <v>41127</v>
      </c>
      <c r="M1223" s="50">
        <f t="shared" si="49"/>
        <v>4</v>
      </c>
      <c r="N1223" s="50" t="s">
        <v>2</v>
      </c>
      <c r="O1223" s="131">
        <f>1.5/2</f>
        <v>0.75</v>
      </c>
      <c r="P1223" s="50">
        <v>5.73</v>
      </c>
      <c r="Q1223" s="74">
        <v>4.49</v>
      </c>
      <c r="R1223" s="50">
        <v>26</v>
      </c>
      <c r="S1223" s="74">
        <v>6.5</v>
      </c>
      <c r="T1223" s="50">
        <v>0.01</v>
      </c>
      <c r="U1223" s="131">
        <v>0.63</v>
      </c>
      <c r="V1223" s="50">
        <v>0.12</v>
      </c>
      <c r="W1223" s="74">
        <f>0.005/2</f>
        <v>2.5000000000000001E-3</v>
      </c>
      <c r="X1223" s="50">
        <v>1.2E-2</v>
      </c>
      <c r="Y1223" s="74">
        <v>5.0000000000000001E-3</v>
      </c>
    </row>
    <row r="1224" spans="1:47" ht="15" customHeight="1">
      <c r="A1224" s="41" t="s">
        <v>183</v>
      </c>
      <c r="B1224" s="402" t="s">
        <v>4419</v>
      </c>
      <c r="C1224" s="113" t="s">
        <v>4420</v>
      </c>
      <c r="D1224" s="393" t="s">
        <v>372</v>
      </c>
      <c r="E1224" s="394" t="s">
        <v>4421</v>
      </c>
      <c r="G1224" s="405" t="s">
        <v>4422</v>
      </c>
      <c r="H1224" s="74">
        <v>1442</v>
      </c>
      <c r="I1224" s="50" t="s">
        <v>1</v>
      </c>
      <c r="J1224" s="339" t="s">
        <v>74</v>
      </c>
      <c r="K1224" s="51">
        <v>41131</v>
      </c>
      <c r="L1224" s="173">
        <v>41126</v>
      </c>
      <c r="M1224" s="50">
        <f t="shared" si="49"/>
        <v>5</v>
      </c>
      <c r="N1224" s="50" t="s">
        <v>2</v>
      </c>
      <c r="O1224" s="74">
        <f>5/2</f>
        <v>2.5</v>
      </c>
      <c r="P1224" s="50">
        <v>6.1</v>
      </c>
      <c r="Q1224" s="74">
        <v>7.16</v>
      </c>
      <c r="R1224" s="50">
        <v>28</v>
      </c>
      <c r="S1224" s="74">
        <v>42</v>
      </c>
      <c r="T1224" s="50">
        <f>0.1/2</f>
        <v>0.05</v>
      </c>
      <c r="U1224" s="131">
        <f>1/2</f>
        <v>0.5</v>
      </c>
      <c r="V1224" s="50">
        <f>0.1/2</f>
        <v>0.05</v>
      </c>
      <c r="W1224" s="74">
        <f>0.04/2</f>
        <v>0.02</v>
      </c>
      <c r="X1224" s="50">
        <v>2.4E-2</v>
      </c>
      <c r="Y1224" s="74">
        <f>0.013/2</f>
        <v>6.4999999999999997E-3</v>
      </c>
    </row>
    <row r="1225" spans="1:47" ht="15" customHeight="1">
      <c r="A1225" s="41" t="s">
        <v>183</v>
      </c>
      <c r="B1225" s="402" t="s">
        <v>2098</v>
      </c>
      <c r="D1225" s="393" t="s">
        <v>1569</v>
      </c>
      <c r="E1225" s="394" t="s">
        <v>2099</v>
      </c>
      <c r="G1225" s="405" t="s">
        <v>3601</v>
      </c>
      <c r="H1225" s="74">
        <v>3559</v>
      </c>
      <c r="J1225" s="339" t="s">
        <v>2100</v>
      </c>
      <c r="K1225" s="51">
        <v>41156</v>
      </c>
      <c r="L1225" s="173">
        <v>41149</v>
      </c>
      <c r="M1225" s="50">
        <f t="shared" si="49"/>
        <v>7</v>
      </c>
      <c r="N1225" s="50" t="s">
        <v>2</v>
      </c>
      <c r="O1225" s="74">
        <v>1.8</v>
      </c>
      <c r="P1225" s="50">
        <v>6.35</v>
      </c>
      <c r="Q1225" s="74">
        <v>6.35</v>
      </c>
      <c r="R1225" s="50">
        <v>120</v>
      </c>
      <c r="S1225" s="74">
        <v>130</v>
      </c>
      <c r="T1225" s="50">
        <v>0.31</v>
      </c>
      <c r="U1225" s="131">
        <v>2.08</v>
      </c>
      <c r="V1225" s="50">
        <v>0.39</v>
      </c>
      <c r="W1225" s="74">
        <v>3.1E-2</v>
      </c>
      <c r="X1225" s="50">
        <v>0.185</v>
      </c>
      <c r="Y1225" s="74">
        <v>7.0000000000000001E-3</v>
      </c>
      <c r="Z1225" s="271">
        <v>1</v>
      </c>
      <c r="AA1225" s="271">
        <v>1</v>
      </c>
      <c r="AB1225" s="114">
        <v>12</v>
      </c>
      <c r="AC1225" s="50">
        <v>35</v>
      </c>
      <c r="AD1225" s="271">
        <v>1</v>
      </c>
    </row>
    <row r="1226" spans="1:47" ht="15" customHeight="1">
      <c r="A1226" s="41" t="s">
        <v>183</v>
      </c>
      <c r="B1226" s="402" t="s">
        <v>4423</v>
      </c>
      <c r="C1226" s="113" t="s">
        <v>4423</v>
      </c>
      <c r="D1226" s="393" t="s">
        <v>372</v>
      </c>
      <c r="G1226" s="405" t="s">
        <v>932</v>
      </c>
      <c r="H1226" s="74">
        <v>2653</v>
      </c>
      <c r="J1226" s="339" t="s">
        <v>929</v>
      </c>
      <c r="K1226" s="51">
        <v>41113</v>
      </c>
      <c r="L1226" s="173">
        <v>41110</v>
      </c>
      <c r="M1226" s="50">
        <f t="shared" si="49"/>
        <v>3</v>
      </c>
      <c r="N1226" s="50" t="s">
        <v>2</v>
      </c>
      <c r="O1226" s="74">
        <v>6.6</v>
      </c>
      <c r="P1226" s="50">
        <v>6.91</v>
      </c>
      <c r="Q1226" s="74">
        <v>6.91</v>
      </c>
      <c r="R1226" s="50">
        <v>30</v>
      </c>
      <c r="S1226" s="74">
        <v>19</v>
      </c>
      <c r="T1226" s="50">
        <f>0.05/2</f>
        <v>2.5000000000000001E-2</v>
      </c>
      <c r="U1226" s="131">
        <v>1.02</v>
      </c>
      <c r="V1226" s="50">
        <v>1.6</v>
      </c>
      <c r="W1226" s="74">
        <v>0.02</v>
      </c>
      <c r="X1226" s="50">
        <v>0.12</v>
      </c>
      <c r="Y1226" s="74">
        <f>0.02/2</f>
        <v>0.01</v>
      </c>
    </row>
    <row r="1227" spans="1:47" ht="15" customHeight="1">
      <c r="A1227" s="41" t="s">
        <v>183</v>
      </c>
      <c r="B1227" s="402" t="s">
        <v>4424</v>
      </c>
      <c r="D1227" s="393" t="s">
        <v>2376</v>
      </c>
      <c r="E1227" s="394" t="s">
        <v>364</v>
      </c>
      <c r="G1227" s="405" t="s">
        <v>4425</v>
      </c>
      <c r="H1227" s="74">
        <v>3625</v>
      </c>
      <c r="I1227" s="50" t="s">
        <v>2</v>
      </c>
      <c r="J1227" s="339" t="s">
        <v>81</v>
      </c>
      <c r="K1227" s="51">
        <v>41072</v>
      </c>
      <c r="L1227" s="173"/>
      <c r="N1227" s="50" t="s">
        <v>2</v>
      </c>
      <c r="O1227" s="74">
        <v>6.2</v>
      </c>
      <c r="P1227" s="50">
        <v>6.2</v>
      </c>
      <c r="Q1227" s="74">
        <v>6.7</v>
      </c>
      <c r="R1227" s="50">
        <v>400</v>
      </c>
      <c r="S1227" s="74">
        <v>32</v>
      </c>
      <c r="T1227" s="50">
        <v>0.16</v>
      </c>
      <c r="U1227" s="131">
        <v>19.7</v>
      </c>
      <c r="V1227" s="50">
        <v>1.41</v>
      </c>
      <c r="W1227" s="74">
        <v>8.4000000000000005E-2</v>
      </c>
      <c r="X1227" s="50">
        <v>0.66400000000000003</v>
      </c>
      <c r="Y1227" s="74">
        <f>0.03/2</f>
        <v>1.4999999999999999E-2</v>
      </c>
    </row>
    <row r="1228" spans="1:47" ht="15" customHeight="1">
      <c r="A1228" s="41" t="s">
        <v>183</v>
      </c>
      <c r="B1228" s="402" t="s">
        <v>4424</v>
      </c>
      <c r="D1228" s="393" t="s">
        <v>2376</v>
      </c>
      <c r="E1228" s="394" t="s">
        <v>364</v>
      </c>
      <c r="G1228" s="405" t="s">
        <v>4425</v>
      </c>
      <c r="H1228" s="74">
        <v>3625</v>
      </c>
      <c r="I1228" s="50" t="s">
        <v>2</v>
      </c>
      <c r="J1228" s="339" t="s">
        <v>114</v>
      </c>
      <c r="K1228" s="51">
        <v>41072</v>
      </c>
      <c r="L1228" s="173"/>
      <c r="N1228" s="50" t="s">
        <v>2</v>
      </c>
      <c r="O1228" s="74">
        <f>2/2</f>
        <v>1</v>
      </c>
      <c r="P1228" s="50">
        <v>6.2</v>
      </c>
      <c r="Q1228" s="74">
        <v>5.9</v>
      </c>
      <c r="R1228" s="50">
        <v>166</v>
      </c>
      <c r="S1228" s="74">
        <v>332</v>
      </c>
      <c r="T1228" s="50">
        <v>0.26</v>
      </c>
      <c r="U1228" s="131">
        <v>3.25</v>
      </c>
      <c r="V1228" s="50">
        <v>2.0099999999999998</v>
      </c>
      <c r="W1228" s="74">
        <v>5.8000000000000003E-2</v>
      </c>
      <c r="X1228" s="50">
        <v>0.38</v>
      </c>
      <c r="Y1228" s="74">
        <f>0.03/2</f>
        <v>1.4999999999999999E-2</v>
      </c>
    </row>
    <row r="1229" spans="1:47" ht="15" customHeight="1">
      <c r="A1229" s="41" t="s">
        <v>183</v>
      </c>
      <c r="B1229" s="402" t="s">
        <v>2016</v>
      </c>
      <c r="D1229" s="393" t="s">
        <v>200</v>
      </c>
      <c r="E1229" s="394" t="s">
        <v>671</v>
      </c>
      <c r="G1229" s="405" t="s">
        <v>2017</v>
      </c>
      <c r="H1229" s="113">
        <v>3398</v>
      </c>
      <c r="I1229" s="49" t="s">
        <v>2</v>
      </c>
      <c r="J1229" s="48" t="s">
        <v>1125</v>
      </c>
      <c r="K1229" s="51">
        <v>41170</v>
      </c>
      <c r="L1229" s="173"/>
      <c r="N1229" s="50" t="s">
        <v>2</v>
      </c>
      <c r="O1229" s="74">
        <f>1.4/2</f>
        <v>0.7</v>
      </c>
      <c r="P1229" s="50">
        <v>4.9000000000000004</v>
      </c>
      <c r="Q1229" s="74">
        <v>4.59</v>
      </c>
      <c r="R1229" s="50">
        <v>98</v>
      </c>
      <c r="S1229" s="74">
        <v>18</v>
      </c>
      <c r="T1229" s="50">
        <v>0.24</v>
      </c>
      <c r="U1229" s="131">
        <v>2.2799999999999998</v>
      </c>
      <c r="V1229" s="50">
        <v>0.88</v>
      </c>
      <c r="W1229" s="74">
        <v>1.7000000000000001E-2</v>
      </c>
      <c r="X1229" s="50">
        <v>0.17699999999999999</v>
      </c>
      <c r="Y1229" s="74">
        <v>0.02</v>
      </c>
      <c r="Z1229" s="271">
        <v>0.70699999999999996</v>
      </c>
      <c r="AA1229" s="271">
        <v>0.70699999999999996</v>
      </c>
      <c r="AB1229" s="114">
        <v>8</v>
      </c>
      <c r="AC1229" s="50">
        <v>62</v>
      </c>
      <c r="AD1229" s="271">
        <v>0</v>
      </c>
    </row>
    <row r="1230" spans="1:47" ht="15" customHeight="1">
      <c r="A1230" s="41" t="s">
        <v>183</v>
      </c>
      <c r="B1230" s="402" t="s">
        <v>2016</v>
      </c>
      <c r="D1230" s="393" t="s">
        <v>200</v>
      </c>
      <c r="E1230" s="394" t="s">
        <v>671</v>
      </c>
      <c r="G1230" s="405" t="s">
        <v>2017</v>
      </c>
      <c r="H1230" s="113">
        <v>3398</v>
      </c>
      <c r="I1230" s="49" t="s">
        <v>2</v>
      </c>
      <c r="J1230" s="48" t="s">
        <v>1126</v>
      </c>
      <c r="K1230" s="51">
        <v>41170</v>
      </c>
      <c r="L1230" s="173"/>
      <c r="N1230" s="50" t="s">
        <v>2</v>
      </c>
      <c r="O1230" s="74">
        <v>2.8</v>
      </c>
      <c r="P1230" s="50">
        <v>4.9000000000000004</v>
      </c>
      <c r="Q1230" s="74">
        <v>4.71</v>
      </c>
      <c r="R1230" s="50">
        <v>140</v>
      </c>
      <c r="S1230" s="74">
        <v>31</v>
      </c>
      <c r="T1230" s="50">
        <v>0.26</v>
      </c>
      <c r="U1230" s="131">
        <v>1.64</v>
      </c>
      <c r="V1230" s="50">
        <v>0.53</v>
      </c>
      <c r="W1230" s="74">
        <v>1.2E-2</v>
      </c>
      <c r="X1230" s="50">
        <v>0.17</v>
      </c>
      <c r="Y1230" s="74">
        <f>0.002/2</f>
        <v>1E-3</v>
      </c>
      <c r="Z1230" s="271">
        <v>1</v>
      </c>
      <c r="AA1230" s="271">
        <v>0.68500000000000005</v>
      </c>
      <c r="AB1230" s="114">
        <v>10</v>
      </c>
      <c r="AC1230" s="50">
        <v>56</v>
      </c>
      <c r="AD1230" s="271">
        <v>0.15</v>
      </c>
    </row>
    <row r="1231" spans="1:47" ht="15" customHeight="1">
      <c r="A1231" s="41" t="s">
        <v>183</v>
      </c>
      <c r="B1231" s="402" t="s">
        <v>2263</v>
      </c>
      <c r="D1231" s="393" t="s">
        <v>372</v>
      </c>
      <c r="G1231" s="405" t="s">
        <v>2264</v>
      </c>
      <c r="H1231" s="74">
        <v>4119</v>
      </c>
      <c r="I1231" s="50" t="s">
        <v>1</v>
      </c>
      <c r="J1231" s="339" t="s">
        <v>1125</v>
      </c>
      <c r="K1231" s="51">
        <v>41113</v>
      </c>
      <c r="L1231" s="173">
        <v>41108</v>
      </c>
      <c r="M1231" s="50">
        <f t="shared" ref="M1231:M1248" si="50">K1231-L1231</f>
        <v>5</v>
      </c>
      <c r="N1231" s="50" t="s">
        <v>2</v>
      </c>
      <c r="O1231" s="74">
        <f>1.4/2</f>
        <v>0.7</v>
      </c>
      <c r="P1231" s="50">
        <v>6.78</v>
      </c>
      <c r="Q1231" s="74">
        <v>7.04</v>
      </c>
      <c r="R1231" s="50">
        <f>10/2</f>
        <v>5</v>
      </c>
      <c r="S1231" s="74">
        <v>11</v>
      </c>
      <c r="T1231" s="50">
        <v>0.06</v>
      </c>
      <c r="U1231" s="131">
        <v>0.44</v>
      </c>
      <c r="V1231" s="50">
        <v>0.22</v>
      </c>
      <c r="W1231" s="74">
        <f>0.005/2</f>
        <v>2.5000000000000001E-3</v>
      </c>
      <c r="X1231" s="50">
        <v>9.1999999999999998E-2</v>
      </c>
      <c r="Y1231" s="74">
        <f>0.002/2</f>
        <v>1E-3</v>
      </c>
      <c r="Z1231" s="271">
        <v>1</v>
      </c>
      <c r="AA1231" s="271">
        <v>0.70699999999999996</v>
      </c>
      <c r="AB1231" s="114">
        <v>10</v>
      </c>
      <c r="AC1231" s="50">
        <v>36</v>
      </c>
      <c r="AD1231" s="271">
        <v>0.1</v>
      </c>
      <c r="AE1231" s="50">
        <v>2910</v>
      </c>
    </row>
    <row r="1232" spans="1:47" ht="15" customHeight="1">
      <c r="A1232" s="41" t="s">
        <v>183</v>
      </c>
      <c r="B1232" s="402" t="s">
        <v>2202</v>
      </c>
      <c r="C1232" s="113" t="s">
        <v>2203</v>
      </c>
      <c r="D1232" s="393" t="s">
        <v>192</v>
      </c>
      <c r="E1232" s="394" t="s">
        <v>2204</v>
      </c>
      <c r="G1232" s="405" t="s">
        <v>2205</v>
      </c>
      <c r="H1232" s="74">
        <v>4213</v>
      </c>
      <c r="I1232" s="50" t="s">
        <v>1</v>
      </c>
      <c r="J1232" s="339" t="s">
        <v>1125</v>
      </c>
      <c r="K1232" s="51">
        <v>41149</v>
      </c>
      <c r="L1232" s="173">
        <v>41138</v>
      </c>
      <c r="M1232" s="50">
        <f t="shared" si="50"/>
        <v>11</v>
      </c>
      <c r="N1232" s="50" t="s">
        <v>2</v>
      </c>
      <c r="O1232" s="74">
        <v>0.5</v>
      </c>
      <c r="P1232" s="50">
        <v>6</v>
      </c>
      <c r="Q1232" s="74">
        <v>6</v>
      </c>
      <c r="R1232" s="50">
        <v>46</v>
      </c>
      <c r="S1232" s="74">
        <v>17</v>
      </c>
      <c r="T1232" s="50">
        <v>0.05</v>
      </c>
      <c r="U1232" s="131">
        <v>0.82399999999999995</v>
      </c>
      <c r="V1232" s="50">
        <v>0.48199999999999998</v>
      </c>
      <c r="W1232" s="74">
        <f>0.005/2</f>
        <v>2.5000000000000001E-3</v>
      </c>
      <c r="X1232" s="50">
        <v>5.3499999999999999E-2</v>
      </c>
      <c r="Y1232" s="74">
        <f>0.003/2</f>
        <v>1.5E-3</v>
      </c>
      <c r="Z1232" s="271">
        <v>1</v>
      </c>
      <c r="AA1232" s="271">
        <v>1</v>
      </c>
      <c r="AB1232" s="114">
        <v>4</v>
      </c>
      <c r="AC1232" s="50">
        <v>24</v>
      </c>
      <c r="AD1232" s="271">
        <v>1</v>
      </c>
    </row>
    <row r="1233" spans="1:35" ht="15" customHeight="1">
      <c r="A1233" s="41" t="s">
        <v>183</v>
      </c>
      <c r="B1233" s="402" t="s">
        <v>4426</v>
      </c>
      <c r="D1233" s="393" t="s">
        <v>507</v>
      </c>
      <c r="E1233" s="394" t="s">
        <v>508</v>
      </c>
      <c r="G1233" s="405" t="s">
        <v>509</v>
      </c>
      <c r="H1233" s="74">
        <v>4215</v>
      </c>
      <c r="J1233" s="339" t="s">
        <v>510</v>
      </c>
      <c r="K1233" s="51">
        <v>41149</v>
      </c>
      <c r="L1233" s="173">
        <v>41139</v>
      </c>
      <c r="M1233" s="50">
        <f t="shared" si="50"/>
        <v>10</v>
      </c>
      <c r="N1233" s="50" t="s">
        <v>2</v>
      </c>
      <c r="O1233" s="74">
        <v>2.1</v>
      </c>
      <c r="P1233" s="50">
        <v>5.56</v>
      </c>
      <c r="Q1233" s="74">
        <v>7.28</v>
      </c>
      <c r="R1233" s="50">
        <v>41</v>
      </c>
      <c r="S1233" s="74">
        <v>45</v>
      </c>
      <c r="T1233" s="50">
        <v>0.06</v>
      </c>
      <c r="U1233" s="131">
        <v>1.27</v>
      </c>
      <c r="V1233" s="50">
        <v>0.03</v>
      </c>
      <c r="W1233" s="74">
        <f>0.005/2</f>
        <v>2.5000000000000001E-3</v>
      </c>
      <c r="X1233" s="50">
        <v>2.9000000000000001E-2</v>
      </c>
      <c r="Y1233" s="74">
        <f>0.002/2</f>
        <v>1E-3</v>
      </c>
    </row>
    <row r="1234" spans="1:35" ht="15" customHeight="1">
      <c r="A1234" s="41" t="s">
        <v>183</v>
      </c>
      <c r="B1234" s="402" t="s">
        <v>4427</v>
      </c>
      <c r="C1234" s="113" t="s">
        <v>4428</v>
      </c>
      <c r="D1234" s="393" t="s">
        <v>534</v>
      </c>
      <c r="E1234" s="394" t="s">
        <v>304</v>
      </c>
      <c r="G1234" s="405" t="s">
        <v>4429</v>
      </c>
      <c r="H1234" s="74"/>
      <c r="I1234" s="50" t="s">
        <v>1</v>
      </c>
      <c r="J1234" s="339" t="s">
        <v>4430</v>
      </c>
      <c r="K1234" s="51">
        <v>40996</v>
      </c>
      <c r="L1234" s="173">
        <v>40971</v>
      </c>
      <c r="M1234" s="50">
        <f t="shared" si="50"/>
        <v>25</v>
      </c>
      <c r="N1234" s="50" t="s">
        <v>2</v>
      </c>
      <c r="O1234" s="74">
        <v>2.9</v>
      </c>
      <c r="P1234" s="50">
        <v>6.6</v>
      </c>
      <c r="Q1234" s="74">
        <v>7.1</v>
      </c>
      <c r="R1234" s="50">
        <v>80</v>
      </c>
      <c r="S1234" s="74">
        <v>31</v>
      </c>
      <c r="T1234" s="50">
        <v>0.57999999999999996</v>
      </c>
      <c r="U1234" s="131">
        <v>4.41</v>
      </c>
      <c r="V1234" s="50">
        <f>0.05/2</f>
        <v>2.5000000000000001E-2</v>
      </c>
      <c r="W1234" s="74">
        <v>0.04</v>
      </c>
      <c r="X1234" s="50">
        <v>0.74</v>
      </c>
      <c r="Y1234" s="74">
        <v>1.0999999999999999E-2</v>
      </c>
      <c r="Z1234" s="271">
        <v>1</v>
      </c>
      <c r="AA1234" s="271">
        <v>1</v>
      </c>
      <c r="AB1234" s="114">
        <v>27</v>
      </c>
      <c r="AC1234" s="50">
        <v>126</v>
      </c>
      <c r="AD1234" s="271">
        <v>1</v>
      </c>
    </row>
    <row r="1235" spans="1:35" ht="15" customHeight="1">
      <c r="A1235" s="41" t="s">
        <v>183</v>
      </c>
      <c r="B1235" s="402" t="s">
        <v>4427</v>
      </c>
      <c r="C1235" s="113" t="s">
        <v>4431</v>
      </c>
      <c r="D1235" s="393" t="s">
        <v>534</v>
      </c>
      <c r="E1235" s="394" t="s">
        <v>304</v>
      </c>
      <c r="G1235" s="405" t="s">
        <v>4429</v>
      </c>
      <c r="H1235" s="74"/>
      <c r="I1235" s="50" t="s">
        <v>1</v>
      </c>
      <c r="J1235" s="339" t="s">
        <v>4432</v>
      </c>
      <c r="K1235" s="51">
        <v>40996</v>
      </c>
      <c r="L1235" s="173">
        <v>40971</v>
      </c>
      <c r="M1235" s="50">
        <f t="shared" si="50"/>
        <v>25</v>
      </c>
      <c r="N1235" s="50" t="s">
        <v>2</v>
      </c>
      <c r="O1235" s="74">
        <f>0.5/2</f>
        <v>0.25</v>
      </c>
      <c r="P1235" s="50">
        <v>6.6</v>
      </c>
      <c r="Q1235" s="74">
        <v>7.2</v>
      </c>
      <c r="R1235" s="50">
        <v>76</v>
      </c>
      <c r="S1235" s="74">
        <v>72</v>
      </c>
      <c r="T1235" s="50">
        <v>1.34</v>
      </c>
      <c r="U1235" s="131">
        <v>12.5</v>
      </c>
      <c r="V1235" s="50">
        <v>0.08</v>
      </c>
      <c r="W1235" s="74">
        <v>0.04</v>
      </c>
      <c r="X1235" s="50">
        <v>0.79</v>
      </c>
      <c r="Y1235" s="74">
        <v>2.1000000000000001E-2</v>
      </c>
      <c r="Z1235" s="271">
        <v>1</v>
      </c>
      <c r="AA1235" s="271">
        <v>1</v>
      </c>
      <c r="AB1235" s="114">
        <v>53</v>
      </c>
      <c r="AC1235" s="50">
        <v>298</v>
      </c>
      <c r="AD1235" s="271">
        <v>1</v>
      </c>
    </row>
    <row r="1236" spans="1:35" ht="15" customHeight="1">
      <c r="A1236" s="41" t="s">
        <v>183</v>
      </c>
      <c r="B1236" s="402" t="s">
        <v>328</v>
      </c>
      <c r="C1236" s="113" t="s">
        <v>329</v>
      </c>
      <c r="D1236" s="393" t="s">
        <v>56</v>
      </c>
      <c r="E1236" s="394" t="s">
        <v>2180</v>
      </c>
      <c r="G1236" s="405" t="s">
        <v>330</v>
      </c>
      <c r="H1236" s="74">
        <v>5171</v>
      </c>
      <c r="J1236" s="339" t="s">
        <v>331</v>
      </c>
      <c r="K1236" s="51">
        <v>41044</v>
      </c>
      <c r="L1236" s="173">
        <v>41039</v>
      </c>
      <c r="M1236" s="50">
        <f t="shared" si="50"/>
        <v>5</v>
      </c>
      <c r="N1236" s="50" t="s">
        <v>2</v>
      </c>
      <c r="O1236" s="74">
        <f>5/2</f>
        <v>2.5</v>
      </c>
      <c r="P1236" s="50">
        <v>7.1</v>
      </c>
      <c r="Q1236" s="74">
        <v>6.4</v>
      </c>
      <c r="R1236" s="50">
        <v>260</v>
      </c>
      <c r="S1236" s="74">
        <v>200</v>
      </c>
      <c r="T1236" s="50">
        <v>0.17</v>
      </c>
      <c r="U1236" s="131">
        <v>1.2</v>
      </c>
      <c r="V1236" s="50">
        <v>1.2</v>
      </c>
      <c r="W1236" s="74">
        <v>8.2000000000000003E-2</v>
      </c>
      <c r="X1236" s="50">
        <v>1.4</v>
      </c>
      <c r="Y1236" s="74">
        <v>0.1</v>
      </c>
    </row>
    <row r="1237" spans="1:35" ht="15" customHeight="1">
      <c r="A1237" s="41" t="s">
        <v>183</v>
      </c>
      <c r="B1237" s="402" t="s">
        <v>2973</v>
      </c>
      <c r="D1237" s="393" t="s">
        <v>480</v>
      </c>
      <c r="E1237" s="394" t="s">
        <v>44</v>
      </c>
      <c r="G1237" s="405" t="s">
        <v>4021</v>
      </c>
      <c r="H1237" s="74">
        <v>4952</v>
      </c>
      <c r="I1237" s="50" t="s">
        <v>1</v>
      </c>
      <c r="J1237" s="339" t="s">
        <v>4022</v>
      </c>
      <c r="K1237" s="51">
        <v>40996</v>
      </c>
      <c r="L1237" s="173">
        <v>40993</v>
      </c>
      <c r="M1237" s="50">
        <f t="shared" si="50"/>
        <v>3</v>
      </c>
      <c r="N1237" s="50" t="s">
        <v>2</v>
      </c>
      <c r="O1237" s="74">
        <v>6.6</v>
      </c>
      <c r="P1237" s="50">
        <v>6.5</v>
      </c>
      <c r="Q1237" s="74">
        <v>6.6</v>
      </c>
      <c r="R1237" s="50">
        <v>40</v>
      </c>
      <c r="S1237" s="74">
        <v>112</v>
      </c>
      <c r="T1237" s="50">
        <v>0.51</v>
      </c>
      <c r="U1237" s="131">
        <v>2.0299999999999998</v>
      </c>
      <c r="V1237" s="50">
        <v>0.63</v>
      </c>
      <c r="W1237" s="74">
        <v>3.2000000000000001E-2</v>
      </c>
      <c r="X1237" s="50">
        <v>9.4E-2</v>
      </c>
      <c r="Y1237" s="74">
        <f>0.03/2</f>
        <v>1.4999999999999999E-2</v>
      </c>
      <c r="Z1237" s="271">
        <v>1</v>
      </c>
      <c r="AA1237" s="271">
        <v>1</v>
      </c>
      <c r="AB1237" s="114">
        <v>16</v>
      </c>
      <c r="AC1237" s="50">
        <v>92</v>
      </c>
      <c r="AD1237" s="271">
        <v>1</v>
      </c>
    </row>
    <row r="1238" spans="1:35" ht="15" customHeight="1">
      <c r="A1238" s="41" t="s">
        <v>183</v>
      </c>
      <c r="B1238" s="402" t="s">
        <v>2973</v>
      </c>
      <c r="D1238" s="393" t="s">
        <v>480</v>
      </c>
      <c r="E1238" s="394" t="s">
        <v>44</v>
      </c>
      <c r="G1238" s="405" t="s">
        <v>4021</v>
      </c>
      <c r="H1238" s="74">
        <v>4952</v>
      </c>
      <c r="I1238" s="50" t="s">
        <v>1</v>
      </c>
      <c r="J1238" s="339" t="s">
        <v>4023</v>
      </c>
      <c r="K1238" s="51">
        <v>40996</v>
      </c>
      <c r="L1238" s="173">
        <v>40993</v>
      </c>
      <c r="M1238" s="50">
        <f t="shared" si="50"/>
        <v>3</v>
      </c>
      <c r="N1238" s="50" t="s">
        <v>2</v>
      </c>
      <c r="O1238" s="74">
        <v>9.9</v>
      </c>
      <c r="P1238" s="50">
        <v>6.5</v>
      </c>
      <c r="Q1238" s="74">
        <v>6.7</v>
      </c>
      <c r="R1238" s="50">
        <v>26</v>
      </c>
      <c r="S1238" s="74">
        <v>168</v>
      </c>
      <c r="T1238" s="50">
        <v>0.35</v>
      </c>
      <c r="U1238" s="131">
        <v>1.7</v>
      </c>
      <c r="V1238" s="50">
        <v>0.56999999999999995</v>
      </c>
      <c r="W1238" s="74">
        <v>0.04</v>
      </c>
      <c r="X1238" s="50">
        <v>0.17199999999999999</v>
      </c>
      <c r="Y1238" s="74">
        <f>0.03/2</f>
        <v>1.4999999999999999E-2</v>
      </c>
      <c r="Z1238" s="271">
        <v>1</v>
      </c>
      <c r="AA1238" s="271">
        <v>1</v>
      </c>
      <c r="AB1238" s="114">
        <v>19</v>
      </c>
      <c r="AC1238" s="50">
        <v>61</v>
      </c>
      <c r="AD1238" s="271">
        <v>1</v>
      </c>
    </row>
    <row r="1239" spans="1:35" ht="15" customHeight="1">
      <c r="A1239" s="41" t="s">
        <v>183</v>
      </c>
      <c r="B1239" s="386" t="s">
        <v>830</v>
      </c>
      <c r="C1239" s="149" t="s">
        <v>831</v>
      </c>
      <c r="D1239" s="392" t="s">
        <v>397</v>
      </c>
      <c r="E1239" s="258" t="s">
        <v>398</v>
      </c>
      <c r="F1239" s="386"/>
      <c r="G1239" s="389" t="s">
        <v>832</v>
      </c>
      <c r="H1239" s="55">
        <v>4173</v>
      </c>
      <c r="I1239" s="54" t="s">
        <v>1</v>
      </c>
      <c r="J1239" s="61" t="s">
        <v>833</v>
      </c>
      <c r="K1239" s="51">
        <v>41044</v>
      </c>
      <c r="L1239" s="173">
        <v>41039</v>
      </c>
      <c r="M1239" s="50">
        <f t="shared" si="50"/>
        <v>5</v>
      </c>
      <c r="N1239" s="50" t="s">
        <v>2</v>
      </c>
      <c r="O1239" s="74">
        <v>1.3</v>
      </c>
      <c r="P1239" s="50">
        <v>6</v>
      </c>
      <c r="Q1239" s="74">
        <v>6</v>
      </c>
      <c r="R1239" s="50">
        <f>1/2</f>
        <v>0.5</v>
      </c>
      <c r="S1239" s="74">
        <v>23</v>
      </c>
      <c r="T1239" s="50">
        <v>2.4E-2</v>
      </c>
      <c r="U1239" s="131">
        <f>0.5/2</f>
        <v>0.25</v>
      </c>
      <c r="V1239" s="50">
        <v>0.11</v>
      </c>
      <c r="W1239" s="74">
        <v>2.5000000000000001E-2</v>
      </c>
      <c r="X1239" s="50">
        <v>0.12</v>
      </c>
      <c r="Y1239" s="74">
        <v>1.7999999999999999E-2</v>
      </c>
      <c r="Z1239" s="271">
        <v>1</v>
      </c>
      <c r="AA1239" s="271">
        <v>0.77100000000000002</v>
      </c>
      <c r="AB1239" s="114">
        <v>2</v>
      </c>
      <c r="AC1239" s="50">
        <v>9</v>
      </c>
      <c r="AD1239" s="271">
        <v>0.2</v>
      </c>
      <c r="AE1239" s="50">
        <f>10/2</f>
        <v>5</v>
      </c>
      <c r="AI1239" s="114">
        <f>10/2</f>
        <v>5</v>
      </c>
    </row>
    <row r="1240" spans="1:35" ht="15" customHeight="1">
      <c r="A1240" s="74" t="s">
        <v>183</v>
      </c>
      <c r="B1240" s="386" t="s">
        <v>830</v>
      </c>
      <c r="C1240" s="149" t="s">
        <v>831</v>
      </c>
      <c r="D1240" s="392" t="s">
        <v>397</v>
      </c>
      <c r="E1240" s="258" t="s">
        <v>398</v>
      </c>
      <c r="F1240" s="386"/>
      <c r="G1240" s="389" t="s">
        <v>832</v>
      </c>
      <c r="H1240" s="55">
        <v>4173</v>
      </c>
      <c r="I1240" s="54" t="s">
        <v>1</v>
      </c>
      <c r="J1240" s="61" t="s">
        <v>834</v>
      </c>
      <c r="K1240" s="51">
        <v>41044</v>
      </c>
      <c r="L1240" s="173">
        <v>41039</v>
      </c>
      <c r="M1240" s="50">
        <f t="shared" si="50"/>
        <v>5</v>
      </c>
      <c r="N1240" s="50" t="s">
        <v>2</v>
      </c>
      <c r="O1240" s="74">
        <v>1</v>
      </c>
      <c r="P1240" s="50">
        <v>6</v>
      </c>
      <c r="Q1240" s="74">
        <v>5.6</v>
      </c>
      <c r="R1240" s="50">
        <f>1/2</f>
        <v>0.5</v>
      </c>
      <c r="S1240" s="74">
        <v>7</v>
      </c>
      <c r="T1240" s="50">
        <v>1.2999999999999999E-2</v>
      </c>
      <c r="U1240" s="131">
        <f>0.5/2</f>
        <v>0.25</v>
      </c>
      <c r="V1240" s="50">
        <f>0.1/2</f>
        <v>0.05</v>
      </c>
      <c r="W1240" s="74">
        <f>0.002/2</f>
        <v>1E-3</v>
      </c>
      <c r="X1240" s="50">
        <v>8.2000000000000007E-3</v>
      </c>
      <c r="Y1240" s="74">
        <f>0.002/2</f>
        <v>1E-3</v>
      </c>
      <c r="Z1240" s="271">
        <v>1</v>
      </c>
      <c r="AA1240" s="271">
        <v>0.70699999999999996</v>
      </c>
      <c r="AB1240" s="114">
        <f>2/2</f>
        <v>1</v>
      </c>
      <c r="AC1240" s="50">
        <v>4</v>
      </c>
      <c r="AD1240" s="271">
        <v>0.05</v>
      </c>
      <c r="AE1240" s="50">
        <v>80</v>
      </c>
      <c r="AI1240" s="114">
        <v>230</v>
      </c>
    </row>
    <row r="1241" spans="1:35" ht="15" customHeight="1">
      <c r="A1241" s="41" t="s">
        <v>183</v>
      </c>
      <c r="B1241" s="402" t="s">
        <v>4433</v>
      </c>
      <c r="D1241" s="393" t="s">
        <v>314</v>
      </c>
      <c r="E1241" s="394" t="s">
        <v>49</v>
      </c>
      <c r="G1241" s="405" t="s">
        <v>4434</v>
      </c>
      <c r="H1241" s="74">
        <v>3479</v>
      </c>
      <c r="I1241" s="50" t="s">
        <v>2</v>
      </c>
      <c r="J1241" s="339" t="s">
        <v>255</v>
      </c>
      <c r="K1241" s="51">
        <v>40996</v>
      </c>
      <c r="L1241" s="173">
        <v>40977</v>
      </c>
      <c r="M1241" s="50">
        <f t="shared" si="50"/>
        <v>19</v>
      </c>
      <c r="N1241" s="50" t="s">
        <v>2</v>
      </c>
      <c r="O1241" s="74">
        <f>2/2</f>
        <v>1</v>
      </c>
      <c r="P1241" s="50">
        <v>7.6</v>
      </c>
      <c r="Q1241" s="74">
        <v>7.6</v>
      </c>
      <c r="R1241" s="50">
        <v>36</v>
      </c>
      <c r="S1241" s="74">
        <v>53</v>
      </c>
      <c r="T1241" s="50">
        <v>0.12</v>
      </c>
      <c r="U1241" s="131">
        <v>1.85</v>
      </c>
      <c r="V1241" s="50">
        <v>0.78</v>
      </c>
      <c r="W1241" s="74">
        <v>0.09</v>
      </c>
      <c r="X1241" s="50">
        <v>0.99099999999999999</v>
      </c>
      <c r="Y1241" s="74">
        <f>0.03/2</f>
        <v>1.4999999999999999E-2</v>
      </c>
      <c r="Z1241" s="271">
        <v>0.35399999999999998</v>
      </c>
      <c r="AA1241" s="271">
        <v>0.218</v>
      </c>
      <c r="AB1241" s="114">
        <v>12</v>
      </c>
      <c r="AC1241" s="50">
        <v>85</v>
      </c>
      <c r="AD1241" s="271">
        <v>0</v>
      </c>
    </row>
    <row r="1242" spans="1:35" ht="15" customHeight="1">
      <c r="A1242" s="41" t="s">
        <v>183</v>
      </c>
      <c r="B1242" s="386" t="s">
        <v>846</v>
      </c>
      <c r="C1242" s="149" t="s">
        <v>847</v>
      </c>
      <c r="D1242" s="392" t="s">
        <v>684</v>
      </c>
      <c r="E1242" s="258" t="s">
        <v>848</v>
      </c>
      <c r="F1242" s="386"/>
      <c r="G1242" s="389" t="s">
        <v>849</v>
      </c>
      <c r="H1242" s="55">
        <v>2653</v>
      </c>
      <c r="I1242" s="54" t="s">
        <v>2</v>
      </c>
      <c r="J1242" s="61" t="s">
        <v>4435</v>
      </c>
      <c r="K1242" s="51">
        <v>41050</v>
      </c>
      <c r="L1242" s="173">
        <v>41044</v>
      </c>
      <c r="M1242" s="50">
        <f t="shared" si="50"/>
        <v>6</v>
      </c>
      <c r="N1242" s="50" t="s">
        <v>2</v>
      </c>
      <c r="O1242" s="74">
        <v>1.6</v>
      </c>
      <c r="P1242" s="50">
        <v>6.5</v>
      </c>
      <c r="Q1242" s="74">
        <v>7.68</v>
      </c>
      <c r="R1242" s="50">
        <v>224</v>
      </c>
      <c r="S1242" s="74">
        <v>430</v>
      </c>
      <c r="T1242" s="50">
        <v>0.3</v>
      </c>
      <c r="U1242" s="131">
        <v>2</v>
      </c>
      <c r="V1242" s="50">
        <v>0.22</v>
      </c>
      <c r="W1242" s="74">
        <v>4.4999999999999998E-2</v>
      </c>
      <c r="X1242" s="50">
        <v>0.39500000000000002</v>
      </c>
      <c r="Y1242" s="74">
        <v>2.1000000000000001E-2</v>
      </c>
    </row>
    <row r="1243" spans="1:35" ht="15" customHeight="1">
      <c r="A1243" s="41" t="s">
        <v>183</v>
      </c>
      <c r="B1243" s="402" t="s">
        <v>1910</v>
      </c>
      <c r="C1243" s="113" t="s">
        <v>4436</v>
      </c>
      <c r="D1243" s="393" t="s">
        <v>2274</v>
      </c>
      <c r="E1243" s="394" t="s">
        <v>2275</v>
      </c>
      <c r="G1243" s="405" t="s">
        <v>4437</v>
      </c>
      <c r="H1243" s="74">
        <v>4151</v>
      </c>
      <c r="I1243" s="50" t="s">
        <v>2</v>
      </c>
      <c r="J1243" s="339" t="s">
        <v>543</v>
      </c>
      <c r="K1243" s="51">
        <v>40920</v>
      </c>
      <c r="L1243" s="173">
        <v>40909</v>
      </c>
      <c r="M1243" s="50">
        <f t="shared" si="50"/>
        <v>11</v>
      </c>
      <c r="N1243" s="50" t="s">
        <v>2</v>
      </c>
      <c r="O1243" s="74">
        <v>7.1</v>
      </c>
      <c r="P1243" s="50">
        <v>5.9</v>
      </c>
      <c r="Q1243" s="74">
        <v>6.61</v>
      </c>
      <c r="R1243" s="50">
        <v>46</v>
      </c>
      <c r="S1243" s="74">
        <v>180</v>
      </c>
      <c r="T1243" s="50">
        <v>0.35</v>
      </c>
      <c r="U1243" s="131">
        <v>1.24</v>
      </c>
      <c r="V1243" s="50">
        <v>0.35</v>
      </c>
      <c r="W1243" s="74">
        <v>2.1999999999999999E-2</v>
      </c>
      <c r="X1243" s="50">
        <v>0.16</v>
      </c>
      <c r="Y1243" s="74">
        <v>8.0000000000000002E-3</v>
      </c>
      <c r="Z1243" s="271">
        <v>1</v>
      </c>
      <c r="AA1243" s="271">
        <v>1</v>
      </c>
      <c r="AB1243" s="114">
        <v>4</v>
      </c>
      <c r="AC1243" s="50">
        <v>22</v>
      </c>
      <c r="AD1243" s="271">
        <v>1</v>
      </c>
    </row>
    <row r="1244" spans="1:35" ht="15" customHeight="1">
      <c r="A1244" s="41" t="s">
        <v>183</v>
      </c>
      <c r="B1244" s="402" t="s">
        <v>4438</v>
      </c>
      <c r="C1244" s="113" t="s">
        <v>2000</v>
      </c>
      <c r="D1244" s="393" t="s">
        <v>434</v>
      </c>
      <c r="E1244" s="394" t="s">
        <v>304</v>
      </c>
      <c r="G1244" s="405" t="s">
        <v>2002</v>
      </c>
      <c r="H1244" s="74">
        <v>4952</v>
      </c>
      <c r="I1244" s="50" t="s">
        <v>1</v>
      </c>
      <c r="J1244" s="339" t="s">
        <v>2003</v>
      </c>
      <c r="K1244" s="51">
        <v>40920</v>
      </c>
      <c r="L1244" s="173">
        <v>40905</v>
      </c>
      <c r="M1244" s="50">
        <f t="shared" si="50"/>
        <v>15</v>
      </c>
      <c r="N1244" s="50" t="s">
        <v>2</v>
      </c>
      <c r="O1244" s="74">
        <v>1.2</v>
      </c>
      <c r="P1244" s="50">
        <v>6.24</v>
      </c>
      <c r="Q1244" s="74">
        <v>6.66</v>
      </c>
      <c r="R1244" s="50">
        <v>3.7</v>
      </c>
      <c r="S1244" s="74">
        <v>17</v>
      </c>
      <c r="T1244" s="50">
        <v>0.08</v>
      </c>
      <c r="U1244" s="131">
        <v>0.82</v>
      </c>
      <c r="V1244" s="50">
        <f>0.1/2</f>
        <v>0.05</v>
      </c>
      <c r="W1244" s="74">
        <v>5.0000000000000001E-3</v>
      </c>
      <c r="X1244" s="50">
        <v>5.1999999999999998E-2</v>
      </c>
      <c r="Y1244" s="74">
        <f>0.002/2</f>
        <v>1E-3</v>
      </c>
      <c r="Z1244" s="271">
        <v>1</v>
      </c>
      <c r="AA1244" s="271">
        <v>1</v>
      </c>
      <c r="AB1244" s="114">
        <v>1.68</v>
      </c>
      <c r="AC1244" s="50">
        <v>6</v>
      </c>
      <c r="AD1244" s="271">
        <v>0.6</v>
      </c>
    </row>
    <row r="1245" spans="1:35" ht="15" customHeight="1">
      <c r="A1245" s="41" t="s">
        <v>183</v>
      </c>
      <c r="B1245" s="402" t="s">
        <v>4439</v>
      </c>
      <c r="D1245" s="393" t="s">
        <v>251</v>
      </c>
      <c r="E1245" s="394" t="s">
        <v>4440</v>
      </c>
      <c r="F1245" s="402">
        <v>4402</v>
      </c>
      <c r="G1245" s="405" t="s">
        <v>4441</v>
      </c>
      <c r="H1245" s="74">
        <v>3724</v>
      </c>
      <c r="I1245" s="50" t="s">
        <v>1</v>
      </c>
      <c r="J1245" s="339" t="s">
        <v>115</v>
      </c>
      <c r="K1245" s="51">
        <v>40857</v>
      </c>
      <c r="L1245" s="173">
        <v>40846</v>
      </c>
      <c r="M1245" s="50">
        <f t="shared" si="50"/>
        <v>11</v>
      </c>
      <c r="N1245" s="50" t="s">
        <v>2</v>
      </c>
      <c r="O1245" s="74">
        <f>2/2</f>
        <v>1</v>
      </c>
      <c r="P1245" s="50">
        <v>7.84</v>
      </c>
      <c r="Q1245" s="74">
        <v>7.4</v>
      </c>
      <c r="R1245" s="50">
        <v>15</v>
      </c>
      <c r="S1245" s="74">
        <v>8</v>
      </c>
      <c r="T1245" s="50">
        <v>0.08</v>
      </c>
      <c r="U1245" s="131">
        <v>1.26</v>
      </c>
      <c r="V1245" s="50">
        <v>0.7</v>
      </c>
      <c r="W1245" s="74">
        <f>0.01/2</f>
        <v>5.0000000000000001E-3</v>
      </c>
      <c r="X1245" s="50">
        <f>0.03/2</f>
        <v>1.4999999999999999E-2</v>
      </c>
      <c r="Y1245" s="74">
        <f>0.03/2</f>
        <v>1.4999999999999999E-2</v>
      </c>
      <c r="Z1245" s="271">
        <v>1</v>
      </c>
      <c r="AA1245" s="271">
        <v>1</v>
      </c>
      <c r="AB1245" s="114">
        <v>58</v>
      </c>
      <c r="AC1245" s="50">
        <v>158</v>
      </c>
      <c r="AD1245" s="271">
        <v>1</v>
      </c>
      <c r="AE1245" s="50">
        <v>490</v>
      </c>
    </row>
    <row r="1246" spans="1:35" ht="15" customHeight="1">
      <c r="A1246" s="41" t="s">
        <v>183</v>
      </c>
      <c r="B1246" s="402" t="s">
        <v>4442</v>
      </c>
      <c r="D1246" s="393" t="s">
        <v>192</v>
      </c>
      <c r="E1246" s="394" t="s">
        <v>44</v>
      </c>
      <c r="F1246" s="402" t="s">
        <v>4443</v>
      </c>
      <c r="G1246" s="405" t="s">
        <v>4444</v>
      </c>
      <c r="H1246" s="74">
        <v>4213</v>
      </c>
      <c r="I1246" s="50" t="s">
        <v>2</v>
      </c>
      <c r="J1246" s="339" t="s">
        <v>4445</v>
      </c>
      <c r="K1246" s="51">
        <v>41180</v>
      </c>
      <c r="L1246" s="173">
        <v>41174</v>
      </c>
      <c r="M1246" s="50">
        <f t="shared" si="50"/>
        <v>6</v>
      </c>
      <c r="N1246" s="50" t="s">
        <v>2</v>
      </c>
      <c r="O1246" s="74">
        <v>1.44</v>
      </c>
      <c r="P1246" s="50">
        <v>4</v>
      </c>
      <c r="Q1246" s="74">
        <v>4</v>
      </c>
      <c r="R1246" s="50">
        <f>10/2</f>
        <v>5</v>
      </c>
      <c r="S1246" s="74">
        <v>14</v>
      </c>
      <c r="T1246" s="50">
        <f>0.05/2</f>
        <v>2.5000000000000001E-2</v>
      </c>
      <c r="U1246" s="131">
        <v>0.95599999999999996</v>
      </c>
      <c r="V1246" s="50">
        <v>0.503</v>
      </c>
      <c r="W1246" s="74">
        <f>0.005/2</f>
        <v>2.5000000000000001E-3</v>
      </c>
      <c r="X1246" s="50">
        <v>2.29E-2</v>
      </c>
      <c r="Y1246" s="74">
        <f>0.03/2</f>
        <v>1.4999999999999999E-2</v>
      </c>
      <c r="Z1246" s="271">
        <v>1</v>
      </c>
      <c r="AA1246" s="271">
        <v>1</v>
      </c>
      <c r="AB1246" s="114">
        <v>2</v>
      </c>
      <c r="AC1246" s="50">
        <v>11</v>
      </c>
      <c r="AD1246" s="271">
        <v>0.95</v>
      </c>
    </row>
    <row r="1247" spans="1:35" ht="15" customHeight="1">
      <c r="A1247" s="41" t="s">
        <v>183</v>
      </c>
      <c r="B1247" s="402" t="s">
        <v>4446</v>
      </c>
      <c r="D1247" s="393" t="s">
        <v>347</v>
      </c>
      <c r="E1247" s="394" t="s">
        <v>437</v>
      </c>
      <c r="G1247" s="405" t="s">
        <v>1677</v>
      </c>
      <c r="H1247" s="74">
        <v>3829</v>
      </c>
      <c r="I1247" s="50" t="s">
        <v>2</v>
      </c>
      <c r="J1247" s="339" t="s">
        <v>366</v>
      </c>
      <c r="K1247" s="51">
        <v>41205</v>
      </c>
      <c r="L1247" s="173">
        <v>41201</v>
      </c>
      <c r="M1247" s="50">
        <f t="shared" si="50"/>
        <v>4</v>
      </c>
      <c r="N1247" s="50" t="s">
        <v>2</v>
      </c>
      <c r="O1247" s="74">
        <f>1/2</f>
        <v>0.5</v>
      </c>
      <c r="P1247" s="50">
        <v>5</v>
      </c>
      <c r="Q1247" s="74">
        <v>4.6500000000000004</v>
      </c>
      <c r="R1247" s="50">
        <v>96.3</v>
      </c>
      <c r="S1247" s="74">
        <v>15</v>
      </c>
      <c r="T1247" s="50">
        <v>0.13</v>
      </c>
      <c r="U1247" s="131">
        <v>1.7</v>
      </c>
      <c r="V1247" s="50">
        <v>0.88</v>
      </c>
      <c r="W1247" s="74">
        <v>2.7E-2</v>
      </c>
      <c r="X1247" s="50">
        <v>0.32200000000000001</v>
      </c>
      <c r="Y1247" s="74">
        <v>5.0000000000000001E-3</v>
      </c>
      <c r="Z1247" s="271">
        <v>1</v>
      </c>
      <c r="AA1247" s="271">
        <v>1</v>
      </c>
      <c r="AB1247" s="114">
        <v>56.39</v>
      </c>
      <c r="AC1247" s="50">
        <v>91</v>
      </c>
      <c r="AD1247" s="271">
        <v>0.6</v>
      </c>
    </row>
    <row r="1248" spans="1:35" ht="15" customHeight="1">
      <c r="A1248" s="41" t="s">
        <v>183</v>
      </c>
      <c r="B1248" s="402" t="s">
        <v>1920</v>
      </c>
      <c r="D1248" s="393" t="s">
        <v>636</v>
      </c>
      <c r="E1248" s="394" t="s">
        <v>1859</v>
      </c>
      <c r="G1248" s="405" t="s">
        <v>1921</v>
      </c>
      <c r="H1248" s="113">
        <v>3087</v>
      </c>
      <c r="I1248" s="49" t="s">
        <v>1</v>
      </c>
      <c r="J1248" s="48" t="s">
        <v>255</v>
      </c>
      <c r="K1248" s="51">
        <v>41170</v>
      </c>
      <c r="L1248" s="173">
        <v>41161</v>
      </c>
      <c r="M1248" s="50">
        <f t="shared" si="50"/>
        <v>9</v>
      </c>
      <c r="N1248" s="50" t="s">
        <v>2</v>
      </c>
      <c r="O1248" s="74" t="s">
        <v>143</v>
      </c>
      <c r="P1248" s="50">
        <v>6</v>
      </c>
      <c r="Q1248" s="74">
        <v>7</v>
      </c>
      <c r="R1248" s="50">
        <v>19</v>
      </c>
      <c r="S1248" s="74">
        <v>5</v>
      </c>
      <c r="T1248" s="50">
        <v>3.4000000000000002E-2</v>
      </c>
      <c r="U1248" s="131">
        <v>0.6</v>
      </c>
      <c r="V1248" s="50">
        <v>1.7</v>
      </c>
      <c r="W1248" s="74">
        <v>4.1000000000000003E-3</v>
      </c>
      <c r="X1248" s="50">
        <v>1</v>
      </c>
      <c r="Y1248" s="74" t="s">
        <v>143</v>
      </c>
      <c r="AE1248" s="50">
        <v>10</v>
      </c>
    </row>
    <row r="1249" spans="1:31" ht="15" customHeight="1">
      <c r="A1249" s="41" t="s">
        <v>183</v>
      </c>
      <c r="B1249" s="402" t="s">
        <v>2273</v>
      </c>
      <c r="C1249" s="113" t="s">
        <v>2000</v>
      </c>
      <c r="D1249" s="393" t="s">
        <v>2274</v>
      </c>
      <c r="E1249" s="394" t="s">
        <v>2275</v>
      </c>
      <c r="G1249" s="405" t="s">
        <v>2276</v>
      </c>
      <c r="H1249" s="113">
        <v>9511</v>
      </c>
      <c r="I1249" s="49" t="s">
        <v>1</v>
      </c>
      <c r="J1249" s="48" t="s">
        <v>510</v>
      </c>
      <c r="K1249" s="51">
        <v>41240</v>
      </c>
      <c r="L1249" s="173"/>
      <c r="N1249" s="50" t="s">
        <v>1</v>
      </c>
      <c r="O1249" s="74">
        <f>5/2</f>
        <v>2.5</v>
      </c>
      <c r="P1249" s="50">
        <v>6.97</v>
      </c>
      <c r="Q1249" s="74">
        <v>7.03</v>
      </c>
      <c r="R1249" s="50">
        <v>45</v>
      </c>
      <c r="S1249" s="74">
        <v>12</v>
      </c>
      <c r="T1249" s="50">
        <v>0.27</v>
      </c>
      <c r="U1249" s="131">
        <v>1.9</v>
      </c>
      <c r="V1249" s="50">
        <v>2.6</v>
      </c>
      <c r="W1249" s="74">
        <f>0.04/4</f>
        <v>0.01</v>
      </c>
      <c r="X1249" s="50">
        <v>4.1000000000000002E-2</v>
      </c>
      <c r="Y1249" s="74">
        <f>0.013/2</f>
        <v>6.4999999999999997E-3</v>
      </c>
      <c r="AE1249" s="50">
        <v>7</v>
      </c>
    </row>
    <row r="1250" spans="1:31" ht="15" customHeight="1">
      <c r="A1250" s="41" t="s">
        <v>183</v>
      </c>
      <c r="B1250" s="402" t="s">
        <v>4297</v>
      </c>
      <c r="C1250" s="113" t="s">
        <v>4312</v>
      </c>
      <c r="D1250" s="393" t="s">
        <v>640</v>
      </c>
      <c r="E1250" s="394" t="s">
        <v>4447</v>
      </c>
      <c r="G1250" s="405" t="s">
        <v>4313</v>
      </c>
      <c r="H1250" s="74"/>
      <c r="I1250" s="50" t="s">
        <v>2</v>
      </c>
      <c r="J1250" s="339" t="s">
        <v>510</v>
      </c>
      <c r="K1250" s="51">
        <v>41226</v>
      </c>
      <c r="L1250" s="173">
        <v>41221</v>
      </c>
      <c r="M1250" s="50">
        <f t="shared" ref="M1250:M1255" si="51">K1250-L1250</f>
        <v>5</v>
      </c>
      <c r="N1250" s="50" t="s">
        <v>2</v>
      </c>
      <c r="O1250" s="74">
        <v>4.8</v>
      </c>
      <c r="P1250" s="50">
        <v>5.2</v>
      </c>
      <c r="Q1250" s="74">
        <v>7.61</v>
      </c>
      <c r="R1250" s="50">
        <v>110</v>
      </c>
      <c r="S1250" s="74">
        <v>25</v>
      </c>
      <c r="T1250" s="50">
        <v>0.4</v>
      </c>
      <c r="U1250" s="131">
        <v>4.1100000000000003</v>
      </c>
      <c r="V1250" s="50">
        <v>0.45</v>
      </c>
      <c r="W1250" s="74">
        <v>2.5000000000000001E-3</v>
      </c>
      <c r="X1250" s="50">
        <v>4.9000000000000002E-2</v>
      </c>
      <c r="Y1250" s="74">
        <v>4.0000000000000001E-3</v>
      </c>
      <c r="Z1250" s="271">
        <v>1</v>
      </c>
      <c r="AA1250" s="271">
        <v>1</v>
      </c>
      <c r="AB1250" s="114">
        <v>72</v>
      </c>
      <c r="AC1250" s="50">
        <v>632</v>
      </c>
      <c r="AD1250" s="271">
        <v>1</v>
      </c>
    </row>
    <row r="1251" spans="1:31" ht="15" customHeight="1">
      <c r="A1251" s="41" t="s">
        <v>183</v>
      </c>
      <c r="B1251" s="402" t="s">
        <v>2518</v>
      </c>
      <c r="C1251" s="113" t="s">
        <v>3943</v>
      </c>
      <c r="D1251" s="393" t="s">
        <v>195</v>
      </c>
      <c r="E1251" s="394" t="s">
        <v>4448</v>
      </c>
      <c r="G1251" s="405" t="s">
        <v>4476</v>
      </c>
      <c r="H1251" s="74">
        <v>4111</v>
      </c>
      <c r="I1251" s="50" t="s">
        <v>1</v>
      </c>
      <c r="J1251" s="339" t="s">
        <v>74</v>
      </c>
      <c r="K1251" s="51">
        <v>41170</v>
      </c>
      <c r="L1251" s="173">
        <v>41160</v>
      </c>
      <c r="M1251" s="50">
        <f t="shared" si="51"/>
        <v>10</v>
      </c>
      <c r="N1251" s="50" t="s">
        <v>2</v>
      </c>
      <c r="O1251" s="74">
        <v>0.8</v>
      </c>
      <c r="P1251" s="50">
        <v>4.87</v>
      </c>
      <c r="Q1251" s="74">
        <v>7.9</v>
      </c>
      <c r="R1251" s="50">
        <f>5/2</f>
        <v>2.5</v>
      </c>
      <c r="S1251" s="74">
        <v>6</v>
      </c>
      <c r="T1251" s="50">
        <v>8.7999999999999995E-2</v>
      </c>
      <c r="U1251" s="131">
        <f>0.05/2</f>
        <v>2.5000000000000001E-2</v>
      </c>
      <c r="V1251" s="50">
        <v>0.56999999999999995</v>
      </c>
      <c r="W1251" s="74">
        <f>0.005/2</f>
        <v>2.5000000000000001E-3</v>
      </c>
      <c r="X1251" s="50">
        <v>0.06</v>
      </c>
      <c r="Y1251" s="74">
        <f>0.005/2</f>
        <v>2.5000000000000001E-3</v>
      </c>
      <c r="Z1251" s="271">
        <v>1</v>
      </c>
      <c r="AA1251" s="271">
        <v>1</v>
      </c>
      <c r="AB1251" s="114">
        <v>45</v>
      </c>
      <c r="AC1251" s="50">
        <v>130</v>
      </c>
      <c r="AD1251" s="271">
        <v>1</v>
      </c>
    </row>
    <row r="1252" spans="1:31" ht="15" customHeight="1">
      <c r="A1252" s="41" t="s">
        <v>183</v>
      </c>
      <c r="B1252" s="402" t="s">
        <v>2518</v>
      </c>
      <c r="C1252" s="113" t="s">
        <v>3943</v>
      </c>
      <c r="D1252" s="393" t="s">
        <v>195</v>
      </c>
      <c r="E1252" s="394" t="s">
        <v>4448</v>
      </c>
      <c r="G1252" s="405" t="s">
        <v>4476</v>
      </c>
      <c r="H1252" s="74">
        <v>4111</v>
      </c>
      <c r="I1252" s="50" t="s">
        <v>1</v>
      </c>
      <c r="J1252" s="339" t="s">
        <v>75</v>
      </c>
      <c r="K1252" s="51">
        <v>41170</v>
      </c>
      <c r="L1252" s="173">
        <v>41160</v>
      </c>
      <c r="M1252" s="50">
        <f t="shared" si="51"/>
        <v>10</v>
      </c>
      <c r="N1252" s="50" t="s">
        <v>2</v>
      </c>
      <c r="O1252" s="74">
        <v>1.2</v>
      </c>
      <c r="P1252" s="50">
        <v>4.87</v>
      </c>
      <c r="Q1252" s="74">
        <v>7.3</v>
      </c>
      <c r="R1252" s="50">
        <f>5/2</f>
        <v>2.5</v>
      </c>
      <c r="S1252" s="74">
        <v>13</v>
      </c>
      <c r="T1252" s="50">
        <f>0.001/2</f>
        <v>5.0000000000000001E-4</v>
      </c>
      <c r="U1252" s="131">
        <v>0.09</v>
      </c>
      <c r="V1252" s="50">
        <v>0.08</v>
      </c>
      <c r="W1252" s="74">
        <f>0.005/2</f>
        <v>2.5000000000000001E-3</v>
      </c>
      <c r="X1252" s="50">
        <v>7.0000000000000007E-2</v>
      </c>
      <c r="Y1252" s="74">
        <f>0.005/2</f>
        <v>2.5000000000000001E-3</v>
      </c>
      <c r="Z1252" s="271">
        <v>1</v>
      </c>
      <c r="AA1252" s="271">
        <v>1</v>
      </c>
      <c r="AB1252" s="114">
        <v>33</v>
      </c>
      <c r="AC1252" s="50">
        <v>97</v>
      </c>
      <c r="AD1252" s="271">
        <v>1</v>
      </c>
    </row>
    <row r="1253" spans="1:31" ht="15" customHeight="1">
      <c r="A1253" s="41" t="s">
        <v>183</v>
      </c>
      <c r="B1253" s="402" t="s">
        <v>2853</v>
      </c>
      <c r="C1253" s="113" t="s">
        <v>2991</v>
      </c>
      <c r="D1253" s="393" t="s">
        <v>1135</v>
      </c>
      <c r="E1253" s="394" t="s">
        <v>235</v>
      </c>
      <c r="F1253" s="85" t="s">
        <v>2855</v>
      </c>
      <c r="G1253" s="405" t="s">
        <v>2992</v>
      </c>
      <c r="H1253" s="74">
        <v>4952</v>
      </c>
      <c r="I1253" s="50" t="s">
        <v>1</v>
      </c>
      <c r="J1253" s="48" t="s">
        <v>4449</v>
      </c>
      <c r="K1253" s="51">
        <v>41184</v>
      </c>
      <c r="L1253" s="173">
        <v>41180</v>
      </c>
      <c r="M1253" s="50">
        <f t="shared" si="51"/>
        <v>4</v>
      </c>
      <c r="N1253" s="50" t="s">
        <v>2</v>
      </c>
      <c r="O1253" s="74">
        <f>2/2</f>
        <v>1</v>
      </c>
      <c r="P1253" s="50">
        <v>4.0999999999999996</v>
      </c>
      <c r="Q1253" s="74">
        <v>6.4</v>
      </c>
      <c r="R1253" s="50">
        <v>33</v>
      </c>
      <c r="S1253" s="74">
        <v>22</v>
      </c>
      <c r="T1253" s="50">
        <v>0.15</v>
      </c>
      <c r="U1253" s="131">
        <v>2.08</v>
      </c>
      <c r="V1253" s="50">
        <v>0.43</v>
      </c>
      <c r="W1253" s="74">
        <v>1.9E-2</v>
      </c>
      <c r="X1253" s="50">
        <v>4.1000000000000002E-2</v>
      </c>
      <c r="Y1253" s="74">
        <f>0.03/2</f>
        <v>1.4999999999999999E-2</v>
      </c>
      <c r="Z1253" s="271">
        <v>1</v>
      </c>
      <c r="AA1253" s="271">
        <v>1</v>
      </c>
      <c r="AB1253" s="114">
        <v>7</v>
      </c>
      <c r="AC1253" s="50">
        <v>66</v>
      </c>
      <c r="AD1253" s="271">
        <v>1</v>
      </c>
    </row>
    <row r="1254" spans="1:31" ht="15" customHeight="1">
      <c r="A1254" s="41" t="s">
        <v>183</v>
      </c>
      <c r="B1254" s="402" t="s">
        <v>4450</v>
      </c>
      <c r="D1254" s="393" t="s">
        <v>257</v>
      </c>
      <c r="E1254" s="394" t="s">
        <v>4451</v>
      </c>
      <c r="G1254" s="405" t="s">
        <v>4452</v>
      </c>
      <c r="H1254" s="74">
        <v>3471</v>
      </c>
      <c r="I1254" s="50" t="s">
        <v>1</v>
      </c>
      <c r="J1254" s="343" t="s">
        <v>1943</v>
      </c>
      <c r="K1254" s="51">
        <v>41201</v>
      </c>
      <c r="L1254" s="173">
        <v>41197</v>
      </c>
      <c r="M1254" s="50">
        <f t="shared" si="51"/>
        <v>4</v>
      </c>
      <c r="N1254" s="50" t="s">
        <v>2</v>
      </c>
      <c r="O1254" s="74">
        <f>1.4/2</f>
        <v>0.7</v>
      </c>
      <c r="Q1254" s="74">
        <v>6.45</v>
      </c>
      <c r="R1254" s="50">
        <v>23</v>
      </c>
      <c r="S1254" s="74">
        <v>26</v>
      </c>
      <c r="T1254" s="50">
        <v>0.14000000000000001</v>
      </c>
      <c r="U1254" s="131">
        <v>0.72</v>
      </c>
      <c r="V1254" s="50">
        <v>0.24</v>
      </c>
      <c r="W1254" s="74">
        <v>1.7000000000000001E-2</v>
      </c>
      <c r="X1254" s="50">
        <v>7.6999999999999999E-2</v>
      </c>
      <c r="Y1254" s="74">
        <v>3.0000000000000001E-3</v>
      </c>
      <c r="Z1254" s="271">
        <v>1</v>
      </c>
      <c r="AA1254" s="271">
        <v>1</v>
      </c>
      <c r="AB1254" s="114">
        <v>4</v>
      </c>
      <c r="AC1254" s="50">
        <v>24</v>
      </c>
      <c r="AD1254" s="271">
        <v>1</v>
      </c>
    </row>
    <row r="1255" spans="1:31" ht="15" customHeight="1">
      <c r="A1255" s="41" t="s">
        <v>183</v>
      </c>
      <c r="B1255" s="402" t="s">
        <v>2054</v>
      </c>
      <c r="D1255" s="393" t="s">
        <v>209</v>
      </c>
      <c r="E1255" s="394" t="s">
        <v>2055</v>
      </c>
      <c r="G1255" s="405" t="s">
        <v>2056</v>
      </c>
      <c r="H1255" s="74">
        <v>2024</v>
      </c>
      <c r="I1255" s="50" t="s">
        <v>2</v>
      </c>
      <c r="J1255" s="339" t="s">
        <v>1392</v>
      </c>
      <c r="K1255" s="51">
        <v>41201</v>
      </c>
      <c r="L1255" s="173">
        <v>41197</v>
      </c>
      <c r="M1255" s="50">
        <f t="shared" si="51"/>
        <v>4</v>
      </c>
      <c r="N1255" s="50" t="s">
        <v>2</v>
      </c>
      <c r="O1255" s="74">
        <v>3.9</v>
      </c>
      <c r="P1255" s="50">
        <v>6.6</v>
      </c>
      <c r="Q1255" s="74">
        <v>7</v>
      </c>
      <c r="R1255" s="50">
        <v>14</v>
      </c>
      <c r="S1255" s="74">
        <v>54</v>
      </c>
      <c r="T1255" s="50">
        <f>0.05/2</f>
        <v>2.5000000000000001E-2</v>
      </c>
      <c r="U1255" s="131">
        <v>0.72</v>
      </c>
      <c r="V1255" s="50">
        <v>0.3</v>
      </c>
      <c r="W1255" s="74">
        <f>0.01/2</f>
        <v>5.0000000000000001E-3</v>
      </c>
      <c r="X1255" s="50">
        <v>0.161</v>
      </c>
      <c r="Y1255" s="74">
        <f>0.03/2</f>
        <v>1.4999999999999999E-2</v>
      </c>
      <c r="Z1255" s="271">
        <v>1</v>
      </c>
      <c r="AA1255" s="271">
        <v>0.77700000000000002</v>
      </c>
      <c r="AB1255" s="114">
        <v>7</v>
      </c>
      <c r="AC1255" s="50">
        <v>25</v>
      </c>
      <c r="AD1255" s="271">
        <v>0.3</v>
      </c>
    </row>
    <row r="1256" spans="1:31" ht="15" customHeight="1">
      <c r="A1256" s="41" t="s">
        <v>183</v>
      </c>
      <c r="B1256" s="402" t="s">
        <v>4453</v>
      </c>
      <c r="D1256" s="393" t="s">
        <v>1683</v>
      </c>
      <c r="E1256" s="394" t="s">
        <v>304</v>
      </c>
      <c r="G1256" s="405" t="s">
        <v>4454</v>
      </c>
      <c r="H1256" s="74">
        <v>3069</v>
      </c>
      <c r="J1256" s="339">
        <v>1</v>
      </c>
      <c r="K1256" s="51">
        <v>41105</v>
      </c>
      <c r="L1256" s="173"/>
      <c r="N1256" s="50" t="s">
        <v>2</v>
      </c>
      <c r="O1256" s="74">
        <f>5/2</f>
        <v>2.5</v>
      </c>
      <c r="P1256" s="50">
        <v>6.21</v>
      </c>
      <c r="Q1256" s="74">
        <v>6.36</v>
      </c>
      <c r="R1256" s="50">
        <v>16</v>
      </c>
      <c r="S1256" s="74">
        <f>5/2</f>
        <v>2.5</v>
      </c>
      <c r="T1256" s="50">
        <f>0.1/2</f>
        <v>0.05</v>
      </c>
      <c r="U1256" s="131">
        <v>3.2</v>
      </c>
      <c r="V1256" s="50">
        <v>0.77</v>
      </c>
      <c r="W1256" s="74">
        <f>0.04/2</f>
        <v>0.02</v>
      </c>
      <c r="X1256" s="50">
        <v>0.11</v>
      </c>
      <c r="Y1256" s="74">
        <f>0.013/2</f>
        <v>6.4999999999999997E-3</v>
      </c>
    </row>
    <row r="1257" spans="1:31" ht="15" customHeight="1">
      <c r="A1257" s="41" t="s">
        <v>183</v>
      </c>
      <c r="B1257" s="402" t="s">
        <v>4453</v>
      </c>
      <c r="D1257" s="393" t="s">
        <v>1683</v>
      </c>
      <c r="E1257" s="394" t="s">
        <v>304</v>
      </c>
      <c r="G1257" s="405" t="s">
        <v>4454</v>
      </c>
      <c r="H1257" s="74">
        <v>3069</v>
      </c>
      <c r="J1257" s="339"/>
      <c r="K1257" s="51">
        <v>41105</v>
      </c>
      <c r="L1257" s="173"/>
      <c r="N1257" s="50" t="s">
        <v>2</v>
      </c>
      <c r="O1257" s="74">
        <f>5/2</f>
        <v>2.5</v>
      </c>
      <c r="P1257" s="50">
        <v>6.21</v>
      </c>
      <c r="Q1257" s="74">
        <v>5.2</v>
      </c>
      <c r="R1257" s="50">
        <f>5/2</f>
        <v>2.5</v>
      </c>
      <c r="S1257" s="74">
        <v>5</v>
      </c>
      <c r="T1257" s="50">
        <f>0.1/2</f>
        <v>0.05</v>
      </c>
      <c r="U1257" s="131">
        <f>1/2</f>
        <v>0.5</v>
      </c>
      <c r="V1257" s="50">
        <v>0.2</v>
      </c>
      <c r="W1257" s="74">
        <f>0.04/2</f>
        <v>0.02</v>
      </c>
      <c r="X1257" s="50">
        <v>0.17</v>
      </c>
      <c r="Y1257" s="74">
        <f>0.013/2</f>
        <v>6.4999999999999997E-3</v>
      </c>
    </row>
    <row r="1258" spans="1:31" ht="15" customHeight="1">
      <c r="A1258" s="41" t="s">
        <v>183</v>
      </c>
      <c r="B1258" s="402" t="s">
        <v>4433</v>
      </c>
      <c r="D1258" s="393" t="s">
        <v>314</v>
      </c>
      <c r="E1258" s="394" t="s">
        <v>49</v>
      </c>
      <c r="G1258" s="405" t="s">
        <v>4434</v>
      </c>
      <c r="H1258" s="74">
        <v>3479</v>
      </c>
      <c r="I1258" s="50" t="s">
        <v>2</v>
      </c>
      <c r="J1258" s="339" t="s">
        <v>255</v>
      </c>
      <c r="K1258" s="51">
        <v>41170</v>
      </c>
      <c r="L1258" s="173">
        <v>41160</v>
      </c>
      <c r="M1258" s="50">
        <f t="shared" ref="M1258:M1273" si="52">K1258-L1258</f>
        <v>10</v>
      </c>
      <c r="N1258" s="50" t="s">
        <v>2</v>
      </c>
      <c r="O1258" s="74">
        <f>2/2</f>
        <v>1</v>
      </c>
      <c r="P1258" s="50">
        <v>6</v>
      </c>
      <c r="Q1258" s="74">
        <v>6.2</v>
      </c>
      <c r="R1258" s="50">
        <v>25</v>
      </c>
      <c r="S1258" s="74">
        <v>6</v>
      </c>
      <c r="T1258" s="50">
        <f>0.05/2</f>
        <v>2.5000000000000001E-2</v>
      </c>
      <c r="U1258" s="131">
        <v>1.45</v>
      </c>
      <c r="V1258" s="50">
        <v>0.81</v>
      </c>
      <c r="W1258" s="74">
        <v>7.8E-2</v>
      </c>
      <c r="X1258" s="50">
        <v>0.55800000000000005</v>
      </c>
      <c r="Y1258" s="74">
        <f>0.03/2</f>
        <v>1.4999999999999999E-2</v>
      </c>
    </row>
    <row r="1259" spans="1:31" ht="15" customHeight="1">
      <c r="A1259" s="41" t="s">
        <v>183</v>
      </c>
      <c r="B1259" s="386" t="s">
        <v>666</v>
      </c>
      <c r="C1259" s="149" t="s">
        <v>822</v>
      </c>
      <c r="D1259" s="392" t="s">
        <v>251</v>
      </c>
      <c r="E1259" s="258" t="s">
        <v>823</v>
      </c>
      <c r="F1259" s="386"/>
      <c r="G1259" s="389" t="s">
        <v>824</v>
      </c>
      <c r="H1259" s="55">
        <v>3724</v>
      </c>
      <c r="I1259" s="54" t="s">
        <v>2</v>
      </c>
      <c r="J1259" s="61" t="s">
        <v>669</v>
      </c>
      <c r="K1259" s="51">
        <v>41170</v>
      </c>
      <c r="L1259" s="173">
        <v>41166</v>
      </c>
      <c r="M1259" s="50">
        <f t="shared" si="52"/>
        <v>4</v>
      </c>
      <c r="N1259" s="50" t="s">
        <v>2</v>
      </c>
      <c r="O1259" s="74">
        <f>1/2</f>
        <v>0.5</v>
      </c>
      <c r="P1259" s="50">
        <v>5.55</v>
      </c>
      <c r="Q1259" s="74">
        <v>5.43</v>
      </c>
      <c r="R1259" s="50">
        <v>87.7</v>
      </c>
      <c r="S1259" s="74">
        <v>50</v>
      </c>
      <c r="T1259" s="50">
        <v>0.18</v>
      </c>
      <c r="U1259" s="131">
        <v>1.42</v>
      </c>
      <c r="V1259" s="50">
        <v>0.41</v>
      </c>
      <c r="W1259" s="74">
        <v>1.2999999999999999E-2</v>
      </c>
      <c r="X1259" s="50">
        <v>0.04</v>
      </c>
      <c r="Y1259" s="74">
        <v>5.0000000000000001E-3</v>
      </c>
    </row>
    <row r="1260" spans="1:31" ht="15" customHeight="1">
      <c r="A1260" s="41" t="s">
        <v>183</v>
      </c>
      <c r="B1260" s="386" t="s">
        <v>666</v>
      </c>
      <c r="C1260" s="149" t="s">
        <v>822</v>
      </c>
      <c r="D1260" s="392" t="s">
        <v>251</v>
      </c>
      <c r="E1260" s="258" t="s">
        <v>823</v>
      </c>
      <c r="F1260" s="386"/>
      <c r="G1260" s="389" t="s">
        <v>824</v>
      </c>
      <c r="H1260" s="55">
        <v>3724</v>
      </c>
      <c r="I1260" s="54" t="s">
        <v>2</v>
      </c>
      <c r="J1260" s="61" t="s">
        <v>676</v>
      </c>
      <c r="K1260" s="51">
        <v>41170</v>
      </c>
      <c r="L1260" s="173">
        <v>41166</v>
      </c>
      <c r="M1260" s="50">
        <f t="shared" si="52"/>
        <v>4</v>
      </c>
      <c r="N1260" s="50" t="s">
        <v>2</v>
      </c>
      <c r="O1260" s="74">
        <f>1/2</f>
        <v>0.5</v>
      </c>
      <c r="P1260" s="50">
        <v>5.55</v>
      </c>
      <c r="Q1260" s="74">
        <v>6.05</v>
      </c>
      <c r="R1260" s="50">
        <v>47.3</v>
      </c>
      <c r="S1260" s="74">
        <v>9</v>
      </c>
      <c r="T1260" s="50">
        <v>0.12</v>
      </c>
      <c r="U1260" s="131">
        <v>5.59</v>
      </c>
      <c r="V1260" s="50">
        <f>0.1/2</f>
        <v>0.05</v>
      </c>
      <c r="W1260" s="74">
        <v>8.0000000000000002E-3</v>
      </c>
      <c r="X1260" s="50">
        <v>3.2000000000000001E-2</v>
      </c>
      <c r="Y1260" s="74">
        <f>0.002/2</f>
        <v>1E-3</v>
      </c>
    </row>
    <row r="1261" spans="1:31" ht="15" customHeight="1">
      <c r="A1261" s="41" t="s">
        <v>183</v>
      </c>
      <c r="B1261" s="386" t="s">
        <v>666</v>
      </c>
      <c r="C1261" s="149" t="s">
        <v>667</v>
      </c>
      <c r="D1261" s="392" t="s">
        <v>251</v>
      </c>
      <c r="E1261" s="258" t="s">
        <v>988</v>
      </c>
      <c r="F1261" s="386"/>
      <c r="G1261" s="389" t="s">
        <v>668</v>
      </c>
      <c r="H1261" s="55">
        <v>3724</v>
      </c>
      <c r="I1261" s="54" t="s">
        <v>2</v>
      </c>
      <c r="J1261" s="61" t="s">
        <v>669</v>
      </c>
      <c r="K1261" s="51">
        <v>41170</v>
      </c>
      <c r="L1261" s="173">
        <v>41166</v>
      </c>
      <c r="M1261" s="50">
        <f t="shared" si="52"/>
        <v>4</v>
      </c>
      <c r="N1261" s="50" t="s">
        <v>2</v>
      </c>
      <c r="O1261" s="74">
        <v>2.4</v>
      </c>
      <c r="P1261" s="50">
        <v>5.55</v>
      </c>
      <c r="Q1261" s="74">
        <v>5</v>
      </c>
      <c r="R1261" s="50">
        <v>22.2</v>
      </c>
      <c r="S1261" s="74">
        <v>21</v>
      </c>
      <c r="T1261" s="50">
        <v>0.13</v>
      </c>
      <c r="U1261" s="131">
        <v>0.92</v>
      </c>
      <c r="V1261" s="50">
        <v>0.41</v>
      </c>
      <c r="W1261" s="74">
        <v>1.2999999999999999E-2</v>
      </c>
      <c r="X1261" s="50">
        <v>3.9E-2</v>
      </c>
      <c r="Y1261" s="74">
        <f>0.002/2</f>
        <v>1E-3</v>
      </c>
    </row>
    <row r="1262" spans="1:31" ht="15" customHeight="1">
      <c r="A1262" s="41" t="s">
        <v>183</v>
      </c>
      <c r="B1262" s="402" t="s">
        <v>1818</v>
      </c>
      <c r="C1262" s="113" t="s">
        <v>4455</v>
      </c>
      <c r="D1262" s="393" t="s">
        <v>1881</v>
      </c>
      <c r="E1262" s="394" t="s">
        <v>44</v>
      </c>
      <c r="G1262" s="405" t="s">
        <v>4456</v>
      </c>
      <c r="H1262" s="74">
        <v>4952</v>
      </c>
      <c r="J1262" s="339" t="s">
        <v>676</v>
      </c>
      <c r="K1262" s="51">
        <v>41149</v>
      </c>
      <c r="L1262" s="173">
        <v>41139</v>
      </c>
      <c r="M1262" s="50">
        <f t="shared" si="52"/>
        <v>10</v>
      </c>
      <c r="N1262" s="50" t="s">
        <v>2</v>
      </c>
      <c r="O1262" s="74">
        <v>1.5</v>
      </c>
      <c r="P1262" s="50">
        <v>6.6</v>
      </c>
      <c r="Q1262" s="74">
        <v>6.36</v>
      </c>
      <c r="R1262" s="50">
        <v>29</v>
      </c>
      <c r="S1262" s="74">
        <v>11</v>
      </c>
      <c r="T1262" s="50">
        <v>0.1</v>
      </c>
      <c r="U1262" s="131">
        <v>1.05</v>
      </c>
      <c r="V1262" s="50">
        <v>0.39600000000000002</v>
      </c>
      <c r="W1262" s="74">
        <f>0.005/2</f>
        <v>2.5000000000000001E-3</v>
      </c>
      <c r="X1262" s="50">
        <v>2.2200000000000001E-2</v>
      </c>
      <c r="Y1262" s="74">
        <f>0.003/2</f>
        <v>1.5E-3</v>
      </c>
    </row>
    <row r="1263" spans="1:31" ht="15" customHeight="1">
      <c r="A1263" s="41" t="s">
        <v>183</v>
      </c>
      <c r="B1263" s="402" t="s">
        <v>1818</v>
      </c>
      <c r="C1263" s="113" t="s">
        <v>4455</v>
      </c>
      <c r="D1263" s="393" t="s">
        <v>1881</v>
      </c>
      <c r="E1263" s="394" t="s">
        <v>44</v>
      </c>
      <c r="G1263" s="405" t="s">
        <v>4456</v>
      </c>
      <c r="H1263" s="74">
        <v>4952</v>
      </c>
      <c r="J1263" s="339" t="s">
        <v>4457</v>
      </c>
      <c r="K1263" s="51">
        <v>41149</v>
      </c>
      <c r="L1263" s="173">
        <v>41139</v>
      </c>
      <c r="M1263" s="50">
        <f t="shared" si="52"/>
        <v>10</v>
      </c>
      <c r="N1263" s="50" t="s">
        <v>2</v>
      </c>
      <c r="O1263" s="74">
        <f>0.5/2</f>
        <v>0.25</v>
      </c>
      <c r="P1263" s="50">
        <v>6.6</v>
      </c>
      <c r="Q1263" s="74">
        <v>6.75</v>
      </c>
      <c r="R1263" s="50">
        <v>17</v>
      </c>
      <c r="S1263" s="74">
        <v>14</v>
      </c>
      <c r="T1263" s="50">
        <v>0.56000000000000005</v>
      </c>
      <c r="U1263" s="131">
        <v>1.47</v>
      </c>
      <c r="V1263" s="50">
        <v>0.52400000000000002</v>
      </c>
      <c r="W1263" s="74">
        <v>4.36E-2</v>
      </c>
      <c r="X1263" s="50">
        <v>3.1800000000000002E-2</v>
      </c>
      <c r="Y1263" s="74">
        <v>1.95E-2</v>
      </c>
    </row>
    <row r="1264" spans="1:31" ht="15" customHeight="1">
      <c r="A1264" s="41" t="s">
        <v>183</v>
      </c>
      <c r="B1264" s="386" t="s">
        <v>332</v>
      </c>
      <c r="C1264" s="149" t="s">
        <v>332</v>
      </c>
      <c r="D1264" s="392" t="s">
        <v>333</v>
      </c>
      <c r="E1264" s="258" t="s">
        <v>467</v>
      </c>
      <c r="F1264" s="386" t="s">
        <v>980</v>
      </c>
      <c r="G1264" s="389" t="s">
        <v>334</v>
      </c>
      <c r="H1264" s="55">
        <v>3629</v>
      </c>
      <c r="I1264" s="54" t="s">
        <v>2</v>
      </c>
      <c r="J1264" s="61" t="s">
        <v>335</v>
      </c>
      <c r="K1264" s="51">
        <v>41170</v>
      </c>
      <c r="L1264" s="173">
        <v>41160</v>
      </c>
      <c r="M1264" s="50">
        <f t="shared" si="52"/>
        <v>10</v>
      </c>
      <c r="N1264" s="50" t="s">
        <v>2</v>
      </c>
      <c r="O1264" s="74">
        <f>2/2</f>
        <v>1</v>
      </c>
      <c r="P1264" s="50">
        <v>5.23</v>
      </c>
      <c r="Q1264" s="74">
        <v>6.3</v>
      </c>
      <c r="R1264" s="50">
        <v>29</v>
      </c>
      <c r="S1264" s="74">
        <v>9</v>
      </c>
      <c r="T1264" s="50">
        <f>0.05/2</f>
        <v>2.5000000000000001E-2</v>
      </c>
      <c r="U1264" s="131">
        <v>1.93</v>
      </c>
      <c r="V1264" s="50">
        <v>3.94</v>
      </c>
      <c r="W1264" s="74">
        <v>9.2999999999999999E-2</v>
      </c>
      <c r="X1264" s="50">
        <v>1.83</v>
      </c>
      <c r="Y1264" s="74">
        <f>0.03/2</f>
        <v>1.4999999999999999E-2</v>
      </c>
    </row>
    <row r="1265" spans="1:32" ht="15" customHeight="1">
      <c r="A1265" s="41" t="s">
        <v>183</v>
      </c>
      <c r="B1265" s="402" t="s">
        <v>2605</v>
      </c>
      <c r="D1265" s="393" t="s">
        <v>1565</v>
      </c>
      <c r="E1265" s="394" t="s">
        <v>2606</v>
      </c>
      <c r="G1265" s="405" t="s">
        <v>2607</v>
      </c>
      <c r="H1265" s="74">
        <v>3429</v>
      </c>
      <c r="I1265" s="50" t="s">
        <v>2</v>
      </c>
      <c r="J1265" s="339" t="s">
        <v>2608</v>
      </c>
      <c r="K1265" s="51">
        <v>41156</v>
      </c>
      <c r="L1265" s="173">
        <v>41139</v>
      </c>
      <c r="M1265" s="50">
        <f t="shared" si="52"/>
        <v>17</v>
      </c>
      <c r="N1265" s="50" t="s">
        <v>2</v>
      </c>
      <c r="O1265" s="74">
        <f>1.8/2</f>
        <v>0.9</v>
      </c>
      <c r="P1265" s="50">
        <v>7.62</v>
      </c>
      <c r="Q1265" s="74">
        <v>6.6</v>
      </c>
      <c r="R1265" s="50">
        <v>37</v>
      </c>
      <c r="S1265" s="74">
        <v>2</v>
      </c>
      <c r="T1265" s="50">
        <v>1.7000000000000001E-2</v>
      </c>
      <c r="U1265" s="131">
        <v>1.1000000000000001</v>
      </c>
      <c r="V1265" s="50">
        <v>2.4</v>
      </c>
      <c r="W1265" s="74">
        <v>8.9999999999999993E-3</v>
      </c>
      <c r="X1265" s="50">
        <v>7.1999999999999995E-2</v>
      </c>
      <c r="Y1265" s="74">
        <v>8.3999999999999995E-3</v>
      </c>
      <c r="Z1265" s="271">
        <v>1</v>
      </c>
      <c r="AA1265" s="271">
        <v>1</v>
      </c>
      <c r="AB1265" s="114">
        <v>22</v>
      </c>
      <c r="AC1265" s="50">
        <v>59</v>
      </c>
      <c r="AD1265" s="271">
        <v>1</v>
      </c>
    </row>
    <row r="1266" spans="1:32" ht="15" customHeight="1">
      <c r="A1266" s="41" t="s">
        <v>183</v>
      </c>
      <c r="B1266" s="402" t="s">
        <v>1272</v>
      </c>
      <c r="C1266" s="113" t="s">
        <v>1272</v>
      </c>
      <c r="D1266" s="393" t="s">
        <v>205</v>
      </c>
      <c r="E1266" s="394" t="s">
        <v>1273</v>
      </c>
      <c r="F1266" s="402" t="s">
        <v>1274</v>
      </c>
      <c r="G1266" s="405" t="s">
        <v>1275</v>
      </c>
      <c r="H1266" s="49">
        <v>3446</v>
      </c>
      <c r="I1266" s="50" t="s">
        <v>1</v>
      </c>
      <c r="J1266" s="76" t="s">
        <v>130</v>
      </c>
      <c r="K1266" s="51">
        <v>41157</v>
      </c>
      <c r="L1266" s="173">
        <v>41153</v>
      </c>
      <c r="M1266" s="50">
        <f t="shared" si="52"/>
        <v>4</v>
      </c>
      <c r="N1266" s="50" t="s">
        <v>2</v>
      </c>
      <c r="O1266" s="74">
        <f>1/2</f>
        <v>0.5</v>
      </c>
      <c r="P1266" s="50">
        <v>6.5</v>
      </c>
      <c r="Q1266" s="74">
        <v>5.6</v>
      </c>
      <c r="R1266" s="50">
        <v>50.2</v>
      </c>
      <c r="S1266" s="74">
        <v>1</v>
      </c>
      <c r="T1266" s="50">
        <v>0.11</v>
      </c>
      <c r="U1266" s="131">
        <v>2.89</v>
      </c>
      <c r="V1266" s="50">
        <v>1.04</v>
      </c>
      <c r="W1266" s="74">
        <v>3.2000000000000001E-2</v>
      </c>
      <c r="X1266" s="50">
        <v>0.28699999999999998</v>
      </c>
      <c r="Y1266" s="74">
        <v>1.4999999999999999E-2</v>
      </c>
    </row>
    <row r="1267" spans="1:32" ht="15" customHeight="1">
      <c r="A1267" s="41" t="s">
        <v>183</v>
      </c>
      <c r="B1267" s="402" t="s">
        <v>1272</v>
      </c>
      <c r="C1267" s="113" t="s">
        <v>1272</v>
      </c>
      <c r="D1267" s="393" t="s">
        <v>205</v>
      </c>
      <c r="E1267" s="394" t="s">
        <v>1276</v>
      </c>
      <c r="F1267" s="402" t="s">
        <v>1274</v>
      </c>
      <c r="G1267" s="405" t="s">
        <v>1275</v>
      </c>
      <c r="H1267" s="49">
        <v>3446</v>
      </c>
      <c r="I1267" s="50" t="s">
        <v>1</v>
      </c>
      <c r="J1267" s="76" t="s">
        <v>1277</v>
      </c>
      <c r="K1267" s="51">
        <v>41157</v>
      </c>
      <c r="L1267" s="173">
        <v>41153</v>
      </c>
      <c r="M1267" s="50">
        <f t="shared" si="52"/>
        <v>4</v>
      </c>
      <c r="N1267" s="50" t="s">
        <v>2</v>
      </c>
      <c r="O1267" s="74">
        <f>1/2</f>
        <v>0.5</v>
      </c>
      <c r="P1267" s="50">
        <v>6.5</v>
      </c>
      <c r="Q1267" s="74">
        <v>5.7</v>
      </c>
      <c r="R1267" s="50">
        <v>85.5</v>
      </c>
      <c r="S1267" s="74">
        <v>27</v>
      </c>
      <c r="T1267" s="50">
        <v>0.22</v>
      </c>
      <c r="U1267" s="131">
        <v>2.78</v>
      </c>
      <c r="V1267" s="50">
        <v>1.48</v>
      </c>
      <c r="W1267" s="74">
        <v>0.01</v>
      </c>
      <c r="X1267" s="50">
        <v>0.104</v>
      </c>
      <c r="Y1267" s="74">
        <v>4.0000000000000001E-3</v>
      </c>
    </row>
    <row r="1268" spans="1:32" ht="15" customHeight="1">
      <c r="A1268" s="41" t="s">
        <v>183</v>
      </c>
      <c r="B1268" s="402" t="s">
        <v>1402</v>
      </c>
      <c r="C1268" s="113" t="s">
        <v>1403</v>
      </c>
      <c r="D1268" s="393" t="s">
        <v>308</v>
      </c>
      <c r="E1268" s="394" t="s">
        <v>535</v>
      </c>
      <c r="G1268" s="405" t="s">
        <v>1404</v>
      </c>
      <c r="H1268" s="49">
        <v>3562</v>
      </c>
      <c r="I1268" s="50" t="s">
        <v>1</v>
      </c>
      <c r="J1268" s="76" t="s">
        <v>1355</v>
      </c>
      <c r="K1268" s="51">
        <v>41170</v>
      </c>
      <c r="L1268" s="173">
        <v>41161</v>
      </c>
      <c r="M1268" s="50">
        <f t="shared" si="52"/>
        <v>9</v>
      </c>
      <c r="N1268" s="50" t="s">
        <v>2</v>
      </c>
      <c r="O1268" s="74">
        <f>5/2</f>
        <v>2.5</v>
      </c>
      <c r="P1268" s="50">
        <v>5</v>
      </c>
      <c r="Q1268" s="74">
        <v>4.92</v>
      </c>
      <c r="R1268" s="50">
        <v>18</v>
      </c>
      <c r="S1268" s="74">
        <v>11</v>
      </c>
      <c r="T1268" s="50">
        <f>0.1/2</f>
        <v>0.05</v>
      </c>
      <c r="U1268" s="131">
        <f>1/2</f>
        <v>0.5</v>
      </c>
      <c r="V1268" s="50">
        <v>0.39</v>
      </c>
      <c r="W1268" s="74">
        <f>0.04/2</f>
        <v>0.02</v>
      </c>
      <c r="X1268" s="50">
        <v>0.2</v>
      </c>
      <c r="Y1268" s="74">
        <f>0.013/2</f>
        <v>6.4999999999999997E-3</v>
      </c>
    </row>
    <row r="1269" spans="1:32" ht="15" customHeight="1">
      <c r="A1269" s="41" t="s">
        <v>183</v>
      </c>
      <c r="B1269" s="402" t="s">
        <v>1402</v>
      </c>
      <c r="C1269" s="113" t="s">
        <v>1403</v>
      </c>
      <c r="D1269" s="393" t="s">
        <v>308</v>
      </c>
      <c r="E1269" s="394" t="s">
        <v>535</v>
      </c>
      <c r="G1269" s="405" t="s">
        <v>1404</v>
      </c>
      <c r="H1269" s="49">
        <v>3562</v>
      </c>
      <c r="I1269" s="50" t="s">
        <v>1</v>
      </c>
      <c r="J1269" s="76" t="s">
        <v>1356</v>
      </c>
      <c r="K1269" s="51">
        <v>41170</v>
      </c>
      <c r="L1269" s="173">
        <v>41161</v>
      </c>
      <c r="M1269" s="50">
        <f t="shared" si="52"/>
        <v>9</v>
      </c>
      <c r="N1269" s="50" t="s">
        <v>2</v>
      </c>
      <c r="O1269" s="74">
        <f>5/2</f>
        <v>2.5</v>
      </c>
      <c r="P1269" s="50">
        <v>5</v>
      </c>
      <c r="Q1269" s="74">
        <v>4.59</v>
      </c>
      <c r="R1269" s="50">
        <v>47</v>
      </c>
      <c r="S1269" s="74">
        <v>8</v>
      </c>
      <c r="T1269" s="50">
        <f>0.1/2</f>
        <v>0.05</v>
      </c>
      <c r="U1269" s="131">
        <v>1.8</v>
      </c>
      <c r="V1269" s="50">
        <v>0.41</v>
      </c>
      <c r="W1269" s="74">
        <f>0.04/2</f>
        <v>0.02</v>
      </c>
      <c r="X1269" s="50">
        <v>0.31</v>
      </c>
      <c r="Y1269" s="74">
        <f>0.013/2</f>
        <v>6.4999999999999997E-3</v>
      </c>
    </row>
    <row r="1270" spans="1:32" ht="15" customHeight="1">
      <c r="A1270" s="41" t="s">
        <v>183</v>
      </c>
      <c r="B1270" s="402" t="s">
        <v>3255</v>
      </c>
      <c r="C1270" s="113" t="s">
        <v>3255</v>
      </c>
      <c r="D1270" s="393" t="s">
        <v>1490</v>
      </c>
      <c r="F1270" s="402" t="s">
        <v>3256</v>
      </c>
      <c r="G1270" s="405" t="s">
        <v>3257</v>
      </c>
      <c r="H1270" s="113">
        <v>3089</v>
      </c>
      <c r="I1270" s="49" t="s">
        <v>1</v>
      </c>
      <c r="J1270" s="48" t="s">
        <v>700</v>
      </c>
      <c r="K1270" s="51">
        <v>41122</v>
      </c>
      <c r="L1270" s="173">
        <v>41118</v>
      </c>
      <c r="M1270" s="50">
        <f t="shared" si="52"/>
        <v>4</v>
      </c>
      <c r="N1270" s="50" t="s">
        <v>2</v>
      </c>
      <c r="O1270" s="74">
        <v>2.7</v>
      </c>
      <c r="P1270" s="50">
        <v>5.43</v>
      </c>
      <c r="Q1270" s="74">
        <v>6.4</v>
      </c>
      <c r="R1270" s="50">
        <v>25</v>
      </c>
      <c r="S1270" s="74">
        <v>117</v>
      </c>
      <c r="T1270" s="50">
        <v>8.2000000000000003E-2</v>
      </c>
      <c r="U1270" s="131">
        <v>1.4</v>
      </c>
      <c r="V1270" s="50">
        <v>1.21</v>
      </c>
      <c r="W1270" s="74">
        <f>0.005/2</f>
        <v>2.5000000000000001E-3</v>
      </c>
      <c r="X1270" s="50">
        <v>0.13800000000000001</v>
      </c>
      <c r="Y1270" s="74">
        <f>0.005/2</f>
        <v>2.5000000000000001E-3</v>
      </c>
      <c r="Z1270" s="271">
        <v>1</v>
      </c>
      <c r="AA1270" s="271">
        <v>1</v>
      </c>
      <c r="AB1270" s="114">
        <v>2</v>
      </c>
      <c r="AC1270" s="50">
        <v>21</v>
      </c>
      <c r="AD1270" s="271">
        <v>1</v>
      </c>
      <c r="AE1270" s="50">
        <v>50</v>
      </c>
      <c r="AF1270" s="49">
        <v>5200</v>
      </c>
    </row>
    <row r="1271" spans="1:32" ht="15" customHeight="1">
      <c r="A1271" s="41" t="s">
        <v>183</v>
      </c>
      <c r="B1271" s="402" t="s">
        <v>1843</v>
      </c>
      <c r="C1271" s="113" t="s">
        <v>3679</v>
      </c>
      <c r="D1271" s="393" t="s">
        <v>480</v>
      </c>
      <c r="E1271" s="394" t="s">
        <v>3680</v>
      </c>
      <c r="F1271" s="401"/>
      <c r="G1271" s="405" t="s">
        <v>3681</v>
      </c>
      <c r="H1271" s="113">
        <v>4151</v>
      </c>
      <c r="I1271" s="49" t="s">
        <v>2</v>
      </c>
      <c r="J1271" s="48" t="s">
        <v>1030</v>
      </c>
      <c r="K1271" s="51">
        <v>41170</v>
      </c>
      <c r="L1271" s="173">
        <v>41161</v>
      </c>
      <c r="M1271" s="50">
        <f t="shared" si="52"/>
        <v>9</v>
      </c>
      <c r="N1271" s="50" t="s">
        <v>2</v>
      </c>
      <c r="O1271" s="74">
        <v>6.4</v>
      </c>
      <c r="P1271" s="50">
        <v>6.61</v>
      </c>
      <c r="Q1271" s="74">
        <v>7.22</v>
      </c>
      <c r="R1271" s="50">
        <v>170</v>
      </c>
      <c r="S1271" s="74">
        <v>270</v>
      </c>
      <c r="T1271" s="50">
        <v>0.33</v>
      </c>
      <c r="U1271" s="131">
        <v>1.66</v>
      </c>
      <c r="V1271" s="50">
        <v>0.78</v>
      </c>
      <c r="W1271" s="74">
        <v>0.04</v>
      </c>
      <c r="X1271" s="50">
        <v>0.13500000000000001</v>
      </c>
      <c r="Y1271" s="74">
        <v>1.6E-2</v>
      </c>
    </row>
    <row r="1272" spans="1:32" ht="15" customHeight="1">
      <c r="A1272" s="41" t="s">
        <v>183</v>
      </c>
      <c r="B1272" s="402" t="s">
        <v>1910</v>
      </c>
      <c r="C1272" s="113" t="s">
        <v>2037</v>
      </c>
      <c r="D1272" s="393" t="s">
        <v>2376</v>
      </c>
      <c r="E1272" s="394" t="s">
        <v>2038</v>
      </c>
      <c r="G1272" s="405" t="s">
        <v>2039</v>
      </c>
      <c r="H1272" s="113">
        <v>4151</v>
      </c>
      <c r="I1272" s="49" t="s">
        <v>2</v>
      </c>
      <c r="J1272" s="48" t="s">
        <v>1030</v>
      </c>
      <c r="K1272" s="51">
        <v>41170</v>
      </c>
      <c r="L1272" s="173">
        <v>41167</v>
      </c>
      <c r="M1272" s="50">
        <f t="shared" si="52"/>
        <v>3</v>
      </c>
      <c r="N1272" s="50" t="s">
        <v>2</v>
      </c>
      <c r="O1272" s="74">
        <v>2.6</v>
      </c>
      <c r="P1272" s="50">
        <v>6.42</v>
      </c>
      <c r="Q1272" s="74">
        <v>7.34</v>
      </c>
      <c r="R1272" s="50">
        <v>190</v>
      </c>
      <c r="S1272" s="74">
        <v>1000</v>
      </c>
      <c r="T1272" s="50">
        <v>1.69</v>
      </c>
      <c r="U1272" s="131">
        <v>12.5</v>
      </c>
      <c r="V1272" s="50">
        <v>5.95</v>
      </c>
      <c r="W1272" s="74">
        <v>7.0999999999999994E-2</v>
      </c>
      <c r="X1272" s="50">
        <v>0.308</v>
      </c>
      <c r="Y1272" s="74">
        <v>9.6000000000000002E-2</v>
      </c>
    </row>
    <row r="1273" spans="1:32" ht="15" customHeight="1">
      <c r="A1273" s="41" t="s">
        <v>183</v>
      </c>
      <c r="B1273" s="402" t="s">
        <v>1910</v>
      </c>
      <c r="C1273" s="113" t="s">
        <v>2037</v>
      </c>
      <c r="D1273" s="393" t="s">
        <v>2376</v>
      </c>
      <c r="E1273" s="394" t="s">
        <v>2038</v>
      </c>
      <c r="G1273" s="405" t="s">
        <v>2039</v>
      </c>
      <c r="H1273" s="113">
        <v>4151</v>
      </c>
      <c r="I1273" s="49" t="s">
        <v>2</v>
      </c>
      <c r="J1273" s="48" t="s">
        <v>1031</v>
      </c>
      <c r="K1273" s="51">
        <v>41170</v>
      </c>
      <c r="L1273" s="173">
        <v>41167</v>
      </c>
      <c r="M1273" s="50">
        <f t="shared" si="52"/>
        <v>3</v>
      </c>
      <c r="N1273" s="50" t="s">
        <v>2</v>
      </c>
      <c r="O1273" s="74">
        <f>1.4/2</f>
        <v>0.7</v>
      </c>
      <c r="P1273" s="50">
        <v>6.42</v>
      </c>
      <c r="Q1273" s="74">
        <v>6.93</v>
      </c>
      <c r="R1273" s="50">
        <v>550</v>
      </c>
      <c r="S1273" s="74">
        <v>73</v>
      </c>
      <c r="T1273" s="50">
        <v>4.2</v>
      </c>
      <c r="U1273" s="131">
        <v>2.08</v>
      </c>
      <c r="V1273" s="50">
        <v>1.88</v>
      </c>
      <c r="W1273" s="74">
        <v>6.4000000000000001E-2</v>
      </c>
      <c r="X1273" s="50">
        <v>0.17399999999999999</v>
      </c>
      <c r="Y1273" s="74">
        <v>5.2999999999999999E-2</v>
      </c>
    </row>
    <row r="1274" spans="1:32" ht="15" customHeight="1">
      <c r="A1274" s="41" t="s">
        <v>183</v>
      </c>
      <c r="B1274" s="402" t="s">
        <v>4458</v>
      </c>
      <c r="C1274" s="113" t="s">
        <v>4459</v>
      </c>
      <c r="D1274" s="393" t="s">
        <v>684</v>
      </c>
      <c r="E1274" s="394" t="s">
        <v>112</v>
      </c>
      <c r="G1274" s="405" t="s">
        <v>4460</v>
      </c>
      <c r="H1274" s="74">
        <v>4212</v>
      </c>
      <c r="I1274" s="50" t="s">
        <v>1</v>
      </c>
      <c r="J1274" s="339" t="s">
        <v>81</v>
      </c>
      <c r="K1274" s="51">
        <v>41171</v>
      </c>
      <c r="L1274" s="173"/>
      <c r="N1274" s="50" t="s">
        <v>2</v>
      </c>
      <c r="O1274" s="74">
        <f>5/2</f>
        <v>2.5</v>
      </c>
      <c r="Q1274" s="74">
        <v>6.04</v>
      </c>
      <c r="R1274" s="50">
        <v>33</v>
      </c>
      <c r="S1274" s="74">
        <v>52</v>
      </c>
      <c r="T1274" s="50">
        <v>0.22</v>
      </c>
      <c r="U1274" s="131">
        <f>1/2</f>
        <v>0.5</v>
      </c>
      <c r="V1274" s="50">
        <f>0.05/2</f>
        <v>2.5000000000000001E-2</v>
      </c>
      <c r="W1274" s="74">
        <v>4.9000000000000002E-2</v>
      </c>
      <c r="X1274" s="50">
        <v>0.31</v>
      </c>
      <c r="Y1274" s="74">
        <v>6.4000000000000001E-2</v>
      </c>
    </row>
    <row r="1275" spans="1:32" ht="15" customHeight="1">
      <c r="A1275" s="41" t="s">
        <v>183</v>
      </c>
      <c r="B1275" s="402" t="s">
        <v>1439</v>
      </c>
      <c r="C1275" s="113" t="s">
        <v>1439</v>
      </c>
      <c r="D1275" s="393" t="s">
        <v>372</v>
      </c>
      <c r="E1275" s="394" t="s">
        <v>1440</v>
      </c>
      <c r="G1275" s="405" t="s">
        <v>1441</v>
      </c>
      <c r="H1275" s="49">
        <v>2899</v>
      </c>
      <c r="I1275" s="50" t="s">
        <v>2</v>
      </c>
      <c r="J1275" s="76" t="s">
        <v>114</v>
      </c>
      <c r="K1275" s="51">
        <v>41131</v>
      </c>
      <c r="L1275" s="173">
        <v>41126</v>
      </c>
      <c r="M1275" s="50">
        <f t="shared" ref="M1275:M1292" si="53">K1275-L1275</f>
        <v>5</v>
      </c>
      <c r="N1275" s="50" t="s">
        <v>2</v>
      </c>
      <c r="O1275" s="74">
        <v>1.3</v>
      </c>
      <c r="P1275" s="50">
        <v>5.15</v>
      </c>
      <c r="Q1275" s="74">
        <v>5.1100000000000003</v>
      </c>
      <c r="R1275" s="50">
        <v>30</v>
      </c>
      <c r="S1275" s="74">
        <v>2</v>
      </c>
      <c r="T1275" s="50">
        <f>0.05/2</f>
        <v>2.5000000000000001E-2</v>
      </c>
      <c r="U1275" s="131">
        <v>1.81</v>
      </c>
      <c r="V1275" s="50">
        <v>1.4</v>
      </c>
      <c r="W1275" s="74">
        <v>0.03</v>
      </c>
      <c r="X1275" s="50">
        <v>0.16</v>
      </c>
      <c r="Y1275" s="74">
        <f>0.02/2</f>
        <v>0.01</v>
      </c>
      <c r="Z1275" s="271">
        <v>0.79400000000000004</v>
      </c>
      <c r="AA1275" s="271">
        <v>0.77400000000000002</v>
      </c>
      <c r="AB1275" s="114">
        <v>9.85</v>
      </c>
      <c r="AC1275" s="50">
        <v>41.4</v>
      </c>
      <c r="AD1275" s="271">
        <v>0.1</v>
      </c>
    </row>
    <row r="1276" spans="1:32" ht="15" customHeight="1">
      <c r="A1276" s="41" t="s">
        <v>183</v>
      </c>
      <c r="B1276" s="402" t="s">
        <v>1910</v>
      </c>
      <c r="C1276" s="113" t="s">
        <v>4461</v>
      </c>
      <c r="D1276" s="393" t="s">
        <v>117</v>
      </c>
      <c r="E1276" s="394" t="s">
        <v>4462</v>
      </c>
      <c r="G1276" s="405" t="s">
        <v>4463</v>
      </c>
      <c r="H1276" s="74">
        <v>4151</v>
      </c>
      <c r="I1276" s="50" t="s">
        <v>1</v>
      </c>
      <c r="J1276" s="339" t="s">
        <v>1030</v>
      </c>
      <c r="K1276" s="51">
        <v>41030</v>
      </c>
      <c r="L1276" s="173">
        <v>41022</v>
      </c>
      <c r="M1276" s="50">
        <f t="shared" si="53"/>
        <v>8</v>
      </c>
      <c r="N1276" s="50" t="s">
        <v>2</v>
      </c>
      <c r="O1276" s="74">
        <v>5.8</v>
      </c>
      <c r="P1276" s="50">
        <v>5.24</v>
      </c>
      <c r="Q1276" s="74">
        <v>7.19</v>
      </c>
      <c r="R1276" s="50">
        <v>67</v>
      </c>
      <c r="S1276" s="74">
        <v>300</v>
      </c>
      <c r="T1276" s="50">
        <v>0.52</v>
      </c>
      <c r="U1276" s="131">
        <v>2.62</v>
      </c>
      <c r="V1276" s="50">
        <v>0.89</v>
      </c>
      <c r="W1276" s="74">
        <v>5.8999999999999997E-2</v>
      </c>
      <c r="X1276" s="50">
        <v>0.28999999999999998</v>
      </c>
      <c r="Y1276" s="74">
        <v>2.5999999999999999E-2</v>
      </c>
    </row>
    <row r="1277" spans="1:32" ht="15" customHeight="1">
      <c r="A1277" s="41" t="s">
        <v>183</v>
      </c>
      <c r="B1277" s="402" t="s">
        <v>1910</v>
      </c>
      <c r="C1277" s="113" t="s">
        <v>4461</v>
      </c>
      <c r="D1277" s="393" t="s">
        <v>117</v>
      </c>
      <c r="E1277" s="394" t="s">
        <v>4462</v>
      </c>
      <c r="G1277" s="405" t="s">
        <v>4463</v>
      </c>
      <c r="H1277" s="74">
        <v>4151</v>
      </c>
      <c r="I1277" s="50" t="s">
        <v>1</v>
      </c>
      <c r="J1277" s="339" t="s">
        <v>1031</v>
      </c>
      <c r="K1277" s="51">
        <v>41030</v>
      </c>
      <c r="L1277" s="173">
        <v>41022</v>
      </c>
      <c r="M1277" s="50">
        <f t="shared" si="53"/>
        <v>8</v>
      </c>
      <c r="N1277" s="50" t="s">
        <v>2</v>
      </c>
      <c r="O1277" s="74">
        <v>5.5</v>
      </c>
      <c r="P1277" s="50">
        <v>5.24</v>
      </c>
      <c r="Q1277" s="74">
        <v>6.59</v>
      </c>
      <c r="R1277" s="50">
        <v>210</v>
      </c>
      <c r="S1277" s="74">
        <v>560</v>
      </c>
      <c r="T1277" s="50">
        <v>0.95</v>
      </c>
      <c r="U1277" s="131">
        <v>4.26</v>
      </c>
      <c r="V1277" s="50">
        <v>0.77</v>
      </c>
      <c r="W1277" s="74">
        <v>6.0999999999999999E-2</v>
      </c>
      <c r="X1277" s="50">
        <v>0.47799999999999998</v>
      </c>
      <c r="Y1277" s="74">
        <v>2.7E-2</v>
      </c>
      <c r="Z1277" s="271">
        <v>1</v>
      </c>
      <c r="AA1277" s="271">
        <v>1</v>
      </c>
      <c r="AB1277" s="114">
        <v>28</v>
      </c>
      <c r="AC1277" s="50">
        <v>82</v>
      </c>
      <c r="AD1277" s="271">
        <v>1</v>
      </c>
    </row>
    <row r="1278" spans="1:32" ht="15" customHeight="1">
      <c r="A1278" s="41" t="s">
        <v>183</v>
      </c>
      <c r="B1278" s="402" t="s">
        <v>1910</v>
      </c>
      <c r="C1278" s="113" t="s">
        <v>3679</v>
      </c>
      <c r="D1278" s="393" t="s">
        <v>480</v>
      </c>
      <c r="E1278" s="394" t="s">
        <v>3680</v>
      </c>
      <c r="F1278" s="401"/>
      <c r="G1278" s="405" t="s">
        <v>3681</v>
      </c>
      <c r="H1278" s="113">
        <v>4151</v>
      </c>
      <c r="I1278" s="49" t="s">
        <v>1</v>
      </c>
      <c r="J1278" s="48" t="s">
        <v>1030</v>
      </c>
      <c r="K1278" s="51">
        <v>41030</v>
      </c>
      <c r="L1278" s="173">
        <v>41022</v>
      </c>
      <c r="M1278" s="50">
        <f t="shared" si="53"/>
        <v>8</v>
      </c>
      <c r="N1278" s="50" t="s">
        <v>2</v>
      </c>
      <c r="O1278" s="74">
        <v>18</v>
      </c>
      <c r="P1278" s="50">
        <v>5.67</v>
      </c>
      <c r="Q1278" s="74">
        <v>7.21</v>
      </c>
      <c r="R1278" s="50">
        <v>39</v>
      </c>
      <c r="S1278" s="74">
        <v>320</v>
      </c>
      <c r="T1278" s="50">
        <v>0.32</v>
      </c>
      <c r="U1278" s="131">
        <v>1.02</v>
      </c>
      <c r="V1278" s="50">
        <v>0.08</v>
      </c>
      <c r="W1278" s="74">
        <v>4.2999999999999997E-2</v>
      </c>
      <c r="X1278" s="50">
        <v>0.13200000000000001</v>
      </c>
      <c r="Y1278" s="74">
        <v>0.01</v>
      </c>
      <c r="Z1278" s="271">
        <v>1</v>
      </c>
      <c r="AA1278" s="271">
        <v>1</v>
      </c>
      <c r="AB1278" s="114">
        <v>44</v>
      </c>
      <c r="AC1278" s="50">
        <v>519</v>
      </c>
      <c r="AD1278" s="271">
        <v>1</v>
      </c>
    </row>
    <row r="1279" spans="1:32" ht="15" customHeight="1">
      <c r="A1279" s="41" t="s">
        <v>183</v>
      </c>
      <c r="B1279" s="402" t="s">
        <v>1910</v>
      </c>
      <c r="C1279" s="113" t="s">
        <v>4461</v>
      </c>
      <c r="D1279" s="393" t="s">
        <v>117</v>
      </c>
      <c r="E1279" s="394" t="s">
        <v>4462</v>
      </c>
      <c r="G1279" s="405" t="s">
        <v>4463</v>
      </c>
      <c r="H1279" s="74">
        <v>4151</v>
      </c>
      <c r="I1279" s="50" t="s">
        <v>1</v>
      </c>
      <c r="J1279" s="339" t="s">
        <v>1030</v>
      </c>
      <c r="K1279" s="51">
        <v>41044</v>
      </c>
      <c r="L1279" s="173">
        <v>41039</v>
      </c>
      <c r="M1279" s="50">
        <f t="shared" si="53"/>
        <v>5</v>
      </c>
      <c r="N1279" s="50" t="s">
        <v>2</v>
      </c>
      <c r="O1279" s="74">
        <v>2.4</v>
      </c>
      <c r="P1279" s="50">
        <v>5.65</v>
      </c>
      <c r="Q1279" s="74">
        <v>7.04</v>
      </c>
      <c r="R1279" s="50">
        <v>130</v>
      </c>
      <c r="S1279" s="74">
        <v>110</v>
      </c>
      <c r="T1279" s="50">
        <v>0.31</v>
      </c>
      <c r="U1279" s="131">
        <v>2.12</v>
      </c>
      <c r="V1279" s="50">
        <v>0.43</v>
      </c>
      <c r="W1279" s="74">
        <v>2.7E-2</v>
      </c>
      <c r="X1279" s="50">
        <v>0.113</v>
      </c>
      <c r="Y1279" s="74">
        <v>0.01</v>
      </c>
    </row>
    <row r="1280" spans="1:32" ht="15" customHeight="1">
      <c r="A1280" s="41" t="s">
        <v>183</v>
      </c>
      <c r="B1280" s="402" t="s">
        <v>1910</v>
      </c>
      <c r="C1280" s="113" t="s">
        <v>4461</v>
      </c>
      <c r="D1280" s="393" t="s">
        <v>117</v>
      </c>
      <c r="E1280" s="394" t="s">
        <v>4462</v>
      </c>
      <c r="G1280" s="405" t="s">
        <v>4463</v>
      </c>
      <c r="H1280" s="74">
        <v>4151</v>
      </c>
      <c r="I1280" s="50" t="s">
        <v>1</v>
      </c>
      <c r="J1280" s="339" t="s">
        <v>1031</v>
      </c>
      <c r="K1280" s="51">
        <v>41044</v>
      </c>
      <c r="L1280" s="173">
        <v>41039</v>
      </c>
      <c r="M1280" s="50">
        <f t="shared" si="53"/>
        <v>5</v>
      </c>
      <c r="N1280" s="50" t="s">
        <v>2</v>
      </c>
      <c r="O1280" s="74">
        <v>2.6</v>
      </c>
      <c r="P1280" s="50">
        <v>5.65</v>
      </c>
      <c r="Q1280" s="74">
        <v>6.99</v>
      </c>
      <c r="R1280" s="50">
        <v>74</v>
      </c>
      <c r="S1280" s="74">
        <v>75</v>
      </c>
      <c r="T1280" s="50">
        <v>0.19</v>
      </c>
      <c r="U1280" s="131">
        <v>1.3</v>
      </c>
      <c r="V1280" s="50">
        <v>0.18</v>
      </c>
      <c r="W1280" s="74">
        <v>1.0999999999999999E-2</v>
      </c>
      <c r="X1280" s="50">
        <v>7.5999999999999998E-2</v>
      </c>
      <c r="Y1280" s="74">
        <v>5.0000000000000001E-3</v>
      </c>
    </row>
    <row r="1281" spans="1:36" ht="15" customHeight="1">
      <c r="A1281" s="41" t="s">
        <v>183</v>
      </c>
      <c r="B1281" s="402" t="s">
        <v>956</v>
      </c>
      <c r="C1281" s="113" t="s">
        <v>1842</v>
      </c>
      <c r="D1281" s="393" t="s">
        <v>247</v>
      </c>
      <c r="E1281" s="394" t="s">
        <v>382</v>
      </c>
      <c r="G1281" s="414" t="s">
        <v>1808</v>
      </c>
      <c r="H1281" s="49">
        <v>4151</v>
      </c>
      <c r="I1281" s="50" t="s">
        <v>2</v>
      </c>
      <c r="J1281" s="260" t="s">
        <v>81</v>
      </c>
      <c r="K1281" s="51">
        <v>41030</v>
      </c>
      <c r="L1281" s="173">
        <v>41022</v>
      </c>
      <c r="M1281" s="50">
        <f t="shared" si="53"/>
        <v>8</v>
      </c>
      <c r="N1281" s="50" t="s">
        <v>2</v>
      </c>
      <c r="O1281" s="74">
        <v>4.3</v>
      </c>
      <c r="P1281" s="50">
        <v>6.18</v>
      </c>
      <c r="Q1281" s="74">
        <v>6.51</v>
      </c>
      <c r="R1281" s="50">
        <v>23.7</v>
      </c>
      <c r="S1281" s="74">
        <v>130</v>
      </c>
      <c r="T1281" s="50">
        <v>0.28000000000000003</v>
      </c>
      <c r="U1281" s="131">
        <v>0.59</v>
      </c>
      <c r="V1281" s="50">
        <v>0.46</v>
      </c>
      <c r="W1281" s="74">
        <v>0.01</v>
      </c>
      <c r="X1281" s="50">
        <v>0.06</v>
      </c>
      <c r="Y1281" s="74">
        <v>0.02</v>
      </c>
    </row>
    <row r="1282" spans="1:36" ht="15" customHeight="1">
      <c r="A1282" s="41" t="s">
        <v>183</v>
      </c>
      <c r="B1282" s="402" t="s">
        <v>956</v>
      </c>
      <c r="C1282" s="113" t="s">
        <v>4464</v>
      </c>
      <c r="D1282" s="393" t="s">
        <v>3230</v>
      </c>
      <c r="E1282" s="394" t="s">
        <v>4465</v>
      </c>
      <c r="G1282" s="405" t="s">
        <v>4466</v>
      </c>
      <c r="H1282" s="74">
        <v>4151</v>
      </c>
      <c r="I1282" s="50" t="s">
        <v>2</v>
      </c>
      <c r="J1282" s="339" t="s">
        <v>81</v>
      </c>
      <c r="K1282" s="51">
        <v>40898</v>
      </c>
      <c r="L1282" s="173">
        <v>40885</v>
      </c>
      <c r="M1282" s="50">
        <f t="shared" si="53"/>
        <v>13</v>
      </c>
      <c r="N1282" s="50" t="s">
        <v>2</v>
      </c>
      <c r="O1282" s="74">
        <v>3.1</v>
      </c>
      <c r="P1282" s="50">
        <v>6.5</v>
      </c>
      <c r="Q1282" s="74">
        <v>6.64</v>
      </c>
      <c r="R1282" s="50">
        <v>115.5</v>
      </c>
      <c r="S1282" s="74">
        <v>41</v>
      </c>
      <c r="T1282" s="50">
        <v>0.18</v>
      </c>
      <c r="U1282" s="131">
        <v>1.22</v>
      </c>
      <c r="V1282" s="50">
        <v>0.63</v>
      </c>
      <c r="W1282" s="74">
        <v>0.01</v>
      </c>
      <c r="X1282" s="50">
        <v>0.08</v>
      </c>
      <c r="Y1282" s="74">
        <f>0.02/2</f>
        <v>0.01</v>
      </c>
    </row>
    <row r="1283" spans="1:36" ht="15" customHeight="1">
      <c r="A1283" s="41" t="s">
        <v>183</v>
      </c>
      <c r="B1283" s="402" t="s">
        <v>956</v>
      </c>
      <c r="C1283" s="113" t="s">
        <v>3723</v>
      </c>
      <c r="D1283" s="393" t="s">
        <v>1896</v>
      </c>
      <c r="E1283" s="394" t="s">
        <v>2412</v>
      </c>
      <c r="F1283" s="401"/>
      <c r="G1283" s="405" t="s">
        <v>3724</v>
      </c>
      <c r="H1283" s="113">
        <v>4151</v>
      </c>
      <c r="I1283" s="49" t="s">
        <v>2</v>
      </c>
      <c r="J1283" s="48" t="s">
        <v>3144</v>
      </c>
      <c r="K1283" s="51">
        <v>41030</v>
      </c>
      <c r="L1283" s="173">
        <v>41022</v>
      </c>
      <c r="M1283" s="50">
        <f t="shared" si="53"/>
        <v>8</v>
      </c>
      <c r="N1283" s="50" t="s">
        <v>2</v>
      </c>
      <c r="O1283" s="74">
        <v>4.8</v>
      </c>
      <c r="P1283" s="50">
        <v>6.5</v>
      </c>
      <c r="Q1283" s="74">
        <v>7.2</v>
      </c>
      <c r="R1283" s="50">
        <v>44</v>
      </c>
      <c r="S1283" s="74">
        <v>56</v>
      </c>
      <c r="T1283" s="50">
        <v>0.16</v>
      </c>
      <c r="U1283" s="131">
        <v>1.05</v>
      </c>
      <c r="V1283" s="50">
        <v>0.63</v>
      </c>
      <c r="W1283" s="74">
        <v>2.1999999999999999E-2</v>
      </c>
      <c r="X1283" s="50">
        <v>7.5999999999999998E-2</v>
      </c>
      <c r="Y1283" s="74">
        <f>0.03/2</f>
        <v>1.4999999999999999E-2</v>
      </c>
      <c r="Z1283" s="271">
        <v>1</v>
      </c>
      <c r="AA1283" s="271">
        <v>1</v>
      </c>
      <c r="AB1283" s="114">
        <v>32</v>
      </c>
      <c r="AC1283" s="50">
        <v>130</v>
      </c>
      <c r="AD1283" s="271">
        <v>1</v>
      </c>
    </row>
    <row r="1284" spans="1:36" ht="15" customHeight="1">
      <c r="A1284" s="41" t="s">
        <v>183</v>
      </c>
      <c r="B1284" s="386" t="s">
        <v>956</v>
      </c>
      <c r="C1284" s="149" t="s">
        <v>1008</v>
      </c>
      <c r="D1284" s="392" t="s">
        <v>78</v>
      </c>
      <c r="E1284" s="258" t="s">
        <v>4467</v>
      </c>
      <c r="F1284" s="386"/>
      <c r="G1284" s="389" t="s">
        <v>555</v>
      </c>
      <c r="H1284" s="74">
        <v>4151</v>
      </c>
      <c r="I1284" s="50" t="s">
        <v>2</v>
      </c>
      <c r="J1284" s="339" t="s">
        <v>3144</v>
      </c>
      <c r="K1284" s="51">
        <v>41030</v>
      </c>
      <c r="L1284" s="173">
        <v>41022</v>
      </c>
      <c r="M1284" s="50">
        <f t="shared" si="53"/>
        <v>8</v>
      </c>
      <c r="N1284" s="50" t="s">
        <v>2</v>
      </c>
      <c r="O1284" s="74">
        <f>2/2</f>
        <v>1</v>
      </c>
      <c r="P1284" s="50">
        <v>6.4</v>
      </c>
      <c r="Q1284" s="74">
        <v>6.8</v>
      </c>
      <c r="R1284" s="50">
        <f>10/2</f>
        <v>5</v>
      </c>
      <c r="S1284" s="74">
        <v>257</v>
      </c>
      <c r="T1284" s="50">
        <v>0.13</v>
      </c>
      <c r="U1284" s="131">
        <v>0.83</v>
      </c>
      <c r="V1284" s="50">
        <v>0.28000000000000003</v>
      </c>
      <c r="W1284" s="74">
        <v>1.6E-2</v>
      </c>
      <c r="X1284" s="50">
        <f>0.03/2</f>
        <v>1.4999999999999999E-2</v>
      </c>
      <c r="Y1284" s="74">
        <f>0.03/2</f>
        <v>1.4999999999999999E-2</v>
      </c>
      <c r="Z1284" s="271">
        <v>1</v>
      </c>
      <c r="AA1284" s="271">
        <v>1</v>
      </c>
      <c r="AB1284" s="114">
        <v>11</v>
      </c>
      <c r="AC1284" s="50">
        <v>12</v>
      </c>
      <c r="AD1284" s="271">
        <v>1</v>
      </c>
    </row>
    <row r="1285" spans="1:36" ht="15" customHeight="1">
      <c r="A1285" s="41" t="s">
        <v>183</v>
      </c>
      <c r="B1285" s="402" t="s">
        <v>956</v>
      </c>
      <c r="C1285" s="113" t="s">
        <v>4468</v>
      </c>
      <c r="D1285" s="393" t="s">
        <v>1896</v>
      </c>
      <c r="E1285" s="394" t="s">
        <v>4469</v>
      </c>
      <c r="G1285" s="405" t="s">
        <v>4470</v>
      </c>
      <c r="H1285" s="74">
        <v>4151</v>
      </c>
      <c r="I1285" s="50" t="s">
        <v>2</v>
      </c>
      <c r="J1285" s="339" t="s">
        <v>3144</v>
      </c>
      <c r="K1285" s="51">
        <v>41030</v>
      </c>
      <c r="L1285" s="173">
        <v>41022</v>
      </c>
      <c r="M1285" s="50">
        <f t="shared" si="53"/>
        <v>8</v>
      </c>
      <c r="N1285" s="50" t="s">
        <v>2</v>
      </c>
      <c r="O1285" s="74">
        <f>2/2</f>
        <v>1</v>
      </c>
      <c r="P1285" s="50">
        <v>7.1</v>
      </c>
      <c r="Q1285" s="74">
        <v>6.8</v>
      </c>
      <c r="R1285" s="50">
        <f>10/2</f>
        <v>5</v>
      </c>
      <c r="S1285" s="74">
        <v>8</v>
      </c>
      <c r="T1285" s="50">
        <v>0.06</v>
      </c>
      <c r="U1285" s="131">
        <v>0.48</v>
      </c>
      <c r="V1285" s="50">
        <v>0.18</v>
      </c>
      <c r="W1285" s="74">
        <v>1.6E-2</v>
      </c>
      <c r="X1285" s="50">
        <v>0.08</v>
      </c>
      <c r="Y1285" s="74">
        <f>0.03/2</f>
        <v>1.4999999999999999E-2</v>
      </c>
      <c r="Z1285" s="271">
        <v>1</v>
      </c>
      <c r="AA1285" s="271">
        <v>0.59499999999999997</v>
      </c>
      <c r="AB1285" s="114">
        <v>8</v>
      </c>
      <c r="AC1285" s="50">
        <v>45</v>
      </c>
      <c r="AD1285" s="271">
        <v>0</v>
      </c>
    </row>
    <row r="1286" spans="1:36" ht="15" customHeight="1">
      <c r="A1286" s="41" t="s">
        <v>183</v>
      </c>
      <c r="B1286" s="402" t="s">
        <v>3235</v>
      </c>
      <c r="C1286" s="113" t="s">
        <v>4471</v>
      </c>
      <c r="D1286" s="393" t="s">
        <v>1748</v>
      </c>
      <c r="E1286" s="394" t="s">
        <v>3265</v>
      </c>
      <c r="G1286" s="405" t="s">
        <v>3266</v>
      </c>
      <c r="H1286" s="113">
        <v>3273</v>
      </c>
      <c r="I1286" s="49" t="s">
        <v>2</v>
      </c>
      <c r="J1286" s="48" t="s">
        <v>3144</v>
      </c>
      <c r="K1286" s="51">
        <v>41030</v>
      </c>
      <c r="L1286" s="173">
        <v>41022</v>
      </c>
      <c r="M1286" s="50">
        <f t="shared" si="53"/>
        <v>8</v>
      </c>
      <c r="N1286" s="50" t="s">
        <v>2</v>
      </c>
      <c r="O1286" s="74">
        <f>5/2</f>
        <v>2.5</v>
      </c>
      <c r="P1286" s="50">
        <v>6</v>
      </c>
      <c r="Q1286" s="74">
        <v>6.95</v>
      </c>
      <c r="R1286" s="50">
        <v>120</v>
      </c>
      <c r="S1286" s="74">
        <v>59</v>
      </c>
      <c r="T1286" s="50">
        <v>0.42</v>
      </c>
      <c r="U1286" s="131">
        <v>1.5</v>
      </c>
      <c r="V1286" s="50">
        <v>0.44</v>
      </c>
      <c r="W1286" s="74">
        <v>6.5000000000000002E-2</v>
      </c>
      <c r="X1286" s="50">
        <v>0.25</v>
      </c>
      <c r="Y1286" s="74">
        <f>0.03/2</f>
        <v>1.4999999999999999E-2</v>
      </c>
    </row>
    <row r="1287" spans="1:36" ht="15" customHeight="1">
      <c r="A1287" s="41" t="s">
        <v>183</v>
      </c>
      <c r="B1287" s="402" t="s">
        <v>4472</v>
      </c>
      <c r="C1287" s="113" t="s">
        <v>2000</v>
      </c>
      <c r="D1287" s="393" t="s">
        <v>452</v>
      </c>
      <c r="E1287" s="394" t="s">
        <v>398</v>
      </c>
      <c r="G1287" s="405" t="s">
        <v>4473</v>
      </c>
      <c r="H1287" s="74">
        <v>4952</v>
      </c>
      <c r="I1287" s="50" t="s">
        <v>1</v>
      </c>
      <c r="J1287" s="339" t="s">
        <v>4474</v>
      </c>
      <c r="K1287" s="51">
        <v>41156</v>
      </c>
      <c r="L1287" s="173">
        <v>41149</v>
      </c>
      <c r="M1287" s="50">
        <f t="shared" si="53"/>
        <v>7</v>
      </c>
      <c r="N1287" s="50" t="s">
        <v>2</v>
      </c>
      <c r="O1287" s="74">
        <v>1.3</v>
      </c>
      <c r="Q1287" s="74">
        <v>6.4</v>
      </c>
      <c r="R1287" s="50">
        <v>47</v>
      </c>
      <c r="S1287" s="74">
        <v>12</v>
      </c>
      <c r="T1287" s="50">
        <v>0.09</v>
      </c>
      <c r="U1287" s="131">
        <f>0.05/2</f>
        <v>2.5000000000000001E-2</v>
      </c>
      <c r="V1287" s="50">
        <v>0.34</v>
      </c>
      <c r="W1287" s="74">
        <v>0.02</v>
      </c>
      <c r="X1287" s="50">
        <v>3.4000000000000002E-2</v>
      </c>
      <c r="Y1287" s="74">
        <v>4.0000000000000001E-3</v>
      </c>
      <c r="Z1287" s="271">
        <v>1</v>
      </c>
      <c r="AA1287" s="271">
        <v>1</v>
      </c>
      <c r="AB1287" s="114">
        <v>408</v>
      </c>
      <c r="AC1287" s="50">
        <v>3590</v>
      </c>
      <c r="AD1287" s="271">
        <v>1</v>
      </c>
      <c r="AI1287" s="114">
        <f>1/2</f>
        <v>0.5</v>
      </c>
    </row>
    <row r="1288" spans="1:36" ht="15" customHeight="1">
      <c r="A1288" s="41" t="s">
        <v>183</v>
      </c>
      <c r="B1288" s="402" t="s">
        <v>4472</v>
      </c>
      <c r="C1288" s="113" t="s">
        <v>2000</v>
      </c>
      <c r="D1288" s="393" t="s">
        <v>452</v>
      </c>
      <c r="E1288" s="160" t="s">
        <v>1695</v>
      </c>
      <c r="G1288" s="405" t="s">
        <v>4473</v>
      </c>
      <c r="H1288" s="74">
        <v>4952</v>
      </c>
      <c r="I1288" s="50" t="s">
        <v>1</v>
      </c>
      <c r="J1288" s="339" t="s">
        <v>4475</v>
      </c>
      <c r="K1288" s="51">
        <v>41156</v>
      </c>
      <c r="L1288" s="173">
        <v>41149</v>
      </c>
      <c r="M1288" s="50">
        <f t="shared" si="53"/>
        <v>7</v>
      </c>
      <c r="N1288" s="50" t="s">
        <v>2</v>
      </c>
      <c r="O1288" s="74">
        <v>1.3</v>
      </c>
      <c r="Q1288" s="74">
        <v>7.3</v>
      </c>
      <c r="R1288" s="50">
        <v>62</v>
      </c>
      <c r="S1288" s="74">
        <v>18</v>
      </c>
      <c r="T1288" s="50">
        <v>0.11</v>
      </c>
      <c r="U1288" s="131">
        <f>0.05/2</f>
        <v>2.5000000000000001E-2</v>
      </c>
      <c r="V1288" s="50">
        <v>0.43</v>
      </c>
      <c r="W1288" s="74">
        <v>0.01</v>
      </c>
      <c r="X1288" s="50">
        <v>3.3000000000000002E-2</v>
      </c>
      <c r="Y1288" s="74">
        <v>1.2E-2</v>
      </c>
      <c r="Z1288" s="271">
        <v>1</v>
      </c>
      <c r="AA1288" s="271">
        <v>1</v>
      </c>
      <c r="AB1288" s="114">
        <v>356</v>
      </c>
      <c r="AC1288" s="50">
        <v>2320</v>
      </c>
      <c r="AD1288" s="271">
        <v>1</v>
      </c>
    </row>
    <row r="1289" spans="1:36" ht="15" customHeight="1">
      <c r="A1289" s="41" t="s">
        <v>183</v>
      </c>
      <c r="B1289" s="402" t="s">
        <v>4297</v>
      </c>
      <c r="C1289" s="113" t="s">
        <v>4312</v>
      </c>
      <c r="D1289" s="393" t="s">
        <v>640</v>
      </c>
      <c r="G1289" s="405" t="s">
        <v>4313</v>
      </c>
      <c r="H1289" s="74"/>
      <c r="I1289" s="50" t="s">
        <v>2</v>
      </c>
      <c r="J1289" s="339" t="s">
        <v>510</v>
      </c>
      <c r="K1289" s="51">
        <v>41043</v>
      </c>
      <c r="L1289" s="173">
        <v>41039</v>
      </c>
      <c r="M1289" s="50">
        <f t="shared" si="53"/>
        <v>4</v>
      </c>
      <c r="N1289" s="50" t="s">
        <v>2</v>
      </c>
      <c r="O1289" s="74">
        <v>0.7</v>
      </c>
      <c r="P1289" s="50">
        <v>5.4</v>
      </c>
      <c r="Q1289" s="74">
        <v>7.63</v>
      </c>
      <c r="R1289" s="50">
        <v>53</v>
      </c>
      <c r="S1289" s="74">
        <v>12</v>
      </c>
      <c r="T1289" s="50">
        <v>0.24</v>
      </c>
      <c r="U1289" s="131">
        <v>1.45</v>
      </c>
      <c r="V1289" s="50">
        <v>0.35</v>
      </c>
      <c r="W1289" s="74">
        <v>8.0000000000000002E-3</v>
      </c>
      <c r="X1289" s="50">
        <v>4.5999999999999999E-2</v>
      </c>
      <c r="Y1289" s="74">
        <v>1E-3</v>
      </c>
      <c r="Z1289" s="271">
        <v>1</v>
      </c>
      <c r="AA1289" s="271">
        <v>1</v>
      </c>
      <c r="AB1289" s="114">
        <v>60</v>
      </c>
      <c r="AC1289" s="50">
        <v>190</v>
      </c>
      <c r="AD1289" s="271">
        <v>1</v>
      </c>
    </row>
    <row r="1290" spans="1:36" ht="15" customHeight="1">
      <c r="A1290" s="41" t="s">
        <v>183</v>
      </c>
      <c r="B1290" s="402" t="s">
        <v>4516</v>
      </c>
      <c r="C1290" s="113" t="s">
        <v>2685</v>
      </c>
      <c r="D1290" s="393" t="s">
        <v>836</v>
      </c>
      <c r="E1290" s="394" t="s">
        <v>364</v>
      </c>
      <c r="G1290" s="405" t="s">
        <v>2686</v>
      </c>
      <c r="H1290" s="113">
        <v>9199</v>
      </c>
      <c r="I1290" s="49" t="s">
        <v>2</v>
      </c>
      <c r="J1290" s="48" t="s">
        <v>4533</v>
      </c>
      <c r="K1290" s="51">
        <v>41495</v>
      </c>
      <c r="L1290" s="115">
        <v>41488</v>
      </c>
      <c r="M1290" s="50">
        <f t="shared" si="53"/>
        <v>7</v>
      </c>
      <c r="N1290" s="50" t="s">
        <v>2</v>
      </c>
      <c r="O1290" s="74">
        <f>1.4/2</f>
        <v>0.7</v>
      </c>
      <c r="P1290" s="50">
        <v>6</v>
      </c>
      <c r="Q1290" s="74">
        <v>6.96</v>
      </c>
      <c r="R1290" s="50">
        <v>30</v>
      </c>
      <c r="S1290" s="74">
        <v>12</v>
      </c>
      <c r="T1290" s="50">
        <v>0.12</v>
      </c>
      <c r="U1290" s="131">
        <v>0.55000000000000004</v>
      </c>
      <c r="V1290" s="50">
        <v>0.32</v>
      </c>
      <c r="W1290" s="74">
        <v>7.0000000000000001E-3</v>
      </c>
      <c r="X1290" s="50">
        <v>1.2E-2</v>
      </c>
      <c r="Y1290" s="74">
        <v>3.0000000000000001E-3</v>
      </c>
    </row>
    <row r="1291" spans="1:36" ht="15" customHeight="1">
      <c r="A1291" s="41" t="s">
        <v>183</v>
      </c>
      <c r="B1291" s="402" t="s">
        <v>4536</v>
      </c>
      <c r="C1291" s="113" t="s">
        <v>4536</v>
      </c>
      <c r="D1291" s="393" t="s">
        <v>111</v>
      </c>
      <c r="G1291" s="405" t="s">
        <v>4537</v>
      </c>
      <c r="H1291" s="74"/>
      <c r="I1291" s="50" t="s">
        <v>2</v>
      </c>
      <c r="J1291" s="339" t="s">
        <v>460</v>
      </c>
      <c r="K1291" s="51">
        <v>41240</v>
      </c>
      <c r="L1291" s="173">
        <v>41228</v>
      </c>
      <c r="M1291" s="50">
        <f t="shared" si="53"/>
        <v>12</v>
      </c>
      <c r="N1291" s="50" t="s">
        <v>2</v>
      </c>
      <c r="O1291" s="74">
        <v>1.3</v>
      </c>
      <c r="P1291" s="50">
        <v>6.3</v>
      </c>
      <c r="Q1291" s="74">
        <v>6.6</v>
      </c>
      <c r="R1291" s="50">
        <v>91</v>
      </c>
      <c r="S1291" s="74">
        <v>2</v>
      </c>
      <c r="T1291" s="50">
        <v>0.05</v>
      </c>
      <c r="U1291" s="131">
        <v>0.1</v>
      </c>
      <c r="V1291" s="50">
        <v>2</v>
      </c>
      <c r="W1291" s="74">
        <f>0.002/2</f>
        <v>1E-3</v>
      </c>
      <c r="X1291" s="50">
        <v>0.03</v>
      </c>
      <c r="Y1291" s="74">
        <f>0.005/2</f>
        <v>2.5000000000000001E-3</v>
      </c>
      <c r="Z1291" s="271">
        <v>1</v>
      </c>
      <c r="AA1291" s="271">
        <v>1</v>
      </c>
      <c r="AB1291" s="114">
        <v>128</v>
      </c>
      <c r="AC1291" s="50">
        <v>449</v>
      </c>
      <c r="AD1291" s="271">
        <v>0.85</v>
      </c>
    </row>
    <row r="1292" spans="1:36" ht="15" customHeight="1">
      <c r="A1292" s="41" t="s">
        <v>183</v>
      </c>
      <c r="B1292" s="402" t="s">
        <v>1442</v>
      </c>
      <c r="C1292" s="113" t="s">
        <v>1443</v>
      </c>
      <c r="D1292" s="393" t="s">
        <v>356</v>
      </c>
      <c r="E1292" s="394" t="s">
        <v>1444</v>
      </c>
      <c r="F1292" s="402">
        <v>4007</v>
      </c>
      <c r="G1292" s="405" t="s">
        <v>1445</v>
      </c>
      <c r="H1292" s="74">
        <v>4151</v>
      </c>
      <c r="I1292" s="50" t="s">
        <v>2</v>
      </c>
      <c r="J1292" s="339" t="s">
        <v>4538</v>
      </c>
      <c r="K1292" s="51">
        <v>41324</v>
      </c>
      <c r="L1292" s="173">
        <v>41321</v>
      </c>
      <c r="M1292" s="50">
        <f t="shared" si="53"/>
        <v>3</v>
      </c>
      <c r="N1292" s="50" t="s">
        <v>1</v>
      </c>
      <c r="O1292" s="74">
        <v>9.3000000000000007</v>
      </c>
      <c r="P1292" s="50">
        <v>5.88</v>
      </c>
      <c r="Q1292" s="74">
        <v>6.06</v>
      </c>
      <c r="R1292" s="50">
        <v>580</v>
      </c>
      <c r="S1292" s="74">
        <v>250</v>
      </c>
      <c r="T1292" s="50">
        <v>0.55000000000000004</v>
      </c>
      <c r="U1292" s="131">
        <v>3.57</v>
      </c>
      <c r="V1292" s="50">
        <v>1.4</v>
      </c>
      <c r="W1292" s="74">
        <v>0.05</v>
      </c>
      <c r="X1292" s="50">
        <v>1.28</v>
      </c>
      <c r="Y1292" s="74">
        <v>2.5999999999999999E-2</v>
      </c>
      <c r="Z1292" s="271">
        <v>0.70699999999999996</v>
      </c>
      <c r="AA1292" s="271">
        <v>0.35399999999999998</v>
      </c>
      <c r="AB1292" s="114">
        <v>310</v>
      </c>
      <c r="AC1292" s="50">
        <v>15180</v>
      </c>
      <c r="AD1292" s="271">
        <v>0</v>
      </c>
    </row>
    <row r="1293" spans="1:36" ht="15" customHeight="1">
      <c r="A1293" s="41" t="s">
        <v>183</v>
      </c>
      <c r="B1293" s="402" t="s">
        <v>1442</v>
      </c>
      <c r="C1293" s="113" t="s">
        <v>2000</v>
      </c>
      <c r="D1293" s="393" t="s">
        <v>356</v>
      </c>
      <c r="E1293" s="394" t="s">
        <v>1444</v>
      </c>
      <c r="F1293" s="402">
        <v>4007</v>
      </c>
      <c r="G1293" s="405" t="s">
        <v>1450</v>
      </c>
      <c r="H1293" s="74">
        <v>4952</v>
      </c>
      <c r="I1293" s="50" t="s">
        <v>2</v>
      </c>
      <c r="J1293" s="339" t="s">
        <v>4538</v>
      </c>
      <c r="K1293" s="51">
        <v>41324</v>
      </c>
      <c r="L1293" s="335" t="s">
        <v>1695</v>
      </c>
      <c r="N1293" s="50" t="s">
        <v>1</v>
      </c>
      <c r="O1293" s="74">
        <f>1.4/2</f>
        <v>0.7</v>
      </c>
      <c r="P1293" s="50">
        <v>4.79</v>
      </c>
      <c r="Q1293" s="74">
        <v>4.7300000000000004</v>
      </c>
      <c r="R1293" s="50">
        <v>47</v>
      </c>
      <c r="S1293" s="74">
        <f>5/2</f>
        <v>2.5</v>
      </c>
      <c r="T1293" s="50">
        <v>0.05</v>
      </c>
      <c r="U1293" s="131">
        <v>2.65</v>
      </c>
      <c r="V1293" s="50">
        <v>0.71</v>
      </c>
      <c r="W1293" s="74">
        <f>0.005/2</f>
        <v>2.5000000000000001E-3</v>
      </c>
      <c r="X1293" s="50">
        <v>0.04</v>
      </c>
      <c r="Y1293" s="74">
        <f>0.002/2</f>
        <v>1E-3</v>
      </c>
      <c r="Z1293" s="271">
        <v>0.85199999999999998</v>
      </c>
      <c r="AA1293" s="271">
        <v>0.79400000000000004</v>
      </c>
      <c r="AB1293" s="114">
        <v>4</v>
      </c>
      <c r="AC1293" s="50">
        <v>47</v>
      </c>
      <c r="AD1293" s="271">
        <v>0.25</v>
      </c>
    </row>
    <row r="1294" spans="1:36" ht="15" customHeight="1">
      <c r="A1294" s="41" t="s">
        <v>183</v>
      </c>
      <c r="B1294" s="402" t="s">
        <v>2155</v>
      </c>
      <c r="C1294" s="113" t="s">
        <v>2156</v>
      </c>
      <c r="D1294" s="393" t="s">
        <v>71</v>
      </c>
      <c r="E1294" s="394" t="s">
        <v>2157</v>
      </c>
      <c r="G1294" s="405" t="s">
        <v>3620</v>
      </c>
      <c r="H1294" s="113">
        <v>2821</v>
      </c>
      <c r="I1294" s="49" t="s">
        <v>1</v>
      </c>
      <c r="J1294" s="48" t="s">
        <v>96</v>
      </c>
      <c r="K1294" s="51">
        <v>41156</v>
      </c>
      <c r="L1294" s="173">
        <v>41139</v>
      </c>
      <c r="M1294" s="50">
        <f t="shared" ref="M1294:M1303" si="54">K1294-L1294</f>
        <v>17</v>
      </c>
      <c r="N1294" s="50" t="s">
        <v>2</v>
      </c>
      <c r="O1294" s="74">
        <f t="shared" ref="O1294:O1299" si="55">1/2</f>
        <v>0.5</v>
      </c>
      <c r="P1294" s="50">
        <v>6.33</v>
      </c>
      <c r="Q1294" s="74">
        <v>6.3</v>
      </c>
      <c r="R1294" s="50">
        <v>19</v>
      </c>
      <c r="S1294" s="74">
        <v>10</v>
      </c>
      <c r="T1294" s="50">
        <v>6.0999999999999999E-2</v>
      </c>
      <c r="U1294" s="131">
        <v>2.9</v>
      </c>
      <c r="V1294" s="50">
        <v>1.6</v>
      </c>
      <c r="W1294" s="74">
        <v>2.5999999999999999E-2</v>
      </c>
      <c r="X1294" s="50">
        <v>0.41</v>
      </c>
      <c r="Y1294" s="74">
        <v>6.7000000000000004E-2</v>
      </c>
      <c r="Z1294" s="271">
        <v>0.36599999999999999</v>
      </c>
      <c r="AA1294" s="271">
        <v>0.35399999999999998</v>
      </c>
      <c r="AB1294" s="114">
        <v>18</v>
      </c>
      <c r="AC1294" s="50">
        <v>114</v>
      </c>
      <c r="AD1294" s="271">
        <v>0</v>
      </c>
      <c r="AI1294" s="114">
        <v>20</v>
      </c>
      <c r="AJ1294" s="114" t="s">
        <v>4547</v>
      </c>
    </row>
    <row r="1295" spans="1:36" ht="15" customHeight="1">
      <c r="A1295" s="41" t="s">
        <v>183</v>
      </c>
      <c r="B1295" s="402" t="s">
        <v>2155</v>
      </c>
      <c r="C1295" s="113" t="s">
        <v>2156</v>
      </c>
      <c r="D1295" s="393" t="s">
        <v>71</v>
      </c>
      <c r="E1295" s="394" t="s">
        <v>2157</v>
      </c>
      <c r="G1295" s="405" t="s">
        <v>3620</v>
      </c>
      <c r="H1295" s="113">
        <v>2821</v>
      </c>
      <c r="I1295" s="49" t="s">
        <v>1</v>
      </c>
      <c r="J1295" s="48" t="s">
        <v>254</v>
      </c>
      <c r="K1295" s="51">
        <v>41156</v>
      </c>
      <c r="L1295" s="173">
        <v>41139</v>
      </c>
      <c r="M1295" s="50">
        <f t="shared" si="54"/>
        <v>17</v>
      </c>
      <c r="N1295" s="50" t="s">
        <v>2</v>
      </c>
      <c r="O1295" s="74">
        <f t="shared" si="55"/>
        <v>0.5</v>
      </c>
      <c r="P1295" s="50">
        <v>6.33</v>
      </c>
      <c r="Q1295" s="74">
        <v>6.25</v>
      </c>
      <c r="R1295" s="50">
        <v>25</v>
      </c>
      <c r="S1295" s="74">
        <v>33</v>
      </c>
      <c r="T1295" s="50">
        <v>0.11</v>
      </c>
      <c r="U1295" s="131">
        <f>0.5/2</f>
        <v>0.25</v>
      </c>
      <c r="V1295" s="50">
        <v>0.12</v>
      </c>
      <c r="W1295" s="74">
        <v>3.0000000000000001E-3</v>
      </c>
      <c r="X1295" s="50">
        <v>0.12</v>
      </c>
      <c r="Y1295" s="74">
        <v>5.7999999999999996E-3</v>
      </c>
      <c r="Z1295" s="271">
        <v>1</v>
      </c>
      <c r="AA1295" s="271">
        <v>0.66</v>
      </c>
      <c r="AB1295" s="114">
        <v>2</v>
      </c>
      <c r="AC1295" s="50">
        <v>11</v>
      </c>
      <c r="AD1295" s="271">
        <v>0</v>
      </c>
      <c r="AI1295" s="114">
        <v>1800</v>
      </c>
      <c r="AJ1295" s="114" t="s">
        <v>4547</v>
      </c>
    </row>
    <row r="1296" spans="1:36" ht="15" customHeight="1">
      <c r="A1296" s="41" t="s">
        <v>183</v>
      </c>
      <c r="B1296" s="402" t="s">
        <v>2155</v>
      </c>
      <c r="C1296" s="113" t="s">
        <v>2156</v>
      </c>
      <c r="D1296" s="393" t="s">
        <v>71</v>
      </c>
      <c r="E1296" s="394" t="s">
        <v>2157</v>
      </c>
      <c r="G1296" s="405" t="s">
        <v>3620</v>
      </c>
      <c r="H1296" s="113">
        <v>2821</v>
      </c>
      <c r="I1296" s="49" t="s">
        <v>1</v>
      </c>
      <c r="J1296" s="48" t="s">
        <v>169</v>
      </c>
      <c r="K1296" s="51">
        <v>41156</v>
      </c>
      <c r="L1296" s="173">
        <v>41139</v>
      </c>
      <c r="M1296" s="50">
        <f t="shared" si="54"/>
        <v>17</v>
      </c>
      <c r="N1296" s="50" t="s">
        <v>2</v>
      </c>
      <c r="O1296" s="74">
        <f t="shared" si="55"/>
        <v>0.5</v>
      </c>
      <c r="P1296" s="50">
        <v>6.33</v>
      </c>
      <c r="Q1296" s="74">
        <v>6.1</v>
      </c>
      <c r="R1296" s="50">
        <v>2.8</v>
      </c>
      <c r="S1296" s="74">
        <v>100</v>
      </c>
      <c r="T1296" s="50">
        <v>3.6999999999999998E-2</v>
      </c>
      <c r="U1296" s="131">
        <f>0.5/2</f>
        <v>0.25</v>
      </c>
      <c r="V1296" s="50">
        <v>0.12</v>
      </c>
      <c r="W1296" s="74">
        <f>0.002/2</f>
        <v>1E-3</v>
      </c>
      <c r="X1296" s="50">
        <v>6.0999999999999999E-2</v>
      </c>
      <c r="Y1296" s="74">
        <v>8.9999999999999993E-3</v>
      </c>
      <c r="Z1296" s="271">
        <v>1</v>
      </c>
      <c r="AA1296" s="271">
        <v>1</v>
      </c>
      <c r="AB1296" s="114">
        <v>10</v>
      </c>
      <c r="AC1296" s="50">
        <v>26</v>
      </c>
      <c r="AD1296" s="271">
        <v>1</v>
      </c>
      <c r="AI1296" s="114">
        <v>160</v>
      </c>
      <c r="AJ1296" s="114" t="s">
        <v>4547</v>
      </c>
    </row>
    <row r="1297" spans="1:43" ht="15" customHeight="1">
      <c r="A1297" s="41" t="s">
        <v>183</v>
      </c>
      <c r="B1297" s="402" t="s">
        <v>2155</v>
      </c>
      <c r="C1297" s="113" t="s">
        <v>2156</v>
      </c>
      <c r="D1297" s="393" t="s">
        <v>71</v>
      </c>
      <c r="E1297" s="394" t="s">
        <v>2157</v>
      </c>
      <c r="G1297" s="405" t="s">
        <v>3620</v>
      </c>
      <c r="H1297" s="113">
        <v>2821</v>
      </c>
      <c r="I1297" s="49" t="s">
        <v>1</v>
      </c>
      <c r="J1297" s="48" t="s">
        <v>2159</v>
      </c>
      <c r="K1297" s="51">
        <v>41156</v>
      </c>
      <c r="L1297" s="173">
        <v>41139</v>
      </c>
      <c r="M1297" s="50">
        <f t="shared" si="54"/>
        <v>17</v>
      </c>
      <c r="N1297" s="50" t="s">
        <v>2</v>
      </c>
      <c r="O1297" s="74">
        <f t="shared" si="55"/>
        <v>0.5</v>
      </c>
      <c r="P1297" s="50">
        <v>6.33</v>
      </c>
      <c r="Q1297" s="74">
        <v>6.27</v>
      </c>
      <c r="R1297" s="50">
        <v>23</v>
      </c>
      <c r="S1297" s="74">
        <v>33</v>
      </c>
      <c r="T1297" s="50">
        <v>0.12</v>
      </c>
      <c r="U1297" s="131">
        <v>0.75</v>
      </c>
      <c r="V1297" s="50">
        <v>0.2</v>
      </c>
      <c r="W1297" s="74">
        <v>6.8999999999999999E-3</v>
      </c>
      <c r="X1297" s="50">
        <v>7.0999999999999994E-2</v>
      </c>
      <c r="Y1297" s="74">
        <v>7.1000000000000004E-3</v>
      </c>
      <c r="Z1297" s="271">
        <v>1</v>
      </c>
      <c r="AA1297" s="271">
        <v>1</v>
      </c>
      <c r="AB1297" s="114">
        <v>2</v>
      </c>
      <c r="AC1297" s="50">
        <v>13</v>
      </c>
      <c r="AD1297" s="271">
        <v>0.95</v>
      </c>
      <c r="AI1297" s="114">
        <f>10/2</f>
        <v>5</v>
      </c>
      <c r="AJ1297" s="114" t="s">
        <v>4547</v>
      </c>
    </row>
    <row r="1298" spans="1:43" ht="15" customHeight="1">
      <c r="A1298" s="41" t="s">
        <v>183</v>
      </c>
      <c r="B1298" s="402" t="s">
        <v>2155</v>
      </c>
      <c r="C1298" s="113" t="s">
        <v>2156</v>
      </c>
      <c r="D1298" s="393" t="s">
        <v>71</v>
      </c>
      <c r="E1298" s="394" t="s">
        <v>2157</v>
      </c>
      <c r="G1298" s="405" t="s">
        <v>3620</v>
      </c>
      <c r="H1298" s="74">
        <v>2821</v>
      </c>
      <c r="I1298" s="50" t="s">
        <v>1</v>
      </c>
      <c r="J1298" s="48" t="s">
        <v>2160</v>
      </c>
      <c r="K1298" s="51">
        <v>41156</v>
      </c>
      <c r="L1298" s="173">
        <v>41139</v>
      </c>
      <c r="M1298" s="50">
        <f t="shared" si="54"/>
        <v>17</v>
      </c>
      <c r="N1298" s="50" t="s">
        <v>2</v>
      </c>
      <c r="O1298" s="74">
        <f t="shared" si="55"/>
        <v>0.5</v>
      </c>
      <c r="P1298" s="50">
        <v>6.33</v>
      </c>
      <c r="Q1298" s="74">
        <v>6.33</v>
      </c>
      <c r="R1298" s="50">
        <v>22</v>
      </c>
      <c r="S1298" s="74">
        <v>41</v>
      </c>
      <c r="T1298" s="50">
        <v>4.5999999999999999E-2</v>
      </c>
      <c r="U1298" s="131">
        <f t="shared" ref="U1298:U1303" si="56">0.5/2</f>
        <v>0.25</v>
      </c>
      <c r="V1298" s="50">
        <v>0.13</v>
      </c>
      <c r="W1298" s="74">
        <v>2.8E-3</v>
      </c>
      <c r="X1298" s="50">
        <v>2.9000000000000001E-2</v>
      </c>
      <c r="Y1298" s="74">
        <f>0.005/2</f>
        <v>2.5000000000000001E-3</v>
      </c>
      <c r="Z1298" s="271">
        <v>1</v>
      </c>
      <c r="AA1298" s="271">
        <v>1</v>
      </c>
      <c r="AB1298" s="114">
        <f>2/2</f>
        <v>1</v>
      </c>
      <c r="AC1298" s="50">
        <v>6</v>
      </c>
      <c r="AD1298" s="271">
        <v>1</v>
      </c>
      <c r="AI1298" s="114">
        <v>330</v>
      </c>
      <c r="AJ1298" s="114" t="s">
        <v>4547</v>
      </c>
    </row>
    <row r="1299" spans="1:43" ht="15" customHeight="1">
      <c r="A1299" s="41" t="s">
        <v>183</v>
      </c>
      <c r="B1299" s="402" t="s">
        <v>2155</v>
      </c>
      <c r="C1299" s="113" t="s">
        <v>2156</v>
      </c>
      <c r="D1299" s="393" t="s">
        <v>71</v>
      </c>
      <c r="E1299" s="394" t="s">
        <v>2157</v>
      </c>
      <c r="G1299" s="405" t="s">
        <v>3620</v>
      </c>
      <c r="H1299" s="113">
        <v>2821</v>
      </c>
      <c r="I1299" s="49" t="s">
        <v>1</v>
      </c>
      <c r="J1299" s="48" t="s">
        <v>96</v>
      </c>
      <c r="K1299" s="51">
        <v>41345</v>
      </c>
      <c r="L1299" s="173">
        <v>41342</v>
      </c>
      <c r="M1299" s="50">
        <f t="shared" si="54"/>
        <v>3</v>
      </c>
      <c r="N1299" s="50" t="s">
        <v>2</v>
      </c>
      <c r="O1299" s="74">
        <f t="shared" si="55"/>
        <v>0.5</v>
      </c>
      <c r="P1299" s="50">
        <v>7.05</v>
      </c>
      <c r="Q1299" s="74">
        <v>6.55</v>
      </c>
      <c r="R1299" s="50">
        <v>68</v>
      </c>
      <c r="S1299" s="74">
        <v>16</v>
      </c>
      <c r="T1299" s="50">
        <v>5.0999999999999997E-2</v>
      </c>
      <c r="U1299" s="131">
        <f t="shared" si="56"/>
        <v>0.25</v>
      </c>
      <c r="V1299" s="50">
        <v>0.34</v>
      </c>
      <c r="W1299" s="74">
        <v>5.4000000000000003E-3</v>
      </c>
      <c r="X1299" s="50">
        <v>0.14000000000000001</v>
      </c>
      <c r="Y1299" s="74">
        <f>0.002/2</f>
        <v>1E-3</v>
      </c>
      <c r="Z1299" s="271">
        <v>1</v>
      </c>
      <c r="AA1299" s="271">
        <v>1</v>
      </c>
      <c r="AB1299" s="114">
        <v>2</v>
      </c>
      <c r="AC1299" s="50">
        <v>66</v>
      </c>
      <c r="AD1299" s="271">
        <v>0.55000000000000004</v>
      </c>
    </row>
    <row r="1300" spans="1:43" ht="15" customHeight="1">
      <c r="A1300" s="41" t="s">
        <v>183</v>
      </c>
      <c r="B1300" s="402" t="s">
        <v>2155</v>
      </c>
      <c r="C1300" s="113" t="s">
        <v>2156</v>
      </c>
      <c r="D1300" s="393" t="s">
        <v>71</v>
      </c>
      <c r="E1300" s="394" t="s">
        <v>2157</v>
      </c>
      <c r="G1300" s="405" t="s">
        <v>3620</v>
      </c>
      <c r="H1300" s="113">
        <v>2821</v>
      </c>
      <c r="I1300" s="49" t="s">
        <v>1</v>
      </c>
      <c r="J1300" s="48" t="s">
        <v>254</v>
      </c>
      <c r="K1300" s="51">
        <v>41345</v>
      </c>
      <c r="L1300" s="173">
        <v>41342</v>
      </c>
      <c r="M1300" s="50">
        <f t="shared" si="54"/>
        <v>3</v>
      </c>
      <c r="N1300" s="50" t="s">
        <v>2</v>
      </c>
      <c r="O1300" s="74">
        <f>2/2</f>
        <v>1</v>
      </c>
      <c r="P1300" s="50">
        <v>7.05</v>
      </c>
      <c r="Q1300" s="74">
        <v>6.37</v>
      </c>
      <c r="R1300" s="50">
        <v>29</v>
      </c>
      <c r="S1300" s="74">
        <v>30</v>
      </c>
      <c r="T1300" s="50">
        <v>9.4E-2</v>
      </c>
      <c r="U1300" s="131">
        <f t="shared" si="56"/>
        <v>0.25</v>
      </c>
      <c r="V1300" s="50">
        <v>0.22</v>
      </c>
      <c r="W1300" s="74">
        <v>6.3E-3</v>
      </c>
      <c r="X1300" s="50">
        <v>0.13</v>
      </c>
      <c r="Y1300" s="74">
        <v>2.8999999999999998E-3</v>
      </c>
      <c r="Z1300" s="271">
        <v>1</v>
      </c>
      <c r="AA1300" s="271">
        <v>1</v>
      </c>
      <c r="AB1300" s="114">
        <v>8</v>
      </c>
      <c r="AC1300" s="50">
        <v>67</v>
      </c>
      <c r="AD1300" s="271">
        <v>0.7</v>
      </c>
    </row>
    <row r="1301" spans="1:43" ht="15" customHeight="1">
      <c r="A1301" s="41" t="s">
        <v>183</v>
      </c>
      <c r="B1301" s="402" t="s">
        <v>2155</v>
      </c>
      <c r="C1301" s="113" t="s">
        <v>2156</v>
      </c>
      <c r="D1301" s="393" t="s">
        <v>71</v>
      </c>
      <c r="E1301" s="394" t="s">
        <v>2157</v>
      </c>
      <c r="G1301" s="405" t="s">
        <v>3620</v>
      </c>
      <c r="H1301" s="113">
        <v>2821</v>
      </c>
      <c r="I1301" s="49" t="s">
        <v>1</v>
      </c>
      <c r="J1301" s="48" t="s">
        <v>169</v>
      </c>
      <c r="K1301" s="51">
        <v>41345</v>
      </c>
      <c r="L1301" s="173">
        <v>41342</v>
      </c>
      <c r="M1301" s="50">
        <f t="shared" si="54"/>
        <v>3</v>
      </c>
      <c r="N1301" s="50" t="s">
        <v>2</v>
      </c>
      <c r="O1301" s="74">
        <f>1/2</f>
        <v>0.5</v>
      </c>
      <c r="P1301" s="50">
        <v>7.05</v>
      </c>
      <c r="Q1301" s="74">
        <v>6.75</v>
      </c>
      <c r="R1301" s="50">
        <v>29</v>
      </c>
      <c r="S1301" s="74">
        <v>37</v>
      </c>
      <c r="T1301" s="50">
        <v>5.2999999999999999E-2</v>
      </c>
      <c r="U1301" s="131">
        <f t="shared" si="56"/>
        <v>0.25</v>
      </c>
      <c r="V1301" s="50">
        <v>0.18</v>
      </c>
      <c r="W1301" s="74">
        <v>6.1999999999999998E-3</v>
      </c>
      <c r="X1301" s="50">
        <v>0.18</v>
      </c>
      <c r="Y1301" s="74">
        <v>6.1999999999999998E-3</v>
      </c>
      <c r="Z1301" s="271">
        <v>1</v>
      </c>
      <c r="AA1301" s="271">
        <v>1</v>
      </c>
      <c r="AB1301" s="114">
        <v>14</v>
      </c>
      <c r="AC1301" s="50">
        <v>85</v>
      </c>
      <c r="AD1301" s="271">
        <v>1</v>
      </c>
    </row>
    <row r="1302" spans="1:43" ht="15" customHeight="1">
      <c r="A1302" s="41" t="s">
        <v>183</v>
      </c>
      <c r="B1302" s="402" t="s">
        <v>2155</v>
      </c>
      <c r="C1302" s="113" t="s">
        <v>2156</v>
      </c>
      <c r="D1302" s="393" t="s">
        <v>71</v>
      </c>
      <c r="E1302" s="394" t="s">
        <v>2157</v>
      </c>
      <c r="G1302" s="405" t="s">
        <v>3620</v>
      </c>
      <c r="H1302" s="113">
        <v>2821</v>
      </c>
      <c r="I1302" s="49" t="s">
        <v>1</v>
      </c>
      <c r="J1302" s="48" t="s">
        <v>2159</v>
      </c>
      <c r="K1302" s="51">
        <v>41345</v>
      </c>
      <c r="L1302" s="173">
        <v>41342</v>
      </c>
      <c r="M1302" s="50">
        <f t="shared" si="54"/>
        <v>3</v>
      </c>
      <c r="N1302" s="50" t="s">
        <v>2</v>
      </c>
      <c r="O1302" s="74">
        <f>1/2</f>
        <v>0.5</v>
      </c>
      <c r="P1302" s="50">
        <v>7.05</v>
      </c>
      <c r="Q1302" s="74">
        <v>6.43</v>
      </c>
      <c r="R1302" s="50">
        <v>41</v>
      </c>
      <c r="S1302" s="74">
        <v>150</v>
      </c>
      <c r="T1302" s="50">
        <v>0.14000000000000001</v>
      </c>
      <c r="U1302" s="131">
        <f t="shared" si="56"/>
        <v>0.25</v>
      </c>
      <c r="V1302" s="50">
        <v>0.3</v>
      </c>
      <c r="W1302" s="74">
        <v>9.9000000000000008E-3</v>
      </c>
      <c r="X1302" s="50">
        <v>7.6999999999999999E-2</v>
      </c>
      <c r="Y1302" s="74">
        <v>3.3999999999999998E-3</v>
      </c>
      <c r="Z1302" s="271">
        <v>1</v>
      </c>
      <c r="AA1302" s="271">
        <v>1</v>
      </c>
      <c r="AB1302" s="114">
        <v>6</v>
      </c>
      <c r="AC1302" s="50">
        <v>70</v>
      </c>
      <c r="AD1302" s="271">
        <v>1</v>
      </c>
    </row>
    <row r="1303" spans="1:43" ht="15" customHeight="1">
      <c r="A1303" s="41" t="s">
        <v>183</v>
      </c>
      <c r="B1303" s="402" t="s">
        <v>2155</v>
      </c>
      <c r="C1303" s="113" t="s">
        <v>2156</v>
      </c>
      <c r="D1303" s="393" t="s">
        <v>71</v>
      </c>
      <c r="E1303" s="394" t="s">
        <v>2157</v>
      </c>
      <c r="G1303" s="405" t="s">
        <v>3620</v>
      </c>
      <c r="H1303" s="74">
        <v>2821</v>
      </c>
      <c r="I1303" s="50" t="s">
        <v>1</v>
      </c>
      <c r="J1303" s="48" t="s">
        <v>2160</v>
      </c>
      <c r="K1303" s="51">
        <v>41345</v>
      </c>
      <c r="L1303" s="173">
        <v>41342</v>
      </c>
      <c r="M1303" s="50">
        <f t="shared" si="54"/>
        <v>3</v>
      </c>
      <c r="N1303" s="50" t="s">
        <v>2</v>
      </c>
      <c r="O1303" s="74">
        <v>7.4</v>
      </c>
      <c r="P1303" s="50">
        <v>7.05</v>
      </c>
      <c r="Q1303" s="74">
        <v>7.09</v>
      </c>
      <c r="R1303" s="50">
        <v>130</v>
      </c>
      <c r="S1303" s="74">
        <v>210</v>
      </c>
      <c r="T1303" s="50">
        <v>0.22</v>
      </c>
      <c r="U1303" s="131">
        <f t="shared" si="56"/>
        <v>0.25</v>
      </c>
      <c r="V1303" s="50">
        <v>0.25</v>
      </c>
      <c r="W1303" s="74">
        <v>2.1999999999999999E-2</v>
      </c>
      <c r="X1303" s="50">
        <v>0.19</v>
      </c>
      <c r="Y1303" s="74">
        <v>0.02</v>
      </c>
      <c r="Z1303" s="271">
        <v>1</v>
      </c>
      <c r="AA1303" s="271">
        <v>1</v>
      </c>
      <c r="AB1303" s="114">
        <v>6</v>
      </c>
      <c r="AC1303" s="50">
        <v>75</v>
      </c>
      <c r="AD1303" s="271">
        <v>1</v>
      </c>
    </row>
    <row r="1304" spans="1:43" ht="15" customHeight="1">
      <c r="A1304" s="41" t="s">
        <v>183</v>
      </c>
      <c r="B1304" s="402" t="s">
        <v>4548</v>
      </c>
      <c r="C1304" s="113" t="s">
        <v>1037</v>
      </c>
      <c r="D1304" s="393" t="s">
        <v>4549</v>
      </c>
      <c r="E1304" s="394" t="s">
        <v>1859</v>
      </c>
      <c r="G1304" s="405" t="s">
        <v>4550</v>
      </c>
      <c r="H1304" s="74">
        <v>4952</v>
      </c>
      <c r="I1304" s="50" t="s">
        <v>2</v>
      </c>
      <c r="J1304" s="339" t="s">
        <v>4551</v>
      </c>
      <c r="K1304" s="51">
        <v>41030</v>
      </c>
      <c r="L1304" s="173">
        <v>41021</v>
      </c>
      <c r="M1304" s="50">
        <f t="shared" ref="M1304:M1309" si="57">K1304-L1304</f>
        <v>9</v>
      </c>
      <c r="N1304" s="50" t="s">
        <v>2</v>
      </c>
      <c r="O1304" s="74">
        <f>1.4/2</f>
        <v>0.7</v>
      </c>
      <c r="P1304" s="50">
        <v>6.38</v>
      </c>
      <c r="Q1304" s="74">
        <v>6.53</v>
      </c>
      <c r="R1304" s="50">
        <f>10/2</f>
        <v>5</v>
      </c>
      <c r="S1304" s="74">
        <v>8</v>
      </c>
      <c r="T1304" s="50">
        <v>0.1</v>
      </c>
      <c r="U1304" s="131">
        <v>0.55000000000000004</v>
      </c>
      <c r="V1304" s="50">
        <v>0.13</v>
      </c>
      <c r="W1304" s="74">
        <v>5.0000000000000001E-3</v>
      </c>
      <c r="X1304" s="50">
        <v>6.0000000000000001E-3</v>
      </c>
      <c r="Y1304" s="74">
        <v>2E-3</v>
      </c>
      <c r="Z1304" s="271">
        <v>1</v>
      </c>
      <c r="AA1304" s="271">
        <v>1</v>
      </c>
      <c r="AB1304" s="114">
        <f>2/2</f>
        <v>1</v>
      </c>
      <c r="AC1304" s="50">
        <v>8</v>
      </c>
      <c r="AD1304" s="271">
        <v>1</v>
      </c>
    </row>
    <row r="1305" spans="1:43" ht="15" customHeight="1">
      <c r="A1305" s="41" t="s">
        <v>183</v>
      </c>
      <c r="B1305" s="402" t="s">
        <v>4548</v>
      </c>
      <c r="C1305" s="113" t="s">
        <v>1037</v>
      </c>
      <c r="D1305" s="393" t="s">
        <v>4549</v>
      </c>
      <c r="E1305" s="394" t="s">
        <v>1859</v>
      </c>
      <c r="G1305" s="405" t="s">
        <v>4550</v>
      </c>
      <c r="H1305" s="74">
        <v>4952</v>
      </c>
      <c r="I1305" s="77" t="s">
        <v>1695</v>
      </c>
      <c r="J1305" s="339" t="s">
        <v>4552</v>
      </c>
      <c r="K1305" s="51">
        <v>41030</v>
      </c>
      <c r="L1305" s="173">
        <v>41021</v>
      </c>
      <c r="M1305" s="50">
        <f t="shared" si="57"/>
        <v>9</v>
      </c>
      <c r="N1305" s="50" t="s">
        <v>2</v>
      </c>
      <c r="O1305" s="74">
        <f>1.4/2</f>
        <v>0.7</v>
      </c>
      <c r="P1305" s="50">
        <v>6.38</v>
      </c>
      <c r="Q1305" s="74">
        <v>6.45</v>
      </c>
      <c r="R1305" s="50">
        <f>10/2</f>
        <v>5</v>
      </c>
      <c r="S1305" s="74">
        <f>5/2</f>
        <v>2.5</v>
      </c>
      <c r="T1305" s="50">
        <v>0.06</v>
      </c>
      <c r="U1305" s="131">
        <v>0.41</v>
      </c>
      <c r="V1305" s="50">
        <v>0.13</v>
      </c>
      <c r="W1305" s="74">
        <f>0.005/2</f>
        <v>2.5000000000000001E-3</v>
      </c>
      <c r="X1305" s="50">
        <v>6.0000000000000001E-3</v>
      </c>
      <c r="Y1305" s="74">
        <f>0.002/2</f>
        <v>1E-3</v>
      </c>
      <c r="Z1305" s="271">
        <v>1</v>
      </c>
      <c r="AA1305" s="271">
        <v>1</v>
      </c>
      <c r="AB1305" s="114">
        <f>2/2</f>
        <v>1</v>
      </c>
      <c r="AC1305" s="50">
        <v>4</v>
      </c>
      <c r="AD1305" s="271">
        <v>1</v>
      </c>
    </row>
    <row r="1306" spans="1:43" ht="15" customHeight="1">
      <c r="A1306" s="41" t="s">
        <v>183</v>
      </c>
      <c r="B1306" s="402" t="s">
        <v>2185</v>
      </c>
      <c r="D1306" s="393" t="s">
        <v>262</v>
      </c>
      <c r="E1306" s="394" t="s">
        <v>2186</v>
      </c>
      <c r="G1306" s="405" t="s">
        <v>2187</v>
      </c>
      <c r="H1306" s="113">
        <v>4226</v>
      </c>
      <c r="I1306" s="49" t="s">
        <v>1</v>
      </c>
      <c r="J1306" s="48" t="s">
        <v>2188</v>
      </c>
      <c r="K1306" s="51">
        <v>41192</v>
      </c>
      <c r="L1306" s="173">
        <v>41189</v>
      </c>
      <c r="M1306" s="50">
        <f t="shared" si="57"/>
        <v>3</v>
      </c>
      <c r="N1306" s="50" t="s">
        <v>2</v>
      </c>
      <c r="O1306" s="74">
        <f>1/2</f>
        <v>0.5</v>
      </c>
      <c r="P1306" s="50">
        <v>6.8</v>
      </c>
      <c r="Q1306" s="74">
        <v>7.5</v>
      </c>
      <c r="R1306" s="50">
        <v>8</v>
      </c>
      <c r="S1306" s="74">
        <v>1.1000000000000001</v>
      </c>
      <c r="T1306" s="50">
        <f>0.01/2</f>
        <v>5.0000000000000001E-3</v>
      </c>
      <c r="U1306" s="131">
        <v>0.66</v>
      </c>
      <c r="V1306" s="50">
        <f>0.5/2</f>
        <v>0.25</v>
      </c>
      <c r="W1306" s="74">
        <f>0.005/2</f>
        <v>2.5000000000000001E-3</v>
      </c>
      <c r="X1306" s="50">
        <v>8.0000000000000002E-3</v>
      </c>
      <c r="Y1306" s="74">
        <v>8.0000000000000002E-3</v>
      </c>
      <c r="Z1306" s="271">
        <v>1</v>
      </c>
      <c r="AA1306" s="271">
        <v>1</v>
      </c>
      <c r="AB1306" s="114">
        <v>28</v>
      </c>
      <c r="AC1306" s="50">
        <v>57</v>
      </c>
      <c r="AD1306" s="271">
        <v>0.85</v>
      </c>
      <c r="AI1306" s="114">
        <v>208</v>
      </c>
      <c r="AJ1306" s="114">
        <v>1046</v>
      </c>
      <c r="AQ1306" s="114">
        <v>0.02</v>
      </c>
    </row>
    <row r="1307" spans="1:43" ht="15" customHeight="1">
      <c r="A1307" s="41" t="s">
        <v>183</v>
      </c>
      <c r="B1307" s="402" t="s">
        <v>2185</v>
      </c>
      <c r="D1307" s="393" t="s">
        <v>262</v>
      </c>
      <c r="E1307" s="394" t="s">
        <v>2186</v>
      </c>
      <c r="G1307" s="405" t="s">
        <v>2187</v>
      </c>
      <c r="H1307" s="113">
        <v>4226</v>
      </c>
      <c r="I1307" s="49" t="s">
        <v>1</v>
      </c>
      <c r="J1307" s="48" t="s">
        <v>2188</v>
      </c>
      <c r="K1307" s="51">
        <v>41148</v>
      </c>
      <c r="L1307" s="173">
        <v>41139</v>
      </c>
      <c r="M1307" s="50">
        <f t="shared" si="57"/>
        <v>9</v>
      </c>
      <c r="N1307" s="50" t="s">
        <v>2</v>
      </c>
      <c r="O1307" s="74">
        <f>1/2</f>
        <v>0.5</v>
      </c>
      <c r="P1307" s="50">
        <v>6.5</v>
      </c>
      <c r="Q1307" s="74">
        <v>6.4</v>
      </c>
      <c r="R1307" s="50">
        <v>93</v>
      </c>
      <c r="S1307" s="74">
        <v>15.3</v>
      </c>
      <c r="T1307" s="50">
        <v>0.15</v>
      </c>
      <c r="U1307" s="131">
        <v>2.69</v>
      </c>
      <c r="V1307" s="50">
        <v>2.6</v>
      </c>
      <c r="W1307" s="74">
        <v>0.03</v>
      </c>
      <c r="X1307" s="50">
        <v>0.35</v>
      </c>
      <c r="Y1307" s="74">
        <v>1.4999999999999999E-2</v>
      </c>
      <c r="Z1307" s="271">
        <v>1</v>
      </c>
      <c r="AA1307" s="271">
        <v>1</v>
      </c>
      <c r="AB1307" s="114">
        <v>32</v>
      </c>
      <c r="AC1307" s="50">
        <v>83</v>
      </c>
      <c r="AD1307" s="271">
        <v>0.65</v>
      </c>
      <c r="AI1307" s="160" t="s">
        <v>4553</v>
      </c>
      <c r="AJ1307" s="114">
        <v>3245</v>
      </c>
      <c r="AQ1307" s="114">
        <f>0.053+0.084+0.21+0.063+0.11+0.084+0.13</f>
        <v>0.73399999999999999</v>
      </c>
    </row>
    <row r="1308" spans="1:43" ht="15" customHeight="1">
      <c r="A1308" s="41" t="s">
        <v>183</v>
      </c>
      <c r="B1308" s="402" t="s">
        <v>2185</v>
      </c>
      <c r="D1308" s="393" t="s">
        <v>262</v>
      </c>
      <c r="E1308" s="394" t="s">
        <v>2186</v>
      </c>
      <c r="G1308" s="405" t="s">
        <v>2187</v>
      </c>
      <c r="H1308" s="113">
        <v>4226</v>
      </c>
      <c r="I1308" s="49" t="s">
        <v>1</v>
      </c>
      <c r="J1308" s="48" t="s">
        <v>2188</v>
      </c>
      <c r="K1308" s="51">
        <v>41499</v>
      </c>
      <c r="L1308" s="173">
        <v>41495</v>
      </c>
      <c r="M1308" s="50">
        <f t="shared" si="57"/>
        <v>4</v>
      </c>
      <c r="N1308" s="50" t="s">
        <v>2</v>
      </c>
      <c r="O1308" s="74">
        <v>1.2</v>
      </c>
      <c r="P1308" s="50">
        <v>7.3</v>
      </c>
      <c r="Q1308" s="74">
        <v>7.4</v>
      </c>
      <c r="R1308" s="50">
        <v>89</v>
      </c>
      <c r="S1308" s="74">
        <v>97.3</v>
      </c>
      <c r="T1308" s="50">
        <v>0.1</v>
      </c>
      <c r="U1308" s="131">
        <v>1.1399999999999999</v>
      </c>
      <c r="V1308" s="50">
        <v>0.65</v>
      </c>
      <c r="W1308" s="74">
        <v>0.02</v>
      </c>
      <c r="X1308" s="50">
        <v>0.25</v>
      </c>
      <c r="Y1308" s="74">
        <v>2.4E-2</v>
      </c>
      <c r="Z1308" s="271">
        <v>1</v>
      </c>
      <c r="AA1308" s="271">
        <v>1</v>
      </c>
      <c r="AB1308" s="114">
        <v>14</v>
      </c>
      <c r="AC1308" s="50">
        <v>39</v>
      </c>
      <c r="AD1308" s="271">
        <v>1</v>
      </c>
      <c r="AI1308" s="114">
        <v>205</v>
      </c>
      <c r="AJ1308" s="114">
        <v>648</v>
      </c>
      <c r="AQ1308" s="114">
        <f>12+9.7</f>
        <v>21.7</v>
      </c>
    </row>
    <row r="1309" spans="1:43" ht="15" customHeight="1">
      <c r="A1309" s="41" t="s">
        <v>183</v>
      </c>
      <c r="B1309" s="402" t="s">
        <v>4554</v>
      </c>
      <c r="D1309" s="393" t="s">
        <v>4742</v>
      </c>
      <c r="E1309" s="394" t="s">
        <v>4555</v>
      </c>
      <c r="G1309" s="405" t="s">
        <v>4556</v>
      </c>
      <c r="H1309" s="74">
        <v>5983</v>
      </c>
      <c r="I1309" s="50" t="s">
        <v>2</v>
      </c>
      <c r="J1309" s="339" t="s">
        <v>81</v>
      </c>
      <c r="K1309" s="51">
        <v>41170</v>
      </c>
      <c r="L1309" s="173">
        <v>41160</v>
      </c>
      <c r="M1309" s="50">
        <f t="shared" si="57"/>
        <v>10</v>
      </c>
      <c r="N1309" s="50" t="s">
        <v>2</v>
      </c>
      <c r="O1309" s="74">
        <f>2/2</f>
        <v>1</v>
      </c>
      <c r="P1309" s="50">
        <v>5</v>
      </c>
      <c r="Q1309" s="74">
        <v>6.3</v>
      </c>
      <c r="R1309" s="50">
        <v>25</v>
      </c>
      <c r="S1309" s="74">
        <v>8</v>
      </c>
      <c r="T1309" s="50">
        <v>0.06</v>
      </c>
      <c r="U1309" s="131">
        <v>1.49</v>
      </c>
      <c r="V1309" s="50">
        <v>0.5</v>
      </c>
      <c r="W1309" s="74">
        <v>1.4E-2</v>
      </c>
      <c r="X1309" s="50">
        <v>3.3000000000000002E-2</v>
      </c>
      <c r="Y1309" s="74">
        <f>0.03/2</f>
        <v>1.4999999999999999E-2</v>
      </c>
      <c r="Z1309" s="271">
        <v>1</v>
      </c>
      <c r="AA1309" s="271">
        <v>1</v>
      </c>
      <c r="AB1309" s="114">
        <v>8</v>
      </c>
      <c r="AC1309" s="50">
        <v>43</v>
      </c>
      <c r="AD1309" s="271">
        <v>1</v>
      </c>
    </row>
    <row r="1310" spans="1:43" ht="15" customHeight="1">
      <c r="A1310" s="41" t="s">
        <v>183</v>
      </c>
      <c r="B1310" s="402" t="s">
        <v>4241</v>
      </c>
      <c r="D1310" s="393" t="s">
        <v>434</v>
      </c>
      <c r="E1310" s="394" t="s">
        <v>304</v>
      </c>
      <c r="G1310" s="405" t="s">
        <v>4240</v>
      </c>
      <c r="H1310" s="74">
        <v>8744</v>
      </c>
      <c r="I1310" s="50" t="s">
        <v>1</v>
      </c>
      <c r="J1310" s="339" t="s">
        <v>4557</v>
      </c>
      <c r="K1310" s="51">
        <v>41422</v>
      </c>
      <c r="L1310" s="173"/>
      <c r="N1310" s="50" t="s">
        <v>2</v>
      </c>
      <c r="O1310" s="74">
        <f>5/2</f>
        <v>2.5</v>
      </c>
      <c r="P1310" s="50">
        <v>6.38</v>
      </c>
      <c r="Q1310" s="74">
        <v>5.95</v>
      </c>
      <c r="R1310" s="50">
        <f>5/2</f>
        <v>2.5</v>
      </c>
      <c r="S1310" s="74">
        <f>5/2</f>
        <v>2.5</v>
      </c>
      <c r="T1310" s="50">
        <f>0.1/2</f>
        <v>0.05</v>
      </c>
      <c r="U1310" s="131">
        <f>1/2</f>
        <v>0.5</v>
      </c>
      <c r="V1310" s="50">
        <v>0.14000000000000001</v>
      </c>
      <c r="W1310" s="74">
        <f>0.04/2</f>
        <v>0.02</v>
      </c>
      <c r="X1310" s="50">
        <f>0.02/2</f>
        <v>0.01</v>
      </c>
      <c r="Y1310" s="74">
        <f>0.013/2</f>
        <v>6.4999999999999997E-3</v>
      </c>
      <c r="Z1310" s="271">
        <v>1</v>
      </c>
      <c r="AA1310" s="271">
        <v>1</v>
      </c>
      <c r="AB1310" s="114">
        <v>1.2</v>
      </c>
      <c r="AC1310" s="50">
        <v>35</v>
      </c>
      <c r="AD1310" s="271">
        <v>1</v>
      </c>
    </row>
    <row r="1311" spans="1:43" ht="15" customHeight="1">
      <c r="A1311" s="41" t="s">
        <v>183</v>
      </c>
      <c r="B1311" s="402" t="s">
        <v>4241</v>
      </c>
      <c r="D1311" s="393" t="s">
        <v>434</v>
      </c>
      <c r="E1311" s="394" t="s">
        <v>304</v>
      </c>
      <c r="G1311" s="405" t="s">
        <v>4240</v>
      </c>
      <c r="H1311" s="74">
        <v>8744</v>
      </c>
      <c r="I1311" s="50" t="s">
        <v>1</v>
      </c>
      <c r="J1311" s="339" t="s">
        <v>4558</v>
      </c>
      <c r="K1311" s="51">
        <v>41422</v>
      </c>
      <c r="L1311" s="173"/>
      <c r="N1311" s="50" t="s">
        <v>2</v>
      </c>
      <c r="O1311" s="74">
        <f>5/2</f>
        <v>2.5</v>
      </c>
      <c r="P1311" s="50">
        <v>6.38</v>
      </c>
      <c r="Q1311" s="74">
        <v>6.73</v>
      </c>
      <c r="R1311" s="50">
        <f>5/2</f>
        <v>2.5</v>
      </c>
      <c r="S1311" s="74">
        <f>5/2</f>
        <v>2.5</v>
      </c>
      <c r="T1311" s="50">
        <f>0.1/2</f>
        <v>0.05</v>
      </c>
      <c r="U1311" s="131">
        <f>1/2</f>
        <v>0.5</v>
      </c>
      <c r="V1311" s="50">
        <v>0.14000000000000001</v>
      </c>
      <c r="W1311" s="74">
        <f>0.04/2</f>
        <v>0.02</v>
      </c>
      <c r="X1311" s="50">
        <f>0.02/2</f>
        <v>0.01</v>
      </c>
      <c r="Y1311" s="74">
        <f>0.013/2</f>
        <v>6.4999999999999997E-3</v>
      </c>
      <c r="Z1311" s="271">
        <v>1</v>
      </c>
      <c r="AA1311" s="271">
        <v>1</v>
      </c>
      <c r="AB1311" s="114">
        <v>270</v>
      </c>
      <c r="AC1311" s="50">
        <v>1890</v>
      </c>
      <c r="AD1311" s="271">
        <v>1</v>
      </c>
    </row>
    <row r="1312" spans="1:43" ht="15" customHeight="1">
      <c r="A1312" s="41" t="s">
        <v>183</v>
      </c>
      <c r="B1312" s="402" t="s">
        <v>4241</v>
      </c>
      <c r="D1312" s="393" t="s">
        <v>434</v>
      </c>
      <c r="E1312" s="394" t="s">
        <v>304</v>
      </c>
      <c r="G1312" s="405" t="s">
        <v>4240</v>
      </c>
      <c r="H1312" s="74">
        <v>8744</v>
      </c>
      <c r="I1312" s="50" t="s">
        <v>1</v>
      </c>
      <c r="J1312" s="339" t="s">
        <v>4559</v>
      </c>
      <c r="K1312" s="51">
        <v>41422</v>
      </c>
      <c r="L1312" s="173"/>
      <c r="N1312" s="50" t="s">
        <v>2</v>
      </c>
      <c r="O1312" s="74">
        <f>5/2</f>
        <v>2.5</v>
      </c>
      <c r="P1312" s="50">
        <v>6.38</v>
      </c>
      <c r="Q1312" s="74">
        <v>6.28</v>
      </c>
      <c r="R1312" s="50">
        <v>100</v>
      </c>
      <c r="S1312" s="74">
        <v>11</v>
      </c>
      <c r="T1312" s="50">
        <v>0.15</v>
      </c>
      <c r="U1312" s="131">
        <f>1/2</f>
        <v>0.5</v>
      </c>
      <c r="V1312" s="50">
        <v>0.21</v>
      </c>
      <c r="W1312" s="74">
        <f>0.04/2</f>
        <v>0.02</v>
      </c>
      <c r="X1312" s="50">
        <v>0.27</v>
      </c>
      <c r="Y1312" s="74">
        <v>0.02</v>
      </c>
      <c r="Z1312" s="271">
        <v>1</v>
      </c>
      <c r="AA1312" s="271">
        <v>1</v>
      </c>
      <c r="AB1312" s="114">
        <v>17</v>
      </c>
      <c r="AC1312" s="50">
        <v>68</v>
      </c>
      <c r="AD1312" s="271">
        <v>1</v>
      </c>
    </row>
    <row r="1313" spans="1:30" ht="15" customHeight="1">
      <c r="A1313" s="41" t="s">
        <v>183</v>
      </c>
      <c r="B1313" s="402" t="s">
        <v>4241</v>
      </c>
      <c r="D1313" s="393" t="s">
        <v>434</v>
      </c>
      <c r="E1313" s="394" t="s">
        <v>304</v>
      </c>
      <c r="G1313" s="405" t="s">
        <v>4240</v>
      </c>
      <c r="H1313" s="74">
        <v>8744</v>
      </c>
      <c r="I1313" s="50" t="s">
        <v>1</v>
      </c>
      <c r="J1313" s="339" t="s">
        <v>4560</v>
      </c>
      <c r="K1313" s="51">
        <v>41422</v>
      </c>
      <c r="L1313" s="173"/>
      <c r="N1313" s="50" t="s">
        <v>2</v>
      </c>
      <c r="O1313" s="74">
        <f>5/2</f>
        <v>2.5</v>
      </c>
      <c r="P1313" s="50">
        <v>6.38</v>
      </c>
      <c r="Q1313" s="74">
        <v>6.39</v>
      </c>
      <c r="R1313" s="50">
        <f>5/2</f>
        <v>2.5</v>
      </c>
      <c r="S1313" s="74">
        <v>7</v>
      </c>
      <c r="T1313" s="50">
        <f>0.1/2</f>
        <v>0.05</v>
      </c>
      <c r="U1313" s="131">
        <f>1/2</f>
        <v>0.5</v>
      </c>
      <c r="V1313" s="50">
        <v>0.21</v>
      </c>
      <c r="W1313" s="74">
        <f>0.04/2</f>
        <v>0.02</v>
      </c>
      <c r="X1313" s="50">
        <v>7.3999999999999996E-2</v>
      </c>
      <c r="Y1313" s="74">
        <f>0.013/2</f>
        <v>6.4999999999999997E-3</v>
      </c>
      <c r="Z1313" s="271">
        <v>1</v>
      </c>
      <c r="AA1313" s="271">
        <v>1</v>
      </c>
      <c r="AB1313" s="114">
        <v>3.4</v>
      </c>
      <c r="AC1313" s="50">
        <v>33</v>
      </c>
      <c r="AD1313" s="271">
        <v>0.7</v>
      </c>
    </row>
    <row r="1314" spans="1:30" ht="15" customHeight="1">
      <c r="A1314" s="41" t="s">
        <v>183</v>
      </c>
      <c r="B1314" s="402" t="s">
        <v>1910</v>
      </c>
      <c r="C1314" s="113" t="s">
        <v>3965</v>
      </c>
      <c r="D1314" s="84" t="s">
        <v>2377</v>
      </c>
      <c r="E1314" s="394" t="s">
        <v>1486</v>
      </c>
      <c r="G1314" s="405" t="s">
        <v>2262</v>
      </c>
      <c r="H1314" s="74">
        <v>4151</v>
      </c>
      <c r="I1314" s="50" t="s">
        <v>2</v>
      </c>
      <c r="J1314" s="339" t="s">
        <v>1786</v>
      </c>
      <c r="K1314" s="51">
        <v>41030</v>
      </c>
      <c r="L1314" s="173">
        <v>41022</v>
      </c>
      <c r="M1314" s="50">
        <f t="shared" ref="M1314:M1325" si="58">K1314-L1314</f>
        <v>8</v>
      </c>
      <c r="N1314" s="50" t="s">
        <v>2</v>
      </c>
      <c r="O1314" s="74">
        <f>1.5/2</f>
        <v>0.75</v>
      </c>
      <c r="P1314" s="50">
        <v>5.45</v>
      </c>
      <c r="Q1314" s="74">
        <v>7.39</v>
      </c>
      <c r="R1314" s="50">
        <v>16</v>
      </c>
      <c r="S1314" s="74">
        <v>450</v>
      </c>
      <c r="T1314" s="50">
        <v>0.51</v>
      </c>
      <c r="U1314" s="131">
        <v>0.92</v>
      </c>
      <c r="V1314" s="50">
        <v>0.25</v>
      </c>
      <c r="W1314" s="74">
        <v>0.11700000000000001</v>
      </c>
      <c r="X1314" s="50">
        <v>0.153</v>
      </c>
      <c r="Y1314" s="74">
        <v>7.0000000000000001E-3</v>
      </c>
    </row>
    <row r="1315" spans="1:30" ht="15" customHeight="1">
      <c r="A1315" s="41" t="s">
        <v>183</v>
      </c>
      <c r="B1315" s="402" t="s">
        <v>1910</v>
      </c>
      <c r="C1315" s="113" t="s">
        <v>4561</v>
      </c>
      <c r="D1315" s="393" t="s">
        <v>2274</v>
      </c>
      <c r="E1315" s="394" t="s">
        <v>2275</v>
      </c>
      <c r="G1315" s="405" t="s">
        <v>4437</v>
      </c>
      <c r="H1315" s="74">
        <v>4151</v>
      </c>
      <c r="I1315" s="50" t="s">
        <v>2</v>
      </c>
      <c r="J1315" s="339" t="s">
        <v>543</v>
      </c>
      <c r="K1315" s="51">
        <v>41122</v>
      </c>
      <c r="L1315" s="173">
        <v>41118</v>
      </c>
      <c r="M1315" s="50">
        <f t="shared" si="58"/>
        <v>4</v>
      </c>
      <c r="N1315" s="50" t="s">
        <v>2</v>
      </c>
      <c r="O1315" s="74">
        <v>4.5</v>
      </c>
      <c r="P1315" s="50">
        <v>6.58</v>
      </c>
      <c r="Q1315" s="74">
        <v>6.41</v>
      </c>
      <c r="R1315" s="50">
        <v>135</v>
      </c>
      <c r="S1315" s="74">
        <v>57</v>
      </c>
      <c r="T1315" s="50">
        <v>0.5</v>
      </c>
      <c r="U1315" s="131">
        <v>1.36</v>
      </c>
      <c r="V1315" s="50">
        <v>1.01</v>
      </c>
      <c r="W1315" s="74">
        <v>5.8999999999999997E-2</v>
      </c>
      <c r="X1315" s="50">
        <v>0.21299999999999999</v>
      </c>
      <c r="Y1315" s="74">
        <v>3.1E-2</v>
      </c>
    </row>
    <row r="1316" spans="1:30" ht="15" customHeight="1">
      <c r="A1316" s="41" t="s">
        <v>183</v>
      </c>
      <c r="B1316" s="402" t="s">
        <v>1910</v>
      </c>
      <c r="C1316" s="416" t="s">
        <v>4561</v>
      </c>
      <c r="D1316" s="393" t="s">
        <v>2274</v>
      </c>
      <c r="E1316" s="394" t="s">
        <v>2275</v>
      </c>
      <c r="G1316" s="405" t="s">
        <v>4437</v>
      </c>
      <c r="H1316" s="74">
        <v>4151</v>
      </c>
      <c r="I1316" s="50" t="s">
        <v>2</v>
      </c>
      <c r="J1316" s="339" t="s">
        <v>543</v>
      </c>
      <c r="K1316" s="51">
        <v>41345</v>
      </c>
      <c r="L1316" s="173">
        <v>41341</v>
      </c>
      <c r="M1316" s="50">
        <f t="shared" si="58"/>
        <v>4</v>
      </c>
      <c r="N1316" s="50" t="s">
        <v>2</v>
      </c>
      <c r="O1316" s="74">
        <v>5.4</v>
      </c>
      <c r="P1316" s="50">
        <v>4.93</v>
      </c>
      <c r="Q1316" s="74">
        <v>7.07</v>
      </c>
      <c r="R1316" s="50">
        <v>138</v>
      </c>
      <c r="S1316" s="74">
        <v>190</v>
      </c>
      <c r="T1316" s="50">
        <v>0.37</v>
      </c>
      <c r="U1316" s="131">
        <v>1.91</v>
      </c>
      <c r="V1316" s="50">
        <v>0.49</v>
      </c>
      <c r="W1316" s="74">
        <v>3.1E-2</v>
      </c>
      <c r="X1316" s="50">
        <v>0.159</v>
      </c>
      <c r="Y1316" s="74">
        <v>1.7000000000000001E-2</v>
      </c>
      <c r="Z1316" s="271">
        <v>1</v>
      </c>
      <c r="AA1316" s="271">
        <v>1</v>
      </c>
      <c r="AB1316" s="114">
        <v>8</v>
      </c>
      <c r="AC1316" s="50">
        <v>441</v>
      </c>
      <c r="AD1316" s="271">
        <v>1</v>
      </c>
    </row>
    <row r="1317" spans="1:30" ht="15" customHeight="1">
      <c r="A1317" s="41" t="s">
        <v>183</v>
      </c>
      <c r="B1317" s="402" t="s">
        <v>1910</v>
      </c>
      <c r="C1317" s="113" t="s">
        <v>1110</v>
      </c>
      <c r="D1317" s="393" t="s">
        <v>262</v>
      </c>
      <c r="E1317" s="394" t="s">
        <v>128</v>
      </c>
      <c r="G1317" s="405" t="s">
        <v>1876</v>
      </c>
      <c r="H1317" s="74">
        <v>4151</v>
      </c>
      <c r="I1317" s="50" t="s">
        <v>2</v>
      </c>
      <c r="J1317" s="339" t="s">
        <v>1030</v>
      </c>
      <c r="K1317" s="51">
        <v>41376</v>
      </c>
      <c r="L1317" s="173">
        <v>41374</v>
      </c>
      <c r="M1317" s="50">
        <f t="shared" si="58"/>
        <v>2</v>
      </c>
      <c r="N1317" s="50" t="s">
        <v>2</v>
      </c>
      <c r="O1317" s="74">
        <v>1.8</v>
      </c>
      <c r="P1317" s="50">
        <v>6.89</v>
      </c>
      <c r="Q1317" s="74">
        <v>6.9</v>
      </c>
      <c r="R1317" s="50">
        <v>34</v>
      </c>
      <c r="S1317" s="74">
        <v>56</v>
      </c>
      <c r="T1317" s="50">
        <v>0.13</v>
      </c>
      <c r="U1317" s="131">
        <v>0.68</v>
      </c>
      <c r="V1317" s="50">
        <v>0.16</v>
      </c>
      <c r="W1317" s="74">
        <v>1.6E-2</v>
      </c>
      <c r="X1317" s="50">
        <v>6.5000000000000002E-2</v>
      </c>
      <c r="Y1317" s="74">
        <v>6.0000000000000001E-3</v>
      </c>
      <c r="Z1317" s="271">
        <v>1</v>
      </c>
      <c r="AA1317" s="271">
        <v>1</v>
      </c>
      <c r="AB1317" s="114">
        <v>2</v>
      </c>
      <c r="AC1317" s="50">
        <v>71</v>
      </c>
      <c r="AD1317" s="271">
        <v>1</v>
      </c>
    </row>
    <row r="1318" spans="1:30" ht="15" customHeight="1">
      <c r="A1318" s="41" t="s">
        <v>183</v>
      </c>
      <c r="B1318" s="402" t="s">
        <v>1910</v>
      </c>
      <c r="C1318" s="113" t="s">
        <v>1110</v>
      </c>
      <c r="D1318" s="393" t="s">
        <v>262</v>
      </c>
      <c r="E1318" s="394" t="s">
        <v>128</v>
      </c>
      <c r="G1318" s="405" t="s">
        <v>1876</v>
      </c>
      <c r="H1318" s="74">
        <v>4151</v>
      </c>
      <c r="I1318" s="50" t="s">
        <v>2</v>
      </c>
      <c r="J1318" s="339" t="s">
        <v>1031</v>
      </c>
      <c r="K1318" s="51">
        <v>41376</v>
      </c>
      <c r="L1318" s="173">
        <v>41374</v>
      </c>
      <c r="M1318" s="50">
        <f t="shared" si="58"/>
        <v>2</v>
      </c>
      <c r="N1318" s="50" t="s">
        <v>2</v>
      </c>
      <c r="O1318" s="74">
        <f>1.4/2</f>
        <v>0.7</v>
      </c>
      <c r="P1318" s="50">
        <v>6.89</v>
      </c>
      <c r="Q1318" s="74">
        <v>6.77</v>
      </c>
      <c r="R1318" s="50">
        <v>72</v>
      </c>
      <c r="S1318" s="74">
        <v>11</v>
      </c>
      <c r="T1318" s="50">
        <v>7.0000000000000007E-2</v>
      </c>
      <c r="U1318" s="131">
        <v>0.61</v>
      </c>
      <c r="V1318" s="50">
        <v>0.11</v>
      </c>
      <c r="W1318" s="74">
        <f>0.005/2</f>
        <v>2.5000000000000001E-3</v>
      </c>
      <c r="X1318" s="50">
        <v>0.02</v>
      </c>
      <c r="Y1318" s="74">
        <f>0.002/2</f>
        <v>1E-3</v>
      </c>
      <c r="Z1318" s="271">
        <v>1</v>
      </c>
      <c r="AA1318" s="271">
        <v>1</v>
      </c>
      <c r="AB1318" s="114">
        <v>2</v>
      </c>
      <c r="AC1318" s="50">
        <v>42</v>
      </c>
      <c r="AD1318" s="271">
        <v>1</v>
      </c>
    </row>
    <row r="1319" spans="1:30" ht="15" customHeight="1">
      <c r="A1319" s="41" t="s">
        <v>183</v>
      </c>
      <c r="B1319" s="402" t="s">
        <v>1910</v>
      </c>
      <c r="C1319" s="113" t="s">
        <v>2037</v>
      </c>
      <c r="D1319" s="393" t="s">
        <v>2376</v>
      </c>
      <c r="E1319" s="394" t="s">
        <v>2038</v>
      </c>
      <c r="G1319" s="405" t="s">
        <v>2039</v>
      </c>
      <c r="H1319" s="74">
        <v>4151</v>
      </c>
      <c r="I1319" s="50" t="s">
        <v>2</v>
      </c>
      <c r="J1319" s="48" t="s">
        <v>1030</v>
      </c>
      <c r="K1319" s="51">
        <v>41376</v>
      </c>
      <c r="L1319" s="173">
        <v>41374</v>
      </c>
      <c r="M1319" s="50">
        <f t="shared" si="58"/>
        <v>2</v>
      </c>
      <c r="N1319" s="50" t="s">
        <v>2</v>
      </c>
      <c r="O1319" s="74">
        <v>8.1</v>
      </c>
      <c r="P1319" s="50">
        <v>6.54</v>
      </c>
      <c r="Q1319" s="74">
        <v>7.55</v>
      </c>
      <c r="R1319" s="50">
        <v>122</v>
      </c>
      <c r="S1319" s="74">
        <v>460</v>
      </c>
      <c r="T1319" s="50">
        <v>2.4300000000000002</v>
      </c>
      <c r="U1319" s="131">
        <v>2.87</v>
      </c>
      <c r="V1319" s="50">
        <f>0.01/2</f>
        <v>5.0000000000000001E-3</v>
      </c>
      <c r="W1319" s="74">
        <v>6.2E-2</v>
      </c>
      <c r="X1319" s="50">
        <v>0.13400000000000001</v>
      </c>
      <c r="Y1319" s="74">
        <v>5.7000000000000002E-2</v>
      </c>
      <c r="Z1319" s="271">
        <v>1</v>
      </c>
      <c r="AA1319" s="271">
        <v>1</v>
      </c>
      <c r="AB1319" s="114">
        <v>4</v>
      </c>
      <c r="AC1319" s="50">
        <v>164</v>
      </c>
      <c r="AD1319" s="271">
        <v>0.75</v>
      </c>
    </row>
    <row r="1320" spans="1:30" ht="15" customHeight="1">
      <c r="A1320" s="41" t="s">
        <v>183</v>
      </c>
      <c r="B1320" s="402" t="s">
        <v>1910</v>
      </c>
      <c r="C1320" s="113" t="s">
        <v>2037</v>
      </c>
      <c r="D1320" s="393" t="s">
        <v>2376</v>
      </c>
      <c r="E1320" s="394" t="s">
        <v>2038</v>
      </c>
      <c r="G1320" s="405" t="s">
        <v>2039</v>
      </c>
      <c r="H1320" s="74">
        <v>4151</v>
      </c>
      <c r="I1320" s="50" t="s">
        <v>2</v>
      </c>
      <c r="J1320" s="48" t="s">
        <v>1031</v>
      </c>
      <c r="K1320" s="51">
        <v>41376</v>
      </c>
      <c r="L1320" s="173">
        <v>41374</v>
      </c>
      <c r="M1320" s="50">
        <f t="shared" si="58"/>
        <v>2</v>
      </c>
      <c r="N1320" s="50" t="s">
        <v>2</v>
      </c>
      <c r="O1320" s="74">
        <v>1.7</v>
      </c>
      <c r="P1320" s="50">
        <v>6.54</v>
      </c>
      <c r="Q1320" s="74">
        <v>7.16</v>
      </c>
      <c r="R1320" s="50">
        <v>257</v>
      </c>
      <c r="S1320" s="74">
        <v>2100</v>
      </c>
      <c r="T1320" s="50">
        <v>1.92</v>
      </c>
      <c r="U1320" s="131">
        <v>5.9</v>
      </c>
      <c r="V1320" s="50">
        <v>0.05</v>
      </c>
      <c r="W1320" s="74">
        <v>6.3E-2</v>
      </c>
      <c r="X1320" s="50">
        <v>0.34399999999999997</v>
      </c>
      <c r="Y1320" s="74">
        <v>0.115</v>
      </c>
      <c r="Z1320" s="271">
        <v>1</v>
      </c>
      <c r="AA1320" s="271">
        <v>1</v>
      </c>
      <c r="AB1320" s="114">
        <v>4</v>
      </c>
      <c r="AC1320" s="50">
        <v>14</v>
      </c>
      <c r="AD1320" s="271">
        <v>0.55000000000000004</v>
      </c>
    </row>
    <row r="1321" spans="1:30" ht="15" customHeight="1">
      <c r="A1321" s="41" t="s">
        <v>183</v>
      </c>
      <c r="B1321" s="402" t="s">
        <v>1910</v>
      </c>
      <c r="C1321" s="113" t="s">
        <v>4561</v>
      </c>
      <c r="D1321" s="393" t="s">
        <v>2274</v>
      </c>
      <c r="E1321" s="394" t="s">
        <v>2275</v>
      </c>
      <c r="G1321" s="405" t="s">
        <v>4437</v>
      </c>
      <c r="H1321" s="74">
        <v>4151</v>
      </c>
      <c r="I1321" s="50" t="s">
        <v>2</v>
      </c>
      <c r="J1321" s="339" t="s">
        <v>543</v>
      </c>
      <c r="K1321" s="51">
        <v>41495</v>
      </c>
      <c r="L1321" s="173">
        <v>41487</v>
      </c>
      <c r="M1321" s="50">
        <f t="shared" si="58"/>
        <v>8</v>
      </c>
      <c r="N1321" s="50" t="s">
        <v>2</v>
      </c>
      <c r="O1321" s="74">
        <f>1.5/2</f>
        <v>0.75</v>
      </c>
      <c r="Q1321" s="74">
        <v>7.25</v>
      </c>
      <c r="R1321" s="50">
        <v>84</v>
      </c>
      <c r="S1321" s="74">
        <v>70</v>
      </c>
      <c r="T1321" s="50">
        <v>0.32</v>
      </c>
      <c r="U1321" s="131">
        <v>2.77</v>
      </c>
      <c r="V1321" s="50">
        <v>0.7</v>
      </c>
      <c r="W1321" s="74">
        <v>2.1999999999999999E-2</v>
      </c>
      <c r="X1321" s="50">
        <v>0.152</v>
      </c>
      <c r="Y1321" s="74">
        <v>5.0000000000000001E-3</v>
      </c>
    </row>
    <row r="1322" spans="1:30" ht="15" customHeight="1">
      <c r="A1322" s="41" t="s">
        <v>183</v>
      </c>
      <c r="B1322" s="402" t="s">
        <v>1910</v>
      </c>
      <c r="C1322" s="113" t="s">
        <v>2037</v>
      </c>
      <c r="D1322" s="393" t="s">
        <v>2376</v>
      </c>
      <c r="E1322" s="394" t="s">
        <v>2038</v>
      </c>
      <c r="G1322" s="405" t="s">
        <v>2039</v>
      </c>
      <c r="H1322" s="74">
        <v>4151</v>
      </c>
      <c r="I1322" s="50" t="s">
        <v>2</v>
      </c>
      <c r="J1322" s="48" t="s">
        <v>1030</v>
      </c>
      <c r="K1322" s="51">
        <v>41495</v>
      </c>
      <c r="L1322" s="173">
        <v>41490</v>
      </c>
      <c r="M1322" s="50">
        <f t="shared" si="58"/>
        <v>5</v>
      </c>
      <c r="N1322" s="50" t="s">
        <v>2</v>
      </c>
      <c r="O1322" s="74">
        <f>1.4/2</f>
        <v>0.7</v>
      </c>
      <c r="P1322" s="50">
        <v>6.77</v>
      </c>
      <c r="Q1322" s="74">
        <v>7.01</v>
      </c>
      <c r="R1322" s="50">
        <v>28</v>
      </c>
      <c r="S1322" s="74">
        <v>580</v>
      </c>
      <c r="T1322" s="50">
        <v>0.82</v>
      </c>
      <c r="U1322" s="131">
        <v>1.82</v>
      </c>
      <c r="V1322" s="50">
        <v>0.92</v>
      </c>
      <c r="W1322" s="74">
        <v>3.5000000000000003E-2</v>
      </c>
      <c r="X1322" s="50">
        <v>0.10199999999999999</v>
      </c>
      <c r="Y1322" s="74">
        <v>3.1E-2</v>
      </c>
    </row>
    <row r="1323" spans="1:30" ht="15" customHeight="1">
      <c r="A1323" s="41" t="s">
        <v>183</v>
      </c>
      <c r="B1323" s="402" t="s">
        <v>1910</v>
      </c>
      <c r="C1323" s="113" t="s">
        <v>2037</v>
      </c>
      <c r="D1323" s="393" t="s">
        <v>2376</v>
      </c>
      <c r="E1323" s="394" t="s">
        <v>2038</v>
      </c>
      <c r="G1323" s="405" t="s">
        <v>2039</v>
      </c>
      <c r="H1323" s="74">
        <v>4151</v>
      </c>
      <c r="I1323" s="50" t="s">
        <v>2</v>
      </c>
      <c r="J1323" s="48" t="s">
        <v>1031</v>
      </c>
      <c r="K1323" s="51">
        <v>41495</v>
      </c>
      <c r="L1323" s="173">
        <v>41490</v>
      </c>
      <c r="M1323" s="50">
        <f t="shared" si="58"/>
        <v>5</v>
      </c>
      <c r="N1323" s="50" t="s">
        <v>2</v>
      </c>
      <c r="O1323" s="74">
        <f>1.4/2</f>
        <v>0.7</v>
      </c>
      <c r="P1323" s="50">
        <v>6.77</v>
      </c>
      <c r="Q1323" s="74">
        <v>6.15</v>
      </c>
      <c r="R1323" s="50">
        <v>26</v>
      </c>
      <c r="S1323" s="74">
        <v>360</v>
      </c>
      <c r="T1323" s="50">
        <v>0.54</v>
      </c>
      <c r="U1323" s="131">
        <v>2.64</v>
      </c>
      <c r="V1323" s="50">
        <v>0.98</v>
      </c>
      <c r="W1323" s="74">
        <v>3.7999999999999999E-2</v>
      </c>
      <c r="X1323" s="50">
        <v>0.17799999999999999</v>
      </c>
      <c r="Y1323" s="74">
        <v>5.2999999999999999E-2</v>
      </c>
    </row>
    <row r="1324" spans="1:30" ht="15" customHeight="1">
      <c r="A1324" s="41" t="s">
        <v>183</v>
      </c>
      <c r="B1324" s="402" t="s">
        <v>1910</v>
      </c>
      <c r="C1324" s="113" t="s">
        <v>2241</v>
      </c>
      <c r="D1324" s="393" t="s">
        <v>257</v>
      </c>
      <c r="E1324" s="394" t="s">
        <v>823</v>
      </c>
      <c r="G1324" s="405" t="s">
        <v>2242</v>
      </c>
      <c r="H1324" s="74">
        <v>4151</v>
      </c>
      <c r="I1324" s="50" t="s">
        <v>2</v>
      </c>
      <c r="J1324" s="48" t="s">
        <v>641</v>
      </c>
      <c r="K1324" s="51">
        <v>41345</v>
      </c>
      <c r="L1324" s="173">
        <v>41341</v>
      </c>
      <c r="M1324" s="50">
        <f t="shared" si="58"/>
        <v>4</v>
      </c>
      <c r="N1324" s="50" t="s">
        <v>2</v>
      </c>
      <c r="O1324" s="74">
        <v>29</v>
      </c>
      <c r="P1324" s="50">
        <v>6.58</v>
      </c>
      <c r="Q1324" s="74">
        <v>7.66</v>
      </c>
      <c r="R1324" s="50">
        <v>719</v>
      </c>
      <c r="S1324" s="74">
        <v>620</v>
      </c>
      <c r="T1324" s="50">
        <v>0.95</v>
      </c>
      <c r="U1324" s="131">
        <v>3.74</v>
      </c>
      <c r="V1324" s="50">
        <v>0.12</v>
      </c>
      <c r="W1324" s="74">
        <v>5.3999999999999999E-2</v>
      </c>
      <c r="X1324" s="50">
        <v>0.13400000000000001</v>
      </c>
      <c r="Y1324" s="74">
        <v>3.7999999999999999E-2</v>
      </c>
      <c r="Z1324" s="271">
        <v>1</v>
      </c>
      <c r="AA1324" s="271">
        <v>1</v>
      </c>
      <c r="AB1324" s="114">
        <v>12</v>
      </c>
      <c r="AC1324" s="50">
        <v>135</v>
      </c>
      <c r="AD1324" s="271">
        <v>0.95</v>
      </c>
    </row>
    <row r="1325" spans="1:30" ht="15" customHeight="1">
      <c r="A1325" s="41" t="s">
        <v>183</v>
      </c>
      <c r="B1325" s="402" t="s">
        <v>1910</v>
      </c>
      <c r="C1325" s="113" t="s">
        <v>2241</v>
      </c>
      <c r="D1325" s="393" t="s">
        <v>257</v>
      </c>
      <c r="E1325" s="394" t="s">
        <v>823</v>
      </c>
      <c r="G1325" s="405" t="s">
        <v>2242</v>
      </c>
      <c r="H1325" s="74">
        <v>4151</v>
      </c>
      <c r="I1325" s="50" t="s">
        <v>2</v>
      </c>
      <c r="J1325" s="48" t="s">
        <v>643</v>
      </c>
      <c r="K1325" s="51">
        <v>41345</v>
      </c>
      <c r="L1325" s="173">
        <v>41341</v>
      </c>
      <c r="M1325" s="50">
        <f t="shared" si="58"/>
        <v>4</v>
      </c>
      <c r="N1325" s="50" t="s">
        <v>2</v>
      </c>
      <c r="O1325" s="74">
        <v>30</v>
      </c>
      <c r="P1325" s="50">
        <v>6.58</v>
      </c>
      <c r="Q1325" s="74">
        <v>7.68</v>
      </c>
      <c r="R1325" s="50">
        <v>305</v>
      </c>
      <c r="S1325" s="74">
        <v>370</v>
      </c>
      <c r="T1325" s="50">
        <v>0.64</v>
      </c>
      <c r="U1325" s="131">
        <v>1.34</v>
      </c>
      <c r="V1325" s="50">
        <v>0.06</v>
      </c>
      <c r="W1325" s="74">
        <v>0.11799999999999999</v>
      </c>
      <c r="X1325" s="50">
        <v>0.29299999999999998</v>
      </c>
      <c r="Y1325" s="74">
        <v>0.13100000000000001</v>
      </c>
      <c r="Z1325" s="271">
        <v>1</v>
      </c>
      <c r="AA1325" s="271">
        <v>1</v>
      </c>
      <c r="AB1325" s="114">
        <v>14</v>
      </c>
      <c r="AC1325" s="50">
        <v>143</v>
      </c>
      <c r="AD1325" s="271">
        <v>1</v>
      </c>
    </row>
    <row r="1326" spans="1:30" ht="15" customHeight="1">
      <c r="A1326" s="41" t="s">
        <v>183</v>
      </c>
      <c r="B1326" s="402" t="s">
        <v>1910</v>
      </c>
      <c r="C1326" s="113" t="s">
        <v>1243</v>
      </c>
      <c r="D1326" s="393" t="s">
        <v>133</v>
      </c>
      <c r="E1326" s="394" t="s">
        <v>1546</v>
      </c>
      <c r="G1326" s="405" t="s">
        <v>1810</v>
      </c>
      <c r="H1326" s="74">
        <v>4151</v>
      </c>
      <c r="I1326" s="50" t="s">
        <v>2</v>
      </c>
      <c r="J1326" s="339" t="s">
        <v>1786</v>
      </c>
      <c r="K1326" s="51">
        <v>41030</v>
      </c>
      <c r="L1326" s="173"/>
      <c r="N1326" s="50" t="s">
        <v>2</v>
      </c>
      <c r="O1326" s="74">
        <v>3.7</v>
      </c>
      <c r="P1326" s="50">
        <v>7.1</v>
      </c>
      <c r="Q1326" s="74">
        <v>7.27</v>
      </c>
      <c r="R1326" s="50">
        <v>43</v>
      </c>
      <c r="S1326" s="74">
        <v>86</v>
      </c>
      <c r="T1326" s="50">
        <v>0.18</v>
      </c>
      <c r="U1326" s="131">
        <v>1.0900000000000001</v>
      </c>
      <c r="V1326" s="50">
        <v>0.27</v>
      </c>
      <c r="W1326" s="74">
        <v>1.4999999999999999E-2</v>
      </c>
      <c r="X1326" s="50">
        <v>4.9000000000000002E-2</v>
      </c>
      <c r="Y1326" s="74">
        <v>8.0000000000000002E-3</v>
      </c>
      <c r="Z1326" s="271">
        <v>1</v>
      </c>
      <c r="AA1326" s="271">
        <v>1</v>
      </c>
      <c r="AB1326" s="114">
        <v>60</v>
      </c>
      <c r="AC1326" s="50">
        <v>643</v>
      </c>
      <c r="AD1326" s="271">
        <v>1</v>
      </c>
    </row>
    <row r="1327" spans="1:30" ht="15" customHeight="1">
      <c r="A1327" s="41" t="s">
        <v>183</v>
      </c>
      <c r="B1327" s="402" t="s">
        <v>1910</v>
      </c>
      <c r="C1327" s="113" t="s">
        <v>1243</v>
      </c>
      <c r="D1327" s="393" t="s">
        <v>133</v>
      </c>
      <c r="E1327" s="394" t="s">
        <v>1546</v>
      </c>
      <c r="G1327" s="405" t="s">
        <v>1810</v>
      </c>
      <c r="H1327" s="74">
        <v>4151</v>
      </c>
      <c r="I1327" s="50" t="s">
        <v>2</v>
      </c>
      <c r="J1327" s="48" t="s">
        <v>641</v>
      </c>
      <c r="K1327" s="51">
        <v>41030</v>
      </c>
      <c r="L1327" s="173"/>
      <c r="N1327" s="50" t="s">
        <v>2</v>
      </c>
      <c r="O1327" s="74">
        <f>1.4/2</f>
        <v>0.7</v>
      </c>
      <c r="P1327" s="50">
        <v>7.1</v>
      </c>
      <c r="Q1327" s="74">
        <v>7.45</v>
      </c>
      <c r="R1327" s="50">
        <v>34</v>
      </c>
      <c r="S1327" s="74">
        <v>69</v>
      </c>
      <c r="T1327" s="50">
        <v>0.13</v>
      </c>
      <c r="U1327" s="131">
        <v>1.0900000000000001</v>
      </c>
      <c r="V1327" s="50">
        <v>1.0900000000000001</v>
      </c>
      <c r="W1327" s="74">
        <v>1.9E-2</v>
      </c>
      <c r="X1327" s="50">
        <v>5.3999999999999999E-2</v>
      </c>
      <c r="Y1327" s="74">
        <v>8.0000000000000002E-3</v>
      </c>
      <c r="Z1327" s="271">
        <v>1</v>
      </c>
      <c r="AA1327" s="271">
        <v>1</v>
      </c>
      <c r="AB1327" s="114">
        <v>106</v>
      </c>
      <c r="AC1327" s="50">
        <v>905</v>
      </c>
      <c r="AD1327" s="271">
        <v>1</v>
      </c>
    </row>
    <row r="1328" spans="1:30" ht="15" customHeight="1">
      <c r="A1328" s="41" t="s">
        <v>183</v>
      </c>
      <c r="B1328" s="402" t="s">
        <v>1910</v>
      </c>
      <c r="C1328" s="113" t="s">
        <v>1243</v>
      </c>
      <c r="D1328" s="393" t="s">
        <v>133</v>
      </c>
      <c r="E1328" s="394" t="s">
        <v>1546</v>
      </c>
      <c r="G1328" s="405" t="s">
        <v>1810</v>
      </c>
      <c r="H1328" s="74">
        <v>4151</v>
      </c>
      <c r="I1328" s="50" t="s">
        <v>2</v>
      </c>
      <c r="J1328" s="339" t="s">
        <v>643</v>
      </c>
      <c r="K1328" s="51">
        <v>41030</v>
      </c>
      <c r="L1328" s="173"/>
      <c r="N1328" s="50" t="s">
        <v>2</v>
      </c>
      <c r="O1328" s="74">
        <f>1.5/2</f>
        <v>0.75</v>
      </c>
      <c r="P1328" s="50">
        <v>7.1</v>
      </c>
      <c r="Q1328" s="74">
        <v>7.35</v>
      </c>
      <c r="R1328" s="50">
        <v>53</v>
      </c>
      <c r="S1328" s="74">
        <v>84</v>
      </c>
      <c r="T1328" s="50">
        <v>0.08</v>
      </c>
      <c r="U1328" s="131">
        <v>1.58</v>
      </c>
      <c r="V1328" s="50">
        <v>1.05</v>
      </c>
      <c r="W1328" s="74">
        <v>3.5999999999999997E-2</v>
      </c>
      <c r="X1328" s="50">
        <v>0.122</v>
      </c>
      <c r="Y1328" s="74">
        <v>0.02</v>
      </c>
      <c r="Z1328" s="271">
        <v>1</v>
      </c>
      <c r="AA1328" s="271">
        <v>1</v>
      </c>
      <c r="AB1328" s="114">
        <v>84</v>
      </c>
      <c r="AC1328" s="50">
        <v>809</v>
      </c>
      <c r="AD1328" s="271">
        <v>1</v>
      </c>
    </row>
    <row r="1329" spans="1:30" ht="15" customHeight="1">
      <c r="A1329" s="41" t="s">
        <v>183</v>
      </c>
      <c r="B1329" s="402" t="s">
        <v>1910</v>
      </c>
      <c r="C1329" s="113" t="s">
        <v>1383</v>
      </c>
      <c r="D1329" s="393" t="s">
        <v>200</v>
      </c>
      <c r="E1329" s="394" t="s">
        <v>112</v>
      </c>
      <c r="G1329" s="405" t="s">
        <v>2243</v>
      </c>
      <c r="H1329" s="74">
        <v>4151</v>
      </c>
      <c r="I1329" s="50" t="s">
        <v>2</v>
      </c>
      <c r="J1329" s="339" t="s">
        <v>641</v>
      </c>
      <c r="K1329" s="51">
        <v>41487</v>
      </c>
      <c r="L1329" s="173">
        <v>41481</v>
      </c>
      <c r="M1329" s="50">
        <f t="shared" ref="M1329:M1349" si="59">K1329-L1329</f>
        <v>6</v>
      </c>
      <c r="N1329" s="50" t="s">
        <v>2</v>
      </c>
      <c r="O1329" s="74">
        <f>1.4/2</f>
        <v>0.7</v>
      </c>
      <c r="P1329" s="50">
        <v>5.25</v>
      </c>
      <c r="Q1329" s="74">
        <v>5.38</v>
      </c>
      <c r="R1329" s="50">
        <v>58</v>
      </c>
      <c r="S1329" s="74">
        <v>5</v>
      </c>
      <c r="T1329" s="50">
        <v>0.33</v>
      </c>
      <c r="U1329" s="131">
        <v>4</v>
      </c>
      <c r="V1329" s="50">
        <v>1.79</v>
      </c>
      <c r="W1329" s="74">
        <v>1.2E-2</v>
      </c>
      <c r="X1329" s="50">
        <v>3.7999999999999999E-2</v>
      </c>
      <c r="Y1329" s="74">
        <f>0.002/2</f>
        <v>1E-3</v>
      </c>
    </row>
    <row r="1330" spans="1:30" ht="15" customHeight="1">
      <c r="A1330" s="41" t="s">
        <v>183</v>
      </c>
      <c r="B1330" s="402" t="s">
        <v>1910</v>
      </c>
      <c r="C1330" s="113" t="s">
        <v>1383</v>
      </c>
      <c r="D1330" s="393" t="s">
        <v>200</v>
      </c>
      <c r="E1330" s="394" t="s">
        <v>112</v>
      </c>
      <c r="G1330" s="405" t="s">
        <v>2243</v>
      </c>
      <c r="H1330" s="74">
        <v>4151</v>
      </c>
      <c r="I1330" s="50" t="s">
        <v>2</v>
      </c>
      <c r="J1330" s="339" t="s">
        <v>641</v>
      </c>
      <c r="K1330" s="51">
        <v>41345</v>
      </c>
      <c r="L1330" s="173">
        <v>41341</v>
      </c>
      <c r="M1330" s="50">
        <f t="shared" si="59"/>
        <v>4</v>
      </c>
      <c r="N1330" s="50" t="s">
        <v>2</v>
      </c>
      <c r="O1330" s="74">
        <f>1.4/2</f>
        <v>0.7</v>
      </c>
      <c r="P1330" s="50">
        <v>4.51</v>
      </c>
      <c r="Q1330" s="74">
        <v>5.7</v>
      </c>
      <c r="R1330" s="50">
        <f>10/2</f>
        <v>5</v>
      </c>
      <c r="S1330" s="74">
        <v>11</v>
      </c>
      <c r="T1330" s="50">
        <v>0.08</v>
      </c>
      <c r="U1330" s="131">
        <v>0.54</v>
      </c>
      <c r="V1330" s="50">
        <v>0.06</v>
      </c>
      <c r="W1330" s="74">
        <v>7.0000000000000001E-3</v>
      </c>
      <c r="X1330" s="50">
        <v>1.4E-2</v>
      </c>
      <c r="Y1330" s="74">
        <f>0.002/2</f>
        <v>1E-3</v>
      </c>
      <c r="Z1330" s="271">
        <v>1</v>
      </c>
      <c r="AA1330" s="271">
        <v>1</v>
      </c>
      <c r="AB1330" s="114">
        <v>40</v>
      </c>
      <c r="AC1330" s="50">
        <v>525</v>
      </c>
      <c r="AD1330" s="271">
        <v>0.55000000000000004</v>
      </c>
    </row>
    <row r="1331" spans="1:30" ht="15" customHeight="1">
      <c r="A1331" s="41" t="s">
        <v>183</v>
      </c>
      <c r="B1331" s="402" t="s">
        <v>1910</v>
      </c>
      <c r="C1331" s="113" t="s">
        <v>2072</v>
      </c>
      <c r="D1331" s="393" t="s">
        <v>1837</v>
      </c>
      <c r="E1331" s="394" t="s">
        <v>2253</v>
      </c>
      <c r="G1331" s="405" t="s">
        <v>2254</v>
      </c>
      <c r="H1331" s="74">
        <v>4151</v>
      </c>
      <c r="I1331" s="50" t="s">
        <v>2</v>
      </c>
      <c r="J1331" s="48" t="s">
        <v>271</v>
      </c>
      <c r="K1331" s="51">
        <v>41226</v>
      </c>
      <c r="L1331" s="173">
        <v>41221</v>
      </c>
      <c r="M1331" s="50">
        <f t="shared" si="59"/>
        <v>5</v>
      </c>
      <c r="N1331" s="50" t="s">
        <v>2</v>
      </c>
      <c r="O1331" s="74">
        <v>4.5999999999999996</v>
      </c>
      <c r="P1331" s="50">
        <v>6.7</v>
      </c>
      <c r="Q1331" s="74">
        <v>6.41</v>
      </c>
      <c r="R1331" s="50">
        <v>240</v>
      </c>
      <c r="S1331" s="74">
        <v>380</v>
      </c>
      <c r="T1331" s="50">
        <v>0.82</v>
      </c>
      <c r="U1331" s="131">
        <v>3.31</v>
      </c>
      <c r="V1331" s="50">
        <v>0.34</v>
      </c>
      <c r="W1331" s="74">
        <v>0.09</v>
      </c>
      <c r="X1331" s="50">
        <v>0.56499999999999995</v>
      </c>
      <c r="Y1331" s="74">
        <v>4.7E-2</v>
      </c>
    </row>
    <row r="1332" spans="1:30" ht="15" customHeight="1">
      <c r="A1332" s="41" t="s">
        <v>183</v>
      </c>
      <c r="B1332" s="402" t="s">
        <v>1910</v>
      </c>
      <c r="C1332" s="113" t="s">
        <v>2072</v>
      </c>
      <c r="D1332" s="393" t="s">
        <v>1837</v>
      </c>
      <c r="E1332" s="394" t="s">
        <v>2253</v>
      </c>
      <c r="G1332" s="405" t="s">
        <v>2254</v>
      </c>
      <c r="H1332" s="74">
        <v>4151</v>
      </c>
      <c r="I1332" s="50" t="s">
        <v>2</v>
      </c>
      <c r="J1332" s="48" t="s">
        <v>2255</v>
      </c>
      <c r="K1332" s="51">
        <v>41226</v>
      </c>
      <c r="L1332" s="173">
        <v>41221</v>
      </c>
      <c r="M1332" s="50">
        <f t="shared" si="59"/>
        <v>5</v>
      </c>
      <c r="N1332" s="77" t="s">
        <v>2</v>
      </c>
      <c r="O1332" s="74">
        <v>7.9</v>
      </c>
      <c r="P1332" s="50">
        <v>6.7</v>
      </c>
      <c r="Q1332" s="74">
        <v>6.24</v>
      </c>
      <c r="R1332" s="50">
        <v>120</v>
      </c>
      <c r="S1332" s="74">
        <v>56</v>
      </c>
      <c r="T1332" s="50">
        <v>0.32</v>
      </c>
      <c r="U1332" s="131">
        <v>1.49</v>
      </c>
      <c r="V1332" s="50">
        <v>0.33</v>
      </c>
      <c r="W1332" s="74">
        <v>3.4000000000000002E-2</v>
      </c>
      <c r="X1332" s="50">
        <v>0.51900000000000002</v>
      </c>
      <c r="Y1332" s="74">
        <v>1.9E-2</v>
      </c>
    </row>
    <row r="1333" spans="1:30" ht="15" customHeight="1">
      <c r="A1333" s="41" t="s">
        <v>183</v>
      </c>
      <c r="B1333" s="402" t="s">
        <v>1910</v>
      </c>
      <c r="C1333" s="113" t="s">
        <v>2072</v>
      </c>
      <c r="D1333" s="393" t="s">
        <v>1837</v>
      </c>
      <c r="E1333" s="394" t="s">
        <v>2253</v>
      </c>
      <c r="G1333" s="405" t="s">
        <v>2254</v>
      </c>
      <c r="H1333" s="74">
        <v>4151</v>
      </c>
      <c r="I1333" s="50" t="s">
        <v>2</v>
      </c>
      <c r="J1333" s="48" t="s">
        <v>5125</v>
      </c>
      <c r="K1333" s="51">
        <v>41332</v>
      </c>
      <c r="L1333" s="173">
        <v>41328</v>
      </c>
      <c r="M1333" s="50">
        <f t="shared" si="59"/>
        <v>4</v>
      </c>
      <c r="N1333" s="50" t="s">
        <v>1</v>
      </c>
      <c r="O1333" s="74">
        <v>6</v>
      </c>
      <c r="P1333" s="50">
        <v>6.45</v>
      </c>
      <c r="Q1333" s="74">
        <v>6.48</v>
      </c>
      <c r="R1333" s="50">
        <v>68</v>
      </c>
      <c r="S1333" s="74">
        <v>110</v>
      </c>
      <c r="T1333" s="50">
        <v>0.21</v>
      </c>
      <c r="U1333" s="131">
        <v>0.79</v>
      </c>
      <c r="V1333" s="50">
        <v>0.12</v>
      </c>
      <c r="W1333" s="74">
        <v>1.6E-2</v>
      </c>
      <c r="X1333" s="50">
        <v>0.111</v>
      </c>
      <c r="Y1333" s="74">
        <v>7.0000000000000001E-3</v>
      </c>
      <c r="Z1333" s="271">
        <v>0.70699999999999996</v>
      </c>
      <c r="AA1333" s="271">
        <v>0.70699999999999996</v>
      </c>
      <c r="AB1333" s="114">
        <v>18</v>
      </c>
      <c r="AC1333" s="50">
        <v>264</v>
      </c>
      <c r="AD1333" s="271">
        <v>0</v>
      </c>
    </row>
    <row r="1334" spans="1:30" ht="15" customHeight="1">
      <c r="A1334" s="41" t="s">
        <v>183</v>
      </c>
      <c r="B1334" s="402" t="s">
        <v>1910</v>
      </c>
      <c r="C1334" s="113" t="s">
        <v>2072</v>
      </c>
      <c r="D1334" s="393" t="s">
        <v>1837</v>
      </c>
      <c r="E1334" s="394" t="s">
        <v>2253</v>
      </c>
      <c r="G1334" s="405" t="s">
        <v>2254</v>
      </c>
      <c r="H1334" s="74">
        <v>4151</v>
      </c>
      <c r="I1334" s="50" t="s">
        <v>2</v>
      </c>
      <c r="J1334" s="48" t="s">
        <v>4562</v>
      </c>
      <c r="K1334" s="51">
        <v>41332</v>
      </c>
      <c r="L1334" s="173">
        <v>41328</v>
      </c>
      <c r="M1334" s="50">
        <f t="shared" si="59"/>
        <v>4</v>
      </c>
      <c r="N1334" s="50" t="s">
        <v>1</v>
      </c>
      <c r="O1334" s="74">
        <v>3</v>
      </c>
      <c r="P1334" s="50">
        <v>6.45</v>
      </c>
      <c r="Q1334" s="74">
        <v>6.79</v>
      </c>
      <c r="R1334" s="50">
        <v>49</v>
      </c>
      <c r="S1334" s="74">
        <v>75</v>
      </c>
      <c r="T1334" s="50">
        <v>0.2</v>
      </c>
      <c r="U1334" s="131">
        <v>0.46</v>
      </c>
      <c r="V1334" s="50">
        <f>0.01/2</f>
        <v>5.0000000000000001E-3</v>
      </c>
      <c r="W1334" s="74">
        <v>1.7000000000000001E-2</v>
      </c>
      <c r="X1334" s="50">
        <v>7.1999999999999995E-2</v>
      </c>
      <c r="Y1334" s="74">
        <v>7.0000000000000001E-3</v>
      </c>
      <c r="Z1334" s="271">
        <v>1</v>
      </c>
      <c r="AA1334" s="271">
        <v>1</v>
      </c>
      <c r="AB1334" s="114">
        <v>6</v>
      </c>
      <c r="AC1334" s="50">
        <v>49</v>
      </c>
      <c r="AD1334" s="271">
        <v>1</v>
      </c>
    </row>
    <row r="1335" spans="1:30" ht="15" customHeight="1">
      <c r="A1335" s="41" t="s">
        <v>183</v>
      </c>
      <c r="B1335" s="402" t="s">
        <v>1910</v>
      </c>
      <c r="C1335" s="113" t="s">
        <v>4461</v>
      </c>
      <c r="D1335" s="393" t="s">
        <v>117</v>
      </c>
      <c r="E1335" s="394" t="s">
        <v>4462</v>
      </c>
      <c r="G1335" s="405" t="s">
        <v>4463</v>
      </c>
      <c r="H1335" s="74">
        <v>4151</v>
      </c>
      <c r="I1335" s="50" t="s">
        <v>1</v>
      </c>
      <c r="J1335" s="339" t="s">
        <v>1030</v>
      </c>
      <c r="K1335" s="51">
        <v>41264</v>
      </c>
      <c r="L1335" s="173">
        <v>41261</v>
      </c>
      <c r="M1335" s="50">
        <f t="shared" si="59"/>
        <v>3</v>
      </c>
      <c r="N1335" s="50" t="s">
        <v>2</v>
      </c>
      <c r="O1335" s="74">
        <v>1.5</v>
      </c>
      <c r="P1335" s="50">
        <v>4.9000000000000004</v>
      </c>
      <c r="Q1335" s="74">
        <v>6.98</v>
      </c>
      <c r="R1335" s="50">
        <f>10/2</f>
        <v>5</v>
      </c>
      <c r="S1335" s="74">
        <v>40</v>
      </c>
      <c r="T1335" s="50">
        <v>0.09</v>
      </c>
      <c r="U1335" s="131">
        <v>0.52</v>
      </c>
      <c r="V1335" s="50">
        <v>0.04</v>
      </c>
      <c r="W1335" s="74">
        <v>5.0000000000000001E-3</v>
      </c>
      <c r="X1335" s="50">
        <v>3.5000000000000003E-2</v>
      </c>
      <c r="Y1335" s="74">
        <v>3.0000000000000001E-3</v>
      </c>
      <c r="Z1335" s="271">
        <v>1</v>
      </c>
      <c r="AA1335" s="271">
        <v>1</v>
      </c>
      <c r="AB1335" s="114">
        <v>4</v>
      </c>
      <c r="AC1335" s="50">
        <v>20</v>
      </c>
      <c r="AD1335" s="271">
        <v>1</v>
      </c>
    </row>
    <row r="1336" spans="1:30" ht="15" customHeight="1">
      <c r="A1336" s="41" t="s">
        <v>183</v>
      </c>
      <c r="B1336" s="402" t="s">
        <v>1910</v>
      </c>
      <c r="C1336" s="113" t="s">
        <v>4461</v>
      </c>
      <c r="D1336" s="393" t="s">
        <v>117</v>
      </c>
      <c r="E1336" s="394" t="s">
        <v>4462</v>
      </c>
      <c r="G1336" s="405" t="s">
        <v>4463</v>
      </c>
      <c r="H1336" s="74">
        <v>4151</v>
      </c>
      <c r="I1336" s="50" t="s">
        <v>1</v>
      </c>
      <c r="J1336" s="339" t="s">
        <v>1031</v>
      </c>
      <c r="K1336" s="51">
        <v>41264</v>
      </c>
      <c r="L1336" s="173">
        <v>41261</v>
      </c>
      <c r="M1336" s="50">
        <f t="shared" si="59"/>
        <v>3</v>
      </c>
      <c r="N1336" s="50" t="s">
        <v>2</v>
      </c>
      <c r="O1336" s="74">
        <v>3.5</v>
      </c>
      <c r="P1336" s="50">
        <v>4.9000000000000004</v>
      </c>
      <c r="Q1336" s="74">
        <v>7.03</v>
      </c>
      <c r="R1336" s="50">
        <v>17</v>
      </c>
      <c r="S1336" s="74">
        <v>56</v>
      </c>
      <c r="T1336" s="50">
        <v>0.26</v>
      </c>
      <c r="U1336" s="131">
        <v>1.1000000000000001</v>
      </c>
      <c r="V1336" s="50">
        <v>0.09</v>
      </c>
      <c r="W1336" s="74">
        <v>1.0999999999999999E-2</v>
      </c>
      <c r="X1336" s="50">
        <v>8.2000000000000003E-2</v>
      </c>
      <c r="Y1336" s="74">
        <v>7.0000000000000001E-3</v>
      </c>
      <c r="Z1336" s="271">
        <v>1</v>
      </c>
      <c r="AA1336" s="271">
        <v>1</v>
      </c>
      <c r="AB1336" s="114">
        <v>6</v>
      </c>
      <c r="AC1336" s="50">
        <v>35</v>
      </c>
      <c r="AD1336" s="271">
        <v>0.95</v>
      </c>
    </row>
    <row r="1337" spans="1:30" ht="15" customHeight="1">
      <c r="A1337" s="41" t="s">
        <v>183</v>
      </c>
      <c r="B1337" s="402" t="s">
        <v>590</v>
      </c>
      <c r="C1337" s="113" t="s">
        <v>604</v>
      </c>
      <c r="D1337" s="393" t="s">
        <v>308</v>
      </c>
      <c r="E1337" s="394" t="s">
        <v>235</v>
      </c>
      <c r="G1337" s="405" t="s">
        <v>605</v>
      </c>
      <c r="H1337" s="74">
        <v>7538</v>
      </c>
      <c r="I1337" s="50" t="s">
        <v>2</v>
      </c>
      <c r="J1337" s="61" t="s">
        <v>366</v>
      </c>
      <c r="K1337" s="51">
        <v>41062</v>
      </c>
      <c r="L1337" s="173">
        <v>41058</v>
      </c>
      <c r="M1337" s="50">
        <f t="shared" si="59"/>
        <v>4</v>
      </c>
      <c r="N1337" s="50" t="s">
        <v>2</v>
      </c>
      <c r="O1337" s="74">
        <v>3.1</v>
      </c>
      <c r="P1337" s="50">
        <v>6</v>
      </c>
      <c r="Q1337" s="74">
        <v>7.1</v>
      </c>
      <c r="R1337" s="50">
        <v>5</v>
      </c>
      <c r="S1337" s="74">
        <v>24</v>
      </c>
      <c r="T1337" s="50">
        <v>0.09</v>
      </c>
      <c r="U1337" s="131">
        <v>0.51</v>
      </c>
      <c r="V1337" s="50">
        <v>0.03</v>
      </c>
      <c r="W1337" s="74">
        <v>8.0000000000000002E-3</v>
      </c>
      <c r="X1337" s="50">
        <v>5.3999999999999999E-2</v>
      </c>
      <c r="Y1337" s="74">
        <v>5.0000000000000001E-3</v>
      </c>
    </row>
    <row r="1338" spans="1:30" ht="15" customHeight="1">
      <c r="A1338" s="41" t="s">
        <v>183</v>
      </c>
      <c r="B1338" s="402" t="s">
        <v>590</v>
      </c>
      <c r="C1338" s="113" t="s">
        <v>604</v>
      </c>
      <c r="D1338" s="393" t="s">
        <v>308</v>
      </c>
      <c r="E1338" s="394" t="s">
        <v>235</v>
      </c>
      <c r="G1338" s="405" t="s">
        <v>605</v>
      </c>
      <c r="H1338" s="74">
        <v>7538</v>
      </c>
      <c r="I1338" s="50" t="s">
        <v>2</v>
      </c>
      <c r="J1338" s="61" t="s">
        <v>593</v>
      </c>
      <c r="K1338" s="51">
        <v>41062</v>
      </c>
      <c r="L1338" s="173">
        <v>41058</v>
      </c>
      <c r="M1338" s="50">
        <f t="shared" si="59"/>
        <v>4</v>
      </c>
      <c r="N1338" s="50" t="s">
        <v>2</v>
      </c>
      <c r="O1338" s="74">
        <f>1.4/2</f>
        <v>0.7</v>
      </c>
      <c r="P1338" s="50">
        <v>6</v>
      </c>
      <c r="Q1338" s="74">
        <v>6.58</v>
      </c>
      <c r="R1338" s="50">
        <f>10/2</f>
        <v>5</v>
      </c>
      <c r="S1338" s="74">
        <v>41</v>
      </c>
      <c r="T1338" s="50">
        <v>0.03</v>
      </c>
      <c r="U1338" s="131">
        <v>0.44</v>
      </c>
      <c r="V1338" s="50">
        <v>0.03</v>
      </c>
      <c r="W1338" s="74">
        <v>6.0000000000000001E-3</v>
      </c>
      <c r="X1338" s="50">
        <v>0.124</v>
      </c>
      <c r="Y1338" s="74">
        <v>8.9999999999999993E-3</v>
      </c>
    </row>
    <row r="1339" spans="1:30" ht="15" customHeight="1">
      <c r="A1339" s="41" t="s">
        <v>183</v>
      </c>
      <c r="B1339" s="402" t="s">
        <v>590</v>
      </c>
      <c r="C1339" s="113" t="s">
        <v>604</v>
      </c>
      <c r="D1339" s="393" t="s">
        <v>308</v>
      </c>
      <c r="E1339" s="394" t="s">
        <v>235</v>
      </c>
      <c r="G1339" s="405" t="s">
        <v>605</v>
      </c>
      <c r="H1339" s="74">
        <v>7538</v>
      </c>
      <c r="I1339" s="50" t="s">
        <v>2</v>
      </c>
      <c r="J1339" s="61" t="s">
        <v>477</v>
      </c>
      <c r="K1339" s="51">
        <v>41062</v>
      </c>
      <c r="L1339" s="173">
        <v>41058</v>
      </c>
      <c r="M1339" s="50">
        <f t="shared" si="59"/>
        <v>4</v>
      </c>
      <c r="N1339" s="50" t="s">
        <v>2</v>
      </c>
      <c r="O1339" s="74">
        <f>1.4/2</f>
        <v>0.7</v>
      </c>
      <c r="P1339" s="50">
        <v>6</v>
      </c>
      <c r="Q1339" s="74">
        <v>6.92</v>
      </c>
      <c r="R1339" s="50">
        <f>10/2</f>
        <v>5</v>
      </c>
      <c r="S1339" s="74">
        <v>13</v>
      </c>
      <c r="T1339" s="50">
        <v>0.03</v>
      </c>
      <c r="U1339" s="131">
        <v>0.46</v>
      </c>
      <c r="V1339" s="50">
        <v>7.0000000000000007E-2</v>
      </c>
      <c r="W1339" s="74">
        <v>5.0000000000000001E-3</v>
      </c>
      <c r="X1339" s="50">
        <v>2.5000000000000001E-2</v>
      </c>
      <c r="Y1339" s="74">
        <v>5.0000000000000001E-3</v>
      </c>
    </row>
    <row r="1340" spans="1:30" ht="15" customHeight="1">
      <c r="A1340" s="41" t="s">
        <v>183</v>
      </c>
      <c r="B1340" s="402" t="s">
        <v>590</v>
      </c>
      <c r="C1340" s="113" t="s">
        <v>604</v>
      </c>
      <c r="D1340" s="393" t="s">
        <v>308</v>
      </c>
      <c r="E1340" s="394" t="s">
        <v>235</v>
      </c>
      <c r="G1340" s="405" t="s">
        <v>605</v>
      </c>
      <c r="H1340" s="74">
        <v>7538</v>
      </c>
      <c r="I1340" s="50" t="s">
        <v>2</v>
      </c>
      <c r="J1340" s="61" t="s">
        <v>474</v>
      </c>
      <c r="K1340" s="51">
        <v>41062</v>
      </c>
      <c r="L1340" s="173">
        <v>41058</v>
      </c>
      <c r="M1340" s="50">
        <f t="shared" si="59"/>
        <v>4</v>
      </c>
      <c r="N1340" s="50" t="s">
        <v>2</v>
      </c>
      <c r="O1340" s="74">
        <f>2/2</f>
        <v>1</v>
      </c>
      <c r="P1340" s="50">
        <v>6</v>
      </c>
      <c r="Q1340" s="74">
        <v>6.9</v>
      </c>
      <c r="R1340" s="50">
        <f>10/2</f>
        <v>5</v>
      </c>
      <c r="S1340" s="74">
        <v>6</v>
      </c>
      <c r="T1340" s="50">
        <f>0.01/2</f>
        <v>5.0000000000000001E-3</v>
      </c>
      <c r="U1340" s="131">
        <v>0.24</v>
      </c>
      <c r="V1340" s="50">
        <v>0.11</v>
      </c>
      <c r="W1340" s="74">
        <f>0.005/2</f>
        <v>2.5000000000000001E-3</v>
      </c>
      <c r="X1340" s="50">
        <v>5.6000000000000001E-2</v>
      </c>
      <c r="Y1340" s="74">
        <f>0.002/2</f>
        <v>1E-3</v>
      </c>
    </row>
    <row r="1341" spans="1:30" ht="15" customHeight="1">
      <c r="A1341" s="41" t="s">
        <v>183</v>
      </c>
      <c r="B1341" s="402" t="s">
        <v>590</v>
      </c>
      <c r="C1341" s="113" t="s">
        <v>604</v>
      </c>
      <c r="D1341" s="393" t="s">
        <v>308</v>
      </c>
      <c r="E1341" s="394" t="s">
        <v>235</v>
      </c>
      <c r="G1341" s="405" t="s">
        <v>605</v>
      </c>
      <c r="H1341" s="74">
        <v>7538</v>
      </c>
      <c r="I1341" s="50" t="s">
        <v>2</v>
      </c>
      <c r="J1341" s="339" t="s">
        <v>606</v>
      </c>
      <c r="K1341" s="51">
        <v>41062</v>
      </c>
      <c r="L1341" s="173">
        <v>41058</v>
      </c>
      <c r="M1341" s="50">
        <f t="shared" si="59"/>
        <v>4</v>
      </c>
      <c r="N1341" s="50" t="s">
        <v>2</v>
      </c>
      <c r="O1341" s="74">
        <f>1.5/2</f>
        <v>0.75</v>
      </c>
      <c r="P1341" s="50">
        <v>6</v>
      </c>
      <c r="Q1341" s="74">
        <v>6.34</v>
      </c>
      <c r="R1341" s="50">
        <f>10/2</f>
        <v>5</v>
      </c>
      <c r="S1341" s="74">
        <v>6.5</v>
      </c>
      <c r="T1341" s="50">
        <v>0.04</v>
      </c>
      <c r="U1341" s="131">
        <v>0.2</v>
      </c>
      <c r="V1341" s="50">
        <v>0.02</v>
      </c>
      <c r="W1341" s="74">
        <f>0.005/2</f>
        <v>2.5000000000000001E-3</v>
      </c>
      <c r="X1341" s="50">
        <v>0.06</v>
      </c>
      <c r="Y1341" s="74">
        <f>0.002/2</f>
        <v>1E-3</v>
      </c>
    </row>
    <row r="1342" spans="1:30" ht="15" customHeight="1">
      <c r="A1342" s="41" t="s">
        <v>183</v>
      </c>
      <c r="B1342" s="402" t="s">
        <v>707</v>
      </c>
      <c r="C1342" s="113" t="s">
        <v>3835</v>
      </c>
      <c r="D1342" s="393" t="s">
        <v>133</v>
      </c>
      <c r="E1342" s="394" t="s">
        <v>3836</v>
      </c>
      <c r="G1342" s="405" t="s">
        <v>726</v>
      </c>
      <c r="H1342" s="74">
        <v>3273</v>
      </c>
      <c r="I1342" s="50" t="s">
        <v>2</v>
      </c>
      <c r="J1342" s="339" t="s">
        <v>3837</v>
      </c>
      <c r="K1342" s="51">
        <v>41170</v>
      </c>
      <c r="L1342" s="173">
        <v>41160</v>
      </c>
      <c r="M1342" s="50">
        <f t="shared" si="59"/>
        <v>10</v>
      </c>
      <c r="N1342" s="50" t="s">
        <v>2</v>
      </c>
      <c r="O1342" s="74">
        <v>3.6</v>
      </c>
      <c r="P1342" s="50">
        <v>5</v>
      </c>
      <c r="Q1342" s="74">
        <v>9.07</v>
      </c>
      <c r="R1342" s="50">
        <v>28.9</v>
      </c>
      <c r="S1342" s="74">
        <v>165</v>
      </c>
      <c r="T1342" s="50">
        <v>0.19</v>
      </c>
      <c r="U1342" s="131">
        <v>15.31</v>
      </c>
      <c r="V1342" s="50">
        <v>1.49</v>
      </c>
      <c r="W1342" s="74">
        <v>6.4000000000000001E-2</v>
      </c>
      <c r="X1342" s="50">
        <v>4.1000000000000002E-2</v>
      </c>
      <c r="Y1342" s="74">
        <v>3.0000000000000001E-3</v>
      </c>
    </row>
    <row r="1343" spans="1:30" ht="15" customHeight="1">
      <c r="A1343" s="41" t="s">
        <v>183</v>
      </c>
      <c r="B1343" s="402" t="s">
        <v>2595</v>
      </c>
      <c r="D1343" s="393" t="s">
        <v>2722</v>
      </c>
      <c r="E1343" s="394" t="s">
        <v>1056</v>
      </c>
      <c r="G1343" s="405" t="s">
        <v>2596</v>
      </c>
      <c r="H1343" s="74">
        <v>3842</v>
      </c>
      <c r="I1343" s="50" t="s">
        <v>2</v>
      </c>
      <c r="J1343" s="339" t="s">
        <v>510</v>
      </c>
      <c r="K1343" s="51">
        <v>41226</v>
      </c>
      <c r="L1343" s="173">
        <v>41220</v>
      </c>
      <c r="M1343" s="50">
        <f t="shared" si="59"/>
        <v>6</v>
      </c>
      <c r="N1343" s="50" t="s">
        <v>2</v>
      </c>
      <c r="O1343" s="74">
        <f>1.4/2</f>
        <v>0.7</v>
      </c>
      <c r="P1343" s="50">
        <v>4.09</v>
      </c>
      <c r="Q1343" s="74">
        <v>6.25</v>
      </c>
      <c r="R1343" s="50">
        <v>73</v>
      </c>
      <c r="S1343" s="74">
        <f>5/2</f>
        <v>2.5</v>
      </c>
      <c r="T1343" s="50">
        <v>0.01</v>
      </c>
      <c r="U1343" s="131">
        <v>0.37</v>
      </c>
      <c r="V1343" s="50">
        <v>0.21</v>
      </c>
      <c r="W1343" s="74">
        <v>7.0000000000000001E-3</v>
      </c>
      <c r="X1343" s="50">
        <v>6.6000000000000003E-2</v>
      </c>
      <c r="Y1343" s="74">
        <f>0.002/2</f>
        <v>1E-3</v>
      </c>
      <c r="Z1343" s="271">
        <v>1</v>
      </c>
      <c r="AA1343" s="271">
        <v>1</v>
      </c>
      <c r="AB1343" s="114">
        <v>6</v>
      </c>
      <c r="AC1343" s="50">
        <v>21</v>
      </c>
      <c r="AD1343" s="271">
        <v>1</v>
      </c>
    </row>
    <row r="1344" spans="1:30" ht="15" customHeight="1">
      <c r="A1344" s="41" t="s">
        <v>183</v>
      </c>
      <c r="B1344" s="402" t="s">
        <v>532</v>
      </c>
      <c r="C1344" s="113" t="s">
        <v>1077</v>
      </c>
      <c r="D1344" s="393" t="s">
        <v>262</v>
      </c>
      <c r="E1344" s="394" t="s">
        <v>664</v>
      </c>
      <c r="G1344" s="405" t="s">
        <v>1078</v>
      </c>
      <c r="H1344" s="49">
        <v>2951</v>
      </c>
      <c r="I1344" s="50" t="s">
        <v>1</v>
      </c>
      <c r="J1344" s="76" t="s">
        <v>593</v>
      </c>
      <c r="K1344" s="51">
        <v>41044</v>
      </c>
      <c r="L1344" s="173">
        <v>41039</v>
      </c>
      <c r="M1344" s="50">
        <f t="shared" si="59"/>
        <v>5</v>
      </c>
      <c r="N1344" s="50" t="s">
        <v>2</v>
      </c>
      <c r="O1344" s="74">
        <f>5/2</f>
        <v>2.5</v>
      </c>
      <c r="P1344" s="50">
        <v>6.8</v>
      </c>
      <c r="Q1344" s="74">
        <v>10.95</v>
      </c>
      <c r="R1344" s="50">
        <v>88</v>
      </c>
      <c r="S1344" s="74">
        <v>170</v>
      </c>
      <c r="T1344" s="50">
        <f>0.1/2</f>
        <v>0.05</v>
      </c>
      <c r="U1344" s="131">
        <v>1</v>
      </c>
      <c r="V1344" s="50">
        <v>3.7</v>
      </c>
      <c r="W1344" s="74">
        <f>0.04/2</f>
        <v>0.02</v>
      </c>
      <c r="X1344" s="50">
        <v>7.0000000000000007E-2</v>
      </c>
      <c r="Y1344" s="74">
        <v>1.4E-2</v>
      </c>
    </row>
    <row r="1345" spans="1:46" ht="15" customHeight="1">
      <c r="A1345" s="41" t="s">
        <v>183</v>
      </c>
      <c r="B1345" s="402" t="s">
        <v>532</v>
      </c>
      <c r="C1345" s="113" t="s">
        <v>1077</v>
      </c>
      <c r="D1345" s="393" t="s">
        <v>262</v>
      </c>
      <c r="E1345" s="394" t="s">
        <v>664</v>
      </c>
      <c r="G1345" s="405" t="s">
        <v>1078</v>
      </c>
      <c r="H1345" s="49">
        <v>2951</v>
      </c>
      <c r="I1345" s="50" t="s">
        <v>1</v>
      </c>
      <c r="J1345" s="76" t="s">
        <v>504</v>
      </c>
      <c r="K1345" s="51">
        <v>41044</v>
      </c>
      <c r="L1345" s="173">
        <v>41039</v>
      </c>
      <c r="M1345" s="50">
        <f t="shared" si="59"/>
        <v>5</v>
      </c>
      <c r="N1345" s="50" t="s">
        <v>2</v>
      </c>
      <c r="O1345" s="74">
        <f>5/2</f>
        <v>2.5</v>
      </c>
      <c r="P1345" s="50">
        <v>6.8</v>
      </c>
      <c r="Q1345" s="74">
        <v>8.3699999999999992</v>
      </c>
      <c r="R1345" s="50">
        <v>57</v>
      </c>
      <c r="S1345" s="74">
        <v>100</v>
      </c>
      <c r="T1345" s="50">
        <f>0.1/2</f>
        <v>0.05</v>
      </c>
      <c r="U1345" s="131">
        <f>1/2</f>
        <v>0.5</v>
      </c>
      <c r="V1345" s="50">
        <v>0.22</v>
      </c>
      <c r="W1345" s="74">
        <f>0.04/2</f>
        <v>0.02</v>
      </c>
      <c r="X1345" s="50">
        <v>9.6000000000000002E-2</v>
      </c>
      <c r="Y1345" s="74">
        <f>0.013/2</f>
        <v>6.4999999999999997E-3</v>
      </c>
    </row>
    <row r="1346" spans="1:46" ht="15" customHeight="1">
      <c r="A1346" s="41" t="s">
        <v>183</v>
      </c>
      <c r="B1346" s="402" t="s">
        <v>532</v>
      </c>
      <c r="C1346" s="113" t="s">
        <v>1048</v>
      </c>
      <c r="D1346" s="393" t="s">
        <v>1896</v>
      </c>
      <c r="E1346" s="394" t="s">
        <v>1538</v>
      </c>
      <c r="G1346" s="405" t="s">
        <v>1049</v>
      </c>
      <c r="H1346" s="74">
        <v>3273</v>
      </c>
      <c r="I1346" s="50" t="s">
        <v>1</v>
      </c>
      <c r="J1346" s="76" t="s">
        <v>593</v>
      </c>
      <c r="K1346" s="51">
        <v>41044</v>
      </c>
      <c r="L1346" s="173">
        <v>41039</v>
      </c>
      <c r="M1346" s="50">
        <f t="shared" si="59"/>
        <v>5</v>
      </c>
      <c r="N1346" s="50" t="s">
        <v>2</v>
      </c>
      <c r="O1346" s="74">
        <f>5/2</f>
        <v>2.5</v>
      </c>
      <c r="P1346" s="50">
        <v>5.5</v>
      </c>
      <c r="Q1346" s="74">
        <v>10.119999999999999</v>
      </c>
      <c r="R1346" s="50">
        <v>160</v>
      </c>
      <c r="S1346" s="74">
        <v>310</v>
      </c>
      <c r="T1346" s="50">
        <f>0.1/2</f>
        <v>0.05</v>
      </c>
      <c r="U1346" s="131">
        <v>1.5</v>
      </c>
      <c r="V1346" s="50">
        <v>2.1</v>
      </c>
      <c r="W1346" s="74">
        <v>4.8000000000000001E-2</v>
      </c>
      <c r="X1346" s="50">
        <v>0.2</v>
      </c>
      <c r="Y1346" s="74">
        <v>3.6999999999999998E-2</v>
      </c>
    </row>
    <row r="1347" spans="1:46" ht="15" customHeight="1">
      <c r="A1347" s="41" t="s">
        <v>183</v>
      </c>
      <c r="B1347" s="402" t="s">
        <v>532</v>
      </c>
      <c r="C1347" s="113" t="s">
        <v>1048</v>
      </c>
      <c r="D1347" s="393" t="s">
        <v>1896</v>
      </c>
      <c r="E1347" s="394" t="s">
        <v>1538</v>
      </c>
      <c r="G1347" s="405" t="s">
        <v>1049</v>
      </c>
      <c r="H1347" s="74">
        <v>3273</v>
      </c>
      <c r="I1347" s="50" t="s">
        <v>1</v>
      </c>
      <c r="J1347" s="339" t="s">
        <v>477</v>
      </c>
      <c r="K1347" s="51">
        <v>41044</v>
      </c>
      <c r="L1347" s="173">
        <v>41039</v>
      </c>
      <c r="M1347" s="50">
        <f t="shared" si="59"/>
        <v>5</v>
      </c>
      <c r="N1347" s="50" t="s">
        <v>2</v>
      </c>
      <c r="O1347" s="74">
        <f>5/2</f>
        <v>2.5</v>
      </c>
      <c r="P1347" s="50">
        <v>5.5</v>
      </c>
      <c r="Q1347" s="74">
        <v>7.9</v>
      </c>
      <c r="R1347" s="50">
        <v>31</v>
      </c>
      <c r="S1347" s="74">
        <v>22</v>
      </c>
      <c r="T1347" s="50">
        <f>0.1/2</f>
        <v>0.05</v>
      </c>
      <c r="U1347" s="131">
        <f>1/2</f>
        <v>0.5</v>
      </c>
      <c r="V1347" s="50">
        <v>0.22</v>
      </c>
      <c r="W1347" s="74">
        <f>0.04/2</f>
        <v>0.02</v>
      </c>
      <c r="X1347" s="50">
        <v>0.16</v>
      </c>
      <c r="Y1347" s="74">
        <f>0.013/2</f>
        <v>6.4999999999999997E-3</v>
      </c>
    </row>
    <row r="1348" spans="1:46" ht="15" customHeight="1">
      <c r="A1348" s="41" t="s">
        <v>183</v>
      </c>
      <c r="B1348" s="402" t="s">
        <v>4216</v>
      </c>
      <c r="C1348" s="113" t="s">
        <v>4217</v>
      </c>
      <c r="D1348" s="393" t="s">
        <v>3090</v>
      </c>
      <c r="E1348" s="394" t="s">
        <v>4218</v>
      </c>
      <c r="F1348" s="402" t="s">
        <v>4591</v>
      </c>
      <c r="G1348" s="405" t="s">
        <v>4220</v>
      </c>
      <c r="H1348" s="74">
        <v>4212</v>
      </c>
      <c r="I1348" s="50" t="s">
        <v>2</v>
      </c>
      <c r="J1348" s="339" t="s">
        <v>510</v>
      </c>
      <c r="K1348" s="51">
        <v>41030</v>
      </c>
      <c r="L1348" s="173">
        <v>41025</v>
      </c>
      <c r="M1348" s="50">
        <f t="shared" si="59"/>
        <v>5</v>
      </c>
      <c r="N1348" s="50" t="s">
        <v>2</v>
      </c>
      <c r="O1348" s="74">
        <f>1.4/2</f>
        <v>0.7</v>
      </c>
      <c r="P1348" s="50">
        <v>6.5</v>
      </c>
      <c r="Q1348" s="74">
        <v>7.15</v>
      </c>
      <c r="R1348" s="50">
        <v>13</v>
      </c>
      <c r="S1348" s="74">
        <v>71</v>
      </c>
      <c r="T1348" s="50">
        <v>0.18</v>
      </c>
      <c r="U1348" s="131">
        <v>0.56000000000000005</v>
      </c>
      <c r="V1348" s="50">
        <v>0.2</v>
      </c>
      <c r="W1348" s="74">
        <v>1.6E-2</v>
      </c>
      <c r="X1348" s="50">
        <v>9.9000000000000005E-2</v>
      </c>
      <c r="Y1348" s="74">
        <v>1.2999999999999999E-2</v>
      </c>
      <c r="Z1348" s="271">
        <v>1</v>
      </c>
      <c r="AA1348" s="271">
        <v>1</v>
      </c>
      <c r="AB1348" s="114">
        <v>8</v>
      </c>
      <c r="AC1348" s="50">
        <v>23</v>
      </c>
      <c r="AD1348" s="271">
        <v>1</v>
      </c>
    </row>
    <row r="1349" spans="1:46" ht="15" customHeight="1">
      <c r="A1349" s="74" t="s">
        <v>4668</v>
      </c>
      <c r="B1349" s="402" t="s">
        <v>590</v>
      </c>
      <c r="C1349" s="113" t="s">
        <v>604</v>
      </c>
      <c r="D1349" s="393" t="s">
        <v>308</v>
      </c>
      <c r="E1349" s="394" t="s">
        <v>235</v>
      </c>
      <c r="G1349" s="405" t="s">
        <v>605</v>
      </c>
      <c r="H1349" s="74">
        <v>7538</v>
      </c>
      <c r="I1349" s="50" t="s">
        <v>2</v>
      </c>
      <c r="J1349" s="61" t="s">
        <v>474</v>
      </c>
      <c r="K1349" s="51">
        <v>41170</v>
      </c>
      <c r="L1349" s="173">
        <v>41160</v>
      </c>
      <c r="M1349" s="50">
        <f t="shared" si="59"/>
        <v>10</v>
      </c>
      <c r="N1349" s="50" t="s">
        <v>2</v>
      </c>
      <c r="Z1349" s="271">
        <v>1</v>
      </c>
      <c r="AA1349" s="271">
        <v>1</v>
      </c>
      <c r="AB1349" s="114">
        <v>10</v>
      </c>
      <c r="AC1349" s="50">
        <v>41</v>
      </c>
      <c r="AD1349" s="271">
        <v>1</v>
      </c>
    </row>
    <row r="1350" spans="1:46" ht="15" customHeight="1">
      <c r="A1350" s="41" t="s">
        <v>183</v>
      </c>
      <c r="B1350" s="402" t="s">
        <v>3053</v>
      </c>
      <c r="C1350" s="113" t="s">
        <v>3054</v>
      </c>
      <c r="D1350" s="393" t="s">
        <v>567</v>
      </c>
      <c r="E1350" s="394" t="s">
        <v>1538</v>
      </c>
      <c r="F1350" s="86"/>
      <c r="G1350" s="405" t="s">
        <v>2414</v>
      </c>
      <c r="H1350" s="74">
        <v>4952</v>
      </c>
      <c r="I1350" s="50" t="s">
        <v>2</v>
      </c>
      <c r="J1350" s="48" t="s">
        <v>1144</v>
      </c>
      <c r="K1350" s="51">
        <v>41116</v>
      </c>
      <c r="L1350" s="173"/>
      <c r="N1350" s="50" t="s">
        <v>2</v>
      </c>
      <c r="O1350" s="74">
        <f>5/2</f>
        <v>2.5</v>
      </c>
      <c r="P1350" s="50">
        <v>6.48</v>
      </c>
      <c r="Q1350" s="74">
        <v>6.44</v>
      </c>
      <c r="R1350" s="50">
        <v>160</v>
      </c>
      <c r="S1350" s="74">
        <v>20</v>
      </c>
      <c r="T1350" s="50">
        <v>0.28000000000000003</v>
      </c>
      <c r="U1350" s="131">
        <v>1.5</v>
      </c>
      <c r="V1350" s="50">
        <v>0.52</v>
      </c>
      <c r="W1350" s="74">
        <v>0.04</v>
      </c>
      <c r="X1350" s="50">
        <v>0.18</v>
      </c>
      <c r="Y1350" s="74">
        <f>0.013/2</f>
        <v>6.4999999999999997E-3</v>
      </c>
    </row>
    <row r="1351" spans="1:46" ht="15" customHeight="1">
      <c r="A1351" s="41" t="s">
        <v>183</v>
      </c>
      <c r="B1351" s="402" t="s">
        <v>3053</v>
      </c>
      <c r="C1351" s="113" t="s">
        <v>3054</v>
      </c>
      <c r="D1351" s="393" t="s">
        <v>567</v>
      </c>
      <c r="E1351" s="394" t="s">
        <v>1538</v>
      </c>
      <c r="F1351" s="86"/>
      <c r="G1351" s="405" t="s">
        <v>2414</v>
      </c>
      <c r="H1351" s="74">
        <v>4952</v>
      </c>
      <c r="I1351" s="50" t="s">
        <v>2</v>
      </c>
      <c r="J1351" s="48" t="s">
        <v>1716</v>
      </c>
      <c r="K1351" s="51">
        <v>41116</v>
      </c>
      <c r="L1351" s="173"/>
      <c r="N1351" s="50" t="s">
        <v>2</v>
      </c>
      <c r="O1351" s="74">
        <f>5/2</f>
        <v>2.5</v>
      </c>
      <c r="P1351" s="50">
        <v>6.48</v>
      </c>
      <c r="Q1351" s="74">
        <v>6.17</v>
      </c>
      <c r="R1351" s="50">
        <v>27</v>
      </c>
      <c r="S1351" s="74">
        <f>5/2</f>
        <v>2.5</v>
      </c>
      <c r="T1351" s="50">
        <f>0.1/2</f>
        <v>0.05</v>
      </c>
      <c r="U1351" s="131">
        <v>1</v>
      </c>
      <c r="V1351" s="50">
        <v>0.38</v>
      </c>
      <c r="W1351" s="74">
        <f>0.04/2</f>
        <v>0.02</v>
      </c>
      <c r="X1351" s="50">
        <v>0.02</v>
      </c>
      <c r="Y1351" s="74">
        <f>0.013/2</f>
        <v>6.4999999999999997E-3</v>
      </c>
    </row>
    <row r="1352" spans="1:46" ht="15" customHeight="1">
      <c r="A1352" s="41" t="s">
        <v>183</v>
      </c>
      <c r="B1352" s="402" t="s">
        <v>4566</v>
      </c>
      <c r="C1352" s="113" t="s">
        <v>3035</v>
      </c>
      <c r="D1352" s="393" t="s">
        <v>567</v>
      </c>
      <c r="E1352" s="394" t="s">
        <v>1714</v>
      </c>
      <c r="G1352" s="405" t="s">
        <v>3036</v>
      </c>
      <c r="H1352" s="74">
        <v>4493</v>
      </c>
      <c r="J1352" s="48" t="s">
        <v>1144</v>
      </c>
      <c r="K1352" s="51">
        <v>41417</v>
      </c>
      <c r="L1352" s="173"/>
      <c r="N1352" s="50" t="s">
        <v>2</v>
      </c>
      <c r="O1352" s="74">
        <f>5/2</f>
        <v>2.5</v>
      </c>
      <c r="P1352" s="50">
        <v>6.33</v>
      </c>
      <c r="Q1352" s="74">
        <v>6.87</v>
      </c>
      <c r="R1352" s="50">
        <v>150</v>
      </c>
      <c r="S1352" s="74">
        <v>28</v>
      </c>
      <c r="T1352" s="50">
        <v>0.7</v>
      </c>
      <c r="U1352" s="131">
        <v>3.6</v>
      </c>
      <c r="V1352" s="50">
        <v>0.5</v>
      </c>
      <c r="W1352" s="74">
        <v>4.4999999999999998E-2</v>
      </c>
      <c r="X1352" s="50">
        <v>0.24</v>
      </c>
      <c r="Y1352" s="74">
        <v>4.4999999999999998E-2</v>
      </c>
      <c r="Z1352" s="271">
        <v>1</v>
      </c>
      <c r="AA1352" s="271">
        <v>1</v>
      </c>
      <c r="AB1352" s="114">
        <v>21</v>
      </c>
      <c r="AC1352" s="50">
        <v>168</v>
      </c>
      <c r="AD1352" s="271">
        <v>1</v>
      </c>
    </row>
    <row r="1353" spans="1:46" ht="15" customHeight="1">
      <c r="A1353" s="41" t="s">
        <v>183</v>
      </c>
      <c r="B1353" s="402" t="s">
        <v>3198</v>
      </c>
      <c r="C1353" s="113" t="s">
        <v>3199</v>
      </c>
      <c r="D1353" s="393" t="s">
        <v>443</v>
      </c>
      <c r="E1353" s="394" t="s">
        <v>3200</v>
      </c>
      <c r="G1353" s="405" t="s">
        <v>3201</v>
      </c>
      <c r="H1353" s="74">
        <v>4151</v>
      </c>
      <c r="I1353" s="50" t="s">
        <v>2</v>
      </c>
      <c r="J1353" s="339" t="s">
        <v>3144</v>
      </c>
      <c r="K1353" s="51">
        <v>41345</v>
      </c>
      <c r="L1353" s="173">
        <v>41339</v>
      </c>
      <c r="M1353" s="50">
        <f t="shared" ref="M1353:M1379" si="60">K1353-L1353</f>
        <v>6</v>
      </c>
      <c r="N1353" s="50" t="s">
        <v>2</v>
      </c>
      <c r="O1353" s="74">
        <f>2/2</f>
        <v>1</v>
      </c>
      <c r="P1353" s="50">
        <v>6.1</v>
      </c>
      <c r="Q1353" s="74">
        <v>6.6</v>
      </c>
      <c r="R1353" s="50">
        <f>10/2</f>
        <v>5</v>
      </c>
      <c r="S1353" s="74">
        <v>184</v>
      </c>
      <c r="T1353" s="50">
        <v>0.08</v>
      </c>
      <c r="U1353" s="131">
        <v>0.22</v>
      </c>
      <c r="V1353" s="50">
        <v>0.16</v>
      </c>
      <c r="W1353" s="74">
        <v>2.1999999999999999E-2</v>
      </c>
      <c r="X1353" s="50">
        <v>4.5999999999999999E-2</v>
      </c>
      <c r="Y1353" s="74">
        <f>0.03/2</f>
        <v>1.4999999999999999E-2</v>
      </c>
      <c r="Z1353" s="271">
        <v>1</v>
      </c>
      <c r="AA1353" s="271">
        <v>1</v>
      </c>
      <c r="AB1353" s="114">
        <v>4</v>
      </c>
      <c r="AC1353" s="50">
        <v>28</v>
      </c>
      <c r="AD1353" s="271">
        <v>1</v>
      </c>
    </row>
    <row r="1354" spans="1:46" ht="15" customHeight="1">
      <c r="A1354" s="41" t="s">
        <v>183</v>
      </c>
      <c r="B1354" s="402" t="s">
        <v>4567</v>
      </c>
      <c r="D1354" s="393" t="s">
        <v>251</v>
      </c>
      <c r="G1354" s="405" t="s">
        <v>4568</v>
      </c>
      <c r="H1354" s="74"/>
      <c r="J1354" s="339" t="s">
        <v>3144</v>
      </c>
      <c r="K1354" s="51">
        <v>41260</v>
      </c>
      <c r="L1354" s="173">
        <v>41254</v>
      </c>
      <c r="M1354" s="50">
        <f t="shared" si="60"/>
        <v>6</v>
      </c>
      <c r="N1354" s="50" t="s">
        <v>2</v>
      </c>
      <c r="O1354" s="74">
        <v>6.9</v>
      </c>
      <c r="P1354" s="50">
        <v>5.4</v>
      </c>
      <c r="Q1354" s="74">
        <v>7.6</v>
      </c>
      <c r="R1354" s="50">
        <v>52.7</v>
      </c>
      <c r="S1354" s="74">
        <f>25/2</f>
        <v>12.5</v>
      </c>
      <c r="T1354" s="50">
        <f>0.1/2</f>
        <v>0.05</v>
      </c>
      <c r="U1354" s="131">
        <v>1.4</v>
      </c>
      <c r="V1354" s="50">
        <f>0.05/2</f>
        <v>2.5000000000000001E-2</v>
      </c>
      <c r="W1354" s="74">
        <f>0.02/2</f>
        <v>0.01</v>
      </c>
      <c r="X1354" s="50">
        <f>0.05/2</f>
        <v>2.5000000000000001E-2</v>
      </c>
      <c r="Y1354" s="74">
        <v>1E-3</v>
      </c>
    </row>
    <row r="1355" spans="1:46" ht="15" customHeight="1">
      <c r="A1355" s="41" t="s">
        <v>183</v>
      </c>
      <c r="B1355" s="402" t="s">
        <v>830</v>
      </c>
      <c r="C1355" s="113" t="s">
        <v>831</v>
      </c>
      <c r="D1355" s="393" t="s">
        <v>397</v>
      </c>
      <c r="E1355" s="394" t="s">
        <v>398</v>
      </c>
      <c r="G1355" s="405" t="s">
        <v>832</v>
      </c>
      <c r="H1355" s="74">
        <v>4173</v>
      </c>
      <c r="I1355" s="50" t="s">
        <v>1</v>
      </c>
      <c r="J1355" s="61" t="s">
        <v>833</v>
      </c>
      <c r="K1355" s="51">
        <v>41259</v>
      </c>
      <c r="L1355" s="173">
        <v>41253</v>
      </c>
      <c r="M1355" s="50">
        <f t="shared" si="60"/>
        <v>6</v>
      </c>
      <c r="N1355" s="50" t="s">
        <v>2</v>
      </c>
      <c r="O1355" s="74">
        <f>2/2</f>
        <v>1</v>
      </c>
      <c r="P1355" s="50">
        <v>5.8</v>
      </c>
      <c r="Q1355" s="74">
        <v>7.1</v>
      </c>
      <c r="R1355" s="50">
        <v>23</v>
      </c>
      <c r="S1355" s="74">
        <v>57</v>
      </c>
      <c r="T1355" s="50">
        <v>0.14000000000000001</v>
      </c>
      <c r="U1355" s="131">
        <v>0.68</v>
      </c>
      <c r="V1355" s="50">
        <v>0.28000000000000003</v>
      </c>
      <c r="W1355" s="74">
        <v>9.7000000000000003E-3</v>
      </c>
      <c r="X1355" s="50">
        <v>3.9E-2</v>
      </c>
      <c r="Y1355" s="74">
        <v>4.0000000000000001E-3</v>
      </c>
      <c r="AE1355" s="50">
        <f>10/2</f>
        <v>5</v>
      </c>
      <c r="AI1355" s="114">
        <f>10/2</f>
        <v>5</v>
      </c>
    </row>
    <row r="1356" spans="1:46" ht="15" customHeight="1">
      <c r="A1356" s="41" t="s">
        <v>183</v>
      </c>
      <c r="B1356" s="402" t="s">
        <v>830</v>
      </c>
      <c r="C1356" s="113" t="s">
        <v>831</v>
      </c>
      <c r="D1356" s="393" t="s">
        <v>397</v>
      </c>
      <c r="E1356" s="394" t="s">
        <v>398</v>
      </c>
      <c r="G1356" s="405" t="s">
        <v>832</v>
      </c>
      <c r="H1356" s="74">
        <v>4173</v>
      </c>
      <c r="I1356" s="50" t="s">
        <v>1</v>
      </c>
      <c r="J1356" s="339" t="s">
        <v>834</v>
      </c>
      <c r="K1356" s="51">
        <v>41259</v>
      </c>
      <c r="L1356" s="173">
        <v>41253</v>
      </c>
      <c r="M1356" s="50">
        <f t="shared" si="60"/>
        <v>6</v>
      </c>
      <c r="N1356" s="50" t="s">
        <v>2</v>
      </c>
      <c r="O1356" s="74">
        <v>2.4</v>
      </c>
      <c r="P1356" s="50">
        <v>5.8</v>
      </c>
      <c r="Q1356" s="74">
        <v>5.6</v>
      </c>
      <c r="R1356" s="50">
        <v>17</v>
      </c>
      <c r="S1356" s="74">
        <v>7.6</v>
      </c>
      <c r="T1356" s="50">
        <v>3.6999999999999998E-2</v>
      </c>
      <c r="U1356" s="131">
        <v>0.63</v>
      </c>
      <c r="V1356" s="50">
        <v>0.38</v>
      </c>
      <c r="W1356" s="74">
        <v>5.7000000000000002E-3</v>
      </c>
      <c r="X1356" s="50">
        <v>4.8000000000000001E-2</v>
      </c>
      <c r="Y1356" s="74">
        <f>0.002/2</f>
        <v>1E-3</v>
      </c>
      <c r="AE1356" s="50">
        <v>80</v>
      </c>
      <c r="AI1356" s="114">
        <v>230</v>
      </c>
    </row>
    <row r="1357" spans="1:46" ht="15" customHeight="1">
      <c r="A1357" s="41" t="s">
        <v>183</v>
      </c>
      <c r="B1357" s="402" t="s">
        <v>4569</v>
      </c>
      <c r="D1357" s="393" t="s">
        <v>41</v>
      </c>
      <c r="E1357" s="394" t="s">
        <v>4570</v>
      </c>
      <c r="F1357" s="402">
        <v>4404</v>
      </c>
      <c r="G1357" s="405" t="s">
        <v>4571</v>
      </c>
      <c r="H1357" s="74">
        <v>3827</v>
      </c>
      <c r="I1357" s="50" t="s">
        <v>2</v>
      </c>
      <c r="J1357" s="339" t="s">
        <v>81</v>
      </c>
      <c r="K1357" s="51">
        <v>41264</v>
      </c>
      <c r="L1357" s="173">
        <v>41261</v>
      </c>
      <c r="M1357" s="50">
        <f t="shared" si="60"/>
        <v>3</v>
      </c>
      <c r="N1357" s="50" t="s">
        <v>2</v>
      </c>
      <c r="O1357" s="74">
        <f>1.6/2</f>
        <v>0.8</v>
      </c>
      <c r="P1357" s="50">
        <v>6.5</v>
      </c>
      <c r="Q1357" s="74">
        <v>6.74</v>
      </c>
      <c r="R1357" s="50">
        <f>10/2</f>
        <v>5</v>
      </c>
      <c r="S1357" s="74">
        <v>7.5</v>
      </c>
      <c r="T1357" s="50">
        <v>0.03</v>
      </c>
      <c r="U1357" s="131">
        <v>0.24</v>
      </c>
      <c r="V1357" s="50">
        <v>0.05</v>
      </c>
      <c r="W1357" s="74">
        <f>0.005/2</f>
        <v>2.5000000000000001E-3</v>
      </c>
      <c r="X1357" s="50">
        <v>4.3999999999999997E-2</v>
      </c>
      <c r="Y1357" s="74">
        <f>0.002/2</f>
        <v>1E-3</v>
      </c>
      <c r="Z1357" s="271">
        <v>1</v>
      </c>
      <c r="AA1357" s="271">
        <v>1</v>
      </c>
      <c r="AB1357" s="114">
        <v>4</v>
      </c>
      <c r="AC1357" s="50">
        <v>37</v>
      </c>
      <c r="AD1357" s="271">
        <v>1</v>
      </c>
    </row>
    <row r="1358" spans="1:46" ht="15" customHeight="1">
      <c r="A1358" s="41" t="s">
        <v>183</v>
      </c>
      <c r="B1358" s="402" t="s">
        <v>4415</v>
      </c>
      <c r="D1358" s="393" t="s">
        <v>89</v>
      </c>
      <c r="E1358" s="394" t="s">
        <v>535</v>
      </c>
      <c r="G1358" s="405" t="s">
        <v>4416</v>
      </c>
      <c r="H1358" s="74">
        <v>2434</v>
      </c>
      <c r="I1358" s="50" t="s">
        <v>1</v>
      </c>
      <c r="J1358" s="339"/>
      <c r="K1358" s="51">
        <v>41201</v>
      </c>
      <c r="L1358" s="173">
        <v>41197</v>
      </c>
      <c r="M1358" s="50">
        <f t="shared" si="60"/>
        <v>4</v>
      </c>
      <c r="N1358" s="50" t="s">
        <v>2</v>
      </c>
      <c r="O1358" s="74">
        <f>0.5/2</f>
        <v>0.25</v>
      </c>
      <c r="P1358" s="50">
        <v>5.98</v>
      </c>
      <c r="Q1358" s="74">
        <v>6.6</v>
      </c>
      <c r="R1358" s="50">
        <v>17</v>
      </c>
      <c r="S1358" s="74">
        <v>6</v>
      </c>
      <c r="T1358" s="50">
        <v>1.7000000000000001E-2</v>
      </c>
      <c r="U1358" s="131">
        <v>1.4</v>
      </c>
      <c r="V1358" s="50">
        <f>0.05/2</f>
        <v>2.5000000000000001E-2</v>
      </c>
      <c r="W1358" s="74">
        <f>0.005/2</f>
        <v>2.5000000000000001E-3</v>
      </c>
      <c r="X1358" s="50">
        <v>0.03</v>
      </c>
      <c r="Y1358" s="74">
        <f>0.005/2</f>
        <v>2.5000000000000001E-3</v>
      </c>
      <c r="Z1358" s="271">
        <v>1</v>
      </c>
      <c r="AA1358" s="271">
        <v>1</v>
      </c>
      <c r="AB1358" s="114">
        <v>4</v>
      </c>
      <c r="AC1358" s="50">
        <v>32</v>
      </c>
      <c r="AD1358" s="271">
        <v>1</v>
      </c>
      <c r="AE1358" s="50">
        <v>651</v>
      </c>
      <c r="AT1358" s="74">
        <f>0.0002/2</f>
        <v>1E-4</v>
      </c>
    </row>
    <row r="1359" spans="1:46" ht="15" customHeight="1">
      <c r="A1359" s="41" t="s">
        <v>183</v>
      </c>
      <c r="B1359" s="402" t="s">
        <v>2122</v>
      </c>
      <c r="D1359" s="393" t="s">
        <v>56</v>
      </c>
      <c r="E1359" s="394" t="s">
        <v>112</v>
      </c>
      <c r="G1359" s="405" t="s">
        <v>3611</v>
      </c>
      <c r="H1359" s="74">
        <v>4231</v>
      </c>
      <c r="I1359" s="50" t="s">
        <v>1</v>
      </c>
      <c r="J1359" s="339" t="s">
        <v>2118</v>
      </c>
      <c r="K1359" s="51">
        <v>41170</v>
      </c>
      <c r="L1359" s="173">
        <v>41161</v>
      </c>
      <c r="M1359" s="50">
        <f t="shared" si="60"/>
        <v>9</v>
      </c>
      <c r="N1359" s="50" t="s">
        <v>2</v>
      </c>
      <c r="O1359" s="74">
        <v>1.8</v>
      </c>
      <c r="P1359" s="50">
        <v>7.2</v>
      </c>
      <c r="Q1359" s="74">
        <v>6.8</v>
      </c>
      <c r="R1359" s="50">
        <v>36</v>
      </c>
      <c r="S1359" s="74">
        <v>11</v>
      </c>
      <c r="T1359" s="50">
        <v>0.06</v>
      </c>
      <c r="U1359" s="131">
        <v>0.42</v>
      </c>
      <c r="V1359" s="50">
        <v>0.18</v>
      </c>
      <c r="W1359" s="74">
        <v>0.1</v>
      </c>
      <c r="X1359" s="50">
        <v>0.14699999999999999</v>
      </c>
      <c r="Y1359" s="74">
        <v>1.4E-2</v>
      </c>
      <c r="AI1359" s="160" t="s">
        <v>1535</v>
      </c>
      <c r="AJ1359" s="160" t="s">
        <v>1535</v>
      </c>
    </row>
    <row r="1360" spans="1:46" ht="15" customHeight="1">
      <c r="A1360" s="41" t="s">
        <v>183</v>
      </c>
      <c r="B1360" s="402" t="s">
        <v>4572</v>
      </c>
      <c r="D1360" s="393" t="s">
        <v>372</v>
      </c>
      <c r="E1360" s="394" t="s">
        <v>4573</v>
      </c>
      <c r="F1360" s="402" t="s">
        <v>4574</v>
      </c>
      <c r="G1360" s="405" t="s">
        <v>4575</v>
      </c>
      <c r="H1360" s="74">
        <v>3451</v>
      </c>
      <c r="I1360" s="50" t="s">
        <v>2</v>
      </c>
      <c r="J1360" s="339" t="s">
        <v>641</v>
      </c>
      <c r="K1360" s="51">
        <v>41149</v>
      </c>
      <c r="L1360" s="173">
        <v>41139</v>
      </c>
      <c r="M1360" s="50">
        <f t="shared" si="60"/>
        <v>10</v>
      </c>
      <c r="N1360" s="50" t="s">
        <v>2</v>
      </c>
      <c r="O1360" s="74">
        <v>1.4</v>
      </c>
      <c r="P1360" s="50">
        <v>6.08</v>
      </c>
      <c r="Q1360" s="74">
        <v>6.13</v>
      </c>
      <c r="R1360" s="50">
        <v>32</v>
      </c>
      <c r="S1360" s="74">
        <f>5/2</f>
        <v>2.5</v>
      </c>
      <c r="T1360" s="50">
        <v>7.0000000000000007E-2</v>
      </c>
      <c r="U1360" s="131">
        <v>1.26</v>
      </c>
      <c r="V1360" s="50">
        <v>0.28999999999999998</v>
      </c>
      <c r="W1360" s="74">
        <v>0.02</v>
      </c>
      <c r="X1360" s="50">
        <v>0.03</v>
      </c>
      <c r="Y1360" s="74">
        <f>0.002/2</f>
        <v>1E-3</v>
      </c>
      <c r="Z1360" s="271">
        <v>1</v>
      </c>
      <c r="AA1360" s="271">
        <v>0.70699999999999996</v>
      </c>
      <c r="AB1360" s="114">
        <v>4</v>
      </c>
      <c r="AC1360" s="50">
        <v>19</v>
      </c>
      <c r="AD1360" s="271">
        <v>0</v>
      </c>
    </row>
    <row r="1361" spans="1:79" ht="15" customHeight="1">
      <c r="A1361" s="41" t="s">
        <v>183</v>
      </c>
      <c r="B1361" s="402" t="s">
        <v>3246</v>
      </c>
      <c r="C1361" s="113" t="s">
        <v>3246</v>
      </c>
      <c r="D1361" s="393" t="s">
        <v>480</v>
      </c>
      <c r="E1361" s="394" t="s">
        <v>1486</v>
      </c>
      <c r="G1361" s="405" t="s">
        <v>3247</v>
      </c>
      <c r="H1361" s="113">
        <v>5093</v>
      </c>
      <c r="I1361" s="49" t="s">
        <v>1</v>
      </c>
      <c r="J1361" s="48" t="s">
        <v>510</v>
      </c>
      <c r="K1361" s="51">
        <v>41170</v>
      </c>
      <c r="L1361" s="173">
        <v>41166</v>
      </c>
      <c r="M1361" s="50">
        <f t="shared" si="60"/>
        <v>4</v>
      </c>
      <c r="N1361" s="50" t="s">
        <v>2</v>
      </c>
      <c r="O1361" s="74">
        <v>2</v>
      </c>
      <c r="P1361" s="50">
        <v>3.99</v>
      </c>
      <c r="Q1361" s="74">
        <v>6.16</v>
      </c>
      <c r="R1361" s="50">
        <v>303</v>
      </c>
      <c r="S1361" s="74">
        <v>331</v>
      </c>
      <c r="T1361" s="50">
        <v>0.36</v>
      </c>
      <c r="U1361" s="131">
        <v>1.48</v>
      </c>
      <c r="V1361" s="50">
        <v>0.37</v>
      </c>
      <c r="W1361" s="74">
        <v>2.7E-2</v>
      </c>
      <c r="X1361" s="50">
        <v>0.40100000000000002</v>
      </c>
      <c r="Y1361" s="74">
        <v>1.2E-2</v>
      </c>
    </row>
    <row r="1362" spans="1:79" ht="15" customHeight="1">
      <c r="A1362" s="41" t="s">
        <v>183</v>
      </c>
      <c r="B1362" s="402" t="s">
        <v>3246</v>
      </c>
      <c r="C1362" s="113" t="s">
        <v>3246</v>
      </c>
      <c r="D1362" s="393" t="s">
        <v>480</v>
      </c>
      <c r="E1362" s="394" t="s">
        <v>1486</v>
      </c>
      <c r="G1362" s="405" t="s">
        <v>3247</v>
      </c>
      <c r="H1362" s="113">
        <v>5093</v>
      </c>
      <c r="I1362" s="49" t="s">
        <v>1</v>
      </c>
      <c r="J1362" s="48" t="s">
        <v>460</v>
      </c>
      <c r="K1362" s="51">
        <v>41170</v>
      </c>
      <c r="L1362" s="173">
        <v>41166</v>
      </c>
      <c r="M1362" s="50">
        <f t="shared" si="60"/>
        <v>4</v>
      </c>
      <c r="N1362" s="50" t="s">
        <v>2</v>
      </c>
      <c r="O1362" s="74">
        <f>1/2</f>
        <v>0.5</v>
      </c>
      <c r="P1362" s="50">
        <v>3.99</v>
      </c>
      <c r="Q1362" s="74">
        <v>7.42</v>
      </c>
      <c r="R1362" s="50">
        <v>18.7</v>
      </c>
      <c r="S1362" s="74">
        <v>30</v>
      </c>
      <c r="T1362" s="50">
        <v>0.28000000000000003</v>
      </c>
      <c r="U1362" s="131">
        <v>1.46</v>
      </c>
      <c r="V1362" s="50">
        <v>0.77</v>
      </c>
      <c r="W1362" s="74">
        <v>1.4E-2</v>
      </c>
      <c r="X1362" s="50">
        <v>0.20499999999999999</v>
      </c>
      <c r="Y1362" s="74">
        <f>0.002/2</f>
        <v>1E-3</v>
      </c>
    </row>
    <row r="1363" spans="1:79" ht="15" customHeight="1">
      <c r="A1363" s="41" t="s">
        <v>183</v>
      </c>
      <c r="B1363" s="402" t="s">
        <v>3246</v>
      </c>
      <c r="C1363" s="113" t="s">
        <v>3246</v>
      </c>
      <c r="D1363" s="393" t="s">
        <v>480</v>
      </c>
      <c r="E1363" s="394" t="s">
        <v>1486</v>
      </c>
      <c r="G1363" s="405" t="s">
        <v>3247</v>
      </c>
      <c r="H1363" s="113">
        <v>5093</v>
      </c>
      <c r="I1363" s="49" t="s">
        <v>1</v>
      </c>
      <c r="J1363" s="48" t="s">
        <v>357</v>
      </c>
      <c r="K1363" s="51">
        <v>41170</v>
      </c>
      <c r="L1363" s="173">
        <v>41166</v>
      </c>
      <c r="M1363" s="50">
        <f t="shared" si="60"/>
        <v>4</v>
      </c>
      <c r="N1363" s="50" t="s">
        <v>2</v>
      </c>
      <c r="O1363" s="74">
        <f>1/2</f>
        <v>0.5</v>
      </c>
      <c r="P1363" s="50">
        <v>3.99</v>
      </c>
      <c r="Q1363" s="74">
        <v>5.91</v>
      </c>
      <c r="R1363" s="50">
        <v>15</v>
      </c>
      <c r="S1363" s="74">
        <v>103</v>
      </c>
      <c r="T1363" s="50">
        <v>0.11</v>
      </c>
      <c r="U1363" s="131">
        <v>0.5</v>
      </c>
      <c r="V1363" s="50">
        <v>0.38</v>
      </c>
      <c r="W1363" s="74">
        <v>0.01</v>
      </c>
      <c r="X1363" s="50">
        <v>0.23899999999999999</v>
      </c>
      <c r="Y1363" s="74">
        <v>5.0000000000000001E-3</v>
      </c>
    </row>
    <row r="1364" spans="1:79" ht="15" customHeight="1">
      <c r="A1364" s="41" t="s">
        <v>183</v>
      </c>
      <c r="B1364" s="402" t="s">
        <v>4576</v>
      </c>
      <c r="C1364" s="113" t="s">
        <v>4577</v>
      </c>
      <c r="D1364" s="393" t="s">
        <v>2741</v>
      </c>
      <c r="E1364" s="394" t="s">
        <v>4578</v>
      </c>
      <c r="F1364" s="402" t="s">
        <v>4579</v>
      </c>
      <c r="G1364" s="405" t="s">
        <v>4580</v>
      </c>
      <c r="H1364" s="74">
        <v>1442</v>
      </c>
      <c r="I1364" s="50" t="s">
        <v>1</v>
      </c>
      <c r="J1364" s="339" t="s">
        <v>74</v>
      </c>
      <c r="K1364" s="51">
        <v>41170</v>
      </c>
      <c r="L1364" s="173">
        <v>41160</v>
      </c>
      <c r="M1364" s="50">
        <f t="shared" si="60"/>
        <v>10</v>
      </c>
      <c r="N1364" s="50" t="s">
        <v>2</v>
      </c>
      <c r="O1364" s="74">
        <f>2/2</f>
        <v>1</v>
      </c>
      <c r="P1364" s="50">
        <v>5</v>
      </c>
      <c r="Q1364" s="74">
        <v>3.5</v>
      </c>
      <c r="R1364" s="50">
        <f>10/2</f>
        <v>5</v>
      </c>
      <c r="S1364" s="74">
        <f>1/2</f>
        <v>0.5</v>
      </c>
      <c r="T1364" s="50">
        <f>0.05/2</f>
        <v>2.5000000000000001E-2</v>
      </c>
      <c r="U1364" s="131">
        <v>0.23</v>
      </c>
      <c r="V1364" s="50">
        <v>0.17</v>
      </c>
      <c r="W1364" s="74">
        <v>3.6999999999999998E-2</v>
      </c>
      <c r="X1364" s="50">
        <v>0.21099999999999999</v>
      </c>
      <c r="Y1364" s="74">
        <f>0.03/2</f>
        <v>1.4999999999999999E-2</v>
      </c>
    </row>
    <row r="1365" spans="1:79" ht="15" customHeight="1">
      <c r="A1365" s="41" t="s">
        <v>183</v>
      </c>
      <c r="B1365" s="402" t="s">
        <v>4576</v>
      </c>
      <c r="C1365" s="113" t="s">
        <v>4581</v>
      </c>
      <c r="D1365" s="393" t="s">
        <v>98</v>
      </c>
      <c r="E1365" s="394" t="s">
        <v>44</v>
      </c>
      <c r="F1365" s="402" t="s">
        <v>4582</v>
      </c>
      <c r="G1365" s="405" t="s">
        <v>4583</v>
      </c>
      <c r="H1365" s="74">
        <v>1442</v>
      </c>
      <c r="J1365" s="339" t="s">
        <v>74</v>
      </c>
      <c r="K1365" s="51">
        <v>41170</v>
      </c>
      <c r="L1365" s="173">
        <v>41160</v>
      </c>
      <c r="M1365" s="50">
        <f t="shared" si="60"/>
        <v>10</v>
      </c>
      <c r="N1365" s="50" t="s">
        <v>2</v>
      </c>
      <c r="O1365" s="74">
        <v>3</v>
      </c>
      <c r="P1365" s="50">
        <v>5</v>
      </c>
      <c r="Q1365" s="74">
        <v>8.4</v>
      </c>
      <c r="R1365" s="50">
        <v>90</v>
      </c>
      <c r="S1365" s="74">
        <v>2200</v>
      </c>
      <c r="T1365" s="50">
        <v>2.41</v>
      </c>
      <c r="U1365" s="131">
        <v>2.37</v>
      </c>
      <c r="V1365" s="50">
        <f>0.1/2</f>
        <v>0.05</v>
      </c>
      <c r="W1365" s="74">
        <v>0.122</v>
      </c>
      <c r="X1365" s="50">
        <v>0.23300000000000001</v>
      </c>
      <c r="Y1365" s="74">
        <v>0.04</v>
      </c>
    </row>
    <row r="1366" spans="1:79" ht="15" customHeight="1">
      <c r="A1366" s="41" t="s">
        <v>183</v>
      </c>
      <c r="B1366" s="402" t="s">
        <v>4576</v>
      </c>
      <c r="C1366" s="113" t="s">
        <v>4581</v>
      </c>
      <c r="D1366" s="393" t="s">
        <v>98</v>
      </c>
      <c r="E1366" s="394" t="s">
        <v>44</v>
      </c>
      <c r="F1366" s="402" t="s">
        <v>4582</v>
      </c>
      <c r="G1366" s="405" t="s">
        <v>4583</v>
      </c>
      <c r="H1366" s="74">
        <v>1442</v>
      </c>
      <c r="J1366" s="339" t="s">
        <v>75</v>
      </c>
      <c r="K1366" s="51">
        <v>41170</v>
      </c>
      <c r="L1366" s="173">
        <v>41160</v>
      </c>
      <c r="M1366" s="50">
        <f t="shared" si="60"/>
        <v>10</v>
      </c>
      <c r="N1366" s="50" t="s">
        <v>2</v>
      </c>
      <c r="O1366" s="74">
        <f>2/2</f>
        <v>1</v>
      </c>
      <c r="P1366" s="50">
        <v>5</v>
      </c>
      <c r="Q1366" s="74">
        <v>7.5</v>
      </c>
      <c r="R1366" s="50">
        <v>20</v>
      </c>
      <c r="S1366" s="74">
        <v>150</v>
      </c>
      <c r="T1366" s="50">
        <v>0.41</v>
      </c>
      <c r="U1366" s="131">
        <v>1.4</v>
      </c>
      <c r="V1366" s="50">
        <v>1.8</v>
      </c>
      <c r="W1366" s="74">
        <v>3.7999999999999999E-2</v>
      </c>
      <c r="X1366" s="50">
        <v>4.8000000000000001E-2</v>
      </c>
      <c r="Y1366" s="74">
        <f>0.03/2</f>
        <v>1.4999999999999999E-2</v>
      </c>
    </row>
    <row r="1367" spans="1:79" ht="15" customHeight="1">
      <c r="A1367" s="41" t="s">
        <v>183</v>
      </c>
      <c r="B1367" s="402" t="s">
        <v>4576</v>
      </c>
      <c r="C1367" s="113" t="s">
        <v>4581</v>
      </c>
      <c r="D1367" s="393" t="s">
        <v>98</v>
      </c>
      <c r="E1367" s="394" t="s">
        <v>44</v>
      </c>
      <c r="F1367" s="402" t="s">
        <v>4582</v>
      </c>
      <c r="G1367" s="405" t="s">
        <v>4583</v>
      </c>
      <c r="H1367" s="74">
        <v>1442</v>
      </c>
      <c r="J1367" s="339" t="s">
        <v>687</v>
      </c>
      <c r="K1367" s="51">
        <v>41170</v>
      </c>
      <c r="L1367" s="173">
        <v>41160</v>
      </c>
      <c r="M1367" s="50">
        <f t="shared" si="60"/>
        <v>10</v>
      </c>
      <c r="N1367" s="50" t="s">
        <v>2</v>
      </c>
      <c r="O1367" s="74">
        <f>2/2</f>
        <v>1</v>
      </c>
      <c r="P1367" s="50">
        <v>5</v>
      </c>
      <c r="Q1367" s="74">
        <v>7</v>
      </c>
      <c r="R1367" s="50">
        <v>19</v>
      </c>
      <c r="S1367" s="74">
        <v>140</v>
      </c>
      <c r="T1367" s="50">
        <v>0.36</v>
      </c>
      <c r="U1367" s="131">
        <v>1.29</v>
      </c>
      <c r="V1367" s="50">
        <v>1.77</v>
      </c>
      <c r="W1367" s="74">
        <v>3.3000000000000002E-2</v>
      </c>
      <c r="X1367" s="50">
        <v>4.2000000000000003E-2</v>
      </c>
      <c r="Y1367" s="74">
        <f>0.03/2</f>
        <v>1.4999999999999999E-2</v>
      </c>
    </row>
    <row r="1368" spans="1:79" ht="15" customHeight="1">
      <c r="A1368" s="404" t="s">
        <v>5618</v>
      </c>
      <c r="B1368" s="402" t="s">
        <v>2119</v>
      </c>
      <c r="C1368" s="113" t="s">
        <v>2117</v>
      </c>
      <c r="D1368" s="393" t="s">
        <v>56</v>
      </c>
      <c r="E1368" s="394" t="s">
        <v>112</v>
      </c>
      <c r="G1368" s="405" t="s">
        <v>3609</v>
      </c>
      <c r="H1368" s="74">
        <v>4226</v>
      </c>
      <c r="I1368" s="50" t="s">
        <v>1</v>
      </c>
      <c r="J1368" s="339" t="s">
        <v>2118</v>
      </c>
      <c r="K1368" s="51">
        <v>41170</v>
      </c>
      <c r="L1368" s="173">
        <v>41161</v>
      </c>
      <c r="M1368" s="50">
        <f t="shared" si="60"/>
        <v>9</v>
      </c>
      <c r="N1368" s="50" t="s">
        <v>2</v>
      </c>
      <c r="O1368" s="74">
        <v>1.9</v>
      </c>
      <c r="P1368" s="50">
        <v>7.28</v>
      </c>
      <c r="Q1368" s="74">
        <v>6.8</v>
      </c>
      <c r="R1368" s="50">
        <v>38</v>
      </c>
      <c r="S1368" s="74">
        <v>22</v>
      </c>
      <c r="T1368" s="50">
        <v>0.04</v>
      </c>
      <c r="U1368" s="131">
        <v>0.48</v>
      </c>
      <c r="V1368" s="50">
        <v>7.0000000000000007E-2</v>
      </c>
      <c r="W1368" s="74">
        <v>1.7999999999999999E-2</v>
      </c>
      <c r="X1368" s="50">
        <v>0.219</v>
      </c>
      <c r="Y1368" s="74">
        <v>2.7E-2</v>
      </c>
    </row>
    <row r="1369" spans="1:79" s="400" customFormat="1" ht="15" customHeight="1">
      <c r="A1369" s="41" t="s">
        <v>183</v>
      </c>
      <c r="B1369" s="386" t="s">
        <v>404</v>
      </c>
      <c r="C1369" s="149" t="s">
        <v>405</v>
      </c>
      <c r="D1369" s="392" t="s">
        <v>406</v>
      </c>
      <c r="E1369" s="258" t="s">
        <v>407</v>
      </c>
      <c r="F1369" s="386"/>
      <c r="G1369" s="405" t="s">
        <v>408</v>
      </c>
      <c r="H1369" s="387">
        <v>4952</v>
      </c>
      <c r="I1369" s="386" t="s">
        <v>2</v>
      </c>
      <c r="J1369" s="392" t="s">
        <v>3677</v>
      </c>
      <c r="K1369" s="403">
        <v>41030</v>
      </c>
      <c r="L1369" s="398">
        <v>41025</v>
      </c>
      <c r="M1369" s="402">
        <f t="shared" ref="M1369:M1370" si="61">K1369-L1369</f>
        <v>5</v>
      </c>
      <c r="N1369" s="402" t="s">
        <v>2</v>
      </c>
      <c r="O1369" s="404">
        <f>2/2</f>
        <v>1</v>
      </c>
      <c r="P1369" s="402">
        <v>6.39</v>
      </c>
      <c r="Q1369" s="404">
        <v>6.2</v>
      </c>
      <c r="R1369" s="402">
        <v>15</v>
      </c>
      <c r="S1369" s="404">
        <v>15</v>
      </c>
      <c r="T1369" s="402">
        <v>7.0000000000000007E-2</v>
      </c>
      <c r="U1369" s="395">
        <v>0.74</v>
      </c>
      <c r="V1369" s="402">
        <v>0.26</v>
      </c>
      <c r="W1369" s="404">
        <f>0.01/2</f>
        <v>5.0000000000000001E-3</v>
      </c>
      <c r="X1369" s="402">
        <v>5.1999999999999998E-2</v>
      </c>
      <c r="Y1369" s="404">
        <f t="shared" ref="Y1369:Y1374" si="62">0.03/2</f>
        <v>1.4999999999999999E-2</v>
      </c>
      <c r="Z1369" s="399"/>
      <c r="AA1369" s="399"/>
      <c r="AB1369" s="394"/>
      <c r="AC1369" s="402"/>
      <c r="AD1369" s="399"/>
      <c r="AE1369" s="402"/>
      <c r="AF1369" s="391"/>
      <c r="AG1369" s="394"/>
      <c r="AH1369" s="394"/>
      <c r="AI1369" s="394"/>
      <c r="AJ1369" s="394"/>
      <c r="AK1369" s="394"/>
      <c r="AL1369" s="394"/>
      <c r="AM1369" s="394"/>
      <c r="AN1369" s="394"/>
      <c r="AO1369" s="394"/>
      <c r="AP1369" s="394"/>
      <c r="AQ1369" s="394"/>
      <c r="AR1369" s="394"/>
      <c r="AS1369" s="402"/>
      <c r="AT1369" s="404"/>
      <c r="AU1369" s="394"/>
      <c r="AV1369" s="394"/>
      <c r="AW1369" s="394"/>
      <c r="AX1369" s="5"/>
      <c r="AY1369" s="5"/>
      <c r="AZ1369" s="5"/>
      <c r="BA1369" s="5"/>
      <c r="BB1369" s="5"/>
      <c r="BC1369" s="5"/>
      <c r="BD1369" s="5"/>
      <c r="BE1369" s="5"/>
      <c r="BF1369" s="5"/>
      <c r="BG1369" s="5"/>
      <c r="BH1369" s="5"/>
      <c r="BI1369" s="5"/>
      <c r="BJ1369" s="5"/>
      <c r="BK1369" s="5"/>
      <c r="BL1369" s="5"/>
      <c r="BM1369" s="5"/>
      <c r="BN1369" s="5"/>
      <c r="BO1369" s="5"/>
      <c r="BP1369" s="5"/>
      <c r="BQ1369" s="5"/>
      <c r="BR1369" s="5"/>
      <c r="BS1369" s="5"/>
      <c r="BT1369" s="5"/>
      <c r="BU1369" s="5"/>
      <c r="BV1369" s="5"/>
      <c r="BW1369" s="5"/>
      <c r="BX1369" s="5"/>
      <c r="BY1369" s="5"/>
      <c r="BZ1369" s="5"/>
      <c r="CA1369" s="5"/>
    </row>
    <row r="1370" spans="1:79" s="400" customFormat="1" ht="15" customHeight="1">
      <c r="A1370" s="41" t="s">
        <v>183</v>
      </c>
      <c r="B1370" s="386" t="s">
        <v>404</v>
      </c>
      <c r="C1370" s="149" t="s">
        <v>405</v>
      </c>
      <c r="D1370" s="392" t="s">
        <v>406</v>
      </c>
      <c r="E1370" s="258" t="s">
        <v>407</v>
      </c>
      <c r="F1370" s="386"/>
      <c r="G1370" s="405" t="s">
        <v>408</v>
      </c>
      <c r="H1370" s="387">
        <v>4952</v>
      </c>
      <c r="I1370" s="386" t="s">
        <v>2</v>
      </c>
      <c r="J1370" s="392" t="s">
        <v>410</v>
      </c>
      <c r="K1370" s="403">
        <v>41030</v>
      </c>
      <c r="L1370" s="398">
        <v>41025</v>
      </c>
      <c r="M1370" s="402">
        <f t="shared" si="61"/>
        <v>5</v>
      </c>
      <c r="N1370" s="402" t="s">
        <v>2</v>
      </c>
      <c r="O1370" s="404">
        <f>2/2</f>
        <v>1</v>
      </c>
      <c r="P1370" s="402">
        <v>6.39</v>
      </c>
      <c r="Q1370" s="404">
        <v>6.5</v>
      </c>
      <c r="R1370" s="402">
        <v>31</v>
      </c>
      <c r="S1370" s="404">
        <v>34</v>
      </c>
      <c r="T1370" s="402">
        <v>0.12</v>
      </c>
      <c r="U1370" s="395">
        <v>1.07</v>
      </c>
      <c r="V1370" s="402">
        <v>0.28000000000000003</v>
      </c>
      <c r="W1370" s="404">
        <f>0.01/2</f>
        <v>5.0000000000000001E-3</v>
      </c>
      <c r="X1370" s="402">
        <v>6.0999999999999999E-2</v>
      </c>
      <c r="Y1370" s="404">
        <f t="shared" si="62"/>
        <v>1.4999999999999999E-2</v>
      </c>
      <c r="Z1370" s="399"/>
      <c r="AA1370" s="399"/>
      <c r="AB1370" s="394"/>
      <c r="AC1370" s="402"/>
      <c r="AD1370" s="399"/>
      <c r="AE1370" s="402"/>
      <c r="AF1370" s="391"/>
      <c r="AG1370" s="394"/>
      <c r="AH1370" s="394"/>
      <c r="AI1370" s="394"/>
      <c r="AJ1370" s="394"/>
      <c r="AK1370" s="394"/>
      <c r="AL1370" s="394"/>
      <c r="AM1370" s="394"/>
      <c r="AN1370" s="394"/>
      <c r="AO1370" s="394"/>
      <c r="AP1370" s="394"/>
      <c r="AQ1370" s="394"/>
      <c r="AR1370" s="394"/>
      <c r="AS1370" s="402"/>
      <c r="AT1370" s="404"/>
      <c r="AU1370" s="394"/>
      <c r="AV1370" s="394"/>
      <c r="AW1370" s="394"/>
      <c r="AX1370" s="5"/>
      <c r="AY1370" s="5"/>
      <c r="AZ1370" s="5"/>
      <c r="BA1370" s="5"/>
      <c r="BB1370" s="5"/>
      <c r="BC1370" s="5"/>
      <c r="BD1370" s="5"/>
      <c r="BE1370" s="5"/>
      <c r="BF1370" s="5"/>
      <c r="BG1370" s="5"/>
      <c r="BH1370" s="5"/>
      <c r="BI1370" s="5"/>
      <c r="BJ1370" s="5"/>
      <c r="BK1370" s="5"/>
      <c r="BL1370" s="5"/>
      <c r="BM1370" s="5"/>
      <c r="BN1370" s="5"/>
      <c r="BO1370" s="5"/>
      <c r="BP1370" s="5"/>
      <c r="BQ1370" s="5"/>
      <c r="BR1370" s="5"/>
      <c r="BS1370" s="5"/>
      <c r="BT1370" s="5"/>
      <c r="BU1370" s="5"/>
      <c r="BV1370" s="5"/>
      <c r="BW1370" s="5"/>
      <c r="BX1370" s="5"/>
      <c r="BY1370" s="5"/>
      <c r="BZ1370" s="5"/>
      <c r="CA1370" s="5"/>
    </row>
    <row r="1371" spans="1:79" ht="15" customHeight="1">
      <c r="A1371" s="41" t="s">
        <v>183</v>
      </c>
      <c r="B1371" s="386" t="s">
        <v>404</v>
      </c>
      <c r="C1371" s="149" t="s">
        <v>405</v>
      </c>
      <c r="D1371" s="392" t="s">
        <v>406</v>
      </c>
      <c r="E1371" s="258" t="s">
        <v>407</v>
      </c>
      <c r="F1371" s="386"/>
      <c r="G1371" s="405" t="s">
        <v>408</v>
      </c>
      <c r="H1371" s="55">
        <v>4952</v>
      </c>
      <c r="I1371" s="54" t="s">
        <v>2</v>
      </c>
      <c r="J1371" s="61" t="s">
        <v>409</v>
      </c>
      <c r="K1371" s="51">
        <v>41192</v>
      </c>
      <c r="L1371" s="173">
        <v>41188</v>
      </c>
      <c r="M1371" s="50">
        <f t="shared" si="60"/>
        <v>4</v>
      </c>
      <c r="N1371" s="50" t="s">
        <v>2</v>
      </c>
      <c r="O1371" s="74">
        <v>2</v>
      </c>
      <c r="Q1371" s="74">
        <v>6.4</v>
      </c>
      <c r="R1371" s="50">
        <v>19</v>
      </c>
      <c r="S1371" s="74">
        <v>21</v>
      </c>
      <c r="T1371" s="50">
        <v>0.15</v>
      </c>
      <c r="U1371" s="131">
        <v>0.55000000000000004</v>
      </c>
      <c r="V1371" s="50">
        <v>0.19</v>
      </c>
      <c r="W1371" s="74">
        <v>0.01</v>
      </c>
      <c r="X1371" s="50">
        <f>0.03/2</f>
        <v>1.4999999999999999E-2</v>
      </c>
      <c r="Y1371" s="74">
        <f t="shared" si="62"/>
        <v>1.4999999999999999E-2</v>
      </c>
      <c r="Z1371" s="271">
        <v>1</v>
      </c>
      <c r="AA1371" s="271">
        <v>1</v>
      </c>
      <c r="AB1371" s="114">
        <f>2/2</f>
        <v>1</v>
      </c>
      <c r="AC1371" s="50">
        <v>28</v>
      </c>
      <c r="AD1371" s="271">
        <v>1</v>
      </c>
    </row>
    <row r="1372" spans="1:79" ht="15" customHeight="1">
      <c r="A1372" s="41" t="s">
        <v>183</v>
      </c>
      <c r="B1372" s="386" t="s">
        <v>404</v>
      </c>
      <c r="C1372" s="149" t="s">
        <v>405</v>
      </c>
      <c r="D1372" s="392" t="s">
        <v>406</v>
      </c>
      <c r="E1372" s="258" t="s">
        <v>407</v>
      </c>
      <c r="F1372" s="386"/>
      <c r="G1372" s="405" t="s">
        <v>408</v>
      </c>
      <c r="H1372" s="55">
        <v>4952</v>
      </c>
      <c r="I1372" s="54" t="s">
        <v>2</v>
      </c>
      <c r="J1372" s="61" t="s">
        <v>410</v>
      </c>
      <c r="K1372" s="51">
        <v>41192</v>
      </c>
      <c r="L1372" s="173">
        <v>41188</v>
      </c>
      <c r="M1372" s="50">
        <f t="shared" si="60"/>
        <v>4</v>
      </c>
      <c r="N1372" s="50" t="s">
        <v>2</v>
      </c>
      <c r="O1372" s="74">
        <v>2</v>
      </c>
      <c r="Q1372" s="74">
        <v>6.3</v>
      </c>
      <c r="R1372" s="50">
        <v>85</v>
      </c>
      <c r="S1372" s="74">
        <v>67</v>
      </c>
      <c r="T1372" s="50">
        <v>0.23</v>
      </c>
      <c r="U1372" s="131">
        <v>3.75</v>
      </c>
      <c r="V1372" s="50">
        <v>0.16</v>
      </c>
      <c r="W1372" s="74">
        <f>0.01/2</f>
        <v>5.0000000000000001E-3</v>
      </c>
      <c r="X1372" s="50">
        <v>5.0999999999999997E-2</v>
      </c>
      <c r="Y1372" s="74">
        <f t="shared" si="62"/>
        <v>1.4999999999999999E-2</v>
      </c>
      <c r="Z1372" s="271">
        <v>1</v>
      </c>
      <c r="AA1372" s="271">
        <v>0.114</v>
      </c>
      <c r="AB1372" s="114">
        <v>5</v>
      </c>
      <c r="AC1372" s="50">
        <v>15</v>
      </c>
      <c r="AD1372" s="271">
        <v>0.1</v>
      </c>
    </row>
    <row r="1373" spans="1:79" s="400" customFormat="1" ht="15" customHeight="1">
      <c r="A1373" s="41" t="s">
        <v>183</v>
      </c>
      <c r="B1373" s="386" t="s">
        <v>404</v>
      </c>
      <c r="C1373" s="149" t="s">
        <v>405</v>
      </c>
      <c r="D1373" s="392" t="s">
        <v>406</v>
      </c>
      <c r="E1373" s="258" t="s">
        <v>407</v>
      </c>
      <c r="F1373" s="386"/>
      <c r="G1373" s="405" t="s">
        <v>408</v>
      </c>
      <c r="H1373" s="387">
        <v>4952</v>
      </c>
      <c r="I1373" s="386" t="s">
        <v>2</v>
      </c>
      <c r="J1373" s="392" t="s">
        <v>3677</v>
      </c>
      <c r="K1373" s="403">
        <v>41495</v>
      </c>
      <c r="L1373" s="398">
        <v>41479</v>
      </c>
      <c r="M1373" s="402">
        <f t="shared" si="60"/>
        <v>16</v>
      </c>
      <c r="N1373" s="402" t="s">
        <v>2</v>
      </c>
      <c r="O1373" s="404">
        <f>2/2</f>
        <v>1</v>
      </c>
      <c r="P1373" s="402">
        <v>7.23</v>
      </c>
      <c r="Q1373" s="404">
        <v>6</v>
      </c>
      <c r="R1373" s="402">
        <f>10/2</f>
        <v>5</v>
      </c>
      <c r="S1373" s="404">
        <v>6</v>
      </c>
      <c r="T1373" s="402">
        <v>7.0000000000000007E-2</v>
      </c>
      <c r="U1373" s="395">
        <v>0.83</v>
      </c>
      <c r="V1373" s="402">
        <v>0.22</v>
      </c>
      <c r="W1373" s="404">
        <v>0.02</v>
      </c>
      <c r="X1373" s="402">
        <v>5.1999999999999998E-2</v>
      </c>
      <c r="Y1373" s="404">
        <f t="shared" si="62"/>
        <v>1.4999999999999999E-2</v>
      </c>
      <c r="Z1373" s="399"/>
      <c r="AA1373" s="399"/>
      <c r="AB1373" s="394"/>
      <c r="AC1373" s="402"/>
      <c r="AD1373" s="399"/>
      <c r="AE1373" s="402"/>
      <c r="AF1373" s="391"/>
      <c r="AG1373" s="394"/>
      <c r="AH1373" s="394"/>
      <c r="AI1373" s="394"/>
      <c r="AJ1373" s="394"/>
      <c r="AK1373" s="394"/>
      <c r="AL1373" s="394"/>
      <c r="AM1373" s="394"/>
      <c r="AN1373" s="394"/>
      <c r="AO1373" s="394"/>
      <c r="AP1373" s="394"/>
      <c r="AQ1373" s="394"/>
      <c r="AR1373" s="394"/>
      <c r="AS1373" s="402"/>
      <c r="AT1373" s="404"/>
      <c r="AU1373" s="394"/>
      <c r="AV1373" s="394"/>
      <c r="AW1373" s="394"/>
      <c r="AX1373" s="5"/>
      <c r="AY1373" s="5"/>
      <c r="AZ1373" s="5"/>
      <c r="BA1373" s="5"/>
      <c r="BB1373" s="5"/>
      <c r="BC1373" s="5"/>
      <c r="BD1373" s="5"/>
      <c r="BE1373" s="5"/>
      <c r="BF1373" s="5"/>
      <c r="BG1373" s="5"/>
      <c r="BH1373" s="5"/>
      <c r="BI1373" s="5"/>
      <c r="BJ1373" s="5"/>
      <c r="BK1373" s="5"/>
      <c r="BL1373" s="5"/>
      <c r="BM1373" s="5"/>
      <c r="BN1373" s="5"/>
      <c r="BO1373" s="5"/>
      <c r="BP1373" s="5"/>
      <c r="BQ1373" s="5"/>
      <c r="BR1373" s="5"/>
      <c r="BS1373" s="5"/>
      <c r="BT1373" s="5"/>
      <c r="BU1373" s="5"/>
      <c r="BV1373" s="5"/>
      <c r="BW1373" s="5"/>
      <c r="BX1373" s="5"/>
      <c r="BY1373" s="5"/>
      <c r="BZ1373" s="5"/>
      <c r="CA1373" s="5"/>
    </row>
    <row r="1374" spans="1:79" s="400" customFormat="1" ht="15" customHeight="1">
      <c r="A1374" s="41" t="s">
        <v>183</v>
      </c>
      <c r="B1374" s="386" t="s">
        <v>404</v>
      </c>
      <c r="C1374" s="149" t="s">
        <v>405</v>
      </c>
      <c r="D1374" s="392" t="s">
        <v>406</v>
      </c>
      <c r="E1374" s="258" t="s">
        <v>407</v>
      </c>
      <c r="F1374" s="386"/>
      <c r="G1374" s="405" t="s">
        <v>408</v>
      </c>
      <c r="H1374" s="387">
        <v>4952</v>
      </c>
      <c r="I1374" s="386" t="s">
        <v>2</v>
      </c>
      <c r="J1374" s="392" t="s">
        <v>410</v>
      </c>
      <c r="K1374" s="403">
        <v>41495</v>
      </c>
      <c r="L1374" s="398">
        <v>41479</v>
      </c>
      <c r="M1374" s="402">
        <f t="shared" si="60"/>
        <v>16</v>
      </c>
      <c r="N1374" s="402" t="s">
        <v>2</v>
      </c>
      <c r="O1374" s="404">
        <f>2/2</f>
        <v>1</v>
      </c>
      <c r="P1374" s="402">
        <v>7.23</v>
      </c>
      <c r="Q1374" s="404">
        <v>6.4</v>
      </c>
      <c r="R1374" s="402">
        <v>73</v>
      </c>
      <c r="S1374" s="404">
        <v>39</v>
      </c>
      <c r="T1374" s="402">
        <v>0.27</v>
      </c>
      <c r="U1374" s="395">
        <v>3.37</v>
      </c>
      <c r="V1374" s="402">
        <v>0.27</v>
      </c>
      <c r="W1374" s="404">
        <f>0.01/2</f>
        <v>5.0000000000000001E-3</v>
      </c>
      <c r="X1374" s="402">
        <v>4.7E-2</v>
      </c>
      <c r="Y1374" s="404">
        <f t="shared" si="62"/>
        <v>1.4999999999999999E-2</v>
      </c>
      <c r="Z1374" s="399"/>
      <c r="AA1374" s="399"/>
      <c r="AB1374" s="394"/>
      <c r="AC1374" s="402"/>
      <c r="AD1374" s="399"/>
      <c r="AE1374" s="402"/>
      <c r="AF1374" s="391"/>
      <c r="AG1374" s="394"/>
      <c r="AH1374" s="394"/>
      <c r="AI1374" s="394"/>
      <c r="AJ1374" s="394"/>
      <c r="AK1374" s="394"/>
      <c r="AL1374" s="394"/>
      <c r="AM1374" s="394"/>
      <c r="AN1374" s="394"/>
      <c r="AO1374" s="394"/>
      <c r="AP1374" s="394"/>
      <c r="AQ1374" s="394"/>
      <c r="AR1374" s="394"/>
      <c r="AS1374" s="402"/>
      <c r="AT1374" s="404"/>
      <c r="AU1374" s="394"/>
      <c r="AV1374" s="394"/>
      <c r="AW1374" s="394"/>
      <c r="AX1374" s="5"/>
      <c r="AY1374" s="5"/>
      <c r="AZ1374" s="5"/>
      <c r="BA1374" s="5"/>
      <c r="BB1374" s="5"/>
      <c r="BC1374" s="5"/>
      <c r="BD1374" s="5"/>
      <c r="BE1374" s="5"/>
      <c r="BF1374" s="5"/>
      <c r="BG1374" s="5"/>
      <c r="BH1374" s="5"/>
      <c r="BI1374" s="5"/>
      <c r="BJ1374" s="5"/>
      <c r="BK1374" s="5"/>
      <c r="BL1374" s="5"/>
      <c r="BM1374" s="5"/>
      <c r="BN1374" s="5"/>
      <c r="BO1374" s="5"/>
      <c r="BP1374" s="5"/>
      <c r="BQ1374" s="5"/>
      <c r="BR1374" s="5"/>
      <c r="BS1374" s="5"/>
      <c r="BT1374" s="5"/>
      <c r="BU1374" s="5"/>
      <c r="BV1374" s="5"/>
      <c r="BW1374" s="5"/>
      <c r="BX1374" s="5"/>
      <c r="BY1374" s="5"/>
      <c r="BZ1374" s="5"/>
      <c r="CA1374" s="5"/>
    </row>
    <row r="1375" spans="1:79" ht="15" customHeight="1">
      <c r="A1375" s="41" t="s">
        <v>183</v>
      </c>
      <c r="B1375" s="402" t="s">
        <v>4584</v>
      </c>
      <c r="D1375" s="393" t="s">
        <v>710</v>
      </c>
      <c r="E1375" s="394" t="s">
        <v>4585</v>
      </c>
      <c r="G1375" s="405" t="s">
        <v>4586</v>
      </c>
      <c r="H1375" s="74">
        <v>2653</v>
      </c>
      <c r="I1375" s="50" t="s">
        <v>2</v>
      </c>
      <c r="J1375" s="339"/>
      <c r="K1375" s="51">
        <v>41170</v>
      </c>
      <c r="L1375" s="173">
        <v>41160</v>
      </c>
      <c r="M1375" s="50">
        <f t="shared" si="60"/>
        <v>10</v>
      </c>
      <c r="N1375" s="50" t="s">
        <v>2</v>
      </c>
      <c r="O1375" s="74">
        <f>1/2</f>
        <v>0.5</v>
      </c>
      <c r="P1375" s="50">
        <v>6</v>
      </c>
      <c r="Q1375" s="74">
        <v>6.1</v>
      </c>
      <c r="R1375" s="50">
        <v>18</v>
      </c>
      <c r="S1375" s="74">
        <v>16</v>
      </c>
      <c r="T1375" s="50">
        <v>8.3000000000000004E-2</v>
      </c>
      <c r="U1375" s="131">
        <f>0.5/2</f>
        <v>0.25</v>
      </c>
      <c r="V1375" s="50">
        <v>0.68</v>
      </c>
      <c r="W1375" s="74">
        <v>5.4000000000000003E-3</v>
      </c>
      <c r="X1375" s="50">
        <v>0.34</v>
      </c>
      <c r="Y1375" s="74">
        <f>0.002/2</f>
        <v>1E-3</v>
      </c>
      <c r="Z1375" s="271">
        <v>0.77100000000000002</v>
      </c>
      <c r="AA1375" s="271">
        <v>0.72</v>
      </c>
      <c r="AB1375" s="114">
        <v>10</v>
      </c>
      <c r="AC1375" s="50">
        <v>75</v>
      </c>
      <c r="AD1375" s="271">
        <v>0.05</v>
      </c>
    </row>
    <row r="1376" spans="1:79" ht="15" customHeight="1">
      <c r="A1376" s="41" t="s">
        <v>183</v>
      </c>
      <c r="B1376" s="402" t="s">
        <v>1818</v>
      </c>
      <c r="C1376" s="113" t="s">
        <v>4587</v>
      </c>
      <c r="D1376" s="393" t="s">
        <v>268</v>
      </c>
      <c r="E1376" s="394" t="s">
        <v>2148</v>
      </c>
      <c r="G1376" s="405" t="s">
        <v>3616</v>
      </c>
      <c r="H1376" s="74">
        <v>4941</v>
      </c>
      <c r="I1376" s="50" t="s">
        <v>2</v>
      </c>
      <c r="J1376" s="339" t="s">
        <v>477</v>
      </c>
      <c r="K1376" s="51">
        <v>41345</v>
      </c>
      <c r="L1376" s="173">
        <v>41341</v>
      </c>
      <c r="M1376" s="50">
        <f t="shared" si="60"/>
        <v>4</v>
      </c>
      <c r="N1376" s="50" t="s">
        <v>2</v>
      </c>
      <c r="O1376" s="74">
        <f>1.7/2</f>
        <v>0.85</v>
      </c>
      <c r="P1376" s="50">
        <v>6.4</v>
      </c>
      <c r="Q1376" s="74">
        <v>7.3</v>
      </c>
      <c r="R1376" s="50">
        <f>20/2</f>
        <v>10</v>
      </c>
      <c r="S1376" s="74">
        <v>10.6</v>
      </c>
      <c r="T1376" s="50">
        <v>0.152</v>
      </c>
      <c r="U1376" s="131">
        <v>1.4</v>
      </c>
      <c r="V1376" s="50">
        <f>0.46/2</f>
        <v>0.23</v>
      </c>
      <c r="W1376" s="74">
        <f>0.005/2</f>
        <v>2.5000000000000001E-3</v>
      </c>
      <c r="X1376" s="50">
        <v>1.0999999999999999E-2</v>
      </c>
      <c r="Y1376" s="74">
        <f>0.005/2</f>
        <v>2.5000000000000001E-3</v>
      </c>
    </row>
    <row r="1377" spans="1:31" ht="15" customHeight="1">
      <c r="A1377" s="41" t="s">
        <v>183</v>
      </c>
      <c r="B1377" s="402" t="s">
        <v>1818</v>
      </c>
      <c r="C1377" s="113" t="s">
        <v>4587</v>
      </c>
      <c r="D1377" s="393" t="s">
        <v>268</v>
      </c>
      <c r="E1377" s="394" t="s">
        <v>2148</v>
      </c>
      <c r="G1377" s="405" t="s">
        <v>3616</v>
      </c>
      <c r="H1377" s="74">
        <v>4941</v>
      </c>
      <c r="I1377" s="50" t="s">
        <v>2</v>
      </c>
      <c r="J1377" s="339" t="s">
        <v>474</v>
      </c>
      <c r="K1377" s="51">
        <v>41345</v>
      </c>
      <c r="L1377" s="173">
        <v>41341</v>
      </c>
      <c r="M1377" s="50">
        <f t="shared" si="60"/>
        <v>4</v>
      </c>
      <c r="N1377" s="50" t="s">
        <v>2</v>
      </c>
      <c r="O1377" s="74">
        <f>1.9/2</f>
        <v>0.95</v>
      </c>
      <c r="P1377" s="50">
        <v>6.4</v>
      </c>
      <c r="Q1377" s="74">
        <v>6.6</v>
      </c>
      <c r="R1377" s="50">
        <f>20/2</f>
        <v>10</v>
      </c>
      <c r="S1377" s="74">
        <v>6</v>
      </c>
      <c r="T1377" s="50">
        <v>0.123</v>
      </c>
      <c r="U1377" s="131">
        <v>1.4</v>
      </c>
      <c r="V1377" s="50">
        <f>0.46/2</f>
        <v>0.23</v>
      </c>
      <c r="W1377" s="74">
        <f>0.005/2</f>
        <v>2.5000000000000001E-3</v>
      </c>
      <c r="X1377" s="50">
        <f>0.01/2</f>
        <v>5.0000000000000001E-3</v>
      </c>
      <c r="Y1377" s="74">
        <f>0.005/2</f>
        <v>2.5000000000000001E-3</v>
      </c>
    </row>
    <row r="1378" spans="1:31" ht="15" customHeight="1">
      <c r="A1378" s="41" t="s">
        <v>183</v>
      </c>
      <c r="B1378" s="402" t="s">
        <v>1818</v>
      </c>
      <c r="C1378" s="113" t="s">
        <v>4588</v>
      </c>
      <c r="D1378" s="393" t="s">
        <v>910</v>
      </c>
      <c r="E1378" s="394" t="s">
        <v>1546</v>
      </c>
      <c r="G1378" s="405" t="s">
        <v>4589</v>
      </c>
      <c r="H1378" s="74">
        <v>4952</v>
      </c>
      <c r="I1378" s="50" t="s">
        <v>2</v>
      </c>
      <c r="J1378" s="339" t="s">
        <v>4590</v>
      </c>
      <c r="K1378" s="51">
        <v>41345</v>
      </c>
      <c r="L1378" s="173">
        <v>41341</v>
      </c>
      <c r="M1378" s="50">
        <f t="shared" si="60"/>
        <v>4</v>
      </c>
      <c r="N1378" s="50" t="s">
        <v>1</v>
      </c>
      <c r="O1378" s="74">
        <v>0.54100000000000004</v>
      </c>
      <c r="P1378" s="50">
        <v>5.8</v>
      </c>
      <c r="Q1378" s="74">
        <v>7.64</v>
      </c>
      <c r="R1378" s="50">
        <v>28</v>
      </c>
      <c r="S1378" s="74">
        <v>7.6</v>
      </c>
      <c r="T1378" s="50">
        <v>0.17</v>
      </c>
      <c r="U1378" s="131">
        <v>0.46800000000000003</v>
      </c>
      <c r="V1378" s="50">
        <v>0.45900000000000002</v>
      </c>
      <c r="W1378" s="74">
        <f>0.005/2</f>
        <v>2.5000000000000001E-3</v>
      </c>
      <c r="X1378" s="50">
        <v>1.7299999999999999E-2</v>
      </c>
      <c r="Y1378" s="74">
        <f>0.003/2</f>
        <v>1.5E-3</v>
      </c>
      <c r="Z1378" s="271">
        <v>1</v>
      </c>
      <c r="AA1378" s="271">
        <v>1</v>
      </c>
      <c r="AB1378" s="114">
        <v>106</v>
      </c>
      <c r="AC1378" s="50">
        <v>444</v>
      </c>
      <c r="AD1378" s="271">
        <v>1</v>
      </c>
    </row>
    <row r="1379" spans="1:31" ht="15" customHeight="1">
      <c r="A1379" s="41" t="s">
        <v>183</v>
      </c>
      <c r="B1379" s="402" t="s">
        <v>199</v>
      </c>
      <c r="C1379" s="113" t="s">
        <v>199</v>
      </c>
      <c r="D1379" s="393" t="s">
        <v>200</v>
      </c>
      <c r="E1379" s="394" t="s">
        <v>201</v>
      </c>
      <c r="G1379" s="405" t="s">
        <v>202</v>
      </c>
      <c r="H1379" s="74">
        <v>33</v>
      </c>
      <c r="I1379" s="50" t="s">
        <v>1</v>
      </c>
      <c r="J1379" s="339" t="s">
        <v>203</v>
      </c>
      <c r="K1379" s="51">
        <v>41192</v>
      </c>
      <c r="L1379" s="173">
        <v>41187</v>
      </c>
      <c r="M1379" s="50">
        <f t="shared" si="60"/>
        <v>5</v>
      </c>
      <c r="N1379" s="50" t="s">
        <v>2</v>
      </c>
      <c r="O1379" s="74">
        <v>3.6</v>
      </c>
      <c r="P1379" s="50">
        <v>5.75</v>
      </c>
      <c r="Q1379" s="74">
        <v>6.91</v>
      </c>
      <c r="R1379" s="50">
        <v>3.7</v>
      </c>
      <c r="S1379" s="74">
        <v>1</v>
      </c>
      <c r="T1379" s="50">
        <f>0.05/2</f>
        <v>2.5000000000000001E-2</v>
      </c>
      <c r="U1379" s="131">
        <v>0.4</v>
      </c>
      <c r="V1379" s="50">
        <f>0.1/2</f>
        <v>0.05</v>
      </c>
      <c r="W1379" s="74">
        <v>5.0000000000000001E-3</v>
      </c>
      <c r="X1379" s="50">
        <v>5.5E-2</v>
      </c>
      <c r="Y1379" s="74">
        <v>8.9999999999999993E-3</v>
      </c>
      <c r="Z1379" s="271">
        <v>0.82</v>
      </c>
      <c r="AA1379" s="271">
        <v>0.73499999999999999</v>
      </c>
      <c r="AB1379" s="114">
        <f>1/2</f>
        <v>0.5</v>
      </c>
      <c r="AC1379" s="50">
        <v>5</v>
      </c>
      <c r="AD1379" s="271">
        <v>0.1</v>
      </c>
      <c r="AE1379" s="50">
        <v>34</v>
      </c>
    </row>
    <row r="1380" spans="1:31" ht="15" customHeight="1">
      <c r="A1380" s="41" t="s">
        <v>183</v>
      </c>
      <c r="B1380" s="402" t="s">
        <v>1974</v>
      </c>
      <c r="C1380" s="113" t="s">
        <v>2067</v>
      </c>
      <c r="D1380" s="393" t="s">
        <v>434</v>
      </c>
      <c r="E1380" s="394" t="s">
        <v>2068</v>
      </c>
      <c r="G1380" s="405" t="s">
        <v>1653</v>
      </c>
      <c r="H1380" s="113">
        <v>3721</v>
      </c>
      <c r="I1380" s="50" t="s">
        <v>1</v>
      </c>
      <c r="J1380" s="48" t="s">
        <v>1654</v>
      </c>
      <c r="K1380" s="51">
        <v>41345</v>
      </c>
      <c r="L1380" s="173">
        <v>41341</v>
      </c>
      <c r="M1380" s="50">
        <v>4</v>
      </c>
      <c r="N1380" s="50" t="s">
        <v>1</v>
      </c>
      <c r="O1380" s="74">
        <f>5/2</f>
        <v>2.5</v>
      </c>
      <c r="P1380" s="50">
        <v>7.41</v>
      </c>
      <c r="Q1380" s="74">
        <v>6.78</v>
      </c>
      <c r="R1380" s="50">
        <v>380</v>
      </c>
      <c r="S1380" s="74">
        <v>260</v>
      </c>
      <c r="T1380" s="50">
        <v>0.62</v>
      </c>
      <c r="U1380" s="131">
        <v>2.6</v>
      </c>
      <c r="V1380" s="50">
        <v>0.64</v>
      </c>
      <c r="W1380" s="74">
        <v>6.6000000000000003E-2</v>
      </c>
      <c r="X1380" s="50">
        <v>0.71</v>
      </c>
      <c r="Y1380" s="74">
        <v>2.1000000000000001E-2</v>
      </c>
    </row>
    <row r="1381" spans="1:31" ht="15" customHeight="1">
      <c r="A1381" s="41" t="s">
        <v>183</v>
      </c>
      <c r="B1381" s="402" t="s">
        <v>1974</v>
      </c>
      <c r="C1381" s="113" t="s">
        <v>2067</v>
      </c>
      <c r="D1381" s="393" t="s">
        <v>434</v>
      </c>
      <c r="E1381" s="394" t="s">
        <v>2068</v>
      </c>
      <c r="G1381" s="405" t="s">
        <v>1653</v>
      </c>
      <c r="H1381" s="113">
        <v>3721</v>
      </c>
      <c r="I1381" s="50" t="s">
        <v>1</v>
      </c>
      <c r="J1381" s="48" t="s">
        <v>2069</v>
      </c>
      <c r="K1381" s="51">
        <v>41345</v>
      </c>
      <c r="L1381" s="173">
        <v>41341</v>
      </c>
      <c r="M1381" s="50">
        <v>4</v>
      </c>
      <c r="N1381" s="50" t="s">
        <v>1</v>
      </c>
      <c r="O1381" s="74">
        <f>5/2</f>
        <v>2.5</v>
      </c>
      <c r="P1381" s="50">
        <v>7.41</v>
      </c>
      <c r="Q1381" s="74">
        <v>7.39</v>
      </c>
      <c r="R1381" s="50">
        <v>200</v>
      </c>
      <c r="S1381" s="74">
        <v>610</v>
      </c>
      <c r="T1381" s="50">
        <v>1.6</v>
      </c>
      <c r="U1381" s="131">
        <v>9.5</v>
      </c>
      <c r="V1381" s="50">
        <v>0.78</v>
      </c>
      <c r="W1381" s="74">
        <v>0.24</v>
      </c>
      <c r="X1381" s="50">
        <v>1.4</v>
      </c>
      <c r="Y1381" s="74">
        <v>0.23</v>
      </c>
    </row>
    <row r="1382" spans="1:31" ht="15" customHeight="1">
      <c r="A1382" s="41" t="s">
        <v>183</v>
      </c>
      <c r="B1382" s="402" t="s">
        <v>1974</v>
      </c>
      <c r="C1382" s="113" t="s">
        <v>2067</v>
      </c>
      <c r="D1382" s="393" t="s">
        <v>434</v>
      </c>
      <c r="E1382" s="394" t="s">
        <v>2068</v>
      </c>
      <c r="G1382" s="405" t="s">
        <v>1653</v>
      </c>
      <c r="H1382" s="113">
        <v>3721</v>
      </c>
      <c r="I1382" s="50" t="s">
        <v>1</v>
      </c>
      <c r="J1382" s="48" t="s">
        <v>1656</v>
      </c>
      <c r="K1382" s="51">
        <v>41345</v>
      </c>
      <c r="L1382" s="173">
        <v>41341</v>
      </c>
      <c r="M1382" s="50">
        <v>4</v>
      </c>
      <c r="N1382" s="50" t="s">
        <v>1</v>
      </c>
      <c r="O1382" s="74">
        <v>36</v>
      </c>
      <c r="P1382" s="50">
        <v>7.41</v>
      </c>
      <c r="Q1382" s="74">
        <v>6.4</v>
      </c>
      <c r="R1382" s="50">
        <v>230</v>
      </c>
      <c r="S1382" s="74">
        <v>2600</v>
      </c>
      <c r="T1382" s="50">
        <v>1.8</v>
      </c>
      <c r="U1382" s="131">
        <v>4.5</v>
      </c>
      <c r="V1382" s="50">
        <v>0.51</v>
      </c>
      <c r="W1382" s="74">
        <v>0.36</v>
      </c>
      <c r="X1382" s="50">
        <v>3.8</v>
      </c>
      <c r="Y1382" s="74">
        <v>0.26</v>
      </c>
    </row>
    <row r="1383" spans="1:31" ht="15" customHeight="1">
      <c r="A1383" s="41" t="s">
        <v>183</v>
      </c>
      <c r="B1383" s="402" t="s">
        <v>1974</v>
      </c>
      <c r="C1383" s="113" t="s">
        <v>2067</v>
      </c>
      <c r="D1383" s="393" t="s">
        <v>434</v>
      </c>
      <c r="E1383" s="394" t="s">
        <v>2068</v>
      </c>
      <c r="G1383" s="405" t="s">
        <v>1653</v>
      </c>
      <c r="H1383" s="113">
        <v>3721</v>
      </c>
      <c r="I1383" s="50" t="s">
        <v>1</v>
      </c>
      <c r="J1383" s="48" t="s">
        <v>1657</v>
      </c>
      <c r="K1383" s="51">
        <v>41345</v>
      </c>
      <c r="L1383" s="173">
        <v>41341</v>
      </c>
      <c r="M1383" s="50">
        <v>4</v>
      </c>
      <c r="N1383" s="50" t="s">
        <v>1</v>
      </c>
      <c r="O1383" s="74">
        <f>5/2</f>
        <v>2.5</v>
      </c>
      <c r="P1383" s="50">
        <v>7.41</v>
      </c>
      <c r="Q1383" s="74">
        <v>6.87</v>
      </c>
      <c r="R1383" s="50">
        <v>120</v>
      </c>
      <c r="S1383" s="74">
        <v>150</v>
      </c>
      <c r="T1383" s="50">
        <v>0.34</v>
      </c>
      <c r="U1383" s="131">
        <v>2</v>
      </c>
      <c r="V1383" s="50">
        <v>1.1000000000000001</v>
      </c>
      <c r="W1383" s="74">
        <f>0.04/2</f>
        <v>0.02</v>
      </c>
      <c r="X1383" s="50">
        <v>0.28000000000000003</v>
      </c>
      <c r="Y1383" s="74">
        <v>1.7999999999999999E-2</v>
      </c>
    </row>
    <row r="1384" spans="1:31" ht="15" customHeight="1">
      <c r="A1384" s="41" t="s">
        <v>183</v>
      </c>
      <c r="B1384" s="402" t="s">
        <v>1974</v>
      </c>
      <c r="C1384" s="113" t="s">
        <v>2067</v>
      </c>
      <c r="D1384" s="393" t="s">
        <v>434</v>
      </c>
      <c r="E1384" s="394" t="s">
        <v>2068</v>
      </c>
      <c r="G1384" s="405" t="s">
        <v>1653</v>
      </c>
      <c r="H1384" s="113">
        <v>3721</v>
      </c>
      <c r="I1384" s="50" t="s">
        <v>1</v>
      </c>
      <c r="J1384" s="48" t="s">
        <v>1658</v>
      </c>
      <c r="K1384" s="51">
        <v>41345</v>
      </c>
      <c r="L1384" s="173">
        <v>41341</v>
      </c>
      <c r="M1384" s="50">
        <v>4</v>
      </c>
      <c r="N1384" s="50" t="s">
        <v>1</v>
      </c>
      <c r="O1384" s="74">
        <f>5/2</f>
        <v>2.5</v>
      </c>
      <c r="P1384" s="50">
        <v>7.41</v>
      </c>
      <c r="Q1384" s="74">
        <v>7.46</v>
      </c>
      <c r="R1384" s="50">
        <v>110</v>
      </c>
      <c r="S1384" s="74">
        <v>570</v>
      </c>
      <c r="T1384" s="50">
        <v>0.36</v>
      </c>
      <c r="U1384" s="131">
        <v>3</v>
      </c>
      <c r="V1384" s="50">
        <v>0.51</v>
      </c>
      <c r="W1384" s="74">
        <v>6.7000000000000004E-2</v>
      </c>
      <c r="X1384" s="50">
        <v>0.75</v>
      </c>
      <c r="Y1384" s="74">
        <v>4.5999999999999999E-2</v>
      </c>
    </row>
    <row r="1385" spans="1:31" ht="15" customHeight="1">
      <c r="A1385" s="41" t="s">
        <v>183</v>
      </c>
      <c r="B1385" s="402" t="s">
        <v>1974</v>
      </c>
      <c r="C1385" s="113" t="s">
        <v>2067</v>
      </c>
      <c r="D1385" s="393" t="s">
        <v>434</v>
      </c>
      <c r="E1385" s="394" t="s">
        <v>2068</v>
      </c>
      <c r="G1385" s="405" t="s">
        <v>1653</v>
      </c>
      <c r="H1385" s="113">
        <v>3721</v>
      </c>
      <c r="I1385" s="50" t="s">
        <v>1</v>
      </c>
      <c r="J1385" s="48" t="s">
        <v>1659</v>
      </c>
      <c r="K1385" s="51">
        <v>41345</v>
      </c>
      <c r="L1385" s="173">
        <v>41341</v>
      </c>
      <c r="M1385" s="50">
        <v>4</v>
      </c>
      <c r="N1385" s="50" t="s">
        <v>1</v>
      </c>
      <c r="O1385" s="74">
        <v>18</v>
      </c>
      <c r="P1385" s="50">
        <v>7.41</v>
      </c>
      <c r="Q1385" s="74">
        <v>7.25</v>
      </c>
      <c r="R1385" s="50">
        <v>140</v>
      </c>
      <c r="S1385" s="74">
        <v>390</v>
      </c>
      <c r="T1385" s="50">
        <v>0.76</v>
      </c>
      <c r="U1385" s="131">
        <v>1.6</v>
      </c>
      <c r="V1385" s="50">
        <v>0.55000000000000004</v>
      </c>
      <c r="W1385" s="74">
        <v>0.35</v>
      </c>
      <c r="X1385" s="50">
        <v>1.9</v>
      </c>
      <c r="Y1385" s="74">
        <v>0.14000000000000001</v>
      </c>
    </row>
    <row r="1386" spans="1:31" ht="15" customHeight="1">
      <c r="A1386" s="41" t="s">
        <v>183</v>
      </c>
      <c r="B1386" s="402" t="s">
        <v>1974</v>
      </c>
      <c r="C1386" s="113" t="s">
        <v>2067</v>
      </c>
      <c r="D1386" s="393" t="s">
        <v>434</v>
      </c>
      <c r="E1386" s="394" t="s">
        <v>2068</v>
      </c>
      <c r="G1386" s="405" t="s">
        <v>1653</v>
      </c>
      <c r="H1386" s="113">
        <v>3721</v>
      </c>
      <c r="I1386" s="50" t="s">
        <v>1</v>
      </c>
      <c r="J1386" s="48" t="s">
        <v>1660</v>
      </c>
      <c r="K1386" s="51">
        <v>41345</v>
      </c>
      <c r="L1386" s="173">
        <v>41341</v>
      </c>
      <c r="M1386" s="50">
        <v>4</v>
      </c>
      <c r="N1386" s="50" t="s">
        <v>1</v>
      </c>
      <c r="O1386" s="74">
        <v>5.9</v>
      </c>
      <c r="P1386" s="50">
        <v>7.41</v>
      </c>
      <c r="Q1386" s="74">
        <v>6.66</v>
      </c>
      <c r="R1386" s="50">
        <v>47</v>
      </c>
      <c r="S1386" s="74">
        <v>180</v>
      </c>
      <c r="T1386" s="50">
        <f>0.1/2</f>
        <v>0.05</v>
      </c>
      <c r="U1386" s="131">
        <f>1/2</f>
        <v>0.5</v>
      </c>
      <c r="V1386" s="50">
        <v>0.56000000000000005</v>
      </c>
      <c r="W1386" s="74">
        <f>0.04/2</f>
        <v>0.02</v>
      </c>
      <c r="X1386" s="50">
        <v>0.31</v>
      </c>
      <c r="Y1386" s="74">
        <f>0.013/2</f>
        <v>6.4999999999999997E-3</v>
      </c>
    </row>
    <row r="1387" spans="1:31" ht="15" customHeight="1">
      <c r="A1387" s="41" t="s">
        <v>183</v>
      </c>
      <c r="B1387" s="402" t="s">
        <v>1974</v>
      </c>
      <c r="C1387" s="113" t="s">
        <v>2067</v>
      </c>
      <c r="D1387" s="393" t="s">
        <v>434</v>
      </c>
      <c r="E1387" s="394" t="s">
        <v>2068</v>
      </c>
      <c r="G1387" s="405" t="s">
        <v>1653</v>
      </c>
      <c r="H1387" s="113">
        <v>3721</v>
      </c>
      <c r="I1387" s="50" t="s">
        <v>1</v>
      </c>
      <c r="J1387" s="48" t="s">
        <v>1661</v>
      </c>
      <c r="K1387" s="51">
        <v>41345</v>
      </c>
      <c r="L1387" s="173">
        <v>41341</v>
      </c>
      <c r="M1387" s="50">
        <v>4</v>
      </c>
      <c r="N1387" s="50" t="s">
        <v>1</v>
      </c>
      <c r="O1387" s="74">
        <f>5/2</f>
        <v>2.5</v>
      </c>
      <c r="P1387" s="50">
        <v>7.41</v>
      </c>
      <c r="Q1387" s="74">
        <v>7.61</v>
      </c>
      <c r="R1387" s="50">
        <v>34</v>
      </c>
      <c r="S1387" s="74">
        <v>83</v>
      </c>
      <c r="T1387" s="50">
        <f>0.1/2</f>
        <v>0.05</v>
      </c>
      <c r="U1387" s="131">
        <v>1.1000000000000001</v>
      </c>
      <c r="V1387" s="50">
        <v>0.66</v>
      </c>
      <c r="W1387" s="74">
        <f>0.04/2</f>
        <v>0.02</v>
      </c>
      <c r="X1387" s="50">
        <v>4.9000000000000002E-2</v>
      </c>
      <c r="Y1387" s="74">
        <f>0.013/2</f>
        <v>6.4999999999999997E-3</v>
      </c>
    </row>
    <row r="1388" spans="1:31" ht="15" customHeight="1">
      <c r="A1388" s="41" t="s">
        <v>183</v>
      </c>
      <c r="B1388" s="402" t="s">
        <v>1974</v>
      </c>
      <c r="C1388" s="113" t="s">
        <v>2067</v>
      </c>
      <c r="D1388" s="393" t="s">
        <v>434</v>
      </c>
      <c r="E1388" s="394" t="s">
        <v>2068</v>
      </c>
      <c r="G1388" s="405" t="s">
        <v>1653</v>
      </c>
      <c r="H1388" s="113">
        <v>3721</v>
      </c>
      <c r="I1388" s="50" t="s">
        <v>1</v>
      </c>
      <c r="J1388" s="48" t="s">
        <v>1662</v>
      </c>
      <c r="K1388" s="51">
        <v>41345</v>
      </c>
      <c r="L1388" s="173">
        <v>41341</v>
      </c>
      <c r="M1388" s="50">
        <v>4</v>
      </c>
      <c r="N1388" s="50" t="s">
        <v>1</v>
      </c>
      <c r="O1388" s="74">
        <v>13</v>
      </c>
      <c r="P1388" s="50">
        <v>7.41</v>
      </c>
      <c r="Q1388" s="74">
        <v>6.84</v>
      </c>
      <c r="R1388" s="50">
        <v>95</v>
      </c>
      <c r="S1388" s="74">
        <v>240</v>
      </c>
      <c r="T1388" s="50">
        <v>0.1</v>
      </c>
      <c r="U1388" s="131">
        <v>5</v>
      </c>
      <c r="V1388" s="50">
        <v>0.56000000000000005</v>
      </c>
      <c r="W1388" s="74">
        <f>0.04/2</f>
        <v>0.02</v>
      </c>
      <c r="X1388" s="50">
        <v>0.11</v>
      </c>
      <c r="Y1388" s="74">
        <f>0.013/2</f>
        <v>6.4999999999999997E-3</v>
      </c>
    </row>
    <row r="1389" spans="1:31" ht="15" customHeight="1">
      <c r="A1389" s="41" t="s">
        <v>183</v>
      </c>
      <c r="B1389" s="402" t="s">
        <v>1974</v>
      </c>
      <c r="C1389" s="113" t="s">
        <v>2067</v>
      </c>
      <c r="D1389" s="393" t="s">
        <v>434</v>
      </c>
      <c r="E1389" s="394" t="s">
        <v>2068</v>
      </c>
      <c r="G1389" s="405" t="s">
        <v>1653</v>
      </c>
      <c r="H1389" s="113">
        <v>3721</v>
      </c>
      <c r="I1389" s="50" t="s">
        <v>1</v>
      </c>
      <c r="J1389" s="48" t="s">
        <v>1663</v>
      </c>
      <c r="K1389" s="51">
        <v>41345</v>
      </c>
      <c r="L1389" s="173">
        <v>41341</v>
      </c>
      <c r="M1389" s="50">
        <v>4</v>
      </c>
      <c r="N1389" s="50" t="s">
        <v>1</v>
      </c>
      <c r="O1389" s="74">
        <f>5/2</f>
        <v>2.5</v>
      </c>
      <c r="P1389" s="50">
        <v>7.41</v>
      </c>
      <c r="Q1389" s="74">
        <v>6.02</v>
      </c>
      <c r="R1389" s="50">
        <v>91</v>
      </c>
      <c r="S1389" s="74">
        <v>160</v>
      </c>
      <c r="T1389" s="50">
        <v>0.71</v>
      </c>
      <c r="U1389" s="131">
        <v>2.5</v>
      </c>
      <c r="V1389" s="50">
        <v>0.79</v>
      </c>
      <c r="W1389" s="74">
        <v>0.24</v>
      </c>
      <c r="X1389" s="50">
        <v>3.7</v>
      </c>
      <c r="Y1389" s="74">
        <v>0.26</v>
      </c>
    </row>
    <row r="1390" spans="1:31" ht="15" customHeight="1">
      <c r="A1390" s="41" t="s">
        <v>183</v>
      </c>
      <c r="B1390" s="402" t="s">
        <v>1974</v>
      </c>
      <c r="C1390" s="113" t="s">
        <v>2067</v>
      </c>
      <c r="D1390" s="393" t="s">
        <v>434</v>
      </c>
      <c r="E1390" s="394" t="s">
        <v>2068</v>
      </c>
      <c r="G1390" s="405" t="s">
        <v>1653</v>
      </c>
      <c r="H1390" s="113">
        <v>3721</v>
      </c>
      <c r="I1390" s="50" t="s">
        <v>1</v>
      </c>
      <c r="J1390" s="48" t="s">
        <v>1664</v>
      </c>
      <c r="K1390" s="51">
        <v>41345</v>
      </c>
      <c r="L1390" s="173">
        <v>41341</v>
      </c>
      <c r="M1390" s="50">
        <v>4</v>
      </c>
      <c r="N1390" s="50" t="s">
        <v>1</v>
      </c>
      <c r="O1390" s="74">
        <f>5/2</f>
        <v>2.5</v>
      </c>
      <c r="P1390" s="50">
        <v>7.41</v>
      </c>
      <c r="Q1390" s="74">
        <v>7.8</v>
      </c>
      <c r="R1390" s="50">
        <v>160</v>
      </c>
      <c r="S1390" s="74">
        <v>250</v>
      </c>
      <c r="T1390" s="50">
        <v>0.4</v>
      </c>
      <c r="U1390" s="131">
        <v>5.2</v>
      </c>
      <c r="V1390" s="50">
        <v>0.83</v>
      </c>
      <c r="W1390" s="74">
        <v>7.0000000000000007E-2</v>
      </c>
      <c r="X1390" s="50">
        <v>0.32</v>
      </c>
      <c r="Y1390" s="74">
        <v>4.2000000000000003E-2</v>
      </c>
    </row>
    <row r="1391" spans="1:31" ht="15" customHeight="1">
      <c r="A1391" s="41" t="s">
        <v>183</v>
      </c>
      <c r="B1391" s="402" t="s">
        <v>1974</v>
      </c>
      <c r="C1391" s="113" t="s">
        <v>2067</v>
      </c>
      <c r="D1391" s="393" t="s">
        <v>434</v>
      </c>
      <c r="E1391" s="394" t="s">
        <v>2068</v>
      </c>
      <c r="G1391" s="405" t="s">
        <v>1653</v>
      </c>
      <c r="H1391" s="113">
        <v>3721</v>
      </c>
      <c r="I1391" s="50" t="s">
        <v>1</v>
      </c>
      <c r="J1391" s="48" t="s">
        <v>1665</v>
      </c>
      <c r="K1391" s="51">
        <v>41345</v>
      </c>
      <c r="L1391" s="173">
        <v>41341</v>
      </c>
      <c r="M1391" s="50">
        <v>4</v>
      </c>
      <c r="N1391" s="50" t="s">
        <v>1</v>
      </c>
      <c r="O1391" s="74">
        <f>5/2</f>
        <v>2.5</v>
      </c>
      <c r="P1391" s="50">
        <v>7.41</v>
      </c>
      <c r="Q1391" s="74">
        <v>6.3</v>
      </c>
      <c r="R1391" s="50">
        <v>180</v>
      </c>
      <c r="S1391" s="74">
        <v>990</v>
      </c>
      <c r="T1391" s="50">
        <v>0.72</v>
      </c>
      <c r="U1391" s="131">
        <v>1.1000000000000001</v>
      </c>
      <c r="V1391" s="50">
        <v>0.68</v>
      </c>
      <c r="W1391" s="74">
        <v>0.11</v>
      </c>
      <c r="X1391" s="50">
        <v>0.4</v>
      </c>
      <c r="Y1391" s="74">
        <v>7.1999999999999995E-2</v>
      </c>
    </row>
    <row r="1392" spans="1:31" ht="15" customHeight="1">
      <c r="A1392" s="41" t="s">
        <v>183</v>
      </c>
      <c r="B1392" s="402" t="s">
        <v>1974</v>
      </c>
      <c r="C1392" s="113" t="s">
        <v>2067</v>
      </c>
      <c r="D1392" s="393" t="s">
        <v>434</v>
      </c>
      <c r="E1392" s="394" t="s">
        <v>2068</v>
      </c>
      <c r="G1392" s="405" t="s">
        <v>1653</v>
      </c>
      <c r="H1392" s="113">
        <v>3721</v>
      </c>
      <c r="I1392" s="50" t="s">
        <v>1</v>
      </c>
      <c r="J1392" s="48" t="s">
        <v>1666</v>
      </c>
      <c r="K1392" s="51">
        <v>41345</v>
      </c>
      <c r="L1392" s="173">
        <v>41341</v>
      </c>
      <c r="M1392" s="50">
        <v>4</v>
      </c>
      <c r="N1392" s="50" t="s">
        <v>1</v>
      </c>
      <c r="O1392" s="74">
        <f>5/2</f>
        <v>2.5</v>
      </c>
      <c r="P1392" s="50">
        <v>7.41</v>
      </c>
      <c r="Q1392" s="74">
        <v>7.43</v>
      </c>
      <c r="R1392" s="50">
        <v>80</v>
      </c>
      <c r="S1392" s="74">
        <v>85</v>
      </c>
      <c r="T1392" s="50">
        <v>0.11</v>
      </c>
      <c r="U1392" s="131">
        <f>1/2</f>
        <v>0.5</v>
      </c>
      <c r="V1392" s="50">
        <v>0.99</v>
      </c>
      <c r="W1392" s="74">
        <f>0.04/2</f>
        <v>0.02</v>
      </c>
      <c r="X1392" s="50">
        <v>0.39</v>
      </c>
      <c r="Y1392" s="74">
        <f>0.013/2</f>
        <v>6.4999999999999997E-3</v>
      </c>
    </row>
    <row r="1393" spans="1:50" ht="15" customHeight="1">
      <c r="A1393" s="41" t="s">
        <v>183</v>
      </c>
      <c r="B1393" s="402" t="s">
        <v>1974</v>
      </c>
      <c r="C1393" s="113" t="s">
        <v>2067</v>
      </c>
      <c r="D1393" s="393" t="s">
        <v>434</v>
      </c>
      <c r="E1393" s="394" t="s">
        <v>2068</v>
      </c>
      <c r="G1393" s="405" t="s">
        <v>1653</v>
      </c>
      <c r="H1393" s="113">
        <v>3721</v>
      </c>
      <c r="I1393" s="50" t="s">
        <v>1</v>
      </c>
      <c r="J1393" s="48" t="s">
        <v>1667</v>
      </c>
      <c r="K1393" s="51">
        <v>41345</v>
      </c>
      <c r="L1393" s="173">
        <v>41341</v>
      </c>
      <c r="M1393" s="50">
        <v>4</v>
      </c>
      <c r="N1393" s="50" t="s">
        <v>1</v>
      </c>
      <c r="O1393" s="74">
        <f>5/2</f>
        <v>2.5</v>
      </c>
      <c r="P1393" s="50">
        <v>7.41</v>
      </c>
      <c r="Q1393" s="74">
        <v>7.43</v>
      </c>
      <c r="R1393" s="50">
        <v>130</v>
      </c>
      <c r="S1393" s="74">
        <v>180</v>
      </c>
      <c r="T1393" s="50">
        <v>0.14000000000000001</v>
      </c>
      <c r="U1393" s="131">
        <v>3.4</v>
      </c>
      <c r="V1393" s="50">
        <v>0.59</v>
      </c>
      <c r="W1393" s="74">
        <f>0.04/2</f>
        <v>0.02</v>
      </c>
      <c r="X1393" s="50">
        <v>0.38</v>
      </c>
      <c r="Y1393" s="74">
        <v>2.5000000000000001E-2</v>
      </c>
    </row>
    <row r="1394" spans="1:50" ht="15" customHeight="1">
      <c r="A1394" s="41" t="s">
        <v>183</v>
      </c>
      <c r="B1394" s="402" t="s">
        <v>1974</v>
      </c>
      <c r="C1394" s="113" t="s">
        <v>2067</v>
      </c>
      <c r="D1394" s="393" t="s">
        <v>434</v>
      </c>
      <c r="E1394" s="394" t="s">
        <v>2068</v>
      </c>
      <c r="G1394" s="405" t="s">
        <v>1653</v>
      </c>
      <c r="H1394" s="113">
        <v>3721</v>
      </c>
      <c r="I1394" s="50" t="s">
        <v>1</v>
      </c>
      <c r="J1394" s="48" t="s">
        <v>1668</v>
      </c>
      <c r="K1394" s="51">
        <v>41345</v>
      </c>
      <c r="L1394" s="173">
        <v>41341</v>
      </c>
      <c r="M1394" s="50">
        <v>4</v>
      </c>
      <c r="N1394" s="50" t="s">
        <v>1</v>
      </c>
      <c r="O1394" s="74">
        <v>16</v>
      </c>
      <c r="P1394" s="50">
        <v>7.41</v>
      </c>
      <c r="Q1394" s="74">
        <v>7.07</v>
      </c>
      <c r="R1394" s="50">
        <v>200</v>
      </c>
      <c r="S1394" s="74">
        <v>530</v>
      </c>
      <c r="T1394" s="50">
        <v>0.86</v>
      </c>
      <c r="U1394" s="131">
        <v>1.6</v>
      </c>
      <c r="V1394" s="50">
        <v>0.57999999999999996</v>
      </c>
      <c r="W1394" s="74">
        <v>0.16</v>
      </c>
      <c r="X1394" s="50">
        <v>0.95</v>
      </c>
      <c r="Y1394" s="74">
        <v>0.11</v>
      </c>
    </row>
    <row r="1395" spans="1:50" ht="15" customHeight="1">
      <c r="A1395" s="41" t="s">
        <v>183</v>
      </c>
      <c r="B1395" s="402" t="s">
        <v>1974</v>
      </c>
      <c r="C1395" s="113" t="s">
        <v>2067</v>
      </c>
      <c r="D1395" s="393" t="s">
        <v>434</v>
      </c>
      <c r="E1395" s="394" t="s">
        <v>2068</v>
      </c>
      <c r="G1395" s="405" t="s">
        <v>1653</v>
      </c>
      <c r="H1395" s="113">
        <v>3721</v>
      </c>
      <c r="I1395" s="50" t="s">
        <v>1</v>
      </c>
      <c r="J1395" s="48" t="s">
        <v>1669</v>
      </c>
      <c r="K1395" s="51">
        <v>41345</v>
      </c>
      <c r="L1395" s="173">
        <v>41341</v>
      </c>
      <c r="M1395" s="50">
        <v>4</v>
      </c>
      <c r="N1395" s="50" t="s">
        <v>1</v>
      </c>
      <c r="O1395" s="74">
        <f>5/2</f>
        <v>2.5</v>
      </c>
      <c r="P1395" s="50">
        <v>7.41</v>
      </c>
      <c r="Q1395" s="74">
        <v>7.63</v>
      </c>
      <c r="R1395" s="50">
        <v>12</v>
      </c>
      <c r="S1395" s="74">
        <v>19</v>
      </c>
      <c r="T1395" s="50">
        <f>0.1/2</f>
        <v>0.05</v>
      </c>
      <c r="U1395" s="131">
        <f>1/2</f>
        <v>0.5</v>
      </c>
      <c r="V1395" s="50">
        <v>0.13</v>
      </c>
      <c r="W1395" s="74">
        <f>0.04/2</f>
        <v>0.02</v>
      </c>
      <c r="X1395" s="50">
        <v>3.2000000000000001E-2</v>
      </c>
      <c r="Y1395" s="74">
        <f>0.013/2</f>
        <v>6.4999999999999997E-3</v>
      </c>
    </row>
    <row r="1396" spans="1:50" ht="15" customHeight="1">
      <c r="A1396" s="41" t="s">
        <v>183</v>
      </c>
      <c r="B1396" s="402" t="s">
        <v>1974</v>
      </c>
      <c r="C1396" s="113" t="s">
        <v>2067</v>
      </c>
      <c r="D1396" s="393" t="s">
        <v>434</v>
      </c>
      <c r="E1396" s="394" t="s">
        <v>2068</v>
      </c>
      <c r="G1396" s="405" t="s">
        <v>1653</v>
      </c>
      <c r="H1396" s="113">
        <v>3721</v>
      </c>
      <c r="I1396" s="50" t="s">
        <v>1</v>
      </c>
      <c r="J1396" s="48" t="s">
        <v>1654</v>
      </c>
      <c r="K1396" s="51">
        <v>41449</v>
      </c>
      <c r="L1396" s="173">
        <v>41443</v>
      </c>
      <c r="M1396" s="50">
        <v>6</v>
      </c>
      <c r="N1396" s="50" t="s">
        <v>2</v>
      </c>
      <c r="O1396" s="74">
        <v>1.98</v>
      </c>
      <c r="P1396" s="50">
        <v>6.51</v>
      </c>
      <c r="Q1396" s="74">
        <v>6.61</v>
      </c>
      <c r="R1396" s="50">
        <v>89</v>
      </c>
      <c r="S1396" s="74">
        <v>54</v>
      </c>
      <c r="T1396" s="50">
        <f>0.1/2</f>
        <v>0.05</v>
      </c>
      <c r="U1396" s="131">
        <v>1.4</v>
      </c>
      <c r="V1396" s="50">
        <v>1</v>
      </c>
      <c r="W1396" s="74">
        <v>1.0999999999999999E-2</v>
      </c>
      <c r="X1396" s="50">
        <v>7.1999999999999995E-2</v>
      </c>
      <c r="Y1396" s="74">
        <f>0.01/2</f>
        <v>5.0000000000000001E-3</v>
      </c>
      <c r="AX1396" s="5">
        <f t="shared" ref="AX1396:AX1403" si="63">0.1/2</f>
        <v>0.05</v>
      </c>
    </row>
    <row r="1397" spans="1:50" ht="15" customHeight="1">
      <c r="A1397" s="41" t="s">
        <v>183</v>
      </c>
      <c r="B1397" s="402" t="s">
        <v>1974</v>
      </c>
      <c r="C1397" s="113" t="s">
        <v>2067</v>
      </c>
      <c r="D1397" s="393" t="s">
        <v>434</v>
      </c>
      <c r="E1397" s="394" t="s">
        <v>2068</v>
      </c>
      <c r="G1397" s="405" t="s">
        <v>1653</v>
      </c>
      <c r="H1397" s="113">
        <v>3721</v>
      </c>
      <c r="I1397" s="50" t="s">
        <v>1</v>
      </c>
      <c r="J1397" s="48" t="s">
        <v>2069</v>
      </c>
      <c r="K1397" s="51">
        <v>41449</v>
      </c>
      <c r="L1397" s="173">
        <v>41443</v>
      </c>
      <c r="M1397" s="50">
        <v>6</v>
      </c>
      <c r="N1397" s="50" t="s">
        <v>2</v>
      </c>
      <c r="O1397" s="74">
        <f>1/2</f>
        <v>0.5</v>
      </c>
      <c r="P1397" s="50">
        <v>6.51</v>
      </c>
      <c r="Q1397" s="74">
        <v>6.98</v>
      </c>
      <c r="R1397" s="50">
        <v>87</v>
      </c>
      <c r="S1397" s="74">
        <v>50</v>
      </c>
      <c r="T1397" s="50">
        <f>0.1/2</f>
        <v>0.05</v>
      </c>
      <c r="U1397" s="131">
        <v>1.2</v>
      </c>
      <c r="V1397" s="50">
        <v>1</v>
      </c>
      <c r="W1397" s="74">
        <v>0.01</v>
      </c>
      <c r="X1397" s="50">
        <v>7.0000000000000007E-2</v>
      </c>
      <c r="Y1397" s="74">
        <f>0.01/2</f>
        <v>5.0000000000000001E-3</v>
      </c>
      <c r="AX1397" s="5">
        <f t="shared" si="63"/>
        <v>0.05</v>
      </c>
    </row>
    <row r="1398" spans="1:50" ht="15" customHeight="1">
      <c r="A1398" s="41" t="s">
        <v>183</v>
      </c>
      <c r="B1398" s="402" t="s">
        <v>1974</v>
      </c>
      <c r="C1398" s="113" t="s">
        <v>2067</v>
      </c>
      <c r="D1398" s="393" t="s">
        <v>434</v>
      </c>
      <c r="E1398" s="394" t="s">
        <v>2068</v>
      </c>
      <c r="G1398" s="405" t="s">
        <v>1653</v>
      </c>
      <c r="H1398" s="113">
        <v>3721</v>
      </c>
      <c r="I1398" s="50" t="s">
        <v>1</v>
      </c>
      <c r="J1398" s="48" t="s">
        <v>1656</v>
      </c>
      <c r="K1398" s="51">
        <v>41449</v>
      </c>
      <c r="L1398" s="173">
        <v>41443</v>
      </c>
      <c r="M1398" s="50">
        <v>6</v>
      </c>
      <c r="N1398" s="50" t="s">
        <v>2</v>
      </c>
      <c r="O1398" s="74">
        <v>1.6</v>
      </c>
      <c r="P1398" s="50">
        <v>6.51</v>
      </c>
      <c r="Q1398" s="74">
        <v>7.05</v>
      </c>
      <c r="R1398" s="50">
        <v>120</v>
      </c>
      <c r="S1398" s="74">
        <v>160</v>
      </c>
      <c r="T1398" s="50">
        <v>0.16</v>
      </c>
      <c r="U1398" s="131">
        <v>1.8</v>
      </c>
      <c r="V1398" s="50">
        <v>0.88</v>
      </c>
      <c r="W1398" s="74">
        <v>0.2</v>
      </c>
      <c r="X1398" s="50">
        <v>1.1000000000000001</v>
      </c>
      <c r="Y1398" s="74">
        <v>0.53</v>
      </c>
      <c r="AX1398" s="5">
        <f t="shared" si="63"/>
        <v>0.05</v>
      </c>
    </row>
    <row r="1399" spans="1:50" ht="15" customHeight="1">
      <c r="A1399" s="41" t="s">
        <v>183</v>
      </c>
      <c r="B1399" s="402" t="s">
        <v>1974</v>
      </c>
      <c r="C1399" s="113" t="s">
        <v>2067</v>
      </c>
      <c r="D1399" s="393" t="s">
        <v>434</v>
      </c>
      <c r="E1399" s="394" t="s">
        <v>2068</v>
      </c>
      <c r="G1399" s="405" t="s">
        <v>1653</v>
      </c>
      <c r="H1399" s="113">
        <v>3721</v>
      </c>
      <c r="I1399" s="50" t="s">
        <v>1</v>
      </c>
      <c r="J1399" s="48" t="s">
        <v>1657</v>
      </c>
      <c r="K1399" s="51">
        <v>41449</v>
      </c>
      <c r="L1399" s="173">
        <v>41443</v>
      </c>
      <c r="M1399" s="50">
        <v>6</v>
      </c>
      <c r="N1399" s="50" t="s">
        <v>2</v>
      </c>
      <c r="O1399" s="74">
        <v>9</v>
      </c>
      <c r="P1399" s="50">
        <v>6.51</v>
      </c>
      <c r="Q1399" s="74">
        <v>6.61</v>
      </c>
      <c r="R1399" s="50">
        <v>220</v>
      </c>
      <c r="S1399" s="74">
        <v>410</v>
      </c>
      <c r="T1399" s="50">
        <v>0.27</v>
      </c>
      <c r="U1399" s="131">
        <v>1.7</v>
      </c>
      <c r="V1399" s="50">
        <v>1</v>
      </c>
      <c r="W1399" s="74">
        <v>7.3999999999999996E-2</v>
      </c>
      <c r="X1399" s="50">
        <v>0.93</v>
      </c>
      <c r="Y1399" s="74">
        <v>4.4999999999999998E-2</v>
      </c>
      <c r="AX1399" s="5">
        <f t="shared" si="63"/>
        <v>0.05</v>
      </c>
    </row>
    <row r="1400" spans="1:50" ht="15" customHeight="1">
      <c r="A1400" s="41" t="s">
        <v>183</v>
      </c>
      <c r="B1400" s="402" t="s">
        <v>1974</v>
      </c>
      <c r="C1400" s="113" t="s">
        <v>2067</v>
      </c>
      <c r="D1400" s="393" t="s">
        <v>434</v>
      </c>
      <c r="E1400" s="394" t="s">
        <v>2068</v>
      </c>
      <c r="G1400" s="405" t="s">
        <v>1653</v>
      </c>
      <c r="H1400" s="113">
        <v>3721</v>
      </c>
      <c r="I1400" s="50" t="s">
        <v>1</v>
      </c>
      <c r="J1400" s="48" t="s">
        <v>1658</v>
      </c>
      <c r="K1400" s="51">
        <v>41449</v>
      </c>
      <c r="L1400" s="173">
        <v>41443</v>
      </c>
      <c r="M1400" s="50">
        <v>6</v>
      </c>
      <c r="N1400" s="50" t="s">
        <v>2</v>
      </c>
      <c r="O1400" s="74">
        <v>7.6</v>
      </c>
      <c r="P1400" s="50">
        <v>6.51</v>
      </c>
      <c r="Q1400" s="74">
        <v>6</v>
      </c>
      <c r="R1400" s="50">
        <v>160</v>
      </c>
      <c r="S1400" s="74">
        <v>250</v>
      </c>
      <c r="T1400" s="50">
        <v>0.47</v>
      </c>
      <c r="U1400" s="131">
        <v>2.6</v>
      </c>
      <c r="V1400" s="50">
        <v>1.6</v>
      </c>
      <c r="W1400" s="74">
        <v>0.97</v>
      </c>
      <c r="X1400" s="50">
        <v>5.6</v>
      </c>
      <c r="Y1400" s="74">
        <v>0.36</v>
      </c>
      <c r="AX1400" s="5">
        <f t="shared" si="63"/>
        <v>0.05</v>
      </c>
    </row>
    <row r="1401" spans="1:50" ht="15" customHeight="1">
      <c r="A1401" s="41" t="s">
        <v>183</v>
      </c>
      <c r="B1401" s="402" t="s">
        <v>1974</v>
      </c>
      <c r="C1401" s="113" t="s">
        <v>2067</v>
      </c>
      <c r="D1401" s="393" t="s">
        <v>434</v>
      </c>
      <c r="E1401" s="394" t="s">
        <v>2068</v>
      </c>
      <c r="G1401" s="405" t="s">
        <v>1653</v>
      </c>
      <c r="H1401" s="113">
        <v>3721</v>
      </c>
      <c r="I1401" s="50" t="s">
        <v>1</v>
      </c>
      <c r="J1401" s="48" t="s">
        <v>1659</v>
      </c>
      <c r="K1401" s="51">
        <v>41449</v>
      </c>
      <c r="L1401" s="173">
        <v>41443</v>
      </c>
      <c r="M1401" s="50">
        <v>6</v>
      </c>
      <c r="N1401" s="50" t="s">
        <v>2</v>
      </c>
      <c r="O1401" s="74">
        <v>11</v>
      </c>
      <c r="P1401" s="50">
        <v>6.51</v>
      </c>
      <c r="Q1401" s="74">
        <v>6.81</v>
      </c>
      <c r="R1401" s="50">
        <v>260</v>
      </c>
      <c r="S1401" s="74">
        <v>2000</v>
      </c>
      <c r="T1401" s="50">
        <v>7.9</v>
      </c>
      <c r="U1401" s="131">
        <v>3.6</v>
      </c>
      <c r="V1401" s="50">
        <v>1.3</v>
      </c>
      <c r="W1401" s="74">
        <v>1.3</v>
      </c>
      <c r="X1401" s="50">
        <v>7.1</v>
      </c>
      <c r="Y1401" s="74">
        <v>0.5</v>
      </c>
      <c r="AX1401" s="5">
        <f t="shared" si="63"/>
        <v>0.05</v>
      </c>
    </row>
    <row r="1402" spans="1:50" ht="15" customHeight="1">
      <c r="A1402" s="41" t="s">
        <v>183</v>
      </c>
      <c r="B1402" s="402" t="s">
        <v>1974</v>
      </c>
      <c r="C1402" s="113" t="s">
        <v>2067</v>
      </c>
      <c r="D1402" s="393" t="s">
        <v>434</v>
      </c>
      <c r="E1402" s="394" t="s">
        <v>2068</v>
      </c>
      <c r="G1402" s="405" t="s">
        <v>1653</v>
      </c>
      <c r="H1402" s="113">
        <v>3721</v>
      </c>
      <c r="I1402" s="50" t="s">
        <v>1</v>
      </c>
      <c r="J1402" s="48" t="s">
        <v>1660</v>
      </c>
      <c r="K1402" s="51">
        <v>41449</v>
      </c>
      <c r="L1402" s="173">
        <v>41443</v>
      </c>
      <c r="M1402" s="50">
        <v>6</v>
      </c>
      <c r="N1402" s="50" t="s">
        <v>2</v>
      </c>
      <c r="O1402" s="74">
        <v>3.1</v>
      </c>
      <c r="P1402" s="50">
        <v>6.51</v>
      </c>
      <c r="Q1402" s="74">
        <v>6.32</v>
      </c>
      <c r="R1402" s="50">
        <v>180</v>
      </c>
      <c r="S1402" s="74">
        <v>400</v>
      </c>
      <c r="T1402" s="50">
        <v>0.61</v>
      </c>
      <c r="U1402" s="131">
        <v>2.2000000000000002</v>
      </c>
      <c r="V1402" s="50">
        <v>0.81</v>
      </c>
      <c r="W1402" s="74">
        <v>0.13</v>
      </c>
      <c r="X1402" s="50">
        <v>0.93</v>
      </c>
      <c r="Y1402" s="74">
        <f>0.01/2</f>
        <v>5.0000000000000001E-3</v>
      </c>
      <c r="AX1402" s="5">
        <f t="shared" si="63"/>
        <v>0.05</v>
      </c>
    </row>
    <row r="1403" spans="1:50" ht="15" customHeight="1">
      <c r="A1403" s="41" t="s">
        <v>183</v>
      </c>
      <c r="B1403" s="402" t="s">
        <v>1974</v>
      </c>
      <c r="C1403" s="113" t="s">
        <v>2067</v>
      </c>
      <c r="D1403" s="393" t="s">
        <v>434</v>
      </c>
      <c r="E1403" s="394" t="s">
        <v>2068</v>
      </c>
      <c r="G1403" s="405" t="s">
        <v>1653</v>
      </c>
      <c r="H1403" s="113">
        <v>3721</v>
      </c>
      <c r="I1403" s="50" t="s">
        <v>1</v>
      </c>
      <c r="J1403" s="48" t="s">
        <v>1661</v>
      </c>
      <c r="K1403" s="51">
        <v>41449</v>
      </c>
      <c r="L1403" s="173">
        <v>41443</v>
      </c>
      <c r="M1403" s="50">
        <v>6</v>
      </c>
      <c r="N1403" s="50" t="s">
        <v>2</v>
      </c>
      <c r="O1403" s="74">
        <f>1/2</f>
        <v>0.5</v>
      </c>
      <c r="P1403" s="50">
        <v>6.51</v>
      </c>
      <c r="Q1403" s="74">
        <v>6.76</v>
      </c>
      <c r="R1403" s="50">
        <v>85</v>
      </c>
      <c r="S1403" s="74">
        <v>250</v>
      </c>
      <c r="T1403" s="50">
        <f>0.1/2</f>
        <v>0.05</v>
      </c>
      <c r="U1403" s="131">
        <v>2.4</v>
      </c>
      <c r="V1403" s="50">
        <v>1.4</v>
      </c>
      <c r="W1403" s="74">
        <f>0.01/2</f>
        <v>5.0000000000000001E-3</v>
      </c>
      <c r="X1403" s="50">
        <v>2.9000000000000001E-2</v>
      </c>
      <c r="Y1403" s="74">
        <f>0.01/2</f>
        <v>5.0000000000000001E-3</v>
      </c>
      <c r="AX1403" s="5">
        <f t="shared" si="63"/>
        <v>0.05</v>
      </c>
    </row>
    <row r="1404" spans="1:50" ht="15" customHeight="1">
      <c r="A1404" s="41" t="s">
        <v>183</v>
      </c>
      <c r="B1404" s="402" t="s">
        <v>1974</v>
      </c>
      <c r="C1404" s="113" t="s">
        <v>2067</v>
      </c>
      <c r="D1404" s="393" t="s">
        <v>434</v>
      </c>
      <c r="E1404" s="394" t="s">
        <v>2068</v>
      </c>
      <c r="G1404" s="405" t="s">
        <v>1653</v>
      </c>
      <c r="H1404" s="113">
        <v>3721</v>
      </c>
      <c r="I1404" s="50" t="s">
        <v>1</v>
      </c>
      <c r="J1404" s="48" t="s">
        <v>1662</v>
      </c>
      <c r="K1404" s="51">
        <v>41449</v>
      </c>
      <c r="L1404" s="173">
        <v>41443</v>
      </c>
      <c r="M1404" s="50">
        <v>6</v>
      </c>
      <c r="N1404" s="50" t="s">
        <v>2</v>
      </c>
      <c r="O1404" s="74">
        <v>5.9</v>
      </c>
      <c r="P1404" s="50">
        <v>6.51</v>
      </c>
      <c r="Q1404" s="74">
        <v>7.05</v>
      </c>
      <c r="R1404" s="50">
        <v>300</v>
      </c>
      <c r="S1404" s="74">
        <v>1100</v>
      </c>
      <c r="T1404" s="50">
        <v>0.68</v>
      </c>
      <c r="U1404" s="131">
        <v>2.7</v>
      </c>
      <c r="V1404" s="50">
        <v>1.5</v>
      </c>
      <c r="W1404" s="74">
        <v>0.15</v>
      </c>
      <c r="X1404" s="50">
        <v>1.8</v>
      </c>
      <c r="Y1404" s="74">
        <v>0.12</v>
      </c>
      <c r="AX1404" s="5">
        <v>0.11</v>
      </c>
    </row>
    <row r="1405" spans="1:50" ht="15" customHeight="1">
      <c r="A1405" s="41" t="s">
        <v>183</v>
      </c>
      <c r="B1405" s="402" t="s">
        <v>1974</v>
      </c>
      <c r="C1405" s="113" t="s">
        <v>2067</v>
      </c>
      <c r="D1405" s="393" t="s">
        <v>434</v>
      </c>
      <c r="E1405" s="394" t="s">
        <v>2068</v>
      </c>
      <c r="G1405" s="405" t="s">
        <v>1653</v>
      </c>
      <c r="H1405" s="113">
        <v>3721</v>
      </c>
      <c r="I1405" s="50" t="s">
        <v>1</v>
      </c>
      <c r="J1405" s="48" t="s">
        <v>1663</v>
      </c>
      <c r="K1405" s="51">
        <v>41449</v>
      </c>
      <c r="L1405" s="173">
        <v>41443</v>
      </c>
      <c r="M1405" s="50">
        <v>6</v>
      </c>
      <c r="N1405" s="50" t="s">
        <v>2</v>
      </c>
      <c r="O1405" s="74">
        <v>2.5</v>
      </c>
      <c r="P1405" s="50">
        <v>6.51</v>
      </c>
      <c r="Q1405" s="74">
        <v>6.12</v>
      </c>
      <c r="R1405" s="50">
        <v>160</v>
      </c>
      <c r="S1405" s="74">
        <v>100</v>
      </c>
      <c r="T1405" s="50">
        <v>0.11</v>
      </c>
      <c r="U1405" s="131">
        <v>3.2</v>
      </c>
      <c r="V1405" s="50">
        <v>1.4</v>
      </c>
      <c r="W1405" s="74">
        <v>3.2000000000000001E-2</v>
      </c>
      <c r="X1405" s="50">
        <v>0.55000000000000004</v>
      </c>
      <c r="Y1405" s="74">
        <v>1.4999999999999999E-2</v>
      </c>
      <c r="AX1405" s="5">
        <f>0.1/2</f>
        <v>0.05</v>
      </c>
    </row>
    <row r="1406" spans="1:50" ht="15" customHeight="1">
      <c r="A1406" s="41" t="s">
        <v>183</v>
      </c>
      <c r="B1406" s="402" t="s">
        <v>1974</v>
      </c>
      <c r="C1406" s="113" t="s">
        <v>2067</v>
      </c>
      <c r="D1406" s="393" t="s">
        <v>434</v>
      </c>
      <c r="E1406" s="394" t="s">
        <v>2068</v>
      </c>
      <c r="G1406" s="405" t="s">
        <v>1653</v>
      </c>
      <c r="H1406" s="113">
        <v>3721</v>
      </c>
      <c r="I1406" s="50" t="s">
        <v>1</v>
      </c>
      <c r="J1406" s="48" t="s">
        <v>1664</v>
      </c>
      <c r="K1406" s="51">
        <v>41449</v>
      </c>
      <c r="L1406" s="173">
        <v>41443</v>
      </c>
      <c r="M1406" s="50">
        <v>6</v>
      </c>
      <c r="N1406" s="50" t="s">
        <v>2</v>
      </c>
      <c r="O1406" s="74">
        <v>1.5</v>
      </c>
      <c r="P1406" s="50">
        <v>6.51</v>
      </c>
      <c r="Q1406" s="74">
        <v>7.73</v>
      </c>
      <c r="R1406" s="50">
        <v>140</v>
      </c>
      <c r="S1406" s="74">
        <v>23</v>
      </c>
      <c r="T1406" s="50">
        <v>0.13</v>
      </c>
      <c r="U1406" s="131">
        <v>3.2</v>
      </c>
      <c r="V1406" s="50">
        <v>1.8</v>
      </c>
      <c r="W1406" s="74">
        <v>3.3000000000000002E-2</v>
      </c>
      <c r="X1406" s="50">
        <v>0.12</v>
      </c>
      <c r="Y1406" s="74">
        <f>0.01/2</f>
        <v>5.0000000000000001E-3</v>
      </c>
      <c r="AX1406" s="5">
        <v>0.12</v>
      </c>
    </row>
    <row r="1407" spans="1:50" ht="15" customHeight="1">
      <c r="A1407" s="41" t="s">
        <v>183</v>
      </c>
      <c r="B1407" s="402" t="s">
        <v>1974</v>
      </c>
      <c r="C1407" s="113" t="s">
        <v>2067</v>
      </c>
      <c r="D1407" s="393" t="s">
        <v>434</v>
      </c>
      <c r="E1407" s="394" t="s">
        <v>2068</v>
      </c>
      <c r="G1407" s="405" t="s">
        <v>1653</v>
      </c>
      <c r="H1407" s="113">
        <v>3721</v>
      </c>
      <c r="I1407" s="50" t="s">
        <v>1</v>
      </c>
      <c r="J1407" s="48" t="s">
        <v>1665</v>
      </c>
      <c r="K1407" s="51">
        <v>41449</v>
      </c>
      <c r="L1407" s="173">
        <v>41443</v>
      </c>
      <c r="M1407" s="50">
        <v>6</v>
      </c>
      <c r="N1407" s="50" t="s">
        <v>2</v>
      </c>
      <c r="O1407" s="74">
        <v>4.4000000000000004</v>
      </c>
      <c r="P1407" s="50">
        <v>6.51</v>
      </c>
      <c r="Q1407" s="74">
        <v>6.12</v>
      </c>
      <c r="R1407" s="50">
        <v>150</v>
      </c>
      <c r="S1407" s="74">
        <v>120</v>
      </c>
      <c r="T1407" s="50">
        <v>0.15</v>
      </c>
      <c r="U1407" s="131">
        <v>3.2</v>
      </c>
      <c r="V1407" s="50">
        <v>1.5</v>
      </c>
      <c r="W1407" s="74">
        <v>3.3000000000000002E-2</v>
      </c>
      <c r="X1407" s="50">
        <v>0.56999999999999995</v>
      </c>
      <c r="Y1407" s="74">
        <v>1.2E-2</v>
      </c>
      <c r="AX1407" s="5">
        <f>0.1/2</f>
        <v>0.05</v>
      </c>
    </row>
    <row r="1408" spans="1:50" ht="15" customHeight="1">
      <c r="A1408" s="41" t="s">
        <v>183</v>
      </c>
      <c r="B1408" s="402" t="s">
        <v>1974</v>
      </c>
      <c r="C1408" s="113" t="s">
        <v>2067</v>
      </c>
      <c r="D1408" s="393" t="s">
        <v>434</v>
      </c>
      <c r="E1408" s="394" t="s">
        <v>2068</v>
      </c>
      <c r="G1408" s="405" t="s">
        <v>1653</v>
      </c>
      <c r="H1408" s="113">
        <v>3721</v>
      </c>
      <c r="I1408" s="50" t="s">
        <v>1</v>
      </c>
      <c r="J1408" s="48" t="s">
        <v>1666</v>
      </c>
      <c r="K1408" s="51">
        <v>41449</v>
      </c>
      <c r="L1408" s="173">
        <v>41443</v>
      </c>
      <c r="M1408" s="50">
        <v>6</v>
      </c>
      <c r="N1408" s="50" t="s">
        <v>2</v>
      </c>
      <c r="O1408" s="74">
        <v>1.9</v>
      </c>
      <c r="P1408" s="50">
        <v>6.51</v>
      </c>
      <c r="Q1408" s="74">
        <v>6.25</v>
      </c>
      <c r="R1408" s="50">
        <v>120</v>
      </c>
      <c r="S1408" s="74">
        <v>110</v>
      </c>
      <c r="T1408" s="50">
        <f>0.1/2</f>
        <v>0.05</v>
      </c>
      <c r="U1408" s="131">
        <v>3</v>
      </c>
      <c r="V1408" s="50">
        <v>2</v>
      </c>
      <c r="W1408" s="74">
        <v>2.4E-2</v>
      </c>
      <c r="X1408" s="50">
        <v>0.24</v>
      </c>
      <c r="Y1408" s="74">
        <f>0.01/2</f>
        <v>5.0000000000000001E-3</v>
      </c>
      <c r="AX1408" s="5">
        <f>0.1/2</f>
        <v>0.05</v>
      </c>
    </row>
    <row r="1409" spans="1:67" ht="15" customHeight="1">
      <c r="A1409" s="41" t="s">
        <v>183</v>
      </c>
      <c r="B1409" s="402" t="s">
        <v>1974</v>
      </c>
      <c r="C1409" s="113" t="s">
        <v>2067</v>
      </c>
      <c r="D1409" s="393" t="s">
        <v>434</v>
      </c>
      <c r="E1409" s="394" t="s">
        <v>2068</v>
      </c>
      <c r="G1409" s="405" t="s">
        <v>1653</v>
      </c>
      <c r="H1409" s="113">
        <v>3721</v>
      </c>
      <c r="I1409" s="50" t="s">
        <v>1</v>
      </c>
      <c r="J1409" s="48" t="s">
        <v>1667</v>
      </c>
      <c r="K1409" s="51">
        <v>41449</v>
      </c>
      <c r="L1409" s="173">
        <v>41443</v>
      </c>
      <c r="M1409" s="50">
        <v>6</v>
      </c>
      <c r="N1409" s="50" t="s">
        <v>2</v>
      </c>
      <c r="O1409" s="74">
        <v>4.2</v>
      </c>
      <c r="P1409" s="50">
        <v>6.51</v>
      </c>
      <c r="Q1409" s="74">
        <v>6.38</v>
      </c>
      <c r="R1409" s="50">
        <v>120</v>
      </c>
      <c r="S1409" s="74">
        <v>170</v>
      </c>
      <c r="T1409" s="50">
        <f>0.1/2</f>
        <v>0.05</v>
      </c>
      <c r="U1409" s="131">
        <v>2.2999999999999998</v>
      </c>
      <c r="V1409" s="50">
        <v>1.3</v>
      </c>
      <c r="W1409" s="74">
        <v>2.8000000000000001E-2</v>
      </c>
      <c r="X1409" s="50">
        <v>0.4</v>
      </c>
      <c r="Y1409" s="74">
        <f>0.01/2</f>
        <v>5.0000000000000001E-3</v>
      </c>
      <c r="AX1409" s="5">
        <f>0.1/2</f>
        <v>0.05</v>
      </c>
    </row>
    <row r="1410" spans="1:67" ht="15" customHeight="1">
      <c r="A1410" s="41" t="s">
        <v>183</v>
      </c>
      <c r="B1410" s="402" t="s">
        <v>1974</v>
      </c>
      <c r="C1410" s="113" t="s">
        <v>2067</v>
      </c>
      <c r="D1410" s="393" t="s">
        <v>434</v>
      </c>
      <c r="E1410" s="394" t="s">
        <v>2068</v>
      </c>
      <c r="G1410" s="405" t="s">
        <v>1653</v>
      </c>
      <c r="H1410" s="113">
        <v>3721</v>
      </c>
      <c r="I1410" s="50" t="s">
        <v>1</v>
      </c>
      <c r="J1410" s="48" t="s">
        <v>1668</v>
      </c>
      <c r="K1410" s="51">
        <v>41449</v>
      </c>
      <c r="L1410" s="173">
        <v>41443</v>
      </c>
      <c r="M1410" s="50">
        <v>6</v>
      </c>
      <c r="N1410" s="50" t="s">
        <v>2</v>
      </c>
      <c r="O1410" s="74">
        <v>2.2000000000000002</v>
      </c>
      <c r="P1410" s="50">
        <v>6.51</v>
      </c>
      <c r="Q1410" s="74">
        <v>2.61</v>
      </c>
      <c r="R1410" s="50">
        <v>170</v>
      </c>
      <c r="S1410" s="74">
        <v>310</v>
      </c>
      <c r="T1410" s="50">
        <v>0.31</v>
      </c>
      <c r="U1410" s="131">
        <v>3.3</v>
      </c>
      <c r="V1410" s="50">
        <v>1.5</v>
      </c>
      <c r="W1410" s="74">
        <v>5.7000000000000002E-2</v>
      </c>
      <c r="X1410" s="50">
        <v>0.41</v>
      </c>
      <c r="Y1410" s="74">
        <v>2.3E-2</v>
      </c>
      <c r="AX1410" s="5">
        <v>0.1</v>
      </c>
    </row>
    <row r="1411" spans="1:67" ht="15" customHeight="1">
      <c r="A1411" s="41" t="s">
        <v>183</v>
      </c>
      <c r="B1411" s="402" t="s">
        <v>1974</v>
      </c>
      <c r="C1411" s="113" t="s">
        <v>2067</v>
      </c>
      <c r="D1411" s="393" t="s">
        <v>434</v>
      </c>
      <c r="E1411" s="394" t="s">
        <v>2068</v>
      </c>
      <c r="G1411" s="405" t="s">
        <v>1653</v>
      </c>
      <c r="H1411" s="113">
        <v>3721</v>
      </c>
      <c r="I1411" s="50" t="s">
        <v>1</v>
      </c>
      <c r="J1411" s="48" t="s">
        <v>1669</v>
      </c>
      <c r="K1411" s="51">
        <v>41449</v>
      </c>
      <c r="L1411" s="173">
        <v>41443</v>
      </c>
      <c r="M1411" s="50">
        <v>6</v>
      </c>
      <c r="N1411" s="50" t="s">
        <v>2</v>
      </c>
      <c r="O1411" s="74">
        <f>1/2</f>
        <v>0.5</v>
      </c>
      <c r="P1411" s="50">
        <v>6.51</v>
      </c>
      <c r="Q1411" s="74">
        <v>6.36</v>
      </c>
      <c r="R1411" s="50">
        <v>82</v>
      </c>
      <c r="S1411" s="74">
        <v>8</v>
      </c>
      <c r="T1411" s="50">
        <f>0.1/2</f>
        <v>0.05</v>
      </c>
      <c r="U1411" s="131">
        <v>2.6</v>
      </c>
      <c r="V1411" s="50">
        <v>1.4</v>
      </c>
      <c r="W1411" s="74">
        <f>0.01/2</f>
        <v>5.0000000000000001E-3</v>
      </c>
      <c r="X1411" s="50">
        <v>2.9000000000000001E-2</v>
      </c>
      <c r="Y1411" s="74">
        <f>0.01/2</f>
        <v>5.0000000000000001E-3</v>
      </c>
      <c r="AX1411" s="5">
        <f>0.1/2</f>
        <v>0.05</v>
      </c>
    </row>
    <row r="1412" spans="1:67" ht="15" customHeight="1">
      <c r="A1412" s="41" t="s">
        <v>183</v>
      </c>
      <c r="B1412" s="402" t="s">
        <v>1974</v>
      </c>
      <c r="C1412" s="113" t="s">
        <v>1975</v>
      </c>
      <c r="D1412" s="393" t="s">
        <v>262</v>
      </c>
      <c r="E1412" s="394" t="s">
        <v>1976</v>
      </c>
      <c r="G1412" s="405" t="s">
        <v>1977</v>
      </c>
      <c r="H1412" s="113">
        <v>3728</v>
      </c>
      <c r="I1412" s="49" t="s">
        <v>1</v>
      </c>
      <c r="J1412" s="48" t="s">
        <v>1978</v>
      </c>
      <c r="K1412" s="51">
        <v>41072</v>
      </c>
      <c r="L1412" s="173">
        <v>41067</v>
      </c>
      <c r="M1412" s="50">
        <v>5</v>
      </c>
      <c r="N1412" s="50" t="s">
        <v>2</v>
      </c>
      <c r="O1412" s="74">
        <f>5/2</f>
        <v>2.5</v>
      </c>
      <c r="P1412" s="50">
        <v>6.95</v>
      </c>
      <c r="Q1412" s="74">
        <v>7.43</v>
      </c>
      <c r="R1412" s="50">
        <v>80</v>
      </c>
      <c r="S1412" s="74">
        <v>93</v>
      </c>
      <c r="T1412" s="50">
        <f>0.1/2</f>
        <v>0.05</v>
      </c>
      <c r="U1412" s="131">
        <v>1.1000000000000001</v>
      </c>
      <c r="V1412" s="50">
        <v>0.65</v>
      </c>
      <c r="W1412" s="74">
        <f t="shared" ref="W1412:W1418" si="64">0.04/2</f>
        <v>0.02</v>
      </c>
      <c r="X1412" s="50">
        <v>6.4000000000000001E-2</v>
      </c>
      <c r="Y1412" s="74">
        <f>0.013/2</f>
        <v>6.4999999999999997E-3</v>
      </c>
      <c r="Z1412" s="271">
        <v>1</v>
      </c>
      <c r="AA1412" s="271">
        <v>1</v>
      </c>
      <c r="AB1412" s="114">
        <v>7.3</v>
      </c>
      <c r="AC1412" s="50">
        <v>56</v>
      </c>
      <c r="AD1412" s="271">
        <v>1</v>
      </c>
      <c r="AI1412" s="114">
        <v>579.4</v>
      </c>
    </row>
    <row r="1413" spans="1:67" ht="15" customHeight="1">
      <c r="A1413" s="41" t="s">
        <v>183</v>
      </c>
      <c r="B1413" s="402" t="s">
        <v>1974</v>
      </c>
      <c r="C1413" s="113" t="s">
        <v>1975</v>
      </c>
      <c r="D1413" s="393" t="s">
        <v>262</v>
      </c>
      <c r="E1413" s="394" t="s">
        <v>1976</v>
      </c>
      <c r="G1413" s="405" t="s">
        <v>1977</v>
      </c>
      <c r="H1413" s="113">
        <v>3728</v>
      </c>
      <c r="I1413" s="49" t="s">
        <v>1</v>
      </c>
      <c r="J1413" s="48" t="s">
        <v>1979</v>
      </c>
      <c r="K1413" s="51">
        <v>41072</v>
      </c>
      <c r="L1413" s="173">
        <v>41067</v>
      </c>
      <c r="M1413" s="50">
        <v>5</v>
      </c>
      <c r="N1413" s="50" t="s">
        <v>2</v>
      </c>
      <c r="O1413" s="74">
        <f>5/2</f>
        <v>2.5</v>
      </c>
      <c r="P1413" s="50">
        <v>6.95</v>
      </c>
      <c r="Q1413" s="74">
        <v>6.69</v>
      </c>
      <c r="R1413" s="50">
        <v>130</v>
      </c>
      <c r="S1413" s="74">
        <v>27</v>
      </c>
      <c r="T1413" s="50">
        <f>0.1/2</f>
        <v>0.05</v>
      </c>
      <c r="U1413" s="131">
        <v>1.8</v>
      </c>
      <c r="V1413" s="50">
        <v>0.92</v>
      </c>
      <c r="W1413" s="74">
        <f t="shared" si="64"/>
        <v>0.02</v>
      </c>
      <c r="X1413" s="50">
        <v>0.22</v>
      </c>
      <c r="Y1413" s="74">
        <f>0.013/2</f>
        <v>6.4999999999999997E-3</v>
      </c>
      <c r="Z1413" s="271">
        <v>1</v>
      </c>
      <c r="AA1413" s="271">
        <v>1</v>
      </c>
      <c r="AB1413" s="114">
        <v>88</v>
      </c>
      <c r="AC1413" s="50">
        <v>1019</v>
      </c>
      <c r="AD1413" s="271">
        <v>1</v>
      </c>
      <c r="AI1413" s="114">
        <v>1046.2</v>
      </c>
    </row>
    <row r="1414" spans="1:67" ht="15" customHeight="1">
      <c r="A1414" s="41" t="s">
        <v>183</v>
      </c>
      <c r="B1414" s="402" t="s">
        <v>1974</v>
      </c>
      <c r="C1414" s="113" t="s">
        <v>1975</v>
      </c>
      <c r="D1414" s="393" t="s">
        <v>262</v>
      </c>
      <c r="E1414" s="394" t="s">
        <v>1976</v>
      </c>
      <c r="G1414" s="405" t="s">
        <v>1977</v>
      </c>
      <c r="H1414" s="113">
        <v>3728</v>
      </c>
      <c r="I1414" s="49" t="s">
        <v>1</v>
      </c>
      <c r="J1414" s="48" t="s">
        <v>1980</v>
      </c>
      <c r="K1414" s="51">
        <v>41072</v>
      </c>
      <c r="L1414" s="173">
        <v>41067</v>
      </c>
      <c r="M1414" s="50">
        <v>5</v>
      </c>
      <c r="N1414" s="50" t="s">
        <v>2</v>
      </c>
      <c r="O1414" s="74">
        <f>5/2</f>
        <v>2.5</v>
      </c>
      <c r="P1414" s="50">
        <v>6.95</v>
      </c>
      <c r="Q1414" s="74">
        <v>6.61</v>
      </c>
      <c r="R1414" s="50">
        <v>22</v>
      </c>
      <c r="S1414" s="74">
        <f>5/2</f>
        <v>2.5</v>
      </c>
      <c r="T1414" s="50">
        <f>0.1/2</f>
        <v>0.05</v>
      </c>
      <c r="U1414" s="131">
        <v>0.78</v>
      </c>
      <c r="V1414" s="50">
        <v>1.8</v>
      </c>
      <c r="W1414" s="74">
        <f t="shared" si="64"/>
        <v>0.02</v>
      </c>
      <c r="X1414" s="50">
        <v>0.19</v>
      </c>
      <c r="Y1414" s="74">
        <f>0.013/2</f>
        <v>6.4999999999999997E-3</v>
      </c>
      <c r="Z1414" s="271">
        <v>1</v>
      </c>
      <c r="AA1414" s="271">
        <v>1</v>
      </c>
      <c r="AB1414" s="114">
        <v>20</v>
      </c>
      <c r="AC1414" s="50">
        <v>108</v>
      </c>
      <c r="AD1414" s="271">
        <v>1</v>
      </c>
      <c r="AI1414" s="114">
        <v>2</v>
      </c>
    </row>
    <row r="1415" spans="1:67" ht="15" customHeight="1">
      <c r="A1415" s="41" t="s">
        <v>183</v>
      </c>
      <c r="B1415" s="402" t="s">
        <v>1974</v>
      </c>
      <c r="C1415" s="113" t="s">
        <v>1975</v>
      </c>
      <c r="D1415" s="393" t="s">
        <v>262</v>
      </c>
      <c r="E1415" s="394" t="s">
        <v>1976</v>
      </c>
      <c r="G1415" s="405" t="s">
        <v>1977</v>
      </c>
      <c r="H1415" s="113">
        <v>3728</v>
      </c>
      <c r="I1415" s="49" t="s">
        <v>1</v>
      </c>
      <c r="J1415" s="48" t="s">
        <v>1981</v>
      </c>
      <c r="K1415" s="51">
        <v>41072</v>
      </c>
      <c r="L1415" s="173">
        <v>41067</v>
      </c>
      <c r="M1415" s="50">
        <v>5</v>
      </c>
      <c r="N1415" s="50" t="s">
        <v>2</v>
      </c>
      <c r="O1415" s="74">
        <f>5/2</f>
        <v>2.5</v>
      </c>
      <c r="P1415" s="50">
        <v>6.95</v>
      </c>
      <c r="Q1415" s="74">
        <v>6.89</v>
      </c>
      <c r="R1415" s="50">
        <v>110</v>
      </c>
      <c r="S1415" s="74">
        <v>44</v>
      </c>
      <c r="T1415" s="50">
        <f>0.1/2</f>
        <v>0.05</v>
      </c>
      <c r="U1415" s="131">
        <v>1.4</v>
      </c>
      <c r="V1415" s="50">
        <v>0.56999999999999995</v>
      </c>
      <c r="W1415" s="74">
        <f t="shared" si="64"/>
        <v>0.02</v>
      </c>
      <c r="X1415" s="50">
        <v>0.06</v>
      </c>
      <c r="Y1415" s="74">
        <f>0.013/2</f>
        <v>6.4999999999999997E-3</v>
      </c>
      <c r="Z1415" s="271">
        <v>1</v>
      </c>
      <c r="AA1415" s="271">
        <v>0.61599999999999999</v>
      </c>
      <c r="AB1415" s="114">
        <v>750</v>
      </c>
      <c r="AC1415" s="50">
        <v>4760</v>
      </c>
      <c r="AD1415" s="271">
        <v>0</v>
      </c>
      <c r="AI1415" s="114">
        <v>2</v>
      </c>
    </row>
    <row r="1416" spans="1:67" ht="15" customHeight="1">
      <c r="A1416" s="41" t="s">
        <v>183</v>
      </c>
      <c r="B1416" s="402" t="s">
        <v>1974</v>
      </c>
      <c r="C1416" s="113" t="s">
        <v>1975</v>
      </c>
      <c r="D1416" s="393" t="s">
        <v>262</v>
      </c>
      <c r="E1416" s="394" t="s">
        <v>1976</v>
      </c>
      <c r="G1416" s="405" t="s">
        <v>1977</v>
      </c>
      <c r="H1416" s="113">
        <v>3728</v>
      </c>
      <c r="I1416" s="49" t="s">
        <v>1</v>
      </c>
      <c r="J1416" s="48" t="s">
        <v>1978</v>
      </c>
      <c r="K1416" s="51">
        <v>41264</v>
      </c>
      <c r="L1416" s="173">
        <v>41261</v>
      </c>
      <c r="M1416" s="50">
        <v>3</v>
      </c>
      <c r="N1416" s="50" t="s">
        <v>2</v>
      </c>
      <c r="O1416" s="74">
        <v>5.5</v>
      </c>
      <c r="P1416" s="50">
        <v>6.45</v>
      </c>
      <c r="Q1416" s="74">
        <v>6.54</v>
      </c>
      <c r="R1416" s="50">
        <v>99</v>
      </c>
      <c r="S1416" s="74">
        <v>92</v>
      </c>
      <c r="T1416" s="50">
        <v>0.16</v>
      </c>
      <c r="U1416" s="131">
        <v>1.7</v>
      </c>
      <c r="V1416" s="50">
        <v>1.2</v>
      </c>
      <c r="W1416" s="74">
        <f t="shared" si="64"/>
        <v>0.02</v>
      </c>
      <c r="X1416" s="50">
        <v>9.7000000000000003E-2</v>
      </c>
      <c r="Y1416" s="74">
        <v>1.2999999999999999E-2</v>
      </c>
    </row>
    <row r="1417" spans="1:67" ht="15" customHeight="1">
      <c r="A1417" s="41" t="s">
        <v>183</v>
      </c>
      <c r="B1417" s="402" t="s">
        <v>1974</v>
      </c>
      <c r="C1417" s="113" t="s">
        <v>1975</v>
      </c>
      <c r="D1417" s="393" t="s">
        <v>262</v>
      </c>
      <c r="E1417" s="394" t="s">
        <v>1976</v>
      </c>
      <c r="G1417" s="405" t="s">
        <v>1977</v>
      </c>
      <c r="H1417" s="113">
        <v>3728</v>
      </c>
      <c r="I1417" s="49" t="s">
        <v>1</v>
      </c>
      <c r="J1417" s="48" t="s">
        <v>1979</v>
      </c>
      <c r="K1417" s="51">
        <v>41264</v>
      </c>
      <c r="L1417" s="173">
        <v>41261</v>
      </c>
      <c r="M1417" s="50">
        <v>3</v>
      </c>
      <c r="N1417" s="50" t="s">
        <v>2</v>
      </c>
      <c r="O1417" s="74">
        <f t="shared" ref="O1417:O1428" si="65">5/2</f>
        <v>2.5</v>
      </c>
      <c r="P1417" s="50">
        <v>6.45</v>
      </c>
      <c r="Q1417" s="74">
        <v>6.51</v>
      </c>
      <c r="R1417" s="50">
        <v>82</v>
      </c>
      <c r="S1417" s="74">
        <v>110</v>
      </c>
      <c r="T1417" s="50">
        <v>0.24</v>
      </c>
      <c r="U1417" s="131">
        <v>2</v>
      </c>
      <c r="V1417" s="50">
        <f>0.1/2</f>
        <v>0.05</v>
      </c>
      <c r="W1417" s="74">
        <f t="shared" si="64"/>
        <v>0.02</v>
      </c>
      <c r="X1417" s="50">
        <v>0.14000000000000001</v>
      </c>
      <c r="Y1417" s="74">
        <v>2.1000000000000001E-2</v>
      </c>
    </row>
    <row r="1418" spans="1:67" ht="15" customHeight="1">
      <c r="A1418" s="41" t="s">
        <v>183</v>
      </c>
      <c r="B1418" s="402" t="s">
        <v>1974</v>
      </c>
      <c r="C1418" s="113" t="s">
        <v>1975</v>
      </c>
      <c r="D1418" s="393" t="s">
        <v>262</v>
      </c>
      <c r="E1418" s="394" t="s">
        <v>1976</v>
      </c>
      <c r="G1418" s="405" t="s">
        <v>1977</v>
      </c>
      <c r="H1418" s="113">
        <v>3728</v>
      </c>
      <c r="I1418" s="49" t="s">
        <v>1</v>
      </c>
      <c r="J1418" s="48" t="s">
        <v>1980</v>
      </c>
      <c r="K1418" s="51">
        <v>41264</v>
      </c>
      <c r="L1418" s="173">
        <v>41261</v>
      </c>
      <c r="M1418" s="50">
        <v>3</v>
      </c>
      <c r="N1418" s="50" t="s">
        <v>2</v>
      </c>
      <c r="O1418" s="74">
        <f t="shared" si="65"/>
        <v>2.5</v>
      </c>
      <c r="P1418" s="50">
        <v>6.45</v>
      </c>
      <c r="Q1418" s="74">
        <v>6.52</v>
      </c>
      <c r="R1418" s="50">
        <f>5/2</f>
        <v>2.5</v>
      </c>
      <c r="S1418" s="74">
        <f>5/2</f>
        <v>2.5</v>
      </c>
      <c r="T1418" s="50">
        <v>0.2</v>
      </c>
      <c r="U1418" s="131">
        <v>1</v>
      </c>
      <c r="V1418" s="50">
        <v>0.86</v>
      </c>
      <c r="W1418" s="74">
        <f t="shared" si="64"/>
        <v>0.02</v>
      </c>
      <c r="X1418" s="50">
        <v>8.4000000000000005E-2</v>
      </c>
      <c r="Y1418" s="74">
        <f>0.013/2</f>
        <v>6.4999999999999997E-3</v>
      </c>
    </row>
    <row r="1419" spans="1:67" ht="15" customHeight="1">
      <c r="A1419" s="41" t="s">
        <v>183</v>
      </c>
      <c r="B1419" s="402" t="s">
        <v>1974</v>
      </c>
      <c r="C1419" s="113" t="s">
        <v>1975</v>
      </c>
      <c r="D1419" s="393" t="s">
        <v>262</v>
      </c>
      <c r="E1419" s="394" t="s">
        <v>1976</v>
      </c>
      <c r="G1419" s="405" t="s">
        <v>1977</v>
      </c>
      <c r="H1419" s="113">
        <v>3728</v>
      </c>
      <c r="I1419" s="49" t="s">
        <v>1</v>
      </c>
      <c r="J1419" s="48" t="s">
        <v>1978</v>
      </c>
      <c r="K1419" s="51">
        <v>41402</v>
      </c>
      <c r="L1419" s="173">
        <v>41384</v>
      </c>
      <c r="M1419" s="50">
        <f>K1419-L1419</f>
        <v>18</v>
      </c>
      <c r="N1419" s="50" t="s">
        <v>2</v>
      </c>
      <c r="O1419" s="74">
        <f t="shared" si="65"/>
        <v>2.5</v>
      </c>
      <c r="P1419" s="50">
        <v>5.15</v>
      </c>
      <c r="Q1419" s="74">
        <v>5.52</v>
      </c>
      <c r="R1419" s="50">
        <v>150</v>
      </c>
      <c r="S1419" s="74">
        <v>43</v>
      </c>
      <c r="T1419" s="50">
        <v>0.12</v>
      </c>
      <c r="U1419" s="131">
        <v>2.6</v>
      </c>
      <c r="V1419" s="50">
        <v>1.4</v>
      </c>
      <c r="W1419" s="74">
        <v>0.13</v>
      </c>
      <c r="X1419" s="50">
        <v>0.54</v>
      </c>
      <c r="Y1419" s="74">
        <v>7.8E-2</v>
      </c>
      <c r="Z1419" s="271">
        <v>1</v>
      </c>
      <c r="AA1419" s="271">
        <v>1</v>
      </c>
      <c r="AB1419" s="114">
        <v>100</v>
      </c>
      <c r="AC1419" s="50">
        <v>127</v>
      </c>
      <c r="AD1419" s="271">
        <v>0.9</v>
      </c>
      <c r="AJ1419" s="114">
        <v>20</v>
      </c>
      <c r="AY1419" s="5">
        <f t="shared" ref="AY1419:AZ1421" si="66">1/2</f>
        <v>0.5</v>
      </c>
      <c r="AZ1419" s="5">
        <f t="shared" si="66"/>
        <v>0.5</v>
      </c>
      <c r="BA1419" s="5">
        <f>0.3/2</f>
        <v>0.15</v>
      </c>
      <c r="BB1419" s="5">
        <f t="shared" ref="BB1419:BC1421" si="67">1/2</f>
        <v>0.5</v>
      </c>
      <c r="BC1419" s="5">
        <f t="shared" si="67"/>
        <v>0.5</v>
      </c>
      <c r="BD1419" s="5">
        <v>1.2</v>
      </c>
      <c r="BE1419" s="5">
        <f>1/2</f>
        <v>0.5</v>
      </c>
      <c r="BF1419" s="5">
        <v>2.6</v>
      </c>
      <c r="BG1419" s="5">
        <v>2</v>
      </c>
      <c r="BH1419" s="5">
        <v>1.1000000000000001</v>
      </c>
      <c r="BI1419" s="5">
        <v>1.4</v>
      </c>
      <c r="BJ1419" s="5">
        <v>2.2000000000000002</v>
      </c>
      <c r="BK1419" s="5">
        <v>0.51</v>
      </c>
      <c r="BL1419" s="5">
        <v>1.3</v>
      </c>
      <c r="BM1419" s="5">
        <v>1.6</v>
      </c>
      <c r="BN1419" s="5">
        <v>0.37</v>
      </c>
      <c r="BO1419" s="5">
        <v>1.3</v>
      </c>
    </row>
    <row r="1420" spans="1:67" ht="15" customHeight="1">
      <c r="A1420" s="41" t="s">
        <v>183</v>
      </c>
      <c r="B1420" s="402" t="s">
        <v>1974</v>
      </c>
      <c r="C1420" s="113" t="s">
        <v>1975</v>
      </c>
      <c r="D1420" s="393" t="s">
        <v>262</v>
      </c>
      <c r="E1420" s="394" t="s">
        <v>1976</v>
      </c>
      <c r="G1420" s="405" t="s">
        <v>1977</v>
      </c>
      <c r="H1420" s="113">
        <v>3728</v>
      </c>
      <c r="I1420" s="49" t="s">
        <v>1</v>
      </c>
      <c r="J1420" s="48" t="s">
        <v>1979</v>
      </c>
      <c r="K1420" s="51">
        <v>41402</v>
      </c>
      <c r="L1420" s="173">
        <v>41384</v>
      </c>
      <c r="M1420" s="50">
        <f>K1420-L1420</f>
        <v>18</v>
      </c>
      <c r="N1420" s="50" t="s">
        <v>2</v>
      </c>
      <c r="O1420" s="74">
        <f t="shared" si="65"/>
        <v>2.5</v>
      </c>
      <c r="P1420" s="50">
        <v>5.15</v>
      </c>
      <c r="Q1420" s="74">
        <v>5.29</v>
      </c>
      <c r="R1420" s="50">
        <v>210</v>
      </c>
      <c r="S1420" s="74">
        <v>150</v>
      </c>
      <c r="T1420" s="50">
        <v>0.26</v>
      </c>
      <c r="U1420" s="131">
        <v>2.9</v>
      </c>
      <c r="V1420" s="50">
        <v>1.2</v>
      </c>
      <c r="W1420" s="74">
        <v>8.8999999999999996E-2</v>
      </c>
      <c r="X1420" s="50">
        <v>0.45</v>
      </c>
      <c r="Y1420" s="74">
        <v>3.6999999999999998E-2</v>
      </c>
      <c r="Z1420" s="271">
        <v>1</v>
      </c>
      <c r="AA1420" s="271">
        <v>1</v>
      </c>
      <c r="AB1420" s="114">
        <v>58</v>
      </c>
      <c r="AC1420" s="50">
        <v>806</v>
      </c>
      <c r="AD1420" s="271">
        <v>1</v>
      </c>
      <c r="AJ1420" s="114">
        <v>10</v>
      </c>
      <c r="AY1420" s="5">
        <f t="shared" si="66"/>
        <v>0.5</v>
      </c>
      <c r="AZ1420" s="5">
        <f t="shared" si="66"/>
        <v>0.5</v>
      </c>
      <c r="BA1420" s="5">
        <f>0.3/2</f>
        <v>0.15</v>
      </c>
      <c r="BB1420" s="5">
        <f t="shared" si="67"/>
        <v>0.5</v>
      </c>
      <c r="BC1420" s="5">
        <f t="shared" si="67"/>
        <v>0.5</v>
      </c>
      <c r="BD1420" s="5">
        <f>0.077/2</f>
        <v>3.85E-2</v>
      </c>
      <c r="BE1420" s="5">
        <f>1/2</f>
        <v>0.5</v>
      </c>
      <c r="BF1420" s="5">
        <f>1/2</f>
        <v>0.5</v>
      </c>
      <c r="BG1420" s="5">
        <f>1/2</f>
        <v>0.5</v>
      </c>
      <c r="BH1420" s="5">
        <f>0.06/2</f>
        <v>0.03</v>
      </c>
      <c r="BI1420" s="5">
        <f>1/2</f>
        <v>0.5</v>
      </c>
      <c r="BJ1420" s="5">
        <f>0.08/2</f>
        <v>0.04</v>
      </c>
      <c r="BK1420" s="5">
        <f>0.3/2</f>
        <v>0.15</v>
      </c>
      <c r="BL1420" s="5">
        <f t="shared" ref="BL1420:BN1421" si="68">0.2/2</f>
        <v>0.1</v>
      </c>
      <c r="BM1420" s="5">
        <f t="shared" si="68"/>
        <v>0.1</v>
      </c>
      <c r="BN1420" s="5">
        <f t="shared" si="68"/>
        <v>0.1</v>
      </c>
      <c r="BO1420" s="5">
        <f>1/2</f>
        <v>0.5</v>
      </c>
    </row>
    <row r="1421" spans="1:67" ht="15" customHeight="1">
      <c r="A1421" s="41" t="s">
        <v>183</v>
      </c>
      <c r="B1421" s="402" t="s">
        <v>1974</v>
      </c>
      <c r="C1421" s="113" t="s">
        <v>1975</v>
      </c>
      <c r="D1421" s="393" t="s">
        <v>262</v>
      </c>
      <c r="E1421" s="394" t="s">
        <v>1976</v>
      </c>
      <c r="G1421" s="405" t="s">
        <v>1977</v>
      </c>
      <c r="H1421" s="113">
        <v>3728</v>
      </c>
      <c r="I1421" s="49" t="s">
        <v>1</v>
      </c>
      <c r="J1421" s="48" t="s">
        <v>1980</v>
      </c>
      <c r="K1421" s="51">
        <v>41402</v>
      </c>
      <c r="L1421" s="173">
        <v>41384</v>
      </c>
      <c r="M1421" s="50">
        <f>K1421-L1421</f>
        <v>18</v>
      </c>
      <c r="N1421" s="50" t="s">
        <v>2</v>
      </c>
      <c r="O1421" s="74">
        <f t="shared" si="65"/>
        <v>2.5</v>
      </c>
      <c r="P1421" s="50">
        <v>5.15</v>
      </c>
      <c r="Q1421" s="74">
        <v>5.92</v>
      </c>
      <c r="R1421" s="50">
        <v>9.6999999999999993</v>
      </c>
      <c r="S1421" s="74">
        <f>5/2</f>
        <v>2.5</v>
      </c>
      <c r="T1421" s="50">
        <v>0.33</v>
      </c>
      <c r="U1421" s="131">
        <f t="shared" ref="U1421:U1428" si="69">1/2</f>
        <v>0.5</v>
      </c>
      <c r="V1421" s="50">
        <v>1.3</v>
      </c>
      <c r="W1421" s="74">
        <f>0.04/2</f>
        <v>0.02</v>
      </c>
      <c r="X1421" s="50">
        <v>0.12</v>
      </c>
      <c r="Y1421" s="74">
        <f>0.013/2</f>
        <v>6.4999999999999997E-3</v>
      </c>
      <c r="Z1421" s="271">
        <v>1</v>
      </c>
      <c r="AA1421" s="271">
        <v>1</v>
      </c>
      <c r="AB1421" s="114">
        <v>17</v>
      </c>
      <c r="AC1421" s="50">
        <v>89</v>
      </c>
      <c r="AD1421" s="271">
        <v>1</v>
      </c>
      <c r="AJ1421" s="114">
        <f>10/2</f>
        <v>5</v>
      </c>
      <c r="AY1421" s="5">
        <f t="shared" si="66"/>
        <v>0.5</v>
      </c>
      <c r="AZ1421" s="5">
        <f t="shared" si="66"/>
        <v>0.5</v>
      </c>
      <c r="BA1421" s="5">
        <f>0.3/2</f>
        <v>0.15</v>
      </c>
      <c r="BB1421" s="5">
        <f t="shared" si="67"/>
        <v>0.5</v>
      </c>
      <c r="BC1421" s="5">
        <f t="shared" si="67"/>
        <v>0.5</v>
      </c>
      <c r="BD1421" s="5">
        <f>0.077/2</f>
        <v>3.85E-2</v>
      </c>
      <c r="BE1421" s="5">
        <f>1/2</f>
        <v>0.5</v>
      </c>
      <c r="BF1421" s="5">
        <f>1/2</f>
        <v>0.5</v>
      </c>
      <c r="BG1421" s="5">
        <f>1/2</f>
        <v>0.5</v>
      </c>
      <c r="BH1421" s="5">
        <f>0.06/2</f>
        <v>0.03</v>
      </c>
      <c r="BI1421" s="5">
        <f>1/2</f>
        <v>0.5</v>
      </c>
      <c r="BJ1421" s="5">
        <f>0.08/2</f>
        <v>0.04</v>
      </c>
      <c r="BK1421" s="5">
        <f>0.3/2</f>
        <v>0.15</v>
      </c>
      <c r="BL1421" s="5">
        <f t="shared" si="68"/>
        <v>0.1</v>
      </c>
      <c r="BM1421" s="5">
        <f t="shared" si="68"/>
        <v>0.1</v>
      </c>
      <c r="BN1421" s="5">
        <f t="shared" si="68"/>
        <v>0.1</v>
      </c>
      <c r="BO1421" s="5">
        <f>1/2</f>
        <v>0.5</v>
      </c>
    </row>
    <row r="1422" spans="1:67" ht="15" customHeight="1">
      <c r="A1422" s="41" t="s">
        <v>183</v>
      </c>
      <c r="B1422" s="402" t="s">
        <v>1287</v>
      </c>
      <c r="C1422" s="113" t="s">
        <v>1288</v>
      </c>
      <c r="D1422" s="393" t="s">
        <v>434</v>
      </c>
      <c r="E1422" s="394" t="s">
        <v>1289</v>
      </c>
      <c r="G1422" s="405" t="s">
        <v>1290</v>
      </c>
      <c r="H1422" s="49">
        <v>3728</v>
      </c>
      <c r="I1422" s="50" t="s">
        <v>2</v>
      </c>
      <c r="J1422" s="339" t="s">
        <v>4661</v>
      </c>
      <c r="K1422" s="51">
        <v>41345</v>
      </c>
      <c r="L1422" s="173">
        <v>41341</v>
      </c>
      <c r="M1422" s="50">
        <v>4</v>
      </c>
      <c r="N1422" s="50" t="s">
        <v>2</v>
      </c>
      <c r="O1422" s="74">
        <f t="shared" si="65"/>
        <v>2.5</v>
      </c>
      <c r="P1422" s="50">
        <v>6.14</v>
      </c>
      <c r="Q1422" s="74">
        <v>4.87</v>
      </c>
      <c r="R1422" s="50">
        <v>9.5</v>
      </c>
      <c r="S1422" s="74">
        <v>6</v>
      </c>
      <c r="T1422" s="50">
        <f>0.1/2</f>
        <v>0.05</v>
      </c>
      <c r="U1422" s="131">
        <f t="shared" si="69"/>
        <v>0.5</v>
      </c>
      <c r="V1422" s="50">
        <v>0.37</v>
      </c>
      <c r="W1422" s="74">
        <f>0.04/2</f>
        <v>0.02</v>
      </c>
      <c r="X1422" s="50">
        <v>8.5000000000000006E-2</v>
      </c>
      <c r="Y1422" s="74">
        <f>0.013/2</f>
        <v>6.4999999999999997E-3</v>
      </c>
    </row>
    <row r="1423" spans="1:67" ht="15" customHeight="1">
      <c r="A1423" s="41" t="s">
        <v>183</v>
      </c>
      <c r="B1423" s="402" t="s">
        <v>1287</v>
      </c>
      <c r="C1423" s="113" t="s">
        <v>1288</v>
      </c>
      <c r="D1423" s="393" t="s">
        <v>434</v>
      </c>
      <c r="E1423" s="394" t="s">
        <v>1289</v>
      </c>
      <c r="G1423" s="405" t="s">
        <v>1290</v>
      </c>
      <c r="H1423" s="49">
        <v>3728</v>
      </c>
      <c r="I1423" s="50" t="s">
        <v>2</v>
      </c>
      <c r="J1423" s="339" t="s">
        <v>4662</v>
      </c>
      <c r="K1423" s="51">
        <v>41345</v>
      </c>
      <c r="L1423" s="173">
        <v>41341</v>
      </c>
      <c r="M1423" s="50">
        <v>4</v>
      </c>
      <c r="N1423" s="50" t="s">
        <v>2</v>
      </c>
      <c r="O1423" s="74">
        <f t="shared" si="65"/>
        <v>2.5</v>
      </c>
      <c r="P1423" s="50">
        <v>6.14</v>
      </c>
      <c r="Q1423" s="74">
        <v>6.68</v>
      </c>
      <c r="R1423" s="50">
        <v>97</v>
      </c>
      <c r="S1423" s="74">
        <v>350</v>
      </c>
      <c r="T1423" s="50">
        <v>0.39</v>
      </c>
      <c r="U1423" s="131">
        <f t="shared" si="69"/>
        <v>0.5</v>
      </c>
      <c r="V1423" s="50">
        <v>0.17</v>
      </c>
      <c r="W1423" s="74">
        <v>0.06</v>
      </c>
      <c r="X1423" s="50">
        <v>0.28999999999999998</v>
      </c>
      <c r="Y1423" s="74">
        <v>4.3999999999999997E-2</v>
      </c>
    </row>
    <row r="1424" spans="1:67" ht="15" customHeight="1">
      <c r="A1424" s="41" t="s">
        <v>183</v>
      </c>
      <c r="B1424" s="402" t="s">
        <v>1287</v>
      </c>
      <c r="C1424" s="113" t="s">
        <v>1288</v>
      </c>
      <c r="D1424" s="393" t="s">
        <v>434</v>
      </c>
      <c r="E1424" s="394" t="s">
        <v>1289</v>
      </c>
      <c r="G1424" s="405" t="s">
        <v>1290</v>
      </c>
      <c r="H1424" s="49">
        <v>3728</v>
      </c>
      <c r="I1424" s="50" t="s">
        <v>2</v>
      </c>
      <c r="J1424" s="339" t="s">
        <v>4663</v>
      </c>
      <c r="K1424" s="51">
        <v>41345</v>
      </c>
      <c r="L1424" s="173">
        <v>41341</v>
      </c>
      <c r="M1424" s="50">
        <v>4</v>
      </c>
      <c r="N1424" s="50" t="s">
        <v>2</v>
      </c>
      <c r="O1424" s="74">
        <f t="shared" si="65"/>
        <v>2.5</v>
      </c>
      <c r="P1424" s="50">
        <v>6.14</v>
      </c>
      <c r="Q1424" s="74">
        <v>5.12</v>
      </c>
      <c r="R1424" s="50">
        <v>61</v>
      </c>
      <c r="S1424" s="74">
        <v>92</v>
      </c>
      <c r="T1424" s="50">
        <v>0.1</v>
      </c>
      <c r="U1424" s="131">
        <f t="shared" si="69"/>
        <v>0.5</v>
      </c>
      <c r="V1424" s="50">
        <v>0.21</v>
      </c>
      <c r="W1424" s="74">
        <f>0.04/2</f>
        <v>0.02</v>
      </c>
      <c r="X1424" s="50">
        <v>7.6999999999999999E-2</v>
      </c>
      <c r="Y1424" s="74">
        <f>0.013/2</f>
        <v>6.4999999999999997E-3</v>
      </c>
    </row>
    <row r="1425" spans="1:30" ht="15" customHeight="1">
      <c r="A1425" s="41" t="s">
        <v>183</v>
      </c>
      <c r="B1425" s="402" t="s">
        <v>1287</v>
      </c>
      <c r="C1425" s="113" t="s">
        <v>1288</v>
      </c>
      <c r="D1425" s="393" t="s">
        <v>434</v>
      </c>
      <c r="E1425" s="394" t="s">
        <v>1289</v>
      </c>
      <c r="G1425" s="405" t="s">
        <v>1290</v>
      </c>
      <c r="H1425" s="49">
        <v>3728</v>
      </c>
      <c r="I1425" s="50" t="s">
        <v>2</v>
      </c>
      <c r="J1425" s="339" t="s">
        <v>4664</v>
      </c>
      <c r="K1425" s="51">
        <v>41345</v>
      </c>
      <c r="L1425" s="173">
        <v>41341</v>
      </c>
      <c r="M1425" s="50">
        <v>4</v>
      </c>
      <c r="N1425" s="50" t="s">
        <v>2</v>
      </c>
      <c r="O1425" s="74">
        <f t="shared" si="65"/>
        <v>2.5</v>
      </c>
      <c r="P1425" s="50">
        <v>6.14</v>
      </c>
      <c r="Q1425" s="74">
        <v>4.9800000000000004</v>
      </c>
      <c r="R1425" s="50">
        <v>18</v>
      </c>
      <c r="S1425" s="74">
        <v>5</v>
      </c>
      <c r="T1425" s="50">
        <f>0.1/2</f>
        <v>0.05</v>
      </c>
      <c r="U1425" s="131">
        <f t="shared" si="69"/>
        <v>0.5</v>
      </c>
      <c r="V1425" s="50">
        <v>0.16</v>
      </c>
      <c r="W1425" s="74">
        <f>0.04/2</f>
        <v>0.02</v>
      </c>
      <c r="X1425" s="50">
        <f>0.02/2</f>
        <v>0.01</v>
      </c>
      <c r="Y1425" s="74">
        <v>2.4E-2</v>
      </c>
    </row>
    <row r="1426" spans="1:30" ht="15" customHeight="1">
      <c r="A1426" s="41" t="s">
        <v>183</v>
      </c>
      <c r="B1426" s="402" t="s">
        <v>1287</v>
      </c>
      <c r="C1426" s="113" t="s">
        <v>1288</v>
      </c>
      <c r="D1426" s="393" t="s">
        <v>434</v>
      </c>
      <c r="E1426" s="394" t="s">
        <v>1289</v>
      </c>
      <c r="G1426" s="405" t="s">
        <v>1290</v>
      </c>
      <c r="H1426" s="49">
        <v>3728</v>
      </c>
      <c r="I1426" s="50" t="s">
        <v>2</v>
      </c>
      <c r="J1426" s="339" t="s">
        <v>4665</v>
      </c>
      <c r="K1426" s="51">
        <v>41345</v>
      </c>
      <c r="L1426" s="173">
        <v>41341</v>
      </c>
      <c r="M1426" s="50">
        <v>4</v>
      </c>
      <c r="N1426" s="50" t="s">
        <v>2</v>
      </c>
      <c r="O1426" s="74">
        <f t="shared" si="65"/>
        <v>2.5</v>
      </c>
      <c r="P1426" s="50">
        <v>6.14</v>
      </c>
      <c r="Q1426" s="74">
        <v>6.85</v>
      </c>
      <c r="R1426" s="50">
        <v>55</v>
      </c>
      <c r="S1426" s="74">
        <v>93</v>
      </c>
      <c r="T1426" s="50">
        <v>0.2</v>
      </c>
      <c r="U1426" s="131">
        <f t="shared" si="69"/>
        <v>0.5</v>
      </c>
      <c r="V1426" s="50">
        <v>0.16</v>
      </c>
      <c r="W1426" s="74">
        <f>0.04/2</f>
        <v>0.02</v>
      </c>
      <c r="X1426" s="50">
        <v>0.14000000000000001</v>
      </c>
      <c r="Y1426" s="74">
        <f>0.013/2</f>
        <v>6.4999999999999997E-3</v>
      </c>
    </row>
    <row r="1427" spans="1:30" ht="15" customHeight="1">
      <c r="A1427" s="41" t="s">
        <v>183</v>
      </c>
      <c r="B1427" s="402" t="s">
        <v>2161</v>
      </c>
      <c r="C1427" s="113" t="s">
        <v>2172</v>
      </c>
      <c r="D1427" s="393" t="s">
        <v>56</v>
      </c>
      <c r="E1427" s="394" t="s">
        <v>95</v>
      </c>
      <c r="G1427" s="405" t="s">
        <v>3623</v>
      </c>
      <c r="H1427" s="74">
        <v>4225</v>
      </c>
      <c r="I1427" s="50" t="s">
        <v>1</v>
      </c>
      <c r="J1427" s="339" t="s">
        <v>4666</v>
      </c>
      <c r="K1427" s="51">
        <v>41038</v>
      </c>
      <c r="L1427" s="173">
        <v>41030</v>
      </c>
      <c r="M1427" s="50">
        <v>8</v>
      </c>
      <c r="N1427" s="50" t="s">
        <v>2</v>
      </c>
      <c r="O1427" s="74">
        <f t="shared" si="65"/>
        <v>2.5</v>
      </c>
      <c r="P1427" s="50">
        <v>6.9</v>
      </c>
      <c r="Q1427" s="74">
        <v>8.2200000000000006</v>
      </c>
      <c r="R1427" s="50">
        <v>43</v>
      </c>
      <c r="S1427" s="74">
        <v>86</v>
      </c>
      <c r="T1427" s="50">
        <f>0.1/2</f>
        <v>0.05</v>
      </c>
      <c r="U1427" s="131">
        <f t="shared" si="69"/>
        <v>0.5</v>
      </c>
      <c r="V1427" s="50">
        <v>0.22</v>
      </c>
      <c r="W1427" s="74">
        <v>5.6000000000000001E-2</v>
      </c>
      <c r="X1427" s="50">
        <v>9.6000000000000002E-2</v>
      </c>
      <c r="Y1427" s="74">
        <v>1.7000000000000001E-2</v>
      </c>
    </row>
    <row r="1428" spans="1:30" ht="15" customHeight="1">
      <c r="A1428" s="41" t="s">
        <v>183</v>
      </c>
      <c r="B1428" s="402" t="s">
        <v>2161</v>
      </c>
      <c r="C1428" s="113" t="s">
        <v>2172</v>
      </c>
      <c r="D1428" s="393" t="s">
        <v>56</v>
      </c>
      <c r="E1428" s="394" t="s">
        <v>95</v>
      </c>
      <c r="G1428" s="405" t="s">
        <v>3623</v>
      </c>
      <c r="H1428" s="74">
        <v>4225</v>
      </c>
      <c r="I1428" s="50" t="s">
        <v>1</v>
      </c>
      <c r="J1428" s="339" t="s">
        <v>4667</v>
      </c>
      <c r="K1428" s="51">
        <v>41038</v>
      </c>
      <c r="L1428" s="173">
        <v>41030</v>
      </c>
      <c r="M1428" s="50">
        <v>8</v>
      </c>
      <c r="N1428" s="50" t="s">
        <v>2</v>
      </c>
      <c r="O1428" s="74">
        <f t="shared" si="65"/>
        <v>2.5</v>
      </c>
      <c r="P1428" s="50">
        <v>6.9</v>
      </c>
      <c r="Q1428" s="74">
        <v>6.72</v>
      </c>
      <c r="R1428" s="50">
        <v>12</v>
      </c>
      <c r="S1428" s="74">
        <v>10</v>
      </c>
      <c r="T1428" s="50">
        <f>0.1/2</f>
        <v>0.05</v>
      </c>
      <c r="U1428" s="131">
        <f t="shared" si="69"/>
        <v>0.5</v>
      </c>
      <c r="V1428" s="50">
        <v>0.15</v>
      </c>
      <c r="W1428" s="74">
        <f>0.04/2</f>
        <v>0.02</v>
      </c>
      <c r="X1428" s="50">
        <f>0.02/2</f>
        <v>0.01</v>
      </c>
      <c r="Y1428" s="74">
        <f>0.013/2</f>
        <v>6.4999999999999997E-3</v>
      </c>
    </row>
    <row r="1429" spans="1:30" ht="15" customHeight="1">
      <c r="A1429" s="41" t="s">
        <v>183</v>
      </c>
      <c r="B1429" s="402" t="s">
        <v>900</v>
      </c>
      <c r="C1429" s="113" t="s">
        <v>901</v>
      </c>
      <c r="D1429" s="393" t="s">
        <v>452</v>
      </c>
      <c r="E1429" s="394" t="s">
        <v>398</v>
      </c>
      <c r="G1429" s="405" t="s">
        <v>902</v>
      </c>
      <c r="H1429" s="74">
        <v>4491</v>
      </c>
      <c r="I1429" s="50" t="s">
        <v>2</v>
      </c>
      <c r="J1429" s="48" t="s">
        <v>366</v>
      </c>
      <c r="K1429" s="51">
        <v>41331</v>
      </c>
      <c r="L1429" s="173">
        <v>41328</v>
      </c>
      <c r="M1429" s="50">
        <v>3</v>
      </c>
      <c r="N1429" s="50" t="s">
        <v>2</v>
      </c>
      <c r="O1429" s="74">
        <f>1/2</f>
        <v>0.5</v>
      </c>
      <c r="P1429" s="50">
        <v>5</v>
      </c>
      <c r="Q1429" s="74">
        <v>6.5</v>
      </c>
      <c r="R1429" s="50">
        <v>61.2</v>
      </c>
      <c r="S1429" s="74">
        <v>50</v>
      </c>
      <c r="T1429" s="50">
        <v>0.3</v>
      </c>
      <c r="U1429" s="131">
        <v>5.2</v>
      </c>
      <c r="V1429" s="50">
        <v>0.59</v>
      </c>
      <c r="W1429" s="74">
        <v>0.109</v>
      </c>
      <c r="X1429" s="50">
        <v>0.23200000000000001</v>
      </c>
      <c r="Y1429" s="74">
        <v>1.6E-2</v>
      </c>
      <c r="Z1429" s="271">
        <v>1</v>
      </c>
      <c r="AA1429" s="271">
        <v>1</v>
      </c>
      <c r="AB1429" s="114">
        <v>18.690000000000001</v>
      </c>
      <c r="AC1429" s="50">
        <v>162</v>
      </c>
      <c r="AD1429" s="271">
        <v>1</v>
      </c>
    </row>
    <row r="1430" spans="1:30" ht="15" customHeight="1">
      <c r="A1430" s="41" t="s">
        <v>183</v>
      </c>
      <c r="B1430" s="402" t="s">
        <v>900</v>
      </c>
      <c r="C1430" s="113" t="s">
        <v>901</v>
      </c>
      <c r="D1430" s="393" t="s">
        <v>452</v>
      </c>
      <c r="E1430" s="394" t="s">
        <v>398</v>
      </c>
      <c r="G1430" s="405" t="s">
        <v>902</v>
      </c>
      <c r="H1430" s="74">
        <v>4491</v>
      </c>
      <c r="I1430" s="50" t="s">
        <v>2</v>
      </c>
      <c r="J1430" s="61" t="s">
        <v>903</v>
      </c>
      <c r="K1430" s="51">
        <v>41331</v>
      </c>
      <c r="L1430" s="173">
        <v>41328</v>
      </c>
      <c r="M1430" s="50">
        <v>3</v>
      </c>
      <c r="N1430" s="50" t="s">
        <v>2</v>
      </c>
      <c r="O1430" s="74">
        <f>1/2</f>
        <v>0.5</v>
      </c>
      <c r="P1430" s="50">
        <v>5</v>
      </c>
      <c r="Q1430" s="74">
        <v>7.95</v>
      </c>
      <c r="R1430" s="50">
        <v>35.299999999999997</v>
      </c>
      <c r="S1430" s="74">
        <v>64</v>
      </c>
      <c r="T1430" s="50">
        <v>0.94</v>
      </c>
      <c r="U1430" s="131">
        <v>2.56</v>
      </c>
      <c r="V1430" s="50">
        <v>3.32</v>
      </c>
      <c r="W1430" s="74">
        <v>9.1999999999999998E-2</v>
      </c>
      <c r="X1430" s="50">
        <v>0.10299999999999999</v>
      </c>
      <c r="Y1430" s="74">
        <v>6.0000000000000001E-3</v>
      </c>
      <c r="Z1430" s="271">
        <v>1</v>
      </c>
      <c r="AA1430" s="271">
        <v>1</v>
      </c>
      <c r="AB1430" s="114">
        <v>32.47</v>
      </c>
      <c r="AC1430" s="50">
        <v>200</v>
      </c>
      <c r="AD1430" s="271">
        <v>1</v>
      </c>
    </row>
    <row r="1431" spans="1:30" ht="15" customHeight="1">
      <c r="A1431" s="41" t="s">
        <v>183</v>
      </c>
      <c r="B1431" s="402" t="s">
        <v>900</v>
      </c>
      <c r="C1431" s="113" t="s">
        <v>901</v>
      </c>
      <c r="D1431" s="393" t="s">
        <v>452</v>
      </c>
      <c r="E1431" s="394" t="s">
        <v>398</v>
      </c>
      <c r="G1431" s="405" t="s">
        <v>902</v>
      </c>
      <c r="H1431" s="74">
        <v>4491</v>
      </c>
      <c r="I1431" s="50" t="s">
        <v>2</v>
      </c>
      <c r="J1431" s="61" t="s">
        <v>904</v>
      </c>
      <c r="K1431" s="51">
        <v>41331</v>
      </c>
      <c r="L1431" s="173">
        <v>41328</v>
      </c>
      <c r="M1431" s="50">
        <v>3</v>
      </c>
      <c r="N1431" s="50" t="s">
        <v>2</v>
      </c>
      <c r="O1431" s="74">
        <f>1/2</f>
        <v>0.5</v>
      </c>
      <c r="P1431" s="50">
        <v>5</v>
      </c>
      <c r="Q1431" s="74">
        <v>7.72</v>
      </c>
      <c r="R1431" s="50">
        <v>41.4</v>
      </c>
      <c r="S1431" s="74">
        <v>30</v>
      </c>
      <c r="T1431" s="50">
        <v>0.45</v>
      </c>
      <c r="U1431" s="131">
        <v>2.62</v>
      </c>
      <c r="V1431" s="50">
        <v>1.58</v>
      </c>
      <c r="W1431" s="74">
        <v>0.106</v>
      </c>
      <c r="X1431" s="50">
        <v>0.122</v>
      </c>
      <c r="Y1431" s="74">
        <v>8.9999999999999993E-3</v>
      </c>
      <c r="Z1431" s="271">
        <v>1</v>
      </c>
      <c r="AA1431" s="271">
        <v>1</v>
      </c>
      <c r="AB1431" s="114">
        <v>35.15</v>
      </c>
      <c r="AC1431" s="50">
        <v>133</v>
      </c>
      <c r="AD1431" s="271">
        <v>1</v>
      </c>
    </row>
    <row r="1432" spans="1:30" ht="15" customHeight="1">
      <c r="A1432" s="41" t="s">
        <v>183</v>
      </c>
      <c r="B1432" s="402" t="s">
        <v>1287</v>
      </c>
      <c r="D1432" s="393" t="s">
        <v>434</v>
      </c>
      <c r="E1432" s="394" t="s">
        <v>1289</v>
      </c>
      <c r="G1432" s="405" t="s">
        <v>1290</v>
      </c>
      <c r="H1432" s="74">
        <v>3728</v>
      </c>
      <c r="I1432" s="50" t="s">
        <v>2</v>
      </c>
      <c r="J1432" s="339" t="s">
        <v>4661</v>
      </c>
      <c r="K1432" s="51">
        <v>41512</v>
      </c>
      <c r="L1432" s="173">
        <v>41508</v>
      </c>
      <c r="M1432" s="50">
        <v>4</v>
      </c>
      <c r="N1432" s="50" t="s">
        <v>2</v>
      </c>
      <c r="O1432" s="74">
        <f>5/2</f>
        <v>2.5</v>
      </c>
      <c r="P1432" s="50">
        <v>6.52</v>
      </c>
      <c r="Q1432" s="74">
        <v>6.78</v>
      </c>
      <c r="R1432" s="50">
        <v>110</v>
      </c>
      <c r="S1432" s="74">
        <v>15</v>
      </c>
      <c r="T1432" s="50">
        <f>0.1/2</f>
        <v>0.05</v>
      </c>
      <c r="U1432" s="131">
        <v>2.2000000000000002</v>
      </c>
      <c r="V1432" s="50">
        <v>0.82</v>
      </c>
      <c r="W1432" s="74">
        <v>6.2E-2</v>
      </c>
      <c r="X1432" s="50">
        <v>0.27</v>
      </c>
      <c r="Y1432" s="74">
        <v>1.4999999999999999E-2</v>
      </c>
      <c r="Z1432" s="271">
        <v>1</v>
      </c>
      <c r="AA1432" s="271">
        <v>0.82</v>
      </c>
      <c r="AB1432" s="114">
        <v>20</v>
      </c>
      <c r="AC1432" s="50">
        <v>84</v>
      </c>
      <c r="AD1432" s="271">
        <v>0.6</v>
      </c>
    </row>
    <row r="1433" spans="1:30" ht="15" customHeight="1">
      <c r="A1433" s="41" t="s">
        <v>183</v>
      </c>
      <c r="B1433" s="402" t="s">
        <v>1287</v>
      </c>
      <c r="D1433" s="393" t="s">
        <v>434</v>
      </c>
      <c r="E1433" s="394" t="s">
        <v>1289</v>
      </c>
      <c r="G1433" s="405" t="s">
        <v>1290</v>
      </c>
      <c r="H1433" s="74">
        <v>3728</v>
      </c>
      <c r="I1433" s="50" t="s">
        <v>2</v>
      </c>
      <c r="J1433" s="339" t="s">
        <v>4662</v>
      </c>
      <c r="K1433" s="51">
        <v>41512</v>
      </c>
      <c r="L1433" s="173">
        <v>41508</v>
      </c>
      <c r="M1433" s="50">
        <v>4</v>
      </c>
      <c r="N1433" s="50" t="s">
        <v>2</v>
      </c>
      <c r="O1433" s="74">
        <f>5/2</f>
        <v>2.5</v>
      </c>
      <c r="P1433" s="50">
        <v>6.52</v>
      </c>
      <c r="Q1433" s="74">
        <v>7.2</v>
      </c>
      <c r="R1433" s="50">
        <v>170</v>
      </c>
      <c r="S1433" s="74">
        <v>180</v>
      </c>
      <c r="T1433" s="50">
        <v>0.28999999999999998</v>
      </c>
      <c r="U1433" s="131">
        <v>3.3</v>
      </c>
      <c r="V1433" s="50">
        <v>1.6</v>
      </c>
      <c r="W1433" s="74">
        <f>0.04/2</f>
        <v>0.02</v>
      </c>
      <c r="X1433" s="50">
        <v>0.25</v>
      </c>
      <c r="Y1433" s="74">
        <f>0.013/2</f>
        <v>6.4999999999999997E-3</v>
      </c>
      <c r="Z1433" s="271">
        <v>1</v>
      </c>
      <c r="AA1433" s="271">
        <v>1</v>
      </c>
      <c r="AB1433" s="114">
        <v>20</v>
      </c>
      <c r="AC1433" s="50">
        <v>115</v>
      </c>
      <c r="AD1433" s="271">
        <v>0.75</v>
      </c>
    </row>
    <row r="1434" spans="1:30" ht="15" customHeight="1">
      <c r="A1434" s="41" t="s">
        <v>183</v>
      </c>
      <c r="B1434" s="402" t="s">
        <v>1287</v>
      </c>
      <c r="D1434" s="393" t="s">
        <v>434</v>
      </c>
      <c r="E1434" s="394" t="s">
        <v>1289</v>
      </c>
      <c r="G1434" s="405" t="s">
        <v>1290</v>
      </c>
      <c r="H1434" s="74">
        <v>3728</v>
      </c>
      <c r="I1434" s="50" t="s">
        <v>2</v>
      </c>
      <c r="J1434" s="339" t="s">
        <v>4663</v>
      </c>
      <c r="K1434" s="51">
        <v>41512</v>
      </c>
      <c r="L1434" s="173">
        <v>41508</v>
      </c>
      <c r="M1434" s="50">
        <v>4</v>
      </c>
      <c r="N1434" s="50" t="s">
        <v>2</v>
      </c>
      <c r="O1434" s="74">
        <f>5/2</f>
        <v>2.5</v>
      </c>
      <c r="P1434" s="50">
        <v>6.52</v>
      </c>
      <c r="Q1434" s="74">
        <v>7.55</v>
      </c>
      <c r="R1434" s="50">
        <v>67</v>
      </c>
      <c r="S1434" s="74">
        <v>53</v>
      </c>
      <c r="T1434" s="50">
        <f>0.1/2</f>
        <v>0.05</v>
      </c>
      <c r="U1434" s="131">
        <f>1/2</f>
        <v>0.5</v>
      </c>
      <c r="V1434" s="50">
        <v>0.55000000000000004</v>
      </c>
      <c r="W1434" s="74">
        <f>0.04/2</f>
        <v>0.02</v>
      </c>
      <c r="X1434" s="50">
        <v>6.5000000000000002E-2</v>
      </c>
      <c r="Y1434" s="74">
        <f>0.013/2</f>
        <v>6.4999999999999997E-3</v>
      </c>
      <c r="Z1434" s="271">
        <v>1</v>
      </c>
      <c r="AA1434" s="271">
        <v>1</v>
      </c>
      <c r="AB1434" s="114">
        <v>8</v>
      </c>
      <c r="AC1434" s="50">
        <v>36</v>
      </c>
      <c r="AD1434" s="271">
        <v>1</v>
      </c>
    </row>
    <row r="1435" spans="1:30" ht="15" customHeight="1">
      <c r="A1435" s="41" t="s">
        <v>183</v>
      </c>
      <c r="B1435" s="402" t="s">
        <v>1287</v>
      </c>
      <c r="D1435" s="393" t="s">
        <v>434</v>
      </c>
      <c r="E1435" s="394" t="s">
        <v>1289</v>
      </c>
      <c r="G1435" s="405" t="s">
        <v>1290</v>
      </c>
      <c r="H1435" s="74">
        <v>3728</v>
      </c>
      <c r="I1435" s="50" t="s">
        <v>2</v>
      </c>
      <c r="J1435" s="339" t="s">
        <v>4664</v>
      </c>
      <c r="K1435" s="51">
        <v>41512</v>
      </c>
      <c r="L1435" s="173">
        <v>41508</v>
      </c>
      <c r="M1435" s="50">
        <v>4</v>
      </c>
      <c r="N1435" s="50" t="s">
        <v>2</v>
      </c>
      <c r="O1435" s="74">
        <f>5/2</f>
        <v>2.5</v>
      </c>
      <c r="P1435" s="50">
        <v>6.52</v>
      </c>
      <c r="Q1435" s="74">
        <v>4.34</v>
      </c>
      <c r="R1435" s="50">
        <v>200</v>
      </c>
      <c r="S1435" s="74">
        <v>35</v>
      </c>
      <c r="T1435" s="50">
        <f>0.1/2</f>
        <v>0.05</v>
      </c>
      <c r="U1435" s="131">
        <v>3.5</v>
      </c>
      <c r="V1435" s="50">
        <v>1.6</v>
      </c>
      <c r="W1435" s="74">
        <v>7.1999999999999995E-2</v>
      </c>
      <c r="X1435" s="50">
        <v>0.13</v>
      </c>
      <c r="Y1435" s="74">
        <v>0.11</v>
      </c>
      <c r="Z1435" s="271">
        <v>0.70699999999999996</v>
      </c>
      <c r="AA1435" s="271">
        <v>0.70699999999999996</v>
      </c>
      <c r="AB1435" s="114">
        <v>20</v>
      </c>
      <c r="AC1435" s="50">
        <v>100</v>
      </c>
      <c r="AD1435" s="271">
        <v>0</v>
      </c>
    </row>
    <row r="1436" spans="1:30" ht="15" customHeight="1">
      <c r="A1436" s="41" t="s">
        <v>183</v>
      </c>
      <c r="B1436" s="402" t="s">
        <v>1287</v>
      </c>
      <c r="D1436" s="393" t="s">
        <v>434</v>
      </c>
      <c r="E1436" s="394" t="s">
        <v>1289</v>
      </c>
      <c r="G1436" s="405" t="s">
        <v>1290</v>
      </c>
      <c r="H1436" s="74">
        <v>3728</v>
      </c>
      <c r="I1436" s="50" t="s">
        <v>2</v>
      </c>
      <c r="J1436" s="339" t="s">
        <v>4665</v>
      </c>
      <c r="K1436" s="51">
        <v>41512</v>
      </c>
      <c r="L1436" s="173">
        <v>41508</v>
      </c>
      <c r="M1436" s="50">
        <v>4</v>
      </c>
      <c r="N1436" s="50" t="s">
        <v>2</v>
      </c>
      <c r="O1436" s="74">
        <f>5/2</f>
        <v>2.5</v>
      </c>
      <c r="P1436" s="50">
        <v>6.52</v>
      </c>
      <c r="Q1436" s="74">
        <v>5.81</v>
      </c>
      <c r="R1436" s="50">
        <v>42</v>
      </c>
      <c r="S1436" s="74">
        <v>22</v>
      </c>
      <c r="T1436" s="50">
        <v>0.12</v>
      </c>
      <c r="U1436" s="131">
        <f>1/2</f>
        <v>0.5</v>
      </c>
      <c r="V1436" s="50">
        <v>0.38</v>
      </c>
      <c r="W1436" s="74">
        <f>0.04/2</f>
        <v>0.02</v>
      </c>
      <c r="X1436" s="50">
        <v>2.7E-2</v>
      </c>
      <c r="Y1436" s="74">
        <f>0.013/2</f>
        <v>6.4999999999999997E-3</v>
      </c>
      <c r="Z1436" s="271">
        <v>1</v>
      </c>
      <c r="AA1436" s="271">
        <v>1</v>
      </c>
      <c r="AB1436" s="114">
        <v>3.8</v>
      </c>
      <c r="AC1436" s="50">
        <v>29</v>
      </c>
      <c r="AD1436" s="271">
        <v>1</v>
      </c>
    </row>
    <row r="1437" spans="1:30" ht="15" customHeight="1">
      <c r="A1437" s="41" t="s">
        <v>183</v>
      </c>
      <c r="B1437" s="385" t="s">
        <v>1843</v>
      </c>
      <c r="C1437" s="18" t="s">
        <v>4286</v>
      </c>
      <c r="D1437" s="377" t="s">
        <v>836</v>
      </c>
      <c r="E1437" s="20" t="s">
        <v>364</v>
      </c>
      <c r="F1437" s="385"/>
      <c r="G1437" s="390" t="s">
        <v>1878</v>
      </c>
      <c r="H1437" s="6">
        <v>4151</v>
      </c>
      <c r="I1437" s="7" t="s">
        <v>2</v>
      </c>
      <c r="J1437" s="344" t="s">
        <v>641</v>
      </c>
      <c r="K1437" s="51">
        <v>41487</v>
      </c>
      <c r="L1437" s="173">
        <v>41481</v>
      </c>
      <c r="M1437" s="50">
        <f t="shared" ref="M1437:M1444" si="70">K1437-L1437</f>
        <v>6</v>
      </c>
      <c r="N1437" s="50" t="s">
        <v>2</v>
      </c>
      <c r="O1437" s="74">
        <f>1.4/2</f>
        <v>0.7</v>
      </c>
      <c r="P1437" s="50">
        <v>7.74</v>
      </c>
      <c r="Q1437" s="74">
        <v>6.51</v>
      </c>
      <c r="R1437" s="50">
        <v>41</v>
      </c>
      <c r="S1437" s="74">
        <v>7</v>
      </c>
      <c r="T1437" s="50">
        <v>0.06</v>
      </c>
      <c r="U1437" s="131">
        <v>0.51</v>
      </c>
      <c r="V1437" s="50">
        <v>0.38</v>
      </c>
      <c r="W1437" s="74">
        <v>0.01</v>
      </c>
      <c r="X1437" s="50">
        <v>2.4E-2</v>
      </c>
      <c r="Y1437" s="74">
        <v>6.0000000000000001E-3</v>
      </c>
    </row>
    <row r="1438" spans="1:30" ht="15" customHeight="1">
      <c r="A1438" s="41" t="s">
        <v>183</v>
      </c>
      <c r="B1438" s="402" t="s">
        <v>4669</v>
      </c>
      <c r="C1438" s="113" t="s">
        <v>4670</v>
      </c>
      <c r="D1438" s="393" t="s">
        <v>1830</v>
      </c>
      <c r="E1438" s="394" t="s">
        <v>4671</v>
      </c>
      <c r="G1438" s="405" t="s">
        <v>4672</v>
      </c>
      <c r="H1438" s="74">
        <v>3390</v>
      </c>
      <c r="I1438" s="50" t="s">
        <v>2</v>
      </c>
      <c r="J1438" s="339" t="s">
        <v>510</v>
      </c>
      <c r="K1438" s="51">
        <v>41456</v>
      </c>
      <c r="L1438" s="173">
        <v>41452</v>
      </c>
      <c r="M1438" s="50">
        <f t="shared" si="70"/>
        <v>4</v>
      </c>
      <c r="N1438" s="50" t="s">
        <v>2</v>
      </c>
      <c r="O1438" s="74">
        <f>5/2</f>
        <v>2.5</v>
      </c>
      <c r="Q1438" s="74">
        <v>6.64</v>
      </c>
      <c r="R1438" s="50">
        <v>100</v>
      </c>
      <c r="S1438" s="74">
        <v>53</v>
      </c>
      <c r="T1438" s="50">
        <v>0.38</v>
      </c>
      <c r="U1438" s="74">
        <v>4.3</v>
      </c>
      <c r="V1438" s="50">
        <v>1.1000000000000001</v>
      </c>
      <c r="W1438" s="74">
        <v>4.2000000000000003E-2</v>
      </c>
      <c r="X1438" s="50">
        <v>0.14000000000000001</v>
      </c>
      <c r="Y1438" s="74">
        <f>0.1/2</f>
        <v>0.05</v>
      </c>
      <c r="Z1438" s="271">
        <v>1</v>
      </c>
      <c r="AA1438" s="271">
        <v>1</v>
      </c>
      <c r="AB1438" s="114">
        <v>43</v>
      </c>
      <c r="AC1438" s="50">
        <v>9425</v>
      </c>
      <c r="AD1438" s="271">
        <v>1</v>
      </c>
    </row>
    <row r="1439" spans="1:30" ht="15" customHeight="1">
      <c r="A1439" s="404" t="s">
        <v>183</v>
      </c>
      <c r="B1439" s="402" t="s">
        <v>4673</v>
      </c>
      <c r="C1439" s="113" t="s">
        <v>4674</v>
      </c>
      <c r="D1439" s="393" t="s">
        <v>4157</v>
      </c>
      <c r="G1439" s="405" t="s">
        <v>4158</v>
      </c>
      <c r="H1439" s="74">
        <v>9199</v>
      </c>
      <c r="I1439" s="50" t="s">
        <v>2</v>
      </c>
      <c r="J1439" s="339" t="s">
        <v>4686</v>
      </c>
      <c r="K1439" s="51">
        <v>41402</v>
      </c>
      <c r="L1439" s="173">
        <v>41384</v>
      </c>
      <c r="M1439" s="50">
        <f t="shared" si="70"/>
        <v>18</v>
      </c>
      <c r="N1439" s="50" t="s">
        <v>2</v>
      </c>
      <c r="O1439" s="74">
        <f>1/2</f>
        <v>0.5</v>
      </c>
      <c r="P1439" s="50">
        <v>7</v>
      </c>
      <c r="Q1439" s="74">
        <v>7.5</v>
      </c>
      <c r="R1439" s="50">
        <v>20</v>
      </c>
      <c r="S1439" s="74">
        <v>1</v>
      </c>
      <c r="T1439" s="50">
        <v>0.09</v>
      </c>
      <c r="U1439" s="74">
        <v>1.1499999999999999</v>
      </c>
      <c r="V1439" s="50">
        <v>0.59</v>
      </c>
      <c r="W1439" s="74">
        <v>0.02</v>
      </c>
      <c r="X1439" s="50">
        <f>0.005/2</f>
        <v>2.5000000000000001E-3</v>
      </c>
      <c r="Y1439" s="74">
        <v>1.4E-2</v>
      </c>
      <c r="Z1439" s="271">
        <v>1</v>
      </c>
      <c r="AA1439" s="271">
        <v>1</v>
      </c>
      <c r="AB1439" s="114">
        <v>36</v>
      </c>
      <c r="AC1439" s="50">
        <v>121</v>
      </c>
      <c r="AD1439" s="271">
        <v>0.95</v>
      </c>
    </row>
    <row r="1440" spans="1:30" ht="15" customHeight="1">
      <c r="A1440" s="404" t="s">
        <v>183</v>
      </c>
      <c r="B1440" s="402" t="s">
        <v>4673</v>
      </c>
      <c r="C1440" s="113" t="s">
        <v>4674</v>
      </c>
      <c r="D1440" s="393" t="s">
        <v>4157</v>
      </c>
      <c r="G1440" s="405" t="s">
        <v>4158</v>
      </c>
      <c r="H1440" s="74">
        <v>9199</v>
      </c>
      <c r="I1440" s="50" t="s">
        <v>2</v>
      </c>
      <c r="J1440" s="339" t="s">
        <v>4675</v>
      </c>
      <c r="K1440" s="51">
        <v>41402</v>
      </c>
      <c r="L1440" s="173">
        <v>41384</v>
      </c>
      <c r="M1440" s="50">
        <f t="shared" si="70"/>
        <v>18</v>
      </c>
      <c r="N1440" s="50" t="s">
        <v>2</v>
      </c>
      <c r="O1440" s="74">
        <v>49.2</v>
      </c>
      <c r="P1440" s="50">
        <v>7</v>
      </c>
      <c r="Q1440" s="74">
        <v>7.4</v>
      </c>
      <c r="R1440" s="50">
        <v>276</v>
      </c>
      <c r="S1440" s="74">
        <v>624</v>
      </c>
      <c r="T1440" s="50">
        <v>0.37</v>
      </c>
      <c r="U1440" s="74">
        <v>2.4300000000000002</v>
      </c>
      <c r="V1440" s="50">
        <v>0.34</v>
      </c>
      <c r="W1440" s="74">
        <v>0.06</v>
      </c>
      <c r="X1440" s="50">
        <v>0.01</v>
      </c>
      <c r="Y1440" s="74">
        <v>3.9E-2</v>
      </c>
      <c r="Z1440" s="271">
        <v>0.70699999999999996</v>
      </c>
      <c r="AA1440" s="271">
        <v>0.38300000000000001</v>
      </c>
      <c r="AB1440" s="114">
        <v>204</v>
      </c>
      <c r="AC1440" s="356">
        <v>10530</v>
      </c>
      <c r="AD1440" s="271">
        <v>0</v>
      </c>
    </row>
    <row r="1441" spans="1:49" ht="15" customHeight="1">
      <c r="A1441" s="41" t="s">
        <v>183</v>
      </c>
      <c r="B1441" s="402" t="s">
        <v>707</v>
      </c>
      <c r="C1441" s="113" t="s">
        <v>3835</v>
      </c>
      <c r="D1441" s="393" t="s">
        <v>133</v>
      </c>
      <c r="E1441" s="394" t="s">
        <v>4676</v>
      </c>
      <c r="G1441" s="405" t="s">
        <v>726</v>
      </c>
      <c r="H1441" s="74">
        <v>3273</v>
      </c>
      <c r="I1441" s="50" t="s">
        <v>2</v>
      </c>
      <c r="J1441" s="339" t="s">
        <v>3837</v>
      </c>
      <c r="K1441" s="51">
        <v>41495</v>
      </c>
      <c r="L1441" s="173">
        <v>41489</v>
      </c>
      <c r="M1441" s="50">
        <f t="shared" si="70"/>
        <v>6</v>
      </c>
      <c r="N1441" s="50" t="s">
        <v>2</v>
      </c>
      <c r="O1441" s="74">
        <f>1/2</f>
        <v>0.5</v>
      </c>
      <c r="P1441" s="50">
        <v>7.53</v>
      </c>
      <c r="Q1441" s="74">
        <v>6.4</v>
      </c>
      <c r="R1441" s="50">
        <v>44.4</v>
      </c>
      <c r="S1441" s="74">
        <v>16</v>
      </c>
      <c r="T1441" s="50">
        <v>0.16</v>
      </c>
      <c r="U1441" s="74">
        <v>1.44</v>
      </c>
      <c r="V1441" s="50">
        <f>0.1/2</f>
        <v>0.05</v>
      </c>
      <c r="W1441" s="74">
        <v>3.1E-2</v>
      </c>
      <c r="X1441" s="50">
        <v>7.5999999999999998E-2</v>
      </c>
      <c r="Y1441" s="74">
        <f>0.002/2</f>
        <v>1E-3</v>
      </c>
    </row>
    <row r="1442" spans="1:49" ht="15" customHeight="1">
      <c r="A1442" s="41" t="s">
        <v>183</v>
      </c>
      <c r="B1442" s="402" t="s">
        <v>707</v>
      </c>
      <c r="C1442" s="113" t="s">
        <v>3858</v>
      </c>
      <c r="D1442" s="393" t="s">
        <v>290</v>
      </c>
      <c r="E1442" s="394" t="s">
        <v>3859</v>
      </c>
      <c r="G1442" s="405" t="s">
        <v>3860</v>
      </c>
      <c r="H1442" s="74">
        <v>1442</v>
      </c>
      <c r="I1442" s="50" t="s">
        <v>2</v>
      </c>
      <c r="J1442" s="339" t="s">
        <v>3861</v>
      </c>
      <c r="K1442" s="51">
        <v>41478</v>
      </c>
      <c r="L1442" s="173">
        <v>41468</v>
      </c>
      <c r="M1442" s="50">
        <f t="shared" si="70"/>
        <v>10</v>
      </c>
      <c r="N1442" s="50" t="s">
        <v>2</v>
      </c>
      <c r="O1442" s="74">
        <v>5.6</v>
      </c>
      <c r="P1442" s="50">
        <v>8.1</v>
      </c>
      <c r="Q1442" s="74">
        <v>7.92</v>
      </c>
      <c r="R1442" s="50">
        <f>1/2</f>
        <v>0.5</v>
      </c>
      <c r="S1442" s="74">
        <v>8</v>
      </c>
      <c r="T1442" s="50">
        <v>0.15</v>
      </c>
      <c r="U1442" s="74">
        <v>0.48</v>
      </c>
      <c r="V1442" s="50">
        <f>0.1/2</f>
        <v>0.05</v>
      </c>
      <c r="W1442" s="74">
        <v>1.4E-2</v>
      </c>
      <c r="X1442" s="50">
        <v>5.8000000000000003E-2</v>
      </c>
      <c r="Y1442" s="74">
        <f>0.002/2</f>
        <v>1E-3</v>
      </c>
    </row>
    <row r="1443" spans="1:49" ht="15" customHeight="1">
      <c r="A1443" s="41" t="s">
        <v>183</v>
      </c>
      <c r="B1443" s="402" t="s">
        <v>707</v>
      </c>
      <c r="C1443" s="113" t="s">
        <v>4677</v>
      </c>
      <c r="D1443" s="393" t="s">
        <v>200</v>
      </c>
      <c r="E1443" s="394" t="s">
        <v>4678</v>
      </c>
      <c r="G1443" s="405" t="s">
        <v>777</v>
      </c>
      <c r="H1443" s="74">
        <v>1429</v>
      </c>
      <c r="I1443" s="50" t="s">
        <v>2</v>
      </c>
      <c r="J1443" s="339" t="s">
        <v>4679</v>
      </c>
      <c r="K1443" s="51">
        <v>41495</v>
      </c>
      <c r="L1443" s="173">
        <v>41489</v>
      </c>
      <c r="M1443" s="50">
        <f t="shared" si="70"/>
        <v>6</v>
      </c>
      <c r="N1443" s="50" t="s">
        <v>2</v>
      </c>
      <c r="O1443" s="74">
        <f>1/2</f>
        <v>0.5</v>
      </c>
      <c r="P1443" s="50">
        <v>7.95</v>
      </c>
      <c r="Q1443" s="74">
        <v>6.84</v>
      </c>
      <c r="R1443" s="50">
        <v>50.2</v>
      </c>
      <c r="S1443" s="74">
        <v>38</v>
      </c>
      <c r="T1443" s="50">
        <v>0.13</v>
      </c>
      <c r="U1443" s="74">
        <v>1</v>
      </c>
      <c r="V1443" s="50">
        <v>0.47</v>
      </c>
      <c r="W1443" s="74">
        <v>3.5999999999999997E-2</v>
      </c>
      <c r="X1443" s="50">
        <v>8.3000000000000004E-2</v>
      </c>
      <c r="Y1443" s="74">
        <v>1.9E-2</v>
      </c>
    </row>
    <row r="1444" spans="1:49" ht="15" customHeight="1">
      <c r="A1444" s="41" t="s">
        <v>183</v>
      </c>
      <c r="B1444" s="402" t="s">
        <v>707</v>
      </c>
      <c r="C1444" s="113" t="s">
        <v>4677</v>
      </c>
      <c r="D1444" s="393" t="s">
        <v>200</v>
      </c>
      <c r="E1444" s="394" t="s">
        <v>4678</v>
      </c>
      <c r="G1444" s="405" t="s">
        <v>777</v>
      </c>
      <c r="H1444" s="74">
        <v>1429</v>
      </c>
      <c r="I1444" s="50" t="s">
        <v>2</v>
      </c>
      <c r="J1444" s="339" t="s">
        <v>3933</v>
      </c>
      <c r="K1444" s="51">
        <v>41495</v>
      </c>
      <c r="L1444" s="173">
        <v>41489</v>
      </c>
      <c r="M1444" s="50">
        <f t="shared" si="70"/>
        <v>6</v>
      </c>
      <c r="N1444" s="50" t="s">
        <v>2</v>
      </c>
      <c r="O1444" s="74">
        <f>1/2</f>
        <v>0.5</v>
      </c>
      <c r="P1444" s="50">
        <v>8.15</v>
      </c>
      <c r="Q1444" s="74">
        <v>6.14</v>
      </c>
      <c r="R1444" s="50">
        <v>96.3</v>
      </c>
      <c r="S1444" s="74">
        <v>113</v>
      </c>
      <c r="T1444" s="50">
        <v>0.13</v>
      </c>
      <c r="U1444" s="74">
        <v>0.7</v>
      </c>
      <c r="V1444" s="50">
        <v>0.12</v>
      </c>
      <c r="W1444" s="74">
        <v>2.4E-2</v>
      </c>
      <c r="X1444" s="50">
        <v>6.7000000000000004E-2</v>
      </c>
      <c r="Y1444" s="74">
        <v>2.3E-2</v>
      </c>
    </row>
    <row r="1445" spans="1:49" ht="15" customHeight="1">
      <c r="A1445" s="41" t="s">
        <v>183</v>
      </c>
      <c r="B1445" s="402" t="s">
        <v>4681</v>
      </c>
      <c r="C1445" s="113" t="s">
        <v>4681</v>
      </c>
      <c r="D1445" s="393" t="s">
        <v>4682</v>
      </c>
      <c r="G1445" s="405" t="s">
        <v>4564</v>
      </c>
      <c r="H1445" s="74"/>
      <c r="J1445" s="339" t="s">
        <v>4684</v>
      </c>
      <c r="K1445" s="51">
        <v>41038</v>
      </c>
      <c r="L1445" s="173"/>
      <c r="N1445" s="50" t="s">
        <v>2</v>
      </c>
      <c r="O1445" s="74">
        <v>7.2</v>
      </c>
      <c r="Q1445" s="74">
        <v>6.7</v>
      </c>
      <c r="R1445" s="50">
        <v>48</v>
      </c>
      <c r="S1445" s="74">
        <v>23</v>
      </c>
      <c r="T1445" s="50">
        <v>0.17</v>
      </c>
      <c r="U1445" s="74">
        <f>0.5/2</f>
        <v>0.25</v>
      </c>
      <c r="V1445" s="50">
        <v>0.13</v>
      </c>
      <c r="W1445" s="74">
        <v>0.12</v>
      </c>
      <c r="X1445" s="50">
        <v>8.2000000000000003E-2</v>
      </c>
      <c r="Y1445" s="74">
        <f>0.002/2</f>
        <v>1E-3</v>
      </c>
      <c r="Z1445" s="271">
        <v>1</v>
      </c>
      <c r="AA1445" s="271">
        <v>1</v>
      </c>
      <c r="AB1445" s="114">
        <v>2</v>
      </c>
      <c r="AC1445" s="50">
        <v>10</v>
      </c>
      <c r="AD1445" s="271">
        <v>1</v>
      </c>
    </row>
    <row r="1446" spans="1:49" ht="15" customHeight="1">
      <c r="A1446" s="41" t="s">
        <v>183</v>
      </c>
      <c r="B1446" s="402" t="s">
        <v>4681</v>
      </c>
      <c r="C1446" s="113" t="s">
        <v>4681</v>
      </c>
      <c r="D1446" s="393" t="s">
        <v>4682</v>
      </c>
      <c r="G1446" s="405" t="s">
        <v>4564</v>
      </c>
      <c r="H1446" s="74"/>
      <c r="J1446" s="339" t="s">
        <v>4685</v>
      </c>
      <c r="K1446" s="51">
        <v>41253</v>
      </c>
      <c r="L1446" s="173"/>
      <c r="N1446" s="50" t="s">
        <v>2</v>
      </c>
      <c r="O1446" s="74">
        <f>2/2</f>
        <v>1</v>
      </c>
      <c r="P1446" s="50">
        <v>5.5</v>
      </c>
      <c r="Q1446" s="74">
        <v>7.2</v>
      </c>
      <c r="R1446" s="50">
        <v>24</v>
      </c>
      <c r="T1446" s="50">
        <v>0.2</v>
      </c>
      <c r="U1446" s="74">
        <f>0.5/2</f>
        <v>0.25</v>
      </c>
      <c r="V1446" s="50">
        <v>9.9000000000000005E-2</v>
      </c>
      <c r="W1446" s="74">
        <v>9.7000000000000003E-3</v>
      </c>
      <c r="X1446" s="50">
        <v>5.3999999999999999E-2</v>
      </c>
      <c r="Y1446" s="74">
        <f>0.002/2</f>
        <v>1E-3</v>
      </c>
      <c r="Z1446" s="271">
        <v>1</v>
      </c>
      <c r="AA1446" s="271">
        <v>1</v>
      </c>
      <c r="AB1446" s="114">
        <f>2/2</f>
        <v>1</v>
      </c>
      <c r="AC1446" s="50">
        <v>16</v>
      </c>
      <c r="AD1446" s="271">
        <v>1</v>
      </c>
    </row>
    <row r="1447" spans="1:49" ht="15" customHeight="1">
      <c r="A1447" s="41" t="s">
        <v>183</v>
      </c>
      <c r="B1447" s="402" t="s">
        <v>4681</v>
      </c>
      <c r="C1447" s="113" t="s">
        <v>4681</v>
      </c>
      <c r="D1447" s="393" t="s">
        <v>4682</v>
      </c>
      <c r="G1447" s="405" t="s">
        <v>4564</v>
      </c>
      <c r="H1447" s="74"/>
      <c r="J1447" s="339" t="s">
        <v>4683</v>
      </c>
      <c r="K1447" s="51">
        <v>41495</v>
      </c>
      <c r="L1447" s="173"/>
      <c r="N1447" s="50" t="s">
        <v>2</v>
      </c>
      <c r="O1447" s="74">
        <f>1/2</f>
        <v>0.5</v>
      </c>
      <c r="P1447" s="50">
        <v>6</v>
      </c>
      <c r="Q1447" s="74">
        <v>5.4</v>
      </c>
      <c r="R1447" s="50">
        <v>45</v>
      </c>
      <c r="S1447" s="74">
        <v>29</v>
      </c>
      <c r="T1447" s="50">
        <v>0.19</v>
      </c>
      <c r="U1447" s="74">
        <v>0.71</v>
      </c>
      <c r="V1447" s="50">
        <v>0.19</v>
      </c>
      <c r="W1447" s="74">
        <v>7.6E-3</v>
      </c>
      <c r="X1447" s="50">
        <v>3.3000000000000002E-2</v>
      </c>
      <c r="Y1447" s="74">
        <f>0.002/2</f>
        <v>1E-3</v>
      </c>
      <c r="Z1447" s="271">
        <v>1</v>
      </c>
      <c r="AA1447" s="271">
        <v>1</v>
      </c>
      <c r="AB1447" s="114">
        <v>10</v>
      </c>
      <c r="AC1447" s="50">
        <v>9</v>
      </c>
      <c r="AD1447" s="271">
        <v>0.95</v>
      </c>
    </row>
    <row r="1448" spans="1:49" ht="15" customHeight="1">
      <c r="A1448" s="41" t="s">
        <v>183</v>
      </c>
      <c r="B1448" s="402" t="s">
        <v>4702</v>
      </c>
      <c r="D1448" s="393" t="s">
        <v>1129</v>
      </c>
      <c r="E1448" s="394" t="s">
        <v>4703</v>
      </c>
      <c r="F1448" s="402">
        <v>3003</v>
      </c>
      <c r="G1448" s="405" t="s">
        <v>4704</v>
      </c>
      <c r="H1448" s="74"/>
      <c r="I1448" s="50" t="s">
        <v>2</v>
      </c>
      <c r="J1448" s="339" t="s">
        <v>81</v>
      </c>
      <c r="K1448" s="51">
        <v>41417</v>
      </c>
      <c r="L1448" s="173">
        <v>41405</v>
      </c>
      <c r="M1448" s="50">
        <f>K1448-L1448</f>
        <v>12</v>
      </c>
      <c r="N1448" s="50" t="s">
        <v>2</v>
      </c>
      <c r="O1448" s="74">
        <f>1.4/2</f>
        <v>0.7</v>
      </c>
      <c r="P1448" s="50">
        <v>5</v>
      </c>
      <c r="Q1448" s="74">
        <v>6.53</v>
      </c>
      <c r="R1448" s="50">
        <v>36</v>
      </c>
      <c r="S1448" s="74">
        <v>64</v>
      </c>
      <c r="T1448" s="50">
        <v>0.16</v>
      </c>
      <c r="U1448" s="74">
        <v>2.0499999999999998</v>
      </c>
      <c r="V1448" s="50">
        <v>0.39</v>
      </c>
      <c r="W1448" s="74">
        <v>1.6E-2</v>
      </c>
      <c r="X1448" s="50">
        <v>0.39900000000000002</v>
      </c>
      <c r="Y1448" s="74">
        <v>6.0000000000000001E-3</v>
      </c>
      <c r="Z1448" s="271">
        <v>1</v>
      </c>
      <c r="AA1448" s="271">
        <v>0.64200000000000002</v>
      </c>
      <c r="AB1448" s="114">
        <v>4</v>
      </c>
      <c r="AC1448" s="50">
        <v>28</v>
      </c>
      <c r="AD1448" s="271">
        <v>0</v>
      </c>
    </row>
    <row r="1449" spans="1:49" ht="15" customHeight="1">
      <c r="A1449" s="41" t="s">
        <v>183</v>
      </c>
      <c r="B1449" s="402" t="s">
        <v>4566</v>
      </c>
      <c r="C1449" s="113" t="s">
        <v>3035</v>
      </c>
      <c r="D1449" s="393" t="s">
        <v>567</v>
      </c>
      <c r="E1449" s="394" t="s">
        <v>1714</v>
      </c>
      <c r="G1449" s="405" t="s">
        <v>3036</v>
      </c>
      <c r="H1449" s="74">
        <v>4493</v>
      </c>
      <c r="I1449" s="50" t="s">
        <v>2</v>
      </c>
      <c r="J1449" s="339" t="s">
        <v>1144</v>
      </c>
      <c r="K1449" s="51">
        <v>41481</v>
      </c>
      <c r="L1449" s="173"/>
      <c r="N1449" s="50" t="s">
        <v>2</v>
      </c>
      <c r="O1449" s="74">
        <f>5/2</f>
        <v>2.5</v>
      </c>
      <c r="P1449" s="50">
        <v>6.48</v>
      </c>
      <c r="Q1449" s="74">
        <v>6.42</v>
      </c>
      <c r="R1449" s="50">
        <v>98</v>
      </c>
      <c r="S1449" s="74">
        <v>140</v>
      </c>
      <c r="T1449" s="50">
        <v>0.19</v>
      </c>
      <c r="U1449" s="74">
        <v>1.6</v>
      </c>
      <c r="V1449" s="50">
        <v>1.1000000000000001</v>
      </c>
      <c r="W1449" s="74">
        <v>7.1999999999999995E-2</v>
      </c>
      <c r="X1449" s="50">
        <v>0.28000000000000003</v>
      </c>
      <c r="Y1449" s="74">
        <v>7.1999999999999995E-2</v>
      </c>
      <c r="AN1449" s="114">
        <v>1.7</v>
      </c>
      <c r="AW1449" s="394">
        <v>1.1000000000000001</v>
      </c>
    </row>
    <row r="1450" spans="1:49" ht="15" customHeight="1">
      <c r="A1450" s="41" t="s">
        <v>183</v>
      </c>
      <c r="B1450" s="402" t="s">
        <v>707</v>
      </c>
      <c r="C1450" s="113" t="s">
        <v>1406</v>
      </c>
      <c r="D1450" s="393" t="s">
        <v>314</v>
      </c>
      <c r="E1450" s="394" t="s">
        <v>49</v>
      </c>
      <c r="G1450" s="405" t="s">
        <v>728</v>
      </c>
      <c r="H1450" s="74">
        <v>2951</v>
      </c>
      <c r="I1450" s="50" t="s">
        <v>2</v>
      </c>
      <c r="J1450" s="339" t="s">
        <v>4705</v>
      </c>
      <c r="K1450" s="51">
        <v>41180</v>
      </c>
      <c r="L1450" s="173">
        <v>41160</v>
      </c>
      <c r="M1450" s="50">
        <f>K1450-L1450</f>
        <v>20</v>
      </c>
      <c r="N1450" s="50" t="s">
        <v>2</v>
      </c>
      <c r="O1450" s="74">
        <v>1.6</v>
      </c>
      <c r="P1450" s="50">
        <v>5</v>
      </c>
      <c r="Q1450" s="74">
        <v>5.79</v>
      </c>
      <c r="R1450" s="50">
        <v>76.2</v>
      </c>
      <c r="S1450" s="74">
        <v>215</v>
      </c>
      <c r="T1450" s="50">
        <v>0.23</v>
      </c>
      <c r="U1450" s="74">
        <v>0.76</v>
      </c>
      <c r="V1450" s="50">
        <v>0.42</v>
      </c>
      <c r="W1450" s="74">
        <v>1.0999999999999999E-2</v>
      </c>
      <c r="X1450" s="50">
        <v>0.128</v>
      </c>
      <c r="Y1450" s="74">
        <v>7.0000000000000001E-3</v>
      </c>
    </row>
    <row r="1451" spans="1:49" ht="15" customHeight="1">
      <c r="A1451" s="41" t="s">
        <v>183</v>
      </c>
      <c r="B1451" s="402" t="s">
        <v>4241</v>
      </c>
      <c r="D1451" s="393" t="s">
        <v>434</v>
      </c>
      <c r="E1451" s="394" t="s">
        <v>304</v>
      </c>
      <c r="G1451" s="405" t="s">
        <v>4240</v>
      </c>
      <c r="H1451" s="74">
        <v>8744</v>
      </c>
      <c r="I1451" s="50" t="s">
        <v>1</v>
      </c>
      <c r="J1451" s="339" t="s">
        <v>4557</v>
      </c>
      <c r="K1451" s="51">
        <v>41495</v>
      </c>
      <c r="L1451" s="173"/>
      <c r="N1451" s="50" t="s">
        <v>2</v>
      </c>
      <c r="O1451" s="74">
        <f>5/2</f>
        <v>2.5</v>
      </c>
      <c r="P1451" s="50">
        <v>6.9</v>
      </c>
      <c r="Q1451" s="74">
        <v>6.01</v>
      </c>
      <c r="R1451" s="50">
        <v>42</v>
      </c>
      <c r="S1451" s="74">
        <v>8</v>
      </c>
      <c r="T1451" s="50">
        <v>0.14000000000000001</v>
      </c>
      <c r="U1451" s="74">
        <v>1.2</v>
      </c>
      <c r="V1451" s="50">
        <v>0.75</v>
      </c>
      <c r="W1451" s="74">
        <f>0.04/2</f>
        <v>0.02</v>
      </c>
      <c r="X1451" s="50">
        <f>0.02/2</f>
        <v>0.01</v>
      </c>
      <c r="Y1451" s="74">
        <f>0.013/2</f>
        <v>6.4999999999999997E-3</v>
      </c>
    </row>
    <row r="1452" spans="1:49" ht="15" customHeight="1">
      <c r="A1452" s="41" t="s">
        <v>183</v>
      </c>
      <c r="B1452" s="402" t="s">
        <v>4241</v>
      </c>
      <c r="D1452" s="393" t="s">
        <v>434</v>
      </c>
      <c r="E1452" s="394" t="s">
        <v>304</v>
      </c>
      <c r="G1452" s="405" t="s">
        <v>4240</v>
      </c>
      <c r="H1452" s="74">
        <v>8744</v>
      </c>
      <c r="I1452" s="50" t="s">
        <v>1</v>
      </c>
      <c r="J1452" s="339" t="s">
        <v>4558</v>
      </c>
      <c r="K1452" s="51">
        <v>41495</v>
      </c>
      <c r="L1452" s="173"/>
      <c r="N1452" s="50" t="s">
        <v>2</v>
      </c>
      <c r="O1452" s="74">
        <f>5/2</f>
        <v>2.5</v>
      </c>
      <c r="P1452" s="50">
        <v>6.9</v>
      </c>
      <c r="Q1452" s="74">
        <v>6.93</v>
      </c>
      <c r="R1452" s="50">
        <v>59</v>
      </c>
      <c r="S1452" s="74">
        <v>21</v>
      </c>
      <c r="T1452" s="50">
        <v>0.17</v>
      </c>
      <c r="U1452" s="74">
        <f>1/2</f>
        <v>0.5</v>
      </c>
      <c r="V1452" s="50">
        <f>0.1/2</f>
        <v>0.05</v>
      </c>
      <c r="W1452" s="74">
        <f>0.04/2</f>
        <v>0.02</v>
      </c>
      <c r="X1452" s="50">
        <v>5.6000000000000001E-2</v>
      </c>
      <c r="Y1452" s="74">
        <f>0.013/2</f>
        <v>6.4999999999999997E-3</v>
      </c>
    </row>
    <row r="1453" spans="1:49" ht="15" customHeight="1">
      <c r="A1453" s="41" t="s">
        <v>183</v>
      </c>
      <c r="B1453" s="402" t="s">
        <v>4241</v>
      </c>
      <c r="D1453" s="393" t="s">
        <v>434</v>
      </c>
      <c r="E1453" s="394" t="s">
        <v>304</v>
      </c>
      <c r="G1453" s="405" t="s">
        <v>4240</v>
      </c>
      <c r="H1453" s="74">
        <v>8744</v>
      </c>
      <c r="I1453" s="50" t="s">
        <v>1</v>
      </c>
      <c r="J1453" s="339" t="s">
        <v>4559</v>
      </c>
      <c r="K1453" s="51">
        <v>41495</v>
      </c>
      <c r="L1453" s="173"/>
      <c r="N1453" s="50" t="s">
        <v>2</v>
      </c>
      <c r="O1453" s="74">
        <f>5/2</f>
        <v>2.5</v>
      </c>
      <c r="P1453" s="50">
        <v>6.9</v>
      </c>
      <c r="Q1453" s="74">
        <v>6.93</v>
      </c>
      <c r="R1453" s="50">
        <v>59</v>
      </c>
      <c r="S1453" s="74">
        <v>21</v>
      </c>
      <c r="T1453" s="50">
        <v>0.17</v>
      </c>
      <c r="U1453" s="74">
        <f>1/2</f>
        <v>0.5</v>
      </c>
      <c r="V1453" s="50">
        <f>0.1/2</f>
        <v>0.05</v>
      </c>
      <c r="W1453" s="74">
        <f>0.04/2</f>
        <v>0.02</v>
      </c>
      <c r="X1453" s="50">
        <v>5.6000000000000001E-2</v>
      </c>
      <c r="Y1453" s="74">
        <f>0.013/2</f>
        <v>6.4999999999999997E-3</v>
      </c>
    </row>
    <row r="1454" spans="1:49" ht="15" customHeight="1">
      <c r="A1454" s="41" t="s">
        <v>183</v>
      </c>
      <c r="B1454" s="402" t="s">
        <v>4241</v>
      </c>
      <c r="D1454" s="393" t="s">
        <v>434</v>
      </c>
      <c r="E1454" s="394" t="s">
        <v>304</v>
      </c>
      <c r="G1454" s="405" t="s">
        <v>4240</v>
      </c>
      <c r="H1454" s="74">
        <v>8744</v>
      </c>
      <c r="I1454" s="50" t="s">
        <v>1</v>
      </c>
      <c r="J1454" s="339" t="s">
        <v>4560</v>
      </c>
      <c r="K1454" s="51">
        <v>41495</v>
      </c>
      <c r="L1454" s="173"/>
      <c r="N1454" s="50" t="s">
        <v>2</v>
      </c>
      <c r="O1454" s="74">
        <f>5/2</f>
        <v>2.5</v>
      </c>
      <c r="P1454" s="50">
        <v>6.9</v>
      </c>
      <c r="Q1454" s="74">
        <v>6.32</v>
      </c>
      <c r="R1454" s="50">
        <v>18</v>
      </c>
      <c r="S1454" s="74">
        <f>5/2</f>
        <v>2.5</v>
      </c>
      <c r="T1454" s="50">
        <v>0.11</v>
      </c>
      <c r="U1454" s="74">
        <f>1/2</f>
        <v>0.5</v>
      </c>
      <c r="V1454" s="50">
        <v>0.53</v>
      </c>
      <c r="W1454" s="74">
        <v>0.04</v>
      </c>
      <c r="X1454" s="50">
        <v>0.35</v>
      </c>
      <c r="Y1454" s="74">
        <v>0.02</v>
      </c>
    </row>
    <row r="1455" spans="1:49" ht="15" customHeight="1">
      <c r="A1455" s="41" t="s">
        <v>183</v>
      </c>
      <c r="B1455" s="402" t="s">
        <v>707</v>
      </c>
      <c r="C1455" s="113" t="s">
        <v>1110</v>
      </c>
      <c r="D1455" s="393" t="s">
        <v>262</v>
      </c>
      <c r="E1455" s="394" t="s">
        <v>3827</v>
      </c>
      <c r="G1455" s="405" t="s">
        <v>799</v>
      </c>
      <c r="H1455" s="74">
        <v>4469</v>
      </c>
      <c r="I1455" s="50" t="s">
        <v>1</v>
      </c>
      <c r="J1455" s="339" t="s">
        <v>3828</v>
      </c>
      <c r="K1455" s="51">
        <v>41180</v>
      </c>
      <c r="L1455" s="173">
        <v>41160</v>
      </c>
      <c r="M1455" s="50">
        <f t="shared" ref="M1455:M1486" si="71">K1455-L1455</f>
        <v>20</v>
      </c>
      <c r="N1455" s="50" t="s">
        <v>2</v>
      </c>
      <c r="O1455" s="74">
        <v>1.2</v>
      </c>
      <c r="P1455" s="50">
        <v>4.5</v>
      </c>
      <c r="Q1455" s="74">
        <v>5.36</v>
      </c>
      <c r="R1455" s="50">
        <v>7.5</v>
      </c>
      <c r="S1455" s="74">
        <v>23</v>
      </c>
      <c r="T1455" s="50">
        <v>0.2</v>
      </c>
      <c r="U1455" s="74">
        <v>2.92</v>
      </c>
      <c r="V1455" s="50">
        <f>0.1/2</f>
        <v>0.05</v>
      </c>
      <c r="W1455" s="74">
        <v>3.2000000000000001E-2</v>
      </c>
      <c r="X1455" s="50">
        <v>0.10299999999999999</v>
      </c>
      <c r="Y1455" s="74">
        <v>3.4000000000000002E-2</v>
      </c>
      <c r="AI1455" s="114">
        <v>5800</v>
      </c>
      <c r="AJ1455" s="114">
        <v>3500</v>
      </c>
      <c r="AQ1455" s="114">
        <f>5/2</f>
        <v>2.5</v>
      </c>
    </row>
    <row r="1456" spans="1:49" ht="15" customHeight="1">
      <c r="A1456" s="41" t="s">
        <v>183</v>
      </c>
      <c r="B1456" s="402" t="s">
        <v>2004</v>
      </c>
      <c r="D1456" s="393" t="s">
        <v>1830</v>
      </c>
      <c r="E1456" s="394" t="s">
        <v>2005</v>
      </c>
      <c r="G1456" s="405" t="s">
        <v>2006</v>
      </c>
      <c r="H1456" s="74">
        <v>3496</v>
      </c>
      <c r="I1456" s="50" t="s">
        <v>2</v>
      </c>
      <c r="J1456" s="339" t="s">
        <v>510</v>
      </c>
      <c r="K1456" s="51">
        <v>41170</v>
      </c>
      <c r="L1456" s="173">
        <v>41162</v>
      </c>
      <c r="M1456" s="50">
        <f t="shared" si="71"/>
        <v>8</v>
      </c>
      <c r="N1456" s="50" t="s">
        <v>2</v>
      </c>
      <c r="O1456" s="74">
        <v>2</v>
      </c>
      <c r="P1456" s="50">
        <v>7.61</v>
      </c>
      <c r="Q1456" s="74">
        <v>6.13</v>
      </c>
      <c r="R1456" s="50">
        <v>15</v>
      </c>
      <c r="S1456" s="74">
        <v>15</v>
      </c>
      <c r="T1456" s="50">
        <v>0.122</v>
      </c>
      <c r="U1456" s="74">
        <v>0.13</v>
      </c>
      <c r="V1456" s="50">
        <v>1.27</v>
      </c>
      <c r="W1456" s="74">
        <v>0.27300000000000002</v>
      </c>
      <c r="X1456" s="50">
        <v>8.2000000000000003E-2</v>
      </c>
      <c r="Y1456" s="74">
        <v>0.318</v>
      </c>
    </row>
    <row r="1457" spans="1:35" ht="15" customHeight="1">
      <c r="A1457" s="41" t="s">
        <v>183</v>
      </c>
      <c r="B1457" s="402" t="s">
        <v>2004</v>
      </c>
      <c r="D1457" s="393" t="s">
        <v>1830</v>
      </c>
      <c r="E1457" s="394" t="s">
        <v>2005</v>
      </c>
      <c r="G1457" s="405" t="s">
        <v>2006</v>
      </c>
      <c r="H1457" s="74">
        <v>3496</v>
      </c>
      <c r="I1457" s="50" t="s">
        <v>2</v>
      </c>
      <c r="J1457" s="339" t="s">
        <v>510</v>
      </c>
      <c r="K1457" s="51">
        <v>41365</v>
      </c>
      <c r="L1457" s="173">
        <v>41352</v>
      </c>
      <c r="M1457" s="50">
        <f t="shared" si="71"/>
        <v>13</v>
      </c>
      <c r="N1457" s="50" t="s">
        <v>2</v>
      </c>
      <c r="O1457" s="74">
        <f>1/2</f>
        <v>0.5</v>
      </c>
      <c r="P1457" s="50">
        <v>6.84</v>
      </c>
      <c r="Q1457" s="74">
        <v>6.46</v>
      </c>
      <c r="R1457" s="50">
        <v>15</v>
      </c>
      <c r="S1457" s="74">
        <v>6</v>
      </c>
      <c r="T1457" s="50">
        <v>0.09</v>
      </c>
      <c r="U1457" s="74">
        <v>0.78</v>
      </c>
      <c r="V1457" s="50">
        <v>1.75</v>
      </c>
      <c r="W1457" s="74">
        <v>2.4E-2</v>
      </c>
      <c r="X1457" s="50">
        <v>6.0999999999999999E-2</v>
      </c>
      <c r="Y1457" s="74">
        <v>2E-3</v>
      </c>
      <c r="Z1457" s="271">
        <v>1</v>
      </c>
      <c r="AA1457" s="271">
        <v>1</v>
      </c>
      <c r="AB1457" s="114">
        <v>162</v>
      </c>
      <c r="AC1457" s="50">
        <v>671</v>
      </c>
      <c r="AD1457" s="271">
        <v>1</v>
      </c>
    </row>
    <row r="1458" spans="1:35" ht="15" customHeight="1">
      <c r="A1458" s="41" t="s">
        <v>183</v>
      </c>
      <c r="B1458" s="402" t="s">
        <v>707</v>
      </c>
      <c r="C1458" s="113" t="s">
        <v>4706</v>
      </c>
      <c r="D1458" s="393" t="s">
        <v>78</v>
      </c>
      <c r="E1458" s="394" t="s">
        <v>3832</v>
      </c>
      <c r="G1458" s="405" t="s">
        <v>770</v>
      </c>
      <c r="H1458" s="74" t="s">
        <v>3833</v>
      </c>
      <c r="I1458" s="50" t="s">
        <v>1</v>
      </c>
      <c r="J1458" s="339" t="s">
        <v>3834</v>
      </c>
      <c r="K1458" s="51">
        <v>41180</v>
      </c>
      <c r="L1458" s="173">
        <v>41160</v>
      </c>
      <c r="M1458" s="50">
        <f t="shared" si="71"/>
        <v>20</v>
      </c>
      <c r="N1458" s="50" t="s">
        <v>2</v>
      </c>
      <c r="O1458" s="74">
        <f>1/2</f>
        <v>0.5</v>
      </c>
      <c r="P1458" s="50">
        <v>5</v>
      </c>
      <c r="Q1458" s="74">
        <v>6.15</v>
      </c>
      <c r="R1458" s="50">
        <v>11.3</v>
      </c>
      <c r="S1458" s="74">
        <v>31</v>
      </c>
      <c r="T1458" s="50">
        <v>0.09</v>
      </c>
      <c r="U1458" s="74">
        <v>3.85</v>
      </c>
      <c r="V1458" s="50">
        <v>0.8</v>
      </c>
      <c r="W1458" s="74">
        <v>5.0000000000000001E-3</v>
      </c>
      <c r="X1458" s="50">
        <v>5.8000000000000003E-2</v>
      </c>
      <c r="Y1458" s="74">
        <f>0.002/2</f>
        <v>1E-3</v>
      </c>
      <c r="AI1458" s="114">
        <v>750</v>
      </c>
    </row>
    <row r="1459" spans="1:35" ht="15" customHeight="1">
      <c r="A1459" s="41" t="s">
        <v>183</v>
      </c>
      <c r="B1459" s="402" t="s">
        <v>3235</v>
      </c>
      <c r="C1459" s="113" t="s">
        <v>5270</v>
      </c>
      <c r="D1459" s="393" t="s">
        <v>111</v>
      </c>
      <c r="E1459" s="394" t="s">
        <v>112</v>
      </c>
      <c r="F1459" s="86"/>
      <c r="G1459" s="405" t="s">
        <v>3236</v>
      </c>
      <c r="H1459" s="74">
        <v>3273</v>
      </c>
      <c r="I1459" s="50" t="s">
        <v>1</v>
      </c>
      <c r="J1459" s="48" t="s">
        <v>3144</v>
      </c>
      <c r="K1459" s="51">
        <v>41201</v>
      </c>
      <c r="L1459" s="173">
        <v>41197</v>
      </c>
      <c r="M1459" s="50">
        <f t="shared" si="71"/>
        <v>4</v>
      </c>
      <c r="N1459" s="50" t="s">
        <v>2</v>
      </c>
      <c r="O1459" s="74">
        <f>5/2</f>
        <v>2.5</v>
      </c>
      <c r="P1459" s="50">
        <v>7.3</v>
      </c>
      <c r="Q1459" s="74">
        <v>6.7</v>
      </c>
      <c r="R1459" s="50">
        <v>120</v>
      </c>
      <c r="S1459" s="74">
        <v>120</v>
      </c>
      <c r="T1459" s="50">
        <v>0.92</v>
      </c>
      <c r="U1459" s="74">
        <f>1/2</f>
        <v>0.5</v>
      </c>
      <c r="V1459" s="50">
        <f>0.1/2</f>
        <v>0.05</v>
      </c>
      <c r="W1459" s="74">
        <f>0.04/2</f>
        <v>0.02</v>
      </c>
      <c r="X1459" s="50">
        <f>0.084/2</f>
        <v>4.2000000000000003E-2</v>
      </c>
      <c r="Y1459" s="74">
        <f>0.013/2</f>
        <v>6.4999999999999997E-3</v>
      </c>
      <c r="Z1459" s="271">
        <v>1</v>
      </c>
      <c r="AA1459" s="271">
        <v>1</v>
      </c>
      <c r="AB1459" s="114">
        <v>120</v>
      </c>
      <c r="AC1459" s="50">
        <v>82</v>
      </c>
      <c r="AD1459" s="271">
        <v>1</v>
      </c>
      <c r="AE1459" s="50">
        <v>137.6</v>
      </c>
    </row>
    <row r="1460" spans="1:35" ht="15" customHeight="1">
      <c r="A1460" s="41" t="s">
        <v>183</v>
      </c>
      <c r="B1460" s="402" t="s">
        <v>2144</v>
      </c>
      <c r="C1460" s="113" t="s">
        <v>2145</v>
      </c>
      <c r="D1460" s="393" t="s">
        <v>1217</v>
      </c>
      <c r="E1460" s="394" t="s">
        <v>2112</v>
      </c>
      <c r="G1460" s="405" t="s">
        <v>2504</v>
      </c>
      <c r="H1460" s="113">
        <v>9711</v>
      </c>
      <c r="I1460" s="49" t="s">
        <v>2</v>
      </c>
      <c r="J1460" s="48" t="s">
        <v>255</v>
      </c>
      <c r="K1460" s="51">
        <v>41170</v>
      </c>
      <c r="L1460" s="173">
        <v>41160</v>
      </c>
      <c r="M1460" s="50">
        <f t="shared" si="71"/>
        <v>10</v>
      </c>
      <c r="N1460" s="50" t="s">
        <v>2</v>
      </c>
      <c r="O1460" s="74">
        <v>0.7</v>
      </c>
      <c r="P1460" s="50">
        <v>5.5</v>
      </c>
      <c r="Q1460" s="74">
        <v>7.37</v>
      </c>
      <c r="R1460" s="50">
        <v>13</v>
      </c>
      <c r="S1460" s="74">
        <v>27</v>
      </c>
      <c r="T1460" s="50">
        <v>0.11</v>
      </c>
      <c r="U1460" s="74">
        <v>0.81</v>
      </c>
      <c r="V1460" s="50">
        <v>0.43</v>
      </c>
      <c r="W1460" s="74">
        <v>7.0000000000000001E-3</v>
      </c>
      <c r="X1460" s="50">
        <v>5.0999999999999997E-2</v>
      </c>
      <c r="Y1460" s="74">
        <v>5.0000000000000001E-3</v>
      </c>
      <c r="Z1460" s="271">
        <v>1</v>
      </c>
      <c r="AA1460" s="271">
        <v>1</v>
      </c>
      <c r="AB1460" s="114">
        <v>20</v>
      </c>
      <c r="AC1460" s="50">
        <v>74</v>
      </c>
      <c r="AD1460" s="271">
        <v>1</v>
      </c>
    </row>
    <row r="1461" spans="1:35" ht="15" customHeight="1">
      <c r="A1461" s="41" t="s">
        <v>183</v>
      </c>
      <c r="B1461" s="402" t="s">
        <v>2144</v>
      </c>
      <c r="C1461" s="113" t="s">
        <v>2145</v>
      </c>
      <c r="D1461" s="393" t="s">
        <v>1217</v>
      </c>
      <c r="E1461" s="394" t="s">
        <v>2112</v>
      </c>
      <c r="G1461" s="405" t="s">
        <v>2504</v>
      </c>
      <c r="H1461" s="113">
        <v>9711</v>
      </c>
      <c r="I1461" s="49" t="s">
        <v>2</v>
      </c>
      <c r="J1461" s="48" t="s">
        <v>4707</v>
      </c>
      <c r="K1461" s="51">
        <v>41170</v>
      </c>
      <c r="L1461" s="173">
        <v>41160</v>
      </c>
      <c r="M1461" s="50">
        <f t="shared" si="71"/>
        <v>10</v>
      </c>
      <c r="N1461" s="50" t="s">
        <v>2</v>
      </c>
      <c r="O1461" s="74">
        <v>1.7</v>
      </c>
      <c r="P1461" s="50">
        <v>5.5</v>
      </c>
      <c r="Q1461" s="74">
        <v>7.13</v>
      </c>
      <c r="R1461" s="50">
        <v>100</v>
      </c>
      <c r="S1461" s="74">
        <v>62</v>
      </c>
      <c r="T1461" s="50">
        <v>0.86</v>
      </c>
      <c r="U1461" s="74">
        <v>2.73</v>
      </c>
      <c r="V1461" s="50">
        <v>1.2</v>
      </c>
      <c r="W1461" s="74">
        <v>6.9000000000000006E-2</v>
      </c>
      <c r="X1461" s="50">
        <v>1.59</v>
      </c>
      <c r="Y1461" s="74">
        <v>4.9000000000000002E-2</v>
      </c>
      <c r="Z1461" s="271">
        <v>0.435</v>
      </c>
      <c r="AA1461" s="271">
        <v>0.308</v>
      </c>
    </row>
    <row r="1462" spans="1:35" ht="15" customHeight="1">
      <c r="A1462" s="41" t="s">
        <v>183</v>
      </c>
      <c r="B1462" s="402" t="s">
        <v>2144</v>
      </c>
      <c r="C1462" s="113" t="s">
        <v>2145</v>
      </c>
      <c r="D1462" s="393" t="s">
        <v>1217</v>
      </c>
      <c r="E1462" s="394" t="s">
        <v>2112</v>
      </c>
      <c r="G1462" s="405" t="s">
        <v>2504</v>
      </c>
      <c r="H1462" s="74">
        <v>9711</v>
      </c>
      <c r="I1462" s="50" t="s">
        <v>2</v>
      </c>
      <c r="J1462" s="339" t="s">
        <v>4708</v>
      </c>
      <c r="K1462" s="51">
        <v>41170</v>
      </c>
      <c r="L1462" s="173">
        <v>41160</v>
      </c>
      <c r="M1462" s="50">
        <f t="shared" si="71"/>
        <v>10</v>
      </c>
      <c r="N1462" s="50" t="s">
        <v>2</v>
      </c>
      <c r="O1462" s="74">
        <v>0.7</v>
      </c>
      <c r="P1462" s="50">
        <v>5.5</v>
      </c>
      <c r="Q1462" s="74">
        <v>7.98</v>
      </c>
      <c r="R1462" s="50">
        <v>5</v>
      </c>
      <c r="S1462" s="74">
        <v>2.5</v>
      </c>
      <c r="T1462" s="50">
        <v>0.06</v>
      </c>
      <c r="U1462" s="74">
        <v>0.38</v>
      </c>
      <c r="V1462" s="50">
        <v>0.46</v>
      </c>
      <c r="W1462" s="74">
        <v>2.5000000000000001E-3</v>
      </c>
      <c r="X1462" s="50">
        <v>8.9999999999999993E-3</v>
      </c>
      <c r="Y1462" s="74">
        <v>1E-3</v>
      </c>
      <c r="Z1462" s="271">
        <v>1</v>
      </c>
      <c r="AA1462" s="271">
        <v>1</v>
      </c>
      <c r="AB1462" s="114">
        <v>56</v>
      </c>
      <c r="AC1462" s="50">
        <v>173</v>
      </c>
      <c r="AD1462" s="271">
        <v>1</v>
      </c>
    </row>
    <row r="1463" spans="1:35" ht="15" customHeight="1">
      <c r="A1463" s="41" t="s">
        <v>183</v>
      </c>
      <c r="B1463" s="402" t="s">
        <v>3235</v>
      </c>
      <c r="C1463" s="113" t="s">
        <v>5270</v>
      </c>
      <c r="D1463" s="393" t="s">
        <v>111</v>
      </c>
      <c r="E1463" s="394" t="s">
        <v>112</v>
      </c>
      <c r="G1463" s="405" t="s">
        <v>3236</v>
      </c>
      <c r="H1463" s="74">
        <v>3273</v>
      </c>
      <c r="I1463" s="50" t="s">
        <v>1</v>
      </c>
      <c r="J1463" s="339" t="s">
        <v>3144</v>
      </c>
      <c r="K1463" s="51">
        <v>41030</v>
      </c>
      <c r="L1463" s="173">
        <v>41022</v>
      </c>
      <c r="M1463" s="50">
        <f t="shared" si="71"/>
        <v>8</v>
      </c>
      <c r="N1463" s="50" t="s">
        <v>2</v>
      </c>
      <c r="O1463" s="74">
        <f>5/2</f>
        <v>2.5</v>
      </c>
      <c r="P1463" s="50">
        <v>6</v>
      </c>
      <c r="Q1463" s="74">
        <v>7.3</v>
      </c>
      <c r="R1463" s="50">
        <v>150</v>
      </c>
      <c r="S1463" s="74">
        <v>820</v>
      </c>
      <c r="T1463" s="50">
        <v>0.92</v>
      </c>
      <c r="U1463" s="74">
        <f>1/2</f>
        <v>0.5</v>
      </c>
      <c r="V1463" s="50">
        <v>0.32</v>
      </c>
      <c r="W1463" s="74">
        <v>4.7E-2</v>
      </c>
      <c r="X1463" s="50">
        <v>0.17</v>
      </c>
      <c r="Y1463" s="74">
        <v>1.7999999999999999E-2</v>
      </c>
    </row>
    <row r="1464" spans="1:35" ht="15" customHeight="1">
      <c r="A1464" s="41" t="s">
        <v>183</v>
      </c>
      <c r="B1464" s="402" t="s">
        <v>2518</v>
      </c>
      <c r="D1464" s="393" t="s">
        <v>133</v>
      </c>
      <c r="E1464" s="394" t="s">
        <v>2519</v>
      </c>
      <c r="G1464" s="405" t="s">
        <v>2520</v>
      </c>
      <c r="H1464" s="74">
        <v>4173</v>
      </c>
      <c r="J1464" s="343" t="s">
        <v>1943</v>
      </c>
      <c r="K1464" s="51">
        <v>41170</v>
      </c>
      <c r="L1464" s="173">
        <v>41160</v>
      </c>
      <c r="M1464" s="50">
        <f t="shared" si="71"/>
        <v>10</v>
      </c>
      <c r="N1464" s="50" t="s">
        <v>2</v>
      </c>
      <c r="O1464" s="74">
        <v>7.3</v>
      </c>
      <c r="P1464" s="50">
        <v>4.87</v>
      </c>
      <c r="Q1464" s="74">
        <v>6.7</v>
      </c>
      <c r="R1464" s="50">
        <v>31</v>
      </c>
      <c r="S1464" s="74">
        <v>21</v>
      </c>
      <c r="T1464" s="50">
        <v>0.1</v>
      </c>
      <c r="U1464" s="74">
        <v>0.65</v>
      </c>
      <c r="V1464" s="50">
        <v>0.18</v>
      </c>
      <c r="W1464" s="74">
        <v>0.02</v>
      </c>
      <c r="X1464" s="50">
        <v>0.14000000000000001</v>
      </c>
      <c r="Y1464" s="74">
        <v>1.4999999999999999E-2</v>
      </c>
    </row>
    <row r="1465" spans="1:35" ht="15" customHeight="1">
      <c r="A1465" s="41" t="s">
        <v>183</v>
      </c>
      <c r="B1465" s="402" t="s">
        <v>2518</v>
      </c>
      <c r="D1465" s="393" t="s">
        <v>133</v>
      </c>
      <c r="E1465" s="394" t="s">
        <v>2519</v>
      </c>
      <c r="G1465" s="405" t="s">
        <v>2520</v>
      </c>
      <c r="H1465" s="74">
        <v>4173</v>
      </c>
      <c r="J1465" s="343" t="s">
        <v>425</v>
      </c>
      <c r="K1465" s="51">
        <v>41170</v>
      </c>
      <c r="L1465" s="173">
        <v>41160</v>
      </c>
      <c r="M1465" s="50">
        <f t="shared" si="71"/>
        <v>10</v>
      </c>
      <c r="N1465" s="50" t="s">
        <v>2</v>
      </c>
      <c r="O1465" s="74">
        <f>0.5/2</f>
        <v>0.25</v>
      </c>
      <c r="P1465" s="50">
        <v>4.87</v>
      </c>
      <c r="Q1465" s="74">
        <v>6.6</v>
      </c>
      <c r="R1465" s="50">
        <v>44</v>
      </c>
      <c r="S1465" s="74">
        <v>20</v>
      </c>
      <c r="T1465" s="50">
        <v>0.437</v>
      </c>
      <c r="U1465" s="74">
        <v>2.08</v>
      </c>
      <c r="V1465" s="50">
        <f>0.05/2</f>
        <v>2.5000000000000001E-2</v>
      </c>
      <c r="W1465" s="74">
        <v>0.02</v>
      </c>
      <c r="X1465" s="50">
        <v>0.14000000000000001</v>
      </c>
      <c r="Y1465" s="74">
        <v>1.0999999999999999E-2</v>
      </c>
    </row>
    <row r="1466" spans="1:35" ht="15" customHeight="1">
      <c r="A1466" s="41" t="s">
        <v>183</v>
      </c>
      <c r="B1466" s="402" t="s">
        <v>2518</v>
      </c>
      <c r="C1466" s="113" t="s">
        <v>4709</v>
      </c>
      <c r="D1466" s="393" t="s">
        <v>1896</v>
      </c>
      <c r="E1466" s="394" t="s">
        <v>4710</v>
      </c>
      <c r="G1466" s="405" t="s">
        <v>4711</v>
      </c>
      <c r="H1466" s="74">
        <v>4173</v>
      </c>
      <c r="J1466" s="339" t="s">
        <v>1119</v>
      </c>
      <c r="K1466" s="51">
        <v>41170</v>
      </c>
      <c r="L1466" s="173">
        <v>41160</v>
      </c>
      <c r="M1466" s="50">
        <f t="shared" si="71"/>
        <v>10</v>
      </c>
      <c r="N1466" s="50" t="s">
        <v>2</v>
      </c>
      <c r="O1466" s="74">
        <v>1.5</v>
      </c>
      <c r="P1466" s="50">
        <v>4.87</v>
      </c>
      <c r="Q1466" s="74">
        <v>6.7</v>
      </c>
      <c r="R1466" s="50">
        <v>97</v>
      </c>
      <c r="S1466" s="74">
        <v>15</v>
      </c>
      <c r="T1466" s="50">
        <v>2.1999999999999999E-2</v>
      </c>
      <c r="U1466" s="74">
        <v>1.31</v>
      </c>
      <c r="V1466" s="50">
        <f>0.05/2</f>
        <v>2.5000000000000001E-2</v>
      </c>
      <c r="W1466" s="74">
        <v>0.06</v>
      </c>
      <c r="X1466" s="50">
        <v>0.25</v>
      </c>
      <c r="Y1466" s="74">
        <v>1.4999999999999999E-2</v>
      </c>
    </row>
    <row r="1467" spans="1:35" ht="15" customHeight="1">
      <c r="A1467" s="41" t="s">
        <v>183</v>
      </c>
      <c r="B1467" s="402" t="s">
        <v>1220</v>
      </c>
      <c r="C1467" s="113" t="s">
        <v>1242</v>
      </c>
      <c r="D1467" s="393" t="s">
        <v>133</v>
      </c>
      <c r="E1467" s="394" t="s">
        <v>1244</v>
      </c>
      <c r="F1467" s="402" t="s">
        <v>1245</v>
      </c>
      <c r="G1467" s="405" t="s">
        <v>1246</v>
      </c>
      <c r="H1467" s="74">
        <v>4173</v>
      </c>
      <c r="I1467" s="50" t="s">
        <v>2</v>
      </c>
      <c r="J1467" s="339" t="s">
        <v>1223</v>
      </c>
      <c r="K1467" s="51">
        <v>41345</v>
      </c>
      <c r="L1467" s="173">
        <v>41341</v>
      </c>
      <c r="M1467" s="50">
        <f t="shared" si="71"/>
        <v>4</v>
      </c>
      <c r="N1467" s="50" t="s">
        <v>2</v>
      </c>
      <c r="O1467" s="74">
        <f>1.3/2</f>
        <v>0.65</v>
      </c>
      <c r="P1467" s="50">
        <v>3.29</v>
      </c>
      <c r="Q1467" s="74">
        <v>7.07</v>
      </c>
      <c r="R1467" s="50">
        <v>103</v>
      </c>
      <c r="S1467" s="74">
        <v>325</v>
      </c>
      <c r="T1467" s="50">
        <v>0.31</v>
      </c>
      <c r="U1467" s="74">
        <f>3.8/2</f>
        <v>1.9</v>
      </c>
      <c r="V1467" s="50">
        <v>0.27</v>
      </c>
      <c r="W1467" s="74">
        <v>6.6000000000000003E-2</v>
      </c>
      <c r="X1467" s="50">
        <v>0.79</v>
      </c>
      <c r="Y1467" s="74">
        <v>3.5000000000000003E-2</v>
      </c>
      <c r="Z1467" s="271">
        <v>1</v>
      </c>
      <c r="AA1467" s="271">
        <v>1</v>
      </c>
      <c r="AB1467" s="114">
        <v>74</v>
      </c>
      <c r="AC1467" s="50">
        <v>4500</v>
      </c>
      <c r="AD1467" s="271">
        <v>1</v>
      </c>
    </row>
    <row r="1468" spans="1:35" ht="15" customHeight="1">
      <c r="A1468" s="41" t="s">
        <v>183</v>
      </c>
      <c r="B1468" s="402" t="s">
        <v>1220</v>
      </c>
      <c r="C1468" s="113" t="s">
        <v>1242</v>
      </c>
      <c r="D1468" s="393" t="s">
        <v>133</v>
      </c>
      <c r="E1468" s="394" t="s">
        <v>1244</v>
      </c>
      <c r="F1468" s="402" t="s">
        <v>1245</v>
      </c>
      <c r="G1468" s="405" t="s">
        <v>1246</v>
      </c>
      <c r="H1468" s="74">
        <v>4173</v>
      </c>
      <c r="I1468" s="50" t="s">
        <v>2</v>
      </c>
      <c r="J1468" s="339" t="s">
        <v>1224</v>
      </c>
      <c r="K1468" s="51">
        <v>41345</v>
      </c>
      <c r="L1468" s="173">
        <v>41341</v>
      </c>
      <c r="M1468" s="50">
        <f t="shared" si="71"/>
        <v>4</v>
      </c>
      <c r="N1468" s="50" t="s">
        <v>2</v>
      </c>
      <c r="O1468" s="74">
        <v>2.2999999999999998</v>
      </c>
      <c r="P1468" s="50">
        <v>3.29</v>
      </c>
      <c r="Q1468" s="74">
        <v>7.25</v>
      </c>
      <c r="R1468" s="50">
        <v>50.5</v>
      </c>
      <c r="S1468" s="74">
        <v>451</v>
      </c>
      <c r="T1468" s="50">
        <v>0.4</v>
      </c>
      <c r="U1468" s="74">
        <v>4.0999999999999996</v>
      </c>
      <c r="V1468" s="50">
        <v>0.22</v>
      </c>
      <c r="W1468" s="74">
        <v>9.1999999999999998E-2</v>
      </c>
      <c r="X1468" s="50">
        <v>0.88</v>
      </c>
      <c r="Y1468" s="74">
        <v>0.04</v>
      </c>
      <c r="Z1468" s="271">
        <v>1</v>
      </c>
      <c r="AA1468" s="271">
        <v>1</v>
      </c>
      <c r="AB1468" s="114">
        <v>36</v>
      </c>
      <c r="AC1468" s="50">
        <v>769</v>
      </c>
      <c r="AD1468" s="271">
        <v>0.75</v>
      </c>
    </row>
    <row r="1469" spans="1:35" ht="15" customHeight="1">
      <c r="A1469" s="41" t="s">
        <v>183</v>
      </c>
      <c r="B1469" s="402" t="s">
        <v>1220</v>
      </c>
      <c r="C1469" s="113" t="s">
        <v>1242</v>
      </c>
      <c r="D1469" s="393" t="s">
        <v>133</v>
      </c>
      <c r="E1469" s="394" t="s">
        <v>1244</v>
      </c>
      <c r="F1469" s="402" t="s">
        <v>1245</v>
      </c>
      <c r="G1469" s="405" t="s">
        <v>1246</v>
      </c>
      <c r="H1469" s="74">
        <v>4173</v>
      </c>
      <c r="I1469" s="50" t="s">
        <v>2</v>
      </c>
      <c r="J1469" s="339" t="s">
        <v>1228</v>
      </c>
      <c r="K1469" s="51">
        <v>41345</v>
      </c>
      <c r="L1469" s="173">
        <v>41341</v>
      </c>
      <c r="M1469" s="50">
        <f t="shared" si="71"/>
        <v>4</v>
      </c>
      <c r="N1469" s="50" t="s">
        <v>2</v>
      </c>
      <c r="O1469" s="74">
        <f>1.3/2</f>
        <v>0.65</v>
      </c>
      <c r="P1469" s="50">
        <v>3.29</v>
      </c>
      <c r="Q1469" s="74">
        <v>7.42</v>
      </c>
      <c r="R1469" s="50">
        <v>19</v>
      </c>
      <c r="S1469" s="74">
        <v>46.8</v>
      </c>
      <c r="T1469" s="50">
        <v>8.5000000000000006E-2</v>
      </c>
      <c r="U1469" s="74">
        <v>0.49</v>
      </c>
      <c r="V1469" s="50">
        <v>0.45</v>
      </c>
      <c r="W1469" s="74">
        <v>1.2999999999999999E-2</v>
      </c>
      <c r="X1469" s="50">
        <v>4.8000000000000001E-2</v>
      </c>
      <c r="Y1469" s="74">
        <f>0.003/2</f>
        <v>1.5E-3</v>
      </c>
      <c r="Z1469" s="271">
        <v>1</v>
      </c>
      <c r="AA1469" s="271">
        <v>1</v>
      </c>
      <c r="AB1469" s="114">
        <v>16</v>
      </c>
      <c r="AC1469" s="50">
        <v>222</v>
      </c>
      <c r="AD1469" s="271">
        <v>1</v>
      </c>
    </row>
    <row r="1470" spans="1:35" ht="15" customHeight="1">
      <c r="A1470" s="41" t="s">
        <v>183</v>
      </c>
      <c r="B1470" s="402" t="s">
        <v>1220</v>
      </c>
      <c r="C1470" s="113" t="s">
        <v>1242</v>
      </c>
      <c r="D1470" s="393" t="s">
        <v>133</v>
      </c>
      <c r="E1470" s="394" t="s">
        <v>1244</v>
      </c>
      <c r="F1470" s="402" t="s">
        <v>1245</v>
      </c>
      <c r="G1470" s="405" t="s">
        <v>1246</v>
      </c>
      <c r="H1470" s="74">
        <v>4173</v>
      </c>
      <c r="I1470" s="50" t="s">
        <v>2</v>
      </c>
      <c r="J1470" s="339" t="s">
        <v>1248</v>
      </c>
      <c r="K1470" s="51">
        <v>41345</v>
      </c>
      <c r="L1470" s="173">
        <v>41341</v>
      </c>
      <c r="M1470" s="50">
        <f t="shared" si="71"/>
        <v>4</v>
      </c>
      <c r="N1470" s="50" t="s">
        <v>2</v>
      </c>
      <c r="O1470" s="74">
        <v>2.5</v>
      </c>
      <c r="P1470" s="50">
        <v>3.29</v>
      </c>
      <c r="Q1470" s="74">
        <v>7.46</v>
      </c>
      <c r="R1470" s="50">
        <v>14.2</v>
      </c>
      <c r="S1470" s="74">
        <v>34</v>
      </c>
      <c r="T1470" s="50">
        <v>0.1</v>
      </c>
      <c r="U1470" s="74">
        <v>0.42</v>
      </c>
      <c r="V1470" s="50">
        <v>4.9000000000000002E-2</v>
      </c>
      <c r="W1470" s="74">
        <v>1.2999999999999999E-2</v>
      </c>
      <c r="X1470" s="50">
        <v>4.7E-2</v>
      </c>
      <c r="Y1470" s="74">
        <v>1.5E-3</v>
      </c>
      <c r="Z1470" s="271">
        <v>1</v>
      </c>
      <c r="AA1470" s="271">
        <v>1</v>
      </c>
      <c r="AB1470" s="114">
        <v>40</v>
      </c>
      <c r="AC1470" s="50">
        <v>950</v>
      </c>
      <c r="AD1470" s="271">
        <v>1</v>
      </c>
    </row>
    <row r="1471" spans="1:35" ht="15" customHeight="1">
      <c r="A1471" s="41" t="s">
        <v>183</v>
      </c>
      <c r="B1471" s="402" t="s">
        <v>1220</v>
      </c>
      <c r="C1471" s="113" t="s">
        <v>1292</v>
      </c>
      <c r="D1471" s="393" t="s">
        <v>2372</v>
      </c>
      <c r="E1471" s="394" t="s">
        <v>1293</v>
      </c>
      <c r="G1471" s="405" t="s">
        <v>1294</v>
      </c>
      <c r="H1471" s="49">
        <v>4215</v>
      </c>
      <c r="I1471" s="50" t="s">
        <v>2</v>
      </c>
      <c r="J1471" s="76" t="s">
        <v>1295</v>
      </c>
      <c r="K1471" s="51">
        <v>41345</v>
      </c>
      <c r="L1471" s="173">
        <v>41341</v>
      </c>
      <c r="M1471" s="50">
        <f t="shared" si="71"/>
        <v>4</v>
      </c>
      <c r="N1471" s="50" t="s">
        <v>2</v>
      </c>
      <c r="O1471" s="74">
        <f>1.3/2</f>
        <v>0.65</v>
      </c>
      <c r="P1471" s="50">
        <v>7.1</v>
      </c>
      <c r="Q1471" s="74">
        <v>6.98</v>
      </c>
      <c r="R1471" s="50">
        <v>8.5</v>
      </c>
      <c r="S1471" s="74">
        <f>4/2</f>
        <v>2</v>
      </c>
      <c r="T1471" s="50">
        <f>0.005/2</f>
        <v>2.5000000000000001E-3</v>
      </c>
      <c r="U1471" s="74">
        <v>0.4</v>
      </c>
      <c r="V1471" s="50">
        <v>3.8</v>
      </c>
      <c r="W1471" s="74">
        <v>4.1000000000000003E-3</v>
      </c>
      <c r="X1471" s="50">
        <v>3.3000000000000002E-2</v>
      </c>
      <c r="Y1471" s="74">
        <f>0.033/2</f>
        <v>1.6500000000000001E-2</v>
      </c>
      <c r="Z1471" s="271">
        <v>1</v>
      </c>
      <c r="AA1471" s="271">
        <v>1</v>
      </c>
      <c r="AB1471" s="114">
        <v>98</v>
      </c>
      <c r="AC1471" s="50">
        <v>333</v>
      </c>
      <c r="AD1471" s="271">
        <v>1</v>
      </c>
    </row>
    <row r="1472" spans="1:35" ht="15" customHeight="1">
      <c r="A1472" s="41" t="s">
        <v>183</v>
      </c>
      <c r="B1472" s="402" t="s">
        <v>1220</v>
      </c>
      <c r="C1472" s="113" t="s">
        <v>1292</v>
      </c>
      <c r="D1472" s="393" t="s">
        <v>2372</v>
      </c>
      <c r="E1472" s="394" t="s">
        <v>1293</v>
      </c>
      <c r="G1472" s="405" t="s">
        <v>1294</v>
      </c>
      <c r="H1472" s="49">
        <v>4215</v>
      </c>
      <c r="I1472" s="50" t="s">
        <v>2</v>
      </c>
      <c r="J1472" s="76" t="s">
        <v>1224</v>
      </c>
      <c r="K1472" s="51">
        <v>41345</v>
      </c>
      <c r="L1472" s="173">
        <v>41341</v>
      </c>
      <c r="M1472" s="50">
        <f t="shared" si="71"/>
        <v>4</v>
      </c>
      <c r="N1472" s="50" t="s">
        <v>2</v>
      </c>
      <c r="O1472" s="74">
        <f>1.3/2</f>
        <v>0.65</v>
      </c>
      <c r="P1472" s="50">
        <v>7.1</v>
      </c>
      <c r="Q1472" s="74">
        <v>7.16</v>
      </c>
      <c r="R1472" s="50">
        <v>16.399999999999999</v>
      </c>
      <c r="S1472" s="74">
        <v>10.4</v>
      </c>
      <c r="T1472" s="50">
        <f>0.005/2</f>
        <v>2.5000000000000001E-3</v>
      </c>
      <c r="U1472" s="74">
        <v>2.1</v>
      </c>
      <c r="V1472" s="50">
        <v>0.46</v>
      </c>
      <c r="W1472" s="74">
        <v>0.01</v>
      </c>
      <c r="X1472" s="50">
        <v>4.1000000000000002E-2</v>
      </c>
      <c r="Y1472" s="74">
        <f>0.003/2</f>
        <v>1.5E-3</v>
      </c>
      <c r="Z1472" s="271">
        <v>1</v>
      </c>
      <c r="AA1472" s="271">
        <v>1</v>
      </c>
      <c r="AB1472" s="114">
        <v>24</v>
      </c>
      <c r="AC1472" s="50">
        <v>204</v>
      </c>
      <c r="AD1472" s="271">
        <v>0.95</v>
      </c>
    </row>
    <row r="1473" spans="1:30" ht="15" customHeight="1">
      <c r="A1473" s="41" t="s">
        <v>183</v>
      </c>
      <c r="B1473" s="402" t="s">
        <v>1220</v>
      </c>
      <c r="C1473" s="113" t="s">
        <v>1229</v>
      </c>
      <c r="D1473" s="393" t="s">
        <v>338</v>
      </c>
      <c r="E1473" s="394" t="s">
        <v>1249</v>
      </c>
      <c r="F1473" s="402" t="s">
        <v>1250</v>
      </c>
      <c r="G1473" s="405" t="s">
        <v>1251</v>
      </c>
      <c r="H1473" s="49">
        <v>4215</v>
      </c>
      <c r="I1473" s="50" t="s">
        <v>2</v>
      </c>
      <c r="J1473" s="76" t="s">
        <v>1223</v>
      </c>
      <c r="K1473" s="51">
        <v>41170</v>
      </c>
      <c r="L1473" s="173">
        <v>41160</v>
      </c>
      <c r="M1473" s="50">
        <f t="shared" si="71"/>
        <v>10</v>
      </c>
      <c r="N1473" s="50" t="s">
        <v>2</v>
      </c>
      <c r="O1473" s="74">
        <v>0.7</v>
      </c>
      <c r="P1473" s="50">
        <v>7.62</v>
      </c>
      <c r="Q1473" s="74">
        <v>7.52</v>
      </c>
      <c r="R1473" s="50">
        <f>5/2</f>
        <v>2.5</v>
      </c>
      <c r="S1473" s="74">
        <v>6.8</v>
      </c>
      <c r="T1473" s="50">
        <f>0.005/2</f>
        <v>2.5000000000000001E-3</v>
      </c>
      <c r="U1473" s="74">
        <v>0.96</v>
      </c>
      <c r="V1473" s="50">
        <v>0.47</v>
      </c>
      <c r="W1473" s="74">
        <f>0.016/2</f>
        <v>8.0000000000000002E-3</v>
      </c>
      <c r="X1473" s="50">
        <v>3.0999999999999999E-3</v>
      </c>
      <c r="Y1473" s="74">
        <f>0.003/2</f>
        <v>1.5E-3</v>
      </c>
    </row>
    <row r="1474" spans="1:30" ht="15" customHeight="1">
      <c r="A1474" s="41" t="s">
        <v>183</v>
      </c>
      <c r="B1474" s="402" t="s">
        <v>1220</v>
      </c>
      <c r="C1474" s="113" t="s">
        <v>1229</v>
      </c>
      <c r="D1474" s="393" t="s">
        <v>338</v>
      </c>
      <c r="E1474" s="394" t="s">
        <v>1249</v>
      </c>
      <c r="F1474" s="402" t="s">
        <v>1250</v>
      </c>
      <c r="G1474" s="405" t="s">
        <v>1251</v>
      </c>
      <c r="H1474" s="49">
        <v>4215</v>
      </c>
      <c r="I1474" s="50" t="s">
        <v>2</v>
      </c>
      <c r="J1474" s="76" t="s">
        <v>1223</v>
      </c>
      <c r="K1474" s="51">
        <v>41345</v>
      </c>
      <c r="L1474" s="173">
        <v>41341</v>
      </c>
      <c r="M1474" s="50">
        <f t="shared" si="71"/>
        <v>4</v>
      </c>
      <c r="N1474" s="50" t="s">
        <v>2</v>
      </c>
      <c r="O1474" s="74">
        <f>1.3/2</f>
        <v>0.65</v>
      </c>
      <c r="P1474" s="50">
        <v>7.23</v>
      </c>
      <c r="Q1474" s="74">
        <v>7.52</v>
      </c>
      <c r="R1474" s="50">
        <v>18.600000000000001</v>
      </c>
      <c r="S1474" s="74">
        <v>18</v>
      </c>
      <c r="T1474" s="50">
        <f>0.005/2</f>
        <v>2.5000000000000001E-3</v>
      </c>
      <c r="U1474" s="74">
        <v>0.26</v>
      </c>
      <c r="V1474" s="50">
        <v>0.28999999999999998</v>
      </c>
      <c r="W1474" s="74">
        <v>9.4000000000000004E-3</v>
      </c>
      <c r="X1474" s="50">
        <v>4.5999999999999999E-2</v>
      </c>
      <c r="Y1474" s="74">
        <f>0.003/2</f>
        <v>1.5E-3</v>
      </c>
      <c r="Z1474" s="271">
        <v>1</v>
      </c>
      <c r="AA1474" s="271">
        <v>1</v>
      </c>
      <c r="AB1474" s="114">
        <v>40</v>
      </c>
      <c r="AC1474" s="50">
        <v>950</v>
      </c>
      <c r="AD1474" s="271">
        <v>1</v>
      </c>
    </row>
    <row r="1475" spans="1:30" ht="15" customHeight="1">
      <c r="A1475" s="41" t="s">
        <v>183</v>
      </c>
      <c r="B1475" s="402" t="s">
        <v>1220</v>
      </c>
      <c r="C1475" s="113" t="s">
        <v>1232</v>
      </c>
      <c r="D1475" s="393" t="s">
        <v>434</v>
      </c>
      <c r="E1475" s="394" t="s">
        <v>1233</v>
      </c>
      <c r="G1475" s="405" t="s">
        <v>1234</v>
      </c>
      <c r="H1475" s="49">
        <v>4215</v>
      </c>
      <c r="I1475" s="50" t="s">
        <v>2</v>
      </c>
      <c r="J1475" s="76" t="s">
        <v>1223</v>
      </c>
      <c r="K1475" s="51">
        <v>41345</v>
      </c>
      <c r="L1475" s="173">
        <v>41341</v>
      </c>
      <c r="M1475" s="50">
        <f t="shared" si="71"/>
        <v>4</v>
      </c>
      <c r="N1475" s="50" t="s">
        <v>2</v>
      </c>
      <c r="O1475" s="74">
        <f>1.3/2</f>
        <v>0.65</v>
      </c>
      <c r="P1475" s="50">
        <v>6.2</v>
      </c>
      <c r="Q1475" s="74">
        <v>7.63</v>
      </c>
      <c r="R1475" s="50">
        <v>18</v>
      </c>
      <c r="S1475" s="74">
        <v>137</v>
      </c>
      <c r="T1475" s="50">
        <v>9.1999999999999998E-2</v>
      </c>
      <c r="U1475" s="74">
        <v>7</v>
      </c>
      <c r="V1475" s="50">
        <v>0.19</v>
      </c>
      <c r="W1475" s="74">
        <v>3.1E-2</v>
      </c>
      <c r="X1475" s="50">
        <v>0.23</v>
      </c>
      <c r="Y1475" s="74">
        <v>1.4999999999999999E-2</v>
      </c>
      <c r="Z1475" s="271">
        <v>1</v>
      </c>
      <c r="AA1475" s="271">
        <v>1</v>
      </c>
      <c r="AB1475" s="114">
        <v>18</v>
      </c>
      <c r="AC1475" s="50">
        <v>500</v>
      </c>
      <c r="AD1475" s="271">
        <v>1</v>
      </c>
    </row>
    <row r="1476" spans="1:30" ht="15" customHeight="1">
      <c r="A1476" s="41" t="s">
        <v>183</v>
      </c>
      <c r="B1476" s="402" t="s">
        <v>1220</v>
      </c>
      <c r="C1476" s="113" t="s">
        <v>1232</v>
      </c>
      <c r="D1476" s="393" t="s">
        <v>434</v>
      </c>
      <c r="E1476" s="394" t="s">
        <v>1233</v>
      </c>
      <c r="G1476" s="405" t="s">
        <v>1234</v>
      </c>
      <c r="H1476" s="49">
        <v>4215</v>
      </c>
      <c r="I1476" s="50" t="s">
        <v>2</v>
      </c>
      <c r="J1476" s="76" t="s">
        <v>1224</v>
      </c>
      <c r="K1476" s="51">
        <v>41345</v>
      </c>
      <c r="L1476" s="173">
        <v>41341</v>
      </c>
      <c r="M1476" s="50">
        <f t="shared" si="71"/>
        <v>4</v>
      </c>
      <c r="N1476" s="50" t="s">
        <v>2</v>
      </c>
      <c r="O1476" s="74">
        <f>1.3/2</f>
        <v>0.65</v>
      </c>
      <c r="P1476" s="50">
        <v>6.2</v>
      </c>
      <c r="Q1476" s="74">
        <v>7.41</v>
      </c>
      <c r="R1476" s="50">
        <v>16.8</v>
      </c>
      <c r="S1476" s="74">
        <v>99.6</v>
      </c>
      <c r="T1476" s="50">
        <v>7.4999999999999997E-2</v>
      </c>
      <c r="U1476" s="74">
        <v>3.2</v>
      </c>
      <c r="V1476" s="50">
        <v>0.18</v>
      </c>
      <c r="W1476" s="74">
        <v>2.4E-2</v>
      </c>
      <c r="X1476" s="50">
        <v>0.28999999999999998</v>
      </c>
      <c r="Y1476" s="74">
        <v>0.01</v>
      </c>
      <c r="Z1476" s="271">
        <v>1</v>
      </c>
      <c r="AA1476" s="271">
        <v>1</v>
      </c>
      <c r="AB1476" s="114">
        <v>226</v>
      </c>
      <c r="AC1476" s="50">
        <v>2670</v>
      </c>
      <c r="AD1476" s="271">
        <v>1</v>
      </c>
    </row>
    <row r="1477" spans="1:30" ht="15" customHeight="1">
      <c r="A1477" s="41" t="s">
        <v>183</v>
      </c>
      <c r="B1477" s="402" t="s">
        <v>1220</v>
      </c>
      <c r="C1477" s="113" t="s">
        <v>1221</v>
      </c>
      <c r="D1477" s="393" t="s">
        <v>684</v>
      </c>
      <c r="E1477" s="394" t="s">
        <v>112</v>
      </c>
      <c r="G1477" s="405" t="s">
        <v>1222</v>
      </c>
      <c r="H1477" s="49">
        <v>4215</v>
      </c>
      <c r="I1477" s="50" t="s">
        <v>2</v>
      </c>
      <c r="J1477" s="76" t="s">
        <v>1223</v>
      </c>
      <c r="K1477" s="51">
        <v>41345</v>
      </c>
      <c r="L1477" s="173">
        <v>41341</v>
      </c>
      <c r="M1477" s="50">
        <f t="shared" si="71"/>
        <v>4</v>
      </c>
      <c r="N1477" s="50" t="s">
        <v>2</v>
      </c>
      <c r="O1477" s="74">
        <f>1.3/2</f>
        <v>0.65</v>
      </c>
      <c r="P1477" s="50">
        <v>6.68</v>
      </c>
      <c r="Q1477" s="74">
        <v>6.11</v>
      </c>
      <c r="R1477" s="50">
        <v>328</v>
      </c>
      <c r="S1477" s="74">
        <v>354</v>
      </c>
      <c r="T1477" s="50">
        <v>0.31</v>
      </c>
      <c r="U1477" s="74">
        <v>7.5</v>
      </c>
      <c r="V1477" s="50">
        <v>1.4</v>
      </c>
      <c r="W1477" s="74">
        <v>0.1</v>
      </c>
      <c r="X1477" s="50">
        <v>1.9</v>
      </c>
      <c r="Y1477" s="74">
        <v>3.2000000000000001E-2</v>
      </c>
      <c r="Z1477" s="271">
        <v>1</v>
      </c>
      <c r="AA1477" s="271">
        <v>0.53600000000000003</v>
      </c>
      <c r="AB1477" s="114">
        <v>200</v>
      </c>
      <c r="AC1477" s="50">
        <v>8110</v>
      </c>
      <c r="AD1477" s="271">
        <v>0</v>
      </c>
    </row>
    <row r="1478" spans="1:30" ht="15" customHeight="1">
      <c r="A1478" s="41" t="s">
        <v>183</v>
      </c>
      <c r="B1478" s="402" t="s">
        <v>1220</v>
      </c>
      <c r="C1478" s="113" t="s">
        <v>1221</v>
      </c>
      <c r="D1478" s="393" t="s">
        <v>684</v>
      </c>
      <c r="E1478" s="394" t="s">
        <v>112</v>
      </c>
      <c r="G1478" s="405" t="s">
        <v>1222</v>
      </c>
      <c r="H1478" s="49">
        <v>4215</v>
      </c>
      <c r="I1478" s="50" t="s">
        <v>2</v>
      </c>
      <c r="J1478" s="76" t="s">
        <v>1224</v>
      </c>
      <c r="K1478" s="51">
        <v>41345</v>
      </c>
      <c r="L1478" s="173">
        <v>41341</v>
      </c>
      <c r="M1478" s="50">
        <f t="shared" si="71"/>
        <v>4</v>
      </c>
      <c r="N1478" s="50" t="s">
        <v>2</v>
      </c>
      <c r="O1478" s="74">
        <f>1.3/2</f>
        <v>0.65</v>
      </c>
      <c r="P1478" s="50">
        <v>6.68</v>
      </c>
      <c r="Q1478" s="74">
        <v>6.83</v>
      </c>
      <c r="R1478" s="50">
        <v>23.4</v>
      </c>
      <c r="S1478" s="74">
        <v>314</v>
      </c>
      <c r="T1478" s="50">
        <v>0.12</v>
      </c>
      <c r="U1478" s="74">
        <v>3.8</v>
      </c>
      <c r="V1478" s="50">
        <v>0.38</v>
      </c>
      <c r="W1478" s="74">
        <v>4.5999999999999999E-2</v>
      </c>
      <c r="X1478" s="50">
        <v>0.28999999999999998</v>
      </c>
      <c r="Y1478" s="74">
        <v>1.7999999999999999E-2</v>
      </c>
      <c r="Z1478" s="271">
        <v>1</v>
      </c>
      <c r="AA1478" s="271">
        <v>1</v>
      </c>
      <c r="AB1478" s="114">
        <v>20</v>
      </c>
      <c r="AC1478" s="50">
        <v>333</v>
      </c>
      <c r="AD1478" s="271">
        <v>1</v>
      </c>
    </row>
    <row r="1479" spans="1:30" ht="15" customHeight="1">
      <c r="A1479" s="41" t="s">
        <v>183</v>
      </c>
      <c r="B1479" s="402" t="s">
        <v>4712</v>
      </c>
      <c r="D1479" s="393" t="s">
        <v>209</v>
      </c>
      <c r="E1479" s="394" t="s">
        <v>4713</v>
      </c>
      <c r="G1479" s="405" t="s">
        <v>4747</v>
      </c>
      <c r="H1479" s="74">
        <v>2813</v>
      </c>
      <c r="I1479" s="50" t="s">
        <v>2</v>
      </c>
      <c r="J1479" s="339" t="s">
        <v>510</v>
      </c>
      <c r="K1479" s="51">
        <v>41180</v>
      </c>
      <c r="L1479" s="173">
        <v>41174</v>
      </c>
      <c r="M1479" s="50">
        <f t="shared" si="71"/>
        <v>6</v>
      </c>
      <c r="N1479" s="50" t="s">
        <v>2</v>
      </c>
      <c r="O1479" s="74">
        <f>2/2</f>
        <v>1</v>
      </c>
      <c r="P1479" s="50">
        <v>7.41</v>
      </c>
      <c r="Q1479" s="74">
        <v>5.96</v>
      </c>
      <c r="R1479" s="50">
        <f>10/2</f>
        <v>5</v>
      </c>
      <c r="S1479" s="74">
        <v>4</v>
      </c>
      <c r="T1479" s="50">
        <f>0.05/2</f>
        <v>2.5000000000000001E-2</v>
      </c>
      <c r="U1479" s="74">
        <v>0.65</v>
      </c>
      <c r="V1479" s="50">
        <v>0.82</v>
      </c>
      <c r="W1479" s="74">
        <f>0.01/2</f>
        <v>5.0000000000000001E-3</v>
      </c>
      <c r="X1479" s="50">
        <v>4.5999999999999999E-2</v>
      </c>
      <c r="Y1479" s="74">
        <f>0.03/2</f>
        <v>1.4999999999999999E-2</v>
      </c>
      <c r="Z1479" s="271">
        <v>1</v>
      </c>
      <c r="AA1479" s="271">
        <v>1</v>
      </c>
      <c r="AB1479" s="114">
        <v>7</v>
      </c>
      <c r="AC1479" s="50">
        <v>57</v>
      </c>
      <c r="AD1479" s="271">
        <v>0.95</v>
      </c>
    </row>
    <row r="1480" spans="1:30" ht="15" customHeight="1">
      <c r="A1480" s="41" t="s">
        <v>183</v>
      </c>
      <c r="B1480" s="402" t="s">
        <v>1220</v>
      </c>
      <c r="C1480" s="113" t="s">
        <v>1225</v>
      </c>
      <c r="D1480" s="393" t="s">
        <v>1537</v>
      </c>
      <c r="E1480" s="394" t="s">
        <v>1226</v>
      </c>
      <c r="G1480" s="405" t="s">
        <v>1227</v>
      </c>
      <c r="H1480" s="49">
        <v>4215</v>
      </c>
      <c r="I1480" s="50" t="s">
        <v>2</v>
      </c>
      <c r="J1480" s="76" t="s">
        <v>1223</v>
      </c>
      <c r="K1480" s="51">
        <v>41131</v>
      </c>
      <c r="L1480" s="173">
        <v>41126</v>
      </c>
      <c r="M1480" s="50">
        <f t="shared" si="71"/>
        <v>5</v>
      </c>
      <c r="N1480" s="50" t="s">
        <v>2</v>
      </c>
      <c r="O1480" s="74">
        <f>1.4/2</f>
        <v>0.7</v>
      </c>
      <c r="P1480" s="50">
        <v>6.24</v>
      </c>
      <c r="Q1480" s="74">
        <v>6.3</v>
      </c>
      <c r="R1480" s="50">
        <v>127</v>
      </c>
      <c r="S1480" s="74">
        <v>341</v>
      </c>
      <c r="T1480" s="50">
        <v>0.28000000000000003</v>
      </c>
      <c r="U1480" s="74">
        <v>1.8</v>
      </c>
      <c r="V1480" s="50">
        <v>0.94</v>
      </c>
      <c r="W1480" s="74">
        <v>6.7000000000000004E-2</v>
      </c>
      <c r="X1480" s="50">
        <v>0.45</v>
      </c>
      <c r="Y1480" s="74">
        <v>2.9000000000000001E-2</v>
      </c>
    </row>
    <row r="1481" spans="1:30" ht="15" customHeight="1">
      <c r="A1481" s="41" t="s">
        <v>183</v>
      </c>
      <c r="B1481" s="402" t="s">
        <v>1220</v>
      </c>
      <c r="C1481" s="113" t="s">
        <v>1225</v>
      </c>
      <c r="D1481" s="393" t="s">
        <v>1537</v>
      </c>
      <c r="E1481" s="394" t="s">
        <v>1226</v>
      </c>
      <c r="G1481" s="405" t="s">
        <v>1227</v>
      </c>
      <c r="H1481" s="49">
        <v>4215</v>
      </c>
      <c r="I1481" s="50" t="s">
        <v>2</v>
      </c>
      <c r="J1481" s="76" t="s">
        <v>1224</v>
      </c>
      <c r="K1481" s="51">
        <v>41131</v>
      </c>
      <c r="L1481" s="173">
        <v>41126</v>
      </c>
      <c r="M1481" s="50">
        <f t="shared" si="71"/>
        <v>5</v>
      </c>
      <c r="N1481" s="50" t="s">
        <v>2</v>
      </c>
      <c r="O1481" s="74">
        <f>1.4/2</f>
        <v>0.7</v>
      </c>
      <c r="P1481" s="50">
        <v>6.24</v>
      </c>
      <c r="Q1481" s="74">
        <v>6.68</v>
      </c>
      <c r="R1481" s="50">
        <v>82.1</v>
      </c>
      <c r="S1481" s="74">
        <v>83.2</v>
      </c>
      <c r="T1481" s="50">
        <v>0.23</v>
      </c>
      <c r="U1481" s="74">
        <v>1.7</v>
      </c>
      <c r="V1481" s="50">
        <v>0.77</v>
      </c>
      <c r="W1481" s="74">
        <v>3.7999999999999999E-2</v>
      </c>
      <c r="X1481" s="50">
        <v>0.18</v>
      </c>
      <c r="Y1481" s="74">
        <v>0.01</v>
      </c>
    </row>
    <row r="1482" spans="1:30" ht="15" customHeight="1">
      <c r="A1482" s="41" t="s">
        <v>183</v>
      </c>
      <c r="B1482" s="402" t="s">
        <v>1220</v>
      </c>
      <c r="C1482" s="113" t="s">
        <v>1225</v>
      </c>
      <c r="D1482" s="393" t="s">
        <v>1537</v>
      </c>
      <c r="E1482" s="394" t="s">
        <v>1226</v>
      </c>
      <c r="G1482" s="405" t="s">
        <v>1227</v>
      </c>
      <c r="H1482" s="49">
        <v>4215</v>
      </c>
      <c r="I1482" s="50" t="s">
        <v>2</v>
      </c>
      <c r="J1482" s="76" t="s">
        <v>1228</v>
      </c>
      <c r="K1482" s="51">
        <v>41131</v>
      </c>
      <c r="L1482" s="173">
        <v>41126</v>
      </c>
      <c r="M1482" s="50">
        <f t="shared" si="71"/>
        <v>5</v>
      </c>
      <c r="N1482" s="50" t="s">
        <v>2</v>
      </c>
      <c r="O1482" s="74">
        <f>1.4/2</f>
        <v>0.7</v>
      </c>
      <c r="P1482" s="50">
        <v>6.24</v>
      </c>
      <c r="Q1482" s="74">
        <v>6.93</v>
      </c>
      <c r="R1482" s="50">
        <v>36</v>
      </c>
      <c r="S1482" s="74">
        <v>14.8</v>
      </c>
      <c r="T1482" s="50">
        <f>0.005/2</f>
        <v>2.5000000000000001E-3</v>
      </c>
      <c r="U1482" s="74">
        <v>0.61</v>
      </c>
      <c r="V1482" s="50">
        <v>0.4</v>
      </c>
      <c r="W1482" s="74">
        <v>9.7999999999999997E-3</v>
      </c>
      <c r="X1482" s="50">
        <v>5.5E-2</v>
      </c>
      <c r="Y1482" s="74">
        <f>0.003/2</f>
        <v>1.5E-3</v>
      </c>
    </row>
    <row r="1483" spans="1:30" ht="15" customHeight="1">
      <c r="A1483" s="41" t="s">
        <v>183</v>
      </c>
      <c r="B1483" s="402" t="s">
        <v>1220</v>
      </c>
      <c r="C1483" s="113" t="s">
        <v>1221</v>
      </c>
      <c r="D1483" s="393" t="s">
        <v>684</v>
      </c>
      <c r="E1483" s="394" t="s">
        <v>112</v>
      </c>
      <c r="G1483" s="405" t="s">
        <v>1222</v>
      </c>
      <c r="H1483" s="49">
        <v>4215</v>
      </c>
      <c r="I1483" s="50" t="s">
        <v>2</v>
      </c>
      <c r="J1483" s="76" t="s">
        <v>1223</v>
      </c>
      <c r="K1483" s="51">
        <v>41131</v>
      </c>
      <c r="L1483" s="173">
        <v>41126</v>
      </c>
      <c r="M1483" s="50">
        <f t="shared" si="71"/>
        <v>5</v>
      </c>
      <c r="N1483" s="50" t="s">
        <v>2</v>
      </c>
      <c r="O1483" s="74">
        <v>3.8</v>
      </c>
      <c r="P1483" s="50">
        <v>6</v>
      </c>
      <c r="Q1483" s="74">
        <v>5.52</v>
      </c>
      <c r="R1483" s="50">
        <v>241</v>
      </c>
      <c r="S1483" s="74">
        <v>38.4</v>
      </c>
      <c r="T1483" s="50">
        <v>1.9E-2</v>
      </c>
      <c r="U1483" s="74">
        <v>2.4</v>
      </c>
      <c r="V1483" s="50">
        <v>0.69</v>
      </c>
      <c r="W1483" s="74">
        <v>3.6999999999999998E-2</v>
      </c>
      <c r="X1483" s="50">
        <v>0.36</v>
      </c>
      <c r="Y1483" s="74">
        <v>4.7999999999999996E-3</v>
      </c>
    </row>
    <row r="1484" spans="1:30" ht="15" customHeight="1">
      <c r="A1484" s="41" t="s">
        <v>183</v>
      </c>
      <c r="B1484" s="402" t="s">
        <v>1220</v>
      </c>
      <c r="C1484" s="113" t="s">
        <v>1221</v>
      </c>
      <c r="D1484" s="393" t="s">
        <v>684</v>
      </c>
      <c r="E1484" s="394" t="s">
        <v>112</v>
      </c>
      <c r="G1484" s="405" t="s">
        <v>1222</v>
      </c>
      <c r="H1484" s="49">
        <v>4215</v>
      </c>
      <c r="I1484" s="50" t="s">
        <v>2</v>
      </c>
      <c r="J1484" s="76" t="s">
        <v>1224</v>
      </c>
      <c r="K1484" s="51">
        <v>41131</v>
      </c>
      <c r="L1484" s="173">
        <v>41126</v>
      </c>
      <c r="M1484" s="50">
        <f t="shared" si="71"/>
        <v>5</v>
      </c>
      <c r="N1484" s="50" t="s">
        <v>2</v>
      </c>
      <c r="O1484" s="74">
        <f>1.4/2</f>
        <v>0.7</v>
      </c>
      <c r="P1484" s="50">
        <v>6</v>
      </c>
      <c r="Q1484" s="74">
        <v>6.75</v>
      </c>
      <c r="R1484" s="50">
        <v>33.4</v>
      </c>
      <c r="S1484" s="74">
        <v>31.6</v>
      </c>
      <c r="T1484" s="50">
        <v>0.26</v>
      </c>
      <c r="U1484" s="74">
        <v>1.8</v>
      </c>
      <c r="V1484" s="50">
        <v>0.87</v>
      </c>
      <c r="W1484" s="74">
        <v>1.7000000000000001E-2</v>
      </c>
      <c r="X1484" s="50">
        <v>9.2999999999999999E-2</v>
      </c>
      <c r="Y1484" s="74">
        <f>0.003/2</f>
        <v>1.5E-3</v>
      </c>
    </row>
    <row r="1485" spans="1:30" ht="15" customHeight="1">
      <c r="A1485" s="41" t="s">
        <v>183</v>
      </c>
      <c r="B1485" s="402" t="s">
        <v>1220</v>
      </c>
      <c r="C1485" s="113" t="s">
        <v>1242</v>
      </c>
      <c r="D1485" s="393" t="s">
        <v>133</v>
      </c>
      <c r="E1485" s="394" t="s">
        <v>1244</v>
      </c>
      <c r="F1485" s="402" t="s">
        <v>1245</v>
      </c>
      <c r="G1485" s="405" t="s">
        <v>1246</v>
      </c>
      <c r="H1485" s="74">
        <v>4173</v>
      </c>
      <c r="I1485" s="50" t="s">
        <v>2</v>
      </c>
      <c r="J1485" s="339" t="s">
        <v>1223</v>
      </c>
      <c r="K1485" s="51">
        <v>41131</v>
      </c>
      <c r="L1485" s="173">
        <v>41126</v>
      </c>
      <c r="M1485" s="50">
        <f t="shared" si="71"/>
        <v>5</v>
      </c>
      <c r="N1485" s="50" t="s">
        <v>2</v>
      </c>
      <c r="O1485" s="74">
        <f>1.4/2</f>
        <v>0.7</v>
      </c>
      <c r="P1485" s="50">
        <v>6.14</v>
      </c>
      <c r="Q1485" s="74">
        <v>6.79</v>
      </c>
      <c r="R1485" s="50">
        <v>64.099999999999994</v>
      </c>
      <c r="S1485" s="74">
        <v>68.400000000000006</v>
      </c>
      <c r="T1485" s="50">
        <v>0.19</v>
      </c>
      <c r="U1485" s="74">
        <v>1.8</v>
      </c>
      <c r="V1485" s="50">
        <v>1.4</v>
      </c>
      <c r="W1485" s="74">
        <v>4.8000000000000001E-2</v>
      </c>
      <c r="X1485" s="50">
        <v>0.69</v>
      </c>
      <c r="Y1485" s="74">
        <v>1.6E-2</v>
      </c>
    </row>
    <row r="1486" spans="1:30" ht="15" customHeight="1">
      <c r="A1486" s="41" t="s">
        <v>183</v>
      </c>
      <c r="B1486" s="402" t="s">
        <v>1220</v>
      </c>
      <c r="C1486" s="113" t="s">
        <v>1242</v>
      </c>
      <c r="D1486" s="393" t="s">
        <v>133</v>
      </c>
      <c r="E1486" s="394" t="s">
        <v>1244</v>
      </c>
      <c r="F1486" s="402" t="s">
        <v>1245</v>
      </c>
      <c r="G1486" s="405" t="s">
        <v>1246</v>
      </c>
      <c r="H1486" s="74">
        <v>4173</v>
      </c>
      <c r="I1486" s="50" t="s">
        <v>2</v>
      </c>
      <c r="J1486" s="339" t="s">
        <v>1224</v>
      </c>
      <c r="K1486" s="51">
        <v>41131</v>
      </c>
      <c r="L1486" s="173">
        <v>41126</v>
      </c>
      <c r="M1486" s="50">
        <f t="shared" si="71"/>
        <v>5</v>
      </c>
      <c r="N1486" s="50" t="s">
        <v>2</v>
      </c>
      <c r="O1486" s="74">
        <f>1.4/2</f>
        <v>0.7</v>
      </c>
      <c r="P1486" s="50">
        <v>6.14</v>
      </c>
      <c r="Q1486" s="74">
        <v>6.33</v>
      </c>
      <c r="R1486" s="50">
        <v>89.7</v>
      </c>
      <c r="S1486" s="74">
        <v>89.2</v>
      </c>
      <c r="T1486" s="50">
        <v>8.4000000000000005E-2</v>
      </c>
      <c r="U1486" s="74">
        <v>1.2</v>
      </c>
      <c r="V1486" s="50">
        <v>0.54</v>
      </c>
      <c r="W1486" s="74">
        <v>2.5000000000000001E-2</v>
      </c>
      <c r="X1486" s="50">
        <v>0.43</v>
      </c>
      <c r="Y1486" s="74">
        <v>4.4999999999999997E-3</v>
      </c>
    </row>
    <row r="1487" spans="1:30" ht="15" customHeight="1">
      <c r="A1487" s="41" t="s">
        <v>183</v>
      </c>
      <c r="B1487" s="402" t="s">
        <v>1220</v>
      </c>
      <c r="C1487" s="113" t="s">
        <v>1242</v>
      </c>
      <c r="D1487" s="393" t="s">
        <v>133</v>
      </c>
      <c r="E1487" s="394" t="s">
        <v>1244</v>
      </c>
      <c r="F1487" s="402" t="s">
        <v>1245</v>
      </c>
      <c r="G1487" s="405" t="s">
        <v>1246</v>
      </c>
      <c r="H1487" s="74">
        <v>4173</v>
      </c>
      <c r="I1487" s="50" t="s">
        <v>2</v>
      </c>
      <c r="J1487" s="339" t="s">
        <v>1228</v>
      </c>
      <c r="K1487" s="51">
        <v>41131</v>
      </c>
      <c r="L1487" s="173">
        <v>41126</v>
      </c>
      <c r="M1487" s="50">
        <f t="shared" ref="M1487:M1511" si="72">K1487-L1487</f>
        <v>5</v>
      </c>
      <c r="N1487" s="50" t="s">
        <v>2</v>
      </c>
      <c r="O1487" s="74">
        <f>1.4/2</f>
        <v>0.7</v>
      </c>
      <c r="P1487" s="50">
        <v>6.14</v>
      </c>
      <c r="Q1487" s="74">
        <v>6.84</v>
      </c>
      <c r="R1487" s="50">
        <v>14.8</v>
      </c>
      <c r="S1487" s="74">
        <f>4/2</f>
        <v>2</v>
      </c>
      <c r="T1487" s="50">
        <f>0.005/2</f>
        <v>2.5000000000000001E-3</v>
      </c>
      <c r="U1487" s="74">
        <f>0.15/2</f>
        <v>7.4999999999999997E-2</v>
      </c>
      <c r="V1487" s="50">
        <v>0.28000000000000003</v>
      </c>
      <c r="W1487" s="74">
        <v>4.3E-3</v>
      </c>
      <c r="X1487" s="50">
        <v>2.1999999999999999E-2</v>
      </c>
      <c r="Y1487" s="74">
        <f>0.003/2</f>
        <v>1.5E-3</v>
      </c>
    </row>
    <row r="1488" spans="1:30" ht="15" customHeight="1">
      <c r="A1488" s="41" t="s">
        <v>183</v>
      </c>
      <c r="B1488" s="402" t="s">
        <v>1220</v>
      </c>
      <c r="C1488" s="113" t="s">
        <v>1242</v>
      </c>
      <c r="D1488" s="393" t="s">
        <v>133</v>
      </c>
      <c r="E1488" s="394" t="s">
        <v>1244</v>
      </c>
      <c r="F1488" s="402" t="s">
        <v>1245</v>
      </c>
      <c r="G1488" s="405" t="s">
        <v>1246</v>
      </c>
      <c r="H1488" s="74">
        <v>4173</v>
      </c>
      <c r="I1488" s="50" t="s">
        <v>2</v>
      </c>
      <c r="J1488" s="339" t="s">
        <v>1248</v>
      </c>
      <c r="K1488" s="51">
        <v>41131</v>
      </c>
      <c r="L1488" s="173">
        <v>41126</v>
      </c>
      <c r="M1488" s="50">
        <f t="shared" si="72"/>
        <v>5</v>
      </c>
      <c r="N1488" s="50" t="s">
        <v>2</v>
      </c>
      <c r="O1488" s="74">
        <f>1.4/2</f>
        <v>0.7</v>
      </c>
      <c r="P1488" s="50">
        <v>6.14</v>
      </c>
      <c r="Q1488" s="74">
        <v>6.31</v>
      </c>
      <c r="R1488" s="50">
        <v>112</v>
      </c>
      <c r="S1488" s="74">
        <v>48.4</v>
      </c>
      <c r="T1488" s="50">
        <v>0.3</v>
      </c>
      <c r="U1488" s="74">
        <v>1.2</v>
      </c>
      <c r="V1488" s="50">
        <v>0.64</v>
      </c>
      <c r="W1488" s="74">
        <v>3.2000000000000001E-2</v>
      </c>
      <c r="X1488" s="50">
        <v>0.3</v>
      </c>
      <c r="Y1488" s="74">
        <v>4.5999999999999999E-3</v>
      </c>
    </row>
    <row r="1489" spans="1:79" ht="15" customHeight="1">
      <c r="A1489" s="41" t="s">
        <v>183</v>
      </c>
      <c r="B1489" s="402" t="s">
        <v>1220</v>
      </c>
      <c r="C1489" s="113" t="s">
        <v>1239</v>
      </c>
      <c r="D1489" s="393" t="s">
        <v>806</v>
      </c>
      <c r="E1489" s="394" t="s">
        <v>535</v>
      </c>
      <c r="F1489" s="402" t="s">
        <v>1240</v>
      </c>
      <c r="G1489" s="405" t="s">
        <v>1241</v>
      </c>
      <c r="H1489" s="74">
        <v>4215</v>
      </c>
      <c r="I1489" s="50" t="s">
        <v>2</v>
      </c>
      <c r="J1489" s="339" t="s">
        <v>1223</v>
      </c>
      <c r="K1489" s="51">
        <v>41131</v>
      </c>
      <c r="L1489" s="173">
        <v>41127</v>
      </c>
      <c r="M1489" s="50">
        <f t="shared" si="72"/>
        <v>4</v>
      </c>
      <c r="N1489" s="50" t="s">
        <v>2</v>
      </c>
      <c r="O1489" s="74">
        <v>2.2999999999999998</v>
      </c>
      <c r="P1489" s="50">
        <v>7</v>
      </c>
      <c r="Q1489" s="74">
        <v>6.87</v>
      </c>
      <c r="R1489" s="50">
        <v>36.6</v>
      </c>
      <c r="S1489" s="74">
        <v>6.4</v>
      </c>
      <c r="T1489" s="50">
        <v>1.6E-2</v>
      </c>
      <c r="U1489" s="74">
        <v>0.28000000000000003</v>
      </c>
      <c r="V1489" s="50">
        <v>0.31</v>
      </c>
      <c r="W1489" s="74">
        <v>6.3E-3</v>
      </c>
      <c r="X1489" s="50">
        <v>8.6E-3</v>
      </c>
      <c r="Y1489" s="74">
        <f>0.005/2</f>
        <v>2.5000000000000001E-3</v>
      </c>
    </row>
    <row r="1490" spans="1:79" ht="15" customHeight="1">
      <c r="A1490" s="41" t="s">
        <v>183</v>
      </c>
      <c r="B1490" s="402" t="s">
        <v>1220</v>
      </c>
      <c r="C1490" s="113" t="s">
        <v>1229</v>
      </c>
      <c r="D1490" s="393" t="s">
        <v>640</v>
      </c>
      <c r="E1490" s="394" t="s">
        <v>1230</v>
      </c>
      <c r="G1490" s="405" t="s">
        <v>1231</v>
      </c>
      <c r="H1490" s="74">
        <v>4215</v>
      </c>
      <c r="I1490" s="50" t="s">
        <v>2</v>
      </c>
      <c r="J1490" s="339" t="s">
        <v>1223</v>
      </c>
      <c r="K1490" s="51">
        <v>41148</v>
      </c>
      <c r="L1490" s="173">
        <v>41139</v>
      </c>
      <c r="M1490" s="50">
        <f t="shared" si="72"/>
        <v>9</v>
      </c>
      <c r="N1490" s="50" t="s">
        <v>2</v>
      </c>
      <c r="O1490" s="74">
        <f>1.4/2</f>
        <v>0.7</v>
      </c>
      <c r="P1490" s="50">
        <v>5.63</v>
      </c>
      <c r="Q1490" s="74">
        <v>7.3</v>
      </c>
      <c r="R1490" s="50">
        <f>5/2</f>
        <v>2.5</v>
      </c>
      <c r="S1490" s="74">
        <v>21.2</v>
      </c>
      <c r="T1490" s="50">
        <v>1.2E-2</v>
      </c>
      <c r="U1490" s="74">
        <v>0.32</v>
      </c>
      <c r="V1490" s="50">
        <v>5.7000000000000002E-2</v>
      </c>
      <c r="W1490" s="74">
        <v>4.0000000000000001E-3</v>
      </c>
      <c r="X1490" s="50">
        <v>1.3</v>
      </c>
      <c r="Y1490" s="74">
        <v>3.2000000000000002E-3</v>
      </c>
    </row>
    <row r="1491" spans="1:79" ht="15" customHeight="1">
      <c r="A1491" s="41" t="s">
        <v>183</v>
      </c>
      <c r="B1491" s="402" t="s">
        <v>1220</v>
      </c>
      <c r="C1491" s="113" t="s">
        <v>1232</v>
      </c>
      <c r="D1491" s="393" t="s">
        <v>434</v>
      </c>
      <c r="E1491" s="394" t="s">
        <v>1233</v>
      </c>
      <c r="G1491" s="405" t="s">
        <v>1234</v>
      </c>
      <c r="H1491" s="49">
        <v>4215</v>
      </c>
      <c r="I1491" s="50" t="s">
        <v>2</v>
      </c>
      <c r="J1491" s="76" t="s">
        <v>1223</v>
      </c>
      <c r="K1491" s="51">
        <v>41170</v>
      </c>
      <c r="L1491" s="173">
        <v>41160</v>
      </c>
      <c r="M1491" s="50">
        <f t="shared" si="72"/>
        <v>10</v>
      </c>
      <c r="N1491" s="50" t="s">
        <v>2</v>
      </c>
      <c r="O1491" s="74">
        <v>2.7</v>
      </c>
      <c r="P1491" s="50">
        <v>6.71</v>
      </c>
      <c r="Q1491" s="74">
        <v>7.42</v>
      </c>
      <c r="R1491" s="50">
        <v>345</v>
      </c>
      <c r="S1491" s="74">
        <v>127</v>
      </c>
      <c r="T1491" s="50">
        <v>0.37</v>
      </c>
      <c r="U1491" s="74">
        <v>5.5</v>
      </c>
      <c r="V1491" s="50">
        <v>1.1000000000000001</v>
      </c>
      <c r="W1491" s="74">
        <v>0.08</v>
      </c>
      <c r="X1491" s="50">
        <v>1.1000000000000001</v>
      </c>
      <c r="Y1491" s="74">
        <v>3.1E-2</v>
      </c>
    </row>
    <row r="1492" spans="1:79" ht="15" customHeight="1">
      <c r="A1492" s="41" t="s">
        <v>183</v>
      </c>
      <c r="B1492" s="402" t="s">
        <v>1220</v>
      </c>
      <c r="C1492" s="113" t="s">
        <v>1232</v>
      </c>
      <c r="D1492" s="393" t="s">
        <v>434</v>
      </c>
      <c r="E1492" s="394" t="s">
        <v>1233</v>
      </c>
      <c r="G1492" s="405" t="s">
        <v>1234</v>
      </c>
      <c r="H1492" s="49">
        <v>4215</v>
      </c>
      <c r="I1492" s="50" t="s">
        <v>2</v>
      </c>
      <c r="J1492" s="76" t="s">
        <v>1224</v>
      </c>
      <c r="K1492" s="51">
        <v>41170</v>
      </c>
      <c r="L1492" s="173">
        <v>41160</v>
      </c>
      <c r="M1492" s="50">
        <f t="shared" si="72"/>
        <v>10</v>
      </c>
      <c r="N1492" s="50" t="s">
        <v>2</v>
      </c>
      <c r="O1492" s="74">
        <v>2.1</v>
      </c>
      <c r="P1492" s="50">
        <v>6.71</v>
      </c>
      <c r="Q1492" s="74">
        <v>6.89</v>
      </c>
      <c r="R1492" s="50">
        <v>49.2</v>
      </c>
      <c r="S1492" s="74">
        <v>187</v>
      </c>
      <c r="T1492" s="50">
        <v>0.2</v>
      </c>
      <c r="U1492" s="74">
        <v>1.2</v>
      </c>
      <c r="V1492" s="50">
        <v>0.53</v>
      </c>
      <c r="W1492" s="74">
        <v>6.0999999999999999E-2</v>
      </c>
      <c r="X1492" s="50">
        <v>1.1000000000000001</v>
      </c>
      <c r="Y1492" s="74">
        <v>3.4000000000000002E-2</v>
      </c>
    </row>
    <row r="1493" spans="1:79" ht="15" customHeight="1">
      <c r="A1493" s="41" t="s">
        <v>183</v>
      </c>
      <c r="B1493" s="402" t="s">
        <v>1220</v>
      </c>
      <c r="C1493" s="113" t="s">
        <v>1292</v>
      </c>
      <c r="D1493" s="393" t="s">
        <v>2372</v>
      </c>
      <c r="E1493" s="394" t="s">
        <v>1293</v>
      </c>
      <c r="G1493" s="405" t="s">
        <v>1294</v>
      </c>
      <c r="H1493" s="49">
        <v>4215</v>
      </c>
      <c r="I1493" s="50" t="s">
        <v>2</v>
      </c>
      <c r="J1493" s="76" t="s">
        <v>1295</v>
      </c>
      <c r="K1493" s="51">
        <v>41072</v>
      </c>
      <c r="L1493" s="173">
        <v>41068</v>
      </c>
      <c r="M1493" s="50">
        <f t="shared" si="72"/>
        <v>4</v>
      </c>
      <c r="N1493" s="50" t="s">
        <v>2</v>
      </c>
      <c r="O1493" s="74">
        <f>1.4/2</f>
        <v>0.7</v>
      </c>
      <c r="P1493" s="50">
        <v>5.63</v>
      </c>
      <c r="Q1493" s="74">
        <v>6.57</v>
      </c>
      <c r="R1493" s="50">
        <v>24.1</v>
      </c>
      <c r="S1493" s="74">
        <v>11.2</v>
      </c>
      <c r="T1493" s="50">
        <f>0.005/2</f>
        <v>2.5000000000000001E-3</v>
      </c>
      <c r="U1493" s="74">
        <v>1</v>
      </c>
      <c r="V1493" s="50">
        <v>0.88</v>
      </c>
      <c r="W1493" s="74">
        <v>9.2999999999999992E-3</v>
      </c>
      <c r="X1493" s="50">
        <v>0.2</v>
      </c>
      <c r="Y1493" s="74">
        <f>0.003/2</f>
        <v>1.5E-3</v>
      </c>
    </row>
    <row r="1494" spans="1:79" ht="15" customHeight="1">
      <c r="A1494" s="41" t="s">
        <v>183</v>
      </c>
      <c r="B1494" s="402" t="s">
        <v>1220</v>
      </c>
      <c r="C1494" s="113" t="s">
        <v>1292</v>
      </c>
      <c r="D1494" s="393" t="s">
        <v>2372</v>
      </c>
      <c r="E1494" s="394" t="s">
        <v>1293</v>
      </c>
      <c r="G1494" s="405" t="s">
        <v>1294</v>
      </c>
      <c r="H1494" s="49">
        <v>4215</v>
      </c>
      <c r="I1494" s="50" t="s">
        <v>2</v>
      </c>
      <c r="J1494" s="76" t="s">
        <v>1224</v>
      </c>
      <c r="K1494" s="51">
        <v>41072</v>
      </c>
      <c r="L1494" s="173">
        <v>41068</v>
      </c>
      <c r="M1494" s="50">
        <f t="shared" si="72"/>
        <v>4</v>
      </c>
      <c r="N1494" s="50" t="s">
        <v>2</v>
      </c>
      <c r="O1494" s="74">
        <f>1.4/2</f>
        <v>0.7</v>
      </c>
      <c r="P1494" s="50">
        <v>5.63</v>
      </c>
      <c r="Q1494" s="74">
        <v>7.27</v>
      </c>
      <c r="R1494" s="50">
        <f>5/2</f>
        <v>2.5</v>
      </c>
      <c r="S1494" s="74">
        <v>4.4000000000000004</v>
      </c>
      <c r="T1494" s="50">
        <f>0.005/2</f>
        <v>2.5000000000000001E-3</v>
      </c>
      <c r="U1494" s="74">
        <f>0.15/2</f>
        <v>7.4999999999999997E-2</v>
      </c>
      <c r="V1494" s="50">
        <v>0.4</v>
      </c>
      <c r="W1494" s="74">
        <f>0.0015/2</f>
        <v>7.5000000000000002E-4</v>
      </c>
      <c r="X1494" s="50">
        <v>0.01</v>
      </c>
      <c r="Y1494" s="74">
        <f>0.003/2</f>
        <v>1.5E-3</v>
      </c>
    </row>
    <row r="1495" spans="1:79" ht="15" customHeight="1">
      <c r="A1495" s="41" t="s">
        <v>183</v>
      </c>
      <c r="B1495" s="402" t="s">
        <v>1220</v>
      </c>
      <c r="C1495" s="113" t="s">
        <v>1229</v>
      </c>
      <c r="D1495" s="393" t="s">
        <v>640</v>
      </c>
      <c r="E1495" s="394" t="s">
        <v>1230</v>
      </c>
      <c r="G1495" s="405" t="s">
        <v>1231</v>
      </c>
      <c r="H1495" s="74">
        <v>4215</v>
      </c>
      <c r="I1495" s="50" t="s">
        <v>2</v>
      </c>
      <c r="J1495" s="339" t="s">
        <v>1223</v>
      </c>
      <c r="K1495" s="51">
        <v>41220</v>
      </c>
      <c r="L1495" s="173">
        <v>41211</v>
      </c>
      <c r="M1495" s="50">
        <f t="shared" si="72"/>
        <v>9</v>
      </c>
      <c r="N1495" s="50" t="s">
        <v>2</v>
      </c>
      <c r="O1495" s="74">
        <f>1.4/2</f>
        <v>0.7</v>
      </c>
      <c r="P1495" s="50">
        <v>6</v>
      </c>
      <c r="Q1495" s="74">
        <v>7.64</v>
      </c>
      <c r="R1495" s="50">
        <v>9.1</v>
      </c>
      <c r="S1495" s="74">
        <f>4/2</f>
        <v>2</v>
      </c>
      <c r="T1495" s="50">
        <v>0.3</v>
      </c>
      <c r="U1495" s="74">
        <v>0.21</v>
      </c>
      <c r="V1495" s="50">
        <v>0.4</v>
      </c>
      <c r="W1495" s="74">
        <f>0.0016/2</f>
        <v>8.0000000000000004E-4</v>
      </c>
      <c r="X1495" s="50">
        <v>1.1000000000000001</v>
      </c>
      <c r="Y1495" s="74">
        <f>0.003/2</f>
        <v>1.5E-3</v>
      </c>
      <c r="Z1495" s="271">
        <v>1</v>
      </c>
      <c r="AA1495" s="271">
        <v>0.437</v>
      </c>
      <c r="AB1495" s="114">
        <v>72</v>
      </c>
      <c r="AC1495" s="50">
        <v>351</v>
      </c>
      <c r="AD1495" s="271">
        <v>0.1</v>
      </c>
    </row>
    <row r="1496" spans="1:79" ht="15" customHeight="1">
      <c r="A1496" s="41" t="s">
        <v>183</v>
      </c>
      <c r="B1496" s="402" t="s">
        <v>1220</v>
      </c>
      <c r="C1496" s="113" t="s">
        <v>1225</v>
      </c>
      <c r="D1496" s="393" t="s">
        <v>1537</v>
      </c>
      <c r="E1496" s="394" t="s">
        <v>1226</v>
      </c>
      <c r="G1496" s="405" t="s">
        <v>1227</v>
      </c>
      <c r="H1496" s="49">
        <v>4215</v>
      </c>
      <c r="I1496" s="50" t="s">
        <v>2</v>
      </c>
      <c r="J1496" s="76" t="s">
        <v>1223</v>
      </c>
      <c r="K1496" s="51">
        <v>41220</v>
      </c>
      <c r="L1496" s="173">
        <v>41211</v>
      </c>
      <c r="M1496" s="50">
        <f t="shared" si="72"/>
        <v>9</v>
      </c>
      <c r="N1496" s="50" t="s">
        <v>2</v>
      </c>
      <c r="O1496" s="74">
        <v>7.7</v>
      </c>
      <c r="P1496" s="50">
        <v>6</v>
      </c>
      <c r="Q1496" s="74">
        <v>6.57</v>
      </c>
      <c r="R1496" s="50">
        <v>104</v>
      </c>
      <c r="S1496" s="74">
        <v>540</v>
      </c>
      <c r="T1496" s="50">
        <v>0.72</v>
      </c>
      <c r="U1496" s="74">
        <v>3.5</v>
      </c>
      <c r="V1496" s="50">
        <v>3.1E-2</v>
      </c>
      <c r="W1496" s="74">
        <v>4.2000000000000003E-2</v>
      </c>
      <c r="X1496" s="50">
        <v>0.26</v>
      </c>
      <c r="Y1496" s="74">
        <v>1.2999999999999999E-2</v>
      </c>
      <c r="Z1496" s="271">
        <v>1</v>
      </c>
      <c r="AA1496" s="271">
        <v>1</v>
      </c>
      <c r="AB1496" s="114">
        <v>46</v>
      </c>
      <c r="AC1496" s="50">
        <v>238</v>
      </c>
      <c r="AD1496" s="271">
        <v>1</v>
      </c>
    </row>
    <row r="1497" spans="1:79" ht="15" customHeight="1">
      <c r="A1497" s="41" t="s">
        <v>183</v>
      </c>
      <c r="B1497" s="402" t="s">
        <v>1220</v>
      </c>
      <c r="C1497" s="113" t="s">
        <v>1225</v>
      </c>
      <c r="D1497" s="393" t="s">
        <v>1537</v>
      </c>
      <c r="E1497" s="394" t="s">
        <v>1226</v>
      </c>
      <c r="G1497" s="405" t="s">
        <v>1227</v>
      </c>
      <c r="H1497" s="49">
        <v>4215</v>
      </c>
      <c r="I1497" s="50" t="s">
        <v>2</v>
      </c>
      <c r="J1497" s="76" t="s">
        <v>1224</v>
      </c>
      <c r="K1497" s="51">
        <v>41220</v>
      </c>
      <c r="L1497" s="173">
        <v>41211</v>
      </c>
      <c r="M1497" s="50">
        <f t="shared" si="72"/>
        <v>9</v>
      </c>
      <c r="N1497" s="50" t="s">
        <v>2</v>
      </c>
      <c r="O1497" s="74">
        <v>10.3</v>
      </c>
      <c r="P1497" s="50">
        <v>6</v>
      </c>
      <c r="Q1497" s="74">
        <v>6.59</v>
      </c>
      <c r="R1497" s="50">
        <v>102</v>
      </c>
      <c r="S1497" s="74">
        <v>178</v>
      </c>
      <c r="T1497" s="50">
        <v>0.37</v>
      </c>
      <c r="U1497" s="74">
        <v>4</v>
      </c>
      <c r="V1497" s="50">
        <v>0.68</v>
      </c>
      <c r="W1497" s="74">
        <v>4.2000000000000003E-2</v>
      </c>
      <c r="X1497" s="50">
        <v>0.32</v>
      </c>
      <c r="Y1497" s="74">
        <v>0.02</v>
      </c>
      <c r="Z1497" s="271">
        <v>1</v>
      </c>
      <c r="AA1497" s="271">
        <v>1</v>
      </c>
      <c r="AB1497" s="114">
        <v>114</v>
      </c>
      <c r="AC1497" s="50">
        <v>152</v>
      </c>
      <c r="AD1497" s="271">
        <v>1</v>
      </c>
    </row>
    <row r="1498" spans="1:79" ht="15" customHeight="1">
      <c r="A1498" s="41" t="s">
        <v>183</v>
      </c>
      <c r="B1498" s="402" t="s">
        <v>1220</v>
      </c>
      <c r="C1498" s="113" t="s">
        <v>1225</v>
      </c>
      <c r="D1498" s="393" t="s">
        <v>1537</v>
      </c>
      <c r="E1498" s="394" t="s">
        <v>1226</v>
      </c>
      <c r="G1498" s="405" t="s">
        <v>1227</v>
      </c>
      <c r="H1498" s="49">
        <v>4215</v>
      </c>
      <c r="I1498" s="50" t="s">
        <v>2</v>
      </c>
      <c r="J1498" s="76" t="s">
        <v>1228</v>
      </c>
      <c r="K1498" s="51">
        <v>41220</v>
      </c>
      <c r="L1498" s="173">
        <v>41211</v>
      </c>
      <c r="M1498" s="50">
        <f t="shared" si="72"/>
        <v>9</v>
      </c>
      <c r="N1498" s="50" t="s">
        <v>2</v>
      </c>
      <c r="O1498" s="74">
        <v>3.3</v>
      </c>
      <c r="P1498" s="50">
        <v>6</v>
      </c>
      <c r="Q1498" s="74">
        <v>7.35</v>
      </c>
      <c r="R1498" s="50">
        <v>64.5</v>
      </c>
      <c r="S1498" s="74">
        <v>27.2</v>
      </c>
      <c r="T1498" s="50">
        <v>0.13</v>
      </c>
      <c r="U1498" s="74">
        <v>2.4</v>
      </c>
      <c r="V1498" s="50">
        <v>0.66</v>
      </c>
      <c r="W1498" s="74">
        <v>1.4E-2</v>
      </c>
      <c r="X1498" s="50">
        <v>0.13</v>
      </c>
      <c r="Y1498" s="74">
        <v>7.3000000000000001E-3</v>
      </c>
      <c r="Z1498" s="271">
        <v>1</v>
      </c>
      <c r="AA1498" s="271">
        <v>1</v>
      </c>
      <c r="AB1498" s="114">
        <v>176</v>
      </c>
      <c r="AC1498" s="50">
        <v>1099</v>
      </c>
      <c r="AD1498" s="271">
        <v>1</v>
      </c>
    </row>
    <row r="1499" spans="1:79" ht="15" customHeight="1">
      <c r="A1499" s="41" t="s">
        <v>183</v>
      </c>
      <c r="B1499" s="402" t="s">
        <v>4712</v>
      </c>
      <c r="D1499" s="393" t="s">
        <v>684</v>
      </c>
      <c r="E1499" s="394" t="s">
        <v>112</v>
      </c>
      <c r="F1499" s="402">
        <v>5200</v>
      </c>
      <c r="G1499" s="405" t="s">
        <v>4748</v>
      </c>
      <c r="H1499" s="74">
        <v>3479</v>
      </c>
      <c r="I1499" s="50" t="s">
        <v>2</v>
      </c>
      <c r="J1499" s="339" t="s">
        <v>3630</v>
      </c>
      <c r="K1499" s="51">
        <v>40996</v>
      </c>
      <c r="L1499" s="173">
        <v>40981</v>
      </c>
      <c r="M1499" s="50">
        <f t="shared" si="72"/>
        <v>15</v>
      </c>
      <c r="N1499" s="50" t="s">
        <v>2</v>
      </c>
      <c r="O1499" s="74">
        <v>3.4</v>
      </c>
      <c r="P1499" s="50">
        <v>5</v>
      </c>
      <c r="Q1499" s="74">
        <v>6.2</v>
      </c>
      <c r="R1499" s="50">
        <v>17</v>
      </c>
      <c r="S1499" s="74">
        <v>109</v>
      </c>
      <c r="T1499" s="50">
        <v>0.13</v>
      </c>
      <c r="U1499" s="74">
        <v>0.96</v>
      </c>
      <c r="V1499" s="50">
        <v>0.37</v>
      </c>
      <c r="W1499" s="74">
        <v>3.7999999999999999E-2</v>
      </c>
      <c r="X1499" s="50">
        <v>8.1000000000000003E-2</v>
      </c>
      <c r="Y1499" s="74">
        <f>0.03/2</f>
        <v>1.4999999999999999E-2</v>
      </c>
      <c r="Z1499" s="271">
        <v>1</v>
      </c>
      <c r="AA1499" s="271">
        <v>0.73799999999999999</v>
      </c>
      <c r="AB1499" s="114">
        <v>9</v>
      </c>
      <c r="AC1499" s="50">
        <v>48</v>
      </c>
      <c r="AD1499" s="271">
        <v>0.15</v>
      </c>
      <c r="AJ1499" s="114">
        <v>200</v>
      </c>
    </row>
    <row r="1500" spans="1:79" ht="15" customHeight="1">
      <c r="A1500" s="41" t="s">
        <v>183</v>
      </c>
      <c r="B1500" s="402" t="s">
        <v>4712</v>
      </c>
      <c r="D1500" s="393" t="s">
        <v>684</v>
      </c>
      <c r="E1500" s="394" t="s">
        <v>112</v>
      </c>
      <c r="F1500" s="402">
        <v>5200</v>
      </c>
      <c r="G1500" s="405" t="s">
        <v>4748</v>
      </c>
      <c r="H1500" s="74">
        <v>3479</v>
      </c>
      <c r="I1500" s="50" t="s">
        <v>2</v>
      </c>
      <c r="J1500" s="339" t="s">
        <v>890</v>
      </c>
      <c r="K1500" s="51">
        <v>40996</v>
      </c>
      <c r="L1500" s="173">
        <v>40981</v>
      </c>
      <c r="M1500" s="50">
        <f t="shared" si="72"/>
        <v>15</v>
      </c>
      <c r="N1500" s="50" t="s">
        <v>2</v>
      </c>
      <c r="O1500" s="74">
        <f>2/2</f>
        <v>1</v>
      </c>
      <c r="P1500" s="50">
        <v>5</v>
      </c>
      <c r="Q1500" s="74">
        <v>7.1</v>
      </c>
      <c r="R1500" s="50">
        <v>32</v>
      </c>
      <c r="S1500" s="74">
        <v>12</v>
      </c>
      <c r="T1500" s="50">
        <f>0.05/2</f>
        <v>2.5000000000000001E-2</v>
      </c>
      <c r="U1500" s="74">
        <v>1.89</v>
      </c>
      <c r="V1500" s="50">
        <v>0.44</v>
      </c>
      <c r="W1500" s="74">
        <v>0.04</v>
      </c>
      <c r="X1500" s="50">
        <v>0.43</v>
      </c>
      <c r="Y1500" s="74">
        <f>0.03/2</f>
        <v>1.4999999999999999E-2</v>
      </c>
      <c r="Z1500" s="271">
        <v>1</v>
      </c>
      <c r="AA1500" s="271">
        <v>1</v>
      </c>
      <c r="AB1500" s="114">
        <v>96</v>
      </c>
      <c r="AC1500" s="50">
        <v>442</v>
      </c>
      <c r="AD1500" s="271">
        <v>1</v>
      </c>
      <c r="AJ1500" s="114">
        <f>100/2</f>
        <v>50</v>
      </c>
    </row>
    <row r="1501" spans="1:79" ht="15" customHeight="1">
      <c r="A1501" s="41" t="s">
        <v>183</v>
      </c>
      <c r="B1501" s="402" t="s">
        <v>4712</v>
      </c>
      <c r="D1501" s="393" t="s">
        <v>684</v>
      </c>
      <c r="E1501" s="394" t="s">
        <v>112</v>
      </c>
      <c r="F1501" s="402">
        <v>5200</v>
      </c>
      <c r="G1501" s="405" t="s">
        <v>4748</v>
      </c>
      <c r="H1501" s="74">
        <v>3479</v>
      </c>
      <c r="I1501" s="50" t="s">
        <v>2</v>
      </c>
      <c r="J1501" s="339" t="s">
        <v>3630</v>
      </c>
      <c r="K1501" s="51">
        <v>41184</v>
      </c>
      <c r="L1501" s="173">
        <v>41180</v>
      </c>
      <c r="M1501" s="50">
        <f t="shared" si="72"/>
        <v>4</v>
      </c>
      <c r="N1501" s="50" t="s">
        <v>2</v>
      </c>
      <c r="O1501" s="74">
        <f>2/2</f>
        <v>1</v>
      </c>
      <c r="P1501" s="50">
        <v>5.5</v>
      </c>
      <c r="Q1501" s="74">
        <v>7.6</v>
      </c>
      <c r="R1501" s="50">
        <v>17</v>
      </c>
      <c r="S1501" s="74">
        <v>36</v>
      </c>
      <c r="T1501" s="50">
        <v>0.05</v>
      </c>
      <c r="U1501" s="74">
        <v>1.04</v>
      </c>
      <c r="V1501" s="50">
        <v>0.3</v>
      </c>
      <c r="W1501" s="74">
        <v>1.7000000000000001E-2</v>
      </c>
      <c r="X1501" s="50">
        <v>0.13400000000000001</v>
      </c>
      <c r="Y1501" s="74">
        <f>0.03/2</f>
        <v>1.4999999999999999E-2</v>
      </c>
    </row>
    <row r="1502" spans="1:79" ht="15" customHeight="1">
      <c r="A1502" s="41" t="s">
        <v>183</v>
      </c>
      <c r="B1502" s="402" t="s">
        <v>4712</v>
      </c>
      <c r="D1502" s="393" t="s">
        <v>684</v>
      </c>
      <c r="E1502" s="394" t="s">
        <v>112</v>
      </c>
      <c r="F1502" s="402">
        <v>5200</v>
      </c>
      <c r="G1502" s="405" t="s">
        <v>4748</v>
      </c>
      <c r="H1502" s="74">
        <v>3479</v>
      </c>
      <c r="I1502" s="50" t="s">
        <v>2</v>
      </c>
      <c r="J1502" s="339" t="s">
        <v>890</v>
      </c>
      <c r="K1502" s="51">
        <v>41184</v>
      </c>
      <c r="L1502" s="173">
        <v>41180</v>
      </c>
      <c r="M1502" s="50">
        <f t="shared" si="72"/>
        <v>4</v>
      </c>
      <c r="N1502" s="50" t="s">
        <v>2</v>
      </c>
      <c r="O1502" s="74">
        <f>2/2</f>
        <v>1</v>
      </c>
      <c r="P1502" s="50">
        <v>5.5</v>
      </c>
      <c r="Q1502" s="74">
        <v>6.6</v>
      </c>
      <c r="R1502" s="50">
        <f>10/2</f>
        <v>5</v>
      </c>
      <c r="S1502" s="74">
        <f>1/2</f>
        <v>0.5</v>
      </c>
      <c r="T1502" s="50">
        <f>0.05/2</f>
        <v>2.5000000000000001E-2</v>
      </c>
      <c r="U1502" s="74">
        <v>0.33</v>
      </c>
      <c r="V1502" s="50">
        <v>0.67</v>
      </c>
      <c r="W1502" s="74">
        <v>2.4E-2</v>
      </c>
      <c r="X1502" s="50">
        <v>0.14199999999999999</v>
      </c>
      <c r="Y1502" s="74">
        <f>0.03/2</f>
        <v>1.4999999999999999E-2</v>
      </c>
    </row>
    <row r="1503" spans="1:79" ht="15" customHeight="1">
      <c r="A1503" s="41" t="s">
        <v>183</v>
      </c>
      <c r="B1503" s="402" t="s">
        <v>4712</v>
      </c>
      <c r="D1503" s="393" t="s">
        <v>209</v>
      </c>
      <c r="E1503" s="394" t="s">
        <v>4713</v>
      </c>
      <c r="G1503" s="405" t="s">
        <v>4747</v>
      </c>
      <c r="H1503" s="74">
        <v>2813</v>
      </c>
      <c r="I1503" s="50" t="s">
        <v>2</v>
      </c>
      <c r="J1503" s="339" t="s">
        <v>510</v>
      </c>
      <c r="K1503" s="51">
        <v>41364</v>
      </c>
      <c r="L1503" s="173">
        <v>41352</v>
      </c>
      <c r="M1503" s="50">
        <f t="shared" si="72"/>
        <v>12</v>
      </c>
      <c r="N1503" s="50" t="s">
        <v>2</v>
      </c>
      <c r="O1503" s="74">
        <v>4.7</v>
      </c>
      <c r="P1503" s="50">
        <v>6</v>
      </c>
      <c r="Q1503" s="74">
        <v>6.8</v>
      </c>
      <c r="R1503" s="50">
        <v>282</v>
      </c>
      <c r="S1503" s="74">
        <v>204</v>
      </c>
      <c r="T1503" s="50">
        <v>0.26</v>
      </c>
      <c r="U1503" s="74">
        <v>1.34</v>
      </c>
      <c r="V1503" s="50">
        <v>0.35</v>
      </c>
      <c r="W1503" s="74">
        <v>4.1000000000000002E-2</v>
      </c>
      <c r="X1503" s="50">
        <v>0.252</v>
      </c>
      <c r="Y1503" s="74">
        <f>0.03/2</f>
        <v>1.4999999999999999E-2</v>
      </c>
      <c r="Z1503" s="271">
        <v>1</v>
      </c>
      <c r="AA1503" s="271">
        <v>0.55000000000000004</v>
      </c>
      <c r="AB1503" s="114">
        <v>261</v>
      </c>
      <c r="AC1503" s="50">
        <v>4260</v>
      </c>
      <c r="AD1503" s="271">
        <v>0.1</v>
      </c>
    </row>
    <row r="1504" spans="1:79" s="400" customFormat="1" ht="15" customHeight="1">
      <c r="A1504" s="41" t="s">
        <v>183</v>
      </c>
      <c r="B1504" s="402" t="s">
        <v>4714</v>
      </c>
      <c r="C1504" s="113"/>
      <c r="D1504" s="393" t="s">
        <v>1881</v>
      </c>
      <c r="E1504" s="394" t="s">
        <v>4715</v>
      </c>
      <c r="F1504" s="402"/>
      <c r="G1504" s="405" t="s">
        <v>4716</v>
      </c>
      <c r="H1504" s="404">
        <v>3443</v>
      </c>
      <c r="I1504" s="402" t="s">
        <v>2</v>
      </c>
      <c r="J1504" s="406" t="s">
        <v>4717</v>
      </c>
      <c r="K1504" s="403">
        <v>41021</v>
      </c>
      <c r="L1504" s="398">
        <v>41014</v>
      </c>
      <c r="M1504" s="402">
        <f t="shared" ref="M1504" si="73">K1504-L1504</f>
        <v>7</v>
      </c>
      <c r="N1504" s="402" t="s">
        <v>2</v>
      </c>
      <c r="O1504" s="404">
        <f>5/2</f>
        <v>2.5</v>
      </c>
      <c r="P1504" s="402">
        <v>5.73</v>
      </c>
      <c r="Q1504" s="404">
        <v>6.34</v>
      </c>
      <c r="R1504" s="402">
        <v>28</v>
      </c>
      <c r="S1504" s="404">
        <v>47</v>
      </c>
      <c r="T1504" s="402">
        <f>0.1/2</f>
        <v>0.05</v>
      </c>
      <c r="U1504" s="395">
        <v>1.38</v>
      </c>
      <c r="V1504" s="402">
        <v>0.185</v>
      </c>
      <c r="W1504" s="404">
        <v>2.4E-2</v>
      </c>
      <c r="X1504" s="402">
        <v>0.36599999999999999</v>
      </c>
      <c r="Y1504" s="404">
        <f>0.01/2</f>
        <v>5.0000000000000001E-3</v>
      </c>
      <c r="Z1504" s="397">
        <v>1</v>
      </c>
      <c r="AA1504" s="399">
        <v>0.79400000000000004</v>
      </c>
      <c r="AB1504" s="394">
        <v>4</v>
      </c>
      <c r="AC1504" s="402">
        <v>42</v>
      </c>
      <c r="AD1504" s="399">
        <v>0.25</v>
      </c>
      <c r="AE1504" s="402"/>
      <c r="AF1504" s="391"/>
      <c r="AG1504" s="394"/>
      <c r="AH1504" s="394"/>
      <c r="AI1504" s="394"/>
      <c r="AJ1504" s="394"/>
      <c r="AK1504" s="394"/>
      <c r="AL1504" s="394"/>
      <c r="AM1504" s="394"/>
      <c r="AN1504" s="394"/>
      <c r="AO1504" s="394"/>
      <c r="AP1504" s="394"/>
      <c r="AQ1504" s="394"/>
      <c r="AR1504" s="394"/>
      <c r="AS1504" s="402"/>
      <c r="AT1504" s="404"/>
      <c r="AU1504" s="394"/>
      <c r="AV1504" s="394"/>
      <c r="AW1504" s="394"/>
      <c r="AX1504" s="5"/>
      <c r="AY1504" s="5"/>
      <c r="AZ1504" s="5"/>
      <c r="BA1504" s="5"/>
      <c r="BB1504" s="5"/>
      <c r="BC1504" s="5"/>
      <c r="BD1504" s="5"/>
      <c r="BE1504" s="5"/>
      <c r="BF1504" s="5"/>
      <c r="BG1504" s="5"/>
      <c r="BH1504" s="5"/>
      <c r="BI1504" s="5"/>
      <c r="BJ1504" s="5"/>
      <c r="BK1504" s="5"/>
      <c r="BL1504" s="5"/>
      <c r="BM1504" s="5"/>
      <c r="BN1504" s="5"/>
      <c r="BO1504" s="5"/>
      <c r="BP1504" s="5"/>
      <c r="BQ1504" s="5"/>
      <c r="BR1504" s="5"/>
      <c r="BS1504" s="5"/>
      <c r="BT1504" s="5"/>
      <c r="BU1504" s="5"/>
      <c r="BV1504" s="5"/>
      <c r="BW1504" s="5"/>
      <c r="BX1504" s="5"/>
      <c r="BY1504" s="5"/>
      <c r="BZ1504" s="5"/>
      <c r="CA1504" s="5"/>
    </row>
    <row r="1505" spans="1:30" ht="15" customHeight="1">
      <c r="A1505" s="41" t="s">
        <v>183</v>
      </c>
      <c r="B1505" s="402" t="s">
        <v>4714</v>
      </c>
      <c r="D1505" s="393" t="s">
        <v>1881</v>
      </c>
      <c r="E1505" s="394" t="s">
        <v>4715</v>
      </c>
      <c r="G1505" s="405" t="s">
        <v>4716</v>
      </c>
      <c r="H1505" s="74">
        <v>3443</v>
      </c>
      <c r="I1505" s="50" t="s">
        <v>2</v>
      </c>
      <c r="J1505" s="339" t="s">
        <v>4717</v>
      </c>
      <c r="K1505" s="51">
        <v>41170</v>
      </c>
      <c r="L1505" s="173">
        <v>41167</v>
      </c>
      <c r="M1505" s="50">
        <f t="shared" si="72"/>
        <v>3</v>
      </c>
      <c r="N1505" s="50" t="s">
        <v>2</v>
      </c>
      <c r="O1505" s="74">
        <f>5/2</f>
        <v>2.5</v>
      </c>
      <c r="P1505" s="50">
        <v>4.95</v>
      </c>
      <c r="Q1505" s="74">
        <v>5.39</v>
      </c>
      <c r="R1505" s="50">
        <v>29</v>
      </c>
      <c r="S1505" s="74">
        <f>5/2</f>
        <v>2.5</v>
      </c>
      <c r="T1505" s="50">
        <f>0.1/2</f>
        <v>0.05</v>
      </c>
      <c r="U1505" s="131">
        <v>1.72</v>
      </c>
      <c r="V1505" s="50">
        <v>0.56699999999999995</v>
      </c>
      <c r="W1505" s="74">
        <f>0.01/2</f>
        <v>5.0000000000000001E-3</v>
      </c>
      <c r="X1505" s="50">
        <v>0.91700000000000004</v>
      </c>
      <c r="Y1505" s="74">
        <f>0.01/2</f>
        <v>5.0000000000000001E-3</v>
      </c>
      <c r="Z1505" s="165"/>
    </row>
    <row r="1506" spans="1:30" ht="15" customHeight="1">
      <c r="A1506" s="41" t="s">
        <v>183</v>
      </c>
      <c r="B1506" s="402" t="s">
        <v>3098</v>
      </c>
      <c r="D1506" s="393" t="s">
        <v>2501</v>
      </c>
      <c r="E1506" s="394" t="s">
        <v>3099</v>
      </c>
      <c r="G1506" s="405" t="s">
        <v>3100</v>
      </c>
      <c r="H1506" s="338" t="s">
        <v>4718</v>
      </c>
      <c r="I1506" s="50" t="s">
        <v>2</v>
      </c>
      <c r="J1506" s="339"/>
      <c r="K1506" s="51">
        <v>41345</v>
      </c>
      <c r="L1506" s="173">
        <v>41341</v>
      </c>
      <c r="M1506" s="50">
        <f t="shared" si="72"/>
        <v>4</v>
      </c>
      <c r="N1506" s="50" t="s">
        <v>1</v>
      </c>
      <c r="O1506" s="74">
        <f>1/2</f>
        <v>0.5</v>
      </c>
      <c r="P1506" s="50">
        <v>5</v>
      </c>
      <c r="Q1506" s="74">
        <v>6.2</v>
      </c>
      <c r="R1506" s="50">
        <v>47</v>
      </c>
      <c r="S1506" s="74">
        <v>82</v>
      </c>
      <c r="T1506" s="50">
        <v>0.18</v>
      </c>
      <c r="U1506" s="131">
        <f>0.5/2</f>
        <v>0.25</v>
      </c>
      <c r="V1506" s="50">
        <v>0.25</v>
      </c>
      <c r="W1506" s="74">
        <v>7.0000000000000001E-3</v>
      </c>
      <c r="X1506" s="50">
        <v>0.74</v>
      </c>
      <c r="Y1506" s="74">
        <f>0.002/2</f>
        <v>1E-3</v>
      </c>
      <c r="Z1506" s="165">
        <v>1</v>
      </c>
      <c r="AA1506" s="271">
        <v>1</v>
      </c>
      <c r="AB1506" s="114">
        <v>12</v>
      </c>
      <c r="AC1506" s="50">
        <v>232</v>
      </c>
      <c r="AD1506" s="271">
        <v>0.6</v>
      </c>
    </row>
    <row r="1507" spans="1:30" ht="15" customHeight="1">
      <c r="A1507" s="41" t="s">
        <v>183</v>
      </c>
      <c r="B1507" s="402" t="s">
        <v>4719</v>
      </c>
      <c r="D1507" s="393" t="s">
        <v>133</v>
      </c>
      <c r="G1507" s="405" t="s">
        <v>4720</v>
      </c>
      <c r="H1507" s="74">
        <v>3441</v>
      </c>
      <c r="J1507" s="339" t="s">
        <v>4721</v>
      </c>
      <c r="K1507" s="51">
        <v>41345</v>
      </c>
      <c r="L1507" s="173">
        <v>41341</v>
      </c>
      <c r="M1507" s="50">
        <f t="shared" si="72"/>
        <v>4</v>
      </c>
      <c r="N1507" s="50" t="s">
        <v>1</v>
      </c>
      <c r="O1507" s="74">
        <f>2/2</f>
        <v>1</v>
      </c>
      <c r="P1507" s="50">
        <v>7</v>
      </c>
      <c r="Q1507" s="74">
        <v>7.4</v>
      </c>
      <c r="R1507" s="50">
        <f>10/2</f>
        <v>5</v>
      </c>
      <c r="S1507" s="74">
        <v>242</v>
      </c>
      <c r="T1507" s="50">
        <v>0.36</v>
      </c>
      <c r="U1507" s="131">
        <v>0.96</v>
      </c>
      <c r="V1507" s="50">
        <v>0.31</v>
      </c>
      <c r="W1507" s="74">
        <v>7.0000000000000007E-2</v>
      </c>
      <c r="X1507" s="50">
        <v>0.188</v>
      </c>
      <c r="Y1507" s="74">
        <v>6.7000000000000004E-2</v>
      </c>
      <c r="Z1507" s="165">
        <v>1</v>
      </c>
      <c r="AA1507" s="271">
        <v>1</v>
      </c>
      <c r="AB1507" s="114">
        <v>108</v>
      </c>
      <c r="AC1507" s="50">
        <v>582</v>
      </c>
      <c r="AD1507" s="271">
        <v>1</v>
      </c>
    </row>
    <row r="1508" spans="1:30" ht="15" customHeight="1">
      <c r="A1508" s="41" t="s">
        <v>183</v>
      </c>
      <c r="B1508" s="402" t="s">
        <v>4722</v>
      </c>
      <c r="D1508" s="393" t="s">
        <v>827</v>
      </c>
      <c r="E1508" s="394" t="s">
        <v>1413</v>
      </c>
      <c r="G1508" s="405" t="s">
        <v>1414</v>
      </c>
      <c r="H1508" s="74">
        <v>3069</v>
      </c>
      <c r="I1508" s="50" t="s">
        <v>2</v>
      </c>
      <c r="J1508" s="339" t="s">
        <v>4723</v>
      </c>
      <c r="K1508" s="51">
        <v>41345</v>
      </c>
      <c r="L1508" s="173">
        <v>41340</v>
      </c>
      <c r="M1508" s="50">
        <f t="shared" si="72"/>
        <v>5</v>
      </c>
      <c r="N1508" s="50" t="s">
        <v>2</v>
      </c>
      <c r="O1508" s="74">
        <f>1.3/2</f>
        <v>0.65</v>
      </c>
      <c r="P1508" s="50">
        <v>5</v>
      </c>
      <c r="Q1508" s="74">
        <v>7</v>
      </c>
      <c r="R1508" s="50">
        <v>14</v>
      </c>
      <c r="S1508" s="74">
        <v>9.8000000000000007</v>
      </c>
      <c r="T1508" s="50">
        <v>3.9E-2</v>
      </c>
      <c r="U1508" s="131">
        <f>0.5/2</f>
        <v>0.25</v>
      </c>
      <c r="V1508" s="50">
        <v>0.34</v>
      </c>
      <c r="W1508" s="74">
        <v>2.0999999999999999E-3</v>
      </c>
      <c r="X1508" s="50">
        <v>8.6999999999999994E-2</v>
      </c>
      <c r="Y1508" s="74">
        <f>0.002/2</f>
        <v>1E-3</v>
      </c>
      <c r="Z1508" s="165"/>
    </row>
    <row r="1509" spans="1:30" ht="15" customHeight="1">
      <c r="A1509" s="41" t="s">
        <v>183</v>
      </c>
      <c r="B1509" s="402" t="s">
        <v>4722</v>
      </c>
      <c r="D1509" s="393" t="s">
        <v>827</v>
      </c>
      <c r="E1509" s="394" t="s">
        <v>1413</v>
      </c>
      <c r="G1509" s="405" t="s">
        <v>1414</v>
      </c>
      <c r="H1509" s="74">
        <v>3069</v>
      </c>
      <c r="I1509" s="50" t="s">
        <v>2</v>
      </c>
      <c r="J1509" s="339" t="s">
        <v>4724</v>
      </c>
      <c r="K1509" s="51">
        <v>41345</v>
      </c>
      <c r="L1509" s="173">
        <v>41340</v>
      </c>
      <c r="M1509" s="50">
        <f t="shared" si="72"/>
        <v>5</v>
      </c>
      <c r="N1509" s="50" t="s">
        <v>2</v>
      </c>
      <c r="O1509" s="74">
        <f>1.4/2</f>
        <v>0.7</v>
      </c>
      <c r="P1509" s="50">
        <v>5</v>
      </c>
      <c r="Q1509" s="74">
        <v>6.9</v>
      </c>
      <c r="R1509" s="50">
        <v>14</v>
      </c>
      <c r="S1509" s="74">
        <v>2</v>
      </c>
      <c r="T1509" s="50">
        <v>4.2000000000000003E-2</v>
      </c>
      <c r="U1509" s="131">
        <f>0.5/2</f>
        <v>0.25</v>
      </c>
      <c r="V1509" s="50">
        <v>1.1000000000000001</v>
      </c>
      <c r="W1509" s="74">
        <v>1.2999999999999999E-2</v>
      </c>
      <c r="X1509" s="50">
        <v>0.17</v>
      </c>
      <c r="Y1509" s="74">
        <v>6.8999999999999999E-3</v>
      </c>
      <c r="Z1509" s="165"/>
    </row>
    <row r="1510" spans="1:30" ht="15" customHeight="1">
      <c r="A1510" s="41" t="s">
        <v>183</v>
      </c>
      <c r="B1510" s="402" t="s">
        <v>4725</v>
      </c>
      <c r="D1510" s="393" t="s">
        <v>379</v>
      </c>
      <c r="E1510" s="394" t="s">
        <v>3859</v>
      </c>
      <c r="G1510" s="405" t="s">
        <v>4726</v>
      </c>
      <c r="H1510" s="74">
        <v>3444</v>
      </c>
      <c r="J1510" s="339" t="s">
        <v>2036</v>
      </c>
      <c r="K1510" s="51">
        <v>40996</v>
      </c>
      <c r="L1510" s="173">
        <v>40993</v>
      </c>
      <c r="M1510" s="50">
        <f t="shared" si="72"/>
        <v>3</v>
      </c>
      <c r="N1510" s="50" t="s">
        <v>2</v>
      </c>
      <c r="O1510" s="74">
        <f>1.4/2</f>
        <v>0.7</v>
      </c>
      <c r="P1510" s="50">
        <v>7.7</v>
      </c>
      <c r="Q1510" s="74">
        <v>6.35</v>
      </c>
      <c r="R1510" s="50">
        <f>10/2</f>
        <v>5</v>
      </c>
      <c r="S1510" s="74">
        <v>31</v>
      </c>
      <c r="T1510" s="50">
        <v>0.15</v>
      </c>
      <c r="U1510" s="131">
        <v>1.85</v>
      </c>
      <c r="V1510" s="50">
        <v>0.59</v>
      </c>
      <c r="W1510" s="74">
        <v>3.2000000000000001E-2</v>
      </c>
      <c r="X1510" s="50">
        <v>0.38800000000000001</v>
      </c>
      <c r="Y1510" s="74">
        <v>1.7999999999999999E-2</v>
      </c>
      <c r="Z1510" s="271">
        <v>1</v>
      </c>
      <c r="AA1510" s="271">
        <v>0.46</v>
      </c>
      <c r="AB1510" s="114">
        <v>6</v>
      </c>
      <c r="AC1510" s="50">
        <v>29</v>
      </c>
      <c r="AD1510" s="271">
        <v>0</v>
      </c>
    </row>
    <row r="1511" spans="1:30" ht="15" customHeight="1">
      <c r="A1511" s="41" t="s">
        <v>183</v>
      </c>
      <c r="B1511" s="402" t="s">
        <v>4725</v>
      </c>
      <c r="D1511" s="393" t="s">
        <v>379</v>
      </c>
      <c r="E1511" s="394" t="s">
        <v>3859</v>
      </c>
      <c r="G1511" s="405" t="s">
        <v>4726</v>
      </c>
      <c r="H1511" s="74">
        <v>3444</v>
      </c>
      <c r="J1511" s="339" t="s">
        <v>2036</v>
      </c>
      <c r="K1511" s="51">
        <v>41149</v>
      </c>
      <c r="L1511" s="173">
        <v>41139</v>
      </c>
      <c r="M1511" s="50">
        <f t="shared" si="72"/>
        <v>10</v>
      </c>
      <c r="N1511" s="50" t="s">
        <v>2</v>
      </c>
      <c r="O1511" s="74">
        <f>1.4/2</f>
        <v>0.7</v>
      </c>
      <c r="P1511" s="50">
        <v>6.55</v>
      </c>
      <c r="Q1511" s="74">
        <v>6.17</v>
      </c>
      <c r="R1511" s="50">
        <v>28</v>
      </c>
      <c r="S1511" s="74">
        <v>7</v>
      </c>
      <c r="T1511" s="50">
        <v>0.12</v>
      </c>
      <c r="U1511" s="131">
        <v>1.19</v>
      </c>
      <c r="V1511" s="50">
        <v>0.44</v>
      </c>
      <c r="W1511" s="74">
        <v>1.4E-2</v>
      </c>
      <c r="X1511" s="50">
        <v>0.16800000000000001</v>
      </c>
      <c r="Y1511" s="74">
        <v>4.0000000000000001E-3</v>
      </c>
    </row>
    <row r="1512" spans="1:30" ht="15" customHeight="1">
      <c r="A1512" s="41" t="s">
        <v>183</v>
      </c>
      <c r="B1512" s="402" t="s">
        <v>4727</v>
      </c>
      <c r="D1512" s="393" t="s">
        <v>338</v>
      </c>
      <c r="E1512" s="394" t="s">
        <v>1440</v>
      </c>
      <c r="G1512" s="405" t="s">
        <v>4728</v>
      </c>
      <c r="H1512" s="74">
        <v>2852</v>
      </c>
      <c r="J1512" s="339" t="s">
        <v>366</v>
      </c>
      <c r="K1512" s="51">
        <v>41113</v>
      </c>
      <c r="L1512" s="173"/>
      <c r="N1512" s="50" t="s">
        <v>2</v>
      </c>
      <c r="O1512" s="74">
        <v>6.9</v>
      </c>
      <c r="P1512" s="50">
        <v>6.35</v>
      </c>
      <c r="Q1512" s="74">
        <v>6.48</v>
      </c>
      <c r="R1512" s="50">
        <v>13.8</v>
      </c>
      <c r="S1512" s="74">
        <v>11</v>
      </c>
      <c r="T1512" s="50">
        <f>0.05/2</f>
        <v>2.5000000000000001E-2</v>
      </c>
      <c r="U1512" s="131">
        <v>1.29</v>
      </c>
      <c r="V1512" s="50">
        <v>0.78</v>
      </c>
      <c r="W1512" s="74">
        <f>0.01/2</f>
        <v>5.0000000000000001E-3</v>
      </c>
      <c r="X1512" s="50">
        <v>0.56999999999999995</v>
      </c>
      <c r="Y1512" s="74">
        <f>0.02/2</f>
        <v>0.01</v>
      </c>
    </row>
    <row r="1513" spans="1:30" ht="15" customHeight="1">
      <c r="A1513" s="41" t="s">
        <v>183</v>
      </c>
      <c r="B1513" s="402" t="s">
        <v>4725</v>
      </c>
      <c r="D1513" s="393" t="s">
        <v>379</v>
      </c>
      <c r="E1513" s="394" t="s">
        <v>3859</v>
      </c>
      <c r="G1513" s="405" t="s">
        <v>4726</v>
      </c>
      <c r="H1513" s="74">
        <v>3444</v>
      </c>
      <c r="I1513" s="50" t="s">
        <v>2</v>
      </c>
      <c r="J1513" s="339" t="s">
        <v>2036</v>
      </c>
      <c r="K1513" s="51">
        <v>41264</v>
      </c>
      <c r="L1513" s="173">
        <v>41261</v>
      </c>
      <c r="M1513" s="50">
        <f t="shared" ref="M1513:M1519" si="74">K1513-L1513</f>
        <v>3</v>
      </c>
      <c r="N1513" s="50" t="s">
        <v>2</v>
      </c>
      <c r="O1513" s="74">
        <f>1.4/2</f>
        <v>0.7</v>
      </c>
      <c r="P1513" s="50">
        <v>5.84</v>
      </c>
      <c r="Q1513" s="74">
        <v>5.97</v>
      </c>
      <c r="R1513" s="50">
        <f>10/2</f>
        <v>5</v>
      </c>
      <c r="S1513" s="74">
        <v>40</v>
      </c>
      <c r="T1513" s="50">
        <v>0.08</v>
      </c>
      <c r="U1513" s="131">
        <v>0.53</v>
      </c>
      <c r="V1513" s="50">
        <v>0.15</v>
      </c>
      <c r="W1513" s="74">
        <v>1.4E-2</v>
      </c>
      <c r="X1513" s="50">
        <v>0.186</v>
      </c>
      <c r="Y1513" s="74">
        <v>1.4999999999999999E-2</v>
      </c>
      <c r="Z1513" s="271">
        <v>1</v>
      </c>
      <c r="AA1513" s="271">
        <v>0.72199999999999998</v>
      </c>
    </row>
    <row r="1514" spans="1:30" ht="15" customHeight="1">
      <c r="A1514" s="41" t="s">
        <v>183</v>
      </c>
      <c r="B1514" s="402" t="s">
        <v>515</v>
      </c>
      <c r="C1514" s="113" t="s">
        <v>515</v>
      </c>
      <c r="D1514" s="393" t="s">
        <v>516</v>
      </c>
      <c r="E1514" s="394" t="s">
        <v>517</v>
      </c>
      <c r="G1514" s="405" t="s">
        <v>518</v>
      </c>
      <c r="H1514" s="74">
        <v>3357</v>
      </c>
      <c r="I1514" s="50" t="s">
        <v>1</v>
      </c>
      <c r="J1514" s="339" t="s">
        <v>81</v>
      </c>
      <c r="K1514" s="51">
        <v>41226</v>
      </c>
      <c r="L1514" s="173">
        <v>41221</v>
      </c>
      <c r="M1514" s="50">
        <f t="shared" si="74"/>
        <v>5</v>
      </c>
      <c r="N1514" s="50" t="s">
        <v>2</v>
      </c>
      <c r="O1514" s="74">
        <f>1.4/2</f>
        <v>0.7</v>
      </c>
      <c r="P1514" s="50">
        <v>4.09</v>
      </c>
      <c r="Q1514" s="74">
        <v>6.01</v>
      </c>
      <c r="R1514" s="50">
        <v>12</v>
      </c>
      <c r="S1514" s="74">
        <f>5/2</f>
        <v>2.5</v>
      </c>
      <c r="T1514" s="50">
        <v>0.03</v>
      </c>
      <c r="U1514" s="131">
        <v>0.48</v>
      </c>
      <c r="V1514" s="50">
        <v>0.34</v>
      </c>
      <c r="W1514" s="74">
        <v>8.9999999999999993E-3</v>
      </c>
      <c r="X1514" s="50">
        <v>0.114</v>
      </c>
      <c r="Y1514" s="74">
        <v>3.0000000000000001E-3</v>
      </c>
      <c r="Z1514" s="271">
        <v>1</v>
      </c>
      <c r="AA1514" s="271">
        <v>1</v>
      </c>
      <c r="AB1514" s="114">
        <v>6</v>
      </c>
      <c r="AC1514" s="50">
        <v>39</v>
      </c>
      <c r="AD1514" s="271">
        <v>1</v>
      </c>
    </row>
    <row r="1515" spans="1:30" ht="15" customHeight="1">
      <c r="A1515" s="41" t="s">
        <v>183</v>
      </c>
      <c r="B1515" s="402" t="s">
        <v>3213</v>
      </c>
      <c r="C1515" s="113" t="s">
        <v>3213</v>
      </c>
      <c r="D1515" s="393" t="s">
        <v>2691</v>
      </c>
      <c r="E1515" s="394" t="s">
        <v>4233</v>
      </c>
      <c r="G1515" s="405" t="s">
        <v>3215</v>
      </c>
      <c r="H1515" s="74">
        <v>4142</v>
      </c>
      <c r="I1515" s="50" t="s">
        <v>2</v>
      </c>
      <c r="J1515" s="339" t="s">
        <v>81</v>
      </c>
      <c r="K1515" s="51">
        <v>41245</v>
      </c>
      <c r="L1515" s="173">
        <v>41240</v>
      </c>
      <c r="M1515" s="50">
        <f t="shared" si="74"/>
        <v>5</v>
      </c>
      <c r="N1515" s="50" t="s">
        <v>2</v>
      </c>
      <c r="O1515" s="74">
        <f>2/2</f>
        <v>1</v>
      </c>
      <c r="P1515" s="50">
        <v>5.3</v>
      </c>
      <c r="Q1515" s="74">
        <v>6.3</v>
      </c>
      <c r="R1515" s="50">
        <v>19</v>
      </c>
      <c r="S1515" s="74">
        <v>23</v>
      </c>
      <c r="T1515" s="50">
        <v>0.1</v>
      </c>
      <c r="U1515" s="131">
        <v>1.26</v>
      </c>
      <c r="V1515" s="50">
        <v>0.4</v>
      </c>
      <c r="W1515" s="74">
        <v>4.2999999999999997E-2</v>
      </c>
      <c r="X1515" s="50">
        <v>0.17899999999999999</v>
      </c>
      <c r="Y1515" s="74">
        <f>0.03/2</f>
        <v>1.4999999999999999E-2</v>
      </c>
      <c r="Z1515" s="271">
        <v>1</v>
      </c>
      <c r="AA1515" s="271">
        <v>1</v>
      </c>
      <c r="AB1515" s="114">
        <v>13</v>
      </c>
      <c r="AC1515" s="50">
        <v>133</v>
      </c>
      <c r="AD1515" s="271">
        <v>0.95</v>
      </c>
    </row>
    <row r="1516" spans="1:30" ht="15" customHeight="1">
      <c r="A1516" s="41" t="s">
        <v>183</v>
      </c>
      <c r="B1516" s="402" t="s">
        <v>1120</v>
      </c>
      <c r="D1516" s="393" t="s">
        <v>347</v>
      </c>
      <c r="E1516" s="394" t="s">
        <v>3496</v>
      </c>
      <c r="G1516" s="405" t="s">
        <v>1121</v>
      </c>
      <c r="H1516" s="74">
        <v>4953</v>
      </c>
      <c r="I1516" s="50" t="s">
        <v>2</v>
      </c>
      <c r="J1516" s="339" t="s">
        <v>4729</v>
      </c>
      <c r="K1516" s="51">
        <v>41116</v>
      </c>
      <c r="L1516" s="173">
        <v>41113</v>
      </c>
      <c r="M1516" s="50">
        <f t="shared" si="74"/>
        <v>3</v>
      </c>
      <c r="N1516" s="50" t="s">
        <v>2</v>
      </c>
      <c r="O1516" s="74">
        <v>3.1</v>
      </c>
      <c r="P1516" s="50">
        <v>7</v>
      </c>
      <c r="Q1516" s="74">
        <v>6.3</v>
      </c>
      <c r="R1516" s="50">
        <v>46</v>
      </c>
      <c r="S1516" s="74">
        <v>49</v>
      </c>
      <c r="T1516" s="50">
        <v>0.12</v>
      </c>
      <c r="U1516" s="131">
        <v>1.74</v>
      </c>
      <c r="V1516" s="50">
        <v>0.34</v>
      </c>
      <c r="W1516" s="74">
        <v>3.5000000000000003E-2</v>
      </c>
      <c r="X1516" s="50">
        <v>0.27200000000000002</v>
      </c>
      <c r="Y1516" s="74">
        <f>0.03/2</f>
        <v>1.4999999999999999E-2</v>
      </c>
    </row>
    <row r="1517" spans="1:30" ht="15" customHeight="1">
      <c r="A1517" s="41" t="s">
        <v>183</v>
      </c>
      <c r="B1517" s="402" t="s">
        <v>2499</v>
      </c>
      <c r="C1517" s="113" t="s">
        <v>2500</v>
      </c>
      <c r="D1517" s="393" t="s">
        <v>2501</v>
      </c>
      <c r="E1517" s="394" t="s">
        <v>1859</v>
      </c>
      <c r="G1517" s="405" t="s">
        <v>2502</v>
      </c>
      <c r="H1517" s="74">
        <v>3069</v>
      </c>
      <c r="J1517" s="339"/>
      <c r="K1517" s="51">
        <v>41136</v>
      </c>
      <c r="L1517" s="173">
        <v>41131</v>
      </c>
      <c r="M1517" s="50">
        <f t="shared" si="74"/>
        <v>5</v>
      </c>
      <c r="N1517" s="50" t="s">
        <v>2</v>
      </c>
      <c r="O1517" s="74">
        <f>1/2</f>
        <v>0.5</v>
      </c>
      <c r="P1517" s="50">
        <v>6.44</v>
      </c>
      <c r="Q1517" s="74">
        <v>6</v>
      </c>
      <c r="R1517" s="50">
        <v>42</v>
      </c>
      <c r="S1517" s="74">
        <v>120</v>
      </c>
      <c r="T1517" s="50">
        <v>0.34</v>
      </c>
      <c r="U1517" s="131">
        <v>1</v>
      </c>
      <c r="V1517" s="50">
        <v>0.25</v>
      </c>
      <c r="W1517" s="74">
        <v>1.0999999999999999E-2</v>
      </c>
      <c r="X1517" s="50">
        <v>0.13</v>
      </c>
      <c r="Y1517" s="74">
        <v>7.1999999999999995E-2</v>
      </c>
      <c r="Z1517" s="271">
        <v>1</v>
      </c>
      <c r="AA1517" s="271">
        <v>1</v>
      </c>
      <c r="AB1517" s="114">
        <v>4</v>
      </c>
      <c r="AC1517" s="50">
        <v>11</v>
      </c>
      <c r="AD1517" s="271">
        <v>0.5</v>
      </c>
    </row>
    <row r="1518" spans="1:30" ht="15" customHeight="1">
      <c r="A1518" s="41" t="s">
        <v>183</v>
      </c>
      <c r="B1518" s="386" t="s">
        <v>666</v>
      </c>
      <c r="C1518" s="149" t="s">
        <v>673</v>
      </c>
      <c r="D1518" s="392" t="s">
        <v>213</v>
      </c>
      <c r="E1518" s="258" t="s">
        <v>674</v>
      </c>
      <c r="F1518" s="386"/>
      <c r="G1518" s="389" t="s">
        <v>675</v>
      </c>
      <c r="H1518" s="55">
        <v>3724</v>
      </c>
      <c r="I1518" s="54" t="s">
        <v>2</v>
      </c>
      <c r="J1518" s="61" t="s">
        <v>669</v>
      </c>
      <c r="K1518" s="51">
        <v>41131</v>
      </c>
      <c r="L1518" s="173">
        <v>41126</v>
      </c>
      <c r="M1518" s="50">
        <f t="shared" si="74"/>
        <v>5</v>
      </c>
      <c r="N1518" s="50" t="s">
        <v>2</v>
      </c>
      <c r="O1518" s="74">
        <f>1/2</f>
        <v>0.5</v>
      </c>
      <c r="P1518" s="50">
        <v>6.61</v>
      </c>
      <c r="Q1518" s="74">
        <v>6.79</v>
      </c>
      <c r="R1518" s="50">
        <v>22.2</v>
      </c>
      <c r="S1518" s="74">
        <v>12</v>
      </c>
      <c r="T1518" s="50">
        <v>0.28999999999999998</v>
      </c>
      <c r="U1518" s="131">
        <v>2.16</v>
      </c>
      <c r="V1518" s="50">
        <v>0.39</v>
      </c>
      <c r="W1518" s="74">
        <v>2.9000000000000001E-2</v>
      </c>
      <c r="X1518" s="50">
        <v>9.7000000000000003E-2</v>
      </c>
      <c r="Y1518" s="74">
        <v>3.0000000000000001E-3</v>
      </c>
      <c r="Z1518" s="271">
        <v>1</v>
      </c>
      <c r="AA1518" s="271">
        <v>1</v>
      </c>
      <c r="AB1518" s="114">
        <v>11.03</v>
      </c>
      <c r="AC1518" s="50">
        <v>32</v>
      </c>
      <c r="AD1518" s="271">
        <v>0.6</v>
      </c>
    </row>
    <row r="1519" spans="1:30" ht="15" customHeight="1">
      <c r="A1519" s="41" t="s">
        <v>183</v>
      </c>
      <c r="B1519" s="386" t="s">
        <v>666</v>
      </c>
      <c r="C1519" s="149" t="s">
        <v>673</v>
      </c>
      <c r="D1519" s="392" t="s">
        <v>213</v>
      </c>
      <c r="E1519" s="258" t="s">
        <v>674</v>
      </c>
      <c r="F1519" s="386"/>
      <c r="G1519" s="389" t="s">
        <v>675</v>
      </c>
      <c r="H1519" s="55">
        <v>3724</v>
      </c>
      <c r="I1519" s="54" t="s">
        <v>2</v>
      </c>
      <c r="J1519" s="61" t="s">
        <v>676</v>
      </c>
      <c r="K1519" s="51">
        <v>41131</v>
      </c>
      <c r="L1519" s="173">
        <v>41126</v>
      </c>
      <c r="M1519" s="50">
        <f t="shared" si="74"/>
        <v>5</v>
      </c>
      <c r="N1519" s="50" t="s">
        <v>2</v>
      </c>
      <c r="O1519" s="74">
        <f>1/2</f>
        <v>0.5</v>
      </c>
      <c r="P1519" s="50">
        <v>6.61</v>
      </c>
      <c r="Q1519" s="74">
        <v>5.2</v>
      </c>
      <c r="R1519" s="50">
        <v>38.4</v>
      </c>
      <c r="S1519" s="74">
        <v>300</v>
      </c>
      <c r="T1519" s="50">
        <v>1.07</v>
      </c>
      <c r="U1519" s="131">
        <v>7.94</v>
      </c>
      <c r="V1519" s="50">
        <v>1.1100000000000001</v>
      </c>
      <c r="W1519" s="74">
        <v>0.14799999999999999</v>
      </c>
      <c r="X1519" s="50">
        <v>0.79100000000000004</v>
      </c>
      <c r="Y1519" s="74">
        <v>3.3000000000000002E-2</v>
      </c>
      <c r="Z1519" s="271">
        <v>1</v>
      </c>
      <c r="AA1519" s="271">
        <v>0.82</v>
      </c>
      <c r="AB1519" s="114">
        <v>46.33</v>
      </c>
      <c r="AC1519" s="50">
        <v>60</v>
      </c>
      <c r="AD1519" s="271">
        <v>0.3</v>
      </c>
    </row>
    <row r="1520" spans="1:30" ht="15" customHeight="1">
      <c r="A1520" s="41" t="s">
        <v>183</v>
      </c>
      <c r="B1520" s="402" t="s">
        <v>4730</v>
      </c>
      <c r="C1520" s="113" t="s">
        <v>4731</v>
      </c>
      <c r="D1520" s="393" t="s">
        <v>4743</v>
      </c>
      <c r="E1520" s="394" t="s">
        <v>4732</v>
      </c>
      <c r="G1520" s="405" t="s">
        <v>4733</v>
      </c>
      <c r="H1520" s="74">
        <v>2421</v>
      </c>
      <c r="I1520" s="50" t="s">
        <v>2</v>
      </c>
      <c r="J1520" s="343" t="s">
        <v>1943</v>
      </c>
      <c r="K1520" s="51">
        <v>41170</v>
      </c>
      <c r="L1520" s="173"/>
      <c r="N1520" s="50" t="s">
        <v>1</v>
      </c>
      <c r="O1520" s="74">
        <f>1.8/2</f>
        <v>0.9</v>
      </c>
      <c r="P1520" s="50">
        <v>5</v>
      </c>
      <c r="Q1520" s="74">
        <v>5.6</v>
      </c>
      <c r="R1520" s="50">
        <v>15</v>
      </c>
      <c r="S1520" s="74">
        <v>9</v>
      </c>
      <c r="T1520" s="50">
        <v>0.04</v>
      </c>
      <c r="U1520" s="131">
        <v>0.53</v>
      </c>
      <c r="V1520" s="50">
        <v>0.01</v>
      </c>
      <c r="W1520" s="74">
        <f>0.005/2</f>
        <v>2.5000000000000001E-3</v>
      </c>
      <c r="X1520" s="50">
        <v>3.0000000000000001E-3</v>
      </c>
      <c r="Y1520" s="74">
        <f t="shared" ref="Y1520:Y1525" si="75">0.002/2</f>
        <v>1E-3</v>
      </c>
    </row>
    <row r="1521" spans="1:36" ht="15" customHeight="1">
      <c r="A1521" s="41" t="s">
        <v>183</v>
      </c>
      <c r="B1521" s="402" t="s">
        <v>4730</v>
      </c>
      <c r="D1521" s="393" t="s">
        <v>4743</v>
      </c>
      <c r="E1521" s="394" t="s">
        <v>4732</v>
      </c>
      <c r="G1521" s="405" t="s">
        <v>4733</v>
      </c>
      <c r="H1521" s="74">
        <v>2421</v>
      </c>
      <c r="I1521" s="50" t="s">
        <v>2</v>
      </c>
      <c r="J1521" s="343" t="s">
        <v>1943</v>
      </c>
      <c r="K1521" s="51">
        <v>41156</v>
      </c>
      <c r="L1521" s="173"/>
      <c r="N1521" s="50" t="s">
        <v>2</v>
      </c>
      <c r="O1521" s="74">
        <f>1.6/2</f>
        <v>0.8</v>
      </c>
      <c r="P1521" s="50">
        <v>6.4</v>
      </c>
      <c r="Q1521" s="74">
        <v>5.67</v>
      </c>
      <c r="R1521" s="50">
        <v>22</v>
      </c>
      <c r="S1521" s="74">
        <f>5/2</f>
        <v>2.5</v>
      </c>
      <c r="T1521" s="50">
        <v>0.18</v>
      </c>
      <c r="U1521" s="131">
        <v>0.71</v>
      </c>
      <c r="V1521" s="50">
        <v>0.02</v>
      </c>
      <c r="W1521" s="74">
        <v>1E-3</v>
      </c>
      <c r="X1521" s="50">
        <v>5.0000000000000001E-3</v>
      </c>
      <c r="Y1521" s="74">
        <f t="shared" si="75"/>
        <v>1E-3</v>
      </c>
      <c r="Z1521" s="271">
        <v>1</v>
      </c>
      <c r="AA1521" s="271">
        <v>1</v>
      </c>
      <c r="AB1521" s="114">
        <v>22</v>
      </c>
      <c r="AC1521" s="50">
        <v>72</v>
      </c>
      <c r="AD1521" s="271">
        <v>1</v>
      </c>
    </row>
    <row r="1522" spans="1:36" ht="15" customHeight="1">
      <c r="A1522" s="41" t="s">
        <v>183</v>
      </c>
      <c r="B1522" s="386" t="s">
        <v>204</v>
      </c>
      <c r="C1522" s="149" t="s">
        <v>204</v>
      </c>
      <c r="D1522" s="392" t="s">
        <v>205</v>
      </c>
      <c r="E1522" s="258"/>
      <c r="F1522" s="386"/>
      <c r="G1522" s="389" t="s">
        <v>206</v>
      </c>
      <c r="H1522" s="55">
        <v>8744</v>
      </c>
      <c r="I1522" s="54" t="s">
        <v>2</v>
      </c>
      <c r="J1522" s="61" t="s">
        <v>81</v>
      </c>
      <c r="K1522" s="51">
        <v>41201</v>
      </c>
      <c r="L1522" s="173">
        <v>41197</v>
      </c>
      <c r="M1522" s="50">
        <f>K1522-L1522</f>
        <v>4</v>
      </c>
      <c r="N1522" s="50" t="s">
        <v>2</v>
      </c>
      <c r="O1522" s="74">
        <f>1.4/2</f>
        <v>0.7</v>
      </c>
      <c r="P1522" s="50">
        <v>5.8</v>
      </c>
      <c r="Q1522" s="74">
        <v>6.91</v>
      </c>
      <c r="R1522" s="50">
        <v>14</v>
      </c>
      <c r="S1522" s="74">
        <v>5</v>
      </c>
      <c r="T1522" s="50">
        <v>0.16</v>
      </c>
      <c r="U1522" s="131">
        <v>0.45</v>
      </c>
      <c r="V1522" s="50">
        <v>0.14000000000000001</v>
      </c>
      <c r="W1522" s="74">
        <v>6.0000000000000001E-3</v>
      </c>
      <c r="X1522" s="50">
        <v>1.7000000000000001E-2</v>
      </c>
      <c r="Y1522" s="74">
        <f t="shared" si="75"/>
        <v>1E-3</v>
      </c>
    </row>
    <row r="1523" spans="1:36" ht="15" customHeight="1">
      <c r="A1523" s="41" t="s">
        <v>183</v>
      </c>
      <c r="B1523" s="386" t="s">
        <v>204</v>
      </c>
      <c r="C1523" s="149" t="s">
        <v>204</v>
      </c>
      <c r="D1523" s="392" t="s">
        <v>205</v>
      </c>
      <c r="E1523" s="258"/>
      <c r="F1523" s="386"/>
      <c r="G1523" s="389" t="s">
        <v>206</v>
      </c>
      <c r="H1523" s="55">
        <v>8744</v>
      </c>
      <c r="I1523" s="54" t="s">
        <v>2</v>
      </c>
      <c r="J1523" s="61" t="s">
        <v>422</v>
      </c>
      <c r="K1523" s="51">
        <v>41201</v>
      </c>
      <c r="L1523" s="173">
        <v>41197</v>
      </c>
      <c r="M1523" s="50">
        <f>K1523-L1523</f>
        <v>4</v>
      </c>
      <c r="N1523" s="50" t="s">
        <v>2</v>
      </c>
      <c r="O1523" s="74">
        <f>1.4/2</f>
        <v>0.7</v>
      </c>
      <c r="P1523" s="50">
        <v>5.8</v>
      </c>
      <c r="Q1523" s="74">
        <v>6.53</v>
      </c>
      <c r="R1523" s="50">
        <f>10/2</f>
        <v>5</v>
      </c>
      <c r="S1523" s="74">
        <f>5/2</f>
        <v>2.5</v>
      </c>
      <c r="T1523" s="50">
        <v>0.02</v>
      </c>
      <c r="U1523" s="131">
        <v>0.28999999999999998</v>
      </c>
      <c r="V1523" s="50">
        <v>0.15</v>
      </c>
      <c r="W1523" s="74">
        <f>0.005/2</f>
        <v>2.5000000000000001E-3</v>
      </c>
      <c r="X1523" s="50">
        <v>5.0000000000000001E-3</v>
      </c>
      <c r="Y1523" s="74">
        <f t="shared" si="75"/>
        <v>1E-3</v>
      </c>
    </row>
    <row r="1524" spans="1:36" ht="15" customHeight="1">
      <c r="A1524" s="41" t="s">
        <v>183</v>
      </c>
      <c r="B1524" s="402" t="s">
        <v>4734</v>
      </c>
      <c r="D1524" s="393" t="s">
        <v>397</v>
      </c>
      <c r="E1524" s="394" t="s">
        <v>398</v>
      </c>
      <c r="G1524" s="405" t="s">
        <v>4735</v>
      </c>
      <c r="H1524" s="74">
        <v>2631</v>
      </c>
      <c r="I1524" s="50" t="s">
        <v>2</v>
      </c>
      <c r="J1524" s="339" t="s">
        <v>460</v>
      </c>
      <c r="K1524" s="51">
        <v>40981</v>
      </c>
      <c r="L1524" s="173">
        <v>40976</v>
      </c>
      <c r="M1524" s="50">
        <f>K1524-L1524</f>
        <v>5</v>
      </c>
      <c r="N1524" s="50" t="s">
        <v>2</v>
      </c>
      <c r="O1524" s="74">
        <f>1.4/2</f>
        <v>0.7</v>
      </c>
      <c r="P1524" s="50">
        <v>7</v>
      </c>
      <c r="Q1524" s="74">
        <v>6.93</v>
      </c>
      <c r="R1524" s="50">
        <v>68</v>
      </c>
      <c r="S1524" s="74">
        <f>5/2</f>
        <v>2.5</v>
      </c>
      <c r="T1524" s="50">
        <v>0.04</v>
      </c>
      <c r="U1524" s="131">
        <v>1.2</v>
      </c>
      <c r="V1524" s="50">
        <v>1.21</v>
      </c>
      <c r="W1524" s="74">
        <v>8.0000000000000002E-3</v>
      </c>
      <c r="X1524" s="50">
        <v>5.2999999999999999E-2</v>
      </c>
      <c r="Y1524" s="74">
        <f t="shared" si="75"/>
        <v>1E-3</v>
      </c>
    </row>
    <row r="1525" spans="1:36" ht="15" customHeight="1">
      <c r="A1525" s="41" t="s">
        <v>183</v>
      </c>
      <c r="B1525" s="402" t="s">
        <v>4734</v>
      </c>
      <c r="D1525" s="393" t="s">
        <v>397</v>
      </c>
      <c r="E1525" s="394" t="s">
        <v>398</v>
      </c>
      <c r="G1525" s="405" t="s">
        <v>4735</v>
      </c>
      <c r="H1525" s="74">
        <v>2631</v>
      </c>
      <c r="I1525" s="50" t="s">
        <v>2</v>
      </c>
      <c r="J1525" s="339" t="s">
        <v>460</v>
      </c>
      <c r="K1525" s="51">
        <v>41180</v>
      </c>
      <c r="L1525" s="173">
        <v>41175</v>
      </c>
      <c r="M1525" s="50">
        <f>K1525-L1525</f>
        <v>5</v>
      </c>
      <c r="N1525" s="50" t="s">
        <v>2</v>
      </c>
      <c r="O1525" s="74">
        <f>1.4/2</f>
        <v>0.7</v>
      </c>
      <c r="P1525" s="50">
        <v>5.0999999999999996</v>
      </c>
      <c r="Q1525" s="74">
        <v>6.71</v>
      </c>
      <c r="R1525" s="50">
        <v>90</v>
      </c>
      <c r="S1525" s="74">
        <v>14</v>
      </c>
      <c r="T1525" s="50">
        <v>0.06</v>
      </c>
      <c r="U1525" s="131">
        <v>1.3</v>
      </c>
      <c r="V1525" s="50">
        <v>1.33</v>
      </c>
      <c r="W1525" s="74">
        <v>6.0000000000000001E-3</v>
      </c>
      <c r="X1525" s="50">
        <v>4.3999999999999997E-2</v>
      </c>
      <c r="Y1525" s="74">
        <f t="shared" si="75"/>
        <v>1E-3</v>
      </c>
      <c r="Z1525" s="271">
        <v>1</v>
      </c>
      <c r="AA1525" s="271">
        <v>1</v>
      </c>
      <c r="AB1525" s="114">
        <v>20</v>
      </c>
      <c r="AC1525" s="50">
        <v>96</v>
      </c>
      <c r="AD1525" s="271">
        <v>1</v>
      </c>
      <c r="AI1525" s="114" t="s">
        <v>1535</v>
      </c>
      <c r="AJ1525" s="114" t="s">
        <v>1535</v>
      </c>
    </row>
    <row r="1526" spans="1:36" ht="15" customHeight="1">
      <c r="A1526" s="41" t="s">
        <v>183</v>
      </c>
      <c r="B1526" s="402" t="s">
        <v>2096</v>
      </c>
      <c r="D1526" s="393" t="s">
        <v>372</v>
      </c>
      <c r="E1526" s="394" t="s">
        <v>235</v>
      </c>
      <c r="G1526" s="405" t="s">
        <v>3624</v>
      </c>
      <c r="H1526" s="74">
        <v>3316</v>
      </c>
      <c r="I1526" s="50" t="s">
        <v>1</v>
      </c>
      <c r="J1526" s="339" t="s">
        <v>255</v>
      </c>
      <c r="K1526" s="51">
        <v>41131</v>
      </c>
      <c r="L1526" s="173">
        <v>41126</v>
      </c>
      <c r="M1526" s="50">
        <f>K1526-L1526</f>
        <v>5</v>
      </c>
      <c r="N1526" s="50" t="s">
        <v>2</v>
      </c>
      <c r="O1526" s="74">
        <f>1/2</f>
        <v>0.5</v>
      </c>
      <c r="P1526" s="50">
        <v>5.2</v>
      </c>
      <c r="Q1526" s="74">
        <v>5.7</v>
      </c>
      <c r="R1526" s="50">
        <v>11.3</v>
      </c>
      <c r="S1526" s="74">
        <v>6</v>
      </c>
      <c r="T1526" s="50">
        <v>0.2</v>
      </c>
      <c r="U1526" s="131">
        <v>1.1000000000000001</v>
      </c>
      <c r="V1526" s="50">
        <v>0.3</v>
      </c>
      <c r="W1526" s="74">
        <v>3.4000000000000002E-2</v>
      </c>
      <c r="X1526" s="50">
        <v>0.49</v>
      </c>
      <c r="Y1526" s="74">
        <v>5.0000000000000001E-3</v>
      </c>
    </row>
    <row r="1527" spans="1:36" ht="15" customHeight="1">
      <c r="A1527" s="41" t="s">
        <v>183</v>
      </c>
      <c r="B1527" s="402" t="s">
        <v>3220</v>
      </c>
      <c r="C1527" s="113" t="s">
        <v>3220</v>
      </c>
      <c r="D1527" s="393" t="s">
        <v>295</v>
      </c>
      <c r="E1527" s="394" t="s">
        <v>535</v>
      </c>
      <c r="G1527" s="405" t="s">
        <v>3221</v>
      </c>
      <c r="H1527" s="113">
        <v>2834</v>
      </c>
      <c r="I1527" s="49" t="s">
        <v>1</v>
      </c>
      <c r="J1527" s="48" t="s">
        <v>4736</v>
      </c>
      <c r="K1527" s="51">
        <v>41072</v>
      </c>
      <c r="L1527" s="173"/>
      <c r="N1527" s="50" t="s">
        <v>2</v>
      </c>
      <c r="O1527" s="74">
        <f>1.4/2</f>
        <v>0.7</v>
      </c>
      <c r="P1527" s="50">
        <v>4.5</v>
      </c>
      <c r="Q1527" s="74">
        <v>8</v>
      </c>
      <c r="R1527" s="50">
        <f>10/2</f>
        <v>5</v>
      </c>
      <c r="S1527" s="74">
        <f>5/2</f>
        <v>2.5</v>
      </c>
      <c r="T1527" s="50">
        <v>0.04</v>
      </c>
      <c r="U1527" s="131">
        <v>0.57999999999999996</v>
      </c>
      <c r="V1527" s="50">
        <v>0.5</v>
      </c>
      <c r="W1527" s="74">
        <f>0.005/2</f>
        <v>2.5000000000000001E-3</v>
      </c>
      <c r="X1527" s="50">
        <v>4.0000000000000001E-3</v>
      </c>
      <c r="Y1527" s="74">
        <f>0.002/2</f>
        <v>1E-3</v>
      </c>
      <c r="AE1527" s="50">
        <v>44</v>
      </c>
    </row>
    <row r="1528" spans="1:36" ht="15" customHeight="1">
      <c r="A1528" s="41" t="s">
        <v>183</v>
      </c>
      <c r="B1528" s="402" t="s">
        <v>3220</v>
      </c>
      <c r="C1528" s="113" t="s">
        <v>3220</v>
      </c>
      <c r="D1528" s="393" t="s">
        <v>295</v>
      </c>
      <c r="E1528" s="394" t="s">
        <v>535</v>
      </c>
      <c r="G1528" s="405" t="s">
        <v>3221</v>
      </c>
      <c r="H1528" s="113">
        <v>2834</v>
      </c>
      <c r="I1528" s="49" t="s">
        <v>1</v>
      </c>
      <c r="J1528" s="48" t="s">
        <v>2362</v>
      </c>
      <c r="K1528" s="51">
        <v>41072</v>
      </c>
      <c r="L1528" s="173"/>
      <c r="N1528" s="50" t="s">
        <v>2</v>
      </c>
      <c r="O1528" s="74">
        <f>1.4/2</f>
        <v>0.7</v>
      </c>
      <c r="P1528" s="50">
        <v>4.5</v>
      </c>
      <c r="Q1528" s="74">
        <v>7.85</v>
      </c>
      <c r="R1528" s="50">
        <f>10/2</f>
        <v>5</v>
      </c>
      <c r="S1528" s="74">
        <v>160</v>
      </c>
      <c r="T1528" s="50">
        <v>0.21</v>
      </c>
      <c r="U1528" s="131">
        <v>1.48</v>
      </c>
      <c r="V1528" s="50">
        <v>0.06</v>
      </c>
      <c r="W1528" s="74">
        <f>0.005/2</f>
        <v>2.5000000000000001E-3</v>
      </c>
      <c r="X1528" s="50">
        <v>8.9999999999999993E-3</v>
      </c>
      <c r="Y1528" s="74">
        <v>7.0000000000000001E-3</v>
      </c>
      <c r="AE1528" s="50">
        <v>435</v>
      </c>
    </row>
    <row r="1529" spans="1:36" ht="15" customHeight="1">
      <c r="A1529" s="41" t="s">
        <v>183</v>
      </c>
      <c r="B1529" s="402" t="s">
        <v>3220</v>
      </c>
      <c r="C1529" s="113" t="s">
        <v>3220</v>
      </c>
      <c r="D1529" s="393" t="s">
        <v>295</v>
      </c>
      <c r="E1529" s="394" t="s">
        <v>535</v>
      </c>
      <c r="G1529" s="405" t="s">
        <v>3221</v>
      </c>
      <c r="H1529" s="113">
        <v>2834</v>
      </c>
      <c r="I1529" s="49" t="s">
        <v>1</v>
      </c>
      <c r="J1529" s="48" t="s">
        <v>3223</v>
      </c>
      <c r="K1529" s="51">
        <v>41072</v>
      </c>
      <c r="L1529" s="173"/>
      <c r="N1529" s="50" t="s">
        <v>2</v>
      </c>
      <c r="O1529" s="74">
        <f>1.4/2</f>
        <v>0.7</v>
      </c>
      <c r="P1529" s="50">
        <v>4.5</v>
      </c>
      <c r="Q1529" s="74">
        <v>7.76</v>
      </c>
      <c r="R1529" s="50">
        <v>22</v>
      </c>
      <c r="S1529" s="74">
        <f>5/2</f>
        <v>2.5</v>
      </c>
      <c r="T1529" s="50">
        <v>0.04</v>
      </c>
      <c r="U1529" s="131">
        <v>0.59</v>
      </c>
      <c r="V1529" s="50">
        <v>0.09</v>
      </c>
      <c r="W1529" s="74">
        <f>0.005/2</f>
        <v>2.5000000000000001E-3</v>
      </c>
      <c r="X1529" s="50">
        <v>4.0000000000000001E-3</v>
      </c>
      <c r="Y1529" s="74">
        <f>0.002/2</f>
        <v>1E-3</v>
      </c>
      <c r="AE1529" s="50">
        <v>2</v>
      </c>
    </row>
    <row r="1530" spans="1:36" ht="15" customHeight="1">
      <c r="A1530" s="41" t="s">
        <v>183</v>
      </c>
      <c r="B1530" s="402" t="s">
        <v>3220</v>
      </c>
      <c r="C1530" s="113" t="s">
        <v>3220</v>
      </c>
      <c r="D1530" s="393" t="s">
        <v>295</v>
      </c>
      <c r="E1530" s="394" t="s">
        <v>535</v>
      </c>
      <c r="G1530" s="405" t="s">
        <v>3221</v>
      </c>
      <c r="H1530" s="113">
        <v>2834</v>
      </c>
      <c r="I1530" s="49" t="s">
        <v>1</v>
      </c>
      <c r="J1530" s="48" t="s">
        <v>3224</v>
      </c>
      <c r="K1530" s="51">
        <v>41072</v>
      </c>
      <c r="L1530" s="173"/>
      <c r="N1530" s="50" t="s">
        <v>2</v>
      </c>
      <c r="O1530" s="74">
        <f>1.4/2</f>
        <v>0.7</v>
      </c>
      <c r="P1530" s="50">
        <v>4.5</v>
      </c>
      <c r="Q1530" s="74">
        <v>7.92</v>
      </c>
      <c r="R1530" s="50">
        <v>24</v>
      </c>
      <c r="S1530" s="74">
        <f>5/2</f>
        <v>2.5</v>
      </c>
      <c r="T1530" s="50">
        <v>0.06</v>
      </c>
      <c r="U1530" s="131">
        <v>0.82</v>
      </c>
      <c r="V1530" s="50">
        <f>0.01/2</f>
        <v>5.0000000000000001E-3</v>
      </c>
      <c r="W1530" s="74">
        <f>0.005/2</f>
        <v>2.5000000000000001E-3</v>
      </c>
      <c r="X1530" s="50">
        <v>3.0000000000000001E-3</v>
      </c>
      <c r="Y1530" s="74">
        <f>0.005/2</f>
        <v>2.5000000000000001E-3</v>
      </c>
      <c r="AE1530" s="50">
        <v>3</v>
      </c>
    </row>
    <row r="1531" spans="1:36" ht="15" customHeight="1">
      <c r="A1531" s="41" t="s">
        <v>183</v>
      </c>
      <c r="B1531" s="402" t="s">
        <v>2182</v>
      </c>
      <c r="D1531" s="393" t="s">
        <v>2377</v>
      </c>
      <c r="E1531" s="394" t="s">
        <v>2183</v>
      </c>
      <c r="G1531" s="405" t="s">
        <v>2184</v>
      </c>
      <c r="H1531" s="113">
        <v>3499</v>
      </c>
      <c r="I1531" s="49" t="s">
        <v>2</v>
      </c>
      <c r="J1531" s="48" t="s">
        <v>1125</v>
      </c>
      <c r="K1531" s="51">
        <v>41170</v>
      </c>
      <c r="L1531" s="173">
        <v>41160</v>
      </c>
      <c r="M1531" s="50">
        <f>K1531-L1531</f>
        <v>10</v>
      </c>
      <c r="N1531" s="50" t="s">
        <v>2</v>
      </c>
      <c r="O1531" s="74">
        <v>2</v>
      </c>
      <c r="P1531" s="50">
        <v>5</v>
      </c>
      <c r="Q1531" s="74">
        <v>6</v>
      </c>
      <c r="R1531" s="50">
        <v>15</v>
      </c>
      <c r="S1531" s="74">
        <v>9</v>
      </c>
      <c r="T1531" s="50">
        <v>0.06</v>
      </c>
      <c r="U1531" s="131">
        <v>0.82</v>
      </c>
      <c r="V1531" s="50">
        <v>0.84</v>
      </c>
      <c r="W1531" s="74">
        <v>9.7000000000000003E-2</v>
      </c>
      <c r="X1531" s="50">
        <v>0.23400000000000001</v>
      </c>
      <c r="Y1531" s="74">
        <f>0.03/2</f>
        <v>1.4999999999999999E-2</v>
      </c>
    </row>
    <row r="1532" spans="1:36" ht="15" customHeight="1">
      <c r="A1532" s="41" t="s">
        <v>183</v>
      </c>
      <c r="B1532" s="402" t="s">
        <v>2182</v>
      </c>
      <c r="D1532" s="393" t="s">
        <v>2377</v>
      </c>
      <c r="E1532" s="394" t="s">
        <v>2183</v>
      </c>
      <c r="G1532" s="405" t="s">
        <v>2184</v>
      </c>
      <c r="H1532" s="113">
        <v>3499</v>
      </c>
      <c r="I1532" s="49" t="s">
        <v>2</v>
      </c>
      <c r="J1532" s="48" t="s">
        <v>1126</v>
      </c>
      <c r="K1532" s="51">
        <v>41170</v>
      </c>
      <c r="L1532" s="173">
        <v>41160</v>
      </c>
      <c r="M1532" s="50">
        <f>K1532-L1532</f>
        <v>10</v>
      </c>
      <c r="N1532" s="50" t="s">
        <v>2</v>
      </c>
      <c r="O1532" s="74">
        <v>4</v>
      </c>
      <c r="P1532" s="50">
        <v>5</v>
      </c>
      <c r="Q1532" s="74">
        <v>6</v>
      </c>
      <c r="R1532" s="50">
        <v>132</v>
      </c>
      <c r="S1532" s="74">
        <v>60</v>
      </c>
      <c r="T1532" s="50">
        <v>0.27</v>
      </c>
      <c r="U1532" s="131">
        <v>2.27</v>
      </c>
      <c r="V1532" s="50">
        <v>0.47</v>
      </c>
      <c r="W1532" s="74">
        <v>5.7000000000000002E-2</v>
      </c>
      <c r="X1532" s="50">
        <v>0.47799999999999998</v>
      </c>
      <c r="Y1532" s="74">
        <f>0.03/2</f>
        <v>1.4999999999999999E-2</v>
      </c>
    </row>
    <row r="1533" spans="1:36" ht="15" customHeight="1">
      <c r="A1533" s="41" t="s">
        <v>183</v>
      </c>
      <c r="B1533" s="402" t="s">
        <v>4737</v>
      </c>
      <c r="D1533" s="393" t="s">
        <v>89</v>
      </c>
      <c r="G1533" s="405" t="s">
        <v>4738</v>
      </c>
      <c r="H1533" s="74"/>
      <c r="J1533" s="339"/>
      <c r="K1533" s="51">
        <v>41201</v>
      </c>
      <c r="L1533" s="173">
        <v>41197</v>
      </c>
      <c r="M1533" s="50">
        <f>K1533-L1533</f>
        <v>4</v>
      </c>
      <c r="N1533" s="50" t="s">
        <v>2</v>
      </c>
      <c r="O1533" s="74">
        <f>1/2</f>
        <v>0.5</v>
      </c>
      <c r="P1533" s="50">
        <v>6.3</v>
      </c>
      <c r="Q1533" s="74">
        <v>8</v>
      </c>
      <c r="R1533" s="50">
        <v>84</v>
      </c>
      <c r="S1533" s="74">
        <v>489</v>
      </c>
      <c r="T1533" s="50">
        <v>0.31</v>
      </c>
      <c r="U1533" s="131">
        <v>1.82</v>
      </c>
      <c r="V1533" s="50">
        <v>0.65</v>
      </c>
      <c r="W1533" s="74">
        <v>0.01</v>
      </c>
      <c r="X1533" s="50">
        <v>0.16</v>
      </c>
      <c r="Y1533" s="74">
        <v>5.0000000000000001E-3</v>
      </c>
      <c r="Z1533" s="271">
        <v>1</v>
      </c>
      <c r="AA1533" s="271">
        <v>1</v>
      </c>
      <c r="AB1533" s="114">
        <v>30</v>
      </c>
      <c r="AC1533" s="50">
        <v>91</v>
      </c>
      <c r="AD1533" s="271">
        <v>1</v>
      </c>
    </row>
    <row r="1534" spans="1:36" ht="15" customHeight="1">
      <c r="A1534" s="41" t="s">
        <v>183</v>
      </c>
      <c r="B1534" s="402" t="s">
        <v>4737</v>
      </c>
      <c r="D1534" s="393" t="s">
        <v>89</v>
      </c>
      <c r="G1534" s="405" t="s">
        <v>4738</v>
      </c>
      <c r="H1534" s="74"/>
      <c r="J1534" s="339"/>
      <c r="K1534" s="51">
        <v>41201</v>
      </c>
      <c r="L1534" s="173">
        <v>41197</v>
      </c>
      <c r="M1534" s="50">
        <f>K1534-L1534</f>
        <v>4</v>
      </c>
      <c r="N1534" s="50" t="s">
        <v>2</v>
      </c>
      <c r="O1534" s="74">
        <f>1/2</f>
        <v>0.5</v>
      </c>
      <c r="P1534" s="50">
        <v>6.3</v>
      </c>
      <c r="Q1534" s="74">
        <v>8.1</v>
      </c>
      <c r="R1534" s="50">
        <v>40</v>
      </c>
      <c r="S1534" s="74">
        <v>213</v>
      </c>
      <c r="T1534" s="50">
        <v>0.16</v>
      </c>
      <c r="U1534" s="131">
        <v>0.7</v>
      </c>
      <c r="V1534" s="50">
        <f>0.5/2</f>
        <v>0.25</v>
      </c>
      <c r="W1534" s="74">
        <v>0.01</v>
      </c>
      <c r="X1534" s="50">
        <v>0.02</v>
      </c>
      <c r="Y1534" s="74">
        <v>5.0000000000000001E-3</v>
      </c>
      <c r="Z1534" s="271">
        <v>1</v>
      </c>
      <c r="AA1534" s="271">
        <v>1</v>
      </c>
      <c r="AB1534" s="114">
        <v>50</v>
      </c>
      <c r="AC1534" s="50">
        <v>171</v>
      </c>
      <c r="AD1534" s="271">
        <v>1</v>
      </c>
    </row>
    <row r="1535" spans="1:36" ht="15" customHeight="1">
      <c r="A1535" s="41" t="s">
        <v>183</v>
      </c>
      <c r="B1535" s="402" t="s">
        <v>1922</v>
      </c>
      <c r="D1535" s="393" t="s">
        <v>308</v>
      </c>
      <c r="E1535" s="394" t="s">
        <v>1923</v>
      </c>
      <c r="F1535" s="402">
        <v>6905</v>
      </c>
      <c r="G1535" s="405" t="s">
        <v>1924</v>
      </c>
      <c r="H1535" s="113">
        <v>3321</v>
      </c>
      <c r="I1535" s="49" t="s">
        <v>2</v>
      </c>
      <c r="J1535" s="48" t="s">
        <v>1925</v>
      </c>
      <c r="K1535" s="51">
        <v>41184</v>
      </c>
      <c r="L1535" s="173"/>
      <c r="N1535" s="50" t="s">
        <v>2</v>
      </c>
      <c r="O1535" s="74">
        <f>5/2</f>
        <v>2.5</v>
      </c>
      <c r="P1535" s="50">
        <v>6.33</v>
      </c>
      <c r="Q1535" s="74">
        <v>7.12</v>
      </c>
      <c r="R1535" s="50">
        <f>2/2</f>
        <v>1</v>
      </c>
      <c r="S1535" s="74">
        <f>5/2</f>
        <v>2.5</v>
      </c>
      <c r="T1535" s="50">
        <v>0.06</v>
      </c>
      <c r="U1535" s="131">
        <v>1.01</v>
      </c>
      <c r="V1535" s="50">
        <v>0.11</v>
      </c>
      <c r="W1535" s="74">
        <v>0.04</v>
      </c>
      <c r="X1535" s="50">
        <f>0.01/2</f>
        <v>5.0000000000000001E-3</v>
      </c>
      <c r="Y1535" s="74">
        <f>0.004/2</f>
        <v>2E-3</v>
      </c>
      <c r="Z1535" s="271">
        <v>1</v>
      </c>
      <c r="AA1535" s="271">
        <v>1</v>
      </c>
      <c r="AB1535" s="114">
        <f>2/2</f>
        <v>1</v>
      </c>
      <c r="AC1535" s="50">
        <v>6.4</v>
      </c>
      <c r="AD1535" s="271">
        <v>1</v>
      </c>
    </row>
    <row r="1536" spans="1:36" ht="15" customHeight="1">
      <c r="A1536" s="41" t="s">
        <v>183</v>
      </c>
      <c r="B1536" s="402" t="s">
        <v>4739</v>
      </c>
      <c r="D1536" s="393" t="s">
        <v>89</v>
      </c>
      <c r="E1536" s="394" t="s">
        <v>3579</v>
      </c>
      <c r="G1536" s="405" t="s">
        <v>4740</v>
      </c>
      <c r="H1536" s="74">
        <v>2096</v>
      </c>
      <c r="I1536" s="50" t="s">
        <v>2</v>
      </c>
      <c r="J1536" s="339" t="s">
        <v>4741</v>
      </c>
      <c r="K1536" s="51">
        <v>41170</v>
      </c>
      <c r="L1536" s="173">
        <v>41160</v>
      </c>
      <c r="M1536" s="50">
        <f t="shared" ref="M1536:M1541" si="76">K1536-L1536</f>
        <v>10</v>
      </c>
      <c r="N1536" s="50" t="s">
        <v>2</v>
      </c>
      <c r="O1536" s="74">
        <v>1.4</v>
      </c>
      <c r="P1536" s="50">
        <v>6</v>
      </c>
      <c r="Q1536" s="74">
        <v>6.6</v>
      </c>
      <c r="R1536" s="50">
        <v>100</v>
      </c>
      <c r="S1536" s="74">
        <v>18</v>
      </c>
      <c r="T1536" s="50">
        <v>0.14000000000000001</v>
      </c>
      <c r="U1536" s="131">
        <v>2.1</v>
      </c>
      <c r="V1536" s="50">
        <v>0.91</v>
      </c>
      <c r="W1536" s="74">
        <v>2.3E-2</v>
      </c>
      <c r="X1536" s="50">
        <v>0.35</v>
      </c>
      <c r="Y1536" s="74">
        <v>4.1999999999999997E-3</v>
      </c>
      <c r="Z1536" s="271">
        <v>1</v>
      </c>
      <c r="AA1536" s="271">
        <v>0.71399999999999997</v>
      </c>
      <c r="AB1536" s="114">
        <v>14</v>
      </c>
      <c r="AC1536" s="50">
        <v>107</v>
      </c>
      <c r="AD1536" s="271">
        <v>0.05</v>
      </c>
    </row>
    <row r="1537" spans="1:30" ht="15" customHeight="1">
      <c r="A1537" s="41" t="s">
        <v>183</v>
      </c>
      <c r="B1537" s="402" t="s">
        <v>1321</v>
      </c>
      <c r="C1537" s="113" t="s">
        <v>1322</v>
      </c>
      <c r="D1537" s="393" t="s">
        <v>2374</v>
      </c>
      <c r="E1537" s="394" t="s">
        <v>1323</v>
      </c>
      <c r="G1537" s="405" t="s">
        <v>1324</v>
      </c>
      <c r="H1537" s="49">
        <v>2844</v>
      </c>
      <c r="I1537" s="50" t="s">
        <v>2</v>
      </c>
      <c r="J1537" s="76" t="s">
        <v>510</v>
      </c>
      <c r="K1537" s="51">
        <v>41180</v>
      </c>
      <c r="L1537" s="173">
        <v>41175</v>
      </c>
      <c r="M1537" s="50">
        <f t="shared" si="76"/>
        <v>5</v>
      </c>
      <c r="N1537" s="50" t="s">
        <v>2</v>
      </c>
      <c r="O1537" s="74">
        <f>5/2</f>
        <v>2.5</v>
      </c>
      <c r="P1537" s="50">
        <v>4.6900000000000004</v>
      </c>
      <c r="Q1537" s="74">
        <v>6.54</v>
      </c>
      <c r="R1537" s="50">
        <v>15.3</v>
      </c>
      <c r="S1537" s="74">
        <v>24</v>
      </c>
      <c r="T1537" s="50">
        <v>0.45</v>
      </c>
      <c r="U1537" s="131">
        <f>0.5/2</f>
        <v>0.25</v>
      </c>
      <c r="V1537" s="50">
        <v>0.84</v>
      </c>
      <c r="W1537" s="74">
        <v>3.0000000000000001E-3</v>
      </c>
      <c r="X1537" s="50">
        <v>0.02</v>
      </c>
      <c r="Y1537" s="74">
        <f>0.001/2</f>
        <v>5.0000000000000001E-4</v>
      </c>
    </row>
    <row r="1538" spans="1:30" ht="15" customHeight="1">
      <c r="A1538" s="41" t="s">
        <v>183</v>
      </c>
      <c r="B1538" s="402" t="s">
        <v>2144</v>
      </c>
      <c r="C1538" s="113" t="s">
        <v>2145</v>
      </c>
      <c r="D1538" s="393" t="s">
        <v>1217</v>
      </c>
      <c r="E1538" s="394" t="s">
        <v>2112</v>
      </c>
      <c r="G1538" s="405" t="s">
        <v>2504</v>
      </c>
      <c r="H1538" s="74">
        <v>9711</v>
      </c>
      <c r="I1538" s="50" t="s">
        <v>2</v>
      </c>
      <c r="J1538" s="48" t="s">
        <v>255</v>
      </c>
      <c r="K1538" s="51">
        <v>41345</v>
      </c>
      <c r="L1538" s="173">
        <v>41341</v>
      </c>
      <c r="M1538" s="50">
        <f t="shared" si="76"/>
        <v>4</v>
      </c>
      <c r="N1538" s="50" t="s">
        <v>2</v>
      </c>
      <c r="O1538" s="74">
        <v>0.7</v>
      </c>
      <c r="P1538" s="50">
        <v>5.3</v>
      </c>
      <c r="Q1538" s="74">
        <v>7.44</v>
      </c>
      <c r="R1538" s="50">
        <v>5</v>
      </c>
      <c r="S1538" s="74">
        <v>12</v>
      </c>
      <c r="T1538" s="50">
        <v>0.04</v>
      </c>
      <c r="U1538" s="131">
        <v>0.38</v>
      </c>
      <c r="V1538" s="50">
        <v>0.66</v>
      </c>
      <c r="W1538" s="74">
        <v>2.5000000000000001E-3</v>
      </c>
      <c r="X1538" s="50">
        <v>4.2999999999999997E-2</v>
      </c>
      <c r="Y1538" s="74">
        <v>1E-3</v>
      </c>
      <c r="Z1538" s="271">
        <v>1</v>
      </c>
      <c r="AA1538" s="271">
        <v>1</v>
      </c>
      <c r="AB1538" s="114">
        <v>40</v>
      </c>
      <c r="AC1538" s="50">
        <v>158</v>
      </c>
      <c r="AD1538" s="271">
        <v>1</v>
      </c>
    </row>
    <row r="1539" spans="1:30" ht="15" customHeight="1">
      <c r="A1539" s="41" t="s">
        <v>183</v>
      </c>
      <c r="B1539" s="402" t="s">
        <v>2144</v>
      </c>
      <c r="C1539" s="113" t="s">
        <v>2145</v>
      </c>
      <c r="D1539" s="393" t="s">
        <v>1217</v>
      </c>
      <c r="E1539" s="394" t="s">
        <v>2112</v>
      </c>
      <c r="G1539" s="405" t="s">
        <v>2504</v>
      </c>
      <c r="H1539" s="74">
        <v>9711</v>
      </c>
      <c r="I1539" s="50" t="s">
        <v>2</v>
      </c>
      <c r="J1539" s="48" t="s">
        <v>4707</v>
      </c>
      <c r="K1539" s="51">
        <v>41345</v>
      </c>
      <c r="L1539" s="173">
        <v>41341</v>
      </c>
      <c r="M1539" s="50">
        <f t="shared" si="76"/>
        <v>4</v>
      </c>
      <c r="N1539" s="50" t="s">
        <v>2</v>
      </c>
      <c r="O1539" s="74">
        <v>1.8</v>
      </c>
      <c r="P1539" s="50">
        <v>5.3</v>
      </c>
      <c r="Q1539" s="74">
        <v>6.88</v>
      </c>
      <c r="R1539" s="50">
        <v>5</v>
      </c>
      <c r="S1539" s="74">
        <v>2.5</v>
      </c>
      <c r="T1539" s="50">
        <v>0.02</v>
      </c>
      <c r="U1539" s="131">
        <v>0.24</v>
      </c>
      <c r="V1539" s="50">
        <v>0.04</v>
      </c>
      <c r="W1539" s="74">
        <v>5.0000000000000001E-3</v>
      </c>
      <c r="X1539" s="50">
        <v>3.1E-2</v>
      </c>
      <c r="Y1539" s="74">
        <v>1E-3</v>
      </c>
      <c r="Z1539" s="271">
        <v>1</v>
      </c>
      <c r="AA1539" s="271">
        <v>1</v>
      </c>
      <c r="AB1539" s="114">
        <v>4</v>
      </c>
      <c r="AC1539" s="50">
        <v>17</v>
      </c>
      <c r="AD1539" s="271">
        <v>0.75</v>
      </c>
    </row>
    <row r="1540" spans="1:30" ht="15" customHeight="1">
      <c r="A1540" s="41" t="s">
        <v>183</v>
      </c>
      <c r="B1540" s="402" t="s">
        <v>2144</v>
      </c>
      <c r="C1540" s="113" t="s">
        <v>2145</v>
      </c>
      <c r="D1540" s="393" t="s">
        <v>1217</v>
      </c>
      <c r="E1540" s="394" t="s">
        <v>2112</v>
      </c>
      <c r="G1540" s="405" t="s">
        <v>2504</v>
      </c>
      <c r="H1540" s="74">
        <v>9711</v>
      </c>
      <c r="I1540" s="50" t="s">
        <v>2</v>
      </c>
      <c r="J1540" s="339" t="s">
        <v>4708</v>
      </c>
      <c r="K1540" s="51">
        <v>41345</v>
      </c>
      <c r="L1540" s="173">
        <v>41341</v>
      </c>
      <c r="M1540" s="50">
        <f t="shared" si="76"/>
        <v>4</v>
      </c>
      <c r="N1540" s="50" t="s">
        <v>2</v>
      </c>
      <c r="O1540" s="74">
        <v>0.7</v>
      </c>
      <c r="P1540" s="50">
        <v>5.3</v>
      </c>
      <c r="Q1540" s="74">
        <v>7.27</v>
      </c>
      <c r="R1540" s="50">
        <v>5</v>
      </c>
      <c r="S1540" s="74">
        <v>7</v>
      </c>
      <c r="T1540" s="50">
        <v>0.02</v>
      </c>
      <c r="U1540" s="131">
        <v>0.21</v>
      </c>
      <c r="V1540" s="50">
        <v>0.05</v>
      </c>
      <c r="W1540" s="74">
        <v>8.9999999999999993E-3</v>
      </c>
      <c r="X1540" s="50">
        <v>0.10100000000000001</v>
      </c>
      <c r="Y1540" s="74">
        <v>1.0999999999999999E-2</v>
      </c>
      <c r="Z1540" s="271">
        <v>1</v>
      </c>
      <c r="AA1540" s="271">
        <v>1</v>
      </c>
      <c r="AB1540" s="114">
        <v>32</v>
      </c>
      <c r="AC1540" s="50">
        <v>72</v>
      </c>
      <c r="AD1540" s="271">
        <v>0.95</v>
      </c>
    </row>
    <row r="1541" spans="1:30" ht="15" customHeight="1">
      <c r="A1541" s="41" t="s">
        <v>183</v>
      </c>
      <c r="B1541" s="402" t="s">
        <v>4714</v>
      </c>
      <c r="D1541" s="393" t="s">
        <v>1881</v>
      </c>
      <c r="E1541" s="394" t="s">
        <v>4715</v>
      </c>
      <c r="G1541" s="405" t="s">
        <v>4716</v>
      </c>
      <c r="H1541" s="74">
        <v>3443</v>
      </c>
      <c r="I1541" s="50" t="s">
        <v>2</v>
      </c>
      <c r="J1541" s="339" t="s">
        <v>4717</v>
      </c>
      <c r="K1541" s="51">
        <v>41376</v>
      </c>
      <c r="L1541" s="173">
        <v>41374</v>
      </c>
      <c r="M1541" s="50">
        <f t="shared" si="76"/>
        <v>2</v>
      </c>
      <c r="N1541" s="50" t="s">
        <v>2</v>
      </c>
      <c r="O1541" s="74">
        <f>5/2</f>
        <v>2.5</v>
      </c>
      <c r="P1541" s="50">
        <v>6.13</v>
      </c>
      <c r="Q1541" s="74">
        <v>6.51</v>
      </c>
      <c r="R1541" s="50">
        <v>36</v>
      </c>
      <c r="S1541" s="74">
        <v>322</v>
      </c>
      <c r="T1541" s="50">
        <v>0.15</v>
      </c>
      <c r="U1541" s="131">
        <v>1.86</v>
      </c>
      <c r="V1541" s="50">
        <v>0.30499999999999999</v>
      </c>
      <c r="W1541" s="74">
        <v>6.5000000000000002E-2</v>
      </c>
      <c r="X1541" s="50">
        <v>0.56499999999999995</v>
      </c>
      <c r="Y1541" s="74">
        <v>2.9000000000000001E-2</v>
      </c>
    </row>
    <row r="1542" spans="1:30" ht="15" customHeight="1">
      <c r="A1542" s="41" t="s">
        <v>183</v>
      </c>
      <c r="B1542" s="402" t="s">
        <v>1029</v>
      </c>
      <c r="C1542" s="113" t="s">
        <v>1029</v>
      </c>
      <c r="D1542" s="393" t="s">
        <v>268</v>
      </c>
      <c r="E1542" s="394" t="s">
        <v>269</v>
      </c>
      <c r="G1542" s="405" t="s">
        <v>274</v>
      </c>
      <c r="H1542" s="49">
        <v>3484</v>
      </c>
      <c r="J1542" s="76" t="s">
        <v>271</v>
      </c>
      <c r="K1542" s="51">
        <v>41402</v>
      </c>
      <c r="L1542" s="173"/>
      <c r="N1542" s="50" t="s">
        <v>2</v>
      </c>
      <c r="O1542" s="74">
        <v>4.8</v>
      </c>
      <c r="P1542" s="50">
        <v>6.43</v>
      </c>
      <c r="Q1542" s="74">
        <v>6.71</v>
      </c>
      <c r="R1542" s="50">
        <v>87.9</v>
      </c>
      <c r="S1542" s="74">
        <v>41</v>
      </c>
      <c r="T1542" s="50">
        <v>0.32</v>
      </c>
      <c r="U1542" s="131">
        <v>2.2799999999999998</v>
      </c>
      <c r="V1542" s="50">
        <v>0.48</v>
      </c>
      <c r="W1542" s="74">
        <v>0.12</v>
      </c>
      <c r="X1542" s="50">
        <v>0.18</v>
      </c>
      <c r="Y1542" s="74">
        <v>0.21</v>
      </c>
    </row>
    <row r="1543" spans="1:30" ht="15" customHeight="1">
      <c r="A1543" s="41" t="s">
        <v>183</v>
      </c>
      <c r="B1543" s="402" t="s">
        <v>1029</v>
      </c>
      <c r="C1543" s="113" t="s">
        <v>1029</v>
      </c>
      <c r="D1543" s="393" t="s">
        <v>268</v>
      </c>
      <c r="E1543" s="394" t="s">
        <v>269</v>
      </c>
      <c r="G1543" s="405" t="s">
        <v>274</v>
      </c>
      <c r="H1543" s="49">
        <v>3484</v>
      </c>
      <c r="J1543" s="76" t="s">
        <v>272</v>
      </c>
      <c r="K1543" s="51">
        <v>41402</v>
      </c>
      <c r="L1543" s="173"/>
      <c r="O1543" s="74">
        <v>3.6</v>
      </c>
      <c r="P1543" s="50">
        <v>6.43</v>
      </c>
      <c r="Q1543" s="74">
        <v>7.36</v>
      </c>
      <c r="R1543" s="50">
        <v>69.099999999999994</v>
      </c>
      <c r="S1543" s="74">
        <v>55</v>
      </c>
      <c r="T1543" s="50">
        <v>0.51</v>
      </c>
      <c r="U1543" s="131">
        <v>4.66</v>
      </c>
      <c r="V1543" s="50">
        <v>2.4</v>
      </c>
      <c r="W1543" s="74">
        <v>0.1</v>
      </c>
      <c r="X1543" s="50">
        <v>0.14000000000000001</v>
      </c>
      <c r="Y1543" s="74">
        <v>0.09</v>
      </c>
    </row>
    <row r="1544" spans="1:30" ht="15" customHeight="1">
      <c r="A1544" s="41" t="s">
        <v>183</v>
      </c>
      <c r="B1544" s="402" t="s">
        <v>1029</v>
      </c>
      <c r="C1544" s="113" t="s">
        <v>1029</v>
      </c>
      <c r="D1544" s="393" t="s">
        <v>268</v>
      </c>
      <c r="E1544" s="394" t="s">
        <v>269</v>
      </c>
      <c r="G1544" s="405" t="s">
        <v>274</v>
      </c>
      <c r="H1544" s="49">
        <v>3484</v>
      </c>
      <c r="J1544" s="76" t="s">
        <v>270</v>
      </c>
      <c r="K1544" s="51">
        <v>41402</v>
      </c>
      <c r="L1544" s="173"/>
      <c r="O1544" s="74">
        <v>19.399999999999999</v>
      </c>
      <c r="P1544" s="50">
        <v>6.43</v>
      </c>
      <c r="Q1544" s="74">
        <v>5.99</v>
      </c>
      <c r="R1544" s="50">
        <v>87.9</v>
      </c>
      <c r="S1544" s="74">
        <v>29</v>
      </c>
      <c r="T1544" s="50">
        <v>0.16</v>
      </c>
      <c r="U1544" s="131">
        <v>7.17</v>
      </c>
      <c r="V1544" s="50">
        <v>0.69</v>
      </c>
      <c r="W1544" s="74">
        <v>0.3</v>
      </c>
      <c r="X1544" s="50">
        <v>0.39</v>
      </c>
      <c r="Y1544" s="74">
        <v>0.82</v>
      </c>
    </row>
    <row r="1545" spans="1:30" ht="15" customHeight="1">
      <c r="A1545" s="41" t="s">
        <v>183</v>
      </c>
      <c r="B1545" s="402" t="s">
        <v>1029</v>
      </c>
      <c r="C1545" s="113" t="s">
        <v>1029</v>
      </c>
      <c r="D1545" s="393" t="s">
        <v>268</v>
      </c>
      <c r="E1545" s="394" t="s">
        <v>269</v>
      </c>
      <c r="G1545" s="405" t="s">
        <v>274</v>
      </c>
      <c r="H1545" s="49">
        <v>3484</v>
      </c>
      <c r="J1545" s="76" t="s">
        <v>273</v>
      </c>
      <c r="K1545" s="51">
        <v>41402</v>
      </c>
      <c r="L1545" s="173"/>
      <c r="O1545" s="74">
        <v>2.8</v>
      </c>
      <c r="P1545" s="50">
        <v>6.43</v>
      </c>
      <c r="Q1545" s="74">
        <v>6.43</v>
      </c>
      <c r="R1545" s="50">
        <v>106.1</v>
      </c>
      <c r="S1545" s="74">
        <v>82</v>
      </c>
      <c r="T1545" s="50">
        <v>0.26</v>
      </c>
      <c r="U1545" s="131">
        <v>2.27</v>
      </c>
      <c r="V1545" s="50">
        <v>0.43</v>
      </c>
      <c r="W1545" s="74">
        <v>0.18</v>
      </c>
      <c r="X1545" s="50">
        <v>0.17</v>
      </c>
      <c r="Y1545" s="74">
        <v>0.64</v>
      </c>
    </row>
    <row r="1546" spans="1:30" ht="15" customHeight="1">
      <c r="A1546" s="41" t="s">
        <v>183</v>
      </c>
      <c r="B1546" s="402" t="s">
        <v>4712</v>
      </c>
      <c r="D1546" s="393" t="s">
        <v>209</v>
      </c>
      <c r="E1546" s="394" t="s">
        <v>4713</v>
      </c>
      <c r="G1546" s="405" t="s">
        <v>4747</v>
      </c>
      <c r="H1546" s="74">
        <v>2813</v>
      </c>
      <c r="I1546" s="50" t="s">
        <v>2</v>
      </c>
      <c r="J1546" s="339" t="s">
        <v>510</v>
      </c>
      <c r="K1546" s="51">
        <v>41402</v>
      </c>
      <c r="L1546" s="173">
        <v>41384</v>
      </c>
      <c r="M1546" s="50">
        <f t="shared" ref="M1546:M1584" si="77">K1546-L1546</f>
        <v>18</v>
      </c>
      <c r="N1546" s="50" t="s">
        <v>2</v>
      </c>
      <c r="O1546" s="74">
        <f>2/2</f>
        <v>1</v>
      </c>
      <c r="P1546" s="50">
        <v>6.5</v>
      </c>
      <c r="Q1546" s="74">
        <v>7.2</v>
      </c>
      <c r="R1546" s="50">
        <v>26</v>
      </c>
      <c r="S1546" s="74">
        <v>6</v>
      </c>
      <c r="T1546" s="50">
        <v>0.06</v>
      </c>
      <c r="U1546" s="131">
        <v>0.49</v>
      </c>
      <c r="V1546" s="50">
        <v>0.67</v>
      </c>
      <c r="W1546" s="74">
        <v>1.2E-2</v>
      </c>
      <c r="X1546" s="50">
        <f>0.03/2</f>
        <v>1.4999999999999999E-2</v>
      </c>
      <c r="Y1546" s="74">
        <f>0.03/2</f>
        <v>1.4999999999999999E-2</v>
      </c>
      <c r="Z1546" s="271">
        <v>1</v>
      </c>
      <c r="AA1546" s="271">
        <v>1</v>
      </c>
      <c r="AB1546" s="114">
        <v>71</v>
      </c>
      <c r="AC1546" s="50">
        <v>967</v>
      </c>
      <c r="AD1546" s="271">
        <v>0.9</v>
      </c>
    </row>
    <row r="1547" spans="1:30" ht="15" customHeight="1">
      <c r="A1547" s="41" t="s">
        <v>183</v>
      </c>
      <c r="B1547" s="402" t="s">
        <v>4749</v>
      </c>
      <c r="C1547" s="113" t="s">
        <v>4750</v>
      </c>
      <c r="D1547" s="393" t="s">
        <v>3953</v>
      </c>
      <c r="E1547" s="394" t="s">
        <v>4751</v>
      </c>
      <c r="G1547" s="405" t="s">
        <v>4752</v>
      </c>
      <c r="H1547" s="74">
        <v>3483</v>
      </c>
      <c r="I1547" s="50" t="s">
        <v>2</v>
      </c>
      <c r="J1547" s="343" t="s">
        <v>1943</v>
      </c>
      <c r="K1547" s="51">
        <v>41201</v>
      </c>
      <c r="L1547" s="173">
        <v>41197</v>
      </c>
      <c r="M1547" s="50">
        <f t="shared" si="77"/>
        <v>4</v>
      </c>
      <c r="N1547" s="50" t="s">
        <v>2</v>
      </c>
      <c r="O1547" s="74">
        <f>1.4/2</f>
        <v>0.7</v>
      </c>
      <c r="P1547" s="50">
        <v>7.3</v>
      </c>
      <c r="Q1547" s="74">
        <v>7.16</v>
      </c>
      <c r="R1547" s="50">
        <f>10/2</f>
        <v>5</v>
      </c>
      <c r="S1547" s="74">
        <v>10</v>
      </c>
      <c r="T1547" s="50">
        <v>0.06</v>
      </c>
      <c r="U1547" s="131">
        <v>0.44</v>
      </c>
      <c r="V1547" s="50">
        <v>0.17</v>
      </c>
      <c r="W1547" s="74">
        <v>7.0000000000000001E-3</v>
      </c>
      <c r="X1547" s="50">
        <v>1.2E-2</v>
      </c>
      <c r="Y1547" s="74">
        <v>4.0000000000000001E-3</v>
      </c>
    </row>
    <row r="1548" spans="1:30" ht="15" customHeight="1">
      <c r="A1548" s="41" t="s">
        <v>183</v>
      </c>
      <c r="B1548" s="402" t="s">
        <v>4749</v>
      </c>
      <c r="C1548" s="113" t="s">
        <v>4750</v>
      </c>
      <c r="D1548" s="393" t="s">
        <v>3953</v>
      </c>
      <c r="E1548" s="394" t="s">
        <v>4751</v>
      </c>
      <c r="G1548" s="405" t="s">
        <v>4752</v>
      </c>
      <c r="H1548" s="74">
        <v>3483</v>
      </c>
      <c r="I1548" s="50" t="s">
        <v>2</v>
      </c>
      <c r="J1548" s="343" t="s">
        <v>548</v>
      </c>
      <c r="K1548" s="51">
        <v>41201</v>
      </c>
      <c r="L1548" s="173">
        <v>41197</v>
      </c>
      <c r="M1548" s="50">
        <f t="shared" si="77"/>
        <v>4</v>
      </c>
      <c r="N1548" s="50" t="s">
        <v>2</v>
      </c>
      <c r="O1548" s="74">
        <f>1.4/2</f>
        <v>0.7</v>
      </c>
      <c r="P1548" s="50">
        <v>7.3</v>
      </c>
      <c r="Q1548" s="74">
        <v>7.3</v>
      </c>
      <c r="R1548" s="50">
        <f>10/2</f>
        <v>5</v>
      </c>
      <c r="S1548" s="74">
        <f>5/2</f>
        <v>2.5</v>
      </c>
      <c r="T1548" s="50">
        <v>0.11</v>
      </c>
      <c r="U1548" s="131">
        <v>0.43</v>
      </c>
      <c r="V1548" s="50">
        <v>0.67</v>
      </c>
      <c r="W1548" s="74">
        <v>2E-3</v>
      </c>
      <c r="X1548" s="50">
        <v>5.0000000000000001E-3</v>
      </c>
      <c r="Y1548" s="74">
        <f>0.002</f>
        <v>2E-3</v>
      </c>
    </row>
    <row r="1549" spans="1:30" ht="15" customHeight="1">
      <c r="A1549" s="41" t="s">
        <v>183</v>
      </c>
      <c r="B1549" s="402" t="s">
        <v>4749</v>
      </c>
      <c r="C1549" s="113" t="s">
        <v>4750</v>
      </c>
      <c r="D1549" s="393" t="s">
        <v>3953</v>
      </c>
      <c r="E1549" s="394" t="s">
        <v>4751</v>
      </c>
      <c r="G1549" s="405" t="s">
        <v>4752</v>
      </c>
      <c r="H1549" s="74">
        <v>3483</v>
      </c>
      <c r="I1549" s="50" t="s">
        <v>2</v>
      </c>
      <c r="J1549" s="343" t="s">
        <v>595</v>
      </c>
      <c r="K1549" s="51">
        <v>41201</v>
      </c>
      <c r="L1549" s="173">
        <v>41197</v>
      </c>
      <c r="M1549" s="50">
        <f t="shared" si="77"/>
        <v>4</v>
      </c>
      <c r="N1549" s="50" t="s">
        <v>2</v>
      </c>
      <c r="O1549" s="74">
        <f>1.4/2</f>
        <v>0.7</v>
      </c>
      <c r="P1549" s="50">
        <v>7.3</v>
      </c>
      <c r="Q1549" s="74">
        <v>7</v>
      </c>
      <c r="R1549" s="50">
        <f>10/2</f>
        <v>5</v>
      </c>
      <c r="S1549" s="84">
        <v>6.5</v>
      </c>
      <c r="T1549" s="50">
        <v>7.0000000000000007E-2</v>
      </c>
      <c r="U1549" s="131">
        <v>0.52</v>
      </c>
      <c r="V1549" s="50">
        <v>0.09</v>
      </c>
      <c r="W1549" s="74">
        <v>7.0000000000000001E-3</v>
      </c>
      <c r="X1549" s="50">
        <v>1.7000000000000001E-2</v>
      </c>
      <c r="Y1549" s="74">
        <v>3.0000000000000001E-3</v>
      </c>
    </row>
    <row r="1550" spans="1:30" ht="15" customHeight="1">
      <c r="A1550" s="41" t="s">
        <v>183</v>
      </c>
      <c r="B1550" s="402" t="s">
        <v>4749</v>
      </c>
      <c r="C1550" s="113" t="s">
        <v>4750</v>
      </c>
      <c r="D1550" s="393" t="s">
        <v>3953</v>
      </c>
      <c r="E1550" s="394" t="s">
        <v>4751</v>
      </c>
      <c r="G1550" s="405" t="s">
        <v>4752</v>
      </c>
      <c r="H1550" s="74">
        <v>3483</v>
      </c>
      <c r="I1550" s="50" t="s">
        <v>2</v>
      </c>
      <c r="J1550" s="343" t="s">
        <v>188</v>
      </c>
      <c r="K1550" s="51">
        <v>41201</v>
      </c>
      <c r="L1550" s="173">
        <v>41197</v>
      </c>
      <c r="M1550" s="50">
        <f t="shared" si="77"/>
        <v>4</v>
      </c>
      <c r="N1550" s="50" t="s">
        <v>2</v>
      </c>
      <c r="O1550" s="74">
        <v>7.2</v>
      </c>
      <c r="P1550" s="50">
        <v>7.3</v>
      </c>
      <c r="Q1550" s="74">
        <v>7.09</v>
      </c>
      <c r="R1550" s="50">
        <f>10/2</f>
        <v>5</v>
      </c>
      <c r="S1550" s="74">
        <v>1100</v>
      </c>
      <c r="T1550" s="50">
        <v>0.68</v>
      </c>
      <c r="U1550" s="131">
        <v>2.85</v>
      </c>
      <c r="V1550" s="50">
        <v>0.06</v>
      </c>
      <c r="W1550" s="74">
        <v>0.153</v>
      </c>
      <c r="X1550" s="50">
        <v>0.55800000000000005</v>
      </c>
      <c r="Y1550" s="74">
        <v>0.69499999999999995</v>
      </c>
    </row>
    <row r="1551" spans="1:30" ht="15" customHeight="1">
      <c r="A1551" s="41" t="s">
        <v>183</v>
      </c>
      <c r="B1551" s="402" t="s">
        <v>4749</v>
      </c>
      <c r="C1551" s="113" t="s">
        <v>4750</v>
      </c>
      <c r="D1551" s="393" t="s">
        <v>3953</v>
      </c>
      <c r="E1551" s="394" t="s">
        <v>4751</v>
      </c>
      <c r="G1551" s="405" t="s">
        <v>4752</v>
      </c>
      <c r="H1551" s="74">
        <v>3483</v>
      </c>
      <c r="I1551" s="50" t="s">
        <v>2</v>
      </c>
      <c r="J1551" s="343" t="s">
        <v>41</v>
      </c>
      <c r="K1551" s="51">
        <v>41201</v>
      </c>
      <c r="L1551" s="173">
        <v>41197</v>
      </c>
      <c r="M1551" s="50">
        <f t="shared" si="77"/>
        <v>4</v>
      </c>
      <c r="N1551" s="50" t="s">
        <v>2</v>
      </c>
      <c r="O1551" s="74">
        <f>1.4/2</f>
        <v>0.7</v>
      </c>
      <c r="P1551" s="50">
        <v>7.3</v>
      </c>
      <c r="Q1551" s="74">
        <v>7.15</v>
      </c>
      <c r="R1551" s="50">
        <f>10/2</f>
        <v>5</v>
      </c>
      <c r="S1551" s="74">
        <f>5/2</f>
        <v>2.5</v>
      </c>
      <c r="T1551" s="50">
        <v>0.27</v>
      </c>
      <c r="U1551" s="131">
        <v>0.23</v>
      </c>
      <c r="V1551" s="50">
        <v>0.35</v>
      </c>
      <c r="W1551" s="74">
        <v>0.125</v>
      </c>
      <c r="X1551" s="50">
        <v>4.3999999999999997E-2</v>
      </c>
      <c r="Y1551" s="74">
        <v>2E-3</v>
      </c>
    </row>
    <row r="1552" spans="1:30" ht="15" customHeight="1">
      <c r="A1552" s="41" t="s">
        <v>183</v>
      </c>
      <c r="B1552" s="402" t="s">
        <v>3927</v>
      </c>
      <c r="C1552" s="113" t="s">
        <v>4753</v>
      </c>
      <c r="D1552" s="393" t="s">
        <v>56</v>
      </c>
      <c r="E1552" s="394" t="s">
        <v>95</v>
      </c>
      <c r="G1552" s="405" t="s">
        <v>3928</v>
      </c>
      <c r="H1552" s="74">
        <v>4952</v>
      </c>
      <c r="J1552" s="339" t="s">
        <v>3929</v>
      </c>
      <c r="K1552" s="51">
        <v>41043</v>
      </c>
      <c r="L1552" s="173">
        <v>41039</v>
      </c>
      <c r="M1552" s="50">
        <f t="shared" si="77"/>
        <v>4</v>
      </c>
      <c r="N1552" s="50" t="s">
        <v>2</v>
      </c>
      <c r="O1552" s="74">
        <f>5/2</f>
        <v>2.5</v>
      </c>
      <c r="P1552" s="50">
        <v>4.38</v>
      </c>
      <c r="Q1552" s="74">
        <v>6.33</v>
      </c>
      <c r="R1552" s="50">
        <v>136</v>
      </c>
      <c r="S1552" s="74">
        <v>84</v>
      </c>
      <c r="T1552" s="50">
        <v>1.19</v>
      </c>
      <c r="U1552" s="131">
        <v>3.22</v>
      </c>
      <c r="V1552" s="50">
        <v>1.27</v>
      </c>
      <c r="W1552" s="74">
        <v>2.9000000000000001E-2</v>
      </c>
      <c r="X1552" s="50">
        <v>0.16</v>
      </c>
      <c r="Y1552" s="74">
        <v>0.01</v>
      </c>
      <c r="Z1552" s="271">
        <v>1</v>
      </c>
      <c r="AA1552" s="271">
        <v>1</v>
      </c>
      <c r="AB1552" s="114">
        <v>11.4</v>
      </c>
      <c r="AC1552" s="50">
        <v>191</v>
      </c>
      <c r="AD1552" s="271">
        <v>1</v>
      </c>
    </row>
    <row r="1553" spans="1:36" ht="15" customHeight="1">
      <c r="A1553" s="41" t="s">
        <v>183</v>
      </c>
      <c r="B1553" s="402" t="s">
        <v>3927</v>
      </c>
      <c r="C1553" s="113" t="s">
        <v>4753</v>
      </c>
      <c r="D1553" s="393" t="s">
        <v>56</v>
      </c>
      <c r="E1553" s="394" t="s">
        <v>95</v>
      </c>
      <c r="G1553" s="405" t="s">
        <v>3928</v>
      </c>
      <c r="H1553" s="74">
        <v>4952</v>
      </c>
      <c r="J1553" s="339" t="s">
        <v>3930</v>
      </c>
      <c r="K1553" s="51">
        <v>41043</v>
      </c>
      <c r="L1553" s="173">
        <v>41039</v>
      </c>
      <c r="M1553" s="50">
        <f t="shared" si="77"/>
        <v>4</v>
      </c>
      <c r="N1553" s="50" t="s">
        <v>2</v>
      </c>
      <c r="O1553" s="74">
        <f>5/2</f>
        <v>2.5</v>
      </c>
      <c r="P1553" s="50">
        <v>4.38</v>
      </c>
      <c r="Q1553" s="74">
        <v>5.47</v>
      </c>
      <c r="R1553" s="50">
        <v>424</v>
      </c>
      <c r="S1553" s="74">
        <v>545</v>
      </c>
      <c r="T1553" s="50">
        <v>2.61</v>
      </c>
      <c r="U1553" s="131">
        <v>6.08</v>
      </c>
      <c r="V1553" s="50">
        <v>1.43</v>
      </c>
      <c r="W1553" s="74">
        <v>0.04</v>
      </c>
      <c r="X1553" s="50">
        <v>0.2</v>
      </c>
      <c r="Y1553" s="74">
        <v>2.1999999999999999E-2</v>
      </c>
      <c r="Z1553" s="271">
        <v>1</v>
      </c>
      <c r="AA1553" s="271">
        <v>1</v>
      </c>
      <c r="AB1553" s="114">
        <v>9.94</v>
      </c>
      <c r="AC1553" s="50">
        <v>57</v>
      </c>
      <c r="AD1553" s="271">
        <v>1</v>
      </c>
    </row>
    <row r="1554" spans="1:36" ht="15" customHeight="1">
      <c r="A1554" s="41" t="s">
        <v>183</v>
      </c>
      <c r="B1554" s="402" t="s">
        <v>3927</v>
      </c>
      <c r="C1554" s="113" t="s">
        <v>4753</v>
      </c>
      <c r="D1554" s="393" t="s">
        <v>56</v>
      </c>
      <c r="E1554" s="394" t="s">
        <v>95</v>
      </c>
      <c r="G1554" s="405" t="s">
        <v>3928</v>
      </c>
      <c r="H1554" s="74">
        <v>4952</v>
      </c>
      <c r="J1554" s="339" t="s">
        <v>3931</v>
      </c>
      <c r="K1554" s="51">
        <v>41043</v>
      </c>
      <c r="L1554" s="173">
        <v>41039</v>
      </c>
      <c r="M1554" s="50">
        <f t="shared" si="77"/>
        <v>4</v>
      </c>
      <c r="N1554" s="50" t="s">
        <v>2</v>
      </c>
      <c r="O1554" s="74">
        <f>5/2</f>
        <v>2.5</v>
      </c>
      <c r="P1554" s="50">
        <v>4.38</v>
      </c>
      <c r="Q1554" s="74">
        <v>5.73</v>
      </c>
      <c r="R1554" s="50">
        <v>132</v>
      </c>
      <c r="S1554" s="74">
        <v>86</v>
      </c>
      <c r="T1554" s="50">
        <v>1.18</v>
      </c>
      <c r="U1554" s="131">
        <v>3.41</v>
      </c>
      <c r="V1554" s="50">
        <v>1.28</v>
      </c>
      <c r="W1554" s="74">
        <v>2.7E-2</v>
      </c>
      <c r="X1554" s="50">
        <v>0.31</v>
      </c>
      <c r="Y1554" s="74">
        <v>6.0000000000000001E-3</v>
      </c>
      <c r="Z1554" s="271">
        <v>1</v>
      </c>
      <c r="AA1554" s="271">
        <v>1</v>
      </c>
      <c r="AB1554" s="114">
        <v>16.399999999999999</v>
      </c>
      <c r="AC1554" s="50">
        <v>60</v>
      </c>
      <c r="AD1554" s="271">
        <v>0.75</v>
      </c>
    </row>
    <row r="1555" spans="1:36" ht="15" customHeight="1">
      <c r="A1555" s="41" t="s">
        <v>183</v>
      </c>
      <c r="B1555" s="386" t="s">
        <v>897</v>
      </c>
      <c r="C1555" s="149" t="s">
        <v>897</v>
      </c>
      <c r="D1555" s="392" t="s">
        <v>127</v>
      </c>
      <c r="E1555" s="258" t="s">
        <v>898</v>
      </c>
      <c r="F1555" s="386"/>
      <c r="G1555" s="389" t="s">
        <v>899</v>
      </c>
      <c r="H1555" s="55">
        <v>3728</v>
      </c>
      <c r="I1555" s="54" t="s">
        <v>2</v>
      </c>
      <c r="J1555" s="61" t="s">
        <v>510</v>
      </c>
      <c r="K1555" s="51">
        <v>41073</v>
      </c>
      <c r="L1555" s="173">
        <v>41067</v>
      </c>
      <c r="M1555" s="50">
        <f t="shared" si="77"/>
        <v>6</v>
      </c>
      <c r="N1555" s="50" t="s">
        <v>2</v>
      </c>
      <c r="O1555" s="74">
        <f>5/2</f>
        <v>2.5</v>
      </c>
      <c r="P1555" s="50">
        <v>6.72</v>
      </c>
      <c r="Q1555" s="74">
        <v>4.51</v>
      </c>
      <c r="R1555" s="50">
        <v>21</v>
      </c>
      <c r="S1555" s="74">
        <f>5/2</f>
        <v>2.5</v>
      </c>
      <c r="T1555" s="50">
        <f>0.1/2</f>
        <v>0.05</v>
      </c>
      <c r="U1555" s="131">
        <f>1/2</f>
        <v>0.5</v>
      </c>
      <c r="V1555" s="50">
        <v>0.2</v>
      </c>
      <c r="W1555" s="74">
        <f>0.04/2</f>
        <v>0.02</v>
      </c>
      <c r="X1555" s="50">
        <f>0.02/2</f>
        <v>0.01</v>
      </c>
      <c r="Y1555" s="74">
        <f>0.013/2</f>
        <v>6.4999999999999997E-3</v>
      </c>
      <c r="Z1555" s="271">
        <v>1</v>
      </c>
      <c r="AA1555" s="271">
        <v>1</v>
      </c>
      <c r="AB1555" s="114">
        <v>6.8</v>
      </c>
      <c r="AC1555" s="50">
        <v>48</v>
      </c>
      <c r="AD1555" s="271">
        <v>1</v>
      </c>
    </row>
    <row r="1556" spans="1:36" ht="15" customHeight="1">
      <c r="A1556" s="41" t="s">
        <v>183</v>
      </c>
      <c r="B1556" s="402" t="s">
        <v>4442</v>
      </c>
      <c r="D1556" s="393" t="s">
        <v>192</v>
      </c>
      <c r="E1556" s="394" t="s">
        <v>44</v>
      </c>
      <c r="F1556" s="402" t="s">
        <v>4443</v>
      </c>
      <c r="G1556" s="405" t="s">
        <v>4444</v>
      </c>
      <c r="H1556" s="74">
        <v>4213</v>
      </c>
      <c r="I1556" s="50" t="s">
        <v>2</v>
      </c>
      <c r="J1556" s="339" t="s">
        <v>4445</v>
      </c>
      <c r="K1556" s="51">
        <v>40996</v>
      </c>
      <c r="L1556" s="173">
        <v>40971</v>
      </c>
      <c r="M1556" s="50">
        <f t="shared" si="77"/>
        <v>25</v>
      </c>
      <c r="N1556" s="50" t="s">
        <v>2</v>
      </c>
      <c r="O1556" s="74">
        <v>9.23</v>
      </c>
      <c r="P1556" s="50">
        <v>6</v>
      </c>
      <c r="Q1556" s="74">
        <v>6</v>
      </c>
      <c r="R1556" s="50">
        <v>310</v>
      </c>
      <c r="S1556" s="74">
        <v>50</v>
      </c>
      <c r="T1556" s="50">
        <v>0.27</v>
      </c>
      <c r="U1556" s="131">
        <v>4.2</v>
      </c>
      <c r="V1556" s="50">
        <v>1.64</v>
      </c>
      <c r="W1556" s="74">
        <v>2.9399999999999999E-2</v>
      </c>
      <c r="X1556" s="50">
        <v>0.25700000000000001</v>
      </c>
      <c r="Y1556" s="74">
        <f>0.003/2</f>
        <v>1.5E-3</v>
      </c>
      <c r="Z1556" s="271">
        <v>1</v>
      </c>
      <c r="AA1556" s="271">
        <v>1</v>
      </c>
      <c r="AB1556" s="114">
        <v>30</v>
      </c>
      <c r="AC1556" s="50">
        <v>607</v>
      </c>
      <c r="AD1556" s="271">
        <v>1</v>
      </c>
    </row>
    <row r="1557" spans="1:36" ht="15" customHeight="1">
      <c r="A1557" s="41" t="s">
        <v>183</v>
      </c>
      <c r="B1557" s="402" t="s">
        <v>1989</v>
      </c>
      <c r="D1557" s="393" t="s">
        <v>372</v>
      </c>
      <c r="E1557" s="394" t="s">
        <v>4754</v>
      </c>
      <c r="G1557" s="405" t="s">
        <v>1991</v>
      </c>
      <c r="H1557" s="74">
        <v>3469</v>
      </c>
      <c r="I1557" s="50" t="s">
        <v>2</v>
      </c>
      <c r="J1557" s="343" t="s">
        <v>1992</v>
      </c>
      <c r="K1557" s="51">
        <v>41345</v>
      </c>
      <c r="L1557" s="173">
        <v>41341</v>
      </c>
      <c r="M1557" s="50">
        <f t="shared" si="77"/>
        <v>4</v>
      </c>
      <c r="N1557" s="50" t="s">
        <v>2</v>
      </c>
      <c r="O1557" s="74">
        <v>2.5</v>
      </c>
      <c r="P1557" s="50">
        <v>6.4</v>
      </c>
      <c r="Q1557" s="74">
        <v>6.8</v>
      </c>
      <c r="R1557" s="50">
        <v>66</v>
      </c>
      <c r="S1557" s="74">
        <v>29.5</v>
      </c>
      <c r="T1557" s="50">
        <v>0.105</v>
      </c>
      <c r="U1557" s="131">
        <v>2.9</v>
      </c>
      <c r="V1557" s="50">
        <v>0.85</v>
      </c>
      <c r="W1557" s="74">
        <v>1.6E-2</v>
      </c>
      <c r="X1557" s="50">
        <v>0.191</v>
      </c>
      <c r="Y1557" s="74">
        <v>7.9000000000000008E-3</v>
      </c>
    </row>
    <row r="1558" spans="1:36" ht="15" customHeight="1">
      <c r="A1558" s="41" t="s">
        <v>183</v>
      </c>
      <c r="B1558" s="386" t="s">
        <v>701</v>
      </c>
      <c r="C1558" s="149" t="s">
        <v>702</v>
      </c>
      <c r="D1558" s="392" t="s">
        <v>209</v>
      </c>
      <c r="E1558" s="258" t="s">
        <v>985</v>
      </c>
      <c r="F1558" s="386"/>
      <c r="G1558" s="389" t="s">
        <v>703</v>
      </c>
      <c r="H1558" s="55">
        <v>3052</v>
      </c>
      <c r="I1558" s="54"/>
      <c r="J1558" s="61" t="s">
        <v>81</v>
      </c>
      <c r="K1558" s="51">
        <v>41030</v>
      </c>
      <c r="L1558" s="173">
        <v>41022</v>
      </c>
      <c r="M1558" s="50">
        <f t="shared" si="77"/>
        <v>8</v>
      </c>
      <c r="N1558" s="50" t="s">
        <v>2</v>
      </c>
      <c r="O1558" s="74">
        <v>2.5</v>
      </c>
      <c r="P1558" s="50">
        <v>6</v>
      </c>
      <c r="Q1558" s="74">
        <v>6.35</v>
      </c>
      <c r="R1558" s="50">
        <v>37</v>
      </c>
      <c r="S1558" s="74">
        <v>8</v>
      </c>
      <c r="T1558" s="50">
        <f>0.1/2</f>
        <v>0.05</v>
      </c>
      <c r="U1558" s="131">
        <f>1/2</f>
        <v>0.5</v>
      </c>
      <c r="V1558" s="50">
        <v>0.14000000000000001</v>
      </c>
      <c r="W1558" s="74">
        <f>0.04/2</f>
        <v>0.02</v>
      </c>
      <c r="X1558" s="50">
        <v>2.5999999999999999E-2</v>
      </c>
      <c r="Y1558" s="74">
        <f>0.013/2</f>
        <v>6.4999999999999997E-3</v>
      </c>
    </row>
    <row r="1559" spans="1:36" ht="15" customHeight="1">
      <c r="A1559" s="41" t="s">
        <v>183</v>
      </c>
      <c r="B1559" s="386" t="s">
        <v>701</v>
      </c>
      <c r="C1559" s="149" t="s">
        <v>702</v>
      </c>
      <c r="D1559" s="392" t="s">
        <v>209</v>
      </c>
      <c r="E1559" s="258" t="s">
        <v>985</v>
      </c>
      <c r="F1559" s="386"/>
      <c r="G1559" s="389" t="s">
        <v>703</v>
      </c>
      <c r="H1559" s="55">
        <v>3052</v>
      </c>
      <c r="I1559" s="54"/>
      <c r="J1559" s="61" t="s">
        <v>114</v>
      </c>
      <c r="K1559" s="51">
        <v>41030</v>
      </c>
      <c r="L1559" s="173">
        <v>41022</v>
      </c>
      <c r="M1559" s="50">
        <f t="shared" si="77"/>
        <v>8</v>
      </c>
      <c r="N1559" s="50" t="s">
        <v>2</v>
      </c>
      <c r="O1559" s="74">
        <v>2.5</v>
      </c>
      <c r="P1559" s="50">
        <v>6</v>
      </c>
      <c r="Q1559" s="74">
        <v>6.44</v>
      </c>
      <c r="R1559" s="50">
        <v>39</v>
      </c>
      <c r="S1559" s="74">
        <v>24</v>
      </c>
      <c r="T1559" s="50">
        <f>0.1/2</f>
        <v>0.05</v>
      </c>
      <c r="U1559" s="131">
        <f>1/2</f>
        <v>0.5</v>
      </c>
      <c r="V1559" s="50">
        <v>0.21</v>
      </c>
      <c r="W1559" s="74">
        <f>0.04/2</f>
        <v>0.02</v>
      </c>
      <c r="X1559" s="50">
        <v>7.8E-2</v>
      </c>
      <c r="Y1559" s="74">
        <f>0.013/2</f>
        <v>6.4999999999999997E-3</v>
      </c>
    </row>
    <row r="1560" spans="1:36" ht="15" customHeight="1">
      <c r="A1560" s="41" t="s">
        <v>183</v>
      </c>
      <c r="B1560" s="402" t="s">
        <v>2080</v>
      </c>
      <c r="C1560" s="113" t="s">
        <v>2081</v>
      </c>
      <c r="D1560" s="393" t="s">
        <v>78</v>
      </c>
      <c r="E1560" s="394" t="s">
        <v>2082</v>
      </c>
      <c r="G1560" s="389" t="s">
        <v>3595</v>
      </c>
      <c r="H1560" s="113">
        <v>5541</v>
      </c>
      <c r="I1560" s="49" t="s">
        <v>2</v>
      </c>
      <c r="J1560" s="48" t="s">
        <v>2083</v>
      </c>
      <c r="K1560" s="51">
        <v>41352</v>
      </c>
      <c r="L1560" s="173">
        <v>41345</v>
      </c>
      <c r="M1560" s="50">
        <f t="shared" si="77"/>
        <v>7</v>
      </c>
      <c r="N1560" s="50" t="s">
        <v>2</v>
      </c>
      <c r="O1560" s="74">
        <v>10</v>
      </c>
      <c r="P1560" s="50">
        <v>6</v>
      </c>
      <c r="Q1560" s="74">
        <v>6.5</v>
      </c>
      <c r="R1560" s="50">
        <v>39</v>
      </c>
      <c r="S1560" s="74">
        <v>28</v>
      </c>
      <c r="T1560" s="50">
        <v>0.16</v>
      </c>
      <c r="U1560" s="131">
        <v>1.63</v>
      </c>
      <c r="V1560" s="50">
        <v>0.45</v>
      </c>
      <c r="W1560" s="74">
        <v>1.2999999999999999E-2</v>
      </c>
      <c r="X1560" s="50">
        <v>0.16300000000000001</v>
      </c>
      <c r="Y1560" s="74">
        <v>5.0000000000000001E-3</v>
      </c>
      <c r="Z1560" s="271">
        <v>1</v>
      </c>
      <c r="AA1560" s="271">
        <v>1</v>
      </c>
      <c r="AB1560" s="114">
        <v>24</v>
      </c>
      <c r="AC1560" s="50">
        <v>445</v>
      </c>
      <c r="AD1560" s="271">
        <v>1</v>
      </c>
    </row>
    <row r="1561" spans="1:36" ht="15" customHeight="1">
      <c r="A1561" s="41" t="s">
        <v>183</v>
      </c>
      <c r="B1561" s="402" t="s">
        <v>2080</v>
      </c>
      <c r="C1561" s="113" t="s">
        <v>2081</v>
      </c>
      <c r="D1561" s="393" t="s">
        <v>78</v>
      </c>
      <c r="E1561" s="394" t="s">
        <v>2082</v>
      </c>
      <c r="G1561" s="389" t="s">
        <v>3595</v>
      </c>
      <c r="H1561" s="113">
        <v>5541</v>
      </c>
      <c r="I1561" s="49" t="s">
        <v>2</v>
      </c>
      <c r="J1561" s="48" t="s">
        <v>2084</v>
      </c>
      <c r="K1561" s="51">
        <v>41352</v>
      </c>
      <c r="L1561" s="173">
        <v>41345</v>
      </c>
      <c r="M1561" s="50">
        <f t="shared" si="77"/>
        <v>7</v>
      </c>
      <c r="N1561" s="50" t="s">
        <v>2</v>
      </c>
      <c r="O1561" s="74">
        <v>3.9</v>
      </c>
      <c r="P1561" s="50">
        <v>6</v>
      </c>
      <c r="Q1561" s="74">
        <v>6</v>
      </c>
      <c r="R1561" s="50">
        <v>50</v>
      </c>
      <c r="S1561" s="74">
        <v>30</v>
      </c>
      <c r="T1561" s="50">
        <v>0.15</v>
      </c>
      <c r="U1561" s="131">
        <v>1.81</v>
      </c>
      <c r="V1561" s="50">
        <v>0.21</v>
      </c>
      <c r="W1561" s="74">
        <v>1.0999999999999999E-2</v>
      </c>
      <c r="X1561" s="50">
        <v>0.158</v>
      </c>
      <c r="Y1561" s="74">
        <v>3.0000000000000001E-3</v>
      </c>
      <c r="Z1561" s="271">
        <v>1</v>
      </c>
      <c r="AA1561" s="271">
        <v>1</v>
      </c>
      <c r="AB1561" s="114">
        <v>26</v>
      </c>
      <c r="AC1561" s="50">
        <v>407</v>
      </c>
      <c r="AD1561" s="271">
        <v>0.5</v>
      </c>
    </row>
    <row r="1562" spans="1:36" ht="15" customHeight="1">
      <c r="A1562" s="41" t="s">
        <v>183</v>
      </c>
      <c r="B1562" s="402" t="s">
        <v>4712</v>
      </c>
      <c r="D1562" s="392" t="s">
        <v>684</v>
      </c>
      <c r="E1562" s="394" t="s">
        <v>4713</v>
      </c>
      <c r="G1562" s="405" t="s">
        <v>4748</v>
      </c>
      <c r="H1562" s="74">
        <v>3479</v>
      </c>
      <c r="I1562" s="50" t="s">
        <v>1</v>
      </c>
      <c r="J1562" s="339" t="s">
        <v>3630</v>
      </c>
      <c r="K1562" s="51">
        <v>41352</v>
      </c>
      <c r="L1562" s="173">
        <v>41345</v>
      </c>
      <c r="M1562" s="50">
        <f t="shared" si="77"/>
        <v>7</v>
      </c>
      <c r="N1562" s="50" t="s">
        <v>2</v>
      </c>
      <c r="O1562" s="74">
        <f>2/2</f>
        <v>1</v>
      </c>
      <c r="P1562" s="50">
        <v>6.6</v>
      </c>
      <c r="Q1562" s="74">
        <v>7.5</v>
      </c>
      <c r="R1562" s="50">
        <v>19</v>
      </c>
      <c r="S1562" s="74">
        <v>10</v>
      </c>
      <c r="T1562" s="50">
        <v>0.1</v>
      </c>
      <c r="U1562" s="131">
        <v>0.45</v>
      </c>
      <c r="V1562" s="50">
        <v>0.56999999999999995</v>
      </c>
      <c r="W1562" s="74">
        <v>3.3000000000000002E-2</v>
      </c>
      <c r="X1562" s="50">
        <v>6.0999999999999999E-2</v>
      </c>
      <c r="Y1562" s="74">
        <f>0.03/2</f>
        <v>1.4999999999999999E-2</v>
      </c>
      <c r="Z1562" s="271">
        <v>1</v>
      </c>
      <c r="AA1562" s="271">
        <v>1</v>
      </c>
      <c r="AB1562" s="114">
        <v>4</v>
      </c>
      <c r="AC1562" s="50">
        <v>59</v>
      </c>
      <c r="AD1562" s="271">
        <v>0.8</v>
      </c>
      <c r="AJ1562" s="114">
        <f>100/2</f>
        <v>50</v>
      </c>
    </row>
    <row r="1563" spans="1:36" ht="15" customHeight="1">
      <c r="A1563" s="41" t="s">
        <v>183</v>
      </c>
      <c r="B1563" s="402" t="s">
        <v>4712</v>
      </c>
      <c r="D1563" s="392" t="s">
        <v>684</v>
      </c>
      <c r="E1563" s="394" t="s">
        <v>4713</v>
      </c>
      <c r="G1563" s="405" t="s">
        <v>4748</v>
      </c>
      <c r="H1563" s="74">
        <v>3479</v>
      </c>
      <c r="I1563" s="50" t="s">
        <v>1</v>
      </c>
      <c r="J1563" s="339" t="s">
        <v>890</v>
      </c>
      <c r="K1563" s="51">
        <v>41352</v>
      </c>
      <c r="L1563" s="173">
        <v>41345</v>
      </c>
      <c r="M1563" s="50">
        <f t="shared" si="77"/>
        <v>7</v>
      </c>
      <c r="N1563" s="50" t="s">
        <v>2</v>
      </c>
      <c r="O1563" s="74">
        <f>2/2</f>
        <v>1</v>
      </c>
      <c r="P1563" s="50">
        <v>6.6</v>
      </c>
      <c r="Q1563" s="74">
        <v>6.3</v>
      </c>
      <c r="R1563" s="50">
        <v>10</v>
      </c>
      <c r="S1563" s="74">
        <v>10</v>
      </c>
      <c r="T1563" s="50">
        <v>0.1</v>
      </c>
      <c r="U1563" s="131">
        <v>0.69</v>
      </c>
      <c r="V1563" s="50">
        <v>1.44</v>
      </c>
      <c r="W1563" s="74">
        <v>6.4000000000000001E-2</v>
      </c>
      <c r="X1563" s="50">
        <v>0.44600000000000001</v>
      </c>
      <c r="Y1563" s="74">
        <f>0.03/2</f>
        <v>1.4999999999999999E-2</v>
      </c>
      <c r="Z1563" s="271">
        <v>0.35399999999999998</v>
      </c>
      <c r="AA1563" s="271">
        <v>0.13400000000000001</v>
      </c>
      <c r="AB1563" s="114">
        <v>5</v>
      </c>
      <c r="AC1563" s="50">
        <v>41</v>
      </c>
      <c r="AD1563" s="271">
        <v>0</v>
      </c>
      <c r="AJ1563" s="114">
        <f>100/2</f>
        <v>50</v>
      </c>
    </row>
    <row r="1564" spans="1:36" ht="15" customHeight="1">
      <c r="A1564" s="41" t="s">
        <v>183</v>
      </c>
      <c r="B1564" s="402" t="s">
        <v>4712</v>
      </c>
      <c r="D1564" s="392" t="s">
        <v>684</v>
      </c>
      <c r="E1564" s="394" t="s">
        <v>4713</v>
      </c>
      <c r="G1564" s="405" t="s">
        <v>4748</v>
      </c>
      <c r="H1564" s="74">
        <v>3479</v>
      </c>
      <c r="I1564" s="50" t="s">
        <v>1</v>
      </c>
      <c r="J1564" s="339" t="s">
        <v>3630</v>
      </c>
      <c r="K1564" s="51">
        <v>41487</v>
      </c>
      <c r="L1564" s="173">
        <v>41481</v>
      </c>
      <c r="M1564" s="50">
        <f t="shared" si="77"/>
        <v>6</v>
      </c>
      <c r="N1564" s="50" t="s">
        <v>2</v>
      </c>
      <c r="O1564" s="74">
        <f>2/2</f>
        <v>1</v>
      </c>
      <c r="P1564" s="50">
        <v>5.5</v>
      </c>
      <c r="Q1564" s="74">
        <v>7</v>
      </c>
      <c r="R1564" s="50">
        <v>13</v>
      </c>
      <c r="S1564" s="74">
        <v>13</v>
      </c>
      <c r="T1564" s="50">
        <v>0.06</v>
      </c>
      <c r="U1564" s="131">
        <v>0.89</v>
      </c>
      <c r="V1564" s="50">
        <f>0.1/2</f>
        <v>0.05</v>
      </c>
      <c r="W1564" s="74">
        <v>2.5000000000000001E-2</v>
      </c>
      <c r="X1564" s="50">
        <v>0.34599999999999997</v>
      </c>
      <c r="Y1564" s="74">
        <f>0.03/2</f>
        <v>1.4999999999999999E-2</v>
      </c>
    </row>
    <row r="1565" spans="1:36" ht="15" customHeight="1">
      <c r="A1565" s="41" t="s">
        <v>183</v>
      </c>
      <c r="B1565" s="402" t="s">
        <v>4712</v>
      </c>
      <c r="D1565" s="392" t="s">
        <v>684</v>
      </c>
      <c r="E1565" s="394" t="s">
        <v>4713</v>
      </c>
      <c r="G1565" s="405" t="s">
        <v>4748</v>
      </c>
      <c r="H1565" s="84">
        <v>3479</v>
      </c>
      <c r="I1565" s="50" t="s">
        <v>1</v>
      </c>
      <c r="J1565" s="339" t="s">
        <v>890</v>
      </c>
      <c r="K1565" s="51">
        <v>41487</v>
      </c>
      <c r="L1565" s="173">
        <v>41481</v>
      </c>
      <c r="M1565" s="50">
        <f t="shared" si="77"/>
        <v>6</v>
      </c>
      <c r="N1565" s="50" t="s">
        <v>2</v>
      </c>
      <c r="O1565" s="74">
        <f>2/2</f>
        <v>1</v>
      </c>
      <c r="P1565" s="50">
        <v>5.5</v>
      </c>
      <c r="Q1565" s="74">
        <v>7.1</v>
      </c>
      <c r="R1565" s="50">
        <f>10/2</f>
        <v>5</v>
      </c>
      <c r="S1565" s="74">
        <v>13</v>
      </c>
      <c r="T1565" s="50">
        <v>7.0000000000000007E-2</v>
      </c>
      <c r="U1565" s="131">
        <v>0.85</v>
      </c>
      <c r="V1565" s="50">
        <f>0.1/2</f>
        <v>0.05</v>
      </c>
      <c r="W1565" s="74">
        <v>2.5999999999999999E-2</v>
      </c>
      <c r="X1565" s="50">
        <v>0.34399999999999997</v>
      </c>
      <c r="Y1565" s="74">
        <f>0.03/2</f>
        <v>1.4999999999999999E-2</v>
      </c>
    </row>
    <row r="1566" spans="1:36" ht="15" customHeight="1">
      <c r="A1566" s="41" t="s">
        <v>183</v>
      </c>
      <c r="B1566" s="402" t="s">
        <v>2643</v>
      </c>
      <c r="C1566" s="113" t="s">
        <v>395</v>
      </c>
      <c r="D1566" s="393" t="s">
        <v>290</v>
      </c>
      <c r="E1566" s="394" t="s">
        <v>112</v>
      </c>
      <c r="G1566" s="405" t="s">
        <v>2644</v>
      </c>
      <c r="H1566" s="74">
        <v>4953</v>
      </c>
      <c r="I1566" s="50" t="s">
        <v>1</v>
      </c>
      <c r="J1566" s="48" t="s">
        <v>2645</v>
      </c>
      <c r="K1566" s="51">
        <v>41487</v>
      </c>
      <c r="L1566" s="173">
        <v>41481</v>
      </c>
      <c r="M1566" s="50">
        <f t="shared" si="77"/>
        <v>6</v>
      </c>
      <c r="N1566" s="50" t="s">
        <v>2</v>
      </c>
      <c r="O1566" s="74">
        <f>1.4/2</f>
        <v>0.7</v>
      </c>
      <c r="P1566" s="50">
        <v>4.62</v>
      </c>
      <c r="Q1566" s="74">
        <v>7.29</v>
      </c>
      <c r="R1566" s="50">
        <v>37</v>
      </c>
      <c r="S1566" s="74">
        <f>5/2</f>
        <v>2.5</v>
      </c>
      <c r="T1566" s="50">
        <v>0.38</v>
      </c>
      <c r="U1566" s="131">
        <v>0.78</v>
      </c>
      <c r="V1566" s="50">
        <v>0.39</v>
      </c>
      <c r="W1566" s="74">
        <f>0.005/2</f>
        <v>2.5000000000000001E-3</v>
      </c>
      <c r="X1566" s="50">
        <v>5.0000000000000001E-3</v>
      </c>
      <c r="Y1566" s="74">
        <f>0.002/2</f>
        <v>1E-3</v>
      </c>
    </row>
    <row r="1567" spans="1:36" ht="15" customHeight="1">
      <c r="A1567" s="41" t="s">
        <v>183</v>
      </c>
      <c r="B1567" s="402" t="s">
        <v>2643</v>
      </c>
      <c r="C1567" s="113" t="s">
        <v>392</v>
      </c>
      <c r="D1567" s="393" t="s">
        <v>290</v>
      </c>
      <c r="E1567" s="394" t="s">
        <v>112</v>
      </c>
      <c r="G1567" s="405" t="s">
        <v>2644</v>
      </c>
      <c r="H1567" s="74">
        <v>4953</v>
      </c>
      <c r="I1567" s="50" t="s">
        <v>1</v>
      </c>
      <c r="J1567" s="48" t="s">
        <v>2646</v>
      </c>
      <c r="K1567" s="51">
        <v>41487</v>
      </c>
      <c r="L1567" s="173">
        <v>41481</v>
      </c>
      <c r="M1567" s="50">
        <f t="shared" si="77"/>
        <v>6</v>
      </c>
      <c r="N1567" s="50" t="s">
        <v>2</v>
      </c>
      <c r="O1567" s="74">
        <f>1.4/2</f>
        <v>0.7</v>
      </c>
      <c r="P1567" s="50">
        <v>4.62</v>
      </c>
      <c r="Q1567" s="74">
        <v>4.83</v>
      </c>
      <c r="R1567" s="50">
        <v>93</v>
      </c>
      <c r="S1567" s="74">
        <v>17</v>
      </c>
      <c r="T1567" s="50">
        <v>0.09</v>
      </c>
      <c r="U1567" s="131">
        <v>1.63</v>
      </c>
      <c r="V1567" s="50">
        <v>0.77</v>
      </c>
      <c r="W1567" s="74">
        <v>1.2E-2</v>
      </c>
      <c r="X1567" s="50">
        <v>0.04</v>
      </c>
      <c r="Y1567" s="74">
        <f>0.002/2</f>
        <v>1E-3</v>
      </c>
    </row>
    <row r="1568" spans="1:36" ht="15" customHeight="1">
      <c r="A1568" s="41" t="s">
        <v>183</v>
      </c>
      <c r="B1568" s="402" t="s">
        <v>1953</v>
      </c>
      <c r="C1568" s="113" t="s">
        <v>3760</v>
      </c>
      <c r="D1568" s="393" t="s">
        <v>1484</v>
      </c>
      <c r="E1568" s="394" t="s">
        <v>1954</v>
      </c>
      <c r="G1568" s="405" t="s">
        <v>4757</v>
      </c>
      <c r="H1568" s="113">
        <v>3471</v>
      </c>
      <c r="I1568" s="49" t="s">
        <v>2</v>
      </c>
      <c r="J1568" s="48" t="s">
        <v>4755</v>
      </c>
      <c r="K1568" s="51">
        <v>41508</v>
      </c>
      <c r="L1568" s="173">
        <v>41499</v>
      </c>
      <c r="M1568" s="50">
        <f t="shared" si="77"/>
        <v>9</v>
      </c>
      <c r="N1568" s="50" t="s">
        <v>2</v>
      </c>
      <c r="O1568" s="74">
        <f>1/2</f>
        <v>0.5</v>
      </c>
      <c r="P1568" s="50">
        <v>6.22</v>
      </c>
      <c r="Q1568" s="74">
        <v>6.14</v>
      </c>
      <c r="R1568" s="50">
        <v>44.4</v>
      </c>
      <c r="S1568" s="74">
        <v>10</v>
      </c>
      <c r="T1568" s="50">
        <v>0.12</v>
      </c>
      <c r="U1568" s="131">
        <v>2.11</v>
      </c>
      <c r="V1568" s="50">
        <v>0.61</v>
      </c>
      <c r="W1568" s="74">
        <v>7.5999999999999998E-2</v>
      </c>
      <c r="X1568" s="50">
        <v>0.38400000000000001</v>
      </c>
      <c r="Y1568" s="74">
        <v>4.0000000000000001E-3</v>
      </c>
      <c r="Z1568" s="271">
        <v>0.22500000000000001</v>
      </c>
      <c r="AA1568" s="271">
        <v>0.14399999999999999</v>
      </c>
    </row>
    <row r="1569" spans="1:79" ht="15" customHeight="1">
      <c r="A1569" s="41" t="s">
        <v>183</v>
      </c>
      <c r="B1569" s="402" t="s">
        <v>532</v>
      </c>
      <c r="C1569" s="113" t="s">
        <v>1077</v>
      </c>
      <c r="D1569" s="393" t="s">
        <v>262</v>
      </c>
      <c r="E1569" s="394" t="s">
        <v>664</v>
      </c>
      <c r="G1569" s="405" t="s">
        <v>1078</v>
      </c>
      <c r="H1569" s="49">
        <v>2951</v>
      </c>
      <c r="I1569" s="50" t="s">
        <v>1</v>
      </c>
      <c r="J1569" s="76" t="s">
        <v>593</v>
      </c>
      <c r="K1569" s="51">
        <v>41442</v>
      </c>
      <c r="L1569" s="173">
        <v>41439</v>
      </c>
      <c r="M1569" s="50">
        <f t="shared" si="77"/>
        <v>3</v>
      </c>
      <c r="N1569" s="50" t="s">
        <v>2</v>
      </c>
      <c r="O1569" s="74">
        <f>5/2</f>
        <v>2.5</v>
      </c>
      <c r="P1569" s="50">
        <v>5.7</v>
      </c>
      <c r="Q1569" s="74">
        <v>9.82</v>
      </c>
      <c r="R1569" s="50">
        <v>67</v>
      </c>
      <c r="S1569" s="74">
        <v>92</v>
      </c>
      <c r="T1569" s="50">
        <v>0.11</v>
      </c>
      <c r="U1569" s="131">
        <f>1/2</f>
        <v>0.5</v>
      </c>
      <c r="V1569" s="50">
        <v>0.17</v>
      </c>
      <c r="W1569" s="74">
        <f>0.04/2</f>
        <v>0.02</v>
      </c>
      <c r="X1569" s="50">
        <v>3.3000000000000002E-2</v>
      </c>
      <c r="Y1569" s="74">
        <f>0.013/2</f>
        <v>6.4999999999999997E-3</v>
      </c>
    </row>
    <row r="1570" spans="1:79" ht="15" customHeight="1">
      <c r="A1570" s="41" t="s">
        <v>183</v>
      </c>
      <c r="B1570" s="402" t="s">
        <v>532</v>
      </c>
      <c r="C1570" s="113" t="s">
        <v>1077</v>
      </c>
      <c r="D1570" s="393" t="s">
        <v>262</v>
      </c>
      <c r="E1570" s="394" t="s">
        <v>664</v>
      </c>
      <c r="G1570" s="405" t="s">
        <v>1078</v>
      </c>
      <c r="H1570" s="74">
        <v>2951</v>
      </c>
      <c r="I1570" s="50" t="s">
        <v>1</v>
      </c>
      <c r="J1570" s="76" t="s">
        <v>504</v>
      </c>
      <c r="K1570" s="51">
        <v>41442</v>
      </c>
      <c r="L1570" s="173">
        <v>41439</v>
      </c>
      <c r="M1570" s="50">
        <f t="shared" si="77"/>
        <v>3</v>
      </c>
      <c r="N1570" s="50" t="s">
        <v>2</v>
      </c>
      <c r="O1570" s="74">
        <f>5/2</f>
        <v>2.5</v>
      </c>
      <c r="P1570" s="50">
        <v>5.7</v>
      </c>
      <c r="Q1570" s="74">
        <v>8.39</v>
      </c>
      <c r="R1570" s="50">
        <v>100</v>
      </c>
      <c r="S1570" s="74">
        <v>16</v>
      </c>
      <c r="T1570" s="50">
        <v>0.34</v>
      </c>
      <c r="U1570" s="131">
        <f>1/2</f>
        <v>0.5</v>
      </c>
      <c r="V1570" s="50">
        <f>0.1/2</f>
        <v>0.05</v>
      </c>
      <c r="W1570" s="74">
        <f>0.04/2</f>
        <v>0.02</v>
      </c>
      <c r="X1570" s="50">
        <v>3.6999999999999998E-2</v>
      </c>
      <c r="Y1570" s="74">
        <f>0.013/2</f>
        <v>6.4999999999999997E-3</v>
      </c>
    </row>
    <row r="1571" spans="1:79" s="400" customFormat="1" ht="15" customHeight="1">
      <c r="A1571" s="404" t="s">
        <v>183</v>
      </c>
      <c r="B1571" s="402" t="s">
        <v>332</v>
      </c>
      <c r="C1571" s="113" t="s">
        <v>332</v>
      </c>
      <c r="D1571" s="393" t="s">
        <v>333</v>
      </c>
      <c r="E1571" s="394" t="s">
        <v>467</v>
      </c>
      <c r="F1571" s="402" t="s">
        <v>980</v>
      </c>
      <c r="G1571" s="405" t="s">
        <v>334</v>
      </c>
      <c r="H1571" s="404">
        <v>3629</v>
      </c>
      <c r="I1571" s="402" t="s">
        <v>2</v>
      </c>
      <c r="J1571" s="406" t="s">
        <v>4756</v>
      </c>
      <c r="K1571" s="403">
        <v>41487</v>
      </c>
      <c r="L1571" s="398">
        <v>41481</v>
      </c>
      <c r="M1571" s="402">
        <f t="shared" si="77"/>
        <v>6</v>
      </c>
      <c r="N1571" s="402" t="s">
        <v>2</v>
      </c>
      <c r="O1571" s="404">
        <f>2/2</f>
        <v>1</v>
      </c>
      <c r="P1571" s="402">
        <v>4.17</v>
      </c>
      <c r="Q1571" s="404">
        <v>3.9</v>
      </c>
      <c r="R1571" s="402">
        <v>10</v>
      </c>
      <c r="S1571" s="404">
        <v>12</v>
      </c>
      <c r="T1571" s="402">
        <v>0.06</v>
      </c>
      <c r="U1571" s="395">
        <v>1.6</v>
      </c>
      <c r="V1571" s="402">
        <v>5.96</v>
      </c>
      <c r="W1571" s="404">
        <v>2.5000000000000001E-2</v>
      </c>
      <c r="X1571" s="402">
        <v>1.1599999999999999</v>
      </c>
      <c r="Y1571" s="404">
        <f>0.03/2</f>
        <v>1.4999999999999999E-2</v>
      </c>
      <c r="Z1571" s="399"/>
      <c r="AA1571" s="399"/>
      <c r="AB1571" s="394"/>
      <c r="AC1571" s="402"/>
      <c r="AD1571" s="399"/>
      <c r="AE1571" s="402"/>
      <c r="AF1571" s="391"/>
      <c r="AG1571" s="394"/>
      <c r="AH1571" s="394"/>
      <c r="AI1571" s="394"/>
      <c r="AJ1571" s="394"/>
      <c r="AK1571" s="394"/>
      <c r="AL1571" s="394"/>
      <c r="AM1571" s="394"/>
      <c r="AN1571" s="394"/>
      <c r="AO1571" s="394"/>
      <c r="AP1571" s="394"/>
      <c r="AQ1571" s="394"/>
      <c r="AR1571" s="394"/>
      <c r="AS1571" s="402"/>
      <c r="AT1571" s="404"/>
      <c r="AU1571" s="394"/>
      <c r="AV1571" s="394"/>
      <c r="AW1571" s="394"/>
      <c r="AX1571" s="5"/>
      <c r="AY1571" s="5"/>
      <c r="AZ1571" s="5"/>
      <c r="BA1571" s="5"/>
      <c r="BB1571" s="5"/>
      <c r="BC1571" s="5"/>
      <c r="BD1571" s="5"/>
      <c r="BE1571" s="5"/>
      <c r="BF1571" s="5"/>
      <c r="BG1571" s="5"/>
      <c r="BH1571" s="5"/>
      <c r="BI1571" s="5"/>
      <c r="BJ1571" s="5"/>
      <c r="BK1571" s="5"/>
      <c r="BL1571" s="5"/>
      <c r="BM1571" s="5"/>
      <c r="BN1571" s="5"/>
      <c r="BO1571" s="5"/>
      <c r="BP1571" s="5"/>
      <c r="BQ1571" s="5"/>
      <c r="BR1571" s="5"/>
      <c r="BS1571" s="5"/>
      <c r="BT1571" s="5"/>
      <c r="BU1571" s="5"/>
      <c r="BV1571" s="5"/>
      <c r="BW1571" s="5"/>
      <c r="BX1571" s="5"/>
      <c r="BY1571" s="5"/>
      <c r="BZ1571" s="5"/>
      <c r="CA1571" s="5"/>
    </row>
    <row r="1572" spans="1:79" ht="15" customHeight="1">
      <c r="A1572" s="41" t="s">
        <v>183</v>
      </c>
      <c r="B1572" s="402" t="s">
        <v>1953</v>
      </c>
      <c r="C1572" s="113" t="s">
        <v>3760</v>
      </c>
      <c r="D1572" s="393" t="s">
        <v>1484</v>
      </c>
      <c r="E1572" s="394" t="s">
        <v>1954</v>
      </c>
      <c r="G1572" s="405" t="s">
        <v>4757</v>
      </c>
      <c r="H1572" s="113">
        <v>3471</v>
      </c>
      <c r="I1572" s="49" t="s">
        <v>2</v>
      </c>
      <c r="J1572" s="48" t="s">
        <v>4755</v>
      </c>
      <c r="K1572" s="51">
        <v>41374</v>
      </c>
      <c r="L1572" s="173">
        <v>41365</v>
      </c>
      <c r="M1572" s="50">
        <f t="shared" si="77"/>
        <v>9</v>
      </c>
      <c r="N1572" s="50" t="s">
        <v>2</v>
      </c>
      <c r="O1572" s="74">
        <v>1.2</v>
      </c>
      <c r="P1572" s="50">
        <v>6.22</v>
      </c>
      <c r="Q1572" s="74">
        <v>5.77</v>
      </c>
      <c r="R1572" s="50">
        <v>22.2</v>
      </c>
      <c r="S1572" s="74">
        <v>16</v>
      </c>
      <c r="T1572" s="50">
        <v>0.05</v>
      </c>
      <c r="U1572" s="131">
        <v>2.29</v>
      </c>
      <c r="V1572" s="50">
        <v>1.04</v>
      </c>
      <c r="W1572" s="74">
        <v>0.04</v>
      </c>
      <c r="X1572" s="50">
        <v>0.22</v>
      </c>
      <c r="Y1572" s="74">
        <v>2E-3</v>
      </c>
    </row>
    <row r="1573" spans="1:79" ht="15" customHeight="1">
      <c r="A1573" s="41" t="s">
        <v>183</v>
      </c>
      <c r="B1573" s="402" t="s">
        <v>3793</v>
      </c>
      <c r="C1573" s="113" t="s">
        <v>2581</v>
      </c>
      <c r="D1573" s="393" t="s">
        <v>234</v>
      </c>
      <c r="E1573" s="394" t="s">
        <v>235</v>
      </c>
      <c r="G1573" s="405" t="s">
        <v>3161</v>
      </c>
      <c r="H1573" s="74">
        <v>3471</v>
      </c>
      <c r="I1573" s="50" t="s">
        <v>2</v>
      </c>
      <c r="J1573" s="339" t="s">
        <v>96</v>
      </c>
      <c r="K1573" s="51">
        <v>41170</v>
      </c>
      <c r="L1573" s="173">
        <v>41160</v>
      </c>
      <c r="M1573" s="50">
        <f t="shared" si="77"/>
        <v>10</v>
      </c>
      <c r="N1573" s="50" t="s">
        <v>2</v>
      </c>
      <c r="O1573" s="74">
        <f>1.4/2</f>
        <v>0.7</v>
      </c>
      <c r="P1573" s="50">
        <v>6.02</v>
      </c>
      <c r="Q1573" s="74">
        <v>6.36</v>
      </c>
      <c r="R1573" s="50">
        <v>47</v>
      </c>
      <c r="S1573" s="74">
        <v>10</v>
      </c>
      <c r="T1573" s="50">
        <v>0.31</v>
      </c>
      <c r="U1573" s="131">
        <v>4.3600000000000003</v>
      </c>
      <c r="V1573" s="50">
        <v>0.87</v>
      </c>
      <c r="W1573" s="74">
        <v>5.8000000000000003E-2</v>
      </c>
      <c r="X1573" s="50">
        <v>0.45500000000000002</v>
      </c>
      <c r="Y1573" s="74">
        <v>1.4999999999999999E-2</v>
      </c>
    </row>
    <row r="1574" spans="1:79" ht="15" customHeight="1">
      <c r="A1574" s="41" t="s">
        <v>183</v>
      </c>
      <c r="B1574" s="402" t="s">
        <v>3793</v>
      </c>
      <c r="C1574" s="113" t="s">
        <v>2581</v>
      </c>
      <c r="D1574" s="393" t="s">
        <v>234</v>
      </c>
      <c r="E1574" s="394" t="s">
        <v>235</v>
      </c>
      <c r="G1574" s="405" t="s">
        <v>3161</v>
      </c>
      <c r="H1574" s="74">
        <v>3471</v>
      </c>
      <c r="I1574" s="50" t="s">
        <v>1</v>
      </c>
      <c r="J1574" s="339" t="s">
        <v>96</v>
      </c>
      <c r="K1574" s="51">
        <v>41487</v>
      </c>
      <c r="L1574" s="173">
        <v>41478</v>
      </c>
      <c r="M1574" s="50">
        <f t="shared" si="77"/>
        <v>9</v>
      </c>
      <c r="N1574" s="50" t="s">
        <v>2</v>
      </c>
      <c r="O1574" s="74">
        <f>1/2</f>
        <v>0.5</v>
      </c>
      <c r="P1574" s="50">
        <v>5.0999999999999996</v>
      </c>
      <c r="Q1574" s="74">
        <v>4.82</v>
      </c>
      <c r="R1574" s="50">
        <v>22.2</v>
      </c>
      <c r="S1574" s="74">
        <v>2</v>
      </c>
      <c r="T1574" s="50">
        <v>0.09</v>
      </c>
      <c r="U1574" s="131">
        <v>1.35</v>
      </c>
      <c r="V1574" s="50">
        <v>1.44</v>
      </c>
      <c r="W1574" s="74">
        <v>4.9000000000000002E-2</v>
      </c>
      <c r="X1574" s="50">
        <v>0.41399999999999998</v>
      </c>
      <c r="Y1574" s="74">
        <v>0.01</v>
      </c>
    </row>
    <row r="1575" spans="1:79" ht="15" customHeight="1">
      <c r="A1575" s="41" t="s">
        <v>183</v>
      </c>
      <c r="B1575" s="402" t="s">
        <v>1910</v>
      </c>
      <c r="C1575" s="113" t="s">
        <v>2239</v>
      </c>
      <c r="D1575" s="393" t="s">
        <v>257</v>
      </c>
      <c r="E1575" s="394" t="s">
        <v>823</v>
      </c>
      <c r="G1575" s="405" t="s">
        <v>2240</v>
      </c>
      <c r="H1575" s="74">
        <v>4151</v>
      </c>
      <c r="I1575" s="50" t="s">
        <v>2</v>
      </c>
      <c r="J1575" s="48" t="s">
        <v>1030</v>
      </c>
      <c r="K1575" s="51">
        <v>41345</v>
      </c>
      <c r="L1575" s="173">
        <v>41341</v>
      </c>
      <c r="M1575" s="50">
        <f t="shared" si="77"/>
        <v>4</v>
      </c>
      <c r="N1575" s="50" t="s">
        <v>2</v>
      </c>
      <c r="O1575" s="74">
        <v>11</v>
      </c>
      <c r="P1575" s="50">
        <v>6.94</v>
      </c>
      <c r="Q1575" s="74">
        <v>7.84</v>
      </c>
      <c r="R1575" s="50">
        <v>116</v>
      </c>
      <c r="S1575" s="74">
        <v>240</v>
      </c>
      <c r="T1575" s="50">
        <v>0.21</v>
      </c>
      <c r="U1575" s="131">
        <v>0.59</v>
      </c>
      <c r="V1575" s="50">
        <f>0.05/2</f>
        <v>2.5000000000000001E-2</v>
      </c>
      <c r="W1575" s="74">
        <v>2.9000000000000001E-2</v>
      </c>
      <c r="X1575" s="50">
        <v>8.1000000000000003E-2</v>
      </c>
      <c r="Y1575" s="74">
        <v>1.4E-2</v>
      </c>
      <c r="Z1575" s="271">
        <v>1</v>
      </c>
      <c r="AA1575" s="271">
        <v>1</v>
      </c>
      <c r="AB1575" s="114">
        <v>18</v>
      </c>
      <c r="AC1575" s="50">
        <v>160</v>
      </c>
      <c r="AD1575" s="271">
        <v>1</v>
      </c>
    </row>
    <row r="1576" spans="1:79" ht="15" customHeight="1">
      <c r="A1576" s="41" t="s">
        <v>183</v>
      </c>
      <c r="B1576" s="402" t="s">
        <v>1910</v>
      </c>
      <c r="C1576" s="113" t="s">
        <v>2239</v>
      </c>
      <c r="D1576" s="393" t="s">
        <v>257</v>
      </c>
      <c r="E1576" s="394" t="s">
        <v>823</v>
      </c>
      <c r="G1576" s="405" t="s">
        <v>2240</v>
      </c>
      <c r="H1576" s="74">
        <v>4151</v>
      </c>
      <c r="I1576" s="50" t="s">
        <v>2</v>
      </c>
      <c r="J1576" s="48" t="s">
        <v>1031</v>
      </c>
      <c r="K1576" s="51">
        <v>41345</v>
      </c>
      <c r="L1576" s="173">
        <v>41341</v>
      </c>
      <c r="M1576" s="50">
        <f t="shared" si="77"/>
        <v>4</v>
      </c>
      <c r="N1576" s="50" t="s">
        <v>2</v>
      </c>
      <c r="O1576" s="74">
        <v>35</v>
      </c>
      <c r="P1576" s="50">
        <v>6.94</v>
      </c>
      <c r="Q1576" s="74">
        <v>8.5</v>
      </c>
      <c r="R1576" s="50">
        <v>340</v>
      </c>
      <c r="S1576" s="74">
        <v>650</v>
      </c>
      <c r="T1576" s="50">
        <v>0.52</v>
      </c>
      <c r="U1576" s="131">
        <v>1.52</v>
      </c>
      <c r="V1576" s="50">
        <v>0.06</v>
      </c>
      <c r="W1576" s="74">
        <v>5.6000000000000001E-2</v>
      </c>
      <c r="X1576" s="50">
        <v>0.14399999999999999</v>
      </c>
      <c r="Y1576" s="74">
        <v>3.2000000000000001E-2</v>
      </c>
      <c r="Z1576" s="271">
        <v>1</v>
      </c>
      <c r="AA1576" s="271">
        <v>1</v>
      </c>
      <c r="AB1576" s="114">
        <v>40</v>
      </c>
      <c r="AC1576" s="50">
        <v>171</v>
      </c>
      <c r="AD1576" s="271">
        <v>1</v>
      </c>
    </row>
    <row r="1577" spans="1:79" ht="15" customHeight="1">
      <c r="A1577" s="41" t="s">
        <v>183</v>
      </c>
      <c r="B1577" s="402" t="s">
        <v>1910</v>
      </c>
      <c r="C1577" s="113" t="s">
        <v>2239</v>
      </c>
      <c r="D1577" s="393" t="s">
        <v>257</v>
      </c>
      <c r="E1577" s="394" t="s">
        <v>823</v>
      </c>
      <c r="G1577" s="405" t="s">
        <v>2240</v>
      </c>
      <c r="H1577" s="74">
        <v>4151</v>
      </c>
      <c r="I1577" s="50" t="s">
        <v>2</v>
      </c>
      <c r="J1577" s="339" t="s">
        <v>1032</v>
      </c>
      <c r="K1577" s="51">
        <v>41345</v>
      </c>
      <c r="L1577" s="173">
        <v>41341</v>
      </c>
      <c r="M1577" s="50">
        <f t="shared" si="77"/>
        <v>4</v>
      </c>
      <c r="N1577" s="50" t="s">
        <v>2</v>
      </c>
      <c r="O1577" s="74">
        <v>2.4</v>
      </c>
      <c r="P1577" s="50">
        <v>6.94</v>
      </c>
      <c r="Q1577" s="74">
        <v>8.0299999999999994</v>
      </c>
      <c r="R1577" s="50">
        <v>36</v>
      </c>
      <c r="S1577" s="74">
        <v>37</v>
      </c>
      <c r="T1577" s="50">
        <v>0.04</v>
      </c>
      <c r="U1577" s="131">
        <f>0.5/2</f>
        <v>0.25</v>
      </c>
      <c r="V1577" s="50">
        <v>0.6</v>
      </c>
      <c r="W1577" s="74">
        <v>6.0000000000000001E-3</v>
      </c>
      <c r="X1577" s="50">
        <v>0.01</v>
      </c>
      <c r="Y1577" s="74">
        <f>0.002/2</f>
        <v>1E-3</v>
      </c>
      <c r="Z1577" s="271">
        <v>1</v>
      </c>
      <c r="AA1577" s="271">
        <v>1</v>
      </c>
      <c r="AB1577" s="114">
        <v>440</v>
      </c>
      <c r="AC1577" s="50">
        <v>1640</v>
      </c>
      <c r="AD1577" s="271">
        <v>1</v>
      </c>
    </row>
    <row r="1578" spans="1:79" ht="15" customHeight="1">
      <c r="A1578" s="41" t="s">
        <v>183</v>
      </c>
      <c r="B1578" s="402" t="s">
        <v>1910</v>
      </c>
      <c r="C1578" s="113" t="s">
        <v>4347</v>
      </c>
      <c r="D1578" s="393" t="s">
        <v>56</v>
      </c>
      <c r="E1578" s="394" t="s">
        <v>2211</v>
      </c>
      <c r="G1578" s="405" t="s">
        <v>2212</v>
      </c>
      <c r="H1578" s="74">
        <v>4151</v>
      </c>
      <c r="I1578" s="50" t="s">
        <v>1</v>
      </c>
      <c r="J1578" s="339" t="s">
        <v>510</v>
      </c>
      <c r="K1578" s="51">
        <v>41345</v>
      </c>
      <c r="L1578" s="173">
        <v>41341</v>
      </c>
      <c r="M1578" s="50">
        <f t="shared" si="77"/>
        <v>4</v>
      </c>
      <c r="N1578" s="50" t="s">
        <v>2</v>
      </c>
      <c r="O1578" s="74">
        <v>64</v>
      </c>
      <c r="P1578" s="50">
        <v>5.56</v>
      </c>
      <c r="Q1578" s="74">
        <v>8.1199999999999992</v>
      </c>
      <c r="R1578" s="50">
        <v>690</v>
      </c>
      <c r="S1578" s="74">
        <v>920</v>
      </c>
      <c r="T1578" s="50">
        <v>0.86</v>
      </c>
      <c r="U1578" s="131">
        <v>3.54</v>
      </c>
      <c r="V1578" s="50">
        <v>0.15</v>
      </c>
      <c r="W1578" s="74">
        <v>0.10100000000000001</v>
      </c>
      <c r="X1578" s="50">
        <v>0.25600000000000001</v>
      </c>
      <c r="Y1578" s="74">
        <v>4.1000000000000002E-2</v>
      </c>
      <c r="Z1578" s="271">
        <v>1</v>
      </c>
      <c r="AA1578" s="271">
        <v>1</v>
      </c>
      <c r="AB1578" s="114">
        <f>2/2</f>
        <v>1</v>
      </c>
      <c r="AC1578" s="50">
        <v>11</v>
      </c>
      <c r="AD1578" s="271">
        <v>1</v>
      </c>
    </row>
    <row r="1579" spans="1:79" ht="15" customHeight="1">
      <c r="A1579" s="41" t="s">
        <v>183</v>
      </c>
      <c r="B1579" s="402" t="s">
        <v>4758</v>
      </c>
      <c r="D1579" s="393" t="s">
        <v>251</v>
      </c>
      <c r="G1579" s="405" t="s">
        <v>4759</v>
      </c>
      <c r="H1579" s="74">
        <v>3471</v>
      </c>
      <c r="I1579" s="50" t="s">
        <v>2</v>
      </c>
      <c r="J1579" s="343" t="s">
        <v>1943</v>
      </c>
      <c r="K1579" s="51">
        <v>41530</v>
      </c>
      <c r="L1579" s="173">
        <v>41508</v>
      </c>
      <c r="M1579" s="50">
        <f t="shared" si="77"/>
        <v>22</v>
      </c>
      <c r="N1579" s="50" t="s">
        <v>2</v>
      </c>
      <c r="O1579" s="74">
        <f>2/2</f>
        <v>1</v>
      </c>
      <c r="P1579" s="50">
        <v>7.4</v>
      </c>
      <c r="Q1579" s="74">
        <v>7.3</v>
      </c>
      <c r="R1579" s="50">
        <v>45</v>
      </c>
      <c r="S1579" s="74">
        <v>21</v>
      </c>
      <c r="T1579" s="50">
        <f>0.05/2</f>
        <v>2.5000000000000001E-2</v>
      </c>
      <c r="U1579" s="131">
        <v>0.68</v>
      </c>
      <c r="V1579" s="50">
        <v>0.28999999999999998</v>
      </c>
      <c r="W1579" s="74">
        <v>5.2999999999999999E-2</v>
      </c>
      <c r="X1579" s="50">
        <v>3.9E-2</v>
      </c>
      <c r="Y1579" s="74">
        <f>0.03/2</f>
        <v>1.4999999999999999E-2</v>
      </c>
      <c r="Z1579" s="271">
        <v>1</v>
      </c>
      <c r="AA1579" s="271">
        <v>1</v>
      </c>
      <c r="AB1579" s="114">
        <v>17</v>
      </c>
      <c r="AC1579" s="50">
        <v>41</v>
      </c>
      <c r="AD1579" s="271">
        <v>1</v>
      </c>
    </row>
    <row r="1580" spans="1:79" ht="15" customHeight="1">
      <c r="A1580" s="41" t="s">
        <v>183</v>
      </c>
      <c r="B1580" s="402" t="s">
        <v>2273</v>
      </c>
      <c r="C1580" s="113" t="s">
        <v>4760</v>
      </c>
      <c r="D1580" s="393" t="s">
        <v>2274</v>
      </c>
      <c r="E1580" s="394" t="s">
        <v>2275</v>
      </c>
      <c r="G1580" s="405" t="s">
        <v>2276</v>
      </c>
      <c r="H1580" s="74">
        <v>9511</v>
      </c>
      <c r="I1580" s="50" t="s">
        <v>1</v>
      </c>
      <c r="J1580" s="339" t="s">
        <v>510</v>
      </c>
      <c r="K1580" s="51">
        <v>41050</v>
      </c>
      <c r="L1580" s="173">
        <v>41044</v>
      </c>
      <c r="M1580" s="50">
        <f t="shared" si="77"/>
        <v>6</v>
      </c>
      <c r="N1580" s="50" t="s">
        <v>2</v>
      </c>
      <c r="O1580" s="74">
        <f>5/2</f>
        <v>2.5</v>
      </c>
      <c r="P1580" s="50">
        <v>6.89</v>
      </c>
      <c r="Q1580" s="74">
        <v>6.91</v>
      </c>
      <c r="R1580" s="50">
        <v>8</v>
      </c>
      <c r="S1580" s="74">
        <f>5/2</f>
        <v>2.5</v>
      </c>
      <c r="T1580" s="50">
        <f>0.1/2</f>
        <v>0.05</v>
      </c>
      <c r="U1580" s="74">
        <f>1/2</f>
        <v>0.5</v>
      </c>
      <c r="V1580" s="50">
        <v>4.2</v>
      </c>
      <c r="W1580" s="74">
        <f>0.04/2</f>
        <v>0.02</v>
      </c>
      <c r="X1580" s="50">
        <f>0.04/2</f>
        <v>0.02</v>
      </c>
      <c r="Y1580" s="74">
        <f>0.013/2</f>
        <v>6.4999999999999997E-3</v>
      </c>
      <c r="AE1580" s="50">
        <v>24.3</v>
      </c>
    </row>
    <row r="1581" spans="1:79" ht="15" customHeight="1">
      <c r="A1581" s="41" t="s">
        <v>183</v>
      </c>
      <c r="B1581" s="402" t="s">
        <v>948</v>
      </c>
      <c r="D1581" s="393" t="s">
        <v>314</v>
      </c>
      <c r="E1581" s="394" t="s">
        <v>4761</v>
      </c>
      <c r="G1581" s="405" t="s">
        <v>4762</v>
      </c>
      <c r="H1581" s="74">
        <v>3273</v>
      </c>
      <c r="I1581" s="50" t="s">
        <v>2</v>
      </c>
      <c r="J1581" s="339" t="s">
        <v>687</v>
      </c>
      <c r="K1581" s="51">
        <v>41465</v>
      </c>
      <c r="L1581" s="173">
        <v>41456</v>
      </c>
      <c r="M1581" s="50">
        <f t="shared" si="77"/>
        <v>9</v>
      </c>
      <c r="N1581" s="50" t="s">
        <v>2</v>
      </c>
      <c r="O1581" s="74">
        <v>2.9</v>
      </c>
      <c r="P1581" s="50">
        <v>5.18</v>
      </c>
      <c r="Q1581" s="74">
        <v>7.8</v>
      </c>
      <c r="R1581" s="50">
        <v>95</v>
      </c>
      <c r="S1581" s="74">
        <v>360</v>
      </c>
      <c r="T1581" s="50">
        <v>0.57999999999999996</v>
      </c>
      <c r="U1581" s="74">
        <v>2.0499999999999998</v>
      </c>
      <c r="V1581" s="50">
        <v>0.43</v>
      </c>
      <c r="W1581" s="74">
        <v>2.8000000000000001E-2</v>
      </c>
      <c r="X1581" s="50">
        <v>8.4000000000000005E-2</v>
      </c>
      <c r="Y1581" s="74">
        <v>2.4E-2</v>
      </c>
      <c r="Z1581" s="271">
        <v>1</v>
      </c>
      <c r="AA1581" s="271">
        <v>1</v>
      </c>
      <c r="AB1581" s="114">
        <v>30</v>
      </c>
      <c r="AC1581" s="50">
        <v>84</v>
      </c>
      <c r="AD1581" s="271">
        <v>1</v>
      </c>
    </row>
    <row r="1582" spans="1:79" ht="15" customHeight="1">
      <c r="A1582" s="41" t="s">
        <v>183</v>
      </c>
      <c r="B1582" s="402" t="s">
        <v>4763</v>
      </c>
      <c r="C1582" s="113" t="s">
        <v>4763</v>
      </c>
      <c r="D1582" s="393" t="s">
        <v>347</v>
      </c>
      <c r="E1582" s="394" t="s">
        <v>3496</v>
      </c>
      <c r="G1582" s="405" t="s">
        <v>3253</v>
      </c>
      <c r="H1582" s="74">
        <v>4212</v>
      </c>
      <c r="I1582" s="50" t="s">
        <v>2</v>
      </c>
      <c r="J1582" s="339" t="s">
        <v>4764</v>
      </c>
      <c r="K1582" s="51">
        <v>41432</v>
      </c>
      <c r="L1582" s="173">
        <v>41428</v>
      </c>
      <c r="M1582" s="50">
        <f t="shared" si="77"/>
        <v>4</v>
      </c>
      <c r="N1582" s="50" t="s">
        <v>2</v>
      </c>
      <c r="O1582" s="74">
        <f>2/2</f>
        <v>1</v>
      </c>
      <c r="P1582" s="50">
        <v>6.95</v>
      </c>
      <c r="Q1582" s="74">
        <v>7</v>
      </c>
      <c r="R1582" s="50">
        <v>47</v>
      </c>
      <c r="S1582" s="74">
        <v>28</v>
      </c>
      <c r="T1582" s="50">
        <v>0.1</v>
      </c>
      <c r="U1582" s="74">
        <v>0.76</v>
      </c>
      <c r="V1582" s="50">
        <v>0.48</v>
      </c>
      <c r="W1582" s="74">
        <v>1.6E-2</v>
      </c>
      <c r="X1582" s="50">
        <v>9.6000000000000002E-2</v>
      </c>
      <c r="Y1582" s="74">
        <f>0.03/2</f>
        <v>1.4999999999999999E-2</v>
      </c>
      <c r="Z1582" s="271">
        <v>1</v>
      </c>
      <c r="AA1582" s="271">
        <v>1</v>
      </c>
      <c r="AB1582" s="114">
        <v>37</v>
      </c>
      <c r="AC1582" s="50">
        <v>113</v>
      </c>
      <c r="AD1582" s="271">
        <v>0.9</v>
      </c>
    </row>
    <row r="1583" spans="1:79" ht="15" customHeight="1">
      <c r="A1583" s="41" t="s">
        <v>183</v>
      </c>
      <c r="B1583" s="402" t="s">
        <v>4766</v>
      </c>
      <c r="C1583" s="113" t="s">
        <v>4767</v>
      </c>
      <c r="D1583" s="393" t="s">
        <v>406</v>
      </c>
      <c r="E1583" s="394" t="s">
        <v>4768</v>
      </c>
      <c r="G1583" s="405" t="s">
        <v>4769</v>
      </c>
      <c r="H1583" s="74">
        <v>4011</v>
      </c>
      <c r="I1583" s="50" t="s">
        <v>2</v>
      </c>
      <c r="J1583" s="339" t="s">
        <v>4770</v>
      </c>
      <c r="K1583" s="51">
        <v>41432</v>
      </c>
      <c r="L1583" s="173">
        <v>41428</v>
      </c>
      <c r="M1583" s="50">
        <f t="shared" si="77"/>
        <v>4</v>
      </c>
      <c r="N1583" s="50" t="s">
        <v>2</v>
      </c>
      <c r="O1583" s="74">
        <f>4/2</f>
        <v>2</v>
      </c>
      <c r="P1583" s="50">
        <v>6.82</v>
      </c>
      <c r="Q1583" s="74">
        <v>6.6</v>
      </c>
      <c r="R1583" s="50">
        <v>36</v>
      </c>
      <c r="S1583" s="74">
        <v>10</v>
      </c>
      <c r="T1583" s="50">
        <v>0.20699999999999999</v>
      </c>
      <c r="U1583" s="74">
        <v>3.16</v>
      </c>
      <c r="V1583" s="50">
        <v>0.28000000000000003</v>
      </c>
      <c r="W1583" s="74">
        <v>1.2E-2</v>
      </c>
      <c r="X1583" s="50">
        <v>0.1</v>
      </c>
      <c r="Y1583" s="74">
        <f>0.01/2</f>
        <v>5.0000000000000001E-3</v>
      </c>
      <c r="Z1583" s="271">
        <v>1</v>
      </c>
      <c r="AA1583" s="271">
        <v>1</v>
      </c>
      <c r="AB1583" s="114">
        <v>24</v>
      </c>
      <c r="AC1583" s="50">
        <v>98</v>
      </c>
      <c r="AD1583" s="271">
        <v>1</v>
      </c>
    </row>
    <row r="1584" spans="1:79" ht="15" customHeight="1">
      <c r="A1584" s="41" t="s">
        <v>183</v>
      </c>
      <c r="B1584" s="402" t="s">
        <v>4771</v>
      </c>
      <c r="C1584" s="113" t="s">
        <v>4771</v>
      </c>
      <c r="D1584" s="393" t="s">
        <v>111</v>
      </c>
      <c r="E1584" s="394" t="s">
        <v>4772</v>
      </c>
      <c r="G1584" s="405" t="s">
        <v>4773</v>
      </c>
      <c r="H1584" s="74">
        <v>3446</v>
      </c>
      <c r="J1584" s="339" t="s">
        <v>4772</v>
      </c>
      <c r="K1584" s="51">
        <v>41464</v>
      </c>
      <c r="L1584" s="173">
        <v>41457</v>
      </c>
      <c r="M1584" s="50">
        <f t="shared" si="77"/>
        <v>7</v>
      </c>
      <c r="N1584" s="50" t="s">
        <v>2</v>
      </c>
      <c r="O1584" s="74">
        <f>1/2</f>
        <v>0.5</v>
      </c>
      <c r="Q1584" s="74">
        <v>5.97</v>
      </c>
      <c r="R1584" s="50">
        <f>1/2</f>
        <v>0.5</v>
      </c>
      <c r="S1584" s="74">
        <v>23</v>
      </c>
      <c r="T1584" s="50">
        <v>0.06</v>
      </c>
      <c r="U1584" s="74">
        <v>0.78</v>
      </c>
      <c r="V1584" s="50">
        <v>0.37</v>
      </c>
      <c r="W1584" s="74">
        <v>6.0000000000000001E-3</v>
      </c>
      <c r="X1584" s="50">
        <v>3.5999999999999997E-2</v>
      </c>
      <c r="Y1584" s="74">
        <v>0.01</v>
      </c>
      <c r="Z1584" s="271">
        <v>1</v>
      </c>
      <c r="AA1584" s="271">
        <v>1</v>
      </c>
      <c r="AB1584" s="114">
        <v>1.68</v>
      </c>
      <c r="AC1584" s="50">
        <v>22</v>
      </c>
      <c r="AD1584" s="271">
        <v>1</v>
      </c>
    </row>
    <row r="1585" spans="1:79" ht="15" customHeight="1">
      <c r="A1585" s="41" t="s">
        <v>183</v>
      </c>
      <c r="B1585" s="402" t="s">
        <v>3070</v>
      </c>
      <c r="C1585" s="113" t="s">
        <v>4774</v>
      </c>
      <c r="D1585" s="393" t="s">
        <v>1830</v>
      </c>
      <c r="E1585" s="394" t="s">
        <v>4671</v>
      </c>
      <c r="G1585" s="405" t="s">
        <v>4775</v>
      </c>
      <c r="H1585" s="74">
        <v>3273</v>
      </c>
      <c r="I1585" s="50" t="s">
        <v>1</v>
      </c>
      <c r="J1585" s="339" t="s">
        <v>81</v>
      </c>
      <c r="K1585" s="51">
        <v>41386</v>
      </c>
      <c r="L1585" s="173"/>
      <c r="O1585" s="74">
        <f>5/2</f>
        <v>2.5</v>
      </c>
      <c r="Q1585" s="74">
        <v>10.27</v>
      </c>
      <c r="R1585" s="50">
        <v>43</v>
      </c>
      <c r="S1585" s="74">
        <v>66</v>
      </c>
      <c r="T1585" s="50">
        <v>0.25</v>
      </c>
      <c r="U1585" s="74">
        <f>1/2</f>
        <v>0.5</v>
      </c>
      <c r="V1585" s="50">
        <v>0.31</v>
      </c>
      <c r="W1585" s="74">
        <f>0.04/2</f>
        <v>0.02</v>
      </c>
      <c r="X1585" s="50">
        <v>0.05</v>
      </c>
      <c r="Y1585" s="74">
        <v>0.2</v>
      </c>
    </row>
    <row r="1586" spans="1:79" ht="15" customHeight="1">
      <c r="A1586" s="41" t="s">
        <v>183</v>
      </c>
      <c r="B1586" s="402" t="s">
        <v>4776</v>
      </c>
      <c r="C1586" s="113" t="s">
        <v>2521</v>
      </c>
      <c r="D1586" s="393" t="s">
        <v>41</v>
      </c>
      <c r="E1586" s="394" t="s">
        <v>4777</v>
      </c>
      <c r="F1586" s="402" t="s">
        <v>4778</v>
      </c>
      <c r="G1586" s="405" t="s">
        <v>4779</v>
      </c>
      <c r="H1586" s="74">
        <v>3471</v>
      </c>
      <c r="I1586" s="50" t="s">
        <v>2</v>
      </c>
      <c r="J1586" s="339" t="s">
        <v>335</v>
      </c>
      <c r="K1586" s="51">
        <v>41226</v>
      </c>
      <c r="L1586" s="173">
        <v>41221</v>
      </c>
      <c r="M1586" s="50">
        <f t="shared" ref="M1586:M1606" si="78">K1586-L1586</f>
        <v>5</v>
      </c>
      <c r="N1586" s="50" t="s">
        <v>2</v>
      </c>
      <c r="O1586" s="74">
        <f>1.4/2</f>
        <v>0.7</v>
      </c>
      <c r="P1586" s="50">
        <v>5.76</v>
      </c>
      <c r="Q1586" s="74">
        <v>5.95</v>
      </c>
      <c r="R1586" s="50">
        <v>60</v>
      </c>
      <c r="S1586" s="74">
        <f>5/2</f>
        <v>2.5</v>
      </c>
      <c r="T1586" s="50">
        <v>0.2</v>
      </c>
      <c r="U1586" s="74">
        <v>0.94</v>
      </c>
      <c r="V1586" s="50">
        <v>0.44</v>
      </c>
      <c r="W1586" s="74">
        <f>0.005/2</f>
        <v>2.5000000000000001E-3</v>
      </c>
      <c r="X1586" s="50">
        <v>0.67700000000000005</v>
      </c>
      <c r="Y1586" s="74">
        <f>0.002/2</f>
        <v>1E-3</v>
      </c>
      <c r="Z1586" s="271">
        <v>1</v>
      </c>
      <c r="AA1586" s="271">
        <v>1</v>
      </c>
      <c r="AB1586" s="114">
        <v>8</v>
      </c>
      <c r="AC1586" s="50">
        <v>40</v>
      </c>
      <c r="AD1586" s="271">
        <v>0.5</v>
      </c>
    </row>
    <row r="1587" spans="1:79" ht="15" customHeight="1">
      <c r="A1587" s="41" t="s">
        <v>183</v>
      </c>
      <c r="B1587" s="402" t="s">
        <v>4780</v>
      </c>
      <c r="C1587" s="113" t="s">
        <v>4780</v>
      </c>
      <c r="D1587" s="393" t="s">
        <v>636</v>
      </c>
      <c r="E1587" s="394" t="s">
        <v>4781</v>
      </c>
      <c r="F1587" s="402" t="s">
        <v>4916</v>
      </c>
      <c r="G1587" s="405" t="s">
        <v>2046</v>
      </c>
      <c r="H1587" s="74">
        <v>2653</v>
      </c>
      <c r="I1587" s="50" t="s">
        <v>2</v>
      </c>
      <c r="J1587" s="339" t="s">
        <v>194</v>
      </c>
      <c r="K1587" s="51">
        <v>41449</v>
      </c>
      <c r="L1587" s="173">
        <v>41443</v>
      </c>
      <c r="M1587" s="50">
        <f t="shared" si="78"/>
        <v>6</v>
      </c>
      <c r="N1587" s="50" t="s">
        <v>2</v>
      </c>
      <c r="O1587" s="74">
        <f>1.4/2</f>
        <v>0.7</v>
      </c>
      <c r="P1587" s="50">
        <v>5.77</v>
      </c>
      <c r="Q1587" s="74">
        <v>5.16</v>
      </c>
      <c r="R1587" s="50">
        <v>91</v>
      </c>
      <c r="S1587" s="74">
        <v>60</v>
      </c>
      <c r="T1587" s="50">
        <v>0.16</v>
      </c>
      <c r="U1587" s="74">
        <v>1.29</v>
      </c>
      <c r="V1587" s="50">
        <v>0.35</v>
      </c>
      <c r="W1587" s="74">
        <v>8.9999999999999993E-3</v>
      </c>
      <c r="X1587" s="50">
        <v>0.13700000000000001</v>
      </c>
      <c r="Y1587" s="74">
        <v>8.0000000000000002E-3</v>
      </c>
    </row>
    <row r="1588" spans="1:79" ht="15" customHeight="1">
      <c r="A1588" s="41" t="s">
        <v>183</v>
      </c>
      <c r="B1588" s="402" t="s">
        <v>4780</v>
      </c>
      <c r="C1588" s="113" t="s">
        <v>4780</v>
      </c>
      <c r="D1588" s="393" t="s">
        <v>636</v>
      </c>
      <c r="E1588" s="394" t="s">
        <v>4781</v>
      </c>
      <c r="F1588" s="402" t="s">
        <v>4916</v>
      </c>
      <c r="G1588" s="405" t="s">
        <v>2046</v>
      </c>
      <c r="H1588" s="74">
        <v>2653</v>
      </c>
      <c r="I1588" s="50" t="s">
        <v>2</v>
      </c>
      <c r="J1588" s="339" t="s">
        <v>586</v>
      </c>
      <c r="K1588" s="51">
        <v>41449</v>
      </c>
      <c r="L1588" s="173">
        <v>41443</v>
      </c>
      <c r="M1588" s="50">
        <f t="shared" si="78"/>
        <v>6</v>
      </c>
      <c r="N1588" s="50" t="s">
        <v>2</v>
      </c>
      <c r="O1588" s="74">
        <f>1.4/2</f>
        <v>0.7</v>
      </c>
      <c r="P1588" s="50">
        <v>5.77</v>
      </c>
      <c r="Q1588" s="74">
        <v>5.1100000000000003</v>
      </c>
      <c r="R1588" s="50">
        <v>643</v>
      </c>
      <c r="S1588" s="74">
        <v>650</v>
      </c>
      <c r="T1588" s="50">
        <v>0.9</v>
      </c>
      <c r="U1588" s="74">
        <v>10.199999999999999</v>
      </c>
      <c r="V1588" s="50">
        <v>0.45</v>
      </c>
      <c r="W1588" s="74">
        <v>0.10299999999999999</v>
      </c>
      <c r="X1588" s="50">
        <v>0.19800000000000001</v>
      </c>
      <c r="Y1588" s="74">
        <v>5.0999999999999997E-2</v>
      </c>
    </row>
    <row r="1589" spans="1:79" ht="15" customHeight="1">
      <c r="A1589" s="41" t="s">
        <v>183</v>
      </c>
      <c r="B1589" s="402" t="s">
        <v>1381</v>
      </c>
      <c r="C1589" s="113" t="s">
        <v>1382</v>
      </c>
      <c r="D1589" s="393" t="s">
        <v>200</v>
      </c>
      <c r="E1589" s="394" t="s">
        <v>4782</v>
      </c>
      <c r="G1589" s="405" t="s">
        <v>1384</v>
      </c>
      <c r="H1589" s="74">
        <v>9199</v>
      </c>
      <c r="I1589" s="50" t="s">
        <v>2</v>
      </c>
      <c r="J1589" s="339" t="s">
        <v>4783</v>
      </c>
      <c r="K1589" s="51">
        <v>41487</v>
      </c>
      <c r="L1589" s="173">
        <v>41481</v>
      </c>
      <c r="M1589" s="50">
        <f t="shared" si="78"/>
        <v>6</v>
      </c>
      <c r="N1589" s="50" t="s">
        <v>2</v>
      </c>
      <c r="O1589" s="74">
        <f>1.4/2</f>
        <v>0.7</v>
      </c>
      <c r="P1589" s="50">
        <v>4.7300000000000004</v>
      </c>
      <c r="Q1589" s="74">
        <v>7.21</v>
      </c>
      <c r="R1589" s="50">
        <v>34</v>
      </c>
      <c r="S1589" s="74">
        <v>17</v>
      </c>
      <c r="T1589" s="50">
        <v>0.16</v>
      </c>
      <c r="U1589" s="74">
        <v>2.36</v>
      </c>
      <c r="V1589" s="50">
        <v>1.1000000000000001</v>
      </c>
      <c r="W1589" s="74">
        <v>8.0000000000000002E-3</v>
      </c>
      <c r="X1589" s="50">
        <v>6.0000000000000001E-3</v>
      </c>
      <c r="Y1589" s="74">
        <f>0.002/2</f>
        <v>1E-3</v>
      </c>
    </row>
    <row r="1590" spans="1:79" ht="15" customHeight="1">
      <c r="A1590" s="41" t="s">
        <v>183</v>
      </c>
      <c r="B1590" s="402" t="s">
        <v>4784</v>
      </c>
      <c r="C1590" s="113" t="s">
        <v>4784</v>
      </c>
      <c r="D1590" s="393" t="s">
        <v>350</v>
      </c>
      <c r="E1590" s="394" t="s">
        <v>4785</v>
      </c>
      <c r="G1590" s="405" t="s">
        <v>4917</v>
      </c>
      <c r="H1590" s="74">
        <v>3629</v>
      </c>
      <c r="I1590" s="50" t="s">
        <v>2</v>
      </c>
      <c r="J1590" s="339" t="s">
        <v>510</v>
      </c>
      <c r="K1590" s="51">
        <v>41443</v>
      </c>
      <c r="L1590" s="173">
        <v>41439</v>
      </c>
      <c r="M1590" s="50">
        <f t="shared" si="78"/>
        <v>4</v>
      </c>
      <c r="N1590" s="50" t="s">
        <v>2</v>
      </c>
      <c r="O1590" s="74">
        <f>4.7/2</f>
        <v>2.35</v>
      </c>
      <c r="P1590" s="50">
        <v>5.17</v>
      </c>
      <c r="Q1590" s="74">
        <v>5.85</v>
      </c>
      <c r="R1590" s="50">
        <v>19</v>
      </c>
      <c r="S1590" s="74">
        <f>10/2</f>
        <v>5</v>
      </c>
      <c r="T1590" s="50">
        <v>0.04</v>
      </c>
      <c r="U1590" s="74">
        <v>0.77</v>
      </c>
      <c r="V1590" s="50">
        <v>0.88</v>
      </c>
      <c r="W1590" s="74">
        <f>0.005/2</f>
        <v>2.5000000000000001E-3</v>
      </c>
      <c r="X1590" s="50">
        <v>4.9000000000000002E-2</v>
      </c>
      <c r="Y1590" s="74">
        <f>0.002/2</f>
        <v>1E-3</v>
      </c>
    </row>
    <row r="1591" spans="1:79" ht="15" customHeight="1">
      <c r="A1591" s="41" t="s">
        <v>183</v>
      </c>
      <c r="B1591" s="402" t="s">
        <v>4784</v>
      </c>
      <c r="C1591" s="113" t="s">
        <v>4784</v>
      </c>
      <c r="D1591" s="393" t="s">
        <v>350</v>
      </c>
      <c r="E1591" s="394" t="s">
        <v>4786</v>
      </c>
      <c r="G1591" s="405" t="s">
        <v>4917</v>
      </c>
      <c r="H1591" s="74">
        <v>3629</v>
      </c>
      <c r="I1591" s="50" t="s">
        <v>2</v>
      </c>
      <c r="J1591" s="339" t="s">
        <v>357</v>
      </c>
      <c r="K1591" s="51">
        <v>41431</v>
      </c>
      <c r="L1591" s="173">
        <v>41428</v>
      </c>
      <c r="M1591" s="50">
        <f t="shared" si="78"/>
        <v>3</v>
      </c>
      <c r="N1591" s="50" t="s">
        <v>2</v>
      </c>
      <c r="O1591" s="74">
        <f>1.4/2</f>
        <v>0.7</v>
      </c>
      <c r="P1591" s="50">
        <v>6.92</v>
      </c>
      <c r="Q1591" s="74">
        <v>6.03</v>
      </c>
      <c r="R1591" s="50">
        <v>135</v>
      </c>
      <c r="S1591" s="74">
        <v>18</v>
      </c>
      <c r="T1591" s="50">
        <v>0.43</v>
      </c>
      <c r="U1591" s="74">
        <v>4.92</v>
      </c>
      <c r="V1591" s="50">
        <v>0.68</v>
      </c>
      <c r="W1591" s="74">
        <v>2.3E-2</v>
      </c>
      <c r="X1591" s="50">
        <v>0.22800000000000001</v>
      </c>
      <c r="Y1591" s="74">
        <v>1.9E-2</v>
      </c>
    </row>
    <row r="1592" spans="1:79" ht="15" customHeight="1">
      <c r="A1592" s="41" t="s">
        <v>183</v>
      </c>
      <c r="B1592" s="402" t="s">
        <v>4784</v>
      </c>
      <c r="C1592" s="113" t="s">
        <v>4784</v>
      </c>
      <c r="D1592" s="393" t="s">
        <v>350</v>
      </c>
      <c r="E1592" s="394" t="s">
        <v>4786</v>
      </c>
      <c r="G1592" s="405" t="s">
        <v>4917</v>
      </c>
      <c r="H1592" s="74">
        <v>3629</v>
      </c>
      <c r="I1592" s="50" t="s">
        <v>2</v>
      </c>
      <c r="J1592" s="339" t="s">
        <v>890</v>
      </c>
      <c r="K1592" s="51">
        <v>41443</v>
      </c>
      <c r="L1592" s="173">
        <v>41439</v>
      </c>
      <c r="M1592" s="50">
        <f t="shared" si="78"/>
        <v>4</v>
      </c>
      <c r="N1592" s="50" t="s">
        <v>2</v>
      </c>
      <c r="O1592" s="74">
        <f>1.4/2</f>
        <v>0.7</v>
      </c>
      <c r="P1592" s="50">
        <v>5.17</v>
      </c>
      <c r="Q1592" s="74">
        <v>6.43</v>
      </c>
      <c r="R1592" s="50">
        <v>42</v>
      </c>
      <c r="S1592" s="74">
        <v>29</v>
      </c>
      <c r="T1592" s="50">
        <v>0.14000000000000001</v>
      </c>
      <c r="U1592" s="74">
        <v>1.19</v>
      </c>
      <c r="V1592" s="50">
        <v>0.37</v>
      </c>
      <c r="W1592" s="74">
        <v>7.0000000000000001E-3</v>
      </c>
      <c r="X1592" s="50">
        <v>3.9E-2</v>
      </c>
      <c r="Y1592" s="74">
        <f>0.002/2</f>
        <v>1E-3</v>
      </c>
    </row>
    <row r="1593" spans="1:79" ht="15" customHeight="1">
      <c r="A1593" s="41" t="s">
        <v>183</v>
      </c>
      <c r="B1593" s="402" t="s">
        <v>4526</v>
      </c>
      <c r="C1593" s="113" t="s">
        <v>1332</v>
      </c>
      <c r="D1593" s="393" t="s">
        <v>1569</v>
      </c>
      <c r="E1593" s="394" t="s">
        <v>1579</v>
      </c>
      <c r="G1593" s="405" t="s">
        <v>2650</v>
      </c>
      <c r="H1593" s="74">
        <v>4952</v>
      </c>
      <c r="I1593" s="50" t="s">
        <v>1</v>
      </c>
      <c r="J1593" s="339" t="s">
        <v>4918</v>
      </c>
      <c r="K1593" s="51">
        <v>41499</v>
      </c>
      <c r="L1593" s="173">
        <v>41495</v>
      </c>
      <c r="M1593" s="50">
        <f t="shared" si="78"/>
        <v>4</v>
      </c>
      <c r="N1593" s="50" t="s">
        <v>2</v>
      </c>
      <c r="O1593" s="74">
        <f>1.4/2</f>
        <v>0.7</v>
      </c>
      <c r="P1593" s="50">
        <v>6</v>
      </c>
      <c r="Q1593" s="74">
        <v>6.64</v>
      </c>
      <c r="R1593" s="50">
        <v>43</v>
      </c>
      <c r="S1593" s="74">
        <f>5/2</f>
        <v>2.5</v>
      </c>
      <c r="T1593" s="50">
        <v>0.11</v>
      </c>
      <c r="U1593" s="74">
        <v>1.32</v>
      </c>
      <c r="V1593" s="50">
        <v>0.89</v>
      </c>
      <c r="W1593" s="74">
        <v>0.64800000000000002</v>
      </c>
      <c r="X1593" s="50">
        <v>0.16</v>
      </c>
      <c r="Y1593" s="74">
        <v>3.5000000000000003E-2</v>
      </c>
      <c r="AI1593" s="114">
        <v>30</v>
      </c>
    </row>
    <row r="1594" spans="1:79" ht="15" customHeight="1">
      <c r="A1594" s="41" t="s">
        <v>183</v>
      </c>
      <c r="B1594" s="402" t="s">
        <v>4787</v>
      </c>
      <c r="C1594" s="113" t="s">
        <v>1317</v>
      </c>
      <c r="D1594" s="393" t="s">
        <v>372</v>
      </c>
      <c r="E1594" s="394" t="s">
        <v>599</v>
      </c>
      <c r="F1594" s="402">
        <v>6900</v>
      </c>
      <c r="G1594" s="405" t="s">
        <v>1319</v>
      </c>
      <c r="H1594" s="74">
        <v>3356</v>
      </c>
      <c r="J1594" s="339" t="s">
        <v>1320</v>
      </c>
      <c r="K1594" s="51">
        <v>41487</v>
      </c>
      <c r="L1594" s="173">
        <v>41481</v>
      </c>
      <c r="M1594" s="50">
        <f t="shared" si="78"/>
        <v>6</v>
      </c>
      <c r="N1594" s="50" t="s">
        <v>2</v>
      </c>
      <c r="O1594" s="74">
        <v>1.3</v>
      </c>
      <c r="P1594" s="50">
        <v>4.45</v>
      </c>
      <c r="Q1594" s="74">
        <v>4.9400000000000004</v>
      </c>
      <c r="R1594" s="50">
        <v>133.5</v>
      </c>
      <c r="S1594" s="74">
        <v>3</v>
      </c>
      <c r="T1594" s="50">
        <v>0.28999999999999998</v>
      </c>
      <c r="U1594" s="74">
        <v>2.66</v>
      </c>
      <c r="V1594" s="50">
        <v>1.2</v>
      </c>
      <c r="W1594" s="74">
        <v>2E-3</v>
      </c>
      <c r="X1594" s="50">
        <v>2.33</v>
      </c>
      <c r="Y1594" s="74">
        <f>0.02/2</f>
        <v>0.01</v>
      </c>
      <c r="Z1594" s="271">
        <v>0.69</v>
      </c>
      <c r="AA1594" s="271">
        <v>0.17499999999999999</v>
      </c>
      <c r="AB1594" s="114">
        <v>12.8</v>
      </c>
      <c r="AC1594" s="50">
        <v>63300</v>
      </c>
      <c r="AD1594" s="271">
        <v>0</v>
      </c>
    </row>
    <row r="1595" spans="1:79" ht="15" customHeight="1">
      <c r="A1595" s="41" t="s">
        <v>183</v>
      </c>
      <c r="B1595" s="402" t="s">
        <v>4788</v>
      </c>
      <c r="C1595" s="113" t="s">
        <v>4788</v>
      </c>
      <c r="D1595" s="393" t="s">
        <v>1837</v>
      </c>
      <c r="E1595" s="394" t="s">
        <v>2087</v>
      </c>
      <c r="G1595" s="405" t="s">
        <v>4789</v>
      </c>
      <c r="H1595" s="74">
        <v>3965</v>
      </c>
      <c r="I1595" s="50" t="s">
        <v>1</v>
      </c>
      <c r="J1595" s="339" t="s">
        <v>4790</v>
      </c>
      <c r="K1595" s="51">
        <v>41431</v>
      </c>
      <c r="L1595" s="173">
        <v>41428</v>
      </c>
      <c r="M1595" s="50">
        <f t="shared" si="78"/>
        <v>3</v>
      </c>
      <c r="N1595" s="50" t="s">
        <v>2</v>
      </c>
      <c r="O1595" s="74">
        <f>1.4/2</f>
        <v>0.7</v>
      </c>
      <c r="Q1595" s="74">
        <v>6.5</v>
      </c>
      <c r="R1595" s="50">
        <v>73</v>
      </c>
      <c r="S1595" s="74">
        <v>19</v>
      </c>
      <c r="T1595" s="50">
        <v>0.21</v>
      </c>
      <c r="U1595" s="74">
        <v>3.77</v>
      </c>
      <c r="V1595" s="50">
        <v>0.65</v>
      </c>
      <c r="W1595" s="74">
        <v>2.5000000000000001E-2</v>
      </c>
      <c r="X1595" s="50">
        <v>1.7999999999999999E-2</v>
      </c>
      <c r="Y1595" s="74">
        <f>0.002/2</f>
        <v>1E-3</v>
      </c>
      <c r="Z1595" s="271">
        <v>0.78800000000000003</v>
      </c>
      <c r="AA1595" s="271">
        <v>0.67700000000000005</v>
      </c>
      <c r="AD1595" s="271">
        <v>0.05</v>
      </c>
    </row>
    <row r="1596" spans="1:79" ht="15" customHeight="1">
      <c r="A1596" s="41" t="s">
        <v>183</v>
      </c>
      <c r="B1596" s="402" t="s">
        <v>3044</v>
      </c>
      <c r="C1596" s="113" t="s">
        <v>4611</v>
      </c>
      <c r="D1596" s="393" t="s">
        <v>462</v>
      </c>
      <c r="E1596" s="394" t="s">
        <v>1546</v>
      </c>
      <c r="F1596" s="402" t="s">
        <v>4522</v>
      </c>
      <c r="G1596" s="405" t="s">
        <v>4821</v>
      </c>
      <c r="H1596" s="113">
        <v>4952</v>
      </c>
      <c r="I1596" s="49" t="s">
        <v>1</v>
      </c>
      <c r="J1596" s="48" t="s">
        <v>4822</v>
      </c>
      <c r="K1596" s="51">
        <v>41432</v>
      </c>
      <c r="L1596" s="115">
        <v>41428</v>
      </c>
      <c r="M1596" s="50">
        <f t="shared" si="78"/>
        <v>4</v>
      </c>
      <c r="N1596" s="50" t="s">
        <v>2</v>
      </c>
      <c r="O1596" s="74">
        <f>1/2</f>
        <v>0.5</v>
      </c>
      <c r="P1596" s="50">
        <v>6</v>
      </c>
      <c r="Q1596" s="74">
        <v>8</v>
      </c>
      <c r="R1596" s="50">
        <v>16</v>
      </c>
      <c r="S1596" s="74">
        <v>7.6</v>
      </c>
      <c r="T1596" s="50">
        <v>5.3999999999999999E-2</v>
      </c>
      <c r="U1596" s="74">
        <f>0.5/2</f>
        <v>0.25</v>
      </c>
      <c r="V1596" s="50">
        <v>0.36</v>
      </c>
      <c r="W1596" s="74">
        <f>0.002/2</f>
        <v>1E-3</v>
      </c>
      <c r="X1596" s="50">
        <v>6.4000000000000003E-3</v>
      </c>
      <c r="Y1596" s="74">
        <f>0.002/2</f>
        <v>1E-3</v>
      </c>
      <c r="AF1596" s="113"/>
      <c r="AG1596" s="74"/>
      <c r="AH1596" s="50"/>
      <c r="AI1596" s="113"/>
      <c r="AJ1596" s="50"/>
      <c r="AK1596" s="74"/>
      <c r="AL1596" s="50"/>
      <c r="AM1596" s="74"/>
      <c r="AN1596" s="50"/>
      <c r="AO1596" s="74"/>
      <c r="AP1596" s="50"/>
      <c r="AQ1596" s="74"/>
      <c r="AR1596" s="50"/>
      <c r="AS1596" s="74"/>
      <c r="AT1596" s="50"/>
      <c r="AU1596" s="74"/>
      <c r="AV1596"/>
      <c r="AW1596"/>
    </row>
    <row r="1597" spans="1:79" ht="15" customHeight="1">
      <c r="A1597" s="41" t="s">
        <v>183</v>
      </c>
      <c r="B1597" s="402" t="s">
        <v>2232</v>
      </c>
      <c r="D1597" s="393" t="s">
        <v>1896</v>
      </c>
      <c r="E1597" s="394" t="s">
        <v>2233</v>
      </c>
      <c r="G1597" s="405" t="s">
        <v>2234</v>
      </c>
      <c r="H1597" s="113">
        <v>3081</v>
      </c>
      <c r="I1597" s="49"/>
      <c r="J1597" s="48" t="s">
        <v>249</v>
      </c>
      <c r="K1597" s="51">
        <v>41251</v>
      </c>
      <c r="L1597" s="173">
        <v>41240</v>
      </c>
      <c r="M1597" s="50">
        <f t="shared" si="78"/>
        <v>11</v>
      </c>
      <c r="N1597" s="50" t="s">
        <v>2</v>
      </c>
      <c r="O1597" s="74">
        <v>1</v>
      </c>
      <c r="P1597" s="50">
        <v>6.58</v>
      </c>
      <c r="Q1597" s="74">
        <v>4.8099999999999996</v>
      </c>
      <c r="R1597" s="50">
        <v>9.9</v>
      </c>
      <c r="S1597" s="74">
        <f>1/2</f>
        <v>0.5</v>
      </c>
      <c r="T1597" s="50">
        <v>0.14000000000000001</v>
      </c>
      <c r="U1597" s="131">
        <v>1.39</v>
      </c>
      <c r="V1597" s="50">
        <v>0.77</v>
      </c>
      <c r="W1597" s="74">
        <v>0.01</v>
      </c>
      <c r="X1597" s="50">
        <v>0.17</v>
      </c>
      <c r="Y1597" s="74">
        <f>0.02/2</f>
        <v>0.01</v>
      </c>
      <c r="Z1597" s="271">
        <v>1</v>
      </c>
      <c r="AA1597" s="271">
        <v>1</v>
      </c>
      <c r="AB1597" s="114">
        <v>31.2</v>
      </c>
      <c r="AC1597" s="50">
        <v>52.1</v>
      </c>
      <c r="AD1597" s="271">
        <v>0.7</v>
      </c>
    </row>
    <row r="1598" spans="1:79" ht="15" customHeight="1">
      <c r="A1598" s="41" t="s">
        <v>183</v>
      </c>
      <c r="B1598" s="402" t="s">
        <v>2232</v>
      </c>
      <c r="D1598" s="393" t="s">
        <v>1896</v>
      </c>
      <c r="E1598" s="394" t="s">
        <v>2233</v>
      </c>
      <c r="G1598" s="405" t="s">
        <v>2234</v>
      </c>
      <c r="H1598" s="113">
        <v>3081</v>
      </c>
      <c r="I1598" s="49"/>
      <c r="J1598" s="48" t="s">
        <v>249</v>
      </c>
      <c r="K1598" s="51">
        <v>41512</v>
      </c>
      <c r="L1598" s="173">
        <v>41499</v>
      </c>
      <c r="M1598" s="50">
        <f t="shared" si="78"/>
        <v>13</v>
      </c>
      <c r="N1598" s="50" t="s">
        <v>2</v>
      </c>
      <c r="O1598" s="74">
        <v>3.1</v>
      </c>
      <c r="P1598" s="50">
        <v>5.97</v>
      </c>
      <c r="Q1598" s="74">
        <v>6.87</v>
      </c>
      <c r="R1598" s="50">
        <v>63</v>
      </c>
      <c r="S1598" s="74">
        <f>1/2</f>
        <v>0.5</v>
      </c>
      <c r="T1598" s="50">
        <v>0.1</v>
      </c>
      <c r="U1598" s="131">
        <v>2</v>
      </c>
      <c r="V1598" s="50">
        <v>0.06</v>
      </c>
      <c r="W1598" s="74">
        <v>0.03</v>
      </c>
      <c r="X1598" s="50">
        <v>0.12</v>
      </c>
      <c r="Y1598" s="74">
        <f>0.02/2</f>
        <v>0.01</v>
      </c>
      <c r="Z1598" s="271">
        <v>1</v>
      </c>
      <c r="AA1598" s="271">
        <v>1</v>
      </c>
      <c r="AB1598" s="114">
        <v>29.7</v>
      </c>
      <c r="AC1598" s="50">
        <v>55.3</v>
      </c>
      <c r="AD1598" s="271">
        <v>0.7</v>
      </c>
    </row>
    <row r="1599" spans="1:79" ht="15" customHeight="1">
      <c r="A1599" s="41" t="s">
        <v>183</v>
      </c>
      <c r="B1599" s="402" t="s">
        <v>4843</v>
      </c>
      <c r="C1599" s="113" t="s">
        <v>4844</v>
      </c>
      <c r="D1599" s="393" t="s">
        <v>111</v>
      </c>
      <c r="E1599" s="394" t="s">
        <v>429</v>
      </c>
      <c r="G1599" s="405" t="s">
        <v>3614</v>
      </c>
      <c r="H1599" s="74">
        <v>3312</v>
      </c>
      <c r="I1599" s="50" t="s">
        <v>1</v>
      </c>
      <c r="J1599" s="339" t="s">
        <v>2141</v>
      </c>
      <c r="K1599" s="51">
        <v>41464</v>
      </c>
      <c r="L1599" s="173">
        <v>41456</v>
      </c>
      <c r="M1599" s="50">
        <f t="shared" si="78"/>
        <v>8</v>
      </c>
      <c r="N1599" s="50" t="s">
        <v>2</v>
      </c>
      <c r="O1599" s="74">
        <f>1/2</f>
        <v>0.5</v>
      </c>
      <c r="P1599" s="50">
        <v>6.06</v>
      </c>
      <c r="Q1599" s="74">
        <v>6.43</v>
      </c>
      <c r="R1599" s="50">
        <v>7.5</v>
      </c>
      <c r="S1599" s="74">
        <v>44</v>
      </c>
      <c r="T1599" s="50">
        <v>0.08</v>
      </c>
      <c r="U1599" s="74">
        <v>1.02</v>
      </c>
      <c r="V1599" s="50">
        <v>2.04</v>
      </c>
      <c r="W1599" s="74">
        <v>2.8000000000000001E-2</v>
      </c>
      <c r="X1599" s="50">
        <v>0.114</v>
      </c>
      <c r="Y1599" s="74">
        <f>0.002/2</f>
        <v>1E-3</v>
      </c>
    </row>
    <row r="1600" spans="1:79" s="400" customFormat="1" ht="15" customHeight="1">
      <c r="A1600" s="41" t="s">
        <v>183</v>
      </c>
      <c r="B1600" s="402" t="s">
        <v>4843</v>
      </c>
      <c r="C1600" s="113" t="s">
        <v>4844</v>
      </c>
      <c r="D1600" s="393" t="s">
        <v>111</v>
      </c>
      <c r="E1600" s="394" t="s">
        <v>429</v>
      </c>
      <c r="F1600" s="402"/>
      <c r="G1600" s="405" t="s">
        <v>3614</v>
      </c>
      <c r="H1600" s="404">
        <v>3312</v>
      </c>
      <c r="I1600" s="402" t="s">
        <v>1</v>
      </c>
      <c r="J1600" s="406" t="s">
        <v>2140</v>
      </c>
      <c r="K1600" s="403">
        <v>41464</v>
      </c>
      <c r="L1600" s="398">
        <v>41456</v>
      </c>
      <c r="M1600" s="402">
        <f t="shared" si="78"/>
        <v>8</v>
      </c>
      <c r="N1600" s="402" t="s">
        <v>2</v>
      </c>
      <c r="O1600" s="404">
        <f>1/2</f>
        <v>0.5</v>
      </c>
      <c r="P1600" s="402">
        <v>6.06</v>
      </c>
      <c r="Q1600" s="404">
        <v>7.01</v>
      </c>
      <c r="R1600" s="402">
        <v>53</v>
      </c>
      <c r="S1600" s="404">
        <v>187</v>
      </c>
      <c r="T1600" s="402">
        <v>0.13</v>
      </c>
      <c r="U1600" s="404">
        <v>0.66</v>
      </c>
      <c r="V1600" s="402">
        <v>0.81</v>
      </c>
      <c r="W1600" s="404">
        <v>0.57199999999999995</v>
      </c>
      <c r="X1600" s="402">
        <v>1.38</v>
      </c>
      <c r="Y1600" s="404">
        <v>2.1999999999999999E-2</v>
      </c>
      <c r="Z1600" s="399"/>
      <c r="AA1600" s="399"/>
      <c r="AB1600" s="394">
        <v>81.069999999999993</v>
      </c>
      <c r="AC1600" s="402">
        <v>83</v>
      </c>
      <c r="AD1600" s="399"/>
      <c r="AE1600" s="402"/>
      <c r="AF1600" s="391"/>
      <c r="AG1600" s="394"/>
      <c r="AH1600" s="394"/>
      <c r="AI1600" s="394"/>
      <c r="AJ1600" s="394"/>
      <c r="AK1600" s="394"/>
      <c r="AL1600" s="394"/>
      <c r="AM1600" s="394"/>
      <c r="AN1600" s="394"/>
      <c r="AO1600" s="394"/>
      <c r="AP1600" s="394"/>
      <c r="AQ1600" s="394"/>
      <c r="AR1600" s="394"/>
      <c r="AS1600" s="402"/>
      <c r="AT1600" s="404"/>
      <c r="AU1600" s="394"/>
      <c r="AV1600" s="394"/>
      <c r="AW1600" s="394"/>
      <c r="AX1600" s="5"/>
      <c r="AY1600" s="5"/>
      <c r="AZ1600" s="5"/>
      <c r="BA1600" s="5"/>
      <c r="BB1600" s="5"/>
      <c r="BC1600" s="5"/>
      <c r="BD1600" s="5"/>
      <c r="BE1600" s="5"/>
      <c r="BF1600" s="5"/>
      <c r="BG1600" s="5"/>
      <c r="BH1600" s="5"/>
      <c r="BI1600" s="5"/>
      <c r="BJ1600" s="5"/>
      <c r="BK1600" s="5"/>
      <c r="BL1600" s="5"/>
      <c r="BM1600" s="5"/>
      <c r="BN1600" s="5"/>
      <c r="BO1600" s="5"/>
      <c r="BP1600" s="5"/>
      <c r="BQ1600" s="5"/>
      <c r="BR1600" s="5"/>
      <c r="BS1600" s="5"/>
      <c r="BT1600" s="5"/>
      <c r="BU1600" s="5"/>
      <c r="BV1600" s="5"/>
      <c r="BW1600" s="5"/>
      <c r="BX1600" s="5"/>
      <c r="BY1600" s="5"/>
      <c r="BZ1600" s="5"/>
      <c r="CA1600" s="5"/>
    </row>
    <row r="1601" spans="1:30" ht="15" customHeight="1">
      <c r="A1601" s="41" t="s">
        <v>183</v>
      </c>
      <c r="B1601" s="402" t="s">
        <v>4845</v>
      </c>
      <c r="C1601" s="113" t="s">
        <v>4846</v>
      </c>
      <c r="D1601" s="393" t="s">
        <v>290</v>
      </c>
      <c r="E1601" s="394" t="s">
        <v>112</v>
      </c>
      <c r="G1601" s="405" t="s">
        <v>4847</v>
      </c>
      <c r="H1601" s="74"/>
      <c r="I1601" s="50" t="s">
        <v>2</v>
      </c>
      <c r="J1601" s="339" t="s">
        <v>4848</v>
      </c>
      <c r="K1601" s="51">
        <v>41449</v>
      </c>
      <c r="L1601" s="173">
        <v>41444</v>
      </c>
      <c r="M1601" s="50">
        <f t="shared" si="78"/>
        <v>5</v>
      </c>
      <c r="N1601" s="50" t="s">
        <v>2</v>
      </c>
      <c r="O1601" s="74">
        <f>1/2</f>
        <v>0.5</v>
      </c>
      <c r="P1601" s="50">
        <v>6.32</v>
      </c>
      <c r="Q1601" s="74">
        <v>5.7</v>
      </c>
      <c r="R1601" s="50">
        <v>137.69999999999999</v>
      </c>
      <c r="S1601" s="74">
        <v>4</v>
      </c>
      <c r="T1601" s="50">
        <v>0.19</v>
      </c>
      <c r="U1601" s="74">
        <v>2.5499999999999998</v>
      </c>
      <c r="V1601" s="50">
        <v>1.17</v>
      </c>
      <c r="W1601" s="74">
        <v>0.14499999999999999</v>
      </c>
      <c r="X1601" s="50">
        <v>7.6999999999999999E-2</v>
      </c>
      <c r="Y1601" s="74">
        <f>0.002/2</f>
        <v>1E-3</v>
      </c>
      <c r="Z1601" s="271">
        <v>1</v>
      </c>
      <c r="AA1601" s="271">
        <v>0.93899999999999995</v>
      </c>
      <c r="AB1601" s="114">
        <v>12.32</v>
      </c>
      <c r="AC1601" s="50">
        <v>108</v>
      </c>
      <c r="AD1601" s="271">
        <v>0.45</v>
      </c>
    </row>
    <row r="1602" spans="1:30" ht="15" customHeight="1">
      <c r="A1602" s="41" t="s">
        <v>183</v>
      </c>
      <c r="B1602" s="402" t="s">
        <v>4845</v>
      </c>
      <c r="C1602" s="113" t="s">
        <v>4846</v>
      </c>
      <c r="D1602" s="393" t="s">
        <v>290</v>
      </c>
      <c r="E1602" s="394" t="s">
        <v>112</v>
      </c>
      <c r="G1602" s="405" t="s">
        <v>4847</v>
      </c>
      <c r="H1602" s="74"/>
      <c r="I1602" s="50" t="s">
        <v>2</v>
      </c>
      <c r="J1602" s="339" t="s">
        <v>4849</v>
      </c>
      <c r="K1602" s="51">
        <v>41449</v>
      </c>
      <c r="L1602" s="173">
        <v>41444</v>
      </c>
      <c r="M1602" s="50">
        <f t="shared" si="78"/>
        <v>5</v>
      </c>
      <c r="N1602" s="50" t="s">
        <v>2</v>
      </c>
      <c r="O1602" s="74">
        <f>1/2</f>
        <v>0.5</v>
      </c>
      <c r="P1602" s="50">
        <v>6.32</v>
      </c>
      <c r="Q1602" s="74">
        <v>6.85</v>
      </c>
      <c r="R1602" s="50">
        <v>130</v>
      </c>
      <c r="S1602" s="74">
        <v>31</v>
      </c>
      <c r="T1602" s="50">
        <v>0.16</v>
      </c>
      <c r="U1602" s="74">
        <v>3.36</v>
      </c>
      <c r="V1602" s="50">
        <v>1.0900000000000001</v>
      </c>
      <c r="W1602" s="74">
        <v>0.45300000000000001</v>
      </c>
      <c r="X1602" s="50">
        <v>0.188</v>
      </c>
      <c r="Y1602" s="74">
        <f>0.002/2</f>
        <v>1E-3</v>
      </c>
      <c r="Z1602" s="271">
        <v>1</v>
      </c>
      <c r="AA1602" s="271">
        <v>1</v>
      </c>
      <c r="AB1602" s="114">
        <v>45.93</v>
      </c>
      <c r="AC1602" s="50">
        <v>164</v>
      </c>
      <c r="AD1602" s="271">
        <v>1</v>
      </c>
    </row>
    <row r="1603" spans="1:30" ht="15" customHeight="1">
      <c r="A1603" s="41" t="s">
        <v>183</v>
      </c>
      <c r="B1603" s="402" t="s">
        <v>4845</v>
      </c>
      <c r="C1603" s="113" t="s">
        <v>4846</v>
      </c>
      <c r="D1603" s="393" t="s">
        <v>290</v>
      </c>
      <c r="E1603" s="394" t="s">
        <v>112</v>
      </c>
      <c r="G1603" s="405" t="s">
        <v>4847</v>
      </c>
      <c r="H1603" s="74"/>
      <c r="I1603" s="50" t="s">
        <v>2</v>
      </c>
      <c r="J1603" s="339" t="s">
        <v>4850</v>
      </c>
      <c r="K1603" s="51">
        <v>41449</v>
      </c>
      <c r="L1603" s="173">
        <v>41444</v>
      </c>
      <c r="M1603" s="50">
        <f t="shared" si="78"/>
        <v>5</v>
      </c>
      <c r="N1603" s="50" t="s">
        <v>2</v>
      </c>
      <c r="O1603" s="74">
        <f>1/2</f>
        <v>0.5</v>
      </c>
      <c r="P1603" s="50">
        <v>6.32</v>
      </c>
      <c r="Q1603" s="74">
        <v>6.43</v>
      </c>
      <c r="R1603" s="50">
        <v>277</v>
      </c>
      <c r="S1603" s="74">
        <v>18</v>
      </c>
      <c r="T1603" s="50">
        <v>0.2</v>
      </c>
      <c r="U1603" s="74">
        <v>3.85</v>
      </c>
      <c r="V1603" s="50">
        <v>1.37</v>
      </c>
      <c r="W1603" s="74">
        <v>0.40200000000000002</v>
      </c>
      <c r="X1603" s="50">
        <v>0.253</v>
      </c>
      <c r="Y1603" s="74">
        <v>1.7000000000000001E-2</v>
      </c>
      <c r="Z1603" s="271">
        <v>1</v>
      </c>
      <c r="AA1603" s="271">
        <v>1</v>
      </c>
      <c r="AB1603" s="114">
        <v>81.290000000000006</v>
      </c>
      <c r="AC1603" s="50">
        <v>298</v>
      </c>
      <c r="AD1603" s="271">
        <v>1</v>
      </c>
    </row>
    <row r="1604" spans="1:30" ht="15" customHeight="1">
      <c r="A1604" s="41" t="s">
        <v>183</v>
      </c>
      <c r="B1604" s="402" t="s">
        <v>4851</v>
      </c>
      <c r="C1604" s="113" t="s">
        <v>3771</v>
      </c>
      <c r="D1604" s="393" t="s">
        <v>1160</v>
      </c>
      <c r="E1604" s="394" t="s">
        <v>4852</v>
      </c>
      <c r="F1604" s="402">
        <v>4703</v>
      </c>
      <c r="G1604" s="405" t="s">
        <v>3772</v>
      </c>
      <c r="H1604" s="74">
        <v>1429</v>
      </c>
      <c r="J1604" s="339" t="s">
        <v>366</v>
      </c>
      <c r="K1604" s="51">
        <v>41332</v>
      </c>
      <c r="L1604" s="173">
        <v>41329</v>
      </c>
      <c r="M1604" s="50">
        <f t="shared" si="78"/>
        <v>3</v>
      </c>
      <c r="N1604" s="50" t="s">
        <v>2</v>
      </c>
      <c r="O1604" s="74">
        <f>1.4/2</f>
        <v>0.7</v>
      </c>
      <c r="P1604" s="50">
        <v>7.5</v>
      </c>
      <c r="Q1604" s="74">
        <v>7.71</v>
      </c>
      <c r="R1604" s="50">
        <v>86</v>
      </c>
      <c r="S1604" s="74">
        <v>120</v>
      </c>
      <c r="T1604" s="50">
        <v>0.56000000000000005</v>
      </c>
      <c r="U1604" s="74">
        <v>3.62</v>
      </c>
      <c r="V1604" s="50">
        <v>0.34</v>
      </c>
      <c r="W1604" s="74">
        <v>1.7000000000000001E-2</v>
      </c>
      <c r="X1604" s="50">
        <v>2.7E-2</v>
      </c>
      <c r="Y1604" s="74">
        <v>8.9999999999999993E-3</v>
      </c>
    </row>
    <row r="1605" spans="1:30" ht="15" customHeight="1">
      <c r="A1605" s="41" t="s">
        <v>183</v>
      </c>
      <c r="B1605" s="402" t="s">
        <v>4364</v>
      </c>
      <c r="C1605" s="113" t="s">
        <v>4364</v>
      </c>
      <c r="D1605" s="393" t="s">
        <v>2913</v>
      </c>
      <c r="E1605" s="394" t="s">
        <v>4853</v>
      </c>
      <c r="G1605" s="405" t="s">
        <v>4365</v>
      </c>
      <c r="H1605" s="74"/>
      <c r="I1605" s="50" t="s">
        <v>2</v>
      </c>
      <c r="J1605" s="339" t="s">
        <v>4853</v>
      </c>
      <c r="K1605" s="51">
        <v>41184</v>
      </c>
      <c r="L1605" s="173">
        <v>41180</v>
      </c>
      <c r="M1605" s="50">
        <f t="shared" si="78"/>
        <v>4</v>
      </c>
      <c r="N1605" s="50" t="s">
        <v>2</v>
      </c>
      <c r="O1605" s="74">
        <v>2.9</v>
      </c>
      <c r="P1605" s="50">
        <v>5.05</v>
      </c>
      <c r="Q1605" s="74">
        <v>5.78</v>
      </c>
      <c r="R1605" s="50">
        <f>2/2</f>
        <v>1</v>
      </c>
      <c r="S1605" s="74">
        <f>1/2</f>
        <v>0.5</v>
      </c>
      <c r="T1605" s="50">
        <f>0.05/2</f>
        <v>2.5000000000000001E-2</v>
      </c>
      <c r="U1605" s="74">
        <v>0.54</v>
      </c>
      <c r="V1605" s="50">
        <f>0.2/2</f>
        <v>0.1</v>
      </c>
      <c r="W1605" s="74">
        <f>0.01/2</f>
        <v>5.0000000000000001E-3</v>
      </c>
      <c r="X1605" s="50">
        <v>0.02</v>
      </c>
      <c r="Y1605" s="74">
        <f>0.02/2</f>
        <v>0.01</v>
      </c>
      <c r="Z1605" s="271">
        <v>1</v>
      </c>
      <c r="AA1605" s="271">
        <v>0.86699999999999999</v>
      </c>
      <c r="AB1605" s="114">
        <f>1/2</f>
        <v>0.5</v>
      </c>
      <c r="AC1605" s="50">
        <v>3.7</v>
      </c>
      <c r="AD1605" s="271">
        <v>0.4</v>
      </c>
    </row>
    <row r="1606" spans="1:30" ht="15" customHeight="1">
      <c r="A1606" s="41" t="s">
        <v>183</v>
      </c>
      <c r="B1606" s="402" t="s">
        <v>4854</v>
      </c>
      <c r="C1606" s="113" t="s">
        <v>4854</v>
      </c>
      <c r="D1606" s="393" t="s">
        <v>127</v>
      </c>
      <c r="E1606" s="394" t="s">
        <v>4855</v>
      </c>
      <c r="G1606" s="405" t="s">
        <v>899</v>
      </c>
      <c r="H1606" s="74">
        <v>3728</v>
      </c>
      <c r="I1606" s="50" t="s">
        <v>2</v>
      </c>
      <c r="J1606" s="339" t="s">
        <v>366</v>
      </c>
      <c r="K1606" s="51">
        <v>41452</v>
      </c>
      <c r="L1606" s="173">
        <v>41443</v>
      </c>
      <c r="M1606" s="50">
        <f t="shared" si="78"/>
        <v>9</v>
      </c>
      <c r="N1606" s="50" t="s">
        <v>2</v>
      </c>
      <c r="O1606" s="74">
        <f>5/2</f>
        <v>2.5</v>
      </c>
      <c r="P1606" s="50">
        <v>5.12</v>
      </c>
      <c r="Q1606" s="74">
        <v>6.85</v>
      </c>
      <c r="R1606" s="50">
        <v>57</v>
      </c>
      <c r="S1606" s="74">
        <v>110</v>
      </c>
      <c r="T1606" s="50">
        <v>0.25</v>
      </c>
      <c r="U1606" s="74">
        <f>1/2</f>
        <v>0.5</v>
      </c>
      <c r="V1606" s="50">
        <v>0.55000000000000004</v>
      </c>
      <c r="W1606" s="74">
        <f>0.04/2</f>
        <v>0.02</v>
      </c>
      <c r="X1606" s="50">
        <v>5.8000000000000003E-2</v>
      </c>
      <c r="Y1606" s="74">
        <f>0.013/2</f>
        <v>6.4999999999999997E-3</v>
      </c>
    </row>
    <row r="1607" spans="1:30" ht="15" customHeight="1">
      <c r="A1607" s="41" t="s">
        <v>183</v>
      </c>
      <c r="B1607" s="402" t="s">
        <v>4856</v>
      </c>
      <c r="C1607" s="113" t="s">
        <v>4856</v>
      </c>
      <c r="D1607" s="393" t="s">
        <v>41</v>
      </c>
      <c r="E1607" s="394" t="s">
        <v>4857</v>
      </c>
      <c r="G1607" s="405" t="s">
        <v>4858</v>
      </c>
      <c r="H1607" s="74">
        <v>3471</v>
      </c>
      <c r="I1607" s="50" t="s">
        <v>2</v>
      </c>
      <c r="J1607" s="339" t="s">
        <v>4859</v>
      </c>
      <c r="K1607" s="51">
        <v>41438</v>
      </c>
      <c r="L1607" s="173"/>
      <c r="N1607" s="50" t="s">
        <v>2</v>
      </c>
      <c r="O1607" s="74">
        <f>5/2</f>
        <v>2.5</v>
      </c>
      <c r="P1607" s="50">
        <v>6.65</v>
      </c>
      <c r="Q1607" s="74">
        <v>6.95</v>
      </c>
      <c r="R1607" s="50">
        <v>33</v>
      </c>
      <c r="S1607" s="74">
        <v>17</v>
      </c>
      <c r="T1607" s="50">
        <f>0.1/2</f>
        <v>0.05</v>
      </c>
      <c r="U1607" s="74">
        <f>1/2</f>
        <v>0.5</v>
      </c>
      <c r="V1607" s="50">
        <v>0.1</v>
      </c>
      <c r="W1607" s="74">
        <f>0.04/2</f>
        <v>0.02</v>
      </c>
      <c r="X1607" s="50">
        <v>0.12</v>
      </c>
      <c r="Y1607" s="74">
        <f>0.013/2</f>
        <v>6.4999999999999997E-3</v>
      </c>
      <c r="Z1607" s="271">
        <v>1</v>
      </c>
      <c r="AA1607" s="271">
        <v>1</v>
      </c>
      <c r="AB1607" s="114">
        <v>1.7</v>
      </c>
      <c r="AC1607" s="50">
        <v>7</v>
      </c>
      <c r="AD1607" s="271">
        <v>0.9</v>
      </c>
    </row>
    <row r="1608" spans="1:30" ht="15" customHeight="1">
      <c r="A1608" s="41" t="s">
        <v>183</v>
      </c>
      <c r="B1608" s="402" t="s">
        <v>4856</v>
      </c>
      <c r="C1608" s="113" t="s">
        <v>4856</v>
      </c>
      <c r="D1608" s="393" t="s">
        <v>41</v>
      </c>
      <c r="E1608" s="394" t="s">
        <v>4857</v>
      </c>
      <c r="G1608" s="405" t="s">
        <v>4858</v>
      </c>
      <c r="H1608" s="74">
        <v>3471</v>
      </c>
      <c r="I1608" s="50" t="s">
        <v>2</v>
      </c>
      <c r="J1608" s="339" t="s">
        <v>4860</v>
      </c>
      <c r="K1608" s="51">
        <v>41438</v>
      </c>
      <c r="L1608" s="173"/>
      <c r="N1608" s="50" t="s">
        <v>2</v>
      </c>
      <c r="O1608" s="74">
        <f>5/2</f>
        <v>2.5</v>
      </c>
      <c r="P1608" s="50">
        <v>6.29</v>
      </c>
      <c r="Q1608" s="74">
        <v>6.34</v>
      </c>
      <c r="R1608" s="50">
        <v>23</v>
      </c>
      <c r="S1608" s="74">
        <v>12</v>
      </c>
      <c r="T1608" s="50">
        <v>0.15</v>
      </c>
      <c r="U1608" s="74">
        <f>1/2</f>
        <v>0.5</v>
      </c>
      <c r="V1608" s="50">
        <v>0.14000000000000001</v>
      </c>
      <c r="W1608" s="74">
        <f>0.04/2</f>
        <v>0.02</v>
      </c>
      <c r="X1608" s="50">
        <v>9.8000000000000004E-2</v>
      </c>
      <c r="Y1608" s="74">
        <f>0.013</f>
        <v>1.2999999999999999E-2</v>
      </c>
      <c r="Z1608" s="271">
        <v>1</v>
      </c>
      <c r="AA1608" s="271">
        <v>1</v>
      </c>
      <c r="AB1608" s="114">
        <v>4.9000000000000004</v>
      </c>
      <c r="AC1608" s="50">
        <v>16</v>
      </c>
      <c r="AD1608" s="271">
        <v>1</v>
      </c>
    </row>
    <row r="1609" spans="1:30" ht="15" customHeight="1">
      <c r="A1609" s="41" t="s">
        <v>183</v>
      </c>
      <c r="B1609" s="402" t="s">
        <v>2499</v>
      </c>
      <c r="C1609" s="113" t="s">
        <v>2499</v>
      </c>
      <c r="D1609" s="393" t="s">
        <v>2501</v>
      </c>
      <c r="E1609" s="394" t="s">
        <v>4861</v>
      </c>
      <c r="G1609" s="405" t="s">
        <v>2502</v>
      </c>
      <c r="H1609" s="74">
        <v>3069</v>
      </c>
      <c r="J1609" s="339" t="s">
        <v>4862</v>
      </c>
      <c r="K1609" s="51">
        <v>41428</v>
      </c>
      <c r="L1609" s="173">
        <v>41423</v>
      </c>
      <c r="M1609" s="50">
        <f t="shared" ref="M1609:M1631" si="79">K1609-L1609</f>
        <v>5</v>
      </c>
      <c r="N1609" s="50" t="s">
        <v>2</v>
      </c>
      <c r="O1609" s="74">
        <v>1.5</v>
      </c>
      <c r="P1609" s="50">
        <v>6</v>
      </c>
      <c r="Q1609" s="74">
        <v>4.8</v>
      </c>
      <c r="R1609" s="50">
        <v>320</v>
      </c>
      <c r="S1609" s="74">
        <v>270</v>
      </c>
      <c r="T1609" s="50">
        <v>0.99</v>
      </c>
      <c r="U1609" s="74">
        <v>10</v>
      </c>
      <c r="V1609" s="50">
        <v>0.78</v>
      </c>
      <c r="W1609" s="74">
        <v>2.3E-2</v>
      </c>
      <c r="X1609" s="50">
        <v>0.14000000000000001</v>
      </c>
      <c r="Y1609" s="74">
        <v>1.2E-2</v>
      </c>
      <c r="Z1609" s="271">
        <v>1</v>
      </c>
      <c r="AA1609" s="271">
        <v>1</v>
      </c>
      <c r="AB1609" s="114">
        <v>2</v>
      </c>
      <c r="AC1609" s="50">
        <v>14</v>
      </c>
      <c r="AD1609" s="271">
        <v>1</v>
      </c>
    </row>
    <row r="1610" spans="1:30" ht="15" customHeight="1">
      <c r="A1610" s="41" t="s">
        <v>183</v>
      </c>
      <c r="B1610" s="402" t="s">
        <v>438</v>
      </c>
      <c r="C1610" s="113" t="s">
        <v>4863</v>
      </c>
      <c r="D1610" s="393" t="s">
        <v>251</v>
      </c>
      <c r="E1610" s="394" t="s">
        <v>4864</v>
      </c>
      <c r="F1610" s="402">
        <v>4402</v>
      </c>
      <c r="G1610" s="405" t="s">
        <v>440</v>
      </c>
      <c r="H1610" s="74">
        <v>3471</v>
      </c>
      <c r="I1610" s="50" t="s">
        <v>2</v>
      </c>
      <c r="J1610" s="339" t="s">
        <v>4865</v>
      </c>
      <c r="K1610" s="51">
        <v>41431</v>
      </c>
      <c r="L1610" s="173">
        <v>41423</v>
      </c>
      <c r="M1610" s="50">
        <f t="shared" si="79"/>
        <v>8</v>
      </c>
      <c r="N1610" s="50" t="s">
        <v>2</v>
      </c>
      <c r="O1610" s="74">
        <v>2.2999999999999998</v>
      </c>
      <c r="P1610" s="50">
        <v>6.7</v>
      </c>
      <c r="Q1610" s="74">
        <v>7.41</v>
      </c>
      <c r="R1610" s="50">
        <f>10/2</f>
        <v>5</v>
      </c>
      <c r="S1610" s="74">
        <f>5/2</f>
        <v>2.5</v>
      </c>
      <c r="T1610" s="50">
        <v>0.18</v>
      </c>
      <c r="U1610" s="74">
        <v>0.43</v>
      </c>
      <c r="V1610" s="50">
        <v>0.2</v>
      </c>
      <c r="W1610" s="74">
        <v>0.113</v>
      </c>
      <c r="X1610" s="50">
        <v>4.3999999999999997E-2</v>
      </c>
      <c r="Y1610" s="74">
        <f>0.002/2</f>
        <v>1E-3</v>
      </c>
    </row>
    <row r="1611" spans="1:30" ht="15" customHeight="1">
      <c r="A1611" s="41" t="s">
        <v>183</v>
      </c>
      <c r="B1611" s="402" t="s">
        <v>1869</v>
      </c>
      <c r="C1611" s="113" t="s">
        <v>2653</v>
      </c>
      <c r="D1611" s="393" t="s">
        <v>534</v>
      </c>
      <c r="E1611" s="394" t="s">
        <v>304</v>
      </c>
      <c r="G1611" s="405" t="s">
        <v>1871</v>
      </c>
      <c r="H1611" s="74">
        <v>4952</v>
      </c>
      <c r="I1611" s="50" t="s">
        <v>1</v>
      </c>
      <c r="J1611" s="339" t="s">
        <v>431</v>
      </c>
      <c r="K1611" s="51">
        <v>41487</v>
      </c>
      <c r="L1611" s="173">
        <v>41483</v>
      </c>
      <c r="M1611" s="50">
        <f t="shared" si="79"/>
        <v>4</v>
      </c>
      <c r="N1611" s="50" t="s">
        <v>2</v>
      </c>
      <c r="O1611" s="74">
        <f>5/2</f>
        <v>2.5</v>
      </c>
      <c r="P1611" s="50">
        <v>6</v>
      </c>
      <c r="Q1611" s="74">
        <v>7.26</v>
      </c>
      <c r="R1611" s="50">
        <v>110</v>
      </c>
      <c r="S1611" s="74">
        <v>16</v>
      </c>
      <c r="T1611" s="50">
        <v>0.13</v>
      </c>
      <c r="U1611" s="74">
        <v>1.7</v>
      </c>
      <c r="V1611" s="50">
        <v>0.49</v>
      </c>
      <c r="W1611" s="74">
        <f>0.04/2</f>
        <v>0.02</v>
      </c>
      <c r="X1611" s="50">
        <v>0.12</v>
      </c>
      <c r="Y1611" s="74">
        <f>0.013/2</f>
        <v>6.4999999999999997E-3</v>
      </c>
    </row>
    <row r="1612" spans="1:30" ht="15" customHeight="1">
      <c r="A1612" s="41" t="s">
        <v>183</v>
      </c>
      <c r="B1612" s="402" t="s">
        <v>4866</v>
      </c>
      <c r="C1612" s="113" t="s">
        <v>4866</v>
      </c>
      <c r="D1612" s="393" t="s">
        <v>1484</v>
      </c>
      <c r="E1612" s="394" t="s">
        <v>235</v>
      </c>
      <c r="G1612" s="405" t="s">
        <v>3683</v>
      </c>
      <c r="H1612" s="74">
        <v>3231</v>
      </c>
      <c r="I1612" s="50" t="s">
        <v>1</v>
      </c>
      <c r="J1612" s="339" t="s">
        <v>4867</v>
      </c>
      <c r="K1612" s="51">
        <v>41464</v>
      </c>
      <c r="L1612" s="173">
        <v>41456</v>
      </c>
      <c r="M1612" s="50">
        <f t="shared" si="79"/>
        <v>8</v>
      </c>
      <c r="N1612" s="50" t="s">
        <v>2</v>
      </c>
      <c r="O1612" s="74">
        <v>2</v>
      </c>
      <c r="P1612" s="50">
        <v>4.0599999999999996</v>
      </c>
      <c r="Q1612" s="74">
        <v>5.6</v>
      </c>
      <c r="R1612" s="50">
        <v>45</v>
      </c>
      <c r="S1612" s="74">
        <v>54</v>
      </c>
      <c r="T1612" s="50">
        <v>0.13</v>
      </c>
      <c r="U1612" s="74">
        <v>1.29</v>
      </c>
      <c r="V1612" s="50">
        <v>0.61</v>
      </c>
      <c r="W1612" s="74">
        <v>2.3E-2</v>
      </c>
      <c r="X1612" s="50">
        <v>0.152</v>
      </c>
      <c r="Y1612" s="74">
        <f>0.03/2</f>
        <v>1.4999999999999999E-2</v>
      </c>
    </row>
    <row r="1613" spans="1:30" ht="15" customHeight="1">
      <c r="A1613" s="41" t="s">
        <v>183</v>
      </c>
      <c r="B1613" s="402" t="s">
        <v>4868</v>
      </c>
      <c r="C1613" s="113" t="s">
        <v>4869</v>
      </c>
      <c r="D1613" s="393" t="s">
        <v>333</v>
      </c>
      <c r="E1613" s="394" t="s">
        <v>2163</v>
      </c>
      <c r="G1613" s="405" t="s">
        <v>3621</v>
      </c>
      <c r="H1613" s="74">
        <v>4226</v>
      </c>
      <c r="I1613" s="50" t="s">
        <v>2</v>
      </c>
      <c r="J1613" s="401" t="s">
        <v>2164</v>
      </c>
      <c r="K1613" s="51">
        <v>41428</v>
      </c>
      <c r="L1613" s="173">
        <v>41422</v>
      </c>
      <c r="M1613" s="50">
        <f t="shared" si="79"/>
        <v>6</v>
      </c>
      <c r="N1613" s="50" t="s">
        <v>2</v>
      </c>
      <c r="O1613" s="74">
        <f t="shared" ref="O1613:O1618" si="80">5/2</f>
        <v>2.5</v>
      </c>
      <c r="P1613" s="50">
        <v>6.1</v>
      </c>
      <c r="Q1613" s="74">
        <v>7.44</v>
      </c>
      <c r="R1613" s="50">
        <v>7.5</v>
      </c>
      <c r="S1613" s="74">
        <v>92</v>
      </c>
      <c r="T1613" s="50">
        <f>0.1/2</f>
        <v>0.05</v>
      </c>
      <c r="U1613" s="74">
        <f>1/2</f>
        <v>0.5</v>
      </c>
      <c r="V1613" s="50">
        <v>0.13</v>
      </c>
      <c r="W1613" s="74">
        <f>0.04/2</f>
        <v>0.02</v>
      </c>
      <c r="X1613" s="50">
        <v>3.2000000000000001E-2</v>
      </c>
      <c r="Y1613" s="74">
        <v>2.5000000000000001E-2</v>
      </c>
    </row>
    <row r="1614" spans="1:30" ht="15" customHeight="1">
      <c r="A1614" s="41" t="s">
        <v>183</v>
      </c>
      <c r="B1614" s="402" t="s">
        <v>4868</v>
      </c>
      <c r="C1614" s="113" t="s">
        <v>4869</v>
      </c>
      <c r="D1614" s="393" t="s">
        <v>333</v>
      </c>
      <c r="E1614" s="394" t="s">
        <v>2163</v>
      </c>
      <c r="G1614" s="405" t="s">
        <v>3621</v>
      </c>
      <c r="H1614" s="74">
        <v>4226</v>
      </c>
      <c r="I1614" s="50" t="s">
        <v>2</v>
      </c>
      <c r="J1614" s="401" t="s">
        <v>2165</v>
      </c>
      <c r="K1614" s="51">
        <v>41428</v>
      </c>
      <c r="L1614" s="173">
        <v>41422</v>
      </c>
      <c r="M1614" s="50">
        <f t="shared" si="79"/>
        <v>6</v>
      </c>
      <c r="N1614" s="50" t="s">
        <v>2</v>
      </c>
      <c r="O1614" s="74">
        <f t="shared" si="80"/>
        <v>2.5</v>
      </c>
      <c r="P1614" s="50">
        <v>6.1</v>
      </c>
      <c r="Q1614" s="74">
        <v>6.4</v>
      </c>
      <c r="R1614" s="50">
        <v>16</v>
      </c>
      <c r="S1614" s="74">
        <v>73</v>
      </c>
      <c r="T1614" s="50">
        <f>0.1/2</f>
        <v>0.05</v>
      </c>
      <c r="U1614" s="74">
        <f>1/2</f>
        <v>0.5</v>
      </c>
      <c r="V1614" s="50">
        <v>0.54</v>
      </c>
      <c r="W1614" s="74">
        <f>0.04/2</f>
        <v>0.02</v>
      </c>
      <c r="X1614" s="50">
        <v>0.03</v>
      </c>
      <c r="Y1614" s="74">
        <f>0.013/2</f>
        <v>6.4999999999999997E-3</v>
      </c>
    </row>
    <row r="1615" spans="1:30" ht="15" customHeight="1">
      <c r="A1615" s="41" t="s">
        <v>183</v>
      </c>
      <c r="B1615" s="402" t="s">
        <v>4868</v>
      </c>
      <c r="C1615" s="113" t="s">
        <v>4869</v>
      </c>
      <c r="D1615" s="393" t="s">
        <v>333</v>
      </c>
      <c r="E1615" s="394" t="s">
        <v>2163</v>
      </c>
      <c r="G1615" s="405" t="s">
        <v>3621</v>
      </c>
      <c r="H1615" s="74">
        <v>4226</v>
      </c>
      <c r="I1615" s="50" t="s">
        <v>2</v>
      </c>
      <c r="J1615" s="401" t="s">
        <v>2166</v>
      </c>
      <c r="K1615" s="51">
        <v>41428</v>
      </c>
      <c r="L1615" s="173">
        <v>41422</v>
      </c>
      <c r="M1615" s="50">
        <f t="shared" si="79"/>
        <v>6</v>
      </c>
      <c r="N1615" s="50" t="s">
        <v>2</v>
      </c>
      <c r="O1615" s="74">
        <f t="shared" si="80"/>
        <v>2.5</v>
      </c>
      <c r="P1615" s="50">
        <v>6.1</v>
      </c>
      <c r="Q1615" s="74">
        <v>6.9</v>
      </c>
      <c r="R1615" s="50">
        <v>12</v>
      </c>
      <c r="S1615" s="74">
        <v>31</v>
      </c>
      <c r="T1615" s="50">
        <f>0.1/2</f>
        <v>0.05</v>
      </c>
      <c r="U1615" s="74">
        <f>1/2</f>
        <v>0.5</v>
      </c>
      <c r="V1615" s="50">
        <v>0.35</v>
      </c>
      <c r="W1615" s="74">
        <f>0.04/2</f>
        <v>0.02</v>
      </c>
      <c r="X1615" s="50">
        <f>0.02/2</f>
        <v>0.01</v>
      </c>
      <c r="Y1615" s="74">
        <v>4.1000000000000002E-2</v>
      </c>
    </row>
    <row r="1616" spans="1:30" ht="15" customHeight="1">
      <c r="A1616" s="41" t="s">
        <v>183</v>
      </c>
      <c r="B1616" s="402" t="s">
        <v>4868</v>
      </c>
      <c r="C1616" s="113" t="s">
        <v>4869</v>
      </c>
      <c r="D1616" s="393" t="s">
        <v>333</v>
      </c>
      <c r="E1616" s="394" t="s">
        <v>2163</v>
      </c>
      <c r="G1616" s="405" t="s">
        <v>3621</v>
      </c>
      <c r="H1616" s="74">
        <v>4226</v>
      </c>
      <c r="I1616" s="50" t="s">
        <v>2</v>
      </c>
      <c r="J1616" s="401" t="s">
        <v>2167</v>
      </c>
      <c r="K1616" s="51">
        <v>41428</v>
      </c>
      <c r="L1616" s="173">
        <v>41422</v>
      </c>
      <c r="M1616" s="50">
        <f t="shared" si="79"/>
        <v>6</v>
      </c>
      <c r="N1616" s="50" t="s">
        <v>2</v>
      </c>
      <c r="O1616" s="74">
        <f t="shared" si="80"/>
        <v>2.5</v>
      </c>
      <c r="P1616" s="50">
        <v>6.1</v>
      </c>
      <c r="Q1616" s="74">
        <v>7.6</v>
      </c>
      <c r="R1616" s="50">
        <v>42</v>
      </c>
      <c r="S1616" s="74">
        <v>550</v>
      </c>
      <c r="T1616" s="50">
        <v>0.12</v>
      </c>
      <c r="U1616" s="74">
        <f>1/2</f>
        <v>0.5</v>
      </c>
      <c r="V1616" s="50">
        <v>0.66</v>
      </c>
      <c r="W1616" s="74">
        <f>0.04/2</f>
        <v>0.02</v>
      </c>
      <c r="X1616" s="50">
        <v>6.2E-2</v>
      </c>
      <c r="Y1616" s="74">
        <v>3.1E-2</v>
      </c>
    </row>
    <row r="1617" spans="1:30" ht="15" customHeight="1">
      <c r="A1617" s="41" t="s">
        <v>183</v>
      </c>
      <c r="B1617" s="402" t="s">
        <v>4868</v>
      </c>
      <c r="C1617" s="113" t="s">
        <v>4869</v>
      </c>
      <c r="D1617" s="393" t="s">
        <v>333</v>
      </c>
      <c r="E1617" s="394" t="s">
        <v>2163</v>
      </c>
      <c r="G1617" s="405" t="s">
        <v>3621</v>
      </c>
      <c r="H1617" s="74">
        <v>4226</v>
      </c>
      <c r="I1617" s="50" t="s">
        <v>2</v>
      </c>
      <c r="J1617" s="401" t="s">
        <v>2168</v>
      </c>
      <c r="K1617" s="51">
        <v>41428</v>
      </c>
      <c r="L1617" s="173">
        <v>41422</v>
      </c>
      <c r="M1617" s="50">
        <f t="shared" si="79"/>
        <v>6</v>
      </c>
      <c r="N1617" s="50" t="s">
        <v>2</v>
      </c>
      <c r="O1617" s="74">
        <f t="shared" si="80"/>
        <v>2.5</v>
      </c>
      <c r="P1617" s="50">
        <v>6.1</v>
      </c>
      <c r="Q1617" s="74">
        <v>7.2</v>
      </c>
      <c r="R1617" s="50">
        <v>50</v>
      </c>
      <c r="S1617" s="74">
        <v>36</v>
      </c>
      <c r="T1617" s="50">
        <v>0.15</v>
      </c>
      <c r="U1617" s="74">
        <v>1.2</v>
      </c>
      <c r="V1617" s="50">
        <v>0.55000000000000004</v>
      </c>
      <c r="W1617" s="74">
        <f>0.04/2</f>
        <v>0.02</v>
      </c>
      <c r="X1617" s="50">
        <v>2.5000000000000001E-2</v>
      </c>
      <c r="Y1617" s="74">
        <v>1.4E-2</v>
      </c>
    </row>
    <row r="1618" spans="1:30" ht="15" customHeight="1">
      <c r="A1618" s="41" t="s">
        <v>183</v>
      </c>
      <c r="B1618" s="402" t="s">
        <v>4868</v>
      </c>
      <c r="C1618" s="113" t="s">
        <v>4870</v>
      </c>
      <c r="D1618" s="393" t="s">
        <v>684</v>
      </c>
      <c r="E1618" s="394" t="s">
        <v>4871</v>
      </c>
      <c r="G1618" s="405" t="s">
        <v>3622</v>
      </c>
      <c r="H1618" s="74">
        <v>4226</v>
      </c>
      <c r="I1618" s="50" t="s">
        <v>1</v>
      </c>
      <c r="J1618" s="339" t="s">
        <v>4872</v>
      </c>
      <c r="K1618" s="51">
        <v>41428</v>
      </c>
      <c r="L1618" s="173">
        <v>41422</v>
      </c>
      <c r="M1618" s="50">
        <f t="shared" si="79"/>
        <v>6</v>
      </c>
      <c r="N1618" s="50" t="s">
        <v>2</v>
      </c>
      <c r="O1618" s="74">
        <f t="shared" si="80"/>
        <v>2.5</v>
      </c>
      <c r="P1618" s="50">
        <v>6.1</v>
      </c>
      <c r="Q1618" s="74">
        <v>7.1</v>
      </c>
      <c r="R1618" s="50">
        <v>55</v>
      </c>
      <c r="S1618" s="74">
        <v>180</v>
      </c>
      <c r="T1618" s="50">
        <v>0.22</v>
      </c>
      <c r="U1618" s="74">
        <f>1/2</f>
        <v>0.5</v>
      </c>
      <c r="V1618" s="50">
        <v>0.64</v>
      </c>
      <c r="W1618" s="74">
        <v>4.3999999999999997E-2</v>
      </c>
      <c r="X1618" s="50">
        <v>0.15</v>
      </c>
      <c r="Y1618" s="74">
        <v>5.0999999999999997E-2</v>
      </c>
    </row>
    <row r="1619" spans="1:30" ht="15" customHeight="1">
      <c r="A1619" s="41" t="s">
        <v>183</v>
      </c>
      <c r="B1619" s="402" t="s">
        <v>4873</v>
      </c>
      <c r="C1619" s="113" t="s">
        <v>4874</v>
      </c>
      <c r="D1619" s="393" t="s">
        <v>379</v>
      </c>
      <c r="E1619" s="394" t="s">
        <v>3859</v>
      </c>
      <c r="G1619" s="405" t="s">
        <v>4726</v>
      </c>
      <c r="H1619" s="74">
        <v>3444</v>
      </c>
      <c r="I1619" s="50" t="s">
        <v>2</v>
      </c>
      <c r="J1619" s="339" t="s">
        <v>74</v>
      </c>
      <c r="K1619" s="51">
        <v>41487</v>
      </c>
      <c r="L1619" s="173">
        <v>41481</v>
      </c>
      <c r="M1619" s="50">
        <f t="shared" si="79"/>
        <v>6</v>
      </c>
      <c r="N1619" s="50" t="s">
        <v>2</v>
      </c>
      <c r="O1619" s="74">
        <f>1.4/2</f>
        <v>0.7</v>
      </c>
      <c r="P1619" s="50">
        <v>5.54</v>
      </c>
      <c r="Q1619" s="74">
        <v>5.52</v>
      </c>
      <c r="R1619" s="50">
        <v>37</v>
      </c>
      <c r="S1619" s="74">
        <v>13</v>
      </c>
      <c r="T1619" s="50">
        <v>0.08</v>
      </c>
      <c r="U1619" s="74">
        <v>1.3</v>
      </c>
      <c r="V1619" s="50">
        <v>0.91</v>
      </c>
      <c r="W1619" s="74">
        <v>1.2E-2</v>
      </c>
      <c r="X1619" s="50">
        <v>0.69499999999999995</v>
      </c>
      <c r="Y1619" s="74">
        <v>8.0000000000000002E-3</v>
      </c>
    </row>
    <row r="1620" spans="1:30" ht="15" customHeight="1">
      <c r="A1620" s="41" t="s">
        <v>183</v>
      </c>
      <c r="B1620" s="402" t="s">
        <v>4875</v>
      </c>
      <c r="C1620" s="113" t="s">
        <v>4876</v>
      </c>
      <c r="D1620" s="393" t="s">
        <v>372</v>
      </c>
      <c r="E1620" s="394" t="s">
        <v>535</v>
      </c>
      <c r="G1620" s="405" t="s">
        <v>932</v>
      </c>
      <c r="H1620" s="74">
        <v>2653</v>
      </c>
      <c r="J1620" s="339" t="s">
        <v>4877</v>
      </c>
      <c r="K1620" s="51">
        <v>41487</v>
      </c>
      <c r="L1620" s="173">
        <v>41481</v>
      </c>
      <c r="M1620" s="50">
        <f t="shared" si="79"/>
        <v>6</v>
      </c>
      <c r="N1620" s="50" t="s">
        <v>2</v>
      </c>
      <c r="O1620" s="74">
        <v>3.1</v>
      </c>
      <c r="P1620" s="50">
        <v>7.28</v>
      </c>
      <c r="Q1620" s="74">
        <v>6.67</v>
      </c>
      <c r="R1620" s="50">
        <v>79.900000000000006</v>
      </c>
      <c r="S1620" s="74">
        <v>30.5</v>
      </c>
      <c r="T1620" s="50">
        <v>0.15</v>
      </c>
      <c r="U1620" s="74">
        <v>2.67</v>
      </c>
      <c r="V1620" s="50">
        <v>1.6</v>
      </c>
      <c r="W1620" s="74">
        <v>0.14000000000000001</v>
      </c>
      <c r="X1620" s="50">
        <v>0.63</v>
      </c>
      <c r="Y1620" s="74">
        <v>0.04</v>
      </c>
      <c r="Z1620" s="271" t="s">
        <v>2667</v>
      </c>
    </row>
    <row r="1621" spans="1:30" ht="15" customHeight="1">
      <c r="A1621" s="41" t="s">
        <v>183</v>
      </c>
      <c r="B1621" s="402" t="s">
        <v>511</v>
      </c>
      <c r="C1621" s="113" t="s">
        <v>511</v>
      </c>
      <c r="D1621" s="393" t="s">
        <v>350</v>
      </c>
      <c r="E1621" s="394" t="s">
        <v>838</v>
      </c>
      <c r="G1621" s="405" t="s">
        <v>839</v>
      </c>
      <c r="H1621" s="74">
        <v>3398</v>
      </c>
      <c r="I1621" s="50" t="s">
        <v>2</v>
      </c>
      <c r="J1621" s="339" t="s">
        <v>4878</v>
      </c>
      <c r="K1621" s="51">
        <v>41402</v>
      </c>
      <c r="L1621" s="173">
        <v>41384</v>
      </c>
      <c r="M1621" s="50">
        <f t="shared" si="79"/>
        <v>18</v>
      </c>
      <c r="N1621" s="50" t="s">
        <v>2</v>
      </c>
      <c r="O1621" s="74">
        <f>5/2</f>
        <v>2.5</v>
      </c>
      <c r="P1621" s="50">
        <v>5.61</v>
      </c>
      <c r="Q1621" s="74">
        <v>5.67</v>
      </c>
      <c r="R1621" s="50">
        <v>31</v>
      </c>
      <c r="S1621" s="74">
        <v>82</v>
      </c>
      <c r="T1621" s="50">
        <v>0.22</v>
      </c>
      <c r="U1621" s="74">
        <f>1/2</f>
        <v>0.5</v>
      </c>
      <c r="V1621" s="50">
        <v>0.23</v>
      </c>
      <c r="W1621" s="74">
        <f>0.04/2</f>
        <v>0.02</v>
      </c>
      <c r="X1621" s="50">
        <v>0.34</v>
      </c>
      <c r="Y1621" s="74">
        <f>0.013/2</f>
        <v>6.4999999999999997E-3</v>
      </c>
      <c r="Z1621" s="271">
        <v>1</v>
      </c>
      <c r="AA1621" s="271">
        <v>0.70699999999999996</v>
      </c>
      <c r="AB1621" s="114">
        <v>4.7</v>
      </c>
      <c r="AC1621" s="50">
        <v>164</v>
      </c>
      <c r="AD1621" s="271">
        <v>0</v>
      </c>
    </row>
    <row r="1622" spans="1:30" ht="15" customHeight="1">
      <c r="A1622" s="41" t="s">
        <v>183</v>
      </c>
      <c r="B1622" s="402" t="s">
        <v>4879</v>
      </c>
      <c r="C1622" s="113" t="s">
        <v>2081</v>
      </c>
      <c r="D1622" s="393" t="s">
        <v>78</v>
      </c>
      <c r="E1622" s="394" t="s">
        <v>4880</v>
      </c>
      <c r="G1622" s="405" t="s">
        <v>3595</v>
      </c>
      <c r="H1622" s="74">
        <v>5541</v>
      </c>
      <c r="I1622" s="50" t="s">
        <v>2</v>
      </c>
      <c r="J1622" s="339" t="s">
        <v>2083</v>
      </c>
      <c r="K1622" s="51">
        <v>41456</v>
      </c>
      <c r="L1622" s="173">
        <v>41452</v>
      </c>
      <c r="M1622" s="50">
        <f t="shared" si="79"/>
        <v>4</v>
      </c>
      <c r="N1622" s="50" t="s">
        <v>2</v>
      </c>
      <c r="O1622" s="74">
        <v>4.3</v>
      </c>
      <c r="P1622" s="50">
        <v>6</v>
      </c>
      <c r="Q1622" s="74">
        <v>8</v>
      </c>
      <c r="R1622" s="50">
        <v>226</v>
      </c>
      <c r="S1622" s="74">
        <v>45</v>
      </c>
      <c r="T1622" s="50">
        <v>1.72</v>
      </c>
      <c r="U1622" s="74">
        <v>21.2</v>
      </c>
      <c r="V1622" s="50">
        <f>0.01/2</f>
        <v>5.0000000000000001E-3</v>
      </c>
      <c r="W1622" s="74">
        <v>2.4E-2</v>
      </c>
      <c r="X1622" s="50">
        <v>0.20200000000000001</v>
      </c>
      <c r="Y1622" s="74">
        <f>0.002/2</f>
        <v>1E-3</v>
      </c>
    </row>
    <row r="1623" spans="1:30" ht="15" customHeight="1">
      <c r="A1623" s="41" t="s">
        <v>183</v>
      </c>
      <c r="B1623" s="402" t="s">
        <v>4879</v>
      </c>
      <c r="C1623" s="113" t="s">
        <v>2081</v>
      </c>
      <c r="D1623" s="393" t="s">
        <v>78</v>
      </c>
      <c r="E1623" s="394" t="s">
        <v>4880</v>
      </c>
      <c r="G1623" s="405" t="s">
        <v>3595</v>
      </c>
      <c r="H1623" s="74">
        <v>5541</v>
      </c>
      <c r="I1623" s="50" t="s">
        <v>2</v>
      </c>
      <c r="J1623" s="339" t="s">
        <v>2084</v>
      </c>
      <c r="K1623" s="51">
        <v>41456</v>
      </c>
      <c r="L1623" s="173">
        <v>41452</v>
      </c>
      <c r="M1623" s="50">
        <f t="shared" si="79"/>
        <v>4</v>
      </c>
      <c r="N1623" s="50" t="s">
        <v>2</v>
      </c>
      <c r="O1623" s="74">
        <v>3.5</v>
      </c>
      <c r="P1623" s="50">
        <v>6</v>
      </c>
      <c r="Q1623" s="74">
        <v>7</v>
      </c>
      <c r="R1623" s="50">
        <v>167</v>
      </c>
      <c r="S1623" s="74">
        <v>10</v>
      </c>
      <c r="T1623" s="50">
        <v>0.36</v>
      </c>
      <c r="U1623" s="74">
        <v>7</v>
      </c>
      <c r="V1623" s="50">
        <v>0.19</v>
      </c>
      <c r="W1623" s="74">
        <v>1.7999999999999999E-2</v>
      </c>
      <c r="X1623" s="50">
        <v>0.29599999999999999</v>
      </c>
      <c r="Y1623" s="74">
        <f>0.002/2</f>
        <v>1E-3</v>
      </c>
    </row>
    <row r="1624" spans="1:30" ht="15" customHeight="1">
      <c r="A1624" s="41" t="s">
        <v>183</v>
      </c>
      <c r="B1624" s="402" t="s">
        <v>4881</v>
      </c>
      <c r="C1624" s="113" t="s">
        <v>4588</v>
      </c>
      <c r="D1624" s="393" t="s">
        <v>910</v>
      </c>
      <c r="E1624" s="394" t="s">
        <v>1546</v>
      </c>
      <c r="G1624" s="405" t="s">
        <v>4589</v>
      </c>
      <c r="H1624" s="74">
        <v>4952</v>
      </c>
      <c r="I1624" s="50" t="s">
        <v>2</v>
      </c>
      <c r="J1624" s="339" t="s">
        <v>4882</v>
      </c>
      <c r="K1624" s="51">
        <v>41402</v>
      </c>
      <c r="L1624" s="173">
        <v>41376</v>
      </c>
      <c r="M1624" s="50">
        <f t="shared" si="79"/>
        <v>26</v>
      </c>
      <c r="N1624" s="50" t="s">
        <v>2</v>
      </c>
      <c r="O1624" s="74">
        <f>0.526/2</f>
        <v>0.26300000000000001</v>
      </c>
      <c r="P1624" s="50">
        <v>6</v>
      </c>
      <c r="Q1624" s="74">
        <v>7.3</v>
      </c>
      <c r="R1624" s="50">
        <v>91</v>
      </c>
      <c r="S1624" s="74">
        <v>44.8</v>
      </c>
      <c r="T1624" s="50">
        <v>0.54</v>
      </c>
      <c r="U1624" s="74">
        <v>1.83</v>
      </c>
      <c r="V1624" s="50">
        <v>0.25600000000000001</v>
      </c>
      <c r="W1624" s="74">
        <f>0.005/2</f>
        <v>2.5000000000000001E-3</v>
      </c>
      <c r="X1624" s="50">
        <v>2.1000000000000001E-2</v>
      </c>
      <c r="Y1624" s="74">
        <f>0.003/2</f>
        <v>1.5E-3</v>
      </c>
    </row>
    <row r="1625" spans="1:30" ht="15" customHeight="1">
      <c r="A1625" s="41" t="s">
        <v>183</v>
      </c>
      <c r="B1625" s="402" t="s">
        <v>4881</v>
      </c>
      <c r="C1625" s="113" t="s">
        <v>4883</v>
      </c>
      <c r="D1625" s="393" t="s">
        <v>1881</v>
      </c>
      <c r="E1625" s="394" t="s">
        <v>1546</v>
      </c>
      <c r="G1625" s="405" t="s">
        <v>4456</v>
      </c>
      <c r="H1625" s="74">
        <v>4952</v>
      </c>
      <c r="I1625" s="50" t="s">
        <v>2</v>
      </c>
      <c r="J1625" s="339" t="s">
        <v>4884</v>
      </c>
      <c r="K1625" s="51">
        <v>41401</v>
      </c>
      <c r="L1625" s="173">
        <v>41376</v>
      </c>
      <c r="M1625" s="50">
        <f t="shared" si="79"/>
        <v>25</v>
      </c>
      <c r="N1625" s="50" t="s">
        <v>2</v>
      </c>
      <c r="O1625" s="74">
        <f>0.5/2</f>
        <v>0.25</v>
      </c>
      <c r="P1625" s="50">
        <v>5.8</v>
      </c>
      <c r="Q1625" s="74">
        <v>6.41</v>
      </c>
      <c r="R1625" s="50">
        <v>270</v>
      </c>
      <c r="S1625" s="74">
        <v>316</v>
      </c>
      <c r="T1625" s="50">
        <v>1.23</v>
      </c>
      <c r="U1625" s="74">
        <v>5.92</v>
      </c>
      <c r="V1625" s="50">
        <v>0.52400000000000002</v>
      </c>
      <c r="W1625" s="74">
        <v>3.9E-2</v>
      </c>
      <c r="X1625" s="50">
        <v>9.7900000000000001E-2</v>
      </c>
      <c r="Y1625" s="74">
        <v>3.5099999999999999E-2</v>
      </c>
    </row>
    <row r="1626" spans="1:30" ht="15" customHeight="1">
      <c r="A1626" s="41" t="s">
        <v>183</v>
      </c>
      <c r="B1626" s="402" t="s">
        <v>4881</v>
      </c>
      <c r="C1626" s="113" t="s">
        <v>4883</v>
      </c>
      <c r="D1626" s="393" t="s">
        <v>1881</v>
      </c>
      <c r="E1626" s="394" t="s">
        <v>1546</v>
      </c>
      <c r="G1626" s="405" t="s">
        <v>4456</v>
      </c>
      <c r="H1626" s="74">
        <v>4952</v>
      </c>
      <c r="I1626" s="50" t="s">
        <v>2</v>
      </c>
      <c r="J1626" s="339" t="s">
        <v>4885</v>
      </c>
      <c r="K1626" s="51">
        <v>41401</v>
      </c>
      <c r="L1626" s="173">
        <v>41376</v>
      </c>
      <c r="M1626" s="50">
        <f t="shared" si="79"/>
        <v>25</v>
      </c>
      <c r="N1626" s="50" t="s">
        <v>2</v>
      </c>
      <c r="O1626" s="74">
        <f>0.5/2</f>
        <v>0.25</v>
      </c>
      <c r="P1626" s="50">
        <v>5.8</v>
      </c>
      <c r="Q1626" s="74">
        <v>6.57</v>
      </c>
      <c r="R1626" s="50">
        <v>240</v>
      </c>
      <c r="S1626" s="74">
        <v>282</v>
      </c>
      <c r="T1626" s="50">
        <v>1.1000000000000001</v>
      </c>
      <c r="U1626" s="74">
        <v>6.8</v>
      </c>
      <c r="V1626" s="50">
        <v>0.66400000000000003</v>
      </c>
      <c r="W1626" s="74">
        <v>3.27E-2</v>
      </c>
      <c r="X1626" s="50">
        <v>0.109</v>
      </c>
      <c r="Y1626" s="74">
        <v>9.9600000000000001E-3</v>
      </c>
    </row>
    <row r="1627" spans="1:30" ht="15" customHeight="1">
      <c r="A1627" s="41" t="s">
        <v>183</v>
      </c>
      <c r="B1627" s="402" t="s">
        <v>4881</v>
      </c>
      <c r="C1627" s="113" t="s">
        <v>4886</v>
      </c>
      <c r="D1627" s="393" t="s">
        <v>133</v>
      </c>
      <c r="E1627" s="394" t="s">
        <v>1546</v>
      </c>
      <c r="G1627" s="405" t="s">
        <v>4887</v>
      </c>
      <c r="H1627" s="74">
        <v>4952</v>
      </c>
      <c r="I1627" s="50" t="s">
        <v>2</v>
      </c>
      <c r="J1627" s="339" t="s">
        <v>4888</v>
      </c>
      <c r="K1627" s="51">
        <v>41402</v>
      </c>
      <c r="L1627" s="173">
        <v>41385</v>
      </c>
      <c r="M1627" s="50">
        <f t="shared" si="79"/>
        <v>17</v>
      </c>
      <c r="N1627" s="50" t="s">
        <v>2</v>
      </c>
      <c r="O1627" s="131">
        <f>0.541/2</f>
        <v>0.27050000000000002</v>
      </c>
      <c r="P1627" s="50">
        <v>6.18</v>
      </c>
      <c r="Q1627" s="74">
        <v>6.6</v>
      </c>
      <c r="R1627" s="50">
        <v>110</v>
      </c>
      <c r="S1627" s="74">
        <v>89.2</v>
      </c>
      <c r="T1627" s="50">
        <v>0.34</v>
      </c>
      <c r="U1627" s="74">
        <v>1.53</v>
      </c>
      <c r="V1627" s="50">
        <v>0.58099999999999996</v>
      </c>
      <c r="W1627" s="227">
        <v>9.3200000000000002E-3</v>
      </c>
      <c r="X1627" s="226">
        <v>9.2499999999999999E-2</v>
      </c>
      <c r="Y1627" s="227">
        <v>4.0299999999999997E-3</v>
      </c>
    </row>
    <row r="1628" spans="1:30" ht="15" customHeight="1">
      <c r="A1628" s="41" t="s">
        <v>183</v>
      </c>
      <c r="B1628" s="402" t="s">
        <v>4881</v>
      </c>
      <c r="C1628" s="113" t="s">
        <v>4886</v>
      </c>
      <c r="D1628" s="393" t="s">
        <v>133</v>
      </c>
      <c r="E1628" s="394" t="s">
        <v>1546</v>
      </c>
      <c r="G1628" s="405" t="s">
        <v>4887</v>
      </c>
      <c r="H1628" s="74">
        <v>4952</v>
      </c>
      <c r="I1628" s="50" t="s">
        <v>2</v>
      </c>
      <c r="J1628" s="339" t="s">
        <v>4889</v>
      </c>
      <c r="K1628" s="51">
        <v>41402</v>
      </c>
      <c r="L1628" s="173">
        <v>41385</v>
      </c>
      <c r="M1628" s="50">
        <f t="shared" si="79"/>
        <v>17</v>
      </c>
      <c r="N1628" s="50" t="s">
        <v>2</v>
      </c>
      <c r="O1628" s="131">
        <f>0.541/2</f>
        <v>0.27050000000000002</v>
      </c>
      <c r="P1628" s="50">
        <v>6.18</v>
      </c>
      <c r="Q1628" s="74">
        <v>6.32</v>
      </c>
      <c r="R1628" s="50">
        <v>89</v>
      </c>
      <c r="S1628" s="74">
        <v>80</v>
      </c>
      <c r="T1628" s="50">
        <v>0.53</v>
      </c>
      <c r="U1628" s="74">
        <v>1.86</v>
      </c>
      <c r="V1628" s="50">
        <v>0.441</v>
      </c>
      <c r="W1628" s="227">
        <v>1.46E-2</v>
      </c>
      <c r="X1628" s="226">
        <v>7.0699999999999999E-2</v>
      </c>
      <c r="Y1628" s="227">
        <v>3.7699999999999999E-3</v>
      </c>
    </row>
    <row r="1629" spans="1:30" ht="15" customHeight="1">
      <c r="A1629" s="41" t="s">
        <v>183</v>
      </c>
      <c r="B1629" s="402" t="s">
        <v>4881</v>
      </c>
      <c r="C1629" s="113" t="s">
        <v>4886</v>
      </c>
      <c r="D1629" s="393" t="s">
        <v>133</v>
      </c>
      <c r="E1629" s="394" t="s">
        <v>1546</v>
      </c>
      <c r="G1629" s="405" t="s">
        <v>4887</v>
      </c>
      <c r="H1629" s="74">
        <v>4952</v>
      </c>
      <c r="I1629" s="50" t="s">
        <v>2</v>
      </c>
      <c r="J1629" s="339" t="s">
        <v>4890</v>
      </c>
      <c r="K1629" s="51">
        <v>41402</v>
      </c>
      <c r="L1629" s="173">
        <v>41385</v>
      </c>
      <c r="M1629" s="50">
        <f t="shared" si="79"/>
        <v>17</v>
      </c>
      <c r="N1629" s="50" t="s">
        <v>2</v>
      </c>
      <c r="O1629" s="131">
        <f>0.541/2</f>
        <v>0.27050000000000002</v>
      </c>
      <c r="P1629" s="50">
        <v>6.18</v>
      </c>
      <c r="Q1629" s="74">
        <v>6.5</v>
      </c>
      <c r="R1629" s="50">
        <v>140</v>
      </c>
      <c r="S1629" s="74">
        <v>205</v>
      </c>
      <c r="T1629" s="50">
        <v>3.36</v>
      </c>
      <c r="U1629" s="74">
        <v>2.2599999999999998</v>
      </c>
      <c r="V1629" s="50">
        <v>0.46700000000000003</v>
      </c>
      <c r="W1629" s="227">
        <v>6.7699999999999996E-2</v>
      </c>
      <c r="X1629" s="226">
        <v>0.10199999999999999</v>
      </c>
      <c r="Y1629" s="227">
        <v>1.8200000000000001E-2</v>
      </c>
    </row>
    <row r="1630" spans="1:30" ht="15" customHeight="1">
      <c r="A1630" s="41" t="s">
        <v>183</v>
      </c>
      <c r="B1630" s="402" t="s">
        <v>4891</v>
      </c>
      <c r="C1630" s="113" t="s">
        <v>4892</v>
      </c>
      <c r="D1630" s="393" t="s">
        <v>3090</v>
      </c>
      <c r="E1630" s="394" t="s">
        <v>4893</v>
      </c>
      <c r="F1630" s="402" t="s">
        <v>3091</v>
      </c>
      <c r="G1630" s="405" t="s">
        <v>3092</v>
      </c>
      <c r="H1630" s="74">
        <v>4200</v>
      </c>
      <c r="I1630" s="50" t="s">
        <v>2</v>
      </c>
      <c r="J1630" s="339" t="s">
        <v>4894</v>
      </c>
      <c r="K1630" s="51">
        <v>41428</v>
      </c>
      <c r="L1630" s="173">
        <v>41424</v>
      </c>
      <c r="M1630" s="50">
        <f t="shared" si="79"/>
        <v>4</v>
      </c>
      <c r="N1630" s="50" t="s">
        <v>2</v>
      </c>
      <c r="O1630" s="74">
        <v>3.4</v>
      </c>
      <c r="P1630" s="50">
        <v>7</v>
      </c>
      <c r="Q1630" s="74">
        <v>6.7</v>
      </c>
      <c r="R1630" s="50">
        <v>85</v>
      </c>
      <c r="S1630" s="74">
        <v>75</v>
      </c>
      <c r="T1630" s="50">
        <v>0.75</v>
      </c>
      <c r="U1630" s="74">
        <v>1.3</v>
      </c>
      <c r="V1630" s="50">
        <v>0.24</v>
      </c>
      <c r="W1630" s="227">
        <v>1.7000000000000001E-2</v>
      </c>
      <c r="X1630" s="226">
        <v>0.15</v>
      </c>
      <c r="Y1630" s="227">
        <v>1.0999999999999999E-2</v>
      </c>
    </row>
    <row r="1631" spans="1:30" ht="15" customHeight="1">
      <c r="A1631" s="41" t="s">
        <v>183</v>
      </c>
      <c r="B1631" s="402" t="s">
        <v>4891</v>
      </c>
      <c r="C1631" s="113" t="s">
        <v>4892</v>
      </c>
      <c r="D1631" s="393" t="s">
        <v>3090</v>
      </c>
      <c r="E1631" s="394" t="s">
        <v>4893</v>
      </c>
      <c r="F1631" s="402" t="s">
        <v>3091</v>
      </c>
      <c r="G1631" s="405" t="s">
        <v>3092</v>
      </c>
      <c r="H1631" s="74">
        <v>4200</v>
      </c>
      <c r="I1631" s="50" t="s">
        <v>2</v>
      </c>
      <c r="J1631" s="339" t="s">
        <v>3094</v>
      </c>
      <c r="K1631" s="51">
        <v>41428</v>
      </c>
      <c r="L1631" s="173">
        <v>41424</v>
      </c>
      <c r="M1631" s="50">
        <f t="shared" si="79"/>
        <v>4</v>
      </c>
      <c r="N1631" s="50" t="s">
        <v>2</v>
      </c>
      <c r="O1631" s="74">
        <f>1/2</f>
        <v>0.5</v>
      </c>
      <c r="P1631" s="50">
        <v>7</v>
      </c>
      <c r="Q1631" s="74">
        <v>6.8</v>
      </c>
      <c r="R1631" s="50">
        <v>78</v>
      </c>
      <c r="S1631" s="74">
        <v>58</v>
      </c>
      <c r="T1631" s="50">
        <v>0.35</v>
      </c>
      <c r="U1631" s="74">
        <v>1.5</v>
      </c>
      <c r="V1631" s="50">
        <v>0.34</v>
      </c>
      <c r="W1631" s="74">
        <v>1.4E-2</v>
      </c>
      <c r="X1631" s="50">
        <v>0.18</v>
      </c>
      <c r="Y1631" s="74">
        <v>6.1999999999999998E-3</v>
      </c>
    </row>
    <row r="1632" spans="1:30" ht="15" customHeight="1">
      <c r="A1632" s="41" t="s">
        <v>183</v>
      </c>
      <c r="B1632" s="402" t="s">
        <v>4895</v>
      </c>
      <c r="C1632" s="113" t="s">
        <v>4895</v>
      </c>
      <c r="D1632" s="393" t="s">
        <v>836</v>
      </c>
      <c r="E1632" s="394" t="s">
        <v>364</v>
      </c>
      <c r="G1632" s="405" t="s">
        <v>837</v>
      </c>
      <c r="H1632" s="74">
        <v>2541</v>
      </c>
      <c r="I1632" s="50" t="s">
        <v>2</v>
      </c>
      <c r="J1632" s="339" t="s">
        <v>4896</v>
      </c>
      <c r="K1632" s="51">
        <v>41443</v>
      </c>
      <c r="L1632" s="173"/>
      <c r="N1632" s="50" t="s">
        <v>2</v>
      </c>
      <c r="O1632" s="74">
        <f>1.4/2</f>
        <v>0.7</v>
      </c>
      <c r="P1632" s="50">
        <v>5.85</v>
      </c>
      <c r="Q1632" s="74">
        <v>4.5</v>
      </c>
      <c r="R1632" s="50">
        <v>51</v>
      </c>
      <c r="S1632" s="74">
        <v>36</v>
      </c>
      <c r="T1632" s="50">
        <v>0.12</v>
      </c>
      <c r="U1632" s="74">
        <v>1.9</v>
      </c>
      <c r="V1632" s="50">
        <v>0.83</v>
      </c>
      <c r="W1632" s="74">
        <v>6.0000000000000001E-3</v>
      </c>
      <c r="X1632" s="50">
        <v>2.5999999999999999E-2</v>
      </c>
      <c r="Y1632" s="74">
        <f>0.002/2</f>
        <v>1E-3</v>
      </c>
    </row>
    <row r="1633" spans="1:40" ht="15" customHeight="1">
      <c r="A1633" s="41" t="s">
        <v>183</v>
      </c>
      <c r="B1633" s="402" t="s">
        <v>428</v>
      </c>
      <c r="C1633" s="113" t="s">
        <v>4897</v>
      </c>
      <c r="D1633" s="393" t="s">
        <v>111</v>
      </c>
      <c r="E1633" s="394" t="s">
        <v>429</v>
      </c>
      <c r="G1633" s="405" t="s">
        <v>430</v>
      </c>
      <c r="H1633" s="74">
        <v>3356</v>
      </c>
      <c r="I1633" s="50" t="s">
        <v>1</v>
      </c>
      <c r="J1633" s="339" t="s">
        <v>4898</v>
      </c>
      <c r="K1633" s="51">
        <v>41452</v>
      </c>
      <c r="L1633" s="173">
        <v>41443</v>
      </c>
      <c r="M1633" s="50">
        <f>K1633-L1633</f>
        <v>9</v>
      </c>
      <c r="N1633" s="50" t="s">
        <v>2</v>
      </c>
      <c r="O1633" s="74">
        <f t="shared" ref="O1633:O1640" si="81">1/2</f>
        <v>0.5</v>
      </c>
      <c r="P1633" s="50">
        <v>3.58</v>
      </c>
      <c r="Q1633" s="74">
        <v>5.43</v>
      </c>
      <c r="R1633" s="50">
        <v>35.299999999999997</v>
      </c>
      <c r="S1633" s="74">
        <v>8</v>
      </c>
      <c r="T1633" s="50">
        <v>0.16</v>
      </c>
      <c r="U1633" s="74">
        <v>1.36</v>
      </c>
      <c r="V1633" s="50">
        <v>0.36</v>
      </c>
      <c r="W1633" s="74">
        <v>7.3999999999999996E-2</v>
      </c>
      <c r="X1633" s="50">
        <v>1.6E-2</v>
      </c>
      <c r="Y1633" s="74">
        <f>0.002/2</f>
        <v>1E-3</v>
      </c>
    </row>
    <row r="1634" spans="1:40" ht="15" customHeight="1">
      <c r="A1634" s="41" t="s">
        <v>183</v>
      </c>
      <c r="B1634" s="402" t="s">
        <v>4899</v>
      </c>
      <c r="C1634" s="113" t="s">
        <v>4900</v>
      </c>
      <c r="D1634" s="393" t="s">
        <v>111</v>
      </c>
      <c r="E1634" s="394" t="s">
        <v>112</v>
      </c>
      <c r="G1634" s="405" t="s">
        <v>113</v>
      </c>
      <c r="H1634" s="74">
        <v>3679</v>
      </c>
      <c r="I1634" s="50" t="s">
        <v>1</v>
      </c>
      <c r="J1634" s="339" t="s">
        <v>1943</v>
      </c>
      <c r="K1634" s="51">
        <v>41464</v>
      </c>
      <c r="L1634" s="173">
        <v>41456</v>
      </c>
      <c r="M1634" s="50">
        <f>K1634-L1634</f>
        <v>8</v>
      </c>
      <c r="N1634" s="50" t="s">
        <v>2</v>
      </c>
      <c r="O1634" s="74">
        <f t="shared" si="81"/>
        <v>0.5</v>
      </c>
      <c r="P1634" s="50">
        <v>8.6999999999999993</v>
      </c>
      <c r="Q1634" s="74">
        <v>4.1500000000000004</v>
      </c>
      <c r="R1634" s="50">
        <v>22.2</v>
      </c>
      <c r="S1634" s="74">
        <v>5</v>
      </c>
      <c r="T1634" s="50">
        <v>7.0000000000000007E-2</v>
      </c>
      <c r="U1634" s="74">
        <v>1.02</v>
      </c>
      <c r="V1634" s="50">
        <v>0.85</v>
      </c>
      <c r="W1634" s="74">
        <v>0.01</v>
      </c>
      <c r="X1634" s="50">
        <v>0.06</v>
      </c>
      <c r="Y1634" s="74">
        <v>5.0000000000000001E-3</v>
      </c>
      <c r="AE1634" s="50">
        <v>120</v>
      </c>
    </row>
    <row r="1635" spans="1:40" ht="15" customHeight="1">
      <c r="A1635" s="41" t="s">
        <v>183</v>
      </c>
      <c r="B1635" s="402" t="s">
        <v>4899</v>
      </c>
      <c r="C1635" s="113" t="s">
        <v>4900</v>
      </c>
      <c r="D1635" s="393" t="s">
        <v>111</v>
      </c>
      <c r="E1635" s="394" t="s">
        <v>112</v>
      </c>
      <c r="G1635" s="405" t="s">
        <v>113</v>
      </c>
      <c r="H1635" s="74">
        <v>3679</v>
      </c>
      <c r="I1635" s="50" t="s">
        <v>1</v>
      </c>
      <c r="J1635" s="339" t="s">
        <v>425</v>
      </c>
      <c r="K1635" s="51">
        <v>41464</v>
      </c>
      <c r="L1635" s="173">
        <v>41456</v>
      </c>
      <c r="M1635" s="50">
        <f>K1635-L1635</f>
        <v>8</v>
      </c>
      <c r="N1635" s="50" t="s">
        <v>2</v>
      </c>
      <c r="O1635" s="74">
        <f t="shared" si="81"/>
        <v>0.5</v>
      </c>
      <c r="P1635" s="50">
        <v>8.6999999999999993</v>
      </c>
      <c r="Q1635" s="74">
        <v>3.85</v>
      </c>
      <c r="R1635" s="50">
        <v>3.7</v>
      </c>
      <c r="S1635" s="74">
        <f>1/2</f>
        <v>0.5</v>
      </c>
      <c r="T1635" s="50">
        <f>0.05/2</f>
        <v>2.5000000000000001E-2</v>
      </c>
      <c r="U1635" s="74">
        <v>0.62</v>
      </c>
      <c r="V1635" s="50">
        <v>0.3</v>
      </c>
      <c r="W1635" s="74">
        <v>7.0000000000000001E-3</v>
      </c>
      <c r="X1635" s="50">
        <v>2.5999999999999999E-2</v>
      </c>
      <c r="Y1635" s="74">
        <v>3.0000000000000001E-3</v>
      </c>
      <c r="AE1635" s="50">
        <v>16</v>
      </c>
    </row>
    <row r="1636" spans="1:40" ht="15" customHeight="1">
      <c r="A1636" s="41" t="s">
        <v>183</v>
      </c>
      <c r="B1636" s="402" t="s">
        <v>4899</v>
      </c>
      <c r="C1636" s="113" t="s">
        <v>4900</v>
      </c>
      <c r="D1636" s="393" t="s">
        <v>111</v>
      </c>
      <c r="E1636" s="394" t="s">
        <v>112</v>
      </c>
      <c r="G1636" s="405" t="s">
        <v>113</v>
      </c>
      <c r="H1636" s="74">
        <v>3679</v>
      </c>
      <c r="I1636" s="50" t="s">
        <v>1</v>
      </c>
      <c r="J1636" s="339" t="s">
        <v>1341</v>
      </c>
      <c r="K1636" s="51">
        <v>41464</v>
      </c>
      <c r="L1636" s="173">
        <v>41456</v>
      </c>
      <c r="M1636" s="50">
        <f>K1636-L1636</f>
        <v>8</v>
      </c>
      <c r="N1636" s="50" t="s">
        <v>2</v>
      </c>
      <c r="O1636" s="74">
        <f t="shared" si="81"/>
        <v>0.5</v>
      </c>
      <c r="P1636" s="50">
        <v>8.6999999999999993</v>
      </c>
      <c r="Q1636" s="74">
        <v>3.78</v>
      </c>
      <c r="R1636" s="50">
        <v>44.4</v>
      </c>
      <c r="S1636" s="74">
        <v>11</v>
      </c>
      <c r="T1636" s="50">
        <f>0.05/2</f>
        <v>2.5000000000000001E-2</v>
      </c>
      <c r="U1636" s="74">
        <v>1.28</v>
      </c>
      <c r="V1636" s="50">
        <v>1.17</v>
      </c>
      <c r="W1636" s="74">
        <v>0.04</v>
      </c>
      <c r="X1636" s="50">
        <v>0.14499999999999999</v>
      </c>
      <c r="Y1636" s="74">
        <v>7.0000000000000001E-3</v>
      </c>
      <c r="AE1636" s="50">
        <v>120</v>
      </c>
    </row>
    <row r="1637" spans="1:40" ht="15" customHeight="1">
      <c r="A1637" s="41" t="s">
        <v>183</v>
      </c>
      <c r="B1637" s="402" t="s">
        <v>2189</v>
      </c>
      <c r="C1637" s="113" t="s">
        <v>2189</v>
      </c>
      <c r="D1637" s="393" t="s">
        <v>89</v>
      </c>
      <c r="E1637" s="394" t="s">
        <v>535</v>
      </c>
      <c r="G1637" s="405" t="s">
        <v>2190</v>
      </c>
      <c r="H1637" s="74">
        <v>3629</v>
      </c>
      <c r="J1637" s="339" t="s">
        <v>74</v>
      </c>
      <c r="K1637" s="51">
        <v>41352</v>
      </c>
      <c r="L1637" s="173"/>
      <c r="N1637" s="50" t="s">
        <v>2</v>
      </c>
      <c r="O1637" s="74">
        <f t="shared" si="81"/>
        <v>0.5</v>
      </c>
      <c r="Q1637" s="74">
        <v>7</v>
      </c>
      <c r="R1637" s="50">
        <v>50.5</v>
      </c>
      <c r="S1637" s="74">
        <v>5.2</v>
      </c>
      <c r="T1637" s="50">
        <v>0.02</v>
      </c>
      <c r="U1637" s="74">
        <v>0.92</v>
      </c>
      <c r="V1637" s="50">
        <v>0.5</v>
      </c>
      <c r="W1637" s="74">
        <v>0.09</v>
      </c>
      <c r="X1637" s="50">
        <v>0.01</v>
      </c>
      <c r="Y1637" s="74">
        <f>0.001/2</f>
        <v>5.0000000000000001E-4</v>
      </c>
      <c r="Z1637" s="271">
        <v>1</v>
      </c>
      <c r="AA1637" s="271">
        <v>1</v>
      </c>
      <c r="AB1637" s="114">
        <v>30</v>
      </c>
      <c r="AC1637" s="50">
        <v>798</v>
      </c>
      <c r="AD1637" s="271">
        <v>1</v>
      </c>
    </row>
    <row r="1638" spans="1:40" ht="15" customHeight="1">
      <c r="A1638" s="41" t="s">
        <v>183</v>
      </c>
      <c r="B1638" s="402" t="s">
        <v>2189</v>
      </c>
      <c r="C1638" s="113" t="s">
        <v>2189</v>
      </c>
      <c r="D1638" s="393" t="s">
        <v>89</v>
      </c>
      <c r="E1638" s="394" t="s">
        <v>535</v>
      </c>
      <c r="G1638" s="405" t="s">
        <v>2190</v>
      </c>
      <c r="H1638" s="74">
        <v>3629</v>
      </c>
      <c r="J1638" s="339" t="s">
        <v>75</v>
      </c>
      <c r="K1638" s="51">
        <v>41352</v>
      </c>
      <c r="L1638" s="173"/>
      <c r="N1638" s="50" t="s">
        <v>2</v>
      </c>
      <c r="O1638" s="74">
        <f t="shared" si="81"/>
        <v>0.5</v>
      </c>
      <c r="Q1638" s="74">
        <v>6.9</v>
      </c>
      <c r="R1638" s="50">
        <v>45.5</v>
      </c>
      <c r="S1638" s="74">
        <v>4.5999999999999996</v>
      </c>
      <c r="T1638" s="50">
        <f>0.01/2</f>
        <v>5.0000000000000001E-3</v>
      </c>
      <c r="U1638" s="74">
        <v>0.56999999999999995</v>
      </c>
      <c r="V1638" s="50">
        <v>0.51</v>
      </c>
      <c r="W1638" s="74">
        <v>7.0000000000000007E-2</v>
      </c>
      <c r="X1638" s="50">
        <v>0.02</v>
      </c>
      <c r="Y1638" s="74">
        <f>0.001/2</f>
        <v>5.0000000000000001E-4</v>
      </c>
      <c r="Z1638" s="271">
        <v>1</v>
      </c>
      <c r="AA1638" s="271">
        <v>1</v>
      </c>
      <c r="AB1638" s="114">
        <v>24</v>
      </c>
      <c r="AC1638" s="50">
        <v>882</v>
      </c>
      <c r="AD1638" s="271">
        <v>1</v>
      </c>
    </row>
    <row r="1639" spans="1:40" ht="15" customHeight="1">
      <c r="A1639" s="41" t="s">
        <v>183</v>
      </c>
      <c r="B1639" s="402" t="s">
        <v>2189</v>
      </c>
      <c r="C1639" s="113" t="s">
        <v>2189</v>
      </c>
      <c r="D1639" s="393" t="s">
        <v>89</v>
      </c>
      <c r="E1639" s="394" t="s">
        <v>535</v>
      </c>
      <c r="G1639" s="405" t="s">
        <v>2190</v>
      </c>
      <c r="H1639" s="74">
        <v>3629</v>
      </c>
      <c r="J1639" s="339" t="s">
        <v>3810</v>
      </c>
      <c r="K1639" s="51">
        <v>41352</v>
      </c>
      <c r="L1639" s="173"/>
      <c r="N1639" s="50" t="s">
        <v>2</v>
      </c>
      <c r="O1639" s="74">
        <f t="shared" si="81"/>
        <v>0.5</v>
      </c>
      <c r="Q1639" s="74">
        <v>6.9</v>
      </c>
      <c r="R1639" s="50">
        <v>42.5</v>
      </c>
      <c r="S1639" s="74">
        <v>3.3</v>
      </c>
      <c r="T1639" s="50">
        <f>0.01/2</f>
        <v>5.0000000000000001E-3</v>
      </c>
      <c r="U1639" s="74">
        <v>0.53</v>
      </c>
      <c r="V1639" s="50">
        <v>0.5</v>
      </c>
      <c r="W1639" s="74">
        <v>7.0000000000000007E-2</v>
      </c>
      <c r="X1639" s="50">
        <v>0.01</v>
      </c>
      <c r="Y1639" s="74">
        <f>0.001/2</f>
        <v>5.0000000000000001E-4</v>
      </c>
      <c r="Z1639" s="271">
        <v>1</v>
      </c>
      <c r="AA1639" s="271">
        <v>1</v>
      </c>
      <c r="AB1639" s="114">
        <v>18</v>
      </c>
      <c r="AC1639" s="50">
        <v>817</v>
      </c>
      <c r="AD1639" s="271">
        <v>1</v>
      </c>
    </row>
    <row r="1640" spans="1:40" ht="15" customHeight="1">
      <c r="A1640" s="41" t="s">
        <v>183</v>
      </c>
      <c r="B1640" s="402" t="s">
        <v>2189</v>
      </c>
      <c r="C1640" s="113" t="s">
        <v>2189</v>
      </c>
      <c r="D1640" s="393" t="s">
        <v>89</v>
      </c>
      <c r="E1640" s="394" t="s">
        <v>535</v>
      </c>
      <c r="G1640" s="405" t="s">
        <v>2190</v>
      </c>
      <c r="H1640" s="74">
        <v>3629</v>
      </c>
      <c r="J1640" s="339" t="s">
        <v>135</v>
      </c>
      <c r="K1640" s="51">
        <v>41352</v>
      </c>
      <c r="L1640" s="173"/>
      <c r="N1640" s="50" t="s">
        <v>2</v>
      </c>
      <c r="O1640" s="74">
        <f t="shared" si="81"/>
        <v>0.5</v>
      </c>
      <c r="Q1640" s="74">
        <v>6.9</v>
      </c>
      <c r="R1640" s="50">
        <v>40.5</v>
      </c>
      <c r="S1640" s="74">
        <v>4</v>
      </c>
      <c r="T1640" s="50">
        <f>0.01/2</f>
        <v>5.0000000000000001E-3</v>
      </c>
      <c r="U1640" s="74">
        <v>0.8</v>
      </c>
      <c r="V1640" s="50">
        <v>0.51</v>
      </c>
      <c r="W1640" s="74">
        <v>0.19</v>
      </c>
      <c r="X1640" s="50">
        <v>0.02</v>
      </c>
      <c r="Y1640" s="74">
        <f>0.001/2</f>
        <v>5.0000000000000001E-4</v>
      </c>
      <c r="Z1640" s="271">
        <v>1</v>
      </c>
      <c r="AA1640" s="271">
        <v>1</v>
      </c>
      <c r="AB1640" s="114">
        <v>14</v>
      </c>
      <c r="AC1640" s="50">
        <v>789</v>
      </c>
      <c r="AD1640" s="271">
        <v>1</v>
      </c>
    </row>
    <row r="1641" spans="1:40" ht="15" customHeight="1">
      <c r="A1641" s="41" t="s">
        <v>183</v>
      </c>
      <c r="B1641" s="402" t="s">
        <v>4901</v>
      </c>
      <c r="C1641" s="113" t="s">
        <v>4902</v>
      </c>
      <c r="D1641" s="393" t="s">
        <v>372</v>
      </c>
      <c r="E1641" s="394" t="s">
        <v>235</v>
      </c>
      <c r="G1641" s="405" t="s">
        <v>3605</v>
      </c>
      <c r="H1641" s="74">
        <v>3471</v>
      </c>
      <c r="J1641" s="339" t="s">
        <v>81</v>
      </c>
      <c r="K1641" s="51">
        <v>41428</v>
      </c>
      <c r="L1641" s="173">
        <v>41419</v>
      </c>
      <c r="M1641" s="50">
        <f>K1641-L1641</f>
        <v>9</v>
      </c>
      <c r="N1641" s="50" t="s">
        <v>2</v>
      </c>
      <c r="O1641" s="74">
        <f>2/2</f>
        <v>1</v>
      </c>
      <c r="P1641" s="50">
        <v>6.3</v>
      </c>
      <c r="Q1641" s="74">
        <v>6.8</v>
      </c>
      <c r="R1641" s="50">
        <f>10/2</f>
        <v>5</v>
      </c>
      <c r="S1641" s="74">
        <v>35</v>
      </c>
      <c r="T1641" s="50">
        <v>0.08</v>
      </c>
      <c r="U1641" s="74">
        <v>0.39</v>
      </c>
      <c r="V1641" s="50">
        <v>0.1</v>
      </c>
      <c r="W1641" s="74">
        <v>1.4999999999999999E-2</v>
      </c>
      <c r="X1641" s="50">
        <f>0.003/2</f>
        <v>1.5E-3</v>
      </c>
      <c r="Y1641" s="74">
        <f>0.003/2</f>
        <v>1.5E-3</v>
      </c>
      <c r="AN1641" s="114">
        <v>1.0900000000000001</v>
      </c>
    </row>
    <row r="1642" spans="1:40" ht="15" customHeight="1">
      <c r="A1642" s="41" t="s">
        <v>183</v>
      </c>
      <c r="B1642" s="402" t="s">
        <v>4903</v>
      </c>
      <c r="C1642" s="113" t="s">
        <v>4903</v>
      </c>
      <c r="D1642" s="393" t="s">
        <v>910</v>
      </c>
      <c r="E1642" s="394" t="s">
        <v>4904</v>
      </c>
      <c r="G1642" s="415" t="s">
        <v>4254</v>
      </c>
      <c r="H1642" s="338" t="s">
        <v>4919</v>
      </c>
      <c r="I1642" s="50" t="s">
        <v>2</v>
      </c>
      <c r="J1642" s="339" t="s">
        <v>4905</v>
      </c>
      <c r="K1642" s="51">
        <v>41376</v>
      </c>
      <c r="L1642" s="173">
        <v>41374</v>
      </c>
      <c r="M1642" s="50">
        <f>K1642-L1642</f>
        <v>2</v>
      </c>
      <c r="N1642" s="50" t="s">
        <v>2</v>
      </c>
      <c r="O1642" s="74">
        <f>5/2</f>
        <v>2.5</v>
      </c>
      <c r="P1642" s="50">
        <v>4.46</v>
      </c>
      <c r="Q1642" s="74">
        <v>4.07</v>
      </c>
      <c r="R1642" s="50">
        <v>26</v>
      </c>
      <c r="S1642" s="74">
        <v>28</v>
      </c>
      <c r="T1642" s="50">
        <f>0.1/2</f>
        <v>0.05</v>
      </c>
      <c r="U1642" s="74">
        <v>1.57</v>
      </c>
      <c r="V1642" s="50">
        <v>0.17599999999999999</v>
      </c>
      <c r="W1642" s="74">
        <v>2.9000000000000001E-2</v>
      </c>
      <c r="X1642" s="50">
        <v>0.04</v>
      </c>
      <c r="Y1642" s="74">
        <v>3.5999999999999999E-3</v>
      </c>
    </row>
    <row r="1643" spans="1:40" ht="15" customHeight="1">
      <c r="A1643" s="41" t="s">
        <v>183</v>
      </c>
      <c r="B1643" s="402" t="s">
        <v>4903</v>
      </c>
      <c r="C1643" s="113" t="s">
        <v>4903</v>
      </c>
      <c r="D1643" s="393" t="s">
        <v>910</v>
      </c>
      <c r="E1643" s="394" t="s">
        <v>4904</v>
      </c>
      <c r="G1643" s="415" t="s">
        <v>4254</v>
      </c>
      <c r="H1643" s="338" t="s">
        <v>4919</v>
      </c>
      <c r="I1643" s="50" t="s">
        <v>2</v>
      </c>
      <c r="J1643" s="339" t="s">
        <v>4906</v>
      </c>
      <c r="K1643" s="51">
        <v>41376</v>
      </c>
      <c r="L1643" s="173">
        <v>41374</v>
      </c>
      <c r="M1643" s="50">
        <f>K1643-L1643</f>
        <v>2</v>
      </c>
      <c r="N1643" s="50" t="s">
        <v>2</v>
      </c>
      <c r="O1643" s="74">
        <f>5/2</f>
        <v>2.5</v>
      </c>
      <c r="P1643" s="50">
        <v>4.46</v>
      </c>
      <c r="Q1643" s="74">
        <v>6.47</v>
      </c>
      <c r="R1643" s="50">
        <f>10/2</f>
        <v>5</v>
      </c>
      <c r="S1643" s="74">
        <v>7</v>
      </c>
      <c r="T1643" s="50">
        <f>0.1/2</f>
        <v>0.05</v>
      </c>
      <c r="U1643" s="74">
        <v>1.06</v>
      </c>
      <c r="V1643" s="50">
        <v>0.378</v>
      </c>
      <c r="W1643" s="74">
        <f>0.01/2</f>
        <v>5.0000000000000001E-3</v>
      </c>
      <c r="X1643" s="50">
        <f>0.025/2</f>
        <v>1.2500000000000001E-2</v>
      </c>
      <c r="Y1643" s="74">
        <f>0.0025/2</f>
        <v>1.25E-3</v>
      </c>
    </row>
    <row r="1644" spans="1:40" ht="15" customHeight="1">
      <c r="A1644" s="41" t="s">
        <v>183</v>
      </c>
      <c r="B1644" s="402" t="s">
        <v>4903</v>
      </c>
      <c r="C1644" s="113" t="s">
        <v>4903</v>
      </c>
      <c r="D1644" s="393" t="s">
        <v>910</v>
      </c>
      <c r="E1644" s="394" t="s">
        <v>4904</v>
      </c>
      <c r="G1644" s="415" t="s">
        <v>4254</v>
      </c>
      <c r="H1644" s="338" t="s">
        <v>4919</v>
      </c>
      <c r="I1644" s="50" t="s">
        <v>2</v>
      </c>
      <c r="J1644" s="339" t="s">
        <v>4907</v>
      </c>
      <c r="K1644" s="51">
        <v>41376</v>
      </c>
      <c r="L1644" s="173">
        <v>41374</v>
      </c>
      <c r="M1644" s="50">
        <f>K1644-L1644</f>
        <v>2</v>
      </c>
      <c r="N1644" s="50" t="s">
        <v>2</v>
      </c>
      <c r="O1644" s="74">
        <f>5/2</f>
        <v>2.5</v>
      </c>
      <c r="P1644" s="50">
        <v>4.46</v>
      </c>
      <c r="Q1644" s="74">
        <v>6.15</v>
      </c>
      <c r="R1644" s="50">
        <v>12</v>
      </c>
      <c r="S1644" s="74">
        <v>6</v>
      </c>
      <c r="T1644" s="50">
        <f>0.1/2</f>
        <v>0.05</v>
      </c>
      <c r="U1644" s="74">
        <v>1.1499999999999999</v>
      </c>
      <c r="V1644" s="50">
        <v>0.54</v>
      </c>
      <c r="W1644" s="74">
        <f>0.01/2</f>
        <v>5.0000000000000001E-3</v>
      </c>
      <c r="X1644" s="50">
        <v>0.108</v>
      </c>
      <c r="Y1644" s="74">
        <v>4.5999999999999999E-3</v>
      </c>
    </row>
    <row r="1645" spans="1:40" ht="15" customHeight="1">
      <c r="A1645" s="41" t="s">
        <v>183</v>
      </c>
      <c r="B1645" s="402" t="s">
        <v>4903</v>
      </c>
      <c r="C1645" s="113" t="s">
        <v>4903</v>
      </c>
      <c r="D1645" s="393" t="s">
        <v>910</v>
      </c>
      <c r="E1645" s="394" t="s">
        <v>4904</v>
      </c>
      <c r="G1645" s="415" t="s">
        <v>4254</v>
      </c>
      <c r="H1645" s="338" t="s">
        <v>4919</v>
      </c>
      <c r="I1645" s="50" t="s">
        <v>2</v>
      </c>
      <c r="J1645" s="339" t="s">
        <v>4908</v>
      </c>
      <c r="K1645" s="51">
        <v>41376</v>
      </c>
      <c r="L1645" s="173">
        <v>41374</v>
      </c>
      <c r="M1645" s="50">
        <f>K1645-L1645</f>
        <v>2</v>
      </c>
      <c r="N1645" s="50" t="s">
        <v>2</v>
      </c>
      <c r="O1645" s="74">
        <f>5/2</f>
        <v>2.5</v>
      </c>
      <c r="P1645" s="50">
        <v>4.46</v>
      </c>
      <c r="Q1645" s="74">
        <v>6.07</v>
      </c>
      <c r="R1645" s="50">
        <v>11</v>
      </c>
      <c r="S1645" s="74">
        <v>669</v>
      </c>
      <c r="T1645" s="50">
        <f>0.1/2</f>
        <v>0.05</v>
      </c>
      <c r="U1645" s="74">
        <v>1.35</v>
      </c>
      <c r="V1645" s="50">
        <v>0.21199999999999999</v>
      </c>
      <c r="W1645" s="74">
        <v>2.1000000000000001E-2</v>
      </c>
      <c r="X1645" s="50">
        <v>4.8000000000000001E-2</v>
      </c>
      <c r="Y1645" s="74">
        <v>2.8999999999999998E-3</v>
      </c>
    </row>
    <row r="1646" spans="1:40" ht="15" customHeight="1">
      <c r="A1646" s="41" t="s">
        <v>183</v>
      </c>
      <c r="B1646" s="402" t="s">
        <v>4909</v>
      </c>
      <c r="C1646" s="113" t="s">
        <v>4909</v>
      </c>
      <c r="D1646" s="393" t="s">
        <v>205</v>
      </c>
      <c r="E1646" s="394" t="s">
        <v>4910</v>
      </c>
      <c r="F1646" s="402" t="s">
        <v>4911</v>
      </c>
      <c r="G1646" s="405" t="s">
        <v>4912</v>
      </c>
      <c r="H1646" s="74">
        <v>3585</v>
      </c>
      <c r="I1646" s="50" t="s">
        <v>1</v>
      </c>
      <c r="J1646" s="339" t="s">
        <v>2246</v>
      </c>
      <c r="K1646" s="51">
        <v>41170</v>
      </c>
      <c r="L1646" s="173">
        <v>41525</v>
      </c>
      <c r="N1646" s="50" t="s">
        <v>2</v>
      </c>
      <c r="O1646" s="74">
        <f>1.4/2</f>
        <v>0.7</v>
      </c>
      <c r="P1646" s="50">
        <v>6.8</v>
      </c>
      <c r="Q1646" s="74">
        <v>6.72</v>
      </c>
      <c r="R1646" s="50">
        <v>85</v>
      </c>
      <c r="S1646" s="74">
        <v>36</v>
      </c>
      <c r="T1646" s="50">
        <v>0.11</v>
      </c>
      <c r="U1646" s="74">
        <v>1.49</v>
      </c>
      <c r="V1646" s="50">
        <v>0.21</v>
      </c>
      <c r="W1646" s="74">
        <v>0.03</v>
      </c>
      <c r="X1646" s="50">
        <v>0.25</v>
      </c>
      <c r="Y1646" s="74">
        <v>5.0000000000000001E-3</v>
      </c>
      <c r="Z1646" s="271">
        <v>1</v>
      </c>
      <c r="AA1646" s="271">
        <v>1</v>
      </c>
      <c r="AB1646" s="114">
        <v>22</v>
      </c>
      <c r="AC1646" s="50">
        <v>81</v>
      </c>
      <c r="AD1646" s="271">
        <v>0.95</v>
      </c>
    </row>
    <row r="1647" spans="1:40" ht="15" customHeight="1">
      <c r="A1647" s="41" t="s">
        <v>183</v>
      </c>
      <c r="B1647" s="402" t="s">
        <v>4909</v>
      </c>
      <c r="C1647" s="113" t="s">
        <v>4909</v>
      </c>
      <c r="D1647" s="393" t="s">
        <v>205</v>
      </c>
      <c r="E1647" s="394" t="s">
        <v>4910</v>
      </c>
      <c r="F1647" s="402" t="s">
        <v>4913</v>
      </c>
      <c r="G1647" s="405" t="s">
        <v>4912</v>
      </c>
      <c r="H1647" s="74">
        <v>3586</v>
      </c>
      <c r="I1647" s="50" t="s">
        <v>1</v>
      </c>
      <c r="J1647" s="339" t="s">
        <v>4914</v>
      </c>
      <c r="K1647" s="51">
        <v>41170</v>
      </c>
      <c r="L1647" s="173">
        <v>41525</v>
      </c>
      <c r="N1647" s="50" t="s">
        <v>2</v>
      </c>
      <c r="O1647" s="74">
        <v>2.2999999999999998</v>
      </c>
      <c r="P1647" s="50">
        <v>6.8</v>
      </c>
      <c r="Q1647" s="74">
        <v>6.63</v>
      </c>
      <c r="R1647" s="50">
        <v>160</v>
      </c>
      <c r="S1647" s="74">
        <v>56</v>
      </c>
      <c r="T1647" s="50">
        <v>0.47</v>
      </c>
      <c r="U1647" s="74">
        <v>2.74</v>
      </c>
      <c r="V1647" s="50">
        <v>0.59</v>
      </c>
      <c r="W1647" s="74">
        <v>0.125</v>
      </c>
      <c r="X1647" s="50">
        <v>0.57599999999999996</v>
      </c>
      <c r="Y1647" s="74">
        <v>1.4E-2</v>
      </c>
      <c r="Z1647" s="271">
        <v>1</v>
      </c>
      <c r="AA1647" s="271">
        <v>0.85199999999999998</v>
      </c>
      <c r="AB1647" s="114">
        <v>8</v>
      </c>
      <c r="AC1647" s="50">
        <v>99</v>
      </c>
      <c r="AD1647" s="271">
        <v>0.35</v>
      </c>
    </row>
    <row r="1648" spans="1:40" ht="15" customHeight="1">
      <c r="A1648" s="41" t="s">
        <v>183</v>
      </c>
      <c r="B1648" s="402" t="s">
        <v>4915</v>
      </c>
      <c r="C1648" s="113" t="s">
        <v>4915</v>
      </c>
      <c r="D1648" s="393" t="s">
        <v>41</v>
      </c>
      <c r="E1648" s="394" t="s">
        <v>221</v>
      </c>
      <c r="G1648" s="405" t="s">
        <v>222</v>
      </c>
      <c r="H1648" s="336">
        <v>37213728</v>
      </c>
      <c r="I1648" s="50" t="s">
        <v>1</v>
      </c>
      <c r="J1648" s="393" t="s">
        <v>224</v>
      </c>
      <c r="K1648" s="51">
        <v>41402</v>
      </c>
      <c r="L1648" s="173">
        <v>41384</v>
      </c>
      <c r="M1648" s="50">
        <f>K1648-L1648</f>
        <v>18</v>
      </c>
      <c r="N1648" s="50" t="s">
        <v>2</v>
      </c>
      <c r="O1648" s="74">
        <f>1.4/2</f>
        <v>0.7</v>
      </c>
      <c r="P1648" s="50">
        <v>6.68</v>
      </c>
      <c r="Q1648" s="74">
        <v>6.39</v>
      </c>
      <c r="R1648" s="50">
        <v>27</v>
      </c>
      <c r="S1648" s="74">
        <v>16</v>
      </c>
      <c r="T1648" s="50">
        <v>0.16</v>
      </c>
      <c r="U1648" s="74">
        <v>1.1100000000000001</v>
      </c>
      <c r="V1648" s="50">
        <v>0.06</v>
      </c>
      <c r="W1648" s="74">
        <v>1.9E-2</v>
      </c>
      <c r="X1648" s="50">
        <v>4.2999999999999997E-2</v>
      </c>
      <c r="Y1648" s="74">
        <v>7.0000000000000001E-3</v>
      </c>
    </row>
    <row r="1649" spans="1:30" ht="15" customHeight="1">
      <c r="A1649" s="41" t="s">
        <v>183</v>
      </c>
      <c r="B1649" s="402" t="s">
        <v>4915</v>
      </c>
      <c r="C1649" s="113" t="s">
        <v>4915</v>
      </c>
      <c r="D1649" s="393" t="s">
        <v>41</v>
      </c>
      <c r="E1649" s="394" t="s">
        <v>221</v>
      </c>
      <c r="G1649" s="405" t="s">
        <v>222</v>
      </c>
      <c r="H1649" s="336">
        <v>37213729</v>
      </c>
      <c r="I1649" s="50" t="s">
        <v>1</v>
      </c>
      <c r="J1649" s="393" t="s">
        <v>225</v>
      </c>
      <c r="K1649" s="51">
        <v>41402</v>
      </c>
      <c r="L1649" s="173">
        <v>41384</v>
      </c>
      <c r="M1649" s="50">
        <f>K1649-L1649</f>
        <v>18</v>
      </c>
      <c r="N1649" s="50" t="s">
        <v>2</v>
      </c>
      <c r="O1649" s="74">
        <f>1.4/2</f>
        <v>0.7</v>
      </c>
      <c r="P1649" s="50">
        <v>6.68</v>
      </c>
      <c r="Q1649" s="74">
        <v>6.83</v>
      </c>
      <c r="R1649" s="50">
        <v>99</v>
      </c>
      <c r="S1649" s="74">
        <v>19</v>
      </c>
      <c r="T1649" s="50">
        <v>0.17</v>
      </c>
      <c r="U1649" s="74">
        <v>1.23</v>
      </c>
      <c r="V1649" s="50">
        <v>0.17</v>
      </c>
      <c r="W1649" s="74">
        <v>8.0000000000000002E-3</v>
      </c>
      <c r="X1649" s="50">
        <v>0.112</v>
      </c>
      <c r="Y1649" s="74">
        <f>0.002/2</f>
        <v>1E-3</v>
      </c>
    </row>
    <row r="1650" spans="1:30" ht="15" customHeight="1">
      <c r="A1650" s="41" t="s">
        <v>183</v>
      </c>
      <c r="B1650" s="402" t="s">
        <v>4915</v>
      </c>
      <c r="C1650" s="113" t="s">
        <v>4915</v>
      </c>
      <c r="E1650" s="394" t="s">
        <v>221</v>
      </c>
      <c r="G1650" s="405" t="s">
        <v>222</v>
      </c>
      <c r="H1650" s="336">
        <v>37213730</v>
      </c>
      <c r="I1650" s="50" t="s">
        <v>1</v>
      </c>
      <c r="J1650" s="393" t="s">
        <v>226</v>
      </c>
      <c r="K1650" s="51">
        <v>41402</v>
      </c>
      <c r="L1650" s="173">
        <v>41384</v>
      </c>
      <c r="M1650" s="50">
        <f>K1650-L1650</f>
        <v>18</v>
      </c>
      <c r="N1650" s="50" t="s">
        <v>2</v>
      </c>
      <c r="O1650" s="74">
        <f>1.4/2</f>
        <v>0.7</v>
      </c>
      <c r="P1650" s="50">
        <v>6.68</v>
      </c>
      <c r="Q1650" s="74">
        <v>7.02</v>
      </c>
      <c r="R1650" s="50">
        <v>32</v>
      </c>
      <c r="S1650" s="74">
        <v>20</v>
      </c>
      <c r="T1650" s="50">
        <v>0.25</v>
      </c>
      <c r="U1650" s="74">
        <v>1.28</v>
      </c>
      <c r="V1650" s="50">
        <v>0.11</v>
      </c>
      <c r="W1650" s="74">
        <v>7.0000000000000001E-3</v>
      </c>
      <c r="X1650" s="50">
        <v>8.0000000000000002E-3</v>
      </c>
      <c r="Y1650" s="74">
        <v>7.0000000000000001E-3</v>
      </c>
    </row>
    <row r="1651" spans="1:30" ht="15" customHeight="1">
      <c r="A1651" s="41" t="s">
        <v>183</v>
      </c>
      <c r="B1651" s="386" t="s">
        <v>289</v>
      </c>
      <c r="C1651" s="149" t="s">
        <v>289</v>
      </c>
      <c r="D1651" s="392" t="s">
        <v>290</v>
      </c>
      <c r="E1651" s="258" t="s">
        <v>112</v>
      </c>
      <c r="F1651" s="386"/>
      <c r="G1651" s="389" t="s">
        <v>291</v>
      </c>
      <c r="H1651" s="55">
        <v>3356</v>
      </c>
      <c r="I1651" s="54" t="s">
        <v>2</v>
      </c>
      <c r="J1651" s="61" t="s">
        <v>292</v>
      </c>
      <c r="K1651" s="51">
        <v>41180</v>
      </c>
      <c r="L1651" s="173"/>
      <c r="N1651" s="50" t="s">
        <v>2</v>
      </c>
      <c r="O1651" s="74">
        <f>1.4/2</f>
        <v>0.7</v>
      </c>
      <c r="Q1651" s="74">
        <v>6.2</v>
      </c>
      <c r="R1651" s="50">
        <v>21</v>
      </c>
      <c r="S1651" s="74">
        <f>5/2</f>
        <v>2.5</v>
      </c>
      <c r="T1651" s="50">
        <v>1.4999999999999999E-2</v>
      </c>
      <c r="U1651" s="131">
        <f>1/2</f>
        <v>0.5</v>
      </c>
      <c r="V1651" s="50">
        <f>0.23/2</f>
        <v>0.115</v>
      </c>
      <c r="W1651" s="74">
        <f>0.005/2</f>
        <v>2.5000000000000001E-3</v>
      </c>
      <c r="X1651" s="50">
        <v>7.0999999999999994E-2</v>
      </c>
      <c r="Y1651" s="74">
        <v>0.14299999999999999</v>
      </c>
    </row>
    <row r="1652" spans="1:30" ht="15" customHeight="1">
      <c r="A1652" s="41" t="s">
        <v>183</v>
      </c>
      <c r="B1652" s="402" t="s">
        <v>2085</v>
      </c>
      <c r="C1652" s="113" t="s">
        <v>2086</v>
      </c>
      <c r="D1652" s="393" t="s">
        <v>290</v>
      </c>
      <c r="E1652" s="394" t="s">
        <v>2087</v>
      </c>
      <c r="G1652" s="405" t="s">
        <v>3596</v>
      </c>
      <c r="H1652" s="113">
        <v>5541</v>
      </c>
      <c r="I1652" s="49" t="s">
        <v>2</v>
      </c>
      <c r="J1652" s="48" t="s">
        <v>510</v>
      </c>
      <c r="K1652" s="51">
        <v>41170</v>
      </c>
      <c r="L1652" s="173">
        <v>41157</v>
      </c>
      <c r="M1652" s="50">
        <f>K1652-L1652</f>
        <v>13</v>
      </c>
      <c r="N1652" s="50" t="s">
        <v>2</v>
      </c>
      <c r="O1652" s="74">
        <v>2.2000000000000002</v>
      </c>
      <c r="P1652" s="50">
        <v>6</v>
      </c>
      <c r="Q1652" s="74">
        <v>6</v>
      </c>
      <c r="R1652" s="50">
        <v>93</v>
      </c>
      <c r="S1652" s="74">
        <v>14</v>
      </c>
      <c r="T1652" s="50">
        <v>0.71</v>
      </c>
      <c r="U1652" s="131">
        <v>3.04</v>
      </c>
      <c r="V1652" s="50">
        <v>1.36</v>
      </c>
      <c r="W1652" s="74">
        <v>2.7E-2</v>
      </c>
      <c r="X1652" s="50">
        <v>0.245</v>
      </c>
      <c r="Y1652" s="74">
        <v>4.0000000000000001E-3</v>
      </c>
      <c r="Z1652" s="271">
        <v>0.70699999999999996</v>
      </c>
      <c r="AA1652" s="271">
        <v>0.34899999999999998</v>
      </c>
      <c r="AB1652" s="114">
        <v>18</v>
      </c>
      <c r="AC1652" s="50">
        <v>144</v>
      </c>
      <c r="AD1652" s="271">
        <v>0</v>
      </c>
    </row>
    <row r="1653" spans="1:30" ht="15" customHeight="1">
      <c r="A1653" s="41" t="s">
        <v>183</v>
      </c>
      <c r="B1653" s="402" t="s">
        <v>2085</v>
      </c>
      <c r="C1653" s="113" t="s">
        <v>2086</v>
      </c>
      <c r="D1653" s="393" t="s">
        <v>290</v>
      </c>
      <c r="E1653" s="394" t="s">
        <v>2087</v>
      </c>
      <c r="G1653" s="405" t="s">
        <v>3596</v>
      </c>
      <c r="H1653" s="113">
        <v>5541</v>
      </c>
      <c r="I1653" s="49" t="s">
        <v>2</v>
      </c>
      <c r="J1653" s="48" t="s">
        <v>510</v>
      </c>
      <c r="K1653" s="51">
        <v>41345</v>
      </c>
      <c r="L1653" s="173">
        <v>41332</v>
      </c>
      <c r="M1653" s="50">
        <f>K1653-L1653</f>
        <v>13</v>
      </c>
      <c r="N1653" s="50" t="s">
        <v>2</v>
      </c>
      <c r="O1653" s="74">
        <f>1.4/2</f>
        <v>0.7</v>
      </c>
      <c r="P1653" s="50">
        <v>6</v>
      </c>
      <c r="Q1653" s="74">
        <v>6.5</v>
      </c>
      <c r="R1653" s="50">
        <v>45</v>
      </c>
      <c r="S1653" s="74">
        <v>18</v>
      </c>
      <c r="T1653" s="50">
        <v>0.09</v>
      </c>
      <c r="U1653" s="131">
        <v>1.88</v>
      </c>
      <c r="V1653" s="50">
        <v>0.56000000000000005</v>
      </c>
      <c r="W1653" s="74">
        <v>5.0000000000000001E-3</v>
      </c>
      <c r="X1653" s="50">
        <v>6.9000000000000006E-2</v>
      </c>
      <c r="Y1653" s="74">
        <v>2E-3</v>
      </c>
      <c r="Z1653" s="271">
        <v>1</v>
      </c>
      <c r="AA1653" s="271">
        <v>1</v>
      </c>
      <c r="AB1653" s="114">
        <v>156</v>
      </c>
      <c r="AC1653" s="50">
        <v>2262</v>
      </c>
      <c r="AD1653" s="271">
        <v>0.95</v>
      </c>
    </row>
    <row r="1654" spans="1:30" ht="15" customHeight="1">
      <c r="A1654" s="41" t="s">
        <v>183</v>
      </c>
      <c r="B1654" s="402" t="s">
        <v>2085</v>
      </c>
      <c r="C1654" s="113" t="s">
        <v>2086</v>
      </c>
      <c r="D1654" s="393" t="s">
        <v>290</v>
      </c>
      <c r="E1654" s="394" t="s">
        <v>2087</v>
      </c>
      <c r="G1654" s="405" t="s">
        <v>3596</v>
      </c>
      <c r="H1654" s="113">
        <v>5541</v>
      </c>
      <c r="I1654" s="49" t="s">
        <v>2</v>
      </c>
      <c r="J1654" s="48" t="s">
        <v>510</v>
      </c>
      <c r="K1654" s="51">
        <v>41456</v>
      </c>
      <c r="L1654" s="173">
        <v>41453</v>
      </c>
      <c r="M1654" s="50">
        <f>K1654-L1654</f>
        <v>3</v>
      </c>
      <c r="N1654" s="50" t="s">
        <v>2</v>
      </c>
      <c r="O1654" s="74">
        <f>1.4/2</f>
        <v>0.7</v>
      </c>
      <c r="P1654" s="50">
        <v>6</v>
      </c>
      <c r="Q1654" s="74">
        <v>6</v>
      </c>
      <c r="R1654" s="50">
        <v>308</v>
      </c>
      <c r="S1654" s="74">
        <f>5/2</f>
        <v>2.5</v>
      </c>
      <c r="T1654" s="50">
        <v>0.15</v>
      </c>
      <c r="U1654" s="131">
        <v>0.64</v>
      </c>
      <c r="V1654" s="50">
        <v>0.14000000000000001</v>
      </c>
      <c r="W1654" s="74">
        <f>0.005/2</f>
        <v>2.5000000000000001E-3</v>
      </c>
      <c r="X1654" s="50">
        <v>1.2999999999999999E-2</v>
      </c>
      <c r="Y1654" s="74">
        <f>0.002/2</f>
        <v>1E-3</v>
      </c>
    </row>
    <row r="1655" spans="1:30" ht="15" customHeight="1">
      <c r="A1655" s="41" t="s">
        <v>183</v>
      </c>
      <c r="B1655" s="402" t="s">
        <v>3053</v>
      </c>
      <c r="C1655" s="113" t="s">
        <v>3054</v>
      </c>
      <c r="D1655" s="393" t="s">
        <v>567</v>
      </c>
      <c r="E1655" s="394" t="s">
        <v>1538</v>
      </c>
      <c r="F1655" s="86"/>
      <c r="G1655" s="405" t="s">
        <v>2414</v>
      </c>
      <c r="H1655" s="74">
        <v>4952</v>
      </c>
      <c r="I1655" s="50" t="s">
        <v>2</v>
      </c>
      <c r="J1655" s="48" t="s">
        <v>1144</v>
      </c>
      <c r="K1655" s="51">
        <v>41417</v>
      </c>
      <c r="L1655" s="173"/>
      <c r="N1655" s="50" t="s">
        <v>2</v>
      </c>
      <c r="O1655" s="74">
        <f>5/2</f>
        <v>2.5</v>
      </c>
      <c r="P1655" s="50">
        <v>5.63</v>
      </c>
      <c r="Q1655" s="74">
        <v>7.06</v>
      </c>
      <c r="R1655" s="50">
        <v>110</v>
      </c>
      <c r="S1655" s="74">
        <v>32</v>
      </c>
      <c r="T1655" s="50">
        <v>0.13</v>
      </c>
      <c r="U1655" s="131">
        <v>1.8</v>
      </c>
      <c r="V1655" s="50">
        <v>0.7</v>
      </c>
      <c r="W1655" s="74">
        <f>0.04/2</f>
        <v>0.02</v>
      </c>
      <c r="X1655" s="50">
        <v>9.7000000000000003E-2</v>
      </c>
      <c r="Y1655" s="74">
        <f>0.013/2</f>
        <v>6.4999999999999997E-3</v>
      </c>
      <c r="Z1655" s="271">
        <v>0.77500000000000002</v>
      </c>
      <c r="AA1655" s="271">
        <v>0.46600000000000003</v>
      </c>
      <c r="AB1655" s="114">
        <v>840</v>
      </c>
      <c r="AC1655" s="50">
        <v>54100</v>
      </c>
      <c r="AD1655" s="271">
        <v>0</v>
      </c>
    </row>
    <row r="1656" spans="1:30" ht="15" customHeight="1">
      <c r="A1656" s="41" t="s">
        <v>183</v>
      </c>
      <c r="B1656" s="402" t="s">
        <v>3053</v>
      </c>
      <c r="C1656" s="113" t="s">
        <v>3054</v>
      </c>
      <c r="D1656" s="393" t="s">
        <v>567</v>
      </c>
      <c r="E1656" s="394" t="s">
        <v>1538</v>
      </c>
      <c r="F1656" s="86"/>
      <c r="G1656" s="405" t="s">
        <v>2414</v>
      </c>
      <c r="H1656" s="74">
        <v>4952</v>
      </c>
      <c r="I1656" s="50" t="s">
        <v>2</v>
      </c>
      <c r="J1656" s="48" t="s">
        <v>1716</v>
      </c>
      <c r="K1656" s="51">
        <v>41417</v>
      </c>
      <c r="L1656" s="173"/>
      <c r="N1656" s="50" t="s">
        <v>2</v>
      </c>
      <c r="O1656" s="74">
        <f>5/2</f>
        <v>2.5</v>
      </c>
      <c r="P1656" s="50">
        <v>5.63</v>
      </c>
      <c r="Q1656" s="74">
        <v>7.08</v>
      </c>
      <c r="R1656" s="50">
        <v>280</v>
      </c>
      <c r="S1656" s="74">
        <v>97</v>
      </c>
      <c r="T1656" s="50">
        <v>1.2</v>
      </c>
      <c r="U1656" s="131">
        <f>1/2</f>
        <v>0.5</v>
      </c>
      <c r="V1656" s="50">
        <f>0.1/2</f>
        <v>0.05</v>
      </c>
      <c r="W1656" s="74">
        <v>4.5999999999999999E-2</v>
      </c>
      <c r="X1656" s="50">
        <v>0.18</v>
      </c>
      <c r="Y1656" s="74">
        <v>2.8000000000000001E-2</v>
      </c>
      <c r="Z1656" s="271">
        <v>0.28699999999999998</v>
      </c>
      <c r="AA1656" s="271">
        <v>0.25</v>
      </c>
      <c r="AB1656" s="114">
        <v>3900</v>
      </c>
      <c r="AC1656" s="50">
        <v>12370</v>
      </c>
      <c r="AD1656" s="271">
        <v>0</v>
      </c>
    </row>
    <row r="1657" spans="1:30" ht="15" customHeight="1">
      <c r="A1657" s="41" t="s">
        <v>183</v>
      </c>
      <c r="B1657" s="402" t="s">
        <v>4566</v>
      </c>
      <c r="C1657" s="113" t="s">
        <v>3035</v>
      </c>
      <c r="D1657" s="393" t="s">
        <v>567</v>
      </c>
      <c r="E1657" s="394" t="s">
        <v>1714</v>
      </c>
      <c r="G1657" s="405" t="s">
        <v>3036</v>
      </c>
      <c r="H1657" s="74">
        <v>4493</v>
      </c>
      <c r="I1657" s="50" t="s">
        <v>2</v>
      </c>
      <c r="J1657" s="339" t="s">
        <v>1144</v>
      </c>
      <c r="K1657" s="51">
        <v>41499</v>
      </c>
      <c r="L1657" s="173"/>
      <c r="N1657" s="50" t="s">
        <v>2</v>
      </c>
      <c r="O1657" s="74">
        <f>5/2</f>
        <v>2.5</v>
      </c>
      <c r="P1657" s="50">
        <v>6</v>
      </c>
      <c r="Q1657" s="74">
        <v>7.18</v>
      </c>
      <c r="R1657" s="50">
        <v>44</v>
      </c>
      <c r="S1657" s="74">
        <v>38</v>
      </c>
      <c r="T1657" s="50">
        <v>0.18</v>
      </c>
      <c r="U1657" s="131">
        <v>1.1000000000000001</v>
      </c>
      <c r="V1657" s="50">
        <v>0.32</v>
      </c>
      <c r="W1657" s="74">
        <f>0.04/2</f>
        <v>0.02</v>
      </c>
      <c r="X1657" s="50">
        <v>3.9E-2</v>
      </c>
      <c r="Y1657" s="74">
        <v>1.7999999999999999E-2</v>
      </c>
    </row>
    <row r="1658" spans="1:30" ht="15" customHeight="1">
      <c r="A1658" s="41" t="s">
        <v>183</v>
      </c>
      <c r="B1658" s="402" t="s">
        <v>693</v>
      </c>
      <c r="C1658" s="113" t="s">
        <v>1894</v>
      </c>
      <c r="D1658" s="393" t="s">
        <v>262</v>
      </c>
      <c r="E1658" s="394" t="s">
        <v>694</v>
      </c>
      <c r="G1658" s="405" t="s">
        <v>695</v>
      </c>
      <c r="H1658" s="74">
        <v>3471</v>
      </c>
      <c r="I1658" s="50" t="s">
        <v>2</v>
      </c>
      <c r="J1658" s="339" t="s">
        <v>696</v>
      </c>
      <c r="K1658" s="51">
        <v>41402</v>
      </c>
      <c r="L1658" s="173">
        <v>41393</v>
      </c>
      <c r="M1658" s="50">
        <f>K1658-L1658</f>
        <v>9</v>
      </c>
      <c r="N1658" s="50" t="s">
        <v>2</v>
      </c>
      <c r="O1658" s="74">
        <f>1/2</f>
        <v>0.5</v>
      </c>
      <c r="P1658" s="50">
        <v>5</v>
      </c>
      <c r="Q1658" s="74">
        <v>7.01</v>
      </c>
      <c r="R1658" s="50">
        <v>15</v>
      </c>
      <c r="S1658" s="74">
        <f>1/2</f>
        <v>0.5</v>
      </c>
      <c r="T1658" s="50">
        <v>0.15</v>
      </c>
      <c r="U1658" s="131">
        <v>0.51</v>
      </c>
      <c r="V1658" s="50">
        <v>0.31</v>
      </c>
      <c r="W1658" s="74">
        <v>0.151</v>
      </c>
      <c r="X1658" s="50">
        <v>4.9000000000000002E-2</v>
      </c>
      <c r="Y1658" s="74">
        <v>7.0000000000000001E-3</v>
      </c>
      <c r="Z1658" s="271">
        <v>8.5999999999999993E-2</v>
      </c>
      <c r="AA1658" s="271">
        <v>6.25E-2</v>
      </c>
      <c r="AB1658" s="114">
        <v>7.79</v>
      </c>
      <c r="AC1658" s="50">
        <v>33</v>
      </c>
      <c r="AD1658" s="271">
        <v>0</v>
      </c>
    </row>
    <row r="1659" spans="1:30" ht="15" customHeight="1">
      <c r="A1659" s="41" t="s">
        <v>183</v>
      </c>
      <c r="B1659" s="402" t="s">
        <v>2673</v>
      </c>
      <c r="C1659" s="113" t="s">
        <v>2223</v>
      </c>
      <c r="D1659" s="393" t="s">
        <v>372</v>
      </c>
      <c r="E1659" s="394" t="s">
        <v>2224</v>
      </c>
      <c r="F1659" s="402" t="s">
        <v>2683</v>
      </c>
      <c r="G1659" s="405" t="s">
        <v>2226</v>
      </c>
      <c r="H1659" s="74">
        <v>4212</v>
      </c>
      <c r="I1659" s="50" t="s">
        <v>2</v>
      </c>
      <c r="J1659" s="339" t="s">
        <v>2674</v>
      </c>
      <c r="K1659" s="51">
        <v>41428</v>
      </c>
      <c r="L1659" s="173"/>
      <c r="N1659" s="50" t="s">
        <v>2</v>
      </c>
      <c r="O1659" s="74">
        <v>3.68</v>
      </c>
      <c r="P1659" s="50">
        <v>7.08</v>
      </c>
      <c r="Q1659" s="74">
        <v>7.66</v>
      </c>
      <c r="R1659" s="50">
        <v>19.899999999999999</v>
      </c>
      <c r="S1659" s="74">
        <v>100</v>
      </c>
      <c r="T1659" s="50">
        <v>0.11</v>
      </c>
      <c r="U1659" s="131">
        <v>0.76</v>
      </c>
      <c r="V1659" s="50">
        <v>0.5</v>
      </c>
      <c r="W1659" s="74">
        <v>0.02</v>
      </c>
      <c r="X1659" s="50">
        <v>0.01</v>
      </c>
      <c r="Y1659" s="74">
        <f>0.004/2</f>
        <v>2E-3</v>
      </c>
      <c r="Z1659" s="271">
        <v>1</v>
      </c>
      <c r="AA1659" s="271">
        <v>1</v>
      </c>
      <c r="AB1659" s="114">
        <v>6</v>
      </c>
      <c r="AC1659" s="50">
        <v>11.9</v>
      </c>
      <c r="AD1659" s="271">
        <v>0.8</v>
      </c>
    </row>
    <row r="1660" spans="1:30" ht="15" customHeight="1">
      <c r="A1660" s="41" t="s">
        <v>183</v>
      </c>
      <c r="B1660" s="402" t="s">
        <v>4921</v>
      </c>
      <c r="C1660" s="113" t="s">
        <v>4922</v>
      </c>
      <c r="D1660" s="393" t="s">
        <v>111</v>
      </c>
      <c r="E1660" s="394" t="s">
        <v>429</v>
      </c>
      <c r="F1660" s="402" t="s">
        <v>4923</v>
      </c>
      <c r="G1660" s="405" t="s">
        <v>4924</v>
      </c>
      <c r="H1660" s="74">
        <v>4215</v>
      </c>
      <c r="I1660" s="50" t="s">
        <v>1</v>
      </c>
      <c r="J1660" s="339" t="s">
        <v>4925</v>
      </c>
      <c r="K1660" s="51">
        <v>41376</v>
      </c>
      <c r="L1660" s="173">
        <v>41352</v>
      </c>
      <c r="M1660" s="50">
        <f t="shared" ref="M1660:M1684" si="82">K1660-L1660</f>
        <v>24</v>
      </c>
      <c r="N1660" s="50" t="s">
        <v>2</v>
      </c>
      <c r="O1660" s="74">
        <f>1.4/2</f>
        <v>0.7</v>
      </c>
      <c r="P1660" s="50">
        <v>4.47</v>
      </c>
      <c r="Q1660" s="74">
        <v>5.71</v>
      </c>
      <c r="R1660" s="50">
        <f>10/2</f>
        <v>5</v>
      </c>
      <c r="S1660" s="74">
        <v>22</v>
      </c>
      <c r="T1660" s="50">
        <v>0.11</v>
      </c>
      <c r="U1660" s="131">
        <v>0.77</v>
      </c>
      <c r="V1660" s="50">
        <v>0.1</v>
      </c>
      <c r="W1660" s="74">
        <v>0.01</v>
      </c>
      <c r="X1660" s="50">
        <v>0.248</v>
      </c>
      <c r="Y1660" s="74">
        <f>0.002/2</f>
        <v>1E-3</v>
      </c>
    </row>
    <row r="1661" spans="1:30" ht="15" customHeight="1">
      <c r="A1661" s="41" t="s">
        <v>183</v>
      </c>
      <c r="B1661" s="402" t="s">
        <v>4926</v>
      </c>
      <c r="D1661" s="393" t="s">
        <v>41</v>
      </c>
      <c r="E1661" s="394" t="s">
        <v>4927</v>
      </c>
      <c r="G1661" s="405" t="s">
        <v>4928</v>
      </c>
      <c r="H1661" s="74">
        <v>336399</v>
      </c>
      <c r="I1661" s="50" t="s">
        <v>1</v>
      </c>
      <c r="J1661" s="339" t="s">
        <v>1125</v>
      </c>
      <c r="K1661" s="51">
        <v>41402</v>
      </c>
      <c r="L1661" s="173">
        <v>41384</v>
      </c>
      <c r="M1661" s="50">
        <f t="shared" si="82"/>
        <v>18</v>
      </c>
      <c r="N1661" s="50" t="s">
        <v>2</v>
      </c>
      <c r="O1661" s="74">
        <f>1.4/2</f>
        <v>0.7</v>
      </c>
      <c r="P1661" s="50">
        <v>6.7</v>
      </c>
      <c r="Q1661" s="74">
        <v>6.44</v>
      </c>
      <c r="R1661" s="50">
        <v>144</v>
      </c>
      <c r="S1661" s="74">
        <v>28</v>
      </c>
      <c r="T1661" s="50">
        <v>0.37</v>
      </c>
      <c r="U1661" s="131">
        <v>3.62</v>
      </c>
      <c r="V1661" s="50">
        <v>0.37</v>
      </c>
      <c r="W1661" s="74">
        <v>1.6E-2</v>
      </c>
      <c r="X1661" s="50">
        <v>5.6000000000000001E-2</v>
      </c>
      <c r="Y1661" s="74">
        <v>6.0000000000000001E-3</v>
      </c>
    </row>
    <row r="1662" spans="1:30" ht="15" customHeight="1">
      <c r="A1662" s="41" t="s">
        <v>183</v>
      </c>
      <c r="B1662" s="402" t="s">
        <v>4926</v>
      </c>
      <c r="D1662" s="393" t="s">
        <v>41</v>
      </c>
      <c r="E1662" s="394" t="s">
        <v>4927</v>
      </c>
      <c r="G1662" s="405" t="s">
        <v>4928</v>
      </c>
      <c r="H1662" s="74">
        <v>336399</v>
      </c>
      <c r="I1662" s="50" t="s">
        <v>1</v>
      </c>
      <c r="J1662" s="339" t="s">
        <v>1126</v>
      </c>
      <c r="K1662" s="51">
        <v>41402</v>
      </c>
      <c r="L1662" s="173">
        <v>41384</v>
      </c>
      <c r="M1662" s="50">
        <f t="shared" si="82"/>
        <v>18</v>
      </c>
      <c r="N1662" s="50" t="s">
        <v>2</v>
      </c>
      <c r="O1662" s="74">
        <f>1.4/2</f>
        <v>0.7</v>
      </c>
      <c r="P1662" s="50">
        <v>6.7</v>
      </c>
      <c r="Q1662" s="74">
        <v>6.1</v>
      </c>
      <c r="R1662" s="50">
        <v>70</v>
      </c>
      <c r="S1662" s="74">
        <v>12</v>
      </c>
      <c r="T1662" s="50">
        <v>0.33</v>
      </c>
      <c r="U1662" s="131">
        <v>3.24</v>
      </c>
      <c r="V1662" s="50">
        <v>0.39</v>
      </c>
      <c r="W1662" s="74">
        <v>1.9E-2</v>
      </c>
      <c r="X1662" s="50">
        <v>8.5000000000000006E-2</v>
      </c>
      <c r="Y1662" s="74">
        <v>4.0000000000000001E-3</v>
      </c>
    </row>
    <row r="1663" spans="1:30" ht="15" customHeight="1">
      <c r="A1663" s="41" t="s">
        <v>183</v>
      </c>
      <c r="B1663" s="402" t="s">
        <v>4926</v>
      </c>
      <c r="D1663" s="393" t="s">
        <v>41</v>
      </c>
      <c r="E1663" s="394" t="s">
        <v>4927</v>
      </c>
      <c r="G1663" s="405" t="s">
        <v>4928</v>
      </c>
      <c r="H1663" s="74">
        <v>336399</v>
      </c>
      <c r="I1663" s="50" t="s">
        <v>1</v>
      </c>
      <c r="J1663" s="339" t="s">
        <v>1952</v>
      </c>
      <c r="K1663" s="51">
        <v>41402</v>
      </c>
      <c r="L1663" s="173">
        <v>41384</v>
      </c>
      <c r="M1663" s="50">
        <f t="shared" si="82"/>
        <v>18</v>
      </c>
      <c r="N1663" s="50" t="s">
        <v>2</v>
      </c>
      <c r="O1663" s="74">
        <v>2</v>
      </c>
      <c r="P1663" s="50">
        <v>6.7</v>
      </c>
      <c r="Q1663" s="74">
        <v>6.9</v>
      </c>
      <c r="R1663" s="50">
        <v>146</v>
      </c>
      <c r="S1663" s="74">
        <v>150</v>
      </c>
      <c r="T1663" s="50">
        <v>0.6</v>
      </c>
      <c r="U1663" s="131">
        <v>3.27</v>
      </c>
      <c r="V1663" s="50">
        <v>0.14000000000000001</v>
      </c>
      <c r="W1663" s="74">
        <v>1.7999999999999999E-2</v>
      </c>
      <c r="X1663" s="50">
        <v>8.6999999999999994E-2</v>
      </c>
      <c r="Y1663" s="74">
        <v>1.0999999999999999E-2</v>
      </c>
    </row>
    <row r="1664" spans="1:30" ht="15" customHeight="1">
      <c r="A1664" s="41" t="s">
        <v>183</v>
      </c>
      <c r="B1664" s="385" t="s">
        <v>4330</v>
      </c>
      <c r="C1664" s="18" t="s">
        <v>4331</v>
      </c>
      <c r="D1664" s="377" t="s">
        <v>1683</v>
      </c>
      <c r="E1664" s="20" t="s">
        <v>953</v>
      </c>
      <c r="F1664" s="385" t="s">
        <v>4332</v>
      </c>
      <c r="G1664" s="390" t="s">
        <v>263</v>
      </c>
      <c r="H1664" s="6">
        <v>3826</v>
      </c>
      <c r="I1664" s="7" t="s">
        <v>2</v>
      </c>
      <c r="J1664" s="344" t="s">
        <v>271</v>
      </c>
      <c r="K1664" s="51">
        <v>41435</v>
      </c>
      <c r="L1664" s="173">
        <v>41432</v>
      </c>
      <c r="M1664" s="50">
        <f t="shared" si="82"/>
        <v>3</v>
      </c>
      <c r="N1664" s="50" t="s">
        <v>2</v>
      </c>
      <c r="O1664" s="74">
        <f>5/2</f>
        <v>2.5</v>
      </c>
      <c r="P1664" s="50">
        <v>5</v>
      </c>
      <c r="Q1664" s="74">
        <v>5.36</v>
      </c>
      <c r="R1664" s="50">
        <v>97</v>
      </c>
      <c r="S1664" s="74">
        <v>51</v>
      </c>
      <c r="T1664" s="50">
        <v>0.16</v>
      </c>
      <c r="U1664" s="131">
        <v>3.2</v>
      </c>
      <c r="V1664" s="50">
        <v>1.5</v>
      </c>
      <c r="W1664" s="74">
        <f>0.04/2</f>
        <v>0.02</v>
      </c>
      <c r="X1664" s="50">
        <v>0.26</v>
      </c>
      <c r="Y1664" s="74">
        <f>0.013/2</f>
        <v>6.4999999999999997E-3</v>
      </c>
    </row>
    <row r="1665" spans="1:36" ht="15" customHeight="1">
      <c r="A1665" s="41" t="s">
        <v>183</v>
      </c>
      <c r="B1665" s="385" t="s">
        <v>4330</v>
      </c>
      <c r="C1665" s="18" t="s">
        <v>4331</v>
      </c>
      <c r="D1665" s="377" t="s">
        <v>1683</v>
      </c>
      <c r="E1665" s="20" t="s">
        <v>953</v>
      </c>
      <c r="F1665" s="385" t="s">
        <v>4332</v>
      </c>
      <c r="G1665" s="390" t="s">
        <v>263</v>
      </c>
      <c r="H1665" s="6">
        <v>3826</v>
      </c>
      <c r="I1665" s="7" t="s">
        <v>2</v>
      </c>
      <c r="J1665" s="344" t="s">
        <v>272</v>
      </c>
      <c r="K1665" s="51">
        <v>41435</v>
      </c>
      <c r="L1665" s="173">
        <v>41432</v>
      </c>
      <c r="M1665" s="50">
        <f t="shared" si="82"/>
        <v>3</v>
      </c>
      <c r="N1665" s="50" t="s">
        <v>2</v>
      </c>
      <c r="O1665" s="74">
        <f>5/2</f>
        <v>2.5</v>
      </c>
      <c r="P1665" s="50">
        <v>5</v>
      </c>
      <c r="Q1665" s="74">
        <v>5.82</v>
      </c>
      <c r="R1665" s="50">
        <v>120</v>
      </c>
      <c r="S1665" s="74">
        <v>24</v>
      </c>
      <c r="T1665" s="50">
        <v>0.1</v>
      </c>
      <c r="U1665" s="131">
        <v>2.2999999999999998</v>
      </c>
      <c r="V1665" s="50">
        <v>1.2</v>
      </c>
      <c r="W1665" s="74">
        <f>0.04/2</f>
        <v>0.02</v>
      </c>
      <c r="X1665" s="50">
        <v>0.15</v>
      </c>
      <c r="Y1665" s="74">
        <f>0.013/2</f>
        <v>6.4999999999999997E-3</v>
      </c>
    </row>
    <row r="1666" spans="1:36" ht="15" customHeight="1">
      <c r="A1666" s="41" t="s">
        <v>183</v>
      </c>
      <c r="B1666" s="385" t="s">
        <v>4330</v>
      </c>
      <c r="C1666" s="18" t="s">
        <v>4331</v>
      </c>
      <c r="D1666" s="377" t="s">
        <v>1683</v>
      </c>
      <c r="E1666" s="20" t="s">
        <v>953</v>
      </c>
      <c r="F1666" s="385" t="s">
        <v>4332</v>
      </c>
      <c r="G1666" s="390" t="s">
        <v>263</v>
      </c>
      <c r="H1666" s="6">
        <v>3826</v>
      </c>
      <c r="I1666" s="7" t="s">
        <v>2</v>
      </c>
      <c r="J1666" s="344" t="s">
        <v>4333</v>
      </c>
      <c r="K1666" s="51">
        <v>41435</v>
      </c>
      <c r="L1666" s="173">
        <v>41432</v>
      </c>
      <c r="M1666" s="50">
        <f t="shared" si="82"/>
        <v>3</v>
      </c>
      <c r="N1666" s="50" t="s">
        <v>2</v>
      </c>
      <c r="O1666" s="74">
        <f>5/2</f>
        <v>2.5</v>
      </c>
      <c r="P1666" s="50">
        <v>5</v>
      </c>
      <c r="Q1666" s="74">
        <v>5.77</v>
      </c>
      <c r="R1666" s="50">
        <f>5/2</f>
        <v>2.5</v>
      </c>
      <c r="S1666" s="74">
        <f>5/2</f>
        <v>2.5</v>
      </c>
      <c r="T1666" s="50">
        <f>0.1/2</f>
        <v>0.05</v>
      </c>
      <c r="U1666" s="131">
        <v>1.8</v>
      </c>
      <c r="V1666" s="50">
        <v>0.93</v>
      </c>
      <c r="W1666" s="74">
        <f>0.04/2</f>
        <v>0.02</v>
      </c>
      <c r="X1666" s="50">
        <v>8.5000000000000006E-2</v>
      </c>
      <c r="Y1666" s="74">
        <f>0.013/2</f>
        <v>6.4999999999999997E-3</v>
      </c>
    </row>
    <row r="1667" spans="1:36" ht="15" customHeight="1">
      <c r="A1667" s="41" t="s">
        <v>183</v>
      </c>
      <c r="B1667" s="385" t="s">
        <v>4330</v>
      </c>
      <c r="C1667" s="18" t="s">
        <v>4331</v>
      </c>
      <c r="D1667" s="377" t="s">
        <v>1683</v>
      </c>
      <c r="E1667" s="20" t="s">
        <v>953</v>
      </c>
      <c r="F1667" s="385" t="s">
        <v>4332</v>
      </c>
      <c r="G1667" s="390" t="s">
        <v>263</v>
      </c>
      <c r="H1667" s="6">
        <v>3826</v>
      </c>
      <c r="I1667" s="7" t="s">
        <v>2</v>
      </c>
      <c r="J1667" s="344" t="s">
        <v>273</v>
      </c>
      <c r="K1667" s="51">
        <v>41435</v>
      </c>
      <c r="L1667" s="173">
        <v>41432</v>
      </c>
      <c r="M1667" s="50">
        <f t="shared" si="82"/>
        <v>3</v>
      </c>
      <c r="N1667" s="50" t="s">
        <v>2</v>
      </c>
      <c r="O1667" s="74">
        <f>5/2</f>
        <v>2.5</v>
      </c>
      <c r="P1667" s="50">
        <v>5</v>
      </c>
      <c r="Q1667" s="74">
        <v>5.61</v>
      </c>
      <c r="R1667" s="50">
        <v>160</v>
      </c>
      <c r="S1667" s="74">
        <v>67</v>
      </c>
      <c r="T1667" s="50">
        <v>0.21</v>
      </c>
      <c r="U1667" s="131">
        <v>3.5</v>
      </c>
      <c r="V1667" s="50">
        <v>2.2999999999999998</v>
      </c>
      <c r="W1667" s="74">
        <f>0.04/2</f>
        <v>0.02</v>
      </c>
      <c r="X1667" s="50">
        <v>3.4000000000000002E-2</v>
      </c>
      <c r="Y1667" s="74">
        <f>0.013</f>
        <v>1.2999999999999999E-2</v>
      </c>
    </row>
    <row r="1668" spans="1:36" ht="15" customHeight="1">
      <c r="A1668" s="41" t="s">
        <v>183</v>
      </c>
      <c r="B1668" s="402" t="s">
        <v>2022</v>
      </c>
      <c r="D1668" s="393" t="s">
        <v>636</v>
      </c>
      <c r="E1668" s="394" t="s">
        <v>1859</v>
      </c>
      <c r="F1668" s="402">
        <v>3700</v>
      </c>
      <c r="G1668" s="405" t="s">
        <v>2023</v>
      </c>
      <c r="H1668" s="113">
        <v>3965</v>
      </c>
      <c r="I1668" s="49" t="s">
        <v>2</v>
      </c>
      <c r="J1668" s="339" t="s">
        <v>255</v>
      </c>
      <c r="K1668" s="51">
        <v>41428</v>
      </c>
      <c r="L1668" s="173">
        <v>41423</v>
      </c>
      <c r="M1668" s="50">
        <f t="shared" si="82"/>
        <v>5</v>
      </c>
      <c r="N1668" s="50" t="s">
        <v>2</v>
      </c>
      <c r="O1668" s="74">
        <f>1/2</f>
        <v>0.5</v>
      </c>
      <c r="P1668" s="50">
        <v>6.3</v>
      </c>
      <c r="Q1668" s="74">
        <v>5.7</v>
      </c>
      <c r="R1668" s="50">
        <v>120</v>
      </c>
      <c r="S1668" s="74">
        <v>13</v>
      </c>
      <c r="T1668" s="50">
        <v>0.46</v>
      </c>
      <c r="U1668" s="131">
        <v>9.1999999999999993</v>
      </c>
      <c r="V1668" s="50">
        <v>0.21</v>
      </c>
      <c r="W1668" s="74">
        <v>0.01</v>
      </c>
      <c r="X1668" s="50">
        <v>6.0999999999999999E-2</v>
      </c>
      <c r="Y1668" s="74">
        <v>3.3999999999999998E-3</v>
      </c>
      <c r="Z1668" s="271">
        <v>1</v>
      </c>
      <c r="AA1668" s="271">
        <v>1</v>
      </c>
      <c r="AB1668" s="114">
        <v>6</v>
      </c>
      <c r="AC1668" s="50">
        <v>33</v>
      </c>
      <c r="AD1668" s="271">
        <v>1</v>
      </c>
    </row>
    <row r="1669" spans="1:36" ht="15" customHeight="1">
      <c r="A1669" s="41" t="s">
        <v>183</v>
      </c>
      <c r="B1669" s="402" t="s">
        <v>4427</v>
      </c>
      <c r="C1669" s="113" t="s">
        <v>4428</v>
      </c>
      <c r="D1669" s="393" t="s">
        <v>534</v>
      </c>
      <c r="E1669" s="394" t="s">
        <v>304</v>
      </c>
      <c r="G1669" s="405" t="s">
        <v>4429</v>
      </c>
      <c r="H1669" s="74"/>
      <c r="I1669" s="50" t="s">
        <v>1</v>
      </c>
      <c r="J1669" s="339" t="s">
        <v>4432</v>
      </c>
      <c r="K1669" s="51">
        <v>41332</v>
      </c>
      <c r="L1669" s="173">
        <v>41324</v>
      </c>
      <c r="M1669" s="50">
        <f t="shared" si="82"/>
        <v>8</v>
      </c>
      <c r="N1669" s="50" t="s">
        <v>1</v>
      </c>
      <c r="O1669" s="74">
        <v>0.6</v>
      </c>
      <c r="P1669" s="50">
        <v>6.52</v>
      </c>
      <c r="Q1669" s="74">
        <v>7.4</v>
      </c>
      <c r="R1669" s="50">
        <v>80</v>
      </c>
      <c r="S1669" s="74">
        <v>37</v>
      </c>
      <c r="T1669" s="50">
        <v>0.15</v>
      </c>
      <c r="U1669" s="131">
        <v>3.25</v>
      </c>
      <c r="V1669" s="50">
        <v>0.32</v>
      </c>
      <c r="W1669" s="74">
        <v>0.02</v>
      </c>
      <c r="X1669" s="50">
        <v>0.08</v>
      </c>
      <c r="Y1669" s="74">
        <v>7.0000000000000001E-3</v>
      </c>
      <c r="Z1669" s="271">
        <v>1</v>
      </c>
      <c r="AA1669" s="271">
        <v>1</v>
      </c>
      <c r="AB1669" s="114">
        <v>29</v>
      </c>
      <c r="AC1669" s="50">
        <v>147</v>
      </c>
      <c r="AD1669" s="271">
        <v>1</v>
      </c>
      <c r="AE1669" s="50">
        <v>1553</v>
      </c>
    </row>
    <row r="1670" spans="1:36" ht="15" customHeight="1">
      <c r="A1670" s="41" t="s">
        <v>183</v>
      </c>
      <c r="B1670" s="402" t="s">
        <v>4427</v>
      </c>
      <c r="C1670" s="113" t="s">
        <v>4431</v>
      </c>
      <c r="D1670" s="393" t="s">
        <v>534</v>
      </c>
      <c r="E1670" s="394" t="s">
        <v>304</v>
      </c>
      <c r="G1670" s="405" t="s">
        <v>4429</v>
      </c>
      <c r="H1670" s="74"/>
      <c r="I1670" s="50" t="s">
        <v>1</v>
      </c>
      <c r="J1670" s="339" t="s">
        <v>4430</v>
      </c>
      <c r="K1670" s="51">
        <v>41332</v>
      </c>
      <c r="L1670" s="173">
        <v>41324</v>
      </c>
      <c r="M1670" s="50">
        <f t="shared" si="82"/>
        <v>8</v>
      </c>
      <c r="N1670" s="50" t="s">
        <v>1</v>
      </c>
      <c r="O1670" s="74">
        <v>1.6</v>
      </c>
      <c r="P1670" s="50">
        <v>6.52</v>
      </c>
      <c r="Q1670" s="74">
        <v>7.3</v>
      </c>
      <c r="R1670" s="50">
        <v>256</v>
      </c>
      <c r="S1670" s="74">
        <v>88</v>
      </c>
      <c r="T1670" s="50">
        <v>1.22</v>
      </c>
      <c r="U1670" s="131">
        <v>38.6</v>
      </c>
      <c r="V1670" s="50">
        <v>0.24</v>
      </c>
      <c r="W1670" s="74">
        <v>0.06</v>
      </c>
      <c r="X1670" s="50">
        <v>0.25</v>
      </c>
      <c r="Y1670" s="74">
        <v>5.2999999999999999E-2</v>
      </c>
    </row>
    <row r="1671" spans="1:36" ht="15" customHeight="1">
      <c r="A1671" s="41" t="s">
        <v>183</v>
      </c>
      <c r="B1671" s="402" t="s">
        <v>3314</v>
      </c>
      <c r="C1671" s="113" t="s">
        <v>4929</v>
      </c>
      <c r="D1671" s="393" t="s">
        <v>78</v>
      </c>
      <c r="E1671" s="394" t="s">
        <v>3312</v>
      </c>
      <c r="G1671" s="405" t="s">
        <v>4930</v>
      </c>
      <c r="H1671" s="74"/>
      <c r="I1671" s="50" t="s">
        <v>1</v>
      </c>
      <c r="J1671" s="339" t="s">
        <v>510</v>
      </c>
      <c r="K1671" s="51">
        <v>41324</v>
      </c>
      <c r="L1671" s="173">
        <v>41316</v>
      </c>
      <c r="M1671" s="50">
        <f t="shared" si="82"/>
        <v>8</v>
      </c>
      <c r="N1671" s="50" t="s">
        <v>1</v>
      </c>
      <c r="O1671" s="74">
        <v>6.9</v>
      </c>
      <c r="P1671" s="50">
        <v>6</v>
      </c>
      <c r="Q1671" s="74">
        <v>6</v>
      </c>
      <c r="R1671" s="50">
        <v>800</v>
      </c>
      <c r="S1671" s="74">
        <v>200</v>
      </c>
      <c r="T1671" s="50">
        <v>0.47</v>
      </c>
      <c r="U1671" s="131">
        <v>5.8</v>
      </c>
      <c r="V1671" s="50">
        <f>1/2</f>
        <v>0.5</v>
      </c>
      <c r="W1671" s="74">
        <v>7.9000000000000001E-2</v>
      </c>
      <c r="X1671" s="50">
        <v>0.59</v>
      </c>
      <c r="Y1671" s="74">
        <v>3.7999999999999999E-2</v>
      </c>
    </row>
    <row r="1672" spans="1:36" ht="15" customHeight="1">
      <c r="A1672" s="41" t="s">
        <v>183</v>
      </c>
      <c r="B1672" s="402" t="s">
        <v>3314</v>
      </c>
      <c r="C1672" s="113" t="s">
        <v>4929</v>
      </c>
      <c r="D1672" s="393" t="s">
        <v>78</v>
      </c>
      <c r="E1672" s="394" t="s">
        <v>3312</v>
      </c>
      <c r="G1672" s="405" t="s">
        <v>4930</v>
      </c>
      <c r="H1672" s="74"/>
      <c r="I1672" s="50" t="s">
        <v>1</v>
      </c>
      <c r="J1672" s="339" t="s">
        <v>460</v>
      </c>
      <c r="K1672" s="51">
        <v>41324</v>
      </c>
      <c r="L1672" s="173">
        <v>41316</v>
      </c>
      <c r="M1672" s="50">
        <f t="shared" si="82"/>
        <v>8</v>
      </c>
      <c r="N1672" s="50" t="s">
        <v>1</v>
      </c>
      <c r="O1672" s="74">
        <f t="shared" ref="O1672:O1678" si="83">5/2</f>
        <v>2.5</v>
      </c>
      <c r="P1672" s="50">
        <v>6</v>
      </c>
      <c r="Q1672" s="74">
        <v>6</v>
      </c>
      <c r="R1672" s="50">
        <v>500</v>
      </c>
      <c r="S1672" s="74">
        <f>5/2</f>
        <v>2.5</v>
      </c>
      <c r="T1672" s="50">
        <v>0.44</v>
      </c>
      <c r="U1672" s="131">
        <v>2.7</v>
      </c>
      <c r="V1672" s="50">
        <f>1/2</f>
        <v>0.5</v>
      </c>
      <c r="W1672" s="74">
        <v>0.05</v>
      </c>
      <c r="X1672" s="50">
        <v>0.23</v>
      </c>
      <c r="Y1672" s="74">
        <v>2.8000000000000001E-2</v>
      </c>
    </row>
    <row r="1673" spans="1:36" ht="15" customHeight="1">
      <c r="A1673" s="41" t="s">
        <v>183</v>
      </c>
      <c r="B1673" s="402" t="s">
        <v>4931</v>
      </c>
      <c r="C1673" s="113" t="s">
        <v>4932</v>
      </c>
      <c r="D1673" s="393" t="s">
        <v>1896</v>
      </c>
      <c r="F1673" s="402" t="s">
        <v>4933</v>
      </c>
      <c r="G1673" s="405" t="s">
        <v>4934</v>
      </c>
      <c r="H1673" s="74">
        <v>4151</v>
      </c>
      <c r="I1673" s="50" t="s">
        <v>2</v>
      </c>
      <c r="J1673" s="339" t="s">
        <v>249</v>
      </c>
      <c r="K1673" s="51">
        <v>41428</v>
      </c>
      <c r="L1673" s="173">
        <v>41422</v>
      </c>
      <c r="M1673" s="50">
        <f t="shared" si="82"/>
        <v>6</v>
      </c>
      <c r="N1673" s="50" t="s">
        <v>2</v>
      </c>
      <c r="O1673" s="74">
        <f t="shared" si="83"/>
        <v>2.5</v>
      </c>
      <c r="P1673" s="50">
        <v>6.26</v>
      </c>
      <c r="Q1673" s="74">
        <v>6.54</v>
      </c>
      <c r="R1673" s="50">
        <v>97</v>
      </c>
      <c r="S1673" s="74">
        <v>270</v>
      </c>
      <c r="T1673" s="50">
        <v>0.28999999999999998</v>
      </c>
      <c r="U1673" s="131">
        <f>1/2</f>
        <v>0.5</v>
      </c>
      <c r="V1673" s="50">
        <v>0.13</v>
      </c>
      <c r="W1673" s="74">
        <f>0.04/2</f>
        <v>0.02</v>
      </c>
      <c r="X1673" s="50">
        <v>0.15</v>
      </c>
      <c r="Y1673" s="74">
        <v>1.4999999999999999E-2</v>
      </c>
      <c r="Z1673" s="271">
        <v>1</v>
      </c>
      <c r="AA1673" s="271">
        <v>1</v>
      </c>
      <c r="AB1673" s="114">
        <v>15</v>
      </c>
      <c r="AC1673" s="50">
        <v>13</v>
      </c>
      <c r="AD1673" s="271">
        <v>1</v>
      </c>
    </row>
    <row r="1674" spans="1:36" ht="15" customHeight="1">
      <c r="A1674" s="41" t="s">
        <v>183</v>
      </c>
      <c r="B1674" s="402" t="s">
        <v>4931</v>
      </c>
      <c r="C1674" s="113" t="s">
        <v>4932</v>
      </c>
      <c r="D1674" s="393" t="s">
        <v>1896</v>
      </c>
      <c r="F1674" s="402" t="s">
        <v>4933</v>
      </c>
      <c r="G1674" s="405" t="s">
        <v>4934</v>
      </c>
      <c r="H1674" s="74">
        <v>4151</v>
      </c>
      <c r="I1674" s="50" t="s">
        <v>2</v>
      </c>
      <c r="J1674" s="339" t="s">
        <v>1999</v>
      </c>
      <c r="K1674" s="51">
        <v>41428</v>
      </c>
      <c r="L1674" s="173">
        <v>41422</v>
      </c>
      <c r="M1674" s="50">
        <f t="shared" si="82"/>
        <v>6</v>
      </c>
      <c r="N1674" s="50" t="s">
        <v>2</v>
      </c>
      <c r="O1674" s="74">
        <f t="shared" si="83"/>
        <v>2.5</v>
      </c>
      <c r="P1674" s="50">
        <v>6.26</v>
      </c>
      <c r="Q1674" s="74">
        <v>6.47</v>
      </c>
      <c r="R1674" s="50">
        <v>44</v>
      </c>
      <c r="S1674" s="74">
        <v>93</v>
      </c>
      <c r="T1674" s="50">
        <f>0.1/2</f>
        <v>0.05</v>
      </c>
      <c r="U1674" s="131">
        <f>1/2</f>
        <v>0.5</v>
      </c>
      <c r="V1674" s="50">
        <v>0.11</v>
      </c>
      <c r="W1674" s="74">
        <f>0.04/2</f>
        <v>0.02</v>
      </c>
      <c r="X1674" s="50">
        <v>0.16</v>
      </c>
      <c r="Y1674" s="74">
        <f>0.013/2</f>
        <v>6.4999999999999997E-3</v>
      </c>
      <c r="Z1674" s="271">
        <v>1</v>
      </c>
      <c r="AA1674" s="271">
        <v>1</v>
      </c>
      <c r="AB1674" s="114">
        <v>9.3000000000000007</v>
      </c>
      <c r="AC1674" s="50">
        <v>11</v>
      </c>
      <c r="AD1674" s="271">
        <v>1</v>
      </c>
    </row>
    <row r="1675" spans="1:36" ht="15" customHeight="1">
      <c r="A1675" s="41" t="s">
        <v>183</v>
      </c>
      <c r="B1675" s="402" t="s">
        <v>4935</v>
      </c>
      <c r="D1675" s="393" t="s">
        <v>127</v>
      </c>
      <c r="E1675" s="394" t="s">
        <v>467</v>
      </c>
      <c r="G1675" s="405" t="s">
        <v>4936</v>
      </c>
      <c r="H1675" s="74">
        <v>2759</v>
      </c>
      <c r="I1675" s="50" t="s">
        <v>2</v>
      </c>
      <c r="J1675" s="339" t="s">
        <v>4937</v>
      </c>
      <c r="K1675" s="51">
        <v>41402</v>
      </c>
      <c r="L1675" s="173">
        <v>41393</v>
      </c>
      <c r="M1675" s="50">
        <f t="shared" si="82"/>
        <v>9</v>
      </c>
      <c r="N1675" s="50" t="s">
        <v>2</v>
      </c>
      <c r="O1675" s="74">
        <f t="shared" si="83"/>
        <v>2.5</v>
      </c>
      <c r="P1675" s="50">
        <v>5.24</v>
      </c>
      <c r="Q1675" s="74">
        <v>5.94</v>
      </c>
      <c r="R1675" s="50">
        <v>31</v>
      </c>
      <c r="S1675" s="74">
        <v>5</v>
      </c>
      <c r="T1675" s="50">
        <f>0.1/2</f>
        <v>0.05</v>
      </c>
      <c r="U1675" s="131">
        <f>1/2</f>
        <v>0.5</v>
      </c>
      <c r="V1675" s="50">
        <v>0.15</v>
      </c>
      <c r="W1675" s="74">
        <f>0.04/2</f>
        <v>0.02</v>
      </c>
      <c r="X1675" s="50">
        <v>8.2000000000000003E-2</v>
      </c>
      <c r="Y1675" s="74">
        <f>0.013/2</f>
        <v>6.4999999999999997E-3</v>
      </c>
      <c r="Z1675" s="271">
        <v>1</v>
      </c>
      <c r="AA1675" s="271">
        <v>0.85599999999999998</v>
      </c>
      <c r="AB1675" s="114">
        <v>3.8</v>
      </c>
      <c r="AC1675" s="50">
        <v>47</v>
      </c>
      <c r="AD1675" s="271">
        <v>0.3</v>
      </c>
    </row>
    <row r="1676" spans="1:36" ht="15" customHeight="1">
      <c r="A1676" s="41" t="s">
        <v>183</v>
      </c>
      <c r="B1676" s="402" t="s">
        <v>4938</v>
      </c>
      <c r="D1676" s="393" t="s">
        <v>213</v>
      </c>
      <c r="E1676" s="394" t="s">
        <v>671</v>
      </c>
      <c r="G1676" s="405" t="s">
        <v>4939</v>
      </c>
      <c r="H1676" s="74">
        <v>3599</v>
      </c>
      <c r="I1676" s="50" t="s">
        <v>2</v>
      </c>
      <c r="J1676" s="339"/>
      <c r="K1676" s="51">
        <v>41432</v>
      </c>
      <c r="L1676" s="173">
        <v>41428</v>
      </c>
      <c r="M1676" s="50">
        <f t="shared" si="82"/>
        <v>4</v>
      </c>
      <c r="N1676" s="50" t="s">
        <v>2</v>
      </c>
      <c r="O1676" s="74">
        <f t="shared" si="83"/>
        <v>2.5</v>
      </c>
      <c r="Q1676" s="74">
        <v>5.5</v>
      </c>
      <c r="R1676" s="50">
        <f>20/2</f>
        <v>10</v>
      </c>
      <c r="S1676" s="74">
        <v>1.4</v>
      </c>
      <c r="T1676" s="50">
        <v>2.1000000000000001E-2</v>
      </c>
      <c r="U1676" s="131">
        <f>1/2</f>
        <v>0.5</v>
      </c>
      <c r="V1676" s="50">
        <f>0.46/2</f>
        <v>0.23</v>
      </c>
      <c r="W1676" s="74">
        <f>0.005/2</f>
        <v>2.5000000000000001E-3</v>
      </c>
      <c r="X1676" s="50">
        <v>0.52900000000000003</v>
      </c>
      <c r="Y1676" s="74">
        <f>0.005/2</f>
        <v>2.5000000000000001E-3</v>
      </c>
      <c r="Z1676" s="271">
        <v>0.70699999999999996</v>
      </c>
      <c r="AA1676" s="271">
        <v>0.45100000000000001</v>
      </c>
      <c r="AB1676" s="114">
        <v>2</v>
      </c>
      <c r="AC1676" s="50">
        <v>11</v>
      </c>
      <c r="AD1676" s="271">
        <v>0</v>
      </c>
    </row>
    <row r="1677" spans="1:36" ht="15" customHeight="1">
      <c r="A1677" s="41" t="s">
        <v>183</v>
      </c>
      <c r="B1677" s="402" t="s">
        <v>4940</v>
      </c>
      <c r="D1677" s="393" t="s">
        <v>1537</v>
      </c>
      <c r="E1677" s="394" t="s">
        <v>4941</v>
      </c>
      <c r="G1677" s="405" t="s">
        <v>4942</v>
      </c>
      <c r="H1677" s="74" t="s">
        <v>4943</v>
      </c>
      <c r="I1677" s="50" t="s">
        <v>1</v>
      </c>
      <c r="J1677" s="339" t="s">
        <v>1392</v>
      </c>
      <c r="K1677" s="51">
        <v>41495</v>
      </c>
      <c r="L1677" s="173">
        <v>41489</v>
      </c>
      <c r="M1677" s="50">
        <f t="shared" si="82"/>
        <v>6</v>
      </c>
      <c r="N1677" s="50" t="s">
        <v>2</v>
      </c>
      <c r="O1677" s="74">
        <f t="shared" si="83"/>
        <v>2.5</v>
      </c>
      <c r="P1677" s="50">
        <v>6.1</v>
      </c>
      <c r="Q1677" s="74">
        <v>9.08</v>
      </c>
      <c r="R1677" s="50">
        <v>29</v>
      </c>
      <c r="S1677" s="74">
        <v>43</v>
      </c>
      <c r="T1677" s="50">
        <v>0.17</v>
      </c>
      <c r="U1677" s="131">
        <f>1/2</f>
        <v>0.5</v>
      </c>
      <c r="V1677" s="50">
        <v>0.65</v>
      </c>
      <c r="W1677" s="74">
        <f>0.04/2</f>
        <v>0.02</v>
      </c>
      <c r="X1677" s="50">
        <v>0.05</v>
      </c>
      <c r="Y1677" s="74">
        <f>0.013/2</f>
        <v>6.4999999999999997E-3</v>
      </c>
    </row>
    <row r="1678" spans="1:36" ht="15" customHeight="1">
      <c r="A1678" s="41" t="s">
        <v>183</v>
      </c>
      <c r="B1678" s="402" t="s">
        <v>4940</v>
      </c>
      <c r="D1678" s="393" t="s">
        <v>1537</v>
      </c>
      <c r="G1678" s="405" t="s">
        <v>4942</v>
      </c>
      <c r="H1678" s="74" t="s">
        <v>4943</v>
      </c>
      <c r="I1678" s="50" t="s">
        <v>1</v>
      </c>
      <c r="J1678" s="339" t="s">
        <v>1392</v>
      </c>
      <c r="K1678" s="51">
        <v>41402</v>
      </c>
      <c r="L1678" s="173">
        <v>41384</v>
      </c>
      <c r="M1678" s="50">
        <f t="shared" si="82"/>
        <v>18</v>
      </c>
      <c r="N1678" s="50" t="s">
        <v>2</v>
      </c>
      <c r="O1678" s="74">
        <f t="shared" si="83"/>
        <v>2.5</v>
      </c>
      <c r="P1678" s="50">
        <v>5</v>
      </c>
      <c r="Q1678" s="74">
        <v>5.5</v>
      </c>
      <c r="R1678" s="50">
        <v>410</v>
      </c>
      <c r="S1678" s="74">
        <v>720</v>
      </c>
      <c r="T1678" s="50">
        <v>1.1000000000000001</v>
      </c>
      <c r="U1678" s="131">
        <v>9.4</v>
      </c>
      <c r="V1678" s="50">
        <v>3.2</v>
      </c>
      <c r="W1678" s="74">
        <v>0.11</v>
      </c>
      <c r="X1678" s="50">
        <v>0.78</v>
      </c>
      <c r="Y1678" s="74">
        <v>4.7E-2</v>
      </c>
      <c r="Z1678" s="271">
        <v>0.70699999999999996</v>
      </c>
      <c r="AA1678" s="271">
        <v>0.70699999999999996</v>
      </c>
      <c r="AB1678" s="114">
        <v>320</v>
      </c>
      <c r="AC1678" s="50">
        <v>710</v>
      </c>
      <c r="AD1678" s="271">
        <v>0</v>
      </c>
      <c r="AI1678" s="114">
        <v>31</v>
      </c>
      <c r="AJ1678" s="114">
        <v>281</v>
      </c>
    </row>
    <row r="1679" spans="1:36" ht="15" customHeight="1">
      <c r="A1679" s="41" t="s">
        <v>183</v>
      </c>
      <c r="B1679" s="402" t="s">
        <v>4944</v>
      </c>
      <c r="D1679" s="393" t="s">
        <v>1537</v>
      </c>
      <c r="E1679" s="394" t="s">
        <v>4945</v>
      </c>
      <c r="G1679" s="405" t="s">
        <v>4946</v>
      </c>
      <c r="H1679" s="74">
        <v>2869</v>
      </c>
      <c r="I1679" s="50" t="s">
        <v>1</v>
      </c>
      <c r="J1679" s="339" t="s">
        <v>4280</v>
      </c>
      <c r="K1679" s="51">
        <v>41072</v>
      </c>
      <c r="L1679" s="173">
        <v>41066</v>
      </c>
      <c r="M1679" s="50">
        <f t="shared" si="82"/>
        <v>6</v>
      </c>
      <c r="N1679" s="50" t="s">
        <v>2</v>
      </c>
      <c r="O1679" s="74">
        <v>1.9</v>
      </c>
      <c r="Q1679" s="74">
        <v>6.08</v>
      </c>
      <c r="R1679" s="50">
        <v>230</v>
      </c>
      <c r="S1679" s="74">
        <v>81</v>
      </c>
      <c r="T1679" s="50">
        <v>0.25</v>
      </c>
      <c r="U1679" s="131">
        <v>4</v>
      </c>
      <c r="V1679" s="50">
        <v>1.72</v>
      </c>
      <c r="W1679" s="74">
        <v>3.6999999999999998E-2</v>
      </c>
      <c r="X1679" s="50">
        <v>0.122</v>
      </c>
      <c r="Y1679" s="74">
        <v>0.01</v>
      </c>
      <c r="Z1679" s="271">
        <v>1</v>
      </c>
      <c r="AA1679" s="271">
        <v>1</v>
      </c>
      <c r="AB1679" s="114">
        <v>20</v>
      </c>
      <c r="AC1679" s="50">
        <v>117</v>
      </c>
      <c r="AD1679" s="271">
        <v>1</v>
      </c>
    </row>
    <row r="1680" spans="1:36" ht="15" customHeight="1">
      <c r="A1680" s="41" t="s">
        <v>183</v>
      </c>
      <c r="B1680" s="402" t="s">
        <v>4944</v>
      </c>
      <c r="D1680" s="393" t="s">
        <v>1537</v>
      </c>
      <c r="E1680" s="394" t="s">
        <v>4945</v>
      </c>
      <c r="G1680" s="405" t="s">
        <v>4946</v>
      </c>
      <c r="H1680" s="84">
        <v>2869</v>
      </c>
      <c r="I1680" s="50" t="s">
        <v>1</v>
      </c>
      <c r="J1680" s="339" t="s">
        <v>4947</v>
      </c>
      <c r="K1680" s="51">
        <v>41073</v>
      </c>
      <c r="L1680" s="173">
        <v>41066</v>
      </c>
      <c r="M1680" s="50">
        <f t="shared" si="82"/>
        <v>7</v>
      </c>
      <c r="N1680" s="50" t="s">
        <v>2</v>
      </c>
      <c r="O1680" s="74">
        <v>1.1599999999999999</v>
      </c>
      <c r="Q1680" s="74">
        <v>6.38</v>
      </c>
      <c r="R1680" s="50">
        <v>140</v>
      </c>
      <c r="S1680" s="74">
        <v>1</v>
      </c>
      <c r="T1680" s="50">
        <v>0.28999999999999998</v>
      </c>
      <c r="U1680" s="131">
        <v>5.4</v>
      </c>
      <c r="V1680" s="50">
        <v>2.72</v>
      </c>
      <c r="W1680" s="74">
        <v>6.4000000000000001E-2</v>
      </c>
      <c r="X1680" s="50">
        <v>0.76</v>
      </c>
      <c r="Y1680" s="74">
        <f>0.004/2</f>
        <v>2E-3</v>
      </c>
      <c r="Z1680" s="271">
        <v>1</v>
      </c>
      <c r="AA1680" s="271">
        <v>0.38700000000000001</v>
      </c>
      <c r="AB1680" s="114">
        <v>28</v>
      </c>
      <c r="AC1680" s="50">
        <v>127</v>
      </c>
      <c r="AD1680" s="271">
        <v>0</v>
      </c>
    </row>
    <row r="1681" spans="1:31" ht="15" customHeight="1">
      <c r="A1681" s="41" t="s">
        <v>183</v>
      </c>
      <c r="B1681" s="402" t="s">
        <v>4944</v>
      </c>
      <c r="D1681" s="393" t="s">
        <v>1537</v>
      </c>
      <c r="E1681" s="394" t="s">
        <v>4945</v>
      </c>
      <c r="G1681" s="405" t="s">
        <v>4946</v>
      </c>
      <c r="H1681" s="74">
        <v>2869</v>
      </c>
      <c r="I1681" s="50" t="s">
        <v>1</v>
      </c>
      <c r="J1681" s="339" t="s">
        <v>4948</v>
      </c>
      <c r="K1681" s="51">
        <v>41072</v>
      </c>
      <c r="L1681" s="173">
        <v>41066</v>
      </c>
      <c r="M1681" s="50">
        <f t="shared" si="82"/>
        <v>6</v>
      </c>
      <c r="N1681" s="50" t="s">
        <v>2</v>
      </c>
      <c r="O1681" s="74">
        <v>2.6</v>
      </c>
      <c r="Q1681" s="74">
        <v>6.2</v>
      </c>
      <c r="R1681" s="50">
        <v>340</v>
      </c>
      <c r="S1681" s="74">
        <v>52</v>
      </c>
      <c r="T1681" s="50">
        <v>0.42</v>
      </c>
      <c r="U1681" s="131">
        <v>5.2</v>
      </c>
      <c r="V1681" s="50">
        <v>1.25</v>
      </c>
      <c r="W1681" s="74">
        <v>5.8000000000000003E-2</v>
      </c>
      <c r="X1681" s="50">
        <v>0.25800000000000001</v>
      </c>
      <c r="Y1681" s="74">
        <v>1.7000000000000001E-2</v>
      </c>
      <c r="Z1681" s="271">
        <v>1</v>
      </c>
      <c r="AA1681" s="271">
        <v>1</v>
      </c>
      <c r="AB1681" s="114">
        <v>46</v>
      </c>
      <c r="AC1681" s="50">
        <v>233</v>
      </c>
      <c r="AD1681" s="271">
        <v>1</v>
      </c>
    </row>
    <row r="1682" spans="1:31" ht="15" customHeight="1">
      <c r="A1682" s="41" t="s">
        <v>183</v>
      </c>
      <c r="B1682" s="402" t="s">
        <v>4944</v>
      </c>
      <c r="D1682" s="393" t="s">
        <v>1537</v>
      </c>
      <c r="E1682" s="394" t="s">
        <v>4945</v>
      </c>
      <c r="G1682" s="405" t="s">
        <v>4946</v>
      </c>
      <c r="H1682" s="74">
        <v>2869</v>
      </c>
      <c r="I1682" s="50" t="s">
        <v>1</v>
      </c>
      <c r="J1682" s="339" t="s">
        <v>4949</v>
      </c>
      <c r="K1682" s="51">
        <v>41072</v>
      </c>
      <c r="L1682" s="173">
        <v>41066</v>
      </c>
      <c r="M1682" s="50">
        <f t="shared" si="82"/>
        <v>6</v>
      </c>
      <c r="N1682" s="50" t="s">
        <v>2</v>
      </c>
      <c r="O1682" s="74">
        <v>2.2000000000000002</v>
      </c>
      <c r="Q1682" s="74">
        <v>6.29</v>
      </c>
      <c r="R1682" s="50">
        <v>240</v>
      </c>
      <c r="S1682" s="74">
        <v>21</v>
      </c>
      <c r="T1682" s="50">
        <v>0.05</v>
      </c>
      <c r="U1682" s="131">
        <v>2.6</v>
      </c>
      <c r="V1682" s="50">
        <v>2.16</v>
      </c>
      <c r="W1682" s="74">
        <v>4.2999999999999997E-2</v>
      </c>
      <c r="X1682" s="50">
        <v>0.307</v>
      </c>
      <c r="Y1682" s="74">
        <v>5.0000000000000001E-3</v>
      </c>
      <c r="Z1682" s="271">
        <v>1</v>
      </c>
      <c r="AA1682" s="271">
        <v>1</v>
      </c>
      <c r="AB1682" s="114">
        <v>40</v>
      </c>
      <c r="AC1682" s="50">
        <v>148</v>
      </c>
      <c r="AD1682" s="271">
        <v>0.5</v>
      </c>
    </row>
    <row r="1683" spans="1:31" ht="15" customHeight="1">
      <c r="A1683" s="41" t="s">
        <v>183</v>
      </c>
      <c r="B1683" s="402" t="s">
        <v>2080</v>
      </c>
      <c r="C1683" s="113" t="s">
        <v>2081</v>
      </c>
      <c r="D1683" s="393" t="s">
        <v>78</v>
      </c>
      <c r="E1683" s="394" t="s">
        <v>2082</v>
      </c>
      <c r="G1683" s="405" t="s">
        <v>3595</v>
      </c>
      <c r="H1683" s="113">
        <v>5541</v>
      </c>
      <c r="I1683" s="49" t="s">
        <v>2</v>
      </c>
      <c r="J1683" s="48" t="s">
        <v>2083</v>
      </c>
      <c r="K1683" s="51">
        <v>41108</v>
      </c>
      <c r="L1683" s="173">
        <v>41105</v>
      </c>
      <c r="M1683" s="50">
        <f t="shared" si="82"/>
        <v>3</v>
      </c>
      <c r="N1683" s="50" t="s">
        <v>2</v>
      </c>
      <c r="O1683" s="74">
        <v>3.4</v>
      </c>
      <c r="P1683" s="50">
        <v>5.9</v>
      </c>
      <c r="Q1683" s="74">
        <v>7.07</v>
      </c>
      <c r="R1683" s="50">
        <v>230</v>
      </c>
      <c r="S1683" s="74">
        <v>44</v>
      </c>
      <c r="T1683" s="50">
        <v>0.9</v>
      </c>
      <c r="U1683" s="131">
        <v>11.5</v>
      </c>
      <c r="V1683" s="50">
        <v>0.2</v>
      </c>
      <c r="W1683" s="74">
        <v>3.7999999999999999E-2</v>
      </c>
      <c r="X1683" s="50">
        <v>0.73099999999999998</v>
      </c>
      <c r="Y1683" s="74">
        <v>2E-3</v>
      </c>
      <c r="Z1683" s="271">
        <v>1</v>
      </c>
      <c r="AA1683" s="271">
        <v>1</v>
      </c>
      <c r="AB1683" s="114">
        <v>88</v>
      </c>
      <c r="AC1683" s="50">
        <v>354</v>
      </c>
      <c r="AD1683" s="271">
        <v>0.95</v>
      </c>
    </row>
    <row r="1684" spans="1:31" ht="15" customHeight="1">
      <c r="A1684" s="41" t="s">
        <v>183</v>
      </c>
      <c r="B1684" s="402" t="s">
        <v>2080</v>
      </c>
      <c r="C1684" s="113" t="s">
        <v>2081</v>
      </c>
      <c r="D1684" s="393" t="s">
        <v>78</v>
      </c>
      <c r="E1684" s="394" t="s">
        <v>2082</v>
      </c>
      <c r="G1684" s="405" t="s">
        <v>3595</v>
      </c>
      <c r="H1684" s="113">
        <v>5541</v>
      </c>
      <c r="I1684" s="49" t="s">
        <v>2</v>
      </c>
      <c r="J1684" s="48" t="s">
        <v>2084</v>
      </c>
      <c r="K1684" s="51">
        <v>41108</v>
      </c>
      <c r="L1684" s="173">
        <v>41105</v>
      </c>
      <c r="M1684" s="50">
        <f t="shared" si="82"/>
        <v>3</v>
      </c>
      <c r="N1684" s="50" t="s">
        <v>2</v>
      </c>
      <c r="O1684" s="74">
        <f>1.4/2</f>
        <v>0.7</v>
      </c>
      <c r="P1684" s="50">
        <v>5.9</v>
      </c>
      <c r="Q1684" s="74">
        <v>7.37</v>
      </c>
      <c r="R1684" s="50">
        <v>38</v>
      </c>
      <c r="S1684" s="74">
        <v>8.5</v>
      </c>
      <c r="T1684" s="50">
        <v>0.13</v>
      </c>
      <c r="U1684" s="131">
        <v>2.15</v>
      </c>
      <c r="V1684" s="50">
        <v>0.35</v>
      </c>
      <c r="W1684" s="74">
        <v>7.0000000000000001E-3</v>
      </c>
      <c r="X1684" s="50">
        <v>0.14899999999999999</v>
      </c>
      <c r="Y1684" s="74">
        <f>0.002/2</f>
        <v>1E-3</v>
      </c>
      <c r="Z1684" s="271">
        <v>1</v>
      </c>
      <c r="AA1684" s="271">
        <v>1</v>
      </c>
      <c r="AB1684" s="114">
        <v>24</v>
      </c>
      <c r="AC1684" s="50">
        <v>91</v>
      </c>
      <c r="AD1684" s="271">
        <v>1</v>
      </c>
    </row>
    <row r="1685" spans="1:31" ht="15" customHeight="1">
      <c r="A1685" s="41" t="s">
        <v>183</v>
      </c>
      <c r="B1685" s="402" t="s">
        <v>3053</v>
      </c>
      <c r="C1685" s="113" t="s">
        <v>3054</v>
      </c>
      <c r="D1685" s="393" t="s">
        <v>567</v>
      </c>
      <c r="E1685" s="394" t="s">
        <v>1538</v>
      </c>
      <c r="F1685" s="86"/>
      <c r="G1685" s="405" t="s">
        <v>2414</v>
      </c>
      <c r="H1685" s="74">
        <v>4952</v>
      </c>
      <c r="I1685" s="50" t="s">
        <v>2</v>
      </c>
      <c r="J1685" s="48" t="s">
        <v>1144</v>
      </c>
      <c r="K1685" s="51">
        <v>41529</v>
      </c>
      <c r="L1685" s="173"/>
      <c r="N1685" s="50" t="s">
        <v>2</v>
      </c>
      <c r="O1685" s="74">
        <f>5/2</f>
        <v>2.5</v>
      </c>
      <c r="P1685" s="50">
        <v>6.8</v>
      </c>
      <c r="Q1685" s="74">
        <v>6.4</v>
      </c>
      <c r="R1685" s="50">
        <v>170</v>
      </c>
      <c r="S1685" s="74">
        <v>40</v>
      </c>
      <c r="T1685" s="50">
        <v>0.43</v>
      </c>
      <c r="U1685" s="131">
        <v>8.1999999999999993</v>
      </c>
      <c r="V1685" s="50">
        <v>5.6</v>
      </c>
      <c r="W1685" s="74">
        <f>0.04/2</f>
        <v>0.02</v>
      </c>
      <c r="X1685" s="50">
        <v>3.5999999999999997E-2</v>
      </c>
      <c r="Y1685" s="74">
        <f>0.013/2</f>
        <v>6.4999999999999997E-3</v>
      </c>
    </row>
    <row r="1686" spans="1:31" ht="15" customHeight="1">
      <c r="A1686" s="41" t="s">
        <v>183</v>
      </c>
      <c r="B1686" s="402" t="s">
        <v>3053</v>
      </c>
      <c r="C1686" s="113" t="s">
        <v>3054</v>
      </c>
      <c r="D1686" s="393" t="s">
        <v>567</v>
      </c>
      <c r="E1686" s="394" t="s">
        <v>1538</v>
      </c>
      <c r="F1686" s="86"/>
      <c r="G1686" s="405" t="s">
        <v>2414</v>
      </c>
      <c r="H1686" s="74">
        <v>4952</v>
      </c>
      <c r="I1686" s="50" t="s">
        <v>2</v>
      </c>
      <c r="J1686" s="48" t="s">
        <v>1716</v>
      </c>
      <c r="K1686" s="51">
        <v>41529</v>
      </c>
      <c r="L1686" s="173"/>
      <c r="N1686" s="50" t="s">
        <v>2</v>
      </c>
      <c r="O1686" s="74">
        <f>5/2</f>
        <v>2.5</v>
      </c>
      <c r="P1686" s="50">
        <v>6.8</v>
      </c>
      <c r="Q1686" s="74">
        <v>6.47</v>
      </c>
      <c r="R1686" s="50">
        <v>7.5</v>
      </c>
      <c r="S1686" s="74">
        <v>25</v>
      </c>
      <c r="T1686" s="50">
        <f>0.1/2</f>
        <v>0.05</v>
      </c>
      <c r="U1686" s="131">
        <f>1/2</f>
        <v>0.5</v>
      </c>
      <c r="V1686" s="50">
        <v>0.2</v>
      </c>
      <c r="W1686" s="74">
        <f>0.04/2</f>
        <v>0.02</v>
      </c>
      <c r="X1686" s="50">
        <f>0.02/2</f>
        <v>0.01</v>
      </c>
      <c r="Y1686" s="74">
        <f>0.013/2</f>
        <v>6.4999999999999997E-3</v>
      </c>
    </row>
    <row r="1687" spans="1:31" ht="15" customHeight="1">
      <c r="A1687" s="41" t="s">
        <v>183</v>
      </c>
      <c r="B1687" s="402" t="s">
        <v>2096</v>
      </c>
      <c r="C1687" s="113" t="s">
        <v>1236</v>
      </c>
      <c r="D1687" s="393" t="s">
        <v>111</v>
      </c>
      <c r="E1687" s="394" t="s">
        <v>112</v>
      </c>
      <c r="G1687" s="405" t="s">
        <v>3602</v>
      </c>
      <c r="H1687" s="113">
        <v>3316</v>
      </c>
      <c r="I1687" s="49" t="s">
        <v>1</v>
      </c>
      <c r="J1687" s="48" t="s">
        <v>96</v>
      </c>
      <c r="K1687" s="51">
        <v>41579</v>
      </c>
      <c r="L1687" s="173">
        <v>41465</v>
      </c>
      <c r="N1687" s="50" t="s">
        <v>2</v>
      </c>
      <c r="V1687" s="50">
        <v>1.9</v>
      </c>
      <c r="AE1687" s="50">
        <v>384</v>
      </c>
    </row>
    <row r="1688" spans="1:31" ht="15" customHeight="1">
      <c r="A1688" s="41" t="s">
        <v>183</v>
      </c>
      <c r="B1688" s="402" t="s">
        <v>2096</v>
      </c>
      <c r="C1688" s="113" t="s">
        <v>1236</v>
      </c>
      <c r="D1688" s="393" t="s">
        <v>111</v>
      </c>
      <c r="E1688" s="394" t="s">
        <v>112</v>
      </c>
      <c r="G1688" s="405" t="s">
        <v>3602</v>
      </c>
      <c r="H1688" s="113">
        <v>3316</v>
      </c>
      <c r="I1688" s="49" t="s">
        <v>1</v>
      </c>
      <c r="J1688" s="48" t="s">
        <v>690</v>
      </c>
      <c r="K1688" s="51">
        <v>41579</v>
      </c>
      <c r="L1688" s="173">
        <v>41465</v>
      </c>
      <c r="N1688" s="50" t="s">
        <v>2</v>
      </c>
      <c r="V1688" s="50">
        <v>3</v>
      </c>
      <c r="AE1688" s="50">
        <v>608</v>
      </c>
    </row>
    <row r="1689" spans="1:31" ht="15" customHeight="1">
      <c r="A1689" s="41" t="s">
        <v>183</v>
      </c>
      <c r="B1689" s="402" t="s">
        <v>2096</v>
      </c>
      <c r="C1689" s="113" t="s">
        <v>1236</v>
      </c>
      <c r="D1689" s="393" t="s">
        <v>111</v>
      </c>
      <c r="E1689" s="394" t="s">
        <v>112</v>
      </c>
      <c r="G1689" s="405" t="s">
        <v>3602</v>
      </c>
      <c r="H1689" s="113">
        <v>3316</v>
      </c>
      <c r="I1689" s="49" t="s">
        <v>1</v>
      </c>
      <c r="J1689" s="48" t="s">
        <v>2097</v>
      </c>
      <c r="K1689" s="51">
        <v>41579</v>
      </c>
      <c r="L1689" s="173">
        <v>41465</v>
      </c>
      <c r="N1689" s="50" t="s">
        <v>2</v>
      </c>
      <c r="AE1689" s="50">
        <v>508</v>
      </c>
    </row>
    <row r="1690" spans="1:31" ht="15" customHeight="1">
      <c r="A1690" s="41" t="s">
        <v>183</v>
      </c>
      <c r="B1690" s="402" t="s">
        <v>2096</v>
      </c>
      <c r="C1690" s="113" t="s">
        <v>1236</v>
      </c>
      <c r="D1690" s="393" t="s">
        <v>111</v>
      </c>
      <c r="E1690" s="394" t="s">
        <v>112</v>
      </c>
      <c r="G1690" s="405" t="s">
        <v>3602</v>
      </c>
      <c r="H1690" s="113">
        <v>3316</v>
      </c>
      <c r="I1690" s="49" t="s">
        <v>1</v>
      </c>
      <c r="J1690" s="48" t="s">
        <v>1291</v>
      </c>
      <c r="K1690" s="51">
        <v>41579</v>
      </c>
      <c r="L1690" s="173">
        <v>41465</v>
      </c>
      <c r="N1690" s="50" t="s">
        <v>2</v>
      </c>
      <c r="AE1690" s="50">
        <v>960</v>
      </c>
    </row>
    <row r="1691" spans="1:31" ht="15" customHeight="1">
      <c r="A1691" s="41" t="s">
        <v>183</v>
      </c>
      <c r="B1691" s="402" t="s">
        <v>2096</v>
      </c>
      <c r="C1691" s="113" t="s">
        <v>1236</v>
      </c>
      <c r="D1691" s="393" t="s">
        <v>111</v>
      </c>
      <c r="E1691" s="394" t="s">
        <v>112</v>
      </c>
      <c r="G1691" s="405" t="s">
        <v>3602</v>
      </c>
      <c r="H1691" s="113">
        <v>3316</v>
      </c>
      <c r="I1691" s="49" t="s">
        <v>1</v>
      </c>
      <c r="J1691" s="48" t="s">
        <v>171</v>
      </c>
      <c r="K1691" s="51">
        <v>41579</v>
      </c>
      <c r="L1691" s="173">
        <v>41465</v>
      </c>
      <c r="N1691" s="50" t="s">
        <v>2</v>
      </c>
      <c r="R1691" s="50">
        <v>0.5</v>
      </c>
      <c r="S1691" s="74">
        <v>13</v>
      </c>
      <c r="U1691" s="131">
        <v>1.8</v>
      </c>
      <c r="V1691" s="50">
        <v>0.11</v>
      </c>
      <c r="AE1691" s="50">
        <v>152</v>
      </c>
    </row>
    <row r="1692" spans="1:31" ht="15" customHeight="1">
      <c r="A1692" s="41" t="s">
        <v>183</v>
      </c>
      <c r="B1692" s="402" t="s">
        <v>2194</v>
      </c>
      <c r="D1692" s="393" t="s">
        <v>443</v>
      </c>
      <c r="E1692" s="394" t="s">
        <v>390</v>
      </c>
      <c r="G1692" s="405" t="s">
        <v>1804</v>
      </c>
      <c r="H1692" s="113" t="s">
        <v>2195</v>
      </c>
      <c r="I1692" s="49" t="s">
        <v>2</v>
      </c>
      <c r="J1692" s="48" t="s">
        <v>1125</v>
      </c>
      <c r="K1692" s="51">
        <v>41240</v>
      </c>
      <c r="L1692" s="173">
        <v>41220</v>
      </c>
      <c r="M1692" s="50">
        <f>K1692-L1692</f>
        <v>20</v>
      </c>
      <c r="N1692" s="50" t="s">
        <v>2</v>
      </c>
      <c r="O1692" s="74">
        <v>36</v>
      </c>
      <c r="P1692" s="50">
        <v>6.97</v>
      </c>
      <c r="Q1692" s="74">
        <v>6.59</v>
      </c>
      <c r="R1692" s="50">
        <v>150</v>
      </c>
      <c r="S1692" s="74">
        <v>37</v>
      </c>
      <c r="T1692" s="50">
        <f>0.1/2</f>
        <v>0.05</v>
      </c>
      <c r="U1692" s="131">
        <f>1/2</f>
        <v>0.5</v>
      </c>
      <c r="V1692" s="50">
        <v>0.13</v>
      </c>
      <c r="W1692" s="74">
        <f>0.04/2</f>
        <v>0.02</v>
      </c>
      <c r="X1692" s="50">
        <v>1.5</v>
      </c>
      <c r="Y1692" s="74">
        <f>0.013/2</f>
        <v>6.4999999999999997E-3</v>
      </c>
      <c r="Z1692" s="271">
        <v>0.17100000000000001</v>
      </c>
      <c r="AA1692" s="271">
        <v>7.1999999999999995E-2</v>
      </c>
      <c r="AB1692" s="114">
        <v>6.9</v>
      </c>
      <c r="AC1692" s="50">
        <v>48</v>
      </c>
      <c r="AD1692" s="271">
        <v>0</v>
      </c>
    </row>
    <row r="1693" spans="1:31" ht="15" customHeight="1">
      <c r="A1693" s="41" t="s">
        <v>183</v>
      </c>
      <c r="B1693" s="402" t="s">
        <v>2194</v>
      </c>
      <c r="D1693" s="393" t="s">
        <v>443</v>
      </c>
      <c r="E1693" s="394" t="s">
        <v>390</v>
      </c>
      <c r="G1693" s="405" t="s">
        <v>1804</v>
      </c>
      <c r="H1693" s="113" t="s">
        <v>2195</v>
      </c>
      <c r="I1693" s="49" t="s">
        <v>2</v>
      </c>
      <c r="J1693" s="48" t="s">
        <v>1126</v>
      </c>
      <c r="K1693" s="51">
        <v>41240</v>
      </c>
      <c r="L1693" s="173">
        <v>41220</v>
      </c>
      <c r="M1693" s="50">
        <f>K1693-L1693</f>
        <v>20</v>
      </c>
      <c r="N1693" s="50" t="s">
        <v>2</v>
      </c>
      <c r="O1693" s="74">
        <f>5/2</f>
        <v>2.5</v>
      </c>
      <c r="P1693" s="50">
        <v>6.97</v>
      </c>
      <c r="Q1693" s="74">
        <v>6.27</v>
      </c>
      <c r="R1693" s="50">
        <v>29</v>
      </c>
      <c r="S1693" s="74">
        <v>27</v>
      </c>
      <c r="T1693" s="50">
        <f>0.1/2</f>
        <v>0.05</v>
      </c>
      <c r="U1693" s="131">
        <f>1/2</f>
        <v>0.5</v>
      </c>
      <c r="V1693" s="50">
        <v>0.57999999999999996</v>
      </c>
      <c r="W1693" s="74">
        <f>0.04/2</f>
        <v>0.02</v>
      </c>
      <c r="X1693" s="50">
        <v>3.3000000000000002E-2</v>
      </c>
      <c r="Y1693" s="74">
        <f>0.013/2</f>
        <v>6.4999999999999997E-3</v>
      </c>
      <c r="Z1693" s="271">
        <v>1</v>
      </c>
      <c r="AA1693" s="271">
        <v>1</v>
      </c>
      <c r="AB1693" s="114">
        <v>7.1</v>
      </c>
      <c r="AC1693" s="50">
        <v>44</v>
      </c>
      <c r="AD1693" s="271">
        <v>1</v>
      </c>
    </row>
    <row r="1694" spans="1:31" ht="15" customHeight="1">
      <c r="A1694" s="41" t="s">
        <v>183</v>
      </c>
      <c r="B1694" s="402" t="s">
        <v>2194</v>
      </c>
      <c r="D1694" s="393" t="s">
        <v>443</v>
      </c>
      <c r="E1694" s="394" t="s">
        <v>390</v>
      </c>
      <c r="G1694" s="405" t="s">
        <v>1804</v>
      </c>
      <c r="H1694" s="113" t="s">
        <v>2195</v>
      </c>
      <c r="I1694" s="49" t="s">
        <v>2</v>
      </c>
      <c r="J1694" s="48" t="s">
        <v>1125</v>
      </c>
      <c r="K1694" s="51">
        <v>41432</v>
      </c>
      <c r="L1694" s="173">
        <v>41428</v>
      </c>
      <c r="M1694" s="50">
        <f>K1694-L1694</f>
        <v>4</v>
      </c>
      <c r="N1694" s="50" t="s">
        <v>1</v>
      </c>
      <c r="O1694" s="74">
        <f>5/2</f>
        <v>2.5</v>
      </c>
      <c r="P1694" s="50">
        <v>6.2</v>
      </c>
      <c r="Q1694" s="74">
        <v>5.12</v>
      </c>
      <c r="R1694" s="50">
        <f>5/2</f>
        <v>2.5</v>
      </c>
      <c r="S1694" s="74">
        <v>8</v>
      </c>
      <c r="T1694" s="50">
        <f>0.1/2</f>
        <v>0.05</v>
      </c>
      <c r="U1694" s="131">
        <f>1/2</f>
        <v>0.5</v>
      </c>
      <c r="V1694" s="50">
        <v>0.13</v>
      </c>
      <c r="W1694" s="74">
        <f>0.04/2</f>
        <v>0.02</v>
      </c>
      <c r="X1694" s="50">
        <v>1.1000000000000001</v>
      </c>
      <c r="Y1694" s="74">
        <f>0.013/2</f>
        <v>6.4999999999999997E-3</v>
      </c>
      <c r="Z1694" s="271">
        <v>0.20300000000000001</v>
      </c>
      <c r="AA1694" s="271">
        <v>0.19</v>
      </c>
      <c r="AB1694" s="114">
        <v>3.1</v>
      </c>
      <c r="AC1694" s="50">
        <v>21</v>
      </c>
      <c r="AD1694" s="271">
        <v>0</v>
      </c>
    </row>
    <row r="1695" spans="1:31" ht="15" customHeight="1">
      <c r="A1695" s="41" t="s">
        <v>183</v>
      </c>
      <c r="B1695" s="402" t="s">
        <v>2194</v>
      </c>
      <c r="D1695" s="393" t="s">
        <v>443</v>
      </c>
      <c r="E1695" s="394" t="s">
        <v>390</v>
      </c>
      <c r="G1695" s="405" t="s">
        <v>1804</v>
      </c>
      <c r="H1695" s="113" t="s">
        <v>2195</v>
      </c>
      <c r="I1695" s="49" t="s">
        <v>2</v>
      </c>
      <c r="J1695" s="48" t="s">
        <v>1126</v>
      </c>
      <c r="K1695" s="51">
        <v>41432</v>
      </c>
      <c r="L1695" s="173">
        <v>41428</v>
      </c>
      <c r="M1695" s="50">
        <f>K1695-L1695</f>
        <v>4</v>
      </c>
      <c r="N1695" s="50" t="s">
        <v>1</v>
      </c>
      <c r="O1695" s="74">
        <f>5/2</f>
        <v>2.5</v>
      </c>
      <c r="P1695" s="50">
        <v>6.2</v>
      </c>
      <c r="Q1695" s="74">
        <v>6.46</v>
      </c>
      <c r="R1695" s="50">
        <f>5/2</f>
        <v>2.5</v>
      </c>
      <c r="S1695" s="74">
        <f>5/2</f>
        <v>2.5</v>
      </c>
      <c r="T1695" s="50">
        <v>0.11</v>
      </c>
      <c r="U1695" s="131">
        <f>1/2</f>
        <v>0.5</v>
      </c>
      <c r="V1695" s="50">
        <v>0.17</v>
      </c>
      <c r="W1695" s="74">
        <f>0.04/2</f>
        <v>0.02</v>
      </c>
      <c r="X1695" s="50">
        <f>0.02/2</f>
        <v>0.01</v>
      </c>
      <c r="Y1695" s="74">
        <f>0.013/2</f>
        <v>6.4999999999999997E-3</v>
      </c>
      <c r="Z1695" s="271">
        <v>1</v>
      </c>
      <c r="AA1695" s="271">
        <v>1</v>
      </c>
      <c r="AB1695" s="114">
        <v>3.4</v>
      </c>
      <c r="AC1695" s="50">
        <v>19</v>
      </c>
      <c r="AD1695" s="271">
        <v>1</v>
      </c>
    </row>
    <row r="1696" spans="1:31" ht="15" customHeight="1">
      <c r="A1696" s="41" t="s">
        <v>183</v>
      </c>
      <c r="B1696" s="402" t="s">
        <v>4960</v>
      </c>
      <c r="D1696" s="393" t="s">
        <v>56</v>
      </c>
      <c r="E1696" s="394" t="s">
        <v>664</v>
      </c>
      <c r="G1696" s="405" t="s">
        <v>4959</v>
      </c>
      <c r="H1696" s="74">
        <v>5171</v>
      </c>
      <c r="I1696" s="50" t="s">
        <v>2</v>
      </c>
      <c r="J1696" s="339" t="s">
        <v>1144</v>
      </c>
      <c r="K1696" s="51">
        <v>41428</v>
      </c>
      <c r="L1696" s="173"/>
      <c r="N1696" s="50" t="s">
        <v>2</v>
      </c>
      <c r="O1696" s="74">
        <f>5/2</f>
        <v>2.5</v>
      </c>
      <c r="P1696" s="50">
        <v>6.38</v>
      </c>
      <c r="Q1696" s="74">
        <v>7.23</v>
      </c>
      <c r="R1696" s="50">
        <v>270</v>
      </c>
      <c r="S1696" s="74">
        <v>52</v>
      </c>
      <c r="T1696" s="50">
        <v>0.24</v>
      </c>
      <c r="U1696" s="131">
        <v>5.2</v>
      </c>
      <c r="V1696" s="50">
        <v>1</v>
      </c>
      <c r="W1696" s="74">
        <v>0.13</v>
      </c>
      <c r="X1696" s="50">
        <v>0.35</v>
      </c>
      <c r="Y1696" s="74">
        <v>1.7000000000000001E-2</v>
      </c>
      <c r="Z1696" s="271">
        <v>1</v>
      </c>
      <c r="AA1696" s="271">
        <v>0.85599999999999998</v>
      </c>
      <c r="AB1696" s="114">
        <v>79</v>
      </c>
      <c r="AC1696" s="50">
        <v>606</v>
      </c>
      <c r="AD1696" s="271">
        <v>0.3</v>
      </c>
    </row>
    <row r="1697" spans="1:30" ht="15" customHeight="1">
      <c r="A1697" s="41" t="s">
        <v>183</v>
      </c>
      <c r="B1697" s="402" t="s">
        <v>4960</v>
      </c>
      <c r="D1697" s="393" t="s">
        <v>56</v>
      </c>
      <c r="E1697" s="394" t="s">
        <v>664</v>
      </c>
      <c r="G1697" s="405" t="s">
        <v>4959</v>
      </c>
      <c r="H1697" s="74">
        <v>5171</v>
      </c>
      <c r="I1697" s="50" t="s">
        <v>2</v>
      </c>
      <c r="J1697" s="339" t="s">
        <v>1144</v>
      </c>
      <c r="K1697" s="51">
        <v>41513</v>
      </c>
      <c r="L1697" s="173"/>
      <c r="N1697" s="50" t="s">
        <v>2</v>
      </c>
      <c r="O1697" s="74">
        <f>5/2</f>
        <v>2.5</v>
      </c>
      <c r="P1697" s="50">
        <v>6.3</v>
      </c>
      <c r="Q1697" s="74">
        <v>7.83</v>
      </c>
      <c r="R1697" s="50">
        <v>35</v>
      </c>
      <c r="S1697" s="74">
        <v>87</v>
      </c>
      <c r="T1697" s="50">
        <f t="shared" ref="T1697:T1704" si="84">0.1/2</f>
        <v>0.05</v>
      </c>
      <c r="U1697" s="131">
        <f t="shared" ref="U1697:U1709" si="85">1/2</f>
        <v>0.5</v>
      </c>
      <c r="V1697" s="50">
        <v>0.16</v>
      </c>
      <c r="W1697" s="74">
        <f t="shared" ref="W1697:W1709" si="86">0.04/2</f>
        <v>0.02</v>
      </c>
      <c r="X1697" s="50">
        <v>0.24</v>
      </c>
      <c r="Y1697" s="74">
        <v>0.03</v>
      </c>
    </row>
    <row r="1698" spans="1:30" ht="15" customHeight="1">
      <c r="A1698" s="41" t="s">
        <v>183</v>
      </c>
      <c r="B1698" s="402" t="s">
        <v>88</v>
      </c>
      <c r="C1698" s="113" t="s">
        <v>88</v>
      </c>
      <c r="D1698" s="393" t="s">
        <v>89</v>
      </c>
      <c r="E1698" s="394" t="s">
        <v>535</v>
      </c>
      <c r="F1698" s="402">
        <v>6600</v>
      </c>
      <c r="G1698" s="405" t="s">
        <v>90</v>
      </c>
      <c r="H1698" s="49">
        <v>2834</v>
      </c>
      <c r="I1698" s="50" t="s">
        <v>1</v>
      </c>
      <c r="J1698" s="76" t="s">
        <v>1030</v>
      </c>
      <c r="K1698" s="51">
        <v>41072</v>
      </c>
      <c r="L1698" s="146"/>
      <c r="M1698" s="85" t="s">
        <v>91</v>
      </c>
      <c r="N1698" s="50" t="s">
        <v>2</v>
      </c>
      <c r="O1698" s="116">
        <v>2.5</v>
      </c>
      <c r="P1698" s="117">
        <v>6</v>
      </c>
      <c r="Q1698" s="74">
        <v>6.79</v>
      </c>
      <c r="R1698" s="50">
        <v>16</v>
      </c>
      <c r="S1698" s="74">
        <v>7</v>
      </c>
      <c r="T1698" s="50">
        <f t="shared" si="84"/>
        <v>0.05</v>
      </c>
      <c r="U1698" s="131">
        <f t="shared" si="85"/>
        <v>0.5</v>
      </c>
      <c r="V1698" s="50">
        <v>0.15</v>
      </c>
      <c r="W1698" s="74">
        <f t="shared" si="86"/>
        <v>0.02</v>
      </c>
      <c r="X1698" s="50">
        <v>0.23</v>
      </c>
      <c r="Y1698" s="74">
        <f t="shared" ref="Y1698:Y1709" si="87">0.013/2</f>
        <v>6.4999999999999997E-3</v>
      </c>
      <c r="Z1698" s="271">
        <v>0.70699999999999996</v>
      </c>
      <c r="AA1698" s="271">
        <v>0.63900000000000001</v>
      </c>
      <c r="AB1698" s="114">
        <v>2.6</v>
      </c>
      <c r="AC1698" s="50">
        <v>16</v>
      </c>
      <c r="AD1698" s="271">
        <v>0</v>
      </c>
    </row>
    <row r="1699" spans="1:30" ht="15" customHeight="1">
      <c r="A1699" s="41" t="s">
        <v>183</v>
      </c>
      <c r="B1699" s="402" t="s">
        <v>88</v>
      </c>
      <c r="C1699" s="113" t="s">
        <v>88</v>
      </c>
      <c r="D1699" s="393" t="s">
        <v>89</v>
      </c>
      <c r="E1699" s="394" t="s">
        <v>535</v>
      </c>
      <c r="F1699" s="402">
        <v>6600</v>
      </c>
      <c r="G1699" s="405" t="s">
        <v>90</v>
      </c>
      <c r="H1699" s="49">
        <v>2834</v>
      </c>
      <c r="I1699" s="50" t="s">
        <v>1</v>
      </c>
      <c r="J1699" s="76" t="s">
        <v>1031</v>
      </c>
      <c r="K1699" s="51">
        <v>41072</v>
      </c>
      <c r="L1699" s="146"/>
      <c r="M1699" s="85" t="s">
        <v>91</v>
      </c>
      <c r="N1699" s="50" t="s">
        <v>2</v>
      </c>
      <c r="O1699" s="116">
        <v>2.5</v>
      </c>
      <c r="P1699" s="117">
        <v>6</v>
      </c>
      <c r="Q1699" s="74">
        <v>6.76</v>
      </c>
      <c r="R1699" s="50">
        <v>10</v>
      </c>
      <c r="S1699" s="74">
        <f>5/2</f>
        <v>2.5</v>
      </c>
      <c r="T1699" s="50">
        <f t="shared" si="84"/>
        <v>0.05</v>
      </c>
      <c r="U1699" s="131">
        <f t="shared" si="85"/>
        <v>0.5</v>
      </c>
      <c r="V1699" s="50">
        <f t="shared" ref="V1699:V1709" si="88">0.1/2</f>
        <v>0.05</v>
      </c>
      <c r="W1699" s="74">
        <f t="shared" si="86"/>
        <v>0.02</v>
      </c>
      <c r="X1699" s="50">
        <f>0.02/2</f>
        <v>0.01</v>
      </c>
      <c r="Y1699" s="74">
        <f t="shared" si="87"/>
        <v>6.4999999999999997E-3</v>
      </c>
      <c r="Z1699" s="271">
        <v>1</v>
      </c>
      <c r="AA1699" s="271">
        <v>1</v>
      </c>
      <c r="AB1699" s="114">
        <v>1</v>
      </c>
      <c r="AC1699" s="50">
        <v>17</v>
      </c>
      <c r="AD1699" s="271">
        <v>0.85</v>
      </c>
    </row>
    <row r="1700" spans="1:30" ht="15" customHeight="1">
      <c r="A1700" s="41" t="s">
        <v>183</v>
      </c>
      <c r="B1700" s="402" t="s">
        <v>88</v>
      </c>
      <c r="C1700" s="113" t="s">
        <v>88</v>
      </c>
      <c r="D1700" s="393" t="s">
        <v>89</v>
      </c>
      <c r="E1700" s="394" t="s">
        <v>535</v>
      </c>
      <c r="F1700" s="402">
        <v>6600</v>
      </c>
      <c r="G1700" s="405" t="s">
        <v>90</v>
      </c>
      <c r="H1700" s="49">
        <v>2834</v>
      </c>
      <c r="I1700" s="50" t="s">
        <v>1</v>
      </c>
      <c r="J1700" s="76" t="s">
        <v>1032</v>
      </c>
      <c r="K1700" s="51">
        <v>41072</v>
      </c>
      <c r="L1700" s="146"/>
      <c r="M1700" s="85" t="s">
        <v>91</v>
      </c>
      <c r="N1700" s="50" t="s">
        <v>2</v>
      </c>
      <c r="O1700" s="116">
        <v>2.5</v>
      </c>
      <c r="P1700" s="117">
        <v>6</v>
      </c>
      <c r="Q1700" s="74">
        <v>6.65</v>
      </c>
      <c r="R1700" s="50">
        <v>14</v>
      </c>
      <c r="S1700" s="74">
        <v>8</v>
      </c>
      <c r="T1700" s="50">
        <f t="shared" si="84"/>
        <v>0.05</v>
      </c>
      <c r="U1700" s="131">
        <f t="shared" si="85"/>
        <v>0.5</v>
      </c>
      <c r="V1700" s="50">
        <f t="shared" si="88"/>
        <v>0.05</v>
      </c>
      <c r="W1700" s="74">
        <f t="shared" si="86"/>
        <v>0.02</v>
      </c>
      <c r="X1700" s="50">
        <f>0.02/2</f>
        <v>0.01</v>
      </c>
      <c r="Y1700" s="74">
        <f t="shared" si="87"/>
        <v>6.4999999999999997E-3</v>
      </c>
      <c r="Z1700" s="271">
        <v>1</v>
      </c>
      <c r="AA1700" s="271">
        <v>1</v>
      </c>
      <c r="AB1700" s="114">
        <v>1.5</v>
      </c>
      <c r="AC1700" s="50">
        <v>20</v>
      </c>
      <c r="AD1700" s="271">
        <v>1</v>
      </c>
    </row>
    <row r="1701" spans="1:30" ht="15" customHeight="1">
      <c r="A1701" s="41" t="s">
        <v>183</v>
      </c>
      <c r="B1701" s="402" t="s">
        <v>88</v>
      </c>
      <c r="C1701" s="113" t="s">
        <v>88</v>
      </c>
      <c r="D1701" s="393" t="s">
        <v>89</v>
      </c>
      <c r="E1701" s="394" t="s">
        <v>535</v>
      </c>
      <c r="F1701" s="402">
        <v>6600</v>
      </c>
      <c r="G1701" s="405" t="s">
        <v>4961</v>
      </c>
      <c r="H1701" s="49">
        <v>2834</v>
      </c>
      <c r="I1701" s="50" t="s">
        <v>1</v>
      </c>
      <c r="J1701" s="76" t="s">
        <v>4962</v>
      </c>
      <c r="K1701" s="51">
        <v>41073</v>
      </c>
      <c r="L1701" s="146"/>
      <c r="M1701" s="85" t="s">
        <v>91</v>
      </c>
      <c r="N1701" s="50" t="s">
        <v>2</v>
      </c>
      <c r="O1701" s="116">
        <v>2.5</v>
      </c>
      <c r="P1701" s="121">
        <v>6</v>
      </c>
      <c r="Q1701" s="74">
        <v>6.87</v>
      </c>
      <c r="R1701" s="50">
        <v>8</v>
      </c>
      <c r="S1701" s="74">
        <f>5/2</f>
        <v>2.5</v>
      </c>
      <c r="T1701" s="50">
        <f t="shared" si="84"/>
        <v>0.05</v>
      </c>
      <c r="U1701" s="131">
        <f t="shared" si="85"/>
        <v>0.5</v>
      </c>
      <c r="V1701" s="50">
        <f t="shared" si="88"/>
        <v>0.05</v>
      </c>
      <c r="W1701" s="74">
        <f t="shared" si="86"/>
        <v>0.02</v>
      </c>
      <c r="X1701" s="50">
        <v>0.13</v>
      </c>
      <c r="Y1701" s="74">
        <f t="shared" si="87"/>
        <v>6.4999999999999997E-3</v>
      </c>
      <c r="Z1701" s="271">
        <v>1</v>
      </c>
      <c r="AA1701" s="271">
        <v>0.57099999999999995</v>
      </c>
      <c r="AB1701" s="114">
        <v>7.6</v>
      </c>
      <c r="AC1701" s="50">
        <v>23</v>
      </c>
      <c r="AD1701" s="271">
        <v>0.15</v>
      </c>
    </row>
    <row r="1702" spans="1:30" ht="15" customHeight="1">
      <c r="A1702" s="41" t="s">
        <v>183</v>
      </c>
      <c r="B1702" s="402" t="s">
        <v>88</v>
      </c>
      <c r="C1702" s="113" t="s">
        <v>88</v>
      </c>
      <c r="D1702" s="393" t="s">
        <v>89</v>
      </c>
      <c r="E1702" s="394" t="s">
        <v>535</v>
      </c>
      <c r="F1702" s="402">
        <v>6600</v>
      </c>
      <c r="G1702" s="405" t="s">
        <v>4961</v>
      </c>
      <c r="H1702" s="49">
        <v>2834</v>
      </c>
      <c r="I1702" s="50" t="s">
        <v>1</v>
      </c>
      <c r="J1702" s="76" t="s">
        <v>1033</v>
      </c>
      <c r="K1702" s="51">
        <v>41073</v>
      </c>
      <c r="L1702" s="146"/>
      <c r="M1702" s="85" t="s">
        <v>91</v>
      </c>
      <c r="N1702" s="50" t="s">
        <v>2</v>
      </c>
      <c r="O1702" s="116">
        <v>2.5</v>
      </c>
      <c r="P1702" s="121">
        <v>6</v>
      </c>
      <c r="Q1702" s="74">
        <v>6.57</v>
      </c>
      <c r="R1702" s="50">
        <v>33</v>
      </c>
      <c r="S1702" s="74">
        <f>5/2</f>
        <v>2.5</v>
      </c>
      <c r="T1702" s="50">
        <f t="shared" si="84"/>
        <v>0.05</v>
      </c>
      <c r="U1702" s="131">
        <f t="shared" si="85"/>
        <v>0.5</v>
      </c>
      <c r="V1702" s="50">
        <f t="shared" si="88"/>
        <v>0.05</v>
      </c>
      <c r="W1702" s="74">
        <f t="shared" si="86"/>
        <v>0.02</v>
      </c>
      <c r="X1702" s="50">
        <f>0.02/2</f>
        <v>0.01</v>
      </c>
      <c r="Y1702" s="74">
        <f t="shared" si="87"/>
        <v>6.4999999999999997E-3</v>
      </c>
      <c r="Z1702" s="271">
        <v>1</v>
      </c>
      <c r="AA1702" s="271">
        <v>1</v>
      </c>
      <c r="AB1702" s="114">
        <v>71</v>
      </c>
      <c r="AC1702" s="50">
        <v>269</v>
      </c>
      <c r="AD1702" s="271">
        <v>1</v>
      </c>
    </row>
    <row r="1703" spans="1:30" ht="15" customHeight="1">
      <c r="A1703" s="41" t="s">
        <v>183</v>
      </c>
      <c r="B1703" s="402" t="s">
        <v>88</v>
      </c>
      <c r="C1703" s="113" t="s">
        <v>88</v>
      </c>
      <c r="D1703" s="393" t="s">
        <v>89</v>
      </c>
      <c r="E1703" s="394" t="s">
        <v>535</v>
      </c>
      <c r="F1703" s="402">
        <v>6600</v>
      </c>
      <c r="G1703" s="414" t="s">
        <v>4961</v>
      </c>
      <c r="H1703" s="58">
        <v>2834</v>
      </c>
      <c r="I1703" s="50" t="s">
        <v>1</v>
      </c>
      <c r="J1703" s="76" t="s">
        <v>1034</v>
      </c>
      <c r="K1703" s="51">
        <v>41073</v>
      </c>
      <c r="L1703" s="146"/>
      <c r="M1703" s="85" t="s">
        <v>91</v>
      </c>
      <c r="N1703" s="50" t="s">
        <v>2</v>
      </c>
      <c r="O1703" s="116">
        <v>2.5</v>
      </c>
      <c r="P1703" s="121">
        <v>6</v>
      </c>
      <c r="Q1703" s="74">
        <v>6.67</v>
      </c>
      <c r="R1703" s="50">
        <v>29</v>
      </c>
      <c r="S1703" s="74">
        <f>5/2</f>
        <v>2.5</v>
      </c>
      <c r="T1703" s="50">
        <f t="shared" si="84"/>
        <v>0.05</v>
      </c>
      <c r="U1703" s="131">
        <f t="shared" si="85"/>
        <v>0.5</v>
      </c>
      <c r="V1703" s="50">
        <f t="shared" si="88"/>
        <v>0.05</v>
      </c>
      <c r="W1703" s="74">
        <f t="shared" si="86"/>
        <v>0.02</v>
      </c>
      <c r="X1703" s="50">
        <f>0.02/2</f>
        <v>0.01</v>
      </c>
      <c r="Y1703" s="74">
        <f t="shared" si="87"/>
        <v>6.4999999999999997E-3</v>
      </c>
      <c r="Z1703" s="271">
        <v>1</v>
      </c>
      <c r="AA1703" s="271">
        <v>1</v>
      </c>
      <c r="AB1703" s="114">
        <v>70</v>
      </c>
      <c r="AC1703" s="50">
        <v>259</v>
      </c>
      <c r="AD1703" s="271">
        <v>0.9</v>
      </c>
    </row>
    <row r="1704" spans="1:30" ht="15" customHeight="1">
      <c r="A1704" s="41" t="s">
        <v>183</v>
      </c>
      <c r="B1704" s="402" t="s">
        <v>88</v>
      </c>
      <c r="C1704" s="113" t="s">
        <v>88</v>
      </c>
      <c r="D1704" s="393" t="s">
        <v>89</v>
      </c>
      <c r="E1704" s="394" t="s">
        <v>535</v>
      </c>
      <c r="F1704" s="402">
        <v>6600</v>
      </c>
      <c r="G1704" s="405" t="s">
        <v>90</v>
      </c>
      <c r="H1704" s="49">
        <v>2834</v>
      </c>
      <c r="I1704" s="50" t="s">
        <v>1</v>
      </c>
      <c r="J1704" s="76" t="s">
        <v>1030</v>
      </c>
      <c r="K1704" s="51">
        <v>41332</v>
      </c>
      <c r="L1704" s="146"/>
      <c r="M1704" s="85" t="s">
        <v>91</v>
      </c>
      <c r="N1704" s="50" t="s">
        <v>2</v>
      </c>
      <c r="O1704" s="116">
        <v>2.5</v>
      </c>
      <c r="P1704" s="50">
        <v>5.5</v>
      </c>
      <c r="Q1704" s="74">
        <v>6.7</v>
      </c>
      <c r="R1704" s="50">
        <v>7.4</v>
      </c>
      <c r="S1704" s="74">
        <v>18</v>
      </c>
      <c r="T1704" s="50">
        <f t="shared" si="84"/>
        <v>0.05</v>
      </c>
      <c r="U1704" s="131">
        <f t="shared" si="85"/>
        <v>0.5</v>
      </c>
      <c r="V1704" s="50">
        <f t="shared" si="88"/>
        <v>0.05</v>
      </c>
      <c r="W1704" s="74">
        <f t="shared" si="86"/>
        <v>0.02</v>
      </c>
      <c r="X1704" s="50">
        <v>0.15</v>
      </c>
      <c r="Y1704" s="74">
        <f t="shared" si="87"/>
        <v>6.4999999999999997E-3</v>
      </c>
      <c r="Z1704" s="271">
        <v>1</v>
      </c>
      <c r="AA1704" s="271">
        <v>1</v>
      </c>
      <c r="AB1704" s="114">
        <v>8.3000000000000007</v>
      </c>
      <c r="AC1704" s="50">
        <v>41</v>
      </c>
      <c r="AD1704" s="271">
        <v>0.55000000000000004</v>
      </c>
    </row>
    <row r="1705" spans="1:30" ht="15" customHeight="1">
      <c r="A1705" s="41" t="s">
        <v>183</v>
      </c>
      <c r="B1705" s="402" t="s">
        <v>88</v>
      </c>
      <c r="C1705" s="113" t="s">
        <v>88</v>
      </c>
      <c r="D1705" s="393" t="s">
        <v>89</v>
      </c>
      <c r="E1705" s="394" t="s">
        <v>535</v>
      </c>
      <c r="F1705" s="402">
        <v>6600</v>
      </c>
      <c r="G1705" s="405" t="s">
        <v>90</v>
      </c>
      <c r="H1705" s="49">
        <v>2834</v>
      </c>
      <c r="I1705" s="50" t="s">
        <v>1</v>
      </c>
      <c r="J1705" s="76" t="s">
        <v>1031</v>
      </c>
      <c r="K1705" s="51">
        <v>41332</v>
      </c>
      <c r="L1705" s="146"/>
      <c r="M1705" s="85" t="s">
        <v>91</v>
      </c>
      <c r="N1705" s="50" t="s">
        <v>2</v>
      </c>
      <c r="O1705" s="116">
        <v>2.5</v>
      </c>
      <c r="P1705" s="50">
        <v>5.5</v>
      </c>
      <c r="Q1705" s="74">
        <v>6.71</v>
      </c>
      <c r="R1705" s="50">
        <v>30</v>
      </c>
      <c r="S1705" s="74">
        <v>330</v>
      </c>
      <c r="T1705" s="50">
        <v>0.32</v>
      </c>
      <c r="U1705" s="131">
        <f t="shared" si="85"/>
        <v>0.5</v>
      </c>
      <c r="V1705" s="50">
        <f t="shared" si="88"/>
        <v>0.05</v>
      </c>
      <c r="W1705" s="74">
        <f t="shared" si="86"/>
        <v>0.02</v>
      </c>
      <c r="X1705" s="50">
        <v>1.4999999999999999E-2</v>
      </c>
      <c r="Y1705" s="74">
        <f t="shared" si="87"/>
        <v>6.4999999999999997E-3</v>
      </c>
      <c r="Z1705" s="271">
        <v>1</v>
      </c>
      <c r="AA1705" s="271">
        <v>1</v>
      </c>
      <c r="AB1705" s="114">
        <v>37</v>
      </c>
      <c r="AC1705" s="50">
        <v>61</v>
      </c>
      <c r="AD1705" s="271">
        <v>1</v>
      </c>
    </row>
    <row r="1706" spans="1:30" ht="15" customHeight="1">
      <c r="A1706" s="41" t="s">
        <v>183</v>
      </c>
      <c r="B1706" s="402" t="s">
        <v>88</v>
      </c>
      <c r="C1706" s="113" t="s">
        <v>88</v>
      </c>
      <c r="D1706" s="393" t="s">
        <v>89</v>
      </c>
      <c r="E1706" s="394" t="s">
        <v>535</v>
      </c>
      <c r="F1706" s="402">
        <v>6600</v>
      </c>
      <c r="G1706" s="405" t="s">
        <v>90</v>
      </c>
      <c r="H1706" s="49">
        <v>2834</v>
      </c>
      <c r="I1706" s="50" t="s">
        <v>1</v>
      </c>
      <c r="J1706" s="76" t="s">
        <v>1032</v>
      </c>
      <c r="K1706" s="51">
        <v>41332</v>
      </c>
      <c r="L1706" s="146"/>
      <c r="M1706" s="85" t="s">
        <v>91</v>
      </c>
      <c r="N1706" s="50" t="s">
        <v>2</v>
      </c>
      <c r="O1706" s="116">
        <v>2.5</v>
      </c>
      <c r="P1706" s="50">
        <v>5.5</v>
      </c>
      <c r="Q1706" s="74">
        <v>6.93</v>
      </c>
      <c r="R1706" s="50">
        <v>70</v>
      </c>
      <c r="S1706" s="74">
        <v>100</v>
      </c>
      <c r="T1706" s="50">
        <f>0.1/2</f>
        <v>0.05</v>
      </c>
      <c r="U1706" s="131">
        <f t="shared" si="85"/>
        <v>0.5</v>
      </c>
      <c r="V1706" s="50">
        <f t="shared" si="88"/>
        <v>0.05</v>
      </c>
      <c r="W1706" s="74">
        <f t="shared" si="86"/>
        <v>0.02</v>
      </c>
      <c r="X1706" s="50">
        <v>0.1</v>
      </c>
      <c r="Y1706" s="74">
        <f t="shared" si="87"/>
        <v>6.4999999999999997E-3</v>
      </c>
      <c r="Z1706" s="271">
        <v>0.70699999999999996</v>
      </c>
      <c r="AA1706" s="271">
        <v>0.68300000000000005</v>
      </c>
      <c r="AB1706" s="114">
        <v>29</v>
      </c>
      <c r="AC1706" s="50">
        <v>3490</v>
      </c>
      <c r="AD1706" s="271">
        <v>0</v>
      </c>
    </row>
    <row r="1707" spans="1:30" ht="15" customHeight="1">
      <c r="A1707" s="41" t="s">
        <v>183</v>
      </c>
      <c r="B1707" s="402" t="s">
        <v>88</v>
      </c>
      <c r="C1707" s="113" t="s">
        <v>88</v>
      </c>
      <c r="D1707" s="393" t="s">
        <v>89</v>
      </c>
      <c r="E1707" s="394" t="s">
        <v>535</v>
      </c>
      <c r="F1707" s="402">
        <v>6600</v>
      </c>
      <c r="G1707" s="405" t="s">
        <v>90</v>
      </c>
      <c r="H1707" s="49">
        <v>2834</v>
      </c>
      <c r="I1707" s="50" t="s">
        <v>1</v>
      </c>
      <c r="J1707" s="76" t="s">
        <v>4962</v>
      </c>
      <c r="K1707" s="51">
        <v>41332</v>
      </c>
      <c r="L1707" s="146"/>
      <c r="M1707" s="85" t="s">
        <v>91</v>
      </c>
      <c r="N1707" s="50" t="s">
        <v>2</v>
      </c>
      <c r="O1707" s="116">
        <v>2.5</v>
      </c>
      <c r="P1707" s="50">
        <v>5.5</v>
      </c>
      <c r="Q1707" s="74">
        <v>6.61</v>
      </c>
      <c r="R1707" s="50">
        <f t="shared" ref="R1707:S1709" si="89">5/2</f>
        <v>2.5</v>
      </c>
      <c r="S1707" s="74">
        <f t="shared" si="89"/>
        <v>2.5</v>
      </c>
      <c r="T1707" s="50">
        <f>0.1/2</f>
        <v>0.05</v>
      </c>
      <c r="U1707" s="131">
        <f t="shared" si="85"/>
        <v>0.5</v>
      </c>
      <c r="V1707" s="50">
        <f t="shared" si="88"/>
        <v>0.05</v>
      </c>
      <c r="W1707" s="74">
        <f t="shared" si="86"/>
        <v>0.02</v>
      </c>
      <c r="X1707" s="50">
        <v>5.3999999999999999E-2</v>
      </c>
      <c r="Y1707" s="74">
        <f t="shared" si="87"/>
        <v>6.4999999999999997E-3</v>
      </c>
      <c r="Z1707" s="271">
        <v>1</v>
      </c>
      <c r="AA1707" s="271">
        <v>1</v>
      </c>
      <c r="AB1707" s="114">
        <v>5.2</v>
      </c>
      <c r="AC1707" s="50">
        <v>21</v>
      </c>
      <c r="AD1707" s="271">
        <v>0.5</v>
      </c>
    </row>
    <row r="1708" spans="1:30" ht="15" customHeight="1">
      <c r="A1708" s="41" t="s">
        <v>183</v>
      </c>
      <c r="B1708" s="402" t="s">
        <v>88</v>
      </c>
      <c r="C1708" s="113" t="s">
        <v>88</v>
      </c>
      <c r="D1708" s="393" t="s">
        <v>89</v>
      </c>
      <c r="E1708" s="394" t="s">
        <v>535</v>
      </c>
      <c r="F1708" s="402">
        <v>6600</v>
      </c>
      <c r="G1708" s="405" t="s">
        <v>4961</v>
      </c>
      <c r="H1708" s="49">
        <v>2834</v>
      </c>
      <c r="I1708" s="50" t="s">
        <v>1</v>
      </c>
      <c r="J1708" s="76" t="s">
        <v>1033</v>
      </c>
      <c r="K1708" s="51">
        <v>41332</v>
      </c>
      <c r="L1708" s="146"/>
      <c r="M1708" s="85" t="s">
        <v>91</v>
      </c>
      <c r="N1708" s="50" t="s">
        <v>2</v>
      </c>
      <c r="O1708" s="116">
        <v>2.5</v>
      </c>
      <c r="P1708" s="50">
        <v>5.5</v>
      </c>
      <c r="Q1708" s="74">
        <v>6.56</v>
      </c>
      <c r="R1708" s="50">
        <f t="shared" si="89"/>
        <v>2.5</v>
      </c>
      <c r="S1708" s="74">
        <f t="shared" si="89"/>
        <v>2.5</v>
      </c>
      <c r="T1708" s="50">
        <f>0.1/2</f>
        <v>0.05</v>
      </c>
      <c r="U1708" s="131">
        <f t="shared" si="85"/>
        <v>0.5</v>
      </c>
      <c r="V1708" s="50">
        <f t="shared" si="88"/>
        <v>0.05</v>
      </c>
      <c r="W1708" s="74">
        <f t="shared" si="86"/>
        <v>0.02</v>
      </c>
      <c r="X1708" s="50">
        <f>0.02/2</f>
        <v>0.01</v>
      </c>
      <c r="Y1708" s="74">
        <f t="shared" si="87"/>
        <v>6.4999999999999997E-3</v>
      </c>
      <c r="Z1708" s="271">
        <v>1</v>
      </c>
      <c r="AA1708" s="271">
        <v>1</v>
      </c>
      <c r="AB1708" s="114">
        <v>47</v>
      </c>
      <c r="AC1708" s="50">
        <v>108</v>
      </c>
      <c r="AD1708" s="271">
        <v>0.7</v>
      </c>
    </row>
    <row r="1709" spans="1:30" ht="15" customHeight="1">
      <c r="A1709" s="41" t="s">
        <v>183</v>
      </c>
      <c r="B1709" s="402" t="s">
        <v>88</v>
      </c>
      <c r="C1709" s="113" t="s">
        <v>88</v>
      </c>
      <c r="D1709" s="393" t="s">
        <v>89</v>
      </c>
      <c r="E1709" s="394" t="s">
        <v>535</v>
      </c>
      <c r="F1709" s="402">
        <v>6600</v>
      </c>
      <c r="G1709" s="414" t="s">
        <v>4961</v>
      </c>
      <c r="H1709" s="58">
        <v>2834</v>
      </c>
      <c r="I1709" s="50" t="s">
        <v>1</v>
      </c>
      <c r="J1709" s="76" t="s">
        <v>1034</v>
      </c>
      <c r="K1709" s="51">
        <v>41332</v>
      </c>
      <c r="L1709" s="146"/>
      <c r="M1709" s="85" t="s">
        <v>91</v>
      </c>
      <c r="N1709" s="50" t="s">
        <v>2</v>
      </c>
      <c r="O1709" s="116">
        <v>2.5</v>
      </c>
      <c r="P1709" s="50">
        <v>5.5</v>
      </c>
      <c r="Q1709" s="74">
        <v>6.71</v>
      </c>
      <c r="R1709" s="50">
        <f t="shared" si="89"/>
        <v>2.5</v>
      </c>
      <c r="S1709" s="74">
        <f t="shared" si="89"/>
        <v>2.5</v>
      </c>
      <c r="T1709" s="50">
        <f>0.1/2</f>
        <v>0.05</v>
      </c>
      <c r="U1709" s="131">
        <f t="shared" si="85"/>
        <v>0.5</v>
      </c>
      <c r="V1709" s="50">
        <f t="shared" si="88"/>
        <v>0.05</v>
      </c>
      <c r="W1709" s="74">
        <f t="shared" si="86"/>
        <v>0.02</v>
      </c>
      <c r="X1709" s="50">
        <f>0.02/2</f>
        <v>0.01</v>
      </c>
      <c r="Y1709" s="74">
        <f t="shared" si="87"/>
        <v>6.4999999999999997E-3</v>
      </c>
      <c r="Z1709" s="271">
        <v>1</v>
      </c>
      <c r="AA1709" s="271">
        <v>1</v>
      </c>
      <c r="AB1709" s="114">
        <v>40</v>
      </c>
      <c r="AC1709" s="50">
        <v>176</v>
      </c>
      <c r="AD1709" s="271">
        <v>0.85</v>
      </c>
    </row>
    <row r="1710" spans="1:30" ht="15" customHeight="1">
      <c r="A1710" s="41" t="s">
        <v>183</v>
      </c>
      <c r="B1710" s="402" t="s">
        <v>4963</v>
      </c>
      <c r="D1710" s="393" t="s">
        <v>1490</v>
      </c>
      <c r="E1710" s="394" t="s">
        <v>4964</v>
      </c>
      <c r="G1710" s="405" t="s">
        <v>4965</v>
      </c>
      <c r="H1710" s="74">
        <v>3089</v>
      </c>
      <c r="I1710" s="50" t="s">
        <v>2</v>
      </c>
      <c r="J1710" s="339" t="s">
        <v>4966</v>
      </c>
      <c r="K1710" s="51">
        <v>41495</v>
      </c>
      <c r="L1710" s="173"/>
      <c r="N1710" s="50" t="s">
        <v>2</v>
      </c>
      <c r="O1710" s="74">
        <f>1.5/2</f>
        <v>0.75</v>
      </c>
      <c r="P1710" s="50">
        <v>6.38</v>
      </c>
      <c r="Q1710" s="74">
        <v>6.33</v>
      </c>
      <c r="R1710" s="50">
        <v>43</v>
      </c>
      <c r="S1710" s="74">
        <v>7</v>
      </c>
      <c r="T1710" s="50">
        <v>0.11</v>
      </c>
      <c r="U1710" s="131">
        <v>1.34</v>
      </c>
      <c r="V1710" s="50">
        <v>0.31</v>
      </c>
      <c r="W1710" s="74">
        <f>0.005/2</f>
        <v>2.5000000000000001E-3</v>
      </c>
      <c r="X1710" s="50">
        <v>3.4000000000000002E-2</v>
      </c>
      <c r="Y1710" s="74">
        <v>3.0000000000000001E-3</v>
      </c>
      <c r="Z1710" s="271">
        <v>1</v>
      </c>
      <c r="AA1710" s="271">
        <v>1</v>
      </c>
      <c r="AB1710" s="114">
        <v>6</v>
      </c>
      <c r="AC1710" s="50">
        <v>10</v>
      </c>
      <c r="AD1710" s="271">
        <v>1</v>
      </c>
    </row>
    <row r="1711" spans="1:30" ht="15" customHeight="1">
      <c r="A1711" s="41" t="s">
        <v>183</v>
      </c>
      <c r="B1711" s="402" t="s">
        <v>4963</v>
      </c>
      <c r="D1711" s="393" t="s">
        <v>1490</v>
      </c>
      <c r="E1711" s="394" t="s">
        <v>4964</v>
      </c>
      <c r="G1711" s="405" t="s">
        <v>4965</v>
      </c>
      <c r="H1711" s="74">
        <v>3089</v>
      </c>
      <c r="I1711" s="50" t="s">
        <v>2</v>
      </c>
      <c r="J1711" s="339" t="s">
        <v>4967</v>
      </c>
      <c r="K1711" s="51">
        <v>41495</v>
      </c>
      <c r="L1711" s="173"/>
      <c r="N1711" s="50" t="s">
        <v>2</v>
      </c>
      <c r="O1711" s="74">
        <f>1.5/2</f>
        <v>0.75</v>
      </c>
      <c r="P1711" s="50">
        <v>6.65</v>
      </c>
      <c r="Q1711" s="74">
        <v>6.88</v>
      </c>
      <c r="R1711" s="50">
        <v>65</v>
      </c>
      <c r="S1711" s="74">
        <v>6.5</v>
      </c>
      <c r="T1711" s="50">
        <v>0.16</v>
      </c>
      <c r="U1711" s="131">
        <v>2.13</v>
      </c>
      <c r="V1711" s="50">
        <v>0.67</v>
      </c>
      <c r="W1711" s="74">
        <v>7.0000000000000001E-3</v>
      </c>
      <c r="X1711" s="50">
        <v>4.8000000000000001E-2</v>
      </c>
      <c r="Y1711" s="74">
        <f>0.002/2</f>
        <v>1E-3</v>
      </c>
      <c r="Z1711" s="271">
        <v>1</v>
      </c>
      <c r="AA1711" s="271">
        <v>1</v>
      </c>
      <c r="AB1711" s="114">
        <v>16</v>
      </c>
      <c r="AC1711" s="50">
        <v>88</v>
      </c>
      <c r="AD1711" s="271">
        <v>1</v>
      </c>
    </row>
    <row r="1712" spans="1:30" ht="15" customHeight="1">
      <c r="A1712" s="41" t="s">
        <v>183</v>
      </c>
      <c r="B1712" s="402" t="s">
        <v>4968</v>
      </c>
      <c r="D1712" s="393" t="s">
        <v>98</v>
      </c>
      <c r="G1712" s="405" t="s">
        <v>4969</v>
      </c>
      <c r="H1712" s="74">
        <v>5171</v>
      </c>
      <c r="I1712" s="50" t="s">
        <v>2</v>
      </c>
      <c r="J1712" s="339" t="s">
        <v>4970</v>
      </c>
      <c r="K1712" s="51">
        <v>41536</v>
      </c>
      <c r="L1712" s="173">
        <v>41535</v>
      </c>
      <c r="M1712" s="50">
        <f>K1712-L1712</f>
        <v>1</v>
      </c>
      <c r="N1712" s="50" t="s">
        <v>2</v>
      </c>
      <c r="O1712" s="74">
        <f>2/2</f>
        <v>1</v>
      </c>
      <c r="P1712" s="50">
        <v>7</v>
      </c>
      <c r="Q1712" s="74">
        <v>6.5</v>
      </c>
      <c r="R1712" s="50">
        <f>10/2</f>
        <v>5</v>
      </c>
      <c r="S1712" s="74">
        <v>2</v>
      </c>
      <c r="T1712" s="50">
        <f>0.05/2</f>
        <v>2.5000000000000001E-2</v>
      </c>
      <c r="U1712" s="131">
        <v>0.47</v>
      </c>
      <c r="V1712" s="50">
        <v>0.14000000000000001</v>
      </c>
      <c r="W1712" s="74">
        <f>0.01/2</f>
        <v>5.0000000000000001E-3</v>
      </c>
      <c r="X1712" s="50">
        <f>0.03/2</f>
        <v>1.4999999999999999E-2</v>
      </c>
      <c r="Y1712" s="74">
        <f>0.03/2</f>
        <v>1.4999999999999999E-2</v>
      </c>
      <c r="Z1712" s="271">
        <v>1</v>
      </c>
      <c r="AA1712" s="271">
        <v>1</v>
      </c>
      <c r="AB1712" s="114">
        <v>3</v>
      </c>
      <c r="AC1712" s="50">
        <v>24</v>
      </c>
      <c r="AD1712" s="271">
        <v>1</v>
      </c>
    </row>
    <row r="1713" spans="1:38" ht="15" customHeight="1">
      <c r="A1713" s="41" t="s">
        <v>183</v>
      </c>
      <c r="B1713" s="402" t="s">
        <v>4968</v>
      </c>
      <c r="D1713" s="393" t="s">
        <v>98</v>
      </c>
      <c r="G1713" s="405" t="s">
        <v>4969</v>
      </c>
      <c r="H1713" s="74">
        <v>5171</v>
      </c>
      <c r="J1713" s="339" t="s">
        <v>4970</v>
      </c>
      <c r="K1713" s="51">
        <v>41550</v>
      </c>
      <c r="L1713" s="173">
        <v>41549</v>
      </c>
      <c r="M1713" s="50">
        <f>K1713-L1713</f>
        <v>1</v>
      </c>
      <c r="N1713" s="50" t="s">
        <v>2</v>
      </c>
      <c r="O1713" s="74">
        <f>2/2</f>
        <v>1</v>
      </c>
      <c r="P1713" s="50">
        <v>6.6</v>
      </c>
      <c r="Q1713" s="74">
        <v>6.6</v>
      </c>
      <c r="R1713" s="50">
        <v>13</v>
      </c>
      <c r="S1713" s="74">
        <v>3</v>
      </c>
      <c r="T1713" s="50">
        <f>0.05/2</f>
        <v>2.5000000000000001E-2</v>
      </c>
      <c r="U1713" s="131">
        <v>0.41</v>
      </c>
      <c r="V1713" s="50">
        <v>0.3</v>
      </c>
      <c r="W1713" s="74">
        <f>0.01/2</f>
        <v>5.0000000000000001E-3</v>
      </c>
      <c r="X1713" s="50">
        <f>0.03/2</f>
        <v>1.4999999999999999E-2</v>
      </c>
      <c r="Y1713" s="74">
        <f>0.03/2</f>
        <v>1.4999999999999999E-2</v>
      </c>
      <c r="Z1713" s="271">
        <v>1</v>
      </c>
      <c r="AA1713" s="271">
        <v>1</v>
      </c>
      <c r="AB1713" s="114">
        <v>5</v>
      </c>
      <c r="AC1713" s="50">
        <v>31</v>
      </c>
      <c r="AD1713" s="271">
        <v>0.95</v>
      </c>
    </row>
    <row r="1714" spans="1:38" ht="15" customHeight="1">
      <c r="A1714" s="41" t="s">
        <v>183</v>
      </c>
      <c r="B1714" s="402" t="s">
        <v>1910</v>
      </c>
      <c r="C1714" s="113" t="s">
        <v>4971</v>
      </c>
      <c r="D1714" s="393" t="s">
        <v>192</v>
      </c>
      <c r="E1714" s="394" t="s">
        <v>4972</v>
      </c>
      <c r="G1714" s="405" t="s">
        <v>4969</v>
      </c>
      <c r="H1714" s="74">
        <v>4151</v>
      </c>
      <c r="I1714" s="50" t="s">
        <v>2</v>
      </c>
      <c r="J1714" s="339" t="s">
        <v>641</v>
      </c>
      <c r="K1714" s="51">
        <v>41533</v>
      </c>
      <c r="L1714" s="173">
        <v>41529</v>
      </c>
      <c r="M1714" s="50">
        <f>K1714-L1714</f>
        <v>4</v>
      </c>
      <c r="N1714" s="50" t="s">
        <v>2</v>
      </c>
      <c r="O1714" s="74">
        <f>1.4/2</f>
        <v>0.7</v>
      </c>
      <c r="P1714" s="50">
        <v>6.3</v>
      </c>
      <c r="Q1714" s="74">
        <v>7.57</v>
      </c>
      <c r="R1714" s="50">
        <v>24</v>
      </c>
      <c r="S1714" s="74">
        <v>14</v>
      </c>
      <c r="T1714" s="50">
        <v>0.05</v>
      </c>
      <c r="U1714" s="131">
        <v>0.68</v>
      </c>
      <c r="V1714" s="50">
        <v>1.38</v>
      </c>
      <c r="W1714" s="74">
        <f>0.005/2</f>
        <v>2.5000000000000001E-3</v>
      </c>
      <c r="X1714" s="50">
        <v>6.3E-2</v>
      </c>
      <c r="Y1714" s="74">
        <f>0.002/2</f>
        <v>1E-3</v>
      </c>
      <c r="Z1714" s="271">
        <v>1</v>
      </c>
      <c r="AA1714" s="271">
        <v>1</v>
      </c>
      <c r="AB1714" s="114">
        <v>100</v>
      </c>
      <c r="AC1714" s="50">
        <v>720</v>
      </c>
      <c r="AD1714" s="271">
        <v>1</v>
      </c>
    </row>
    <row r="1715" spans="1:38" ht="15" customHeight="1">
      <c r="A1715" s="41" t="s">
        <v>183</v>
      </c>
      <c r="B1715" s="402" t="s">
        <v>1910</v>
      </c>
      <c r="C1715" s="113" t="s">
        <v>4973</v>
      </c>
      <c r="D1715" s="393" t="s">
        <v>350</v>
      </c>
      <c r="E1715" s="394" t="s">
        <v>4974</v>
      </c>
      <c r="G1715" s="405" t="s">
        <v>4975</v>
      </c>
      <c r="H1715" s="74">
        <v>4151</v>
      </c>
      <c r="I1715" s="50" t="s">
        <v>2</v>
      </c>
      <c r="J1715" s="339" t="s">
        <v>1030</v>
      </c>
      <c r="K1715" s="51">
        <v>41529</v>
      </c>
      <c r="L1715" s="173">
        <v>41519</v>
      </c>
      <c r="M1715" s="50">
        <f>K1715-L1715</f>
        <v>10</v>
      </c>
      <c r="N1715" s="50" t="s">
        <v>2</v>
      </c>
      <c r="O1715" s="74">
        <f>1.4/2</f>
        <v>0.7</v>
      </c>
      <c r="P1715" s="50">
        <v>4.45</v>
      </c>
      <c r="Q1715" s="74">
        <v>6.9</v>
      </c>
      <c r="R1715" s="50">
        <v>30</v>
      </c>
      <c r="S1715" s="74">
        <v>21</v>
      </c>
      <c r="T1715" s="50">
        <v>0.12</v>
      </c>
      <c r="U1715" s="131">
        <v>1.24</v>
      </c>
      <c r="V1715" s="50">
        <v>1.07</v>
      </c>
      <c r="W1715" s="74">
        <v>7.0000000000000001E-3</v>
      </c>
      <c r="X1715" s="50">
        <v>5.3999999999999999E-2</v>
      </c>
      <c r="Y1715" s="74">
        <f>0.002/2</f>
        <v>1E-3</v>
      </c>
      <c r="Z1715" s="271">
        <v>1</v>
      </c>
      <c r="AA1715" s="271">
        <v>1</v>
      </c>
      <c r="AB1715" s="114">
        <v>8</v>
      </c>
      <c r="AC1715" s="50">
        <v>46</v>
      </c>
      <c r="AD1715" s="271">
        <v>1</v>
      </c>
    </row>
    <row r="1716" spans="1:38" ht="15" customHeight="1">
      <c r="A1716" s="41" t="s">
        <v>183</v>
      </c>
      <c r="B1716" s="402" t="s">
        <v>1910</v>
      </c>
      <c r="C1716" s="113" t="s">
        <v>1243</v>
      </c>
      <c r="D1716" s="393" t="s">
        <v>133</v>
      </c>
      <c r="E1716" s="394" t="s">
        <v>1546</v>
      </c>
      <c r="G1716" s="414" t="s">
        <v>1810</v>
      </c>
      <c r="H1716" s="49">
        <v>4151</v>
      </c>
      <c r="I1716" s="50" t="s">
        <v>2</v>
      </c>
      <c r="J1716" s="260" t="s">
        <v>1786</v>
      </c>
      <c r="K1716" s="51">
        <v>41579</v>
      </c>
      <c r="L1716" s="173"/>
      <c r="N1716" s="50" t="s">
        <v>2</v>
      </c>
      <c r="O1716" s="74">
        <v>25</v>
      </c>
      <c r="P1716" s="50">
        <v>7.28</v>
      </c>
      <c r="Q1716" s="74">
        <v>7.13</v>
      </c>
      <c r="R1716" s="50">
        <v>50</v>
      </c>
      <c r="S1716" s="74">
        <v>620</v>
      </c>
      <c r="T1716" s="50">
        <v>1.3</v>
      </c>
      <c r="U1716" s="131">
        <v>2.08</v>
      </c>
      <c r="V1716" s="50">
        <v>0.06</v>
      </c>
      <c r="W1716" s="74">
        <v>4.1000000000000002E-2</v>
      </c>
      <c r="X1716" s="50">
        <v>0.17599999999999999</v>
      </c>
      <c r="Y1716" s="74">
        <v>1.4E-2</v>
      </c>
    </row>
    <row r="1717" spans="1:38" ht="15" customHeight="1">
      <c r="A1717" s="41" t="s">
        <v>183</v>
      </c>
      <c r="B1717" s="402" t="s">
        <v>1910</v>
      </c>
      <c r="C1717" s="113" t="s">
        <v>1243</v>
      </c>
      <c r="D1717" s="393" t="s">
        <v>133</v>
      </c>
      <c r="E1717" s="394" t="s">
        <v>1546</v>
      </c>
      <c r="G1717" s="405" t="s">
        <v>1810</v>
      </c>
      <c r="H1717" s="74">
        <v>4151</v>
      </c>
      <c r="I1717" s="50" t="s">
        <v>2</v>
      </c>
      <c r="J1717" s="339" t="s">
        <v>641</v>
      </c>
      <c r="K1717" s="51">
        <v>41579</v>
      </c>
      <c r="L1717" s="173"/>
      <c r="N1717" s="50" t="s">
        <v>2</v>
      </c>
      <c r="O1717" s="74">
        <v>6.1</v>
      </c>
      <c r="P1717" s="50">
        <v>7.28</v>
      </c>
      <c r="Q1717" s="74">
        <v>3.36</v>
      </c>
      <c r="R1717" s="50">
        <v>13</v>
      </c>
      <c r="S1717" s="74">
        <v>260</v>
      </c>
      <c r="T1717" s="50">
        <v>0.26</v>
      </c>
      <c r="U1717" s="131">
        <v>1.51</v>
      </c>
      <c r="V1717" s="50">
        <v>12.7</v>
      </c>
      <c r="W1717" s="74">
        <v>2.1999999999999999E-2</v>
      </c>
      <c r="X1717" s="50">
        <v>0.123</v>
      </c>
      <c r="Y1717" s="74">
        <v>1.4999999999999999E-2</v>
      </c>
    </row>
    <row r="1718" spans="1:38" ht="15" customHeight="1">
      <c r="A1718" s="41" t="s">
        <v>183</v>
      </c>
      <c r="B1718" s="402" t="s">
        <v>1910</v>
      </c>
      <c r="C1718" s="113" t="s">
        <v>1243</v>
      </c>
      <c r="D1718" s="393" t="s">
        <v>133</v>
      </c>
      <c r="E1718" s="394" t="s">
        <v>1546</v>
      </c>
      <c r="G1718" s="405" t="s">
        <v>1810</v>
      </c>
      <c r="H1718" s="74">
        <v>4151</v>
      </c>
      <c r="I1718" s="50" t="s">
        <v>2</v>
      </c>
      <c r="J1718" s="339" t="s">
        <v>643</v>
      </c>
      <c r="K1718" s="51">
        <v>41579</v>
      </c>
      <c r="L1718" s="173"/>
      <c r="N1718" s="50" t="s">
        <v>2</v>
      </c>
      <c r="O1718" s="74">
        <v>3</v>
      </c>
      <c r="P1718" s="50">
        <v>7.28</v>
      </c>
      <c r="Q1718" s="74">
        <v>6.56</v>
      </c>
      <c r="R1718" s="50">
        <v>70</v>
      </c>
      <c r="S1718" s="74">
        <v>55</v>
      </c>
      <c r="T1718" s="50">
        <v>0.45</v>
      </c>
      <c r="U1718" s="131">
        <v>2.09</v>
      </c>
      <c r="V1718" s="50">
        <v>0.51</v>
      </c>
      <c r="W1718" s="74">
        <v>1.7999999999999999E-2</v>
      </c>
      <c r="X1718" s="50">
        <v>7.4999999999999997E-2</v>
      </c>
      <c r="Y1718" s="74">
        <v>1.2999999999999999E-2</v>
      </c>
    </row>
    <row r="1719" spans="1:38" ht="15" customHeight="1">
      <c r="A1719" s="41" t="s">
        <v>183</v>
      </c>
      <c r="B1719" s="402" t="s">
        <v>1910</v>
      </c>
      <c r="C1719" s="113" t="s">
        <v>1110</v>
      </c>
      <c r="D1719" s="393" t="s">
        <v>262</v>
      </c>
      <c r="E1719" s="394" t="s">
        <v>128</v>
      </c>
      <c r="G1719" s="405" t="s">
        <v>1876</v>
      </c>
      <c r="H1719" s="74">
        <v>4151</v>
      </c>
      <c r="I1719" s="50" t="s">
        <v>2</v>
      </c>
      <c r="J1719" s="339" t="s">
        <v>1030</v>
      </c>
      <c r="K1719" s="51">
        <v>41494</v>
      </c>
      <c r="L1719" s="173">
        <v>41487</v>
      </c>
      <c r="M1719" s="50">
        <f t="shared" ref="M1719:M1743" si="90">K1719-L1719</f>
        <v>7</v>
      </c>
      <c r="N1719" s="50" t="s">
        <v>2</v>
      </c>
      <c r="O1719" s="74">
        <v>2.1</v>
      </c>
      <c r="P1719" s="50">
        <v>4.6900000000000004</v>
      </c>
      <c r="Q1719" s="74">
        <v>6.85</v>
      </c>
      <c r="R1719" s="50">
        <v>110</v>
      </c>
      <c r="S1719" s="74">
        <v>89</v>
      </c>
      <c r="T1719" s="50">
        <v>0.12</v>
      </c>
      <c r="U1719" s="131">
        <v>1.1100000000000001</v>
      </c>
      <c r="V1719" s="50">
        <v>0.52</v>
      </c>
      <c r="W1719" s="74">
        <v>0.03</v>
      </c>
      <c r="X1719" s="50">
        <v>0.191</v>
      </c>
      <c r="Y1719" s="74">
        <v>8.9999999999999993E-3</v>
      </c>
    </row>
    <row r="1720" spans="1:38" ht="15" customHeight="1">
      <c r="A1720" s="41" t="s">
        <v>183</v>
      </c>
      <c r="B1720" s="402" t="s">
        <v>1910</v>
      </c>
      <c r="C1720" s="113" t="s">
        <v>4347</v>
      </c>
      <c r="D1720" s="393" t="s">
        <v>56</v>
      </c>
      <c r="E1720" s="394" t="s">
        <v>2211</v>
      </c>
      <c r="G1720" s="405" t="s">
        <v>2212</v>
      </c>
      <c r="H1720" s="74">
        <v>4151</v>
      </c>
      <c r="I1720" s="50" t="s">
        <v>1</v>
      </c>
      <c r="J1720" s="339" t="s">
        <v>510</v>
      </c>
      <c r="K1720" s="51">
        <v>41495</v>
      </c>
      <c r="L1720" s="173">
        <v>41487</v>
      </c>
      <c r="M1720" s="50">
        <f t="shared" si="90"/>
        <v>8</v>
      </c>
      <c r="N1720" s="50" t="s">
        <v>2</v>
      </c>
      <c r="O1720" s="74">
        <v>2.7</v>
      </c>
      <c r="P1720" s="50">
        <v>5.08</v>
      </c>
      <c r="Q1720" s="74">
        <v>7.64</v>
      </c>
      <c r="R1720" s="50">
        <v>180</v>
      </c>
      <c r="S1720" s="74">
        <v>150</v>
      </c>
      <c r="T1720" s="50">
        <v>0.2</v>
      </c>
      <c r="U1720" s="131">
        <v>1.24</v>
      </c>
      <c r="V1720" s="50">
        <v>0.43</v>
      </c>
      <c r="W1720" s="74">
        <v>2.4E-2</v>
      </c>
      <c r="X1720" s="50">
        <v>5.1999999999999998E-2</v>
      </c>
      <c r="Y1720" s="74">
        <v>4.0000000000000001E-3</v>
      </c>
    </row>
    <row r="1721" spans="1:38" ht="15" customHeight="1">
      <c r="A1721" s="41" t="s">
        <v>183</v>
      </c>
      <c r="B1721" s="402" t="s">
        <v>4977</v>
      </c>
      <c r="C1721" s="113" t="s">
        <v>4977</v>
      </c>
      <c r="D1721" s="393" t="s">
        <v>192</v>
      </c>
      <c r="E1721" s="394" t="s">
        <v>922</v>
      </c>
      <c r="G1721" s="405" t="s">
        <v>923</v>
      </c>
      <c r="H1721" s="74">
        <v>3728</v>
      </c>
      <c r="I1721" s="50" t="s">
        <v>1</v>
      </c>
      <c r="J1721" s="343" t="s">
        <v>425</v>
      </c>
      <c r="K1721" s="51">
        <v>41345</v>
      </c>
      <c r="L1721" s="173">
        <v>41341</v>
      </c>
      <c r="M1721" s="50">
        <f t="shared" si="90"/>
        <v>4</v>
      </c>
      <c r="N1721" s="50" t="s">
        <v>2</v>
      </c>
      <c r="O1721" s="74">
        <f>1.4/2</f>
        <v>0.7</v>
      </c>
      <c r="P1721" s="50">
        <v>5.71</v>
      </c>
      <c r="Q1721" s="74">
        <v>6.71</v>
      </c>
      <c r="R1721" s="50">
        <v>21</v>
      </c>
      <c r="S1721" s="74">
        <f>5/2</f>
        <v>2.5</v>
      </c>
      <c r="T1721" s="50">
        <v>0.04</v>
      </c>
      <c r="U1721" s="74">
        <v>0.41</v>
      </c>
      <c r="V1721" s="50">
        <v>0.15</v>
      </c>
      <c r="W1721" s="74">
        <f>0.005/2</f>
        <v>2.5000000000000001E-3</v>
      </c>
      <c r="X1721" s="50">
        <v>7.1999999999999995E-2</v>
      </c>
      <c r="Y1721" s="74">
        <f>0.002/2</f>
        <v>1E-3</v>
      </c>
      <c r="Z1721" s="271">
        <v>1</v>
      </c>
      <c r="AA1721" s="271">
        <v>1</v>
      </c>
      <c r="AB1721" s="114">
        <v>22</v>
      </c>
      <c r="AC1721" s="50">
        <v>915</v>
      </c>
      <c r="AD1721" s="271">
        <v>1</v>
      </c>
      <c r="AK1721" s="114">
        <f t="shared" ref="AK1721:AL1727" si="91">7/2</f>
        <v>3.5</v>
      </c>
      <c r="AL1721" s="114">
        <f t="shared" si="91"/>
        <v>3.5</v>
      </c>
    </row>
    <row r="1722" spans="1:38" ht="15" customHeight="1">
      <c r="A1722" s="41" t="s">
        <v>183</v>
      </c>
      <c r="B1722" s="402" t="s">
        <v>4977</v>
      </c>
      <c r="C1722" s="113" t="s">
        <v>4977</v>
      </c>
      <c r="D1722" s="393" t="s">
        <v>192</v>
      </c>
      <c r="E1722" s="394" t="s">
        <v>4978</v>
      </c>
      <c r="G1722" s="405" t="s">
        <v>923</v>
      </c>
      <c r="H1722" s="74">
        <v>3728</v>
      </c>
      <c r="I1722" s="50" t="s">
        <v>1</v>
      </c>
      <c r="J1722" s="343" t="s">
        <v>595</v>
      </c>
      <c r="K1722" s="51">
        <v>41345</v>
      </c>
      <c r="L1722" s="173">
        <v>41341</v>
      </c>
      <c r="M1722" s="50">
        <f t="shared" si="90"/>
        <v>4</v>
      </c>
      <c r="N1722" s="50" t="s">
        <v>2</v>
      </c>
      <c r="O1722" s="74">
        <v>3.1</v>
      </c>
      <c r="P1722" s="50">
        <v>5.71</v>
      </c>
      <c r="Q1722" s="74">
        <v>7.06</v>
      </c>
      <c r="R1722" s="50">
        <v>148</v>
      </c>
      <c r="S1722" s="74">
        <v>76</v>
      </c>
      <c r="T1722" s="50">
        <v>0.11</v>
      </c>
      <c r="U1722" s="74">
        <v>2.2709999999999999</v>
      </c>
      <c r="V1722" s="50">
        <v>0.44</v>
      </c>
      <c r="W1722" s="74">
        <v>2.1000000000000001E-2</v>
      </c>
      <c r="X1722" s="50">
        <v>0.157</v>
      </c>
      <c r="Y1722" s="74">
        <v>8.9999999999999993E-3</v>
      </c>
      <c r="Z1722" s="271">
        <v>1</v>
      </c>
      <c r="AA1722" s="271">
        <v>0.72</v>
      </c>
      <c r="AB1722" s="114">
        <v>140</v>
      </c>
      <c r="AC1722" s="50">
        <v>6990</v>
      </c>
      <c r="AD1722" s="271">
        <v>0.05</v>
      </c>
      <c r="AK1722" s="114">
        <f t="shared" si="91"/>
        <v>3.5</v>
      </c>
      <c r="AL1722" s="114">
        <f t="shared" si="91"/>
        <v>3.5</v>
      </c>
    </row>
    <row r="1723" spans="1:38" ht="15" customHeight="1">
      <c r="A1723" s="41" t="s">
        <v>183</v>
      </c>
      <c r="B1723" s="402" t="s">
        <v>4977</v>
      </c>
      <c r="C1723" s="113" t="s">
        <v>4977</v>
      </c>
      <c r="D1723" s="393" t="s">
        <v>192</v>
      </c>
      <c r="E1723" s="394" t="s">
        <v>922</v>
      </c>
      <c r="G1723" s="405" t="s">
        <v>923</v>
      </c>
      <c r="H1723" s="74">
        <v>3728</v>
      </c>
      <c r="I1723" s="50" t="s">
        <v>1</v>
      </c>
      <c r="J1723" s="343" t="s">
        <v>836</v>
      </c>
      <c r="K1723" s="51">
        <v>41345</v>
      </c>
      <c r="L1723" s="173">
        <v>41341</v>
      </c>
      <c r="M1723" s="50">
        <f t="shared" si="90"/>
        <v>4</v>
      </c>
      <c r="N1723" s="50" t="s">
        <v>2</v>
      </c>
      <c r="O1723" s="74">
        <f>1.4/2</f>
        <v>0.7</v>
      </c>
      <c r="P1723" s="50">
        <v>5.71</v>
      </c>
      <c r="Q1723" s="74">
        <v>7.34</v>
      </c>
      <c r="R1723" s="50">
        <v>40</v>
      </c>
      <c r="S1723" s="74">
        <f>5/2</f>
        <v>2.5</v>
      </c>
      <c r="T1723" s="50">
        <v>0.03</v>
      </c>
      <c r="U1723" s="74">
        <v>0.7</v>
      </c>
      <c r="V1723" s="50">
        <v>0.27</v>
      </c>
      <c r="W1723" s="74">
        <v>0.03</v>
      </c>
      <c r="X1723" s="50">
        <v>3.7999999999999999E-2</v>
      </c>
      <c r="Y1723" s="74">
        <f>0.002/2</f>
        <v>1E-3</v>
      </c>
      <c r="Z1723" s="271">
        <v>1</v>
      </c>
      <c r="AA1723" s="271">
        <v>1</v>
      </c>
      <c r="AB1723" s="114">
        <v>50</v>
      </c>
      <c r="AC1723" s="50">
        <v>134</v>
      </c>
      <c r="AD1723" s="271">
        <v>1</v>
      </c>
      <c r="AK1723" s="114">
        <f t="shared" si="91"/>
        <v>3.5</v>
      </c>
      <c r="AL1723" s="114">
        <f t="shared" si="91"/>
        <v>3.5</v>
      </c>
    </row>
    <row r="1724" spans="1:38" ht="15" customHeight="1">
      <c r="A1724" s="41" t="s">
        <v>183</v>
      </c>
      <c r="B1724" s="402" t="s">
        <v>4977</v>
      </c>
      <c r="C1724" s="113" t="s">
        <v>4977</v>
      </c>
      <c r="D1724" s="393" t="s">
        <v>192</v>
      </c>
      <c r="E1724" s="394" t="s">
        <v>922</v>
      </c>
      <c r="G1724" s="405" t="s">
        <v>923</v>
      </c>
      <c r="H1724" s="74">
        <v>3728</v>
      </c>
      <c r="I1724" s="50" t="s">
        <v>1</v>
      </c>
      <c r="J1724" s="343" t="s">
        <v>1341</v>
      </c>
      <c r="K1724" s="51">
        <v>41345</v>
      </c>
      <c r="L1724" s="173">
        <v>41341</v>
      </c>
      <c r="M1724" s="50">
        <f t="shared" si="90"/>
        <v>4</v>
      </c>
      <c r="N1724" s="50" t="s">
        <v>2</v>
      </c>
      <c r="O1724" s="74">
        <f>1.4/2</f>
        <v>0.7</v>
      </c>
      <c r="P1724" s="50">
        <v>5.71</v>
      </c>
      <c r="Q1724" s="74">
        <v>6.63</v>
      </c>
      <c r="R1724" s="50">
        <v>64</v>
      </c>
      <c r="S1724" s="74">
        <v>19</v>
      </c>
      <c r="T1724" s="50">
        <v>0.11</v>
      </c>
      <c r="U1724" s="74">
        <v>1.34</v>
      </c>
      <c r="V1724" s="50">
        <v>0.2</v>
      </c>
      <c r="W1724" s="74">
        <v>6.0000000000000001E-3</v>
      </c>
      <c r="X1724" s="50">
        <v>0.14799999999999999</v>
      </c>
      <c r="Y1724" s="74">
        <v>4.0000000000000001E-3</v>
      </c>
      <c r="Z1724" s="271">
        <v>1</v>
      </c>
      <c r="AA1724" s="271">
        <v>1</v>
      </c>
      <c r="AB1724" s="114">
        <v>38</v>
      </c>
      <c r="AC1724" s="50">
        <v>2563</v>
      </c>
      <c r="AD1724" s="271">
        <f>19/20</f>
        <v>0.95</v>
      </c>
      <c r="AK1724" s="114">
        <f t="shared" si="91"/>
        <v>3.5</v>
      </c>
      <c r="AL1724" s="114">
        <f t="shared" si="91"/>
        <v>3.5</v>
      </c>
    </row>
    <row r="1725" spans="1:38" ht="15" customHeight="1">
      <c r="A1725" s="41" t="s">
        <v>183</v>
      </c>
      <c r="B1725" s="402" t="s">
        <v>4977</v>
      </c>
      <c r="C1725" s="113" t="s">
        <v>4977</v>
      </c>
      <c r="D1725" s="393" t="s">
        <v>192</v>
      </c>
      <c r="E1725" s="394" t="s">
        <v>922</v>
      </c>
      <c r="G1725" s="405" t="s">
        <v>923</v>
      </c>
      <c r="H1725" s="74">
        <v>3728</v>
      </c>
      <c r="I1725" s="50" t="s">
        <v>1</v>
      </c>
      <c r="J1725" s="343" t="s">
        <v>2372</v>
      </c>
      <c r="K1725" s="51">
        <v>41345</v>
      </c>
      <c r="L1725" s="173">
        <v>41341</v>
      </c>
      <c r="M1725" s="50">
        <f t="shared" si="90"/>
        <v>4</v>
      </c>
      <c r="N1725" s="50" t="s">
        <v>2</v>
      </c>
      <c r="O1725" s="74">
        <v>4</v>
      </c>
      <c r="P1725" s="50">
        <v>5.71</v>
      </c>
      <c r="Q1725" s="74">
        <v>7.34</v>
      </c>
      <c r="R1725" s="50">
        <v>118</v>
      </c>
      <c r="S1725" s="74">
        <v>140</v>
      </c>
      <c r="T1725" s="50">
        <v>0.14000000000000001</v>
      </c>
      <c r="U1725" s="74">
        <v>1.03</v>
      </c>
      <c r="V1725" s="50">
        <v>0.06</v>
      </c>
      <c r="W1725" s="74">
        <v>2.5000000000000001E-2</v>
      </c>
      <c r="X1725" s="50">
        <v>0.14499999999999999</v>
      </c>
      <c r="Y1725" s="74">
        <v>1.0999999999999999E-2</v>
      </c>
      <c r="Z1725" s="271">
        <v>1</v>
      </c>
      <c r="AA1725" s="271">
        <v>1</v>
      </c>
      <c r="AB1725" s="114">
        <v>30</v>
      </c>
      <c r="AC1725" s="50">
        <v>2131</v>
      </c>
      <c r="AD1725" s="271">
        <v>1</v>
      </c>
      <c r="AK1725" s="114">
        <f t="shared" si="91"/>
        <v>3.5</v>
      </c>
      <c r="AL1725" s="114">
        <f t="shared" si="91"/>
        <v>3.5</v>
      </c>
    </row>
    <row r="1726" spans="1:38" ht="15" customHeight="1">
      <c r="A1726" s="41" t="s">
        <v>183</v>
      </c>
      <c r="B1726" s="402" t="s">
        <v>4977</v>
      </c>
      <c r="C1726" s="113" t="s">
        <v>4977</v>
      </c>
      <c r="D1726" s="393" t="s">
        <v>192</v>
      </c>
      <c r="E1726" s="394" t="s">
        <v>4978</v>
      </c>
      <c r="G1726" s="405" t="s">
        <v>923</v>
      </c>
      <c r="H1726" s="74">
        <v>3728</v>
      </c>
      <c r="I1726" s="50" t="s">
        <v>1</v>
      </c>
      <c r="J1726" s="343" t="s">
        <v>117</v>
      </c>
      <c r="K1726" s="51">
        <v>41345</v>
      </c>
      <c r="L1726" s="173">
        <v>41341</v>
      </c>
      <c r="M1726" s="50">
        <f t="shared" si="90"/>
        <v>4</v>
      </c>
      <c r="N1726" s="50" t="s">
        <v>2</v>
      </c>
      <c r="O1726" s="74">
        <v>1.9</v>
      </c>
      <c r="P1726" s="50">
        <v>5.71</v>
      </c>
      <c r="Q1726" s="74">
        <v>7.32</v>
      </c>
      <c r="R1726" s="50">
        <v>79</v>
      </c>
      <c r="S1726" s="74">
        <v>48</v>
      </c>
      <c r="T1726" s="50">
        <v>7.0000000000000007E-2</v>
      </c>
      <c r="U1726" s="74">
        <v>0.92</v>
      </c>
      <c r="V1726" s="50">
        <v>0.24</v>
      </c>
      <c r="W1726" s="74">
        <v>1.2E-2</v>
      </c>
      <c r="X1726" s="50">
        <v>0.08</v>
      </c>
      <c r="Y1726" s="74">
        <v>5.0000000000000001E-3</v>
      </c>
      <c r="Z1726" s="271">
        <v>1</v>
      </c>
      <c r="AA1726" s="271">
        <v>1</v>
      </c>
      <c r="AB1726" s="114">
        <v>58</v>
      </c>
      <c r="AC1726" s="50">
        <v>2900</v>
      </c>
      <c r="AD1726" s="271">
        <v>1</v>
      </c>
      <c r="AK1726" s="114">
        <f t="shared" si="91"/>
        <v>3.5</v>
      </c>
      <c r="AL1726" s="114">
        <f t="shared" si="91"/>
        <v>3.5</v>
      </c>
    </row>
    <row r="1727" spans="1:38" ht="15" customHeight="1">
      <c r="A1727" s="41" t="s">
        <v>183</v>
      </c>
      <c r="B1727" s="402" t="s">
        <v>4977</v>
      </c>
      <c r="C1727" s="113" t="s">
        <v>4977</v>
      </c>
      <c r="D1727" s="393" t="s">
        <v>192</v>
      </c>
      <c r="E1727" s="394" t="s">
        <v>922</v>
      </c>
      <c r="G1727" s="405" t="s">
        <v>923</v>
      </c>
      <c r="H1727" s="74">
        <v>3728</v>
      </c>
      <c r="I1727" s="50" t="s">
        <v>1</v>
      </c>
      <c r="J1727" s="339" t="s">
        <v>2525</v>
      </c>
      <c r="K1727" s="51">
        <v>41345</v>
      </c>
      <c r="L1727" s="173">
        <v>41341</v>
      </c>
      <c r="M1727" s="50">
        <f t="shared" si="90"/>
        <v>4</v>
      </c>
      <c r="N1727" s="50" t="s">
        <v>2</v>
      </c>
      <c r="O1727" s="74">
        <f>1.4/2</f>
        <v>0.7</v>
      </c>
      <c r="P1727" s="50">
        <v>5.71</v>
      </c>
      <c r="Q1727" s="74">
        <v>5.64</v>
      </c>
      <c r="R1727" s="50">
        <v>86</v>
      </c>
      <c r="S1727" s="74">
        <v>120</v>
      </c>
      <c r="T1727" s="50">
        <v>0.26</v>
      </c>
      <c r="U1727" s="74">
        <v>0.94</v>
      </c>
      <c r="V1727" s="50">
        <v>0.21</v>
      </c>
      <c r="W1727" s="74">
        <v>1.2999999999999999E-2</v>
      </c>
      <c r="X1727" s="50">
        <v>5.8999999999999997E-2</v>
      </c>
      <c r="Y1727" s="74">
        <v>1.2999999999999999E-2</v>
      </c>
      <c r="Z1727" s="271">
        <v>1</v>
      </c>
      <c r="AA1727" s="271">
        <v>1</v>
      </c>
      <c r="AB1727" s="114">
        <v>44</v>
      </c>
      <c r="AC1727" s="50">
        <v>2359</v>
      </c>
      <c r="AD1727" s="271">
        <f>19/20</f>
        <v>0.95</v>
      </c>
      <c r="AK1727" s="114">
        <f t="shared" si="91"/>
        <v>3.5</v>
      </c>
      <c r="AL1727" s="114">
        <f t="shared" si="91"/>
        <v>3.5</v>
      </c>
    </row>
    <row r="1728" spans="1:38" ht="15" customHeight="1">
      <c r="A1728" s="41" t="s">
        <v>183</v>
      </c>
      <c r="B1728" s="402" t="s">
        <v>688</v>
      </c>
      <c r="C1728" s="113" t="s">
        <v>4366</v>
      </c>
      <c r="D1728" s="393" t="s">
        <v>234</v>
      </c>
      <c r="E1728" s="394" t="s">
        <v>235</v>
      </c>
      <c r="G1728" s="405" t="s">
        <v>689</v>
      </c>
      <c r="H1728" s="74">
        <v>3471</v>
      </c>
      <c r="I1728" s="50" t="s">
        <v>2</v>
      </c>
      <c r="J1728" s="74" t="s">
        <v>690</v>
      </c>
      <c r="K1728" s="51">
        <v>41345</v>
      </c>
      <c r="L1728" s="173">
        <v>41341</v>
      </c>
      <c r="M1728" s="50">
        <f t="shared" si="90"/>
        <v>4</v>
      </c>
      <c r="N1728" s="50" t="s">
        <v>2</v>
      </c>
      <c r="O1728" s="74">
        <f>1/2</f>
        <v>0.5</v>
      </c>
      <c r="P1728" s="50">
        <v>6.57</v>
      </c>
      <c r="Q1728" s="74">
        <v>6.1</v>
      </c>
      <c r="R1728" s="50">
        <f>1/2</f>
        <v>0.5</v>
      </c>
      <c r="S1728" s="74">
        <v>14</v>
      </c>
      <c r="T1728" s="50">
        <f>1/2</f>
        <v>0.5</v>
      </c>
      <c r="U1728" s="74">
        <v>0.52</v>
      </c>
      <c r="V1728" s="50">
        <v>0.28000000000000003</v>
      </c>
      <c r="W1728" s="74">
        <f>0.005/2</f>
        <v>2.5000000000000001E-3</v>
      </c>
      <c r="X1728" s="50">
        <v>5.7000000000000002E-2</v>
      </c>
      <c r="Y1728" s="74">
        <f>0.002/2</f>
        <v>1E-3</v>
      </c>
      <c r="Z1728" s="271">
        <v>1</v>
      </c>
      <c r="AA1728" s="271">
        <v>1</v>
      </c>
      <c r="AB1728" s="114">
        <v>9.1300000000000008</v>
      </c>
      <c r="AC1728" s="50">
        <v>46</v>
      </c>
      <c r="AD1728" s="271">
        <f>10/20</f>
        <v>0.5</v>
      </c>
      <c r="AE1728" s="50">
        <v>0</v>
      </c>
    </row>
    <row r="1729" spans="1:31" ht="15" customHeight="1">
      <c r="A1729" s="41" t="s">
        <v>183</v>
      </c>
      <c r="B1729" s="402" t="s">
        <v>688</v>
      </c>
      <c r="C1729" s="113" t="s">
        <v>4366</v>
      </c>
      <c r="D1729" s="393" t="s">
        <v>234</v>
      </c>
      <c r="E1729" s="394" t="s">
        <v>235</v>
      </c>
      <c r="G1729" s="405" t="s">
        <v>689</v>
      </c>
      <c r="H1729" s="74">
        <v>3471</v>
      </c>
      <c r="I1729" s="50" t="s">
        <v>2</v>
      </c>
      <c r="J1729" s="74" t="s">
        <v>691</v>
      </c>
      <c r="K1729" s="51">
        <v>41345</v>
      </c>
      <c r="L1729" s="173">
        <v>41341</v>
      </c>
      <c r="M1729" s="50">
        <f t="shared" si="90"/>
        <v>4</v>
      </c>
      <c r="N1729" s="50" t="s">
        <v>2</v>
      </c>
      <c r="O1729" s="74">
        <f>1/2</f>
        <v>0.5</v>
      </c>
      <c r="P1729" s="50">
        <v>6.57</v>
      </c>
      <c r="Q1729" s="74">
        <v>7.16</v>
      </c>
      <c r="R1729" s="50">
        <v>22.2</v>
      </c>
      <c r="S1729" s="74">
        <v>271</v>
      </c>
      <c r="T1729" s="50">
        <v>0.35</v>
      </c>
      <c r="U1729" s="74">
        <v>3.4</v>
      </c>
      <c r="V1729" s="50">
        <v>1.02</v>
      </c>
      <c r="W1729" s="74">
        <v>0.14000000000000001</v>
      </c>
      <c r="X1729" s="50">
        <v>0.187</v>
      </c>
      <c r="Y1729" s="74">
        <v>2.3E-2</v>
      </c>
      <c r="Z1729" s="271">
        <v>1</v>
      </c>
      <c r="AA1729" s="271">
        <v>1</v>
      </c>
      <c r="AB1729" s="114">
        <v>133.6</v>
      </c>
      <c r="AC1729" s="50">
        <v>3050</v>
      </c>
      <c r="AD1729" s="271">
        <v>1</v>
      </c>
      <c r="AE1729" s="50">
        <v>0</v>
      </c>
    </row>
    <row r="1730" spans="1:31" ht="15" customHeight="1">
      <c r="A1730" s="41" t="s">
        <v>183</v>
      </c>
      <c r="B1730" s="402" t="s">
        <v>688</v>
      </c>
      <c r="C1730" s="113" t="s">
        <v>4366</v>
      </c>
      <c r="D1730" s="393" t="s">
        <v>234</v>
      </c>
      <c r="E1730" s="394" t="s">
        <v>235</v>
      </c>
      <c r="G1730" s="405" t="s">
        <v>689</v>
      </c>
      <c r="H1730" s="74">
        <v>3471</v>
      </c>
      <c r="I1730" s="50" t="s">
        <v>2</v>
      </c>
      <c r="J1730" s="74" t="s">
        <v>4367</v>
      </c>
      <c r="K1730" s="51">
        <v>41345</v>
      </c>
      <c r="L1730" s="173">
        <v>41341</v>
      </c>
      <c r="M1730" s="50">
        <f t="shared" si="90"/>
        <v>4</v>
      </c>
      <c r="N1730" s="50" t="s">
        <v>2</v>
      </c>
      <c r="O1730" s="74">
        <f>1/2</f>
        <v>0.5</v>
      </c>
      <c r="P1730" s="50">
        <v>6.57</v>
      </c>
      <c r="Q1730" s="74">
        <v>5.93</v>
      </c>
      <c r="R1730" s="50">
        <f>1/2</f>
        <v>0.5</v>
      </c>
      <c r="S1730" s="74">
        <v>19</v>
      </c>
      <c r="T1730" s="50">
        <v>0.05</v>
      </c>
      <c r="U1730" s="74">
        <v>0.64</v>
      </c>
      <c r="V1730" s="50">
        <v>0.42</v>
      </c>
      <c r="W1730" s="74">
        <v>8.0000000000000002E-3</v>
      </c>
      <c r="X1730" s="50">
        <v>8.5999999999999993E-2</v>
      </c>
      <c r="Y1730" s="74">
        <v>3.0000000000000001E-3</v>
      </c>
      <c r="Z1730" s="271">
        <v>0.28699999999999998</v>
      </c>
      <c r="AA1730" s="271">
        <v>0.26800000000000002</v>
      </c>
      <c r="AB1730" s="114">
        <v>12.93</v>
      </c>
      <c r="AC1730" s="50">
        <v>661</v>
      </c>
      <c r="AD1730" s="271">
        <v>0</v>
      </c>
      <c r="AE1730" s="50">
        <v>0</v>
      </c>
    </row>
    <row r="1731" spans="1:31" ht="15" customHeight="1">
      <c r="A1731" s="41" t="s">
        <v>183</v>
      </c>
      <c r="B1731" s="402" t="s">
        <v>4979</v>
      </c>
      <c r="C1731" s="113" t="s">
        <v>4980</v>
      </c>
      <c r="D1731" s="393" t="s">
        <v>1896</v>
      </c>
      <c r="E1731" s="394" t="s">
        <v>1283</v>
      </c>
      <c r="G1731" s="405" t="s">
        <v>1284</v>
      </c>
      <c r="H1731" s="74">
        <v>5171</v>
      </c>
      <c r="I1731" s="50" t="s">
        <v>2</v>
      </c>
      <c r="J1731" s="74" t="s">
        <v>4981</v>
      </c>
      <c r="K1731" s="51">
        <v>41402</v>
      </c>
      <c r="L1731" s="173">
        <v>41384</v>
      </c>
      <c r="M1731" s="50">
        <f t="shared" si="90"/>
        <v>18</v>
      </c>
      <c r="N1731" s="50" t="s">
        <v>2</v>
      </c>
      <c r="O1731" s="74">
        <f>5/2</f>
        <v>2.5</v>
      </c>
      <c r="P1731" s="50">
        <v>7</v>
      </c>
      <c r="Q1731" s="74">
        <v>7.2</v>
      </c>
      <c r="R1731" s="50">
        <v>33</v>
      </c>
      <c r="S1731" s="74">
        <v>25</v>
      </c>
      <c r="T1731" s="50">
        <v>0.2</v>
      </c>
      <c r="U1731" s="74">
        <v>2.1</v>
      </c>
      <c r="V1731" s="50">
        <v>0.24</v>
      </c>
      <c r="W1731" s="74">
        <f>0.04/2</f>
        <v>0.02</v>
      </c>
      <c r="X1731" s="50">
        <v>7.8E-2</v>
      </c>
      <c r="Y1731" s="74">
        <f>0.0013</f>
        <v>1.2999999999999999E-3</v>
      </c>
    </row>
    <row r="1732" spans="1:31" ht="15" customHeight="1">
      <c r="A1732" s="41" t="s">
        <v>183</v>
      </c>
      <c r="B1732" s="402" t="s">
        <v>4982</v>
      </c>
      <c r="C1732" s="113" t="s">
        <v>4982</v>
      </c>
      <c r="D1732" s="393" t="s">
        <v>636</v>
      </c>
      <c r="E1732" s="394" t="s">
        <v>686</v>
      </c>
      <c r="G1732" s="405" t="s">
        <v>1790</v>
      </c>
      <c r="H1732" s="74">
        <v>3471</v>
      </c>
      <c r="I1732" s="50" t="s">
        <v>2</v>
      </c>
      <c r="J1732" s="74" t="s">
        <v>4983</v>
      </c>
      <c r="K1732" s="51">
        <v>40996</v>
      </c>
      <c r="L1732" s="173">
        <v>40981</v>
      </c>
      <c r="M1732" s="50">
        <f t="shared" si="90"/>
        <v>15</v>
      </c>
      <c r="N1732" s="50" t="s">
        <v>2</v>
      </c>
      <c r="O1732" s="74">
        <f>2/2</f>
        <v>1</v>
      </c>
      <c r="P1732" s="50">
        <v>5.5</v>
      </c>
      <c r="Q1732" s="74">
        <v>8</v>
      </c>
      <c r="R1732" s="50">
        <v>2</v>
      </c>
      <c r="S1732" s="74">
        <v>1</v>
      </c>
      <c r="T1732" s="50">
        <f>0.01/2</f>
        <v>5.0000000000000001E-3</v>
      </c>
      <c r="U1732" s="74">
        <f>0.5/2</f>
        <v>0.25</v>
      </c>
      <c r="V1732" s="50">
        <v>0.21</v>
      </c>
      <c r="W1732" s="74">
        <f>0.002/2</f>
        <v>1E-3</v>
      </c>
      <c r="X1732" s="50">
        <v>3.9E-2</v>
      </c>
      <c r="Y1732" s="74">
        <f>0.002/2</f>
        <v>1E-3</v>
      </c>
      <c r="Z1732" s="271">
        <v>1</v>
      </c>
      <c r="AA1732" s="271">
        <v>0.93899999999999995</v>
      </c>
      <c r="AB1732" s="114">
        <v>2</v>
      </c>
      <c r="AC1732" s="50">
        <v>6</v>
      </c>
      <c r="AD1732" s="271">
        <v>0.45</v>
      </c>
    </row>
    <row r="1733" spans="1:31" ht="15" customHeight="1">
      <c r="A1733" s="41" t="s">
        <v>183</v>
      </c>
      <c r="B1733" s="402" t="s">
        <v>4982</v>
      </c>
      <c r="C1733" s="113" t="s">
        <v>4982</v>
      </c>
      <c r="D1733" s="393" t="s">
        <v>636</v>
      </c>
      <c r="E1733" s="394" t="s">
        <v>686</v>
      </c>
      <c r="G1733" s="405" t="s">
        <v>1790</v>
      </c>
      <c r="H1733" s="74">
        <v>3471</v>
      </c>
      <c r="I1733" s="50" t="s">
        <v>2</v>
      </c>
      <c r="J1733" s="74" t="s">
        <v>4983</v>
      </c>
      <c r="K1733" s="51">
        <v>41402</v>
      </c>
      <c r="L1733" s="173">
        <v>41384</v>
      </c>
      <c r="M1733" s="50">
        <f t="shared" si="90"/>
        <v>18</v>
      </c>
      <c r="N1733" s="50" t="s">
        <v>2</v>
      </c>
      <c r="O1733" s="74">
        <f>1/2</f>
        <v>0.5</v>
      </c>
      <c r="P1733" s="50">
        <v>6</v>
      </c>
      <c r="Q1733" s="74">
        <v>6.6</v>
      </c>
      <c r="R1733" s="50">
        <v>7.8</v>
      </c>
      <c r="S1733" s="74">
        <v>2.8</v>
      </c>
      <c r="T1733" s="50">
        <f>0.01/2</f>
        <v>5.0000000000000001E-3</v>
      </c>
      <c r="U1733" s="74">
        <f>0.5/2</f>
        <v>0.25</v>
      </c>
      <c r="V1733" s="50">
        <v>0.11</v>
      </c>
      <c r="W1733" s="74">
        <f>0.002/2</f>
        <v>1E-3</v>
      </c>
      <c r="X1733" s="50">
        <v>6.5000000000000002E-2</v>
      </c>
      <c r="Y1733" s="74">
        <f>0.002/2</f>
        <v>1E-3</v>
      </c>
      <c r="Z1733" s="271">
        <v>0.89100000000000001</v>
      </c>
      <c r="AA1733" s="271">
        <v>0.59499999999999997</v>
      </c>
      <c r="AB1733" s="114">
        <v>10</v>
      </c>
      <c r="AC1733" s="50">
        <v>12</v>
      </c>
      <c r="AD1733" s="271">
        <v>0</v>
      </c>
      <c r="AE1733" s="50">
        <f>10/2</f>
        <v>5</v>
      </c>
    </row>
    <row r="1734" spans="1:31" ht="15" customHeight="1">
      <c r="A1734" s="41" t="s">
        <v>183</v>
      </c>
      <c r="B1734" s="402" t="s">
        <v>4984</v>
      </c>
      <c r="C1734" s="113" t="s">
        <v>4984</v>
      </c>
      <c r="D1734" s="393" t="s">
        <v>827</v>
      </c>
      <c r="E1734" s="394" t="s">
        <v>4985</v>
      </c>
      <c r="G1734" s="405" t="s">
        <v>2245</v>
      </c>
      <c r="H1734" s="74">
        <v>3272</v>
      </c>
      <c r="I1734" s="50" t="s">
        <v>2</v>
      </c>
      <c r="J1734" s="74" t="s">
        <v>2905</v>
      </c>
      <c r="K1734" s="51">
        <v>41345</v>
      </c>
      <c r="L1734" s="173">
        <v>41341</v>
      </c>
      <c r="M1734" s="50">
        <f t="shared" si="90"/>
        <v>4</v>
      </c>
      <c r="N1734" s="50" t="s">
        <v>1</v>
      </c>
      <c r="O1734" s="74">
        <v>7.8</v>
      </c>
      <c r="P1734" s="50">
        <v>7</v>
      </c>
      <c r="Q1734" s="74">
        <v>8.2200000000000006</v>
      </c>
      <c r="R1734" s="50">
        <v>199</v>
      </c>
      <c r="S1734" s="74">
        <v>450</v>
      </c>
      <c r="T1734" s="50">
        <v>0.46</v>
      </c>
      <c r="U1734" s="74">
        <v>1.67</v>
      </c>
      <c r="V1734" s="50">
        <v>0.49</v>
      </c>
      <c r="W1734" s="74">
        <v>4.7E-2</v>
      </c>
      <c r="X1734" s="50">
        <v>0.28199999999999997</v>
      </c>
      <c r="Y1734" s="74">
        <v>1.4E-2</v>
      </c>
      <c r="Z1734" s="271">
        <v>1</v>
      </c>
      <c r="AA1734" s="271">
        <v>1</v>
      </c>
      <c r="AB1734" s="114">
        <v>68</v>
      </c>
      <c r="AC1734" s="50">
        <v>278</v>
      </c>
      <c r="AD1734" s="271">
        <v>1</v>
      </c>
    </row>
    <row r="1735" spans="1:31" ht="15" customHeight="1">
      <c r="A1735" s="41" t="s">
        <v>183</v>
      </c>
      <c r="B1735" s="402" t="s">
        <v>4986</v>
      </c>
      <c r="C1735" s="113" t="s">
        <v>4987</v>
      </c>
      <c r="D1735" s="393" t="s">
        <v>257</v>
      </c>
      <c r="E1735" s="394" t="s">
        <v>4988</v>
      </c>
      <c r="F1735" s="402" t="s">
        <v>951</v>
      </c>
      <c r="G1735" s="405" t="s">
        <v>258</v>
      </c>
      <c r="H1735" s="74">
        <v>3471</v>
      </c>
      <c r="I1735" s="50" t="s">
        <v>2</v>
      </c>
      <c r="J1735" s="74" t="s">
        <v>4989</v>
      </c>
      <c r="K1735" s="51">
        <v>41402</v>
      </c>
      <c r="L1735" s="173">
        <v>41383</v>
      </c>
      <c r="M1735" s="50">
        <f t="shared" si="90"/>
        <v>19</v>
      </c>
      <c r="N1735" s="50" t="s">
        <v>2</v>
      </c>
      <c r="O1735" s="74">
        <f>1/2</f>
        <v>0.5</v>
      </c>
      <c r="P1735" s="50">
        <v>5.63</v>
      </c>
      <c r="Q1735" s="74">
        <v>5.69</v>
      </c>
      <c r="R1735" s="50">
        <v>15</v>
      </c>
      <c r="S1735" s="74">
        <v>1</v>
      </c>
      <c r="T1735" s="50">
        <v>0.16</v>
      </c>
      <c r="U1735" s="74">
        <v>0.55000000000000004</v>
      </c>
      <c r="V1735" s="50">
        <v>0.21</v>
      </c>
      <c r="W1735" s="74">
        <f>0.005</f>
        <v>5.0000000000000001E-3</v>
      </c>
      <c r="X1735" s="50">
        <f>0.026</f>
        <v>2.5999999999999999E-2</v>
      </c>
      <c r="Y1735" s="74">
        <f>0.002/2</f>
        <v>1E-3</v>
      </c>
    </row>
    <row r="1736" spans="1:31" ht="15" customHeight="1">
      <c r="A1736" s="41" t="s">
        <v>183</v>
      </c>
      <c r="B1736" s="402" t="s">
        <v>1863</v>
      </c>
      <c r="C1736" s="113" t="s">
        <v>4990</v>
      </c>
      <c r="D1736" s="393" t="s">
        <v>1864</v>
      </c>
      <c r="E1736" s="394" t="s">
        <v>1865</v>
      </c>
      <c r="G1736" s="405" t="s">
        <v>1866</v>
      </c>
      <c r="H1736" s="74">
        <v>2611</v>
      </c>
      <c r="I1736" s="50" t="s">
        <v>2</v>
      </c>
      <c r="J1736" s="74" t="s">
        <v>1867</v>
      </c>
      <c r="K1736" s="51">
        <v>41464</v>
      </c>
      <c r="L1736" s="173">
        <v>41457</v>
      </c>
      <c r="M1736" s="50">
        <f t="shared" si="90"/>
        <v>7</v>
      </c>
      <c r="N1736" s="50" t="s">
        <v>2</v>
      </c>
      <c r="O1736" s="74">
        <v>1.7</v>
      </c>
      <c r="P1736" s="50">
        <v>3.85</v>
      </c>
      <c r="Q1736" s="74">
        <v>7.57</v>
      </c>
      <c r="R1736" s="50">
        <v>134</v>
      </c>
      <c r="S1736" s="74">
        <v>88</v>
      </c>
      <c r="T1736" s="50">
        <v>0.51</v>
      </c>
      <c r="U1736" s="74">
        <v>4.43</v>
      </c>
      <c r="V1736" s="50">
        <v>0.09</v>
      </c>
      <c r="W1736" s="74">
        <v>5.0000000000000001E-3</v>
      </c>
      <c r="X1736" s="50">
        <v>7.0000000000000007E-2</v>
      </c>
      <c r="Y1736" s="74">
        <v>4.0000000000000001E-3</v>
      </c>
      <c r="Z1736" s="271">
        <v>1</v>
      </c>
      <c r="AA1736" s="271">
        <v>1</v>
      </c>
      <c r="AB1736" s="114">
        <v>34</v>
      </c>
      <c r="AC1736" s="50">
        <v>113</v>
      </c>
      <c r="AD1736" s="271">
        <v>1</v>
      </c>
    </row>
    <row r="1737" spans="1:31" ht="15" customHeight="1">
      <c r="A1737" s="41" t="s">
        <v>183</v>
      </c>
      <c r="B1737" s="402" t="s">
        <v>1863</v>
      </c>
      <c r="C1737" s="113" t="s">
        <v>4990</v>
      </c>
      <c r="D1737" s="393" t="s">
        <v>1864</v>
      </c>
      <c r="E1737" s="394" t="s">
        <v>1865</v>
      </c>
      <c r="G1737" s="405" t="s">
        <v>1866</v>
      </c>
      <c r="H1737" s="74">
        <v>2611</v>
      </c>
      <c r="I1737" s="50" t="s">
        <v>2</v>
      </c>
      <c r="J1737" s="74" t="s">
        <v>1291</v>
      </c>
      <c r="K1737" s="51">
        <v>41464</v>
      </c>
      <c r="L1737" s="173">
        <v>41457</v>
      </c>
      <c r="M1737" s="50">
        <f t="shared" si="90"/>
        <v>7</v>
      </c>
      <c r="N1737" s="50" t="s">
        <v>2</v>
      </c>
      <c r="O1737" s="74">
        <f>1.4/2</f>
        <v>0.7</v>
      </c>
      <c r="P1737" s="50">
        <v>3.85</v>
      </c>
      <c r="Q1737" s="74">
        <v>6.63</v>
      </c>
      <c r="R1737" s="50">
        <v>58</v>
      </c>
      <c r="S1737" s="74">
        <v>64</v>
      </c>
      <c r="T1737" s="50">
        <v>0.21</v>
      </c>
      <c r="U1737" s="74">
        <v>1.32</v>
      </c>
      <c r="V1737" s="50">
        <v>0.41</v>
      </c>
      <c r="W1737" s="74">
        <v>1.7999999999999999E-2</v>
      </c>
      <c r="X1737" s="50">
        <v>7.6999999999999999E-2</v>
      </c>
      <c r="Y1737" s="74">
        <v>7.0000000000000001E-3</v>
      </c>
      <c r="Z1737" s="271">
        <v>1</v>
      </c>
      <c r="AA1737" s="271">
        <v>1</v>
      </c>
      <c r="AB1737" s="114">
        <v>6</v>
      </c>
      <c r="AC1737" s="50">
        <v>39</v>
      </c>
      <c r="AD1737" s="271">
        <v>1</v>
      </c>
    </row>
    <row r="1738" spans="1:31" ht="15" customHeight="1">
      <c r="A1738" s="41" t="s">
        <v>183</v>
      </c>
      <c r="B1738" s="402" t="s">
        <v>4991</v>
      </c>
      <c r="D1738" s="393" t="s">
        <v>347</v>
      </c>
      <c r="E1738" s="394" t="s">
        <v>4992</v>
      </c>
      <c r="G1738" s="405" t="s">
        <v>3711</v>
      </c>
      <c r="H1738" s="74">
        <v>3561</v>
      </c>
      <c r="I1738" s="50" t="s">
        <v>2</v>
      </c>
      <c r="J1738" s="74" t="s">
        <v>4993</v>
      </c>
      <c r="K1738" s="51">
        <v>41402</v>
      </c>
      <c r="L1738" s="173">
        <v>41384</v>
      </c>
      <c r="M1738" s="50">
        <f t="shared" si="90"/>
        <v>18</v>
      </c>
      <c r="N1738" s="50" t="s">
        <v>2</v>
      </c>
      <c r="O1738" s="74">
        <v>17.8</v>
      </c>
      <c r="P1738" s="50">
        <v>6</v>
      </c>
      <c r="Q1738" s="74">
        <v>6.5</v>
      </c>
      <c r="R1738" s="50">
        <v>491</v>
      </c>
      <c r="S1738" s="74">
        <v>320</v>
      </c>
      <c r="T1738" s="50">
        <v>0.27</v>
      </c>
      <c r="U1738" s="74">
        <v>2.79</v>
      </c>
      <c r="V1738" s="50">
        <f>0.1/2</f>
        <v>0.05</v>
      </c>
      <c r="W1738" s="74">
        <v>8.1000000000000003E-2</v>
      </c>
      <c r="X1738" s="50">
        <v>1.32</v>
      </c>
      <c r="Y1738" s="74">
        <f>0.03/2</f>
        <v>1.4999999999999999E-2</v>
      </c>
      <c r="Z1738" s="271">
        <v>1</v>
      </c>
      <c r="AA1738" s="271">
        <v>1</v>
      </c>
      <c r="AB1738" s="114">
        <v>56</v>
      </c>
      <c r="AC1738" s="50">
        <v>40</v>
      </c>
      <c r="AD1738" s="271">
        <f>12/20</f>
        <v>0.6</v>
      </c>
    </row>
    <row r="1739" spans="1:31" ht="15" customHeight="1">
      <c r="A1739" s="41" t="s">
        <v>183</v>
      </c>
      <c r="B1739" s="402" t="s">
        <v>4994</v>
      </c>
      <c r="C1739" s="113" t="s">
        <v>1945</v>
      </c>
      <c r="D1739" s="393" t="s">
        <v>372</v>
      </c>
      <c r="E1739" s="394" t="s">
        <v>1946</v>
      </c>
      <c r="G1739" s="405" t="s">
        <v>1947</v>
      </c>
      <c r="H1739" s="74">
        <v>3465</v>
      </c>
      <c r="I1739" s="50" t="s">
        <v>2</v>
      </c>
      <c r="J1739" s="74" t="s">
        <v>1882</v>
      </c>
      <c r="K1739" s="51">
        <v>41352</v>
      </c>
      <c r="L1739" s="173">
        <v>41341</v>
      </c>
      <c r="M1739" s="50">
        <f t="shared" si="90"/>
        <v>11</v>
      </c>
      <c r="N1739" s="50" t="s">
        <v>2</v>
      </c>
      <c r="O1739" s="74">
        <f>1.4/2</f>
        <v>0.7</v>
      </c>
      <c r="P1739" s="50">
        <v>4.0199999999999996</v>
      </c>
      <c r="Q1739" s="74">
        <v>5.0599999999999996</v>
      </c>
      <c r="R1739" s="50">
        <v>12</v>
      </c>
      <c r="S1739" s="74">
        <v>6</v>
      </c>
      <c r="T1739" s="50">
        <v>0.04</v>
      </c>
      <c r="U1739" s="74">
        <v>0.95</v>
      </c>
      <c r="V1739" s="50">
        <v>0.49</v>
      </c>
      <c r="W1739" s="74">
        <v>1.0999999999999999E-2</v>
      </c>
      <c r="X1739" s="50">
        <v>0.499</v>
      </c>
      <c r="Y1739" s="74">
        <v>5.0000000000000001E-3</v>
      </c>
      <c r="Z1739" s="271">
        <v>0.73499999999999999</v>
      </c>
      <c r="AA1739" s="271">
        <v>0.55500000000000005</v>
      </c>
      <c r="AB1739" s="114">
        <f>2/2</f>
        <v>1</v>
      </c>
      <c r="AC1739" s="50">
        <v>89</v>
      </c>
      <c r="AD1739" s="271">
        <v>0</v>
      </c>
    </row>
    <row r="1740" spans="1:31" ht="15" customHeight="1">
      <c r="A1740" s="41" t="s">
        <v>183</v>
      </c>
      <c r="B1740" s="402" t="s">
        <v>4994</v>
      </c>
      <c r="C1740" s="113" t="s">
        <v>1945</v>
      </c>
      <c r="D1740" s="393" t="s">
        <v>372</v>
      </c>
      <c r="E1740" s="394" t="s">
        <v>1946</v>
      </c>
      <c r="G1740" s="405" t="s">
        <v>1947</v>
      </c>
      <c r="H1740" s="74">
        <v>3465</v>
      </c>
      <c r="I1740" s="50" t="s">
        <v>2</v>
      </c>
      <c r="J1740" s="74" t="s">
        <v>3702</v>
      </c>
      <c r="K1740" s="51">
        <v>41352</v>
      </c>
      <c r="L1740" s="173">
        <v>41341</v>
      </c>
      <c r="M1740" s="50">
        <f t="shared" si="90"/>
        <v>11</v>
      </c>
      <c r="N1740" s="50" t="s">
        <v>2</v>
      </c>
      <c r="O1740" s="74">
        <f>1.4/2</f>
        <v>0.7</v>
      </c>
      <c r="P1740" s="50">
        <v>4.0199999999999996</v>
      </c>
      <c r="Q1740" s="74">
        <v>6.56</v>
      </c>
      <c r="R1740" s="50">
        <v>23</v>
      </c>
      <c r="S1740" s="74">
        <v>32</v>
      </c>
      <c r="T1740" s="50">
        <v>0.08</v>
      </c>
      <c r="U1740" s="74">
        <v>0.46</v>
      </c>
      <c r="V1740" s="50">
        <v>0.19</v>
      </c>
      <c r="W1740" s="74">
        <v>1.2999999999999999E-2</v>
      </c>
      <c r="X1740" s="50">
        <v>0.184</v>
      </c>
      <c r="Y1740" s="74">
        <v>6.0000000000000001E-3</v>
      </c>
      <c r="Z1740" s="271">
        <v>1</v>
      </c>
      <c r="AA1740" s="271">
        <v>1</v>
      </c>
      <c r="AB1740" s="114">
        <v>6</v>
      </c>
      <c r="AC1740" s="50">
        <v>323</v>
      </c>
      <c r="AD1740" s="271">
        <f>10/20</f>
        <v>0.5</v>
      </c>
    </row>
    <row r="1741" spans="1:31" ht="15" customHeight="1">
      <c r="A1741" s="41" t="s">
        <v>183</v>
      </c>
      <c r="B1741" s="402" t="s">
        <v>4995</v>
      </c>
      <c r="C1741" s="113" t="s">
        <v>4996</v>
      </c>
      <c r="D1741" s="393" t="s">
        <v>818</v>
      </c>
      <c r="E1741" s="394" t="s">
        <v>4285</v>
      </c>
      <c r="G1741" s="405" t="s">
        <v>3219</v>
      </c>
      <c r="H1741" s="74">
        <v>3714</v>
      </c>
      <c r="I1741" s="50" t="s">
        <v>2</v>
      </c>
      <c r="J1741" s="74" t="s">
        <v>4997</v>
      </c>
      <c r="K1741" s="51">
        <v>41030</v>
      </c>
      <c r="L1741" s="173">
        <v>41022</v>
      </c>
      <c r="M1741" s="50">
        <f t="shared" si="90"/>
        <v>8</v>
      </c>
      <c r="N1741" s="50" t="s">
        <v>2</v>
      </c>
      <c r="O1741" s="74">
        <f>5/2</f>
        <v>2.5</v>
      </c>
      <c r="P1741" s="50">
        <v>6</v>
      </c>
      <c r="Q1741" s="74">
        <v>5.14</v>
      </c>
      <c r="R1741" s="50">
        <v>24</v>
      </c>
      <c r="S1741" s="74">
        <v>8</v>
      </c>
      <c r="T1741" s="50">
        <f>0.1/2</f>
        <v>0.05</v>
      </c>
      <c r="U1741" s="74">
        <f>1/2</f>
        <v>0.5</v>
      </c>
      <c r="V1741" s="50">
        <v>0.19</v>
      </c>
      <c r="W1741" s="74">
        <f>0.04/2</f>
        <v>0.02</v>
      </c>
      <c r="X1741" s="50">
        <v>3.6999999999999998E-2</v>
      </c>
      <c r="Y1741" s="74">
        <f>0.013/2</f>
        <v>6.4999999999999997E-3</v>
      </c>
    </row>
    <row r="1742" spans="1:31" ht="15" customHeight="1">
      <c r="A1742" s="41" t="s">
        <v>183</v>
      </c>
      <c r="B1742" s="402" t="s">
        <v>4995</v>
      </c>
      <c r="C1742" s="113" t="s">
        <v>4996</v>
      </c>
      <c r="D1742" s="393" t="s">
        <v>818</v>
      </c>
      <c r="E1742" s="394" t="s">
        <v>4285</v>
      </c>
      <c r="G1742" s="405" t="s">
        <v>3219</v>
      </c>
      <c r="H1742" s="74">
        <v>3714</v>
      </c>
      <c r="I1742" s="50" t="s">
        <v>2</v>
      </c>
      <c r="J1742" s="74" t="s">
        <v>4997</v>
      </c>
      <c r="K1742" s="51">
        <v>41402</v>
      </c>
      <c r="L1742" s="173">
        <v>41384</v>
      </c>
      <c r="M1742" s="50">
        <f t="shared" si="90"/>
        <v>18</v>
      </c>
      <c r="N1742" s="50" t="s">
        <v>2</v>
      </c>
      <c r="O1742" s="74">
        <v>6.7</v>
      </c>
      <c r="P1742" s="50">
        <v>7</v>
      </c>
      <c r="Q1742" s="74">
        <v>6.8</v>
      </c>
      <c r="R1742" s="50">
        <v>170</v>
      </c>
      <c r="S1742" s="74">
        <v>210</v>
      </c>
      <c r="T1742" s="50">
        <v>0.93</v>
      </c>
      <c r="U1742" s="74">
        <v>3</v>
      </c>
      <c r="V1742" s="50">
        <v>0.31</v>
      </c>
      <c r="W1742" s="74">
        <v>7.3999999999999996E-2</v>
      </c>
      <c r="X1742" s="50">
        <v>0.23</v>
      </c>
      <c r="Y1742" s="74">
        <v>5.0999999999999997E-2</v>
      </c>
    </row>
    <row r="1743" spans="1:31" ht="15" customHeight="1">
      <c r="A1743" s="41" t="s">
        <v>183</v>
      </c>
      <c r="B1743" s="402" t="s">
        <v>4998</v>
      </c>
      <c r="C1743" s="113" t="s">
        <v>4998</v>
      </c>
      <c r="D1743" s="393" t="s">
        <v>213</v>
      </c>
      <c r="E1743" s="394" t="s">
        <v>671</v>
      </c>
      <c r="F1743" s="402" t="s">
        <v>3258</v>
      </c>
      <c r="G1743" s="405" t="s">
        <v>3259</v>
      </c>
      <c r="H1743" s="74">
        <v>3829</v>
      </c>
      <c r="I1743" s="50" t="s">
        <v>2</v>
      </c>
      <c r="J1743" s="74" t="s">
        <v>700</v>
      </c>
      <c r="K1743" s="51">
        <v>41345</v>
      </c>
      <c r="L1743" s="173">
        <v>41341</v>
      </c>
      <c r="M1743" s="50">
        <f t="shared" si="90"/>
        <v>4</v>
      </c>
      <c r="N1743" s="50" t="s">
        <v>2</v>
      </c>
      <c r="O1743" s="74">
        <f>2.4/2</f>
        <v>1.2</v>
      </c>
      <c r="P1743" s="50">
        <v>6.4</v>
      </c>
      <c r="Q1743" s="74">
        <v>8.2200000000000006</v>
      </c>
      <c r="R1743" s="50">
        <v>66</v>
      </c>
      <c r="S1743" s="74">
        <v>84</v>
      </c>
      <c r="T1743" s="50">
        <v>0.14499999999999999</v>
      </c>
      <c r="U1743" s="74">
        <v>2.1</v>
      </c>
      <c r="V1743" s="50">
        <f>0.46/2</f>
        <v>0.23</v>
      </c>
      <c r="W1743" s="74">
        <v>1.2E-2</v>
      </c>
      <c r="X1743" s="50">
        <v>0.04</v>
      </c>
      <c r="Y1743" s="74">
        <v>9.4999999999999998E-3</v>
      </c>
    </row>
    <row r="1744" spans="1:31" ht="15" customHeight="1">
      <c r="A1744" s="41" t="s">
        <v>183</v>
      </c>
      <c r="B1744" s="402" t="s">
        <v>801</v>
      </c>
      <c r="D1744" s="393" t="s">
        <v>200</v>
      </c>
      <c r="E1744" s="394" t="s">
        <v>112</v>
      </c>
      <c r="F1744" s="402">
        <v>5200</v>
      </c>
      <c r="G1744" s="405" t="s">
        <v>802</v>
      </c>
      <c r="H1744" s="74">
        <v>3272</v>
      </c>
      <c r="I1744" s="50" t="s">
        <v>2</v>
      </c>
      <c r="J1744" s="74" t="s">
        <v>4999</v>
      </c>
      <c r="K1744" s="51">
        <v>41376</v>
      </c>
      <c r="L1744" s="173"/>
      <c r="N1744" s="50" t="s">
        <v>2</v>
      </c>
      <c r="O1744" s="74">
        <v>2.6</v>
      </c>
      <c r="P1744" s="50">
        <v>6.5</v>
      </c>
      <c r="Q1744" s="74">
        <v>11.6</v>
      </c>
      <c r="R1744" s="50">
        <v>17</v>
      </c>
      <c r="S1744" s="74">
        <v>370</v>
      </c>
      <c r="T1744" s="50">
        <v>0.44</v>
      </c>
      <c r="U1744" s="74">
        <v>0.94</v>
      </c>
      <c r="V1744" s="50">
        <v>0.28000000000000003</v>
      </c>
      <c r="W1744" s="74">
        <v>2.3E-2</v>
      </c>
      <c r="X1744" s="50">
        <v>3.1E-2</v>
      </c>
      <c r="Y1744" s="74">
        <f>0.03/2</f>
        <v>1.4999999999999999E-2</v>
      </c>
    </row>
    <row r="1745" spans="1:30" ht="15" customHeight="1">
      <c r="A1745" s="41" t="s">
        <v>183</v>
      </c>
      <c r="B1745" s="402" t="s">
        <v>801</v>
      </c>
      <c r="D1745" s="393" t="s">
        <v>200</v>
      </c>
      <c r="E1745" s="394" t="s">
        <v>112</v>
      </c>
      <c r="F1745" s="402">
        <v>5200</v>
      </c>
      <c r="G1745" s="405" t="s">
        <v>802</v>
      </c>
      <c r="H1745" s="74">
        <v>3272</v>
      </c>
      <c r="I1745" s="50" t="s">
        <v>2</v>
      </c>
      <c r="J1745" s="74" t="s">
        <v>5000</v>
      </c>
      <c r="K1745" s="51">
        <v>41376</v>
      </c>
      <c r="L1745" s="173"/>
      <c r="N1745" s="50" t="s">
        <v>2</v>
      </c>
      <c r="O1745" s="74">
        <v>2.9</v>
      </c>
      <c r="P1745" s="50">
        <v>6.5</v>
      </c>
      <c r="Q1745" s="74">
        <v>9.5</v>
      </c>
      <c r="R1745" s="50">
        <v>28</v>
      </c>
      <c r="S1745" s="74">
        <v>134</v>
      </c>
      <c r="T1745" s="50">
        <v>0.25</v>
      </c>
      <c r="U1745" s="74">
        <v>0.71</v>
      </c>
      <c r="V1745" s="50">
        <v>0.34</v>
      </c>
      <c r="W1745" s="74">
        <v>1.6E-2</v>
      </c>
      <c r="X1745" s="50">
        <v>0.04</v>
      </c>
      <c r="Y1745" s="74">
        <f>0.03/2</f>
        <v>1.4999999999999999E-2</v>
      </c>
    </row>
    <row r="1746" spans="1:30" ht="15" customHeight="1">
      <c r="A1746" s="41" t="s">
        <v>183</v>
      </c>
      <c r="B1746" s="402" t="s">
        <v>5001</v>
      </c>
      <c r="C1746" s="113" t="s">
        <v>5002</v>
      </c>
      <c r="D1746" s="393" t="s">
        <v>213</v>
      </c>
      <c r="E1746" s="394" t="s">
        <v>5003</v>
      </c>
      <c r="F1746" s="402" t="s">
        <v>5004</v>
      </c>
      <c r="G1746" s="405" t="s">
        <v>5005</v>
      </c>
      <c r="H1746" s="74" t="s">
        <v>5006</v>
      </c>
      <c r="I1746" s="50" t="s">
        <v>2</v>
      </c>
      <c r="J1746" s="74" t="s">
        <v>5076</v>
      </c>
      <c r="K1746" s="51">
        <v>41402</v>
      </c>
      <c r="L1746" s="173">
        <v>41388</v>
      </c>
      <c r="M1746" s="50">
        <f t="shared" ref="M1746:M1756" si="92">K1746-L1746</f>
        <v>14</v>
      </c>
      <c r="N1746" s="50" t="s">
        <v>2</v>
      </c>
      <c r="O1746" s="74">
        <f>5/2</f>
        <v>2.5</v>
      </c>
      <c r="P1746" s="50">
        <v>6.8</v>
      </c>
      <c r="Q1746" s="74">
        <v>6.8</v>
      </c>
      <c r="R1746" s="50">
        <v>33</v>
      </c>
      <c r="S1746" s="74">
        <v>66</v>
      </c>
      <c r="T1746" s="50">
        <f>0.01/2</f>
        <v>5.0000000000000001E-3</v>
      </c>
      <c r="U1746" s="74">
        <v>4.5999999999999996</v>
      </c>
      <c r="V1746" s="50">
        <v>0.11</v>
      </c>
      <c r="W1746" s="74">
        <f>0.04/2</f>
        <v>0.02</v>
      </c>
      <c r="X1746" s="50">
        <v>4.2999999999999997E-2</v>
      </c>
      <c r="Y1746" s="74">
        <f>0.013/2</f>
        <v>6.4999999999999997E-3</v>
      </c>
      <c r="Z1746" s="271">
        <v>1</v>
      </c>
      <c r="AA1746" s="271">
        <v>1</v>
      </c>
      <c r="AB1746" s="114">
        <v>4.3</v>
      </c>
      <c r="AC1746" s="50">
        <v>32</v>
      </c>
      <c r="AD1746" s="271">
        <v>1</v>
      </c>
    </row>
    <row r="1747" spans="1:30" ht="15" customHeight="1">
      <c r="A1747" s="41" t="s">
        <v>183</v>
      </c>
      <c r="B1747" s="402" t="s">
        <v>5007</v>
      </c>
      <c r="C1747" s="113" t="s">
        <v>1338</v>
      </c>
      <c r="D1747" s="393" t="s">
        <v>213</v>
      </c>
      <c r="E1747" s="394" t="s">
        <v>1339</v>
      </c>
      <c r="G1747" s="405" t="s">
        <v>1340</v>
      </c>
      <c r="H1747" s="74">
        <v>3724</v>
      </c>
      <c r="I1747" s="50" t="s">
        <v>2</v>
      </c>
      <c r="J1747" s="74" t="s">
        <v>5008</v>
      </c>
      <c r="K1747" s="51">
        <v>41364</v>
      </c>
      <c r="L1747" s="173">
        <v>41352</v>
      </c>
      <c r="M1747" s="50">
        <f t="shared" si="92"/>
        <v>12</v>
      </c>
      <c r="N1747" s="50" t="s">
        <v>2</v>
      </c>
      <c r="O1747" s="74">
        <f>1.7/2</f>
        <v>0.85</v>
      </c>
      <c r="P1747" s="50">
        <v>4.3</v>
      </c>
      <c r="Q1747" s="74">
        <v>5.6</v>
      </c>
      <c r="R1747" s="50">
        <f>20/2</f>
        <v>10</v>
      </c>
      <c r="S1747" s="74">
        <v>3.6</v>
      </c>
      <c r="T1747" s="50">
        <v>6.5000000000000002E-2</v>
      </c>
      <c r="U1747" s="74">
        <v>2.2000000000000002</v>
      </c>
      <c r="V1747" s="50">
        <f>0.46/2</f>
        <v>0.23</v>
      </c>
      <c r="W1747" s="74">
        <f>0.005/2</f>
        <v>2.5000000000000001E-3</v>
      </c>
      <c r="X1747" s="50">
        <v>7.0999999999999994E-2</v>
      </c>
      <c r="Y1747" s="74">
        <f>0.005/2</f>
        <v>2.5000000000000001E-3</v>
      </c>
    </row>
    <row r="1748" spans="1:30" ht="15" customHeight="1">
      <c r="A1748" s="41" t="s">
        <v>183</v>
      </c>
      <c r="B1748" s="402" t="s">
        <v>5007</v>
      </c>
      <c r="C1748" s="113" t="s">
        <v>1338</v>
      </c>
      <c r="D1748" s="393" t="s">
        <v>213</v>
      </c>
      <c r="E1748" s="394" t="s">
        <v>1339</v>
      </c>
      <c r="G1748" s="405" t="s">
        <v>1340</v>
      </c>
      <c r="H1748" s="74">
        <v>3724</v>
      </c>
      <c r="I1748" s="50" t="s">
        <v>2</v>
      </c>
      <c r="J1748" s="74" t="s">
        <v>5009</v>
      </c>
      <c r="K1748" s="51">
        <v>41364</v>
      </c>
      <c r="L1748" s="173">
        <v>41352</v>
      </c>
      <c r="M1748" s="50">
        <f t="shared" si="92"/>
        <v>12</v>
      </c>
      <c r="N1748" s="50" t="s">
        <v>2</v>
      </c>
      <c r="O1748" s="74">
        <f>1.6/2</f>
        <v>0.8</v>
      </c>
      <c r="P1748" s="50">
        <v>4.3</v>
      </c>
      <c r="Q1748" s="74">
        <v>5.4</v>
      </c>
      <c r="R1748" s="50">
        <f>20/2</f>
        <v>10</v>
      </c>
      <c r="S1748" s="74">
        <v>10.8</v>
      </c>
      <c r="T1748" s="50">
        <v>3.5999999999999997E-2</v>
      </c>
      <c r="U1748" s="74">
        <v>1.8</v>
      </c>
      <c r="V1748" s="50">
        <f>0.46/2</f>
        <v>0.23</v>
      </c>
      <c r="W1748" s="74">
        <f>0.005/2</f>
        <v>2.5000000000000001E-3</v>
      </c>
      <c r="X1748" s="50">
        <v>7.6999999999999999E-2</v>
      </c>
      <c r="Y1748" s="74">
        <f>0.005/2</f>
        <v>2.5000000000000001E-3</v>
      </c>
    </row>
    <row r="1749" spans="1:30" ht="15" customHeight="1">
      <c r="A1749" s="41" t="s">
        <v>183</v>
      </c>
      <c r="B1749" s="402" t="s">
        <v>4198</v>
      </c>
      <c r="C1749" s="113" t="s">
        <v>4199</v>
      </c>
      <c r="D1749" s="393" t="s">
        <v>56</v>
      </c>
      <c r="E1749" s="394" t="s">
        <v>5010</v>
      </c>
      <c r="G1749" s="405" t="s">
        <v>4201</v>
      </c>
      <c r="H1749" s="74">
        <v>4011</v>
      </c>
      <c r="I1749" s="50" t="s">
        <v>2</v>
      </c>
      <c r="J1749" s="74" t="s">
        <v>5011</v>
      </c>
      <c r="K1749" s="51">
        <v>41320</v>
      </c>
      <c r="L1749" s="173">
        <v>41316</v>
      </c>
      <c r="M1749" s="50">
        <f t="shared" si="92"/>
        <v>4</v>
      </c>
      <c r="N1749" s="50" t="s">
        <v>1</v>
      </c>
      <c r="O1749" s="74">
        <f>4.4/2</f>
        <v>2.2000000000000002</v>
      </c>
      <c r="Q1749" s="74">
        <v>6.6</v>
      </c>
      <c r="R1749" s="50">
        <f>20/2</f>
        <v>10</v>
      </c>
      <c r="S1749" s="74">
        <v>13</v>
      </c>
      <c r="T1749" s="50">
        <v>0.45400000000000001</v>
      </c>
      <c r="U1749" s="74">
        <v>0.91100000000000003</v>
      </c>
      <c r="V1749" s="50">
        <v>0.27</v>
      </c>
      <c r="W1749" s="74">
        <f>0.01/2</f>
        <v>5.0000000000000001E-3</v>
      </c>
      <c r="X1749" s="50">
        <f>0.05/2</f>
        <v>2.5000000000000001E-2</v>
      </c>
      <c r="Y1749" s="74">
        <f>0.01/2</f>
        <v>5.0000000000000001E-3</v>
      </c>
    </row>
    <row r="1750" spans="1:30" ht="15" customHeight="1">
      <c r="A1750" s="41" t="s">
        <v>183</v>
      </c>
      <c r="B1750" s="402" t="s">
        <v>5012</v>
      </c>
      <c r="D1750" s="393" t="s">
        <v>303</v>
      </c>
      <c r="G1750" s="405" t="s">
        <v>5198</v>
      </c>
      <c r="H1750" s="74"/>
      <c r="I1750" s="50" t="s">
        <v>2</v>
      </c>
      <c r="J1750" s="74" t="s">
        <v>5014</v>
      </c>
      <c r="K1750" s="51">
        <v>41402</v>
      </c>
      <c r="L1750" s="173">
        <v>41395</v>
      </c>
      <c r="M1750" s="50">
        <f t="shared" si="92"/>
        <v>7</v>
      </c>
      <c r="N1750" s="50" t="s">
        <v>2</v>
      </c>
      <c r="O1750" s="74">
        <v>2.5</v>
      </c>
      <c r="P1750" s="50">
        <v>4.37</v>
      </c>
      <c r="Q1750" s="74">
        <v>4.78</v>
      </c>
      <c r="R1750" s="50">
        <v>143</v>
      </c>
      <c r="S1750" s="74">
        <v>47</v>
      </c>
      <c r="T1750" s="50">
        <v>0.41</v>
      </c>
      <c r="U1750" s="74">
        <v>8.18</v>
      </c>
      <c r="V1750" s="50">
        <v>0.43</v>
      </c>
      <c r="W1750" s="74">
        <v>0.08</v>
      </c>
      <c r="X1750" s="50">
        <v>0.16</v>
      </c>
      <c r="Y1750" s="74">
        <f>0.005/2</f>
        <v>2.5000000000000001E-3</v>
      </c>
      <c r="Z1750" s="271">
        <v>1</v>
      </c>
      <c r="AA1750" s="271">
        <v>1</v>
      </c>
      <c r="AB1750" s="114">
        <v>15</v>
      </c>
      <c r="AC1750" s="50">
        <v>68</v>
      </c>
      <c r="AD1750" s="271">
        <v>1</v>
      </c>
    </row>
    <row r="1751" spans="1:30" ht="15" customHeight="1">
      <c r="A1751" s="41" t="s">
        <v>183</v>
      </c>
      <c r="B1751" s="402" t="s">
        <v>40</v>
      </c>
      <c r="C1751" s="113" t="s">
        <v>40</v>
      </c>
      <c r="D1751" s="393" t="s">
        <v>41</v>
      </c>
      <c r="E1751" s="394" t="s">
        <v>42</v>
      </c>
      <c r="F1751" s="47" t="s">
        <v>5216</v>
      </c>
      <c r="G1751" s="405" t="s">
        <v>43</v>
      </c>
      <c r="H1751" s="74">
        <v>3728</v>
      </c>
      <c r="I1751" s="50" t="s">
        <v>2</v>
      </c>
      <c r="J1751" s="74" t="s">
        <v>5015</v>
      </c>
      <c r="K1751" s="51">
        <v>41402</v>
      </c>
      <c r="L1751" s="173">
        <v>41384</v>
      </c>
      <c r="M1751" s="50">
        <f t="shared" si="92"/>
        <v>18</v>
      </c>
      <c r="N1751" s="50" t="s">
        <v>2</v>
      </c>
      <c r="O1751" s="74">
        <v>1.4</v>
      </c>
      <c r="P1751" s="50">
        <v>7.33</v>
      </c>
      <c r="Q1751" s="74">
        <v>5.9</v>
      </c>
      <c r="R1751" s="50">
        <v>109</v>
      </c>
      <c r="S1751" s="74">
        <v>5</v>
      </c>
      <c r="T1751" s="50">
        <v>0.17</v>
      </c>
      <c r="U1751" s="74">
        <v>5.84</v>
      </c>
      <c r="V1751" s="50">
        <v>0.64</v>
      </c>
      <c r="W1751" s="74">
        <v>3.1E-2</v>
      </c>
      <c r="X1751" s="50">
        <v>0.19900000000000001</v>
      </c>
      <c r="Y1751" s="74">
        <v>2E-3</v>
      </c>
    </row>
    <row r="1752" spans="1:30" ht="15" customHeight="1">
      <c r="A1752" s="41" t="s">
        <v>183</v>
      </c>
      <c r="B1752" s="402" t="s">
        <v>40</v>
      </c>
      <c r="C1752" s="113" t="s">
        <v>40</v>
      </c>
      <c r="D1752" s="393" t="s">
        <v>41</v>
      </c>
      <c r="E1752" s="394" t="s">
        <v>42</v>
      </c>
      <c r="F1752" s="47" t="s">
        <v>5216</v>
      </c>
      <c r="G1752" s="405" t="s">
        <v>43</v>
      </c>
      <c r="H1752" s="74">
        <v>3728</v>
      </c>
      <c r="I1752" s="50" t="s">
        <v>2</v>
      </c>
      <c r="J1752" s="74" t="s">
        <v>5016</v>
      </c>
      <c r="K1752" s="51">
        <v>41402</v>
      </c>
      <c r="L1752" s="173">
        <v>41384</v>
      </c>
      <c r="M1752" s="50">
        <f t="shared" si="92"/>
        <v>18</v>
      </c>
      <c r="N1752" s="50" t="s">
        <v>2</v>
      </c>
      <c r="O1752" s="74">
        <f>1.4/2</f>
        <v>0.7</v>
      </c>
      <c r="P1752" s="50">
        <v>7.33</v>
      </c>
      <c r="Q1752" s="74">
        <v>5.95</v>
      </c>
      <c r="R1752" s="50">
        <v>170</v>
      </c>
      <c r="S1752" s="74">
        <v>42</v>
      </c>
      <c r="T1752" s="50">
        <v>0.49</v>
      </c>
      <c r="U1752" s="74">
        <v>5.6</v>
      </c>
      <c r="V1752" s="50">
        <v>1.02</v>
      </c>
      <c r="W1752" s="74">
        <v>0.04</v>
      </c>
      <c r="X1752" s="50">
        <v>0.65800000000000003</v>
      </c>
      <c r="Y1752" s="74">
        <v>6.0000000000000001E-3</v>
      </c>
    </row>
    <row r="1753" spans="1:30" ht="15" customHeight="1">
      <c r="A1753" s="41" t="s">
        <v>183</v>
      </c>
      <c r="B1753" s="402" t="s">
        <v>40</v>
      </c>
      <c r="C1753" s="113" t="s">
        <v>40</v>
      </c>
      <c r="D1753" s="393" t="s">
        <v>41</v>
      </c>
      <c r="E1753" s="394" t="s">
        <v>42</v>
      </c>
      <c r="F1753" s="47" t="s">
        <v>5216</v>
      </c>
      <c r="G1753" s="405" t="s">
        <v>43</v>
      </c>
      <c r="H1753" s="74">
        <v>3728</v>
      </c>
      <c r="I1753" s="50" t="s">
        <v>2</v>
      </c>
      <c r="J1753" s="74" t="s">
        <v>46</v>
      </c>
      <c r="K1753" s="51">
        <v>41402</v>
      </c>
      <c r="L1753" s="173">
        <v>41384</v>
      </c>
      <c r="M1753" s="50">
        <f t="shared" si="92"/>
        <v>18</v>
      </c>
      <c r="N1753" s="50" t="s">
        <v>2</v>
      </c>
      <c r="O1753" s="74">
        <v>1.4</v>
      </c>
      <c r="P1753" s="50">
        <v>7.33</v>
      </c>
      <c r="Q1753" s="74">
        <v>6.05</v>
      </c>
      <c r="R1753" s="50">
        <v>120</v>
      </c>
      <c r="S1753" s="74">
        <v>69</v>
      </c>
      <c r="T1753" s="50">
        <v>0.25</v>
      </c>
      <c r="U1753" s="74">
        <v>2.37</v>
      </c>
      <c r="V1753" s="50">
        <v>0.37</v>
      </c>
      <c r="W1753" s="74">
        <v>0.17</v>
      </c>
      <c r="X1753" s="50">
        <v>0.13400000000000001</v>
      </c>
      <c r="Y1753" s="74">
        <v>8.0000000000000002E-3</v>
      </c>
    </row>
    <row r="1754" spans="1:30" ht="15" customHeight="1">
      <c r="A1754" s="41" t="s">
        <v>183</v>
      </c>
      <c r="B1754" s="402" t="s">
        <v>5017</v>
      </c>
      <c r="C1754" s="113" t="s">
        <v>5017</v>
      </c>
      <c r="D1754" s="393" t="s">
        <v>2374</v>
      </c>
      <c r="E1754" s="394" t="s">
        <v>5018</v>
      </c>
      <c r="G1754" s="405" t="s">
        <v>5019</v>
      </c>
      <c r="H1754" s="74">
        <v>3955</v>
      </c>
      <c r="I1754" s="50" t="s">
        <v>2</v>
      </c>
      <c r="J1754" s="74" t="s">
        <v>5020</v>
      </c>
      <c r="K1754" s="51">
        <v>41402</v>
      </c>
      <c r="L1754" s="173">
        <v>41385</v>
      </c>
      <c r="M1754" s="50">
        <f t="shared" si="92"/>
        <v>17</v>
      </c>
      <c r="N1754" s="50" t="s">
        <v>2</v>
      </c>
      <c r="O1754" s="74">
        <f>5/2</f>
        <v>2.5</v>
      </c>
      <c r="P1754" s="50">
        <v>4.88</v>
      </c>
      <c r="Q1754" s="74">
        <v>5.75</v>
      </c>
      <c r="R1754" s="50">
        <v>139</v>
      </c>
      <c r="S1754" s="74">
        <v>174</v>
      </c>
      <c r="T1754" s="50">
        <v>0.22</v>
      </c>
      <c r="U1754" s="74">
        <v>0.89</v>
      </c>
      <c r="V1754" s="50">
        <v>0.73</v>
      </c>
      <c r="W1754" s="74">
        <v>1.0999999999999999E-2</v>
      </c>
      <c r="X1754" s="50">
        <v>0.09</v>
      </c>
      <c r="Y1754" s="74">
        <v>0.01</v>
      </c>
      <c r="Z1754" s="271">
        <v>1</v>
      </c>
      <c r="AA1754" s="271">
        <v>1</v>
      </c>
      <c r="AB1754" s="114">
        <v>9.99</v>
      </c>
      <c r="AC1754" s="50">
        <v>41</v>
      </c>
      <c r="AD1754" s="271">
        <v>1</v>
      </c>
    </row>
    <row r="1755" spans="1:30" ht="15" customHeight="1">
      <c r="A1755" s="41" t="s">
        <v>183</v>
      </c>
      <c r="B1755" s="402" t="s">
        <v>4909</v>
      </c>
      <c r="C1755" s="113" t="s">
        <v>4909</v>
      </c>
      <c r="D1755" s="393" t="s">
        <v>205</v>
      </c>
      <c r="E1755" s="394" t="s">
        <v>1056</v>
      </c>
      <c r="F1755" s="402" t="s">
        <v>4911</v>
      </c>
      <c r="G1755" s="405" t="s">
        <v>4912</v>
      </c>
      <c r="H1755" s="74">
        <v>3585</v>
      </c>
      <c r="I1755" s="50" t="s">
        <v>1</v>
      </c>
      <c r="J1755" s="74" t="s">
        <v>2246</v>
      </c>
      <c r="K1755" s="51">
        <v>41402</v>
      </c>
      <c r="L1755" s="173">
        <v>41384</v>
      </c>
      <c r="M1755" s="50">
        <f t="shared" si="92"/>
        <v>18</v>
      </c>
      <c r="N1755" s="50" t="s">
        <v>2</v>
      </c>
      <c r="O1755" s="74">
        <v>3.9</v>
      </c>
      <c r="P1755" s="50">
        <v>6.44</v>
      </c>
      <c r="Q1755" s="74">
        <v>6.68</v>
      </c>
      <c r="R1755" s="50">
        <v>174</v>
      </c>
      <c r="S1755" s="74">
        <v>220</v>
      </c>
      <c r="T1755" s="50">
        <v>0.41</v>
      </c>
      <c r="U1755" s="74">
        <v>2.64</v>
      </c>
      <c r="V1755" s="50">
        <v>0.18</v>
      </c>
      <c r="W1755" s="74">
        <v>8.4000000000000005E-2</v>
      </c>
      <c r="X1755" s="50">
        <v>0.48099999999999998</v>
      </c>
      <c r="Y1755" s="74">
        <v>2.1000000000000001E-2</v>
      </c>
      <c r="Z1755" s="271">
        <v>1</v>
      </c>
      <c r="AA1755" s="271">
        <v>0.74299999999999999</v>
      </c>
      <c r="AB1755" s="114">
        <v>16</v>
      </c>
      <c r="AC1755" s="50">
        <v>65</v>
      </c>
      <c r="AD1755" s="271">
        <f>3/20</f>
        <v>0.15</v>
      </c>
    </row>
    <row r="1756" spans="1:30" ht="15" customHeight="1">
      <c r="A1756" s="41" t="s">
        <v>183</v>
      </c>
      <c r="B1756" s="402" t="s">
        <v>4909</v>
      </c>
      <c r="C1756" s="113" t="s">
        <v>4909</v>
      </c>
      <c r="D1756" s="393" t="s">
        <v>205</v>
      </c>
      <c r="E1756" s="394" t="s">
        <v>1056</v>
      </c>
      <c r="F1756" s="402" t="s">
        <v>4911</v>
      </c>
      <c r="G1756" s="405" t="s">
        <v>4912</v>
      </c>
      <c r="H1756" s="74">
        <v>3585</v>
      </c>
      <c r="I1756" s="50" t="s">
        <v>1</v>
      </c>
      <c r="J1756" s="74" t="s">
        <v>4914</v>
      </c>
      <c r="K1756" s="51">
        <v>41402</v>
      </c>
      <c r="L1756" s="173">
        <v>41384</v>
      </c>
      <c r="M1756" s="50">
        <f t="shared" si="92"/>
        <v>18</v>
      </c>
      <c r="N1756" s="50" t="s">
        <v>2</v>
      </c>
      <c r="O1756" s="74">
        <v>1.5</v>
      </c>
      <c r="P1756" s="50">
        <v>6.32</v>
      </c>
      <c r="Q1756" s="74">
        <v>6.37</v>
      </c>
      <c r="R1756" s="50">
        <v>77</v>
      </c>
      <c r="S1756" s="74">
        <v>69</v>
      </c>
      <c r="T1756" s="50">
        <v>0.22</v>
      </c>
      <c r="U1756" s="74">
        <v>1.95</v>
      </c>
      <c r="V1756" s="50">
        <v>0.19</v>
      </c>
      <c r="W1756" s="74">
        <v>6.0999999999999999E-2</v>
      </c>
      <c r="X1756" s="50">
        <v>0.32300000000000001</v>
      </c>
      <c r="Y1756" s="74">
        <v>6.0000000000000001E-3</v>
      </c>
      <c r="Z1756" s="271">
        <v>0.73399999999999999</v>
      </c>
      <c r="AA1756" s="271">
        <v>0.65400000000000003</v>
      </c>
      <c r="AB1756" s="114">
        <v>8</v>
      </c>
      <c r="AC1756" s="50">
        <v>38</v>
      </c>
      <c r="AD1756" s="271">
        <f>1/20</f>
        <v>0.05</v>
      </c>
    </row>
    <row r="1757" spans="1:30" ht="15" customHeight="1">
      <c r="A1757" s="41" t="s">
        <v>183</v>
      </c>
      <c r="B1757" s="402" t="s">
        <v>583</v>
      </c>
      <c r="C1757" s="113" t="s">
        <v>583</v>
      </c>
      <c r="D1757" s="393" t="s">
        <v>290</v>
      </c>
      <c r="E1757" s="394" t="s">
        <v>5021</v>
      </c>
      <c r="G1757" s="405" t="s">
        <v>585</v>
      </c>
      <c r="H1757" s="74">
        <v>3471</v>
      </c>
      <c r="I1757" s="50" t="s">
        <v>1</v>
      </c>
      <c r="J1757" s="74" t="s">
        <v>569</v>
      </c>
      <c r="K1757" s="51">
        <v>41170</v>
      </c>
      <c r="L1757" s="173">
        <v>41525</v>
      </c>
      <c r="N1757" s="50" t="s">
        <v>2</v>
      </c>
      <c r="O1757" s="74">
        <f>1/2</f>
        <v>0.5</v>
      </c>
      <c r="P1757" s="50">
        <v>5.97</v>
      </c>
      <c r="Q1757" s="74">
        <v>5.1100000000000003</v>
      </c>
      <c r="R1757" s="50">
        <v>15</v>
      </c>
      <c r="S1757" s="74">
        <v>4</v>
      </c>
      <c r="T1757" s="50">
        <v>0.2</v>
      </c>
      <c r="U1757" s="74">
        <v>1.43</v>
      </c>
      <c r="V1757" s="50">
        <v>0.62</v>
      </c>
      <c r="W1757" s="74">
        <v>2.7E-2</v>
      </c>
      <c r="X1757" s="50">
        <v>0.254</v>
      </c>
      <c r="Y1757" s="74">
        <v>2E-3</v>
      </c>
    </row>
    <row r="1758" spans="1:30" ht="15" customHeight="1">
      <c r="A1758" s="41" t="s">
        <v>183</v>
      </c>
      <c r="B1758" s="402" t="s">
        <v>583</v>
      </c>
      <c r="C1758" s="113" t="s">
        <v>583</v>
      </c>
      <c r="D1758" s="393" t="s">
        <v>290</v>
      </c>
      <c r="E1758" s="394" t="s">
        <v>5021</v>
      </c>
      <c r="G1758" s="405" t="s">
        <v>585</v>
      </c>
      <c r="H1758" s="74">
        <v>3471</v>
      </c>
      <c r="I1758" s="50" t="s">
        <v>1</v>
      </c>
      <c r="J1758" s="74" t="s">
        <v>586</v>
      </c>
      <c r="K1758" s="51">
        <v>41170</v>
      </c>
      <c r="L1758" s="173">
        <v>41525</v>
      </c>
      <c r="N1758" s="50" t="s">
        <v>2</v>
      </c>
      <c r="O1758" s="74">
        <f>1/2</f>
        <v>0.5</v>
      </c>
      <c r="P1758" s="50">
        <v>5.97</v>
      </c>
      <c r="Q1758" s="74">
        <v>4.66</v>
      </c>
      <c r="R1758" s="50">
        <v>66.3</v>
      </c>
      <c r="S1758" s="74">
        <v>42</v>
      </c>
      <c r="T1758" s="50">
        <v>0.52</v>
      </c>
      <c r="U1758" s="74">
        <v>3.01</v>
      </c>
      <c r="V1758" s="50">
        <v>1.26</v>
      </c>
      <c r="W1758" s="74">
        <v>0.49199999999999999</v>
      </c>
      <c r="X1758" s="50">
        <v>0.45300000000000001</v>
      </c>
      <c r="Y1758" s="74">
        <v>1.0999999999999999E-2</v>
      </c>
    </row>
    <row r="1759" spans="1:30" ht="15" customHeight="1">
      <c r="A1759" s="41" t="s">
        <v>183</v>
      </c>
      <c r="B1759" s="402" t="s">
        <v>583</v>
      </c>
      <c r="C1759" s="113" t="s">
        <v>583</v>
      </c>
      <c r="D1759" s="393" t="s">
        <v>290</v>
      </c>
      <c r="E1759" s="394" t="s">
        <v>5021</v>
      </c>
      <c r="G1759" s="405" t="s">
        <v>585</v>
      </c>
      <c r="H1759" s="74">
        <v>3471</v>
      </c>
      <c r="I1759" s="50" t="s">
        <v>1</v>
      </c>
      <c r="J1759" s="74" t="s">
        <v>194</v>
      </c>
      <c r="K1759" s="51">
        <v>41170</v>
      </c>
      <c r="L1759" s="173">
        <v>41525</v>
      </c>
      <c r="N1759" s="50" t="s">
        <v>2</v>
      </c>
      <c r="O1759" s="74">
        <v>1.2</v>
      </c>
      <c r="P1759" s="50">
        <v>5.97</v>
      </c>
      <c r="Q1759" s="74">
        <v>4.62</v>
      </c>
      <c r="R1759" s="50">
        <v>25.6</v>
      </c>
      <c r="S1759" s="74">
        <v>9</v>
      </c>
      <c r="T1759" s="50">
        <v>0.14000000000000001</v>
      </c>
      <c r="U1759" s="74">
        <v>1.89</v>
      </c>
      <c r="V1759" s="50">
        <v>0.39</v>
      </c>
      <c r="W1759" s="74">
        <v>2.4E-2</v>
      </c>
      <c r="X1759" s="50">
        <v>5.6000000000000001E-2</v>
      </c>
      <c r="Y1759" s="74">
        <v>3.0000000000000001E-3</v>
      </c>
    </row>
    <row r="1760" spans="1:30" ht="15" customHeight="1">
      <c r="A1760" s="41" t="s">
        <v>183</v>
      </c>
      <c r="B1760" s="402" t="s">
        <v>5022</v>
      </c>
      <c r="C1760" s="113" t="s">
        <v>5022</v>
      </c>
      <c r="D1760" s="393" t="s">
        <v>290</v>
      </c>
      <c r="E1760" s="394" t="s">
        <v>112</v>
      </c>
      <c r="G1760" s="405" t="s">
        <v>5023</v>
      </c>
      <c r="H1760" s="74"/>
      <c r="I1760" s="50" t="s">
        <v>1</v>
      </c>
      <c r="J1760" s="74" t="s">
        <v>5024</v>
      </c>
      <c r="K1760" s="51">
        <v>41409</v>
      </c>
      <c r="L1760" s="173">
        <v>41404</v>
      </c>
      <c r="M1760" s="50">
        <f>K1760-L1760</f>
        <v>5</v>
      </c>
      <c r="N1760" s="50" t="s">
        <v>2</v>
      </c>
      <c r="O1760" s="74">
        <v>2</v>
      </c>
      <c r="P1760" s="50">
        <v>7.96</v>
      </c>
      <c r="Q1760" s="74">
        <v>6.43</v>
      </c>
      <c r="R1760" s="50">
        <v>11</v>
      </c>
      <c r="S1760" s="74">
        <v>13</v>
      </c>
      <c r="T1760" s="50">
        <v>0.04</v>
      </c>
      <c r="U1760" s="74">
        <v>0.35</v>
      </c>
      <c r="V1760" s="50">
        <v>0.04</v>
      </c>
      <c r="W1760" s="74">
        <v>8.7999999999999995E-2</v>
      </c>
      <c r="X1760" s="50">
        <v>4.7E-2</v>
      </c>
      <c r="Y1760" s="74">
        <v>1.4999999999999999E-2</v>
      </c>
      <c r="Z1760" s="271">
        <v>0.25</v>
      </c>
      <c r="AA1760" s="271">
        <v>0.17699999999999999</v>
      </c>
      <c r="AB1760" s="114">
        <f>2/2</f>
        <v>1</v>
      </c>
      <c r="AC1760" s="50">
        <v>7</v>
      </c>
      <c r="AD1760" s="271">
        <v>0</v>
      </c>
    </row>
    <row r="1761" spans="1:31" ht="15" customHeight="1">
      <c r="A1761" s="41" t="s">
        <v>183</v>
      </c>
      <c r="B1761" s="402" t="s">
        <v>5022</v>
      </c>
      <c r="C1761" s="113" t="s">
        <v>5022</v>
      </c>
      <c r="D1761" s="393" t="s">
        <v>290</v>
      </c>
      <c r="E1761" s="394" t="s">
        <v>112</v>
      </c>
      <c r="G1761" s="405" t="s">
        <v>5023</v>
      </c>
      <c r="H1761" s="74"/>
      <c r="I1761" s="50" t="s">
        <v>1</v>
      </c>
      <c r="J1761" s="74" t="s">
        <v>5025</v>
      </c>
      <c r="K1761" s="51">
        <v>41409</v>
      </c>
      <c r="L1761" s="173">
        <v>41404</v>
      </c>
      <c r="M1761" s="50">
        <f>K1761-L1761</f>
        <v>5</v>
      </c>
      <c r="N1761" s="50" t="s">
        <v>2</v>
      </c>
      <c r="O1761" s="74">
        <f>1.4/2</f>
        <v>0.7</v>
      </c>
      <c r="P1761" s="50">
        <v>7.96</v>
      </c>
      <c r="Q1761" s="74">
        <v>5.85</v>
      </c>
      <c r="R1761" s="50">
        <v>22</v>
      </c>
      <c r="S1761" s="74">
        <f>5/2</f>
        <v>2.5</v>
      </c>
      <c r="T1761" s="50">
        <v>0.03</v>
      </c>
      <c r="U1761" s="74">
        <v>0.28000000000000003</v>
      </c>
      <c r="V1761" s="50">
        <v>0.02</v>
      </c>
      <c r="W1761" s="74">
        <v>5.0000000000000001E-3</v>
      </c>
      <c r="X1761" s="50">
        <v>1.9E-2</v>
      </c>
      <c r="Y1761" s="74">
        <f>0.002/2</f>
        <v>1E-3</v>
      </c>
      <c r="Z1761" s="271">
        <v>1</v>
      </c>
      <c r="AA1761" s="271">
        <v>0.82</v>
      </c>
      <c r="AB1761" s="114">
        <f>2/2</f>
        <v>1</v>
      </c>
      <c r="AC1761" s="50">
        <v>5</v>
      </c>
      <c r="AD1761" s="271">
        <f>6/20</f>
        <v>0.3</v>
      </c>
    </row>
    <row r="1762" spans="1:31" ht="15" customHeight="1">
      <c r="A1762" s="41" t="s">
        <v>183</v>
      </c>
      <c r="B1762" s="402" t="s">
        <v>5026</v>
      </c>
      <c r="C1762" s="113" t="s">
        <v>5027</v>
      </c>
      <c r="D1762" s="393" t="s">
        <v>89</v>
      </c>
      <c r="E1762" s="394" t="s">
        <v>1240</v>
      </c>
      <c r="F1762" s="402">
        <v>6600</v>
      </c>
      <c r="G1762" s="405" t="s">
        <v>5028</v>
      </c>
      <c r="H1762" s="74">
        <v>5171</v>
      </c>
      <c r="I1762" s="50" t="s">
        <v>2</v>
      </c>
      <c r="J1762" s="74" t="s">
        <v>5029</v>
      </c>
      <c r="K1762" s="51">
        <v>41113</v>
      </c>
      <c r="L1762" s="173">
        <v>41110</v>
      </c>
      <c r="M1762" s="50">
        <f>K1762-L1762</f>
        <v>3</v>
      </c>
      <c r="N1762" s="50" t="s">
        <v>2</v>
      </c>
      <c r="O1762" s="74">
        <f>5/2</f>
        <v>2.5</v>
      </c>
      <c r="Q1762" s="74">
        <v>6.05</v>
      </c>
      <c r="R1762" s="50">
        <v>16</v>
      </c>
      <c r="S1762" s="74">
        <v>6</v>
      </c>
      <c r="T1762" s="50">
        <f>0.1/2</f>
        <v>0.05</v>
      </c>
      <c r="U1762" s="74">
        <f>1/2</f>
        <v>0.5</v>
      </c>
      <c r="V1762" s="50">
        <v>0.13</v>
      </c>
      <c r="W1762" s="74">
        <f>0.04/2</f>
        <v>0.02</v>
      </c>
      <c r="X1762" s="50">
        <v>5.8000000000000003E-2</v>
      </c>
      <c r="Y1762" s="74">
        <f>0.013/2</f>
        <v>6.4999999999999997E-3</v>
      </c>
      <c r="Z1762" s="271">
        <v>1</v>
      </c>
      <c r="AA1762" s="271">
        <v>1</v>
      </c>
      <c r="AB1762" s="114">
        <v>14</v>
      </c>
      <c r="AC1762" s="50">
        <v>51</v>
      </c>
      <c r="AD1762" s="271">
        <v>1</v>
      </c>
    </row>
    <row r="1763" spans="1:31" ht="15" customHeight="1">
      <c r="A1763" s="41" t="s">
        <v>183</v>
      </c>
      <c r="B1763" s="402" t="s">
        <v>5012</v>
      </c>
      <c r="C1763" s="113" t="s">
        <v>5012</v>
      </c>
      <c r="D1763" s="393" t="s">
        <v>303</v>
      </c>
      <c r="G1763" s="405" t="s">
        <v>5013</v>
      </c>
      <c r="H1763" s="74"/>
      <c r="J1763" s="74" t="s">
        <v>5030</v>
      </c>
      <c r="K1763" s="51">
        <v>41180</v>
      </c>
      <c r="L1763" s="173">
        <v>41173</v>
      </c>
      <c r="M1763" s="50">
        <f>K1763-L1763</f>
        <v>7</v>
      </c>
      <c r="N1763" s="50" t="s">
        <v>2</v>
      </c>
      <c r="O1763" s="74">
        <f>1/2</f>
        <v>0.5</v>
      </c>
      <c r="P1763" s="50">
        <v>4.78</v>
      </c>
      <c r="Q1763" s="74">
        <v>4.87</v>
      </c>
      <c r="R1763" s="50">
        <v>13</v>
      </c>
      <c r="S1763" s="74">
        <v>3</v>
      </c>
      <c r="T1763" s="50">
        <f>0.1/2</f>
        <v>0.05</v>
      </c>
      <c r="U1763" s="74">
        <v>0.49</v>
      </c>
      <c r="V1763" s="50">
        <v>0.2</v>
      </c>
      <c r="W1763" s="74">
        <f>0.05/2</f>
        <v>2.5000000000000001E-2</v>
      </c>
      <c r="X1763" s="50">
        <v>0.04</v>
      </c>
      <c r="Y1763" s="74">
        <f>0.05/2</f>
        <v>2.5000000000000001E-2</v>
      </c>
      <c r="Z1763" s="271">
        <v>1</v>
      </c>
      <c r="AA1763" s="271">
        <v>1</v>
      </c>
      <c r="AB1763" s="114">
        <f>1/2</f>
        <v>0.5</v>
      </c>
      <c r="AC1763" s="50">
        <v>22</v>
      </c>
      <c r="AD1763" s="271">
        <v>1</v>
      </c>
    </row>
    <row r="1764" spans="1:31" ht="15" customHeight="1">
      <c r="A1764" s="74" t="s">
        <v>183</v>
      </c>
      <c r="B1764" s="402" t="s">
        <v>5012</v>
      </c>
      <c r="C1764" s="113" t="s">
        <v>5031</v>
      </c>
      <c r="D1764" s="393" t="s">
        <v>303</v>
      </c>
      <c r="G1764" s="405" t="s">
        <v>5013</v>
      </c>
      <c r="H1764" s="74"/>
      <c r="J1764" s="74" t="s">
        <v>5030</v>
      </c>
      <c r="K1764" s="51">
        <v>40830</v>
      </c>
      <c r="L1764" s="173"/>
      <c r="N1764" s="50" t="s">
        <v>2</v>
      </c>
      <c r="O1764" s="74">
        <f>1/2</f>
        <v>0.5</v>
      </c>
      <c r="P1764" s="50">
        <v>6.01</v>
      </c>
      <c r="Q1764" s="74">
        <v>6.48</v>
      </c>
      <c r="R1764" s="50">
        <v>67</v>
      </c>
      <c r="S1764" s="74">
        <v>1</v>
      </c>
      <c r="T1764" s="50">
        <f>0.1/2</f>
        <v>0.05</v>
      </c>
      <c r="U1764" s="74">
        <v>0.49</v>
      </c>
      <c r="V1764" s="50">
        <v>0.59</v>
      </c>
      <c r="W1764" s="74">
        <v>0.2</v>
      </c>
      <c r="X1764" s="50">
        <v>0.04</v>
      </c>
      <c r="Y1764" s="74">
        <f>0.05/2</f>
        <v>2.5000000000000001E-2</v>
      </c>
    </row>
    <row r="1765" spans="1:31" ht="15" customHeight="1">
      <c r="A1765" s="41" t="s">
        <v>183</v>
      </c>
      <c r="B1765" s="402" t="s">
        <v>5032</v>
      </c>
      <c r="C1765" s="113" t="s">
        <v>5077</v>
      </c>
      <c r="D1765" s="393" t="s">
        <v>2913</v>
      </c>
      <c r="E1765" s="394" t="s">
        <v>5033</v>
      </c>
      <c r="G1765" s="405" t="s">
        <v>5034</v>
      </c>
      <c r="H1765" s="74">
        <v>3724</v>
      </c>
      <c r="I1765" s="50" t="s">
        <v>2</v>
      </c>
      <c r="J1765" s="74" t="s">
        <v>5045</v>
      </c>
      <c r="K1765" s="51">
        <v>41149</v>
      </c>
      <c r="L1765" s="173"/>
      <c r="N1765" s="50" t="s">
        <v>2</v>
      </c>
      <c r="O1765" s="74">
        <f>1.4/2</f>
        <v>0.7</v>
      </c>
      <c r="P1765" s="50">
        <v>4.3899999999999997</v>
      </c>
      <c r="Q1765" s="74">
        <v>4.45</v>
      </c>
      <c r="R1765" s="50">
        <v>60</v>
      </c>
      <c r="S1765" s="74">
        <v>9.5</v>
      </c>
      <c r="T1765" s="50">
        <v>0.02</v>
      </c>
      <c r="U1765" s="74">
        <v>0.86</v>
      </c>
      <c r="V1765" s="50">
        <v>0.27</v>
      </c>
      <c r="W1765" s="74">
        <f>0.005/2</f>
        <v>2.5000000000000001E-3</v>
      </c>
      <c r="X1765" s="50">
        <v>5.6000000000000001E-2</v>
      </c>
      <c r="Y1765" s="74">
        <f>0.002/2</f>
        <v>1E-3</v>
      </c>
      <c r="Z1765" s="271">
        <v>0.70699999999999996</v>
      </c>
      <c r="AA1765" s="271">
        <v>0.70699999999999996</v>
      </c>
      <c r="AB1765" s="114">
        <v>6</v>
      </c>
      <c r="AC1765" s="50">
        <v>30</v>
      </c>
      <c r="AD1765" s="271">
        <v>0</v>
      </c>
    </row>
    <row r="1766" spans="1:31" ht="15" customHeight="1">
      <c r="A1766" s="41" t="s">
        <v>183</v>
      </c>
      <c r="B1766" s="402" t="s">
        <v>5035</v>
      </c>
      <c r="D1766" s="393" t="s">
        <v>257</v>
      </c>
      <c r="E1766" s="394" t="s">
        <v>4904</v>
      </c>
      <c r="G1766" s="405" t="s">
        <v>1984</v>
      </c>
      <c r="H1766" s="74">
        <v>3365</v>
      </c>
      <c r="I1766" s="50" t="s">
        <v>2</v>
      </c>
      <c r="J1766" s="74" t="s">
        <v>5036</v>
      </c>
      <c r="K1766" s="51">
        <v>41108</v>
      </c>
      <c r="L1766" s="173"/>
      <c r="N1766" s="50" t="s">
        <v>2</v>
      </c>
      <c r="O1766" s="74">
        <f>2/2</f>
        <v>1</v>
      </c>
      <c r="P1766" s="50">
        <v>5</v>
      </c>
      <c r="Q1766" s="74">
        <v>5</v>
      </c>
      <c r="R1766" s="50">
        <v>18</v>
      </c>
      <c r="S1766" s="74">
        <v>36</v>
      </c>
      <c r="T1766" s="50">
        <v>0.05</v>
      </c>
      <c r="U1766" s="74">
        <v>1.64</v>
      </c>
      <c r="V1766" s="50">
        <v>0.66</v>
      </c>
      <c r="W1766" s="74">
        <v>3.4000000000000002E-2</v>
      </c>
      <c r="X1766" s="50">
        <v>7.1999999999999995E-2</v>
      </c>
      <c r="Y1766" s="74">
        <f>0.03/2</f>
        <v>1.4999999999999999E-2</v>
      </c>
    </row>
    <row r="1767" spans="1:31" ht="15" customHeight="1">
      <c r="A1767" s="41" t="s">
        <v>183</v>
      </c>
      <c r="B1767" s="402" t="s">
        <v>325</v>
      </c>
      <c r="C1767" s="113" t="s">
        <v>5037</v>
      </c>
      <c r="D1767" s="393" t="s">
        <v>56</v>
      </c>
      <c r="E1767" s="394" t="s">
        <v>95</v>
      </c>
      <c r="G1767" s="405" t="s">
        <v>5038</v>
      </c>
      <c r="H1767" s="74">
        <v>5171</v>
      </c>
      <c r="I1767" s="50" t="s">
        <v>1</v>
      </c>
      <c r="J1767" s="74" t="s">
        <v>5078</v>
      </c>
      <c r="K1767" s="51">
        <v>41184</v>
      </c>
      <c r="L1767" s="173">
        <v>41180</v>
      </c>
      <c r="M1767" s="50">
        <f>K1767-L1767</f>
        <v>4</v>
      </c>
      <c r="N1767" s="50" t="s">
        <v>2</v>
      </c>
      <c r="O1767" s="74">
        <f>5/2</f>
        <v>2.5</v>
      </c>
      <c r="P1767" s="50">
        <v>6.1</v>
      </c>
      <c r="Q1767" s="74">
        <v>6.7</v>
      </c>
      <c r="R1767" s="50">
        <f>5/2</f>
        <v>2.5</v>
      </c>
      <c r="S1767" s="74">
        <v>17</v>
      </c>
      <c r="T1767" s="50">
        <v>3.1</v>
      </c>
      <c r="U1767" s="74">
        <v>1.3</v>
      </c>
      <c r="V1767" s="50">
        <v>0.31</v>
      </c>
      <c r="W1767" s="74">
        <f>0.04/2</f>
        <v>0.02</v>
      </c>
      <c r="X1767" s="50">
        <v>0.18</v>
      </c>
      <c r="Y1767" s="74">
        <v>2.1000000000000001E-2</v>
      </c>
      <c r="Z1767" s="271">
        <v>1</v>
      </c>
      <c r="AA1767" s="271">
        <v>1</v>
      </c>
      <c r="AB1767" s="114">
        <v>81</v>
      </c>
      <c r="AC1767" s="50">
        <v>490</v>
      </c>
      <c r="AD1767" s="271">
        <v>1</v>
      </c>
    </row>
    <row r="1768" spans="1:31" ht="15" customHeight="1">
      <c r="A1768" s="41" t="s">
        <v>183</v>
      </c>
      <c r="B1768" s="402" t="s">
        <v>5039</v>
      </c>
      <c r="C1768" s="113" t="s">
        <v>5040</v>
      </c>
      <c r="D1768" s="393" t="s">
        <v>347</v>
      </c>
      <c r="E1768" s="394" t="s">
        <v>5041</v>
      </c>
      <c r="F1768" s="402" t="s">
        <v>5042</v>
      </c>
      <c r="G1768" s="405" t="s">
        <v>5043</v>
      </c>
      <c r="H1768" s="74">
        <v>4213</v>
      </c>
      <c r="I1768" s="50" t="s">
        <v>1</v>
      </c>
      <c r="J1768" s="74" t="s">
        <v>5044</v>
      </c>
      <c r="K1768" s="51">
        <v>41184</v>
      </c>
      <c r="L1768" s="173">
        <v>41180</v>
      </c>
      <c r="M1768" s="50">
        <f>K1768-L1768</f>
        <v>4</v>
      </c>
      <c r="N1768" s="50" t="s">
        <v>2</v>
      </c>
      <c r="O1768" s="74">
        <v>2.2599999999999998</v>
      </c>
      <c r="P1768" s="50">
        <v>6.93</v>
      </c>
      <c r="Q1768" s="74">
        <v>6.77</v>
      </c>
      <c r="R1768" s="50">
        <v>170</v>
      </c>
      <c r="S1768" s="74">
        <v>32</v>
      </c>
      <c r="T1768" s="50">
        <f>0.01/2</f>
        <v>5.0000000000000001E-3</v>
      </c>
      <c r="U1768" s="74">
        <v>1.92</v>
      </c>
      <c r="V1768" s="50">
        <v>0.98099999999999998</v>
      </c>
      <c r="W1768" s="74">
        <v>1.6899999999999998E-2</v>
      </c>
      <c r="X1768" s="50">
        <v>7.0000000000000007E-2</v>
      </c>
      <c r="Y1768" s="74">
        <f>0.003/2</f>
        <v>1.5E-3</v>
      </c>
      <c r="Z1768" s="271">
        <v>1</v>
      </c>
      <c r="AA1768" s="271">
        <v>1</v>
      </c>
      <c r="AB1768" s="114">
        <v>32</v>
      </c>
      <c r="AC1768" s="50">
        <v>103</v>
      </c>
      <c r="AD1768" s="271">
        <v>1</v>
      </c>
    </row>
    <row r="1769" spans="1:31" ht="15" customHeight="1">
      <c r="A1769" s="41" t="s">
        <v>183</v>
      </c>
      <c r="B1769" s="402" t="s">
        <v>5032</v>
      </c>
      <c r="C1769" s="113" t="s">
        <v>5077</v>
      </c>
      <c r="D1769" s="393" t="s">
        <v>2913</v>
      </c>
      <c r="E1769" s="394" t="s">
        <v>5033</v>
      </c>
      <c r="G1769" s="405" t="s">
        <v>5034</v>
      </c>
      <c r="H1769" s="74">
        <v>3724</v>
      </c>
      <c r="I1769" s="50" t="s">
        <v>2</v>
      </c>
      <c r="J1769" s="74" t="s">
        <v>5045</v>
      </c>
      <c r="K1769" s="51">
        <v>41332</v>
      </c>
      <c r="L1769" s="173"/>
      <c r="N1769" s="50" t="s">
        <v>1</v>
      </c>
      <c r="O1769" s="74">
        <v>2.7</v>
      </c>
      <c r="P1769" s="50">
        <v>6.7</v>
      </c>
      <c r="Q1769" s="74">
        <v>7.43</v>
      </c>
      <c r="R1769" s="50">
        <v>92</v>
      </c>
      <c r="S1769" s="74">
        <v>60</v>
      </c>
      <c r="T1769" s="50">
        <v>0.15</v>
      </c>
      <c r="U1769" s="74">
        <v>0.69</v>
      </c>
      <c r="V1769" s="50">
        <v>0.1</v>
      </c>
      <c r="W1769" s="74">
        <v>8.9999999999999998E-4</v>
      </c>
      <c r="X1769" s="50">
        <v>0.03</v>
      </c>
      <c r="Y1769" s="74">
        <v>2E-3</v>
      </c>
      <c r="Z1769" s="271">
        <v>1</v>
      </c>
      <c r="AA1769" s="271">
        <v>1</v>
      </c>
      <c r="AB1769" s="114">
        <v>94</v>
      </c>
      <c r="AC1769" s="50">
        <v>3890</v>
      </c>
      <c r="AD1769" s="271">
        <v>1</v>
      </c>
    </row>
    <row r="1770" spans="1:31" ht="15" customHeight="1">
      <c r="A1770" s="41" t="s">
        <v>183</v>
      </c>
      <c r="B1770" s="402" t="s">
        <v>5047</v>
      </c>
      <c r="C1770" s="113" t="s">
        <v>5047</v>
      </c>
      <c r="D1770" s="393" t="s">
        <v>195</v>
      </c>
      <c r="G1770" s="405" t="s">
        <v>5048</v>
      </c>
      <c r="H1770" s="74"/>
      <c r="I1770" s="50" t="s">
        <v>2</v>
      </c>
      <c r="J1770" s="74" t="s">
        <v>5049</v>
      </c>
      <c r="K1770" s="51">
        <v>41180</v>
      </c>
      <c r="L1770" s="173">
        <v>41174</v>
      </c>
      <c r="M1770" s="50">
        <f>K1770-L1770</f>
        <v>6</v>
      </c>
      <c r="N1770" s="50" t="s">
        <v>2</v>
      </c>
      <c r="O1770" s="74">
        <v>1.9</v>
      </c>
      <c r="P1770" s="50">
        <v>5.9</v>
      </c>
      <c r="Q1770" s="74">
        <v>6.1</v>
      </c>
      <c r="R1770" s="50">
        <v>167</v>
      </c>
      <c r="S1770" s="74">
        <f>12.5/2</f>
        <v>6.25</v>
      </c>
      <c r="T1770" s="50">
        <f>0.01/2</f>
        <v>5.0000000000000001E-3</v>
      </c>
      <c r="U1770" s="74">
        <v>1.1000000000000001</v>
      </c>
      <c r="V1770" s="50">
        <v>0.45</v>
      </c>
      <c r="W1770" s="74">
        <f>0.02/2</f>
        <v>0.01</v>
      </c>
      <c r="X1770" s="50">
        <f>0.05/2</f>
        <v>2.5000000000000001E-2</v>
      </c>
      <c r="Y1770" s="74">
        <f>0.001/2</f>
        <v>5.0000000000000001E-4</v>
      </c>
    </row>
    <row r="1771" spans="1:31" ht="15" customHeight="1">
      <c r="A1771" s="41" t="s">
        <v>183</v>
      </c>
      <c r="B1771" s="402" t="s">
        <v>630</v>
      </c>
      <c r="C1771" s="113" t="s">
        <v>5051</v>
      </c>
      <c r="D1771" s="393" t="s">
        <v>268</v>
      </c>
      <c r="E1771" s="394" t="s">
        <v>269</v>
      </c>
      <c r="F1771" s="402" t="s">
        <v>983</v>
      </c>
      <c r="G1771" s="405" t="s">
        <v>631</v>
      </c>
      <c r="H1771" s="74">
        <v>3724</v>
      </c>
      <c r="I1771" s="50" t="s">
        <v>1</v>
      </c>
      <c r="J1771" s="74" t="s">
        <v>5052</v>
      </c>
      <c r="K1771" s="51">
        <v>41170</v>
      </c>
      <c r="L1771" s="173">
        <v>41160</v>
      </c>
      <c r="M1771" s="50">
        <f>K1771-L1771</f>
        <v>10</v>
      </c>
      <c r="N1771" s="50" t="s">
        <v>2</v>
      </c>
      <c r="O1771" s="74">
        <f>1.5/2</f>
        <v>0.75</v>
      </c>
      <c r="P1771" s="50">
        <v>5.9</v>
      </c>
      <c r="Q1771" s="74">
        <v>7.2</v>
      </c>
      <c r="R1771" s="50">
        <v>49</v>
      </c>
      <c r="S1771" s="74">
        <v>7.5</v>
      </c>
      <c r="T1771" s="50">
        <v>0.06</v>
      </c>
      <c r="U1771" s="74">
        <v>4.58</v>
      </c>
      <c r="V1771" s="50">
        <v>1.59</v>
      </c>
      <c r="W1771" s="74">
        <v>3.5000000000000003E-2</v>
      </c>
      <c r="X1771" s="50">
        <v>0.20699999999999999</v>
      </c>
      <c r="Y1771" s="74">
        <v>2.1999999999999999E-2</v>
      </c>
      <c r="AE1771" s="50">
        <v>110</v>
      </c>
    </row>
    <row r="1772" spans="1:31" ht="15" customHeight="1">
      <c r="A1772" s="41" t="s">
        <v>183</v>
      </c>
      <c r="B1772" s="402" t="s">
        <v>5050</v>
      </c>
      <c r="C1772" s="113" t="s">
        <v>5070</v>
      </c>
      <c r="D1772" s="393" t="s">
        <v>268</v>
      </c>
      <c r="E1772" s="394" t="s">
        <v>269</v>
      </c>
      <c r="F1772" s="402" t="s">
        <v>983</v>
      </c>
      <c r="G1772" s="405" t="s">
        <v>631</v>
      </c>
      <c r="H1772" s="74">
        <v>3724</v>
      </c>
      <c r="I1772" s="50" t="s">
        <v>1</v>
      </c>
      <c r="J1772" s="339" t="s">
        <v>5052</v>
      </c>
      <c r="K1772" s="51">
        <v>41345</v>
      </c>
      <c r="L1772" s="173">
        <v>41341</v>
      </c>
      <c r="M1772" s="50">
        <f>K1772-L1772</f>
        <v>4</v>
      </c>
      <c r="N1772" s="50" t="s">
        <v>2</v>
      </c>
      <c r="O1772" s="74">
        <f>1.4/2</f>
        <v>0.7</v>
      </c>
      <c r="P1772" s="50">
        <v>6.6</v>
      </c>
      <c r="Q1772" s="74">
        <v>7.4</v>
      </c>
      <c r="R1772" s="50">
        <f>10/2</f>
        <v>5</v>
      </c>
      <c r="S1772" s="74">
        <v>11</v>
      </c>
      <c r="T1772" s="50">
        <v>0.08</v>
      </c>
      <c r="U1772" s="74">
        <v>1.43</v>
      </c>
      <c r="V1772" s="50">
        <v>0.64</v>
      </c>
      <c r="W1772" s="74">
        <v>2.3E-2</v>
      </c>
      <c r="X1772" s="50">
        <v>0.151</v>
      </c>
      <c r="Y1772" s="74">
        <v>9.9000000000000005E-2</v>
      </c>
    </row>
    <row r="1773" spans="1:31" ht="15" customHeight="1">
      <c r="A1773" s="41" t="s">
        <v>183</v>
      </c>
      <c r="B1773" s="402" t="s">
        <v>5050</v>
      </c>
      <c r="C1773" s="113" t="s">
        <v>5070</v>
      </c>
      <c r="D1773" s="393" t="s">
        <v>268</v>
      </c>
      <c r="E1773" s="394" t="s">
        <v>269</v>
      </c>
      <c r="F1773" s="402" t="s">
        <v>983</v>
      </c>
      <c r="G1773" s="405" t="s">
        <v>631</v>
      </c>
      <c r="H1773" s="74">
        <v>3724</v>
      </c>
      <c r="I1773" s="50" t="s">
        <v>1</v>
      </c>
      <c r="J1773" s="339" t="s">
        <v>5052</v>
      </c>
      <c r="K1773" s="51">
        <v>41539</v>
      </c>
      <c r="L1773" s="173">
        <v>41529</v>
      </c>
      <c r="M1773" s="50">
        <f>K1773-L1773</f>
        <v>10</v>
      </c>
      <c r="N1773" s="50" t="s">
        <v>2</v>
      </c>
      <c r="O1773" s="74">
        <f>1.6/2</f>
        <v>0.8</v>
      </c>
      <c r="P1773" s="50">
        <v>6.2</v>
      </c>
      <c r="Q1773" s="74">
        <v>7</v>
      </c>
      <c r="R1773" s="50">
        <v>19</v>
      </c>
      <c r="S1773" s="74">
        <v>5.5</v>
      </c>
      <c r="T1773" s="50">
        <v>0.05</v>
      </c>
      <c r="U1773" s="74">
        <v>1.21</v>
      </c>
      <c r="V1773" s="50">
        <v>0.13</v>
      </c>
      <c r="W1773" s="74">
        <v>5.0000000000000001E-3</v>
      </c>
      <c r="X1773" s="50">
        <v>8.5999999999999993E-2</v>
      </c>
      <c r="Y1773" s="74">
        <v>7.0000000000000001E-3</v>
      </c>
      <c r="Z1773" s="271">
        <v>1</v>
      </c>
      <c r="AA1773" s="271">
        <v>1</v>
      </c>
      <c r="AB1773" s="114">
        <v>4</v>
      </c>
      <c r="AC1773" s="50">
        <v>36</v>
      </c>
      <c r="AD1773" s="271">
        <v>0.95</v>
      </c>
      <c r="AE1773" s="50">
        <v>1986</v>
      </c>
    </row>
    <row r="1774" spans="1:31" ht="15" customHeight="1">
      <c r="A1774" s="41" t="s">
        <v>183</v>
      </c>
      <c r="B1774" s="402" t="s">
        <v>5068</v>
      </c>
      <c r="D1774" s="393" t="s">
        <v>827</v>
      </c>
      <c r="G1774" s="405" t="s">
        <v>5069</v>
      </c>
      <c r="H1774" s="74"/>
      <c r="J1774" s="339"/>
      <c r="K1774" s="51">
        <v>41565</v>
      </c>
      <c r="L1774" s="173"/>
      <c r="N1774" s="50" t="s">
        <v>2</v>
      </c>
      <c r="O1774" s="74">
        <f>2/2</f>
        <v>1</v>
      </c>
      <c r="P1774" s="50">
        <v>6</v>
      </c>
      <c r="Q1774" s="74">
        <v>5.6</v>
      </c>
      <c r="R1774" s="50">
        <v>27</v>
      </c>
      <c r="S1774" s="74">
        <f>2/2</f>
        <v>1</v>
      </c>
      <c r="T1774" s="50">
        <v>9.5000000000000001E-2</v>
      </c>
      <c r="U1774" s="131">
        <v>3.2</v>
      </c>
      <c r="V1774" s="50">
        <v>0.76</v>
      </c>
      <c r="W1774" s="74">
        <f>0.002/2</f>
        <v>1E-3</v>
      </c>
      <c r="X1774" s="50">
        <v>0.86</v>
      </c>
      <c r="Y1774" s="74">
        <f>0.002/2</f>
        <v>1E-3</v>
      </c>
      <c r="Z1774" s="271">
        <v>6.25E-2</v>
      </c>
      <c r="AA1774" s="271">
        <v>6.25E-2</v>
      </c>
    </row>
    <row r="1775" spans="1:31" ht="15" customHeight="1">
      <c r="A1775" s="41" t="s">
        <v>183</v>
      </c>
      <c r="B1775" s="402" t="s">
        <v>5071</v>
      </c>
      <c r="D1775" s="393" t="s">
        <v>372</v>
      </c>
      <c r="E1775" s="394" t="s">
        <v>2224</v>
      </c>
      <c r="G1775" s="405" t="s">
        <v>5072</v>
      </c>
      <c r="H1775" s="74">
        <v>2842</v>
      </c>
      <c r="I1775" s="50" t="s">
        <v>2</v>
      </c>
      <c r="J1775" s="339" t="s">
        <v>1125</v>
      </c>
      <c r="K1775" s="51">
        <v>41539</v>
      </c>
      <c r="L1775" s="173">
        <v>41529</v>
      </c>
      <c r="M1775" s="50">
        <f t="shared" ref="M1775:M1781" si="93">K1775-L1775</f>
        <v>10</v>
      </c>
      <c r="N1775" s="50" t="s">
        <v>2</v>
      </c>
      <c r="O1775" s="74">
        <f>2/2</f>
        <v>1</v>
      </c>
      <c r="Q1775" s="74">
        <v>7.9</v>
      </c>
      <c r="R1775" s="50">
        <f>10/2</f>
        <v>5</v>
      </c>
      <c r="S1775" s="74">
        <v>4</v>
      </c>
      <c r="T1775" s="50">
        <f>0.05/2</f>
        <v>2.5000000000000001E-2</v>
      </c>
      <c r="U1775" s="131">
        <v>0.23</v>
      </c>
      <c r="V1775" s="50">
        <f>0.1/2</f>
        <v>0.05</v>
      </c>
      <c r="W1775" s="74">
        <f>0.01/2</f>
        <v>5.0000000000000001E-3</v>
      </c>
      <c r="X1775" s="50">
        <f>0.03/2</f>
        <v>1.4999999999999999E-2</v>
      </c>
      <c r="Y1775" s="74">
        <f>0.03/2</f>
        <v>1.4999999999999999E-2</v>
      </c>
      <c r="Z1775" s="271">
        <v>1</v>
      </c>
      <c r="AA1775" s="271">
        <v>1</v>
      </c>
      <c r="AB1775" s="114">
        <f>2/2</f>
        <v>1</v>
      </c>
      <c r="AC1775" s="50">
        <v>6</v>
      </c>
      <c r="AD1775" s="271">
        <v>0.9</v>
      </c>
    </row>
    <row r="1776" spans="1:31" ht="15" customHeight="1">
      <c r="A1776" s="41" t="s">
        <v>183</v>
      </c>
      <c r="B1776" s="386" t="s">
        <v>349</v>
      </c>
      <c r="C1776" s="149" t="s">
        <v>349</v>
      </c>
      <c r="D1776" s="392" t="s">
        <v>350</v>
      </c>
      <c r="E1776" s="258"/>
      <c r="F1776" s="386"/>
      <c r="G1776" s="389" t="s">
        <v>351</v>
      </c>
      <c r="H1776" s="55">
        <v>3724</v>
      </c>
      <c r="I1776" s="54" t="s">
        <v>2</v>
      </c>
      <c r="J1776" s="61" t="s">
        <v>5073</v>
      </c>
      <c r="K1776" s="51">
        <v>41072</v>
      </c>
      <c r="L1776" s="173">
        <v>41066</v>
      </c>
      <c r="M1776" s="50">
        <f t="shared" si="93"/>
        <v>6</v>
      </c>
      <c r="N1776" s="50" t="s">
        <v>2</v>
      </c>
      <c r="O1776" s="74">
        <f t="shared" ref="O1776:O1786" si="94">1/2</f>
        <v>0.5</v>
      </c>
      <c r="P1776" s="50">
        <v>6.1</v>
      </c>
      <c r="Q1776" s="74">
        <v>5.17</v>
      </c>
      <c r="R1776" s="50">
        <f t="shared" ref="R1776:R1781" si="95">5/2</f>
        <v>2.5</v>
      </c>
      <c r="S1776" s="74">
        <v>7</v>
      </c>
      <c r="T1776" s="50">
        <v>6.9900000000000004E-2</v>
      </c>
      <c r="U1776" s="131">
        <v>0.49</v>
      </c>
      <c r="V1776" s="50">
        <v>0.12</v>
      </c>
      <c r="W1776" s="74">
        <f>0.005/2</f>
        <v>2.5000000000000001E-3</v>
      </c>
      <c r="X1776" s="50">
        <v>2.8000000000000001E-2</v>
      </c>
      <c r="Y1776" s="74">
        <f t="shared" ref="Y1776:Y1781" si="96">0.0075/2</f>
        <v>3.7499999999999999E-3</v>
      </c>
      <c r="Z1776" s="271">
        <v>1</v>
      </c>
      <c r="AA1776" s="271">
        <v>1</v>
      </c>
      <c r="AB1776" s="114">
        <v>2</v>
      </c>
      <c r="AC1776" s="50">
        <v>9</v>
      </c>
      <c r="AD1776" s="271">
        <v>1</v>
      </c>
    </row>
    <row r="1777" spans="1:35" ht="15" customHeight="1">
      <c r="A1777" s="41" t="s">
        <v>183</v>
      </c>
      <c r="B1777" s="386" t="s">
        <v>349</v>
      </c>
      <c r="C1777" s="149" t="s">
        <v>349</v>
      </c>
      <c r="D1777" s="392" t="s">
        <v>350</v>
      </c>
      <c r="E1777" s="258"/>
      <c r="F1777" s="386"/>
      <c r="G1777" s="389" t="s">
        <v>351</v>
      </c>
      <c r="H1777" s="55">
        <v>3724</v>
      </c>
      <c r="I1777" s="54" t="s">
        <v>2</v>
      </c>
      <c r="J1777" s="61" t="s">
        <v>5074</v>
      </c>
      <c r="K1777" s="51">
        <v>41072</v>
      </c>
      <c r="L1777" s="173">
        <v>41066</v>
      </c>
      <c r="M1777" s="50">
        <f t="shared" si="93"/>
        <v>6</v>
      </c>
      <c r="N1777" s="50" t="s">
        <v>2</v>
      </c>
      <c r="O1777" s="74">
        <f t="shared" si="94"/>
        <v>0.5</v>
      </c>
      <c r="P1777" s="50">
        <v>6.1</v>
      </c>
      <c r="Q1777" s="74">
        <v>6.2</v>
      </c>
      <c r="R1777" s="50">
        <f t="shared" si="95"/>
        <v>2.5</v>
      </c>
      <c r="S1777" s="74">
        <v>12</v>
      </c>
      <c r="T1777" s="50">
        <v>6.7500000000000004E-2</v>
      </c>
      <c r="U1777" s="131">
        <v>0.42</v>
      </c>
      <c r="V1777" s="50">
        <v>0.13</v>
      </c>
      <c r="W1777" s="74">
        <f>0.005/2</f>
        <v>2.5000000000000001E-3</v>
      </c>
      <c r="X1777" s="50">
        <v>1.5800000000000002E-2</v>
      </c>
      <c r="Y1777" s="74">
        <f t="shared" si="96"/>
        <v>3.7499999999999999E-3</v>
      </c>
      <c r="Z1777" s="271">
        <v>1</v>
      </c>
      <c r="AA1777" s="271">
        <v>1</v>
      </c>
      <c r="AB1777" s="114">
        <v>2</v>
      </c>
      <c r="AC1777" s="50">
        <v>9</v>
      </c>
      <c r="AD1777" s="271">
        <v>1</v>
      </c>
    </row>
    <row r="1778" spans="1:35" ht="15" customHeight="1">
      <c r="A1778" s="41" t="s">
        <v>183</v>
      </c>
      <c r="B1778" s="386" t="s">
        <v>349</v>
      </c>
      <c r="C1778" s="149" t="s">
        <v>349</v>
      </c>
      <c r="D1778" s="392" t="s">
        <v>350</v>
      </c>
      <c r="E1778" s="258"/>
      <c r="F1778" s="386"/>
      <c r="G1778" s="389" t="s">
        <v>966</v>
      </c>
      <c r="H1778" s="55">
        <v>3724</v>
      </c>
      <c r="I1778" s="54" t="s">
        <v>2</v>
      </c>
      <c r="J1778" s="61" t="s">
        <v>354</v>
      </c>
      <c r="K1778" s="51">
        <v>41072</v>
      </c>
      <c r="L1778" s="173">
        <v>41066</v>
      </c>
      <c r="M1778" s="50">
        <f t="shared" si="93"/>
        <v>6</v>
      </c>
      <c r="N1778" s="50" t="s">
        <v>2</v>
      </c>
      <c r="O1778" s="74">
        <f t="shared" si="94"/>
        <v>0.5</v>
      </c>
      <c r="P1778" s="50">
        <v>6.1</v>
      </c>
      <c r="Q1778" s="74">
        <v>6.71</v>
      </c>
      <c r="R1778" s="50">
        <f t="shared" si="95"/>
        <v>2.5</v>
      </c>
      <c r="S1778" s="74">
        <v>13</v>
      </c>
      <c r="T1778" s="50">
        <v>3.4700000000000002E-2</v>
      </c>
      <c r="U1778" s="131">
        <v>0.28000000000000003</v>
      </c>
      <c r="V1778" s="50">
        <v>0.15</v>
      </c>
      <c r="W1778" s="74">
        <v>2.0199999999999999E-2</v>
      </c>
      <c r="X1778" s="50">
        <v>5.8599999999999999E-2</v>
      </c>
      <c r="Y1778" s="74">
        <f t="shared" si="96"/>
        <v>3.7499999999999999E-3</v>
      </c>
      <c r="Z1778" s="271">
        <v>1</v>
      </c>
      <c r="AA1778" s="271">
        <v>0.80800000000000005</v>
      </c>
      <c r="AB1778" s="114">
        <v>6</v>
      </c>
      <c r="AC1778" s="50">
        <v>14</v>
      </c>
      <c r="AD1778" s="271">
        <v>0.3</v>
      </c>
    </row>
    <row r="1779" spans="1:35" ht="15" customHeight="1">
      <c r="A1779" s="41" t="s">
        <v>183</v>
      </c>
      <c r="B1779" s="386" t="s">
        <v>349</v>
      </c>
      <c r="C1779" s="149" t="s">
        <v>349</v>
      </c>
      <c r="D1779" s="392" t="s">
        <v>350</v>
      </c>
      <c r="E1779" s="258"/>
      <c r="F1779" s="386"/>
      <c r="G1779" s="389" t="s">
        <v>966</v>
      </c>
      <c r="H1779" s="55">
        <v>3724</v>
      </c>
      <c r="I1779" s="54" t="s">
        <v>2</v>
      </c>
      <c r="J1779" s="61" t="s">
        <v>5075</v>
      </c>
      <c r="K1779" s="51">
        <v>41494</v>
      </c>
      <c r="L1779" s="173">
        <v>41488</v>
      </c>
      <c r="M1779" s="50">
        <f t="shared" si="93"/>
        <v>6</v>
      </c>
      <c r="N1779" s="50" t="s">
        <v>2</v>
      </c>
      <c r="O1779" s="74">
        <f t="shared" si="94"/>
        <v>0.5</v>
      </c>
      <c r="P1779" s="50">
        <v>6.17</v>
      </c>
      <c r="Q1779" s="74">
        <v>6.52</v>
      </c>
      <c r="R1779" s="50">
        <f t="shared" si="95"/>
        <v>2.5</v>
      </c>
      <c r="S1779" s="74">
        <v>5</v>
      </c>
      <c r="T1779" s="50">
        <v>0.24099999999999999</v>
      </c>
      <c r="U1779" s="131">
        <f>0.2/2</f>
        <v>0.1</v>
      </c>
      <c r="V1779" s="50">
        <v>1.37</v>
      </c>
      <c r="W1779" s="74">
        <v>3.0099999999999998E-2</v>
      </c>
      <c r="X1779" s="50">
        <v>5.8299999999999998E-2</v>
      </c>
      <c r="Y1779" s="74">
        <f t="shared" si="96"/>
        <v>3.7499999999999999E-3</v>
      </c>
    </row>
    <row r="1780" spans="1:35" ht="15" customHeight="1">
      <c r="A1780" s="41" t="s">
        <v>183</v>
      </c>
      <c r="B1780" s="386" t="s">
        <v>349</v>
      </c>
      <c r="C1780" s="149" t="s">
        <v>349</v>
      </c>
      <c r="D1780" s="392" t="s">
        <v>350</v>
      </c>
      <c r="E1780" s="258"/>
      <c r="F1780" s="386"/>
      <c r="G1780" s="389" t="s">
        <v>351</v>
      </c>
      <c r="H1780" s="55">
        <v>3724</v>
      </c>
      <c r="I1780" s="54" t="s">
        <v>2</v>
      </c>
      <c r="J1780" s="61" t="s">
        <v>5073</v>
      </c>
      <c r="K1780" s="51">
        <v>41494</v>
      </c>
      <c r="L1780" s="173">
        <v>41488</v>
      </c>
      <c r="M1780" s="50">
        <f t="shared" si="93"/>
        <v>6</v>
      </c>
      <c r="N1780" s="50" t="s">
        <v>2</v>
      </c>
      <c r="O1780" s="74">
        <f t="shared" si="94"/>
        <v>0.5</v>
      </c>
      <c r="P1780" s="50">
        <v>6.17</v>
      </c>
      <c r="Q1780" s="74">
        <v>5.98</v>
      </c>
      <c r="R1780" s="50">
        <f t="shared" si="95"/>
        <v>2.5</v>
      </c>
      <c r="S1780" s="74">
        <f>5/2</f>
        <v>2.5</v>
      </c>
      <c r="T1780" s="50">
        <v>1.7899999999999999E-2</v>
      </c>
      <c r="U1780" s="131">
        <v>0.21</v>
      </c>
      <c r="V1780" s="50">
        <f>0.1/2</f>
        <v>0.05</v>
      </c>
      <c r="W1780" s="74">
        <v>1.2E-2</v>
      </c>
      <c r="X1780" s="50">
        <v>1.2200000000000001E-2</v>
      </c>
      <c r="Y1780" s="74">
        <f t="shared" si="96"/>
        <v>3.7499999999999999E-3</v>
      </c>
    </row>
    <row r="1781" spans="1:35" ht="15" customHeight="1">
      <c r="A1781" s="41" t="s">
        <v>183</v>
      </c>
      <c r="B1781" s="386" t="s">
        <v>349</v>
      </c>
      <c r="C1781" s="149" t="s">
        <v>349</v>
      </c>
      <c r="D1781" s="392" t="s">
        <v>350</v>
      </c>
      <c r="E1781" s="258"/>
      <c r="F1781" s="386"/>
      <c r="G1781" s="389" t="s">
        <v>351</v>
      </c>
      <c r="H1781" s="55">
        <v>3724</v>
      </c>
      <c r="I1781" s="54" t="s">
        <v>2</v>
      </c>
      <c r="J1781" s="61" t="s">
        <v>5074</v>
      </c>
      <c r="K1781" s="51">
        <v>41494</v>
      </c>
      <c r="L1781" s="173">
        <v>41488</v>
      </c>
      <c r="M1781" s="50">
        <f t="shared" si="93"/>
        <v>6</v>
      </c>
      <c r="N1781" s="50" t="s">
        <v>2</v>
      </c>
      <c r="O1781" s="74">
        <f t="shared" si="94"/>
        <v>0.5</v>
      </c>
      <c r="P1781" s="50">
        <v>6.17</v>
      </c>
      <c r="Q1781" s="74">
        <v>6.01</v>
      </c>
      <c r="R1781" s="50">
        <f t="shared" si="95"/>
        <v>2.5</v>
      </c>
      <c r="S1781" s="74">
        <f>5/2</f>
        <v>2.5</v>
      </c>
      <c r="T1781" s="50">
        <v>2.5100000000000001E-2</v>
      </c>
      <c r="U1781" s="131">
        <v>0.21</v>
      </c>
      <c r="V1781" s="50">
        <f>0.1/2</f>
        <v>0.05</v>
      </c>
      <c r="W1781" s="74">
        <v>1.06E-2</v>
      </c>
      <c r="X1781" s="50">
        <v>1.06E-2</v>
      </c>
      <c r="Y1781" s="74">
        <f t="shared" si="96"/>
        <v>3.7499999999999999E-3</v>
      </c>
    </row>
    <row r="1782" spans="1:35" ht="15" customHeight="1">
      <c r="A1782" s="41" t="s">
        <v>183</v>
      </c>
      <c r="B1782" s="402" t="s">
        <v>830</v>
      </c>
      <c r="C1782" s="113" t="s">
        <v>831</v>
      </c>
      <c r="D1782" s="393" t="s">
        <v>397</v>
      </c>
      <c r="E1782" s="394" t="s">
        <v>398</v>
      </c>
      <c r="G1782" s="405" t="s">
        <v>832</v>
      </c>
      <c r="H1782" s="74">
        <v>4173</v>
      </c>
      <c r="I1782" s="50" t="s">
        <v>1</v>
      </c>
      <c r="J1782" s="61" t="s">
        <v>833</v>
      </c>
      <c r="K1782" s="51">
        <v>41578</v>
      </c>
      <c r="L1782" s="173"/>
      <c r="N1782" s="50" t="s">
        <v>2</v>
      </c>
      <c r="O1782" s="74">
        <f t="shared" si="94"/>
        <v>0.5</v>
      </c>
      <c r="P1782" s="50">
        <v>6.5</v>
      </c>
      <c r="Q1782" s="74">
        <v>4.4000000000000004</v>
      </c>
      <c r="R1782" s="50">
        <v>110</v>
      </c>
      <c r="S1782" s="74">
        <v>5</v>
      </c>
      <c r="T1782" s="50">
        <v>0.25</v>
      </c>
      <c r="U1782" s="131">
        <v>7.5</v>
      </c>
      <c r="V1782" s="50">
        <v>2.4</v>
      </c>
      <c r="W1782" s="74">
        <v>4.2000000000000003E-2</v>
      </c>
      <c r="X1782" s="50">
        <v>0.28000000000000003</v>
      </c>
      <c r="Y1782" s="74">
        <v>4.1999999999999997E-3</v>
      </c>
      <c r="AE1782" s="50">
        <v>80</v>
      </c>
      <c r="AI1782" s="114">
        <v>1500</v>
      </c>
    </row>
    <row r="1783" spans="1:35" ht="15" customHeight="1">
      <c r="A1783" s="41" t="s">
        <v>183</v>
      </c>
      <c r="B1783" s="402" t="s">
        <v>830</v>
      </c>
      <c r="C1783" s="113" t="s">
        <v>831</v>
      </c>
      <c r="D1783" s="393" t="s">
        <v>397</v>
      </c>
      <c r="E1783" s="394" t="s">
        <v>398</v>
      </c>
      <c r="G1783" s="405" t="s">
        <v>832</v>
      </c>
      <c r="H1783" s="74">
        <v>4173</v>
      </c>
      <c r="I1783" s="50" t="s">
        <v>1</v>
      </c>
      <c r="J1783" s="339" t="s">
        <v>834</v>
      </c>
      <c r="K1783" s="51">
        <v>41578</v>
      </c>
      <c r="L1783" s="173"/>
      <c r="N1783" s="50" t="s">
        <v>2</v>
      </c>
      <c r="O1783" s="74">
        <f t="shared" si="94"/>
        <v>0.5</v>
      </c>
      <c r="P1783" s="50">
        <v>6.5</v>
      </c>
      <c r="Q1783" s="74">
        <v>4.4000000000000004</v>
      </c>
      <c r="R1783" s="50">
        <v>110</v>
      </c>
      <c r="S1783" s="74">
        <v>8</v>
      </c>
      <c r="T1783" s="50">
        <v>0.24</v>
      </c>
      <c r="U1783" s="131">
        <v>5.2</v>
      </c>
      <c r="V1783" s="50">
        <v>2.2999999999999998</v>
      </c>
      <c r="W1783" s="74">
        <v>4.2000000000000003E-2</v>
      </c>
      <c r="X1783" s="50">
        <v>0.27</v>
      </c>
      <c r="Y1783" s="74">
        <v>6.8999999999999999E-3</v>
      </c>
      <c r="AE1783" s="50">
        <v>50</v>
      </c>
      <c r="AI1783" s="114">
        <v>120</v>
      </c>
    </row>
    <row r="1784" spans="1:35" ht="15" customHeight="1">
      <c r="A1784" s="41" t="s">
        <v>183</v>
      </c>
      <c r="B1784" s="386" t="s">
        <v>583</v>
      </c>
      <c r="C1784" s="149" t="s">
        <v>583</v>
      </c>
      <c r="D1784" s="392" t="s">
        <v>290</v>
      </c>
      <c r="E1784" s="258" t="s">
        <v>584</v>
      </c>
      <c r="F1784" s="386"/>
      <c r="G1784" s="389" t="s">
        <v>585</v>
      </c>
      <c r="H1784" s="55">
        <v>3471</v>
      </c>
      <c r="I1784" s="54" t="s">
        <v>1</v>
      </c>
      <c r="J1784" s="61" t="s">
        <v>194</v>
      </c>
      <c r="K1784" s="51">
        <v>41345</v>
      </c>
      <c r="L1784" s="173">
        <v>41341</v>
      </c>
      <c r="M1784" s="50">
        <f>K1784-L1784</f>
        <v>4</v>
      </c>
      <c r="N1784" s="50" t="s">
        <v>1</v>
      </c>
      <c r="O1784" s="74">
        <f t="shared" si="94"/>
        <v>0.5</v>
      </c>
      <c r="P1784" s="50">
        <v>4.79</v>
      </c>
      <c r="Q1784" s="74">
        <v>7.1</v>
      </c>
      <c r="R1784" s="50">
        <v>102.4</v>
      </c>
      <c r="S1784" s="74">
        <v>82</v>
      </c>
      <c r="T1784" s="50">
        <v>0.47</v>
      </c>
      <c r="U1784" s="131">
        <v>1.22</v>
      </c>
      <c r="V1784" s="50">
        <v>0.35</v>
      </c>
      <c r="W1784" s="74">
        <v>1.4E-2</v>
      </c>
      <c r="X1784" s="50">
        <v>5.5E-2</v>
      </c>
      <c r="Y1784" s="74">
        <v>8.0000000000000002E-3</v>
      </c>
      <c r="Z1784" s="271">
        <v>1</v>
      </c>
      <c r="AA1784" s="271">
        <v>1</v>
      </c>
      <c r="AB1784" s="114">
        <v>4.1100000000000003</v>
      </c>
      <c r="AC1784" s="50">
        <v>163</v>
      </c>
      <c r="AD1784" s="271">
        <v>0.9</v>
      </c>
    </row>
    <row r="1785" spans="1:35" ht="15" customHeight="1">
      <c r="A1785" s="41" t="s">
        <v>183</v>
      </c>
      <c r="B1785" s="386" t="s">
        <v>583</v>
      </c>
      <c r="C1785" s="149" t="s">
        <v>583</v>
      </c>
      <c r="D1785" s="392" t="s">
        <v>290</v>
      </c>
      <c r="E1785" s="258" t="s">
        <v>584</v>
      </c>
      <c r="F1785" s="386"/>
      <c r="G1785" s="389" t="s">
        <v>585</v>
      </c>
      <c r="H1785" s="55">
        <v>3471</v>
      </c>
      <c r="I1785" s="54" t="s">
        <v>1</v>
      </c>
      <c r="J1785" s="61" t="s">
        <v>569</v>
      </c>
      <c r="K1785" s="51">
        <v>41345</v>
      </c>
      <c r="L1785" s="173">
        <v>41341</v>
      </c>
      <c r="M1785" s="50">
        <f>K1785-L1785</f>
        <v>4</v>
      </c>
      <c r="N1785" s="50" t="s">
        <v>1</v>
      </c>
      <c r="O1785" s="74">
        <f t="shared" si="94"/>
        <v>0.5</v>
      </c>
      <c r="P1785" s="50">
        <v>4.79</v>
      </c>
      <c r="Q1785" s="74">
        <v>7.02</v>
      </c>
      <c r="R1785" s="50">
        <v>44.4</v>
      </c>
      <c r="S1785" s="74">
        <v>74</v>
      </c>
      <c r="T1785" s="50">
        <v>0.82</v>
      </c>
      <c r="U1785" s="131">
        <v>1.1200000000000001</v>
      </c>
      <c r="V1785" s="50">
        <v>0.64</v>
      </c>
      <c r="W1785" s="74">
        <v>2.1000000000000001E-2</v>
      </c>
      <c r="X1785" s="50">
        <v>0.14899999999999999</v>
      </c>
      <c r="Y1785" s="74">
        <v>8.0000000000000002E-3</v>
      </c>
      <c r="Z1785" s="271">
        <v>1</v>
      </c>
      <c r="AA1785" s="271">
        <v>1</v>
      </c>
      <c r="AB1785" s="114">
        <v>9.01</v>
      </c>
      <c r="AC1785" s="50">
        <v>69</v>
      </c>
      <c r="AD1785" s="271">
        <v>1</v>
      </c>
    </row>
    <row r="1786" spans="1:35" ht="15" customHeight="1">
      <c r="A1786" s="41" t="s">
        <v>183</v>
      </c>
      <c r="B1786" s="386" t="s">
        <v>583</v>
      </c>
      <c r="C1786" s="149" t="s">
        <v>583</v>
      </c>
      <c r="D1786" s="392" t="s">
        <v>290</v>
      </c>
      <c r="E1786" s="258" t="s">
        <v>584</v>
      </c>
      <c r="F1786" s="386"/>
      <c r="G1786" s="389" t="s">
        <v>585</v>
      </c>
      <c r="H1786" s="55">
        <v>3471</v>
      </c>
      <c r="I1786" s="54" t="s">
        <v>1</v>
      </c>
      <c r="J1786" s="61" t="s">
        <v>586</v>
      </c>
      <c r="K1786" s="51">
        <v>41345</v>
      </c>
      <c r="L1786" s="173">
        <v>41341</v>
      </c>
      <c r="M1786" s="50">
        <f>K1786-L1786</f>
        <v>4</v>
      </c>
      <c r="N1786" s="50" t="s">
        <v>1</v>
      </c>
      <c r="O1786" s="74">
        <f t="shared" si="94"/>
        <v>0.5</v>
      </c>
      <c r="P1786" s="50">
        <v>4.79</v>
      </c>
      <c r="Q1786" s="74">
        <v>7.36</v>
      </c>
      <c r="R1786" s="50">
        <v>78.599999999999994</v>
      </c>
      <c r="S1786" s="74">
        <v>90</v>
      </c>
      <c r="T1786" s="50">
        <v>0.63</v>
      </c>
      <c r="U1786" s="131">
        <v>1.1000000000000001</v>
      </c>
      <c r="V1786" s="50">
        <v>0.52</v>
      </c>
      <c r="W1786" s="74">
        <v>0.187</v>
      </c>
      <c r="X1786" s="50">
        <v>0.19600000000000001</v>
      </c>
      <c r="Y1786" s="74">
        <v>1.2999999999999999E-2</v>
      </c>
      <c r="Z1786" s="271">
        <v>1</v>
      </c>
      <c r="AA1786" s="271">
        <v>0.70711000000000002</v>
      </c>
      <c r="AB1786" s="114">
        <v>21.04</v>
      </c>
      <c r="AC1786" s="50">
        <v>115</v>
      </c>
      <c r="AD1786" s="271">
        <v>0.1</v>
      </c>
    </row>
    <row r="1787" spans="1:35" ht="15" customHeight="1">
      <c r="A1787" s="41" t="s">
        <v>183</v>
      </c>
      <c r="B1787" s="402" t="s">
        <v>5081</v>
      </c>
      <c r="C1787" s="113" t="s">
        <v>5082</v>
      </c>
      <c r="D1787" s="393" t="s">
        <v>356</v>
      </c>
      <c r="G1787" s="405" t="s">
        <v>5083</v>
      </c>
      <c r="H1787" s="74">
        <v>2051</v>
      </c>
      <c r="I1787" s="50" t="s">
        <v>2</v>
      </c>
      <c r="J1787" s="339" t="s">
        <v>5084</v>
      </c>
      <c r="K1787" s="51">
        <v>40877</v>
      </c>
      <c r="L1787" s="173"/>
      <c r="N1787" s="50" t="s">
        <v>2</v>
      </c>
      <c r="O1787" s="74">
        <f>1/2</f>
        <v>0.5</v>
      </c>
      <c r="Q1787" s="74">
        <v>7.35</v>
      </c>
      <c r="R1787" s="50">
        <v>25</v>
      </c>
      <c r="S1787" s="74">
        <v>6</v>
      </c>
      <c r="T1787" s="50">
        <v>0.08</v>
      </c>
      <c r="U1787" s="131">
        <v>1.1000000000000001</v>
      </c>
      <c r="V1787" s="50">
        <v>0.21</v>
      </c>
      <c r="W1787" s="74">
        <v>1.21E-2</v>
      </c>
      <c r="X1787" s="50">
        <v>0.107</v>
      </c>
      <c r="Y1787" s="74">
        <v>2.24E-2</v>
      </c>
      <c r="Z1787" s="271">
        <v>1</v>
      </c>
      <c r="AA1787" s="271">
        <v>1</v>
      </c>
      <c r="AB1787" s="114">
        <v>8</v>
      </c>
      <c r="AC1787" s="50">
        <v>85</v>
      </c>
      <c r="AD1787" s="271">
        <v>0.85</v>
      </c>
    </row>
    <row r="1788" spans="1:35" ht="15" customHeight="1">
      <c r="A1788" s="41" t="s">
        <v>183</v>
      </c>
      <c r="B1788" s="402" t="s">
        <v>5081</v>
      </c>
      <c r="C1788" s="113" t="s">
        <v>5082</v>
      </c>
      <c r="D1788" s="393" t="s">
        <v>356</v>
      </c>
      <c r="G1788" s="405" t="s">
        <v>5083</v>
      </c>
      <c r="H1788" s="74">
        <v>2051</v>
      </c>
      <c r="I1788" s="50" t="s">
        <v>2</v>
      </c>
      <c r="J1788" s="339" t="s">
        <v>5085</v>
      </c>
      <c r="K1788" s="51">
        <v>41157</v>
      </c>
      <c r="L1788" s="173">
        <v>41166</v>
      </c>
      <c r="N1788" s="50" t="s">
        <v>2</v>
      </c>
      <c r="O1788" s="74">
        <f>1/2</f>
        <v>0.5</v>
      </c>
      <c r="Q1788" s="74">
        <v>4.26</v>
      </c>
      <c r="R1788" s="50">
        <v>28.3</v>
      </c>
      <c r="S1788" s="74">
        <f>5/2</f>
        <v>2.5</v>
      </c>
      <c r="T1788" s="50">
        <v>0.106</v>
      </c>
      <c r="U1788" s="131">
        <v>1.26</v>
      </c>
      <c r="V1788" s="50">
        <v>0.27</v>
      </c>
      <c r="W1788" s="74">
        <v>0.28000000000000003</v>
      </c>
      <c r="X1788" s="50">
        <f>0.085/2</f>
        <v>4.2500000000000003E-2</v>
      </c>
      <c r="Y1788" s="74">
        <f>0.0075/2</f>
        <v>3.7499999999999999E-3</v>
      </c>
      <c r="Z1788" s="271">
        <v>7.3300000000000004E-2</v>
      </c>
      <c r="AA1788" s="271">
        <v>6.25E-2</v>
      </c>
      <c r="AB1788" s="114">
        <v>28</v>
      </c>
      <c r="AC1788" s="50">
        <v>102</v>
      </c>
      <c r="AD1788" s="271">
        <v>0</v>
      </c>
    </row>
    <row r="1789" spans="1:35" ht="15" customHeight="1">
      <c r="A1789" s="41" t="s">
        <v>183</v>
      </c>
      <c r="B1789" s="402" t="s">
        <v>3967</v>
      </c>
      <c r="D1789" s="393" t="s">
        <v>1484</v>
      </c>
      <c r="E1789" s="394" t="s">
        <v>235</v>
      </c>
      <c r="G1789" s="405" t="s">
        <v>5086</v>
      </c>
      <c r="H1789" s="74">
        <v>4119</v>
      </c>
      <c r="I1789" s="50" t="s">
        <v>2</v>
      </c>
      <c r="J1789" s="74"/>
      <c r="K1789" s="51">
        <v>41113</v>
      </c>
      <c r="L1789" s="173">
        <v>41108</v>
      </c>
      <c r="M1789" s="50">
        <f t="shared" ref="M1789:M1795" si="97">K1789-L1789</f>
        <v>5</v>
      </c>
      <c r="N1789" s="50" t="s">
        <v>2</v>
      </c>
      <c r="O1789" s="74">
        <f>5/2</f>
        <v>2.5</v>
      </c>
      <c r="P1789" s="50">
        <v>5.92</v>
      </c>
      <c r="Q1789" s="74">
        <v>6.33</v>
      </c>
      <c r="R1789" s="50">
        <v>47.9</v>
      </c>
      <c r="S1789" s="74">
        <v>288</v>
      </c>
      <c r="T1789" s="50">
        <v>0.43</v>
      </c>
      <c r="U1789" s="131">
        <f>0.5/2</f>
        <v>0.25</v>
      </c>
      <c r="V1789" s="50">
        <v>0.35</v>
      </c>
      <c r="W1789" s="74">
        <v>2.7E-2</v>
      </c>
      <c r="X1789" s="50">
        <v>0.1</v>
      </c>
      <c r="Y1789" s="74">
        <v>1.9E-2</v>
      </c>
      <c r="Z1789" s="271">
        <v>0.311</v>
      </c>
      <c r="AA1789" s="271">
        <v>0.125</v>
      </c>
      <c r="AB1789" s="114">
        <v>10.8</v>
      </c>
      <c r="AC1789" s="50">
        <v>42</v>
      </c>
      <c r="AD1789" s="271">
        <v>0</v>
      </c>
    </row>
    <row r="1790" spans="1:35" ht="15" customHeight="1">
      <c r="A1790" s="41" t="s">
        <v>183</v>
      </c>
      <c r="B1790" s="402" t="s">
        <v>3967</v>
      </c>
      <c r="D1790" s="393" t="s">
        <v>1484</v>
      </c>
      <c r="E1790" s="394" t="s">
        <v>235</v>
      </c>
      <c r="G1790" s="405" t="s">
        <v>5086</v>
      </c>
      <c r="H1790" s="74">
        <v>4119</v>
      </c>
      <c r="J1790" s="74"/>
      <c r="K1790" s="51">
        <v>41170</v>
      </c>
      <c r="L1790" s="173">
        <v>41129</v>
      </c>
      <c r="M1790" s="50">
        <f t="shared" si="97"/>
        <v>41</v>
      </c>
      <c r="N1790" s="50" t="s">
        <v>2</v>
      </c>
      <c r="O1790" s="74">
        <f>5/2</f>
        <v>2.5</v>
      </c>
      <c r="P1790" s="50">
        <v>5.72</v>
      </c>
      <c r="Q1790" s="74">
        <v>6.71</v>
      </c>
      <c r="R1790" s="50">
        <v>40.5</v>
      </c>
      <c r="S1790" s="74">
        <v>107</v>
      </c>
      <c r="T1790" s="50">
        <v>0.16</v>
      </c>
      <c r="U1790" s="131">
        <f>0.5/2</f>
        <v>0.25</v>
      </c>
      <c r="V1790" s="50">
        <v>1.46</v>
      </c>
      <c r="W1790" s="74">
        <v>3.2000000000000001E-2</v>
      </c>
      <c r="X1790" s="50">
        <v>0.22</v>
      </c>
      <c r="Y1790" s="74">
        <v>4.0000000000000001E-3</v>
      </c>
    </row>
    <row r="1791" spans="1:35" ht="15" customHeight="1">
      <c r="A1791" s="41" t="s">
        <v>183</v>
      </c>
      <c r="B1791" s="402" t="s">
        <v>3967</v>
      </c>
      <c r="D1791" s="393" t="s">
        <v>268</v>
      </c>
      <c r="G1791" s="405" t="s">
        <v>3966</v>
      </c>
      <c r="H1791" s="74">
        <v>4119</v>
      </c>
      <c r="I1791" s="50" t="s">
        <v>2</v>
      </c>
      <c r="J1791" s="74"/>
      <c r="K1791" s="51">
        <v>41184</v>
      </c>
      <c r="L1791" s="173">
        <v>41180</v>
      </c>
      <c r="M1791" s="50">
        <f t="shared" si="97"/>
        <v>4</v>
      </c>
      <c r="N1791" s="50" t="s">
        <v>2</v>
      </c>
      <c r="O1791" s="74">
        <v>5.7</v>
      </c>
      <c r="P1791" s="50">
        <v>7.06</v>
      </c>
      <c r="Q1791" s="74">
        <v>5.86</v>
      </c>
      <c r="R1791" s="50">
        <v>58</v>
      </c>
      <c r="S1791" s="74">
        <v>121</v>
      </c>
      <c r="T1791" s="50">
        <v>1.06</v>
      </c>
      <c r="U1791" s="131">
        <v>0.68</v>
      </c>
      <c r="V1791" s="50">
        <v>0.35</v>
      </c>
      <c r="W1791" s="74">
        <v>2.1999999999999999E-2</v>
      </c>
      <c r="X1791" s="50">
        <v>0.2</v>
      </c>
      <c r="Y1791" s="74">
        <v>1.4E-2</v>
      </c>
      <c r="Z1791" s="271">
        <v>1</v>
      </c>
      <c r="AA1791" s="271">
        <v>1</v>
      </c>
      <c r="AB1791" s="114">
        <v>26.1</v>
      </c>
      <c r="AC1791" s="50">
        <v>32</v>
      </c>
      <c r="AD1791" s="271">
        <v>0.85</v>
      </c>
    </row>
    <row r="1792" spans="1:35" ht="15" customHeight="1">
      <c r="A1792" s="41" t="s">
        <v>183</v>
      </c>
      <c r="B1792" s="402" t="s">
        <v>2605</v>
      </c>
      <c r="D1792" s="393" t="s">
        <v>1565</v>
      </c>
      <c r="E1792" s="394" t="s">
        <v>2606</v>
      </c>
      <c r="G1792" s="405" t="s">
        <v>2607</v>
      </c>
      <c r="H1792" s="74">
        <v>3429</v>
      </c>
      <c r="I1792" s="50" t="s">
        <v>2</v>
      </c>
      <c r="J1792" s="74" t="s">
        <v>2608</v>
      </c>
      <c r="K1792" s="51">
        <v>41226</v>
      </c>
      <c r="L1792" s="173">
        <v>41220</v>
      </c>
      <c r="M1792" s="50">
        <f t="shared" si="97"/>
        <v>6</v>
      </c>
      <c r="N1792" s="50" t="s">
        <v>2</v>
      </c>
      <c r="O1792" s="74">
        <f>1.7</f>
        <v>1.7</v>
      </c>
      <c r="P1792" s="50">
        <v>6.24</v>
      </c>
      <c r="Q1792" s="74">
        <v>6.28</v>
      </c>
      <c r="R1792" s="50">
        <v>40</v>
      </c>
      <c r="S1792" s="74">
        <v>9</v>
      </c>
      <c r="T1792" s="50">
        <v>5.7000000000000002E-2</v>
      </c>
      <c r="U1792" s="131">
        <v>1.3</v>
      </c>
      <c r="V1792" s="50">
        <f>0.46/2</f>
        <v>0.23</v>
      </c>
      <c r="W1792" s="74">
        <v>7.0000000000000001E-3</v>
      </c>
      <c r="X1792" s="50">
        <v>0.46700000000000003</v>
      </c>
      <c r="Y1792" s="74">
        <v>9.7000000000000003E-3</v>
      </c>
    </row>
    <row r="1793" spans="1:79" ht="15" customHeight="1">
      <c r="A1793" s="41" t="s">
        <v>183</v>
      </c>
      <c r="B1793" s="385" t="s">
        <v>4197</v>
      </c>
      <c r="C1793" s="18" t="s">
        <v>4195</v>
      </c>
      <c r="D1793" s="377" t="s">
        <v>684</v>
      </c>
      <c r="E1793" s="20" t="s">
        <v>112</v>
      </c>
      <c r="G1793" s="405" t="s">
        <v>4196</v>
      </c>
      <c r="H1793" s="6">
        <v>3271</v>
      </c>
      <c r="I1793" s="7" t="s">
        <v>2</v>
      </c>
      <c r="J1793" s="6" t="s">
        <v>75</v>
      </c>
      <c r="K1793" s="51">
        <v>41240</v>
      </c>
      <c r="L1793" s="173">
        <v>41226</v>
      </c>
      <c r="M1793" s="50">
        <f t="shared" si="97"/>
        <v>14</v>
      </c>
      <c r="N1793" s="50" t="s">
        <v>2</v>
      </c>
      <c r="O1793" s="74">
        <v>12.9</v>
      </c>
      <c r="P1793" s="50">
        <v>6.5</v>
      </c>
      <c r="Q1793" s="74">
        <v>9.1999999999999993</v>
      </c>
      <c r="R1793" s="50">
        <f>10/2</f>
        <v>5</v>
      </c>
      <c r="S1793" s="74">
        <v>394</v>
      </c>
      <c r="T1793" s="50">
        <v>0.32</v>
      </c>
      <c r="U1793" s="131">
        <v>0.81</v>
      </c>
      <c r="V1793" s="50">
        <v>0.84</v>
      </c>
      <c r="W1793" s="74">
        <v>5.8000000000000003E-2</v>
      </c>
      <c r="X1793" s="50">
        <v>0.16</v>
      </c>
      <c r="Y1793" s="74">
        <f>0.03/2</f>
        <v>1.4999999999999999E-2</v>
      </c>
      <c r="Z1793" s="271">
        <v>1</v>
      </c>
      <c r="AA1793" s="271">
        <v>1</v>
      </c>
      <c r="AB1793" s="114">
        <v>118</v>
      </c>
      <c r="AC1793" s="50">
        <v>180</v>
      </c>
      <c r="AD1793" s="271">
        <v>1</v>
      </c>
    </row>
    <row r="1794" spans="1:79" ht="15" customHeight="1">
      <c r="A1794" s="41" t="s">
        <v>183</v>
      </c>
      <c r="B1794" s="385" t="s">
        <v>4197</v>
      </c>
      <c r="C1794" s="18" t="s">
        <v>4195</v>
      </c>
      <c r="D1794" s="377" t="s">
        <v>684</v>
      </c>
      <c r="E1794" s="20" t="s">
        <v>112</v>
      </c>
      <c r="G1794" s="405" t="s">
        <v>4196</v>
      </c>
      <c r="H1794" s="6">
        <v>3271</v>
      </c>
      <c r="I1794" s="7" t="s">
        <v>1</v>
      </c>
      <c r="J1794" s="6" t="s">
        <v>74</v>
      </c>
      <c r="K1794" s="51">
        <v>41240</v>
      </c>
      <c r="L1794" s="173">
        <v>41226</v>
      </c>
      <c r="M1794" s="50">
        <f t="shared" si="97"/>
        <v>14</v>
      </c>
      <c r="N1794" s="50" t="s">
        <v>2</v>
      </c>
      <c r="O1794" s="74">
        <v>4.5999999999999996</v>
      </c>
      <c r="P1794" s="50">
        <v>6.5</v>
      </c>
      <c r="Q1794" s="74">
        <v>8.8000000000000007</v>
      </c>
      <c r="R1794" s="50">
        <v>56</v>
      </c>
      <c r="S1794" s="74">
        <v>444</v>
      </c>
      <c r="T1794" s="50">
        <v>0.44</v>
      </c>
      <c r="U1794" s="131">
        <v>1.31</v>
      </c>
      <c r="V1794" s="50">
        <v>0.65</v>
      </c>
      <c r="W1794" s="74">
        <v>3.7999999999999999E-2</v>
      </c>
      <c r="X1794" s="50">
        <v>0.216</v>
      </c>
      <c r="Y1794" s="74">
        <f>0.03/2</f>
        <v>1.4999999999999999E-2</v>
      </c>
      <c r="Z1794" s="271">
        <v>1</v>
      </c>
      <c r="AA1794" s="271">
        <v>1</v>
      </c>
      <c r="AB1794" s="114">
        <v>118</v>
      </c>
      <c r="AC1794" s="50">
        <v>180</v>
      </c>
      <c r="AD1794" s="271">
        <v>1</v>
      </c>
    </row>
    <row r="1795" spans="1:79" ht="15" customHeight="1">
      <c r="A1795" s="41" t="s">
        <v>183</v>
      </c>
      <c r="B1795" s="402" t="s">
        <v>191</v>
      </c>
      <c r="C1795" s="113" t="s">
        <v>191</v>
      </c>
      <c r="D1795" s="393" t="s">
        <v>192</v>
      </c>
      <c r="E1795" s="394" t="s">
        <v>44</v>
      </c>
      <c r="G1795" s="405" t="s">
        <v>193</v>
      </c>
      <c r="H1795" s="74">
        <v>4952</v>
      </c>
      <c r="I1795" s="50" t="s">
        <v>2</v>
      </c>
      <c r="J1795" s="74" t="s">
        <v>194</v>
      </c>
      <c r="K1795" s="51">
        <v>41345</v>
      </c>
      <c r="L1795" s="173">
        <v>41341</v>
      </c>
      <c r="M1795" s="50">
        <f t="shared" si="97"/>
        <v>4</v>
      </c>
      <c r="N1795" s="50" t="s">
        <v>2</v>
      </c>
      <c r="O1795" s="74">
        <f>1/2</f>
        <v>0.5</v>
      </c>
      <c r="P1795" s="50">
        <v>6.82</v>
      </c>
      <c r="Q1795" s="74">
        <v>7.28</v>
      </c>
      <c r="R1795" s="50">
        <f>1/2</f>
        <v>0.5</v>
      </c>
      <c r="S1795" s="74">
        <v>14</v>
      </c>
      <c r="T1795" s="50">
        <v>0.05</v>
      </c>
      <c r="U1795" s="131">
        <v>0.88</v>
      </c>
      <c r="V1795" s="50">
        <v>0.26</v>
      </c>
      <c r="W1795" s="74">
        <v>7.0000000000000001E-3</v>
      </c>
      <c r="X1795" s="50">
        <v>4.2000000000000003E-2</v>
      </c>
      <c r="Y1795" s="74">
        <v>5.0000000000000001E-3</v>
      </c>
      <c r="Z1795" s="271">
        <v>1</v>
      </c>
      <c r="AA1795" s="271">
        <v>1</v>
      </c>
      <c r="AB1795" s="114">
        <v>15.21</v>
      </c>
      <c r="AC1795" s="50">
        <v>1232</v>
      </c>
      <c r="AD1795" s="271">
        <v>1</v>
      </c>
    </row>
    <row r="1796" spans="1:79" ht="15" customHeight="1">
      <c r="A1796" s="41" t="s">
        <v>183</v>
      </c>
      <c r="B1796" s="402" t="s">
        <v>2626</v>
      </c>
      <c r="D1796" s="393" t="s">
        <v>406</v>
      </c>
      <c r="G1796" s="405" t="s">
        <v>2627</v>
      </c>
      <c r="H1796" s="74"/>
      <c r="J1796" s="74"/>
      <c r="K1796" s="51">
        <v>41253</v>
      </c>
      <c r="L1796" s="173"/>
      <c r="N1796" s="50" t="s">
        <v>2</v>
      </c>
      <c r="O1796" s="74">
        <f>1.6/2</f>
        <v>0.8</v>
      </c>
      <c r="P1796" s="50">
        <v>5.44</v>
      </c>
      <c r="Q1796" s="74">
        <v>5.98</v>
      </c>
      <c r="R1796" s="50">
        <v>4</v>
      </c>
      <c r="S1796" s="74">
        <v>44</v>
      </c>
      <c r="T1796" s="50">
        <v>0.02</v>
      </c>
      <c r="U1796" s="131">
        <v>1.18</v>
      </c>
      <c r="V1796" s="50">
        <v>0.25</v>
      </c>
      <c r="W1796" s="74">
        <v>3.1E-2</v>
      </c>
      <c r="X1796" s="50">
        <v>0.17100000000000001</v>
      </c>
      <c r="Y1796" s="74">
        <v>0.01</v>
      </c>
      <c r="Z1796" s="271">
        <v>0.82</v>
      </c>
      <c r="AA1796" s="271">
        <v>0.70699999999999996</v>
      </c>
      <c r="AB1796" s="114">
        <v>20</v>
      </c>
      <c r="AC1796" s="50">
        <v>84</v>
      </c>
      <c r="AD1796" s="271">
        <v>0</v>
      </c>
    </row>
    <row r="1797" spans="1:79" ht="15" customHeight="1">
      <c r="A1797" s="41" t="s">
        <v>183</v>
      </c>
      <c r="B1797" s="402" t="s">
        <v>2277</v>
      </c>
      <c r="D1797" s="393" t="s">
        <v>1683</v>
      </c>
      <c r="E1797" s="394" t="s">
        <v>2278</v>
      </c>
      <c r="F1797" s="402" t="s">
        <v>304</v>
      </c>
      <c r="G1797" s="405" t="s">
        <v>2279</v>
      </c>
      <c r="H1797" s="74">
        <v>3444</v>
      </c>
      <c r="I1797" s="50" t="s">
        <v>2</v>
      </c>
      <c r="J1797" s="74" t="s">
        <v>510</v>
      </c>
      <c r="K1797" s="51">
        <v>41240</v>
      </c>
      <c r="L1797" s="173">
        <v>41236</v>
      </c>
      <c r="M1797" s="50">
        <f t="shared" ref="M1797:M1819" si="98">K1797-L1797</f>
        <v>4</v>
      </c>
      <c r="N1797" s="50" t="s">
        <v>2</v>
      </c>
      <c r="O1797" s="74">
        <f>5/2</f>
        <v>2.5</v>
      </c>
      <c r="P1797" s="50">
        <v>5.25</v>
      </c>
      <c r="Q1797" s="74">
        <v>5.38</v>
      </c>
      <c r="R1797" s="50">
        <v>18</v>
      </c>
      <c r="S1797" s="74">
        <f>5/2</f>
        <v>2.5</v>
      </c>
      <c r="T1797" s="50">
        <v>0.14000000000000001</v>
      </c>
      <c r="U1797" s="131">
        <f>1/2</f>
        <v>0.5</v>
      </c>
      <c r="V1797" s="50">
        <v>0.46</v>
      </c>
      <c r="W1797" s="74">
        <f>0.04/2</f>
        <v>0.02</v>
      </c>
      <c r="X1797" s="50">
        <v>6.3E-2</v>
      </c>
      <c r="Y1797" s="74">
        <f>0.013/2</f>
        <v>6.4999999999999997E-3</v>
      </c>
      <c r="Z1797" s="271">
        <v>1</v>
      </c>
      <c r="AA1797" s="271">
        <v>1</v>
      </c>
      <c r="AB1797" s="114">
        <v>8.1</v>
      </c>
      <c r="AC1797" s="50">
        <v>39</v>
      </c>
      <c r="AD1797" s="271">
        <v>0.55000000000000004</v>
      </c>
    </row>
    <row r="1798" spans="1:79" ht="15" customHeight="1">
      <c r="A1798" s="41" t="s">
        <v>183</v>
      </c>
      <c r="B1798" s="386" t="s">
        <v>701</v>
      </c>
      <c r="C1798" s="149" t="s">
        <v>702</v>
      </c>
      <c r="D1798" s="392" t="s">
        <v>209</v>
      </c>
      <c r="E1798" s="258" t="s">
        <v>985</v>
      </c>
      <c r="F1798" s="386"/>
      <c r="G1798" s="405" t="s">
        <v>703</v>
      </c>
      <c r="H1798" s="55">
        <v>3052</v>
      </c>
      <c r="I1798" s="54"/>
      <c r="J1798" s="55" t="s">
        <v>81</v>
      </c>
      <c r="K1798" s="51">
        <v>41201</v>
      </c>
      <c r="L1798" s="173">
        <v>41197</v>
      </c>
      <c r="M1798" s="50">
        <f t="shared" si="98"/>
        <v>4</v>
      </c>
      <c r="N1798" s="50" t="s">
        <v>2</v>
      </c>
      <c r="O1798" s="74">
        <v>2.5</v>
      </c>
      <c r="P1798" s="50">
        <v>7.3</v>
      </c>
      <c r="Q1798" s="74">
        <v>7.05</v>
      </c>
      <c r="R1798" s="50">
        <v>49</v>
      </c>
      <c r="S1798" s="74">
        <v>7</v>
      </c>
      <c r="T1798" s="50">
        <f>0.1/2</f>
        <v>0.05</v>
      </c>
      <c r="U1798" s="131">
        <f>1/2</f>
        <v>0.5</v>
      </c>
      <c r="V1798" s="50">
        <f>0.1/2</f>
        <v>0.05</v>
      </c>
      <c r="W1798" s="74">
        <f>0.04/2</f>
        <v>0.02</v>
      </c>
      <c r="X1798" s="50">
        <v>4.8000000000000001E-2</v>
      </c>
      <c r="Y1798" s="74">
        <f>0.013/2</f>
        <v>6.4999999999999997E-3</v>
      </c>
      <c r="Z1798" s="271">
        <v>1</v>
      </c>
      <c r="AA1798" s="271">
        <v>0.65900000000000003</v>
      </c>
      <c r="AB1798" s="114">
        <v>5.9</v>
      </c>
      <c r="AC1798" s="50">
        <v>30</v>
      </c>
      <c r="AD1798" s="271">
        <v>0.1</v>
      </c>
    </row>
    <row r="1799" spans="1:79" ht="15" customHeight="1">
      <c r="A1799" s="41" t="s">
        <v>183</v>
      </c>
      <c r="B1799" s="386" t="s">
        <v>701</v>
      </c>
      <c r="C1799" s="149" t="s">
        <v>702</v>
      </c>
      <c r="D1799" s="392" t="s">
        <v>209</v>
      </c>
      <c r="E1799" s="258" t="s">
        <v>985</v>
      </c>
      <c r="F1799" s="386"/>
      <c r="G1799" s="405" t="s">
        <v>703</v>
      </c>
      <c r="H1799" s="55">
        <v>3052</v>
      </c>
      <c r="I1799" s="54"/>
      <c r="J1799" s="55" t="s">
        <v>114</v>
      </c>
      <c r="K1799" s="51">
        <v>41201</v>
      </c>
      <c r="L1799" s="173">
        <v>41197</v>
      </c>
      <c r="M1799" s="50">
        <f t="shared" si="98"/>
        <v>4</v>
      </c>
      <c r="N1799" s="50" t="s">
        <v>2</v>
      </c>
      <c r="O1799" s="74">
        <v>2.5</v>
      </c>
      <c r="P1799" s="50">
        <v>7.3</v>
      </c>
      <c r="Q1799" s="74">
        <v>7.25</v>
      </c>
      <c r="R1799" s="50">
        <v>16</v>
      </c>
      <c r="S1799" s="74">
        <f>5/2</f>
        <v>2.5</v>
      </c>
      <c r="T1799" s="50">
        <f>0.1/2</f>
        <v>0.05</v>
      </c>
      <c r="U1799" s="131">
        <f>1/2</f>
        <v>0.5</v>
      </c>
      <c r="V1799" s="50">
        <v>0.15</v>
      </c>
      <c r="W1799" s="74">
        <f>0.04/2</f>
        <v>0.02</v>
      </c>
      <c r="X1799" s="50">
        <v>0.15</v>
      </c>
      <c r="Y1799" s="74">
        <f>0.013/2</f>
        <v>6.4999999999999997E-3</v>
      </c>
      <c r="Z1799" s="271">
        <v>1</v>
      </c>
      <c r="AA1799" s="271">
        <v>1</v>
      </c>
      <c r="AB1799" s="114">
        <v>12</v>
      </c>
      <c r="AC1799" s="50">
        <v>40</v>
      </c>
      <c r="AD1799" s="271">
        <v>0.75</v>
      </c>
    </row>
    <row r="1800" spans="1:79" ht="15" customHeight="1">
      <c r="A1800" s="41" t="s">
        <v>183</v>
      </c>
      <c r="B1800" s="402" t="s">
        <v>878</v>
      </c>
      <c r="C1800" s="113" t="s">
        <v>879</v>
      </c>
      <c r="D1800" s="393" t="s">
        <v>127</v>
      </c>
      <c r="E1800" s="394" t="s">
        <v>880</v>
      </c>
      <c r="G1800" s="405" t="s">
        <v>881</v>
      </c>
      <c r="H1800" s="74">
        <v>3563</v>
      </c>
      <c r="I1800" s="50" t="s">
        <v>2</v>
      </c>
      <c r="J1800" s="74" t="s">
        <v>510</v>
      </c>
      <c r="K1800" s="51">
        <v>41240</v>
      </c>
      <c r="L1800" s="173">
        <v>41221</v>
      </c>
      <c r="M1800" s="50">
        <f t="shared" si="98"/>
        <v>19</v>
      </c>
      <c r="N1800" s="50" t="s">
        <v>2</v>
      </c>
      <c r="O1800" s="74">
        <f>5/2</f>
        <v>2.5</v>
      </c>
      <c r="P1800" s="50">
        <v>6.47</v>
      </c>
      <c r="Q1800" s="74">
        <v>7.51</v>
      </c>
      <c r="R1800" s="50">
        <v>51</v>
      </c>
      <c r="S1800" s="74">
        <f>5/2</f>
        <v>2.5</v>
      </c>
      <c r="T1800" s="50">
        <f>0.1/2</f>
        <v>0.05</v>
      </c>
      <c r="U1800" s="131">
        <f>1/2</f>
        <v>0.5</v>
      </c>
      <c r="V1800" s="50">
        <v>0.43</v>
      </c>
      <c r="W1800" s="74">
        <f>0.04/2</f>
        <v>0.02</v>
      </c>
      <c r="X1800" s="50">
        <v>4.4999999999999998E-2</v>
      </c>
      <c r="Y1800" s="74">
        <f>0.013/2</f>
        <v>6.4999999999999997E-3</v>
      </c>
      <c r="Z1800" s="271">
        <v>1</v>
      </c>
      <c r="AA1800" s="271">
        <v>1</v>
      </c>
      <c r="AB1800" s="114">
        <v>2.2000000000000002</v>
      </c>
      <c r="AC1800" s="50">
        <v>23</v>
      </c>
      <c r="AD1800" s="271">
        <v>0.7</v>
      </c>
    </row>
    <row r="1801" spans="1:79" s="400" customFormat="1" ht="15" customHeight="1">
      <c r="A1801" s="404" t="s">
        <v>183</v>
      </c>
      <c r="B1801" s="402" t="s">
        <v>1264</v>
      </c>
      <c r="C1801" s="113" t="s">
        <v>1264</v>
      </c>
      <c r="D1801" s="393" t="s">
        <v>347</v>
      </c>
      <c r="E1801" s="394" t="s">
        <v>1265</v>
      </c>
      <c r="F1801" s="402"/>
      <c r="G1801" s="405" t="s">
        <v>1266</v>
      </c>
      <c r="H1801" s="391">
        <v>3471</v>
      </c>
      <c r="I1801" s="402" t="s">
        <v>1</v>
      </c>
      <c r="J1801" s="391" t="s">
        <v>74</v>
      </c>
      <c r="K1801" s="403">
        <v>41201</v>
      </c>
      <c r="L1801" s="398">
        <v>41197</v>
      </c>
      <c r="M1801" s="402">
        <f t="shared" si="98"/>
        <v>4</v>
      </c>
      <c r="N1801" s="402" t="s">
        <v>2</v>
      </c>
      <c r="O1801" s="404">
        <f>1.5/2</f>
        <v>0.75</v>
      </c>
      <c r="P1801" s="402">
        <v>6.67</v>
      </c>
      <c r="Q1801" s="404">
        <v>5.27</v>
      </c>
      <c r="R1801" s="402">
        <f>10/2</f>
        <v>5</v>
      </c>
      <c r="S1801" s="404">
        <f>5/2</f>
        <v>2.5</v>
      </c>
      <c r="T1801" s="402">
        <f>0.01/2</f>
        <v>5.0000000000000001E-3</v>
      </c>
      <c r="U1801" s="395">
        <v>0.21</v>
      </c>
      <c r="V1801" s="402">
        <v>0.11</v>
      </c>
      <c r="W1801" s="404">
        <f>0.005/2</f>
        <v>2.5000000000000001E-3</v>
      </c>
      <c r="X1801" s="402">
        <v>4.3999999999999997E-2</v>
      </c>
      <c r="Y1801" s="404">
        <v>4.0000000000000001E-3</v>
      </c>
      <c r="Z1801" s="399">
        <v>0.70699999999999996</v>
      </c>
      <c r="AA1801" s="399">
        <v>0.70699999999999996</v>
      </c>
      <c r="AB1801" s="394">
        <f>2/2</f>
        <v>1</v>
      </c>
      <c r="AC1801" s="402">
        <v>15</v>
      </c>
      <c r="AD1801" s="399">
        <v>0</v>
      </c>
      <c r="AE1801" s="402"/>
      <c r="AF1801" s="391"/>
      <c r="AG1801" s="394"/>
      <c r="AH1801" s="394"/>
      <c r="AI1801" s="394"/>
      <c r="AJ1801" s="394"/>
      <c r="AK1801" s="394"/>
      <c r="AL1801" s="394"/>
      <c r="AM1801" s="394"/>
      <c r="AN1801" s="394"/>
      <c r="AO1801" s="394"/>
      <c r="AP1801" s="394"/>
      <c r="AQ1801" s="394"/>
      <c r="AR1801" s="394"/>
      <c r="AS1801" s="402"/>
      <c r="AT1801" s="404"/>
      <c r="AU1801" s="394"/>
      <c r="AV1801" s="394"/>
      <c r="AW1801" s="394"/>
      <c r="AX1801" s="5"/>
      <c r="AY1801" s="5"/>
      <c r="AZ1801" s="5"/>
      <c r="BA1801" s="5"/>
      <c r="BB1801" s="5"/>
      <c r="BC1801" s="5"/>
      <c r="BD1801" s="5"/>
      <c r="BE1801" s="5"/>
      <c r="BF1801" s="5"/>
      <c r="BG1801" s="5"/>
      <c r="BH1801" s="5"/>
      <c r="BI1801" s="5"/>
      <c r="BJ1801" s="5"/>
      <c r="BK1801" s="5"/>
      <c r="BL1801" s="5"/>
      <c r="BM1801" s="5"/>
      <c r="BN1801" s="5"/>
      <c r="BO1801" s="5"/>
      <c r="BP1801" s="5"/>
      <c r="BQ1801" s="5"/>
      <c r="BR1801" s="5"/>
      <c r="BS1801" s="5"/>
      <c r="BT1801" s="5"/>
      <c r="BU1801" s="5"/>
      <c r="BV1801" s="5"/>
      <c r="BW1801" s="5"/>
      <c r="BX1801" s="5"/>
      <c r="BY1801" s="5"/>
      <c r="BZ1801" s="5"/>
      <c r="CA1801" s="5"/>
    </row>
    <row r="1802" spans="1:79" s="400" customFormat="1" ht="15" customHeight="1">
      <c r="A1802" s="404" t="s">
        <v>183</v>
      </c>
      <c r="B1802" s="402" t="s">
        <v>1264</v>
      </c>
      <c r="C1802" s="113" t="s">
        <v>1264</v>
      </c>
      <c r="D1802" s="393" t="s">
        <v>347</v>
      </c>
      <c r="E1802" s="394" t="s">
        <v>1265</v>
      </c>
      <c r="F1802" s="402"/>
      <c r="G1802" s="405" t="s">
        <v>1266</v>
      </c>
      <c r="H1802" s="391">
        <v>3471</v>
      </c>
      <c r="I1802" s="402" t="s">
        <v>1</v>
      </c>
      <c r="J1802" s="391" t="s">
        <v>75</v>
      </c>
      <c r="K1802" s="403">
        <v>41201</v>
      </c>
      <c r="L1802" s="398">
        <v>41197</v>
      </c>
      <c r="M1802" s="402">
        <f t="shared" si="98"/>
        <v>4</v>
      </c>
      <c r="N1802" s="402" t="s">
        <v>2</v>
      </c>
      <c r="O1802" s="404">
        <f>1.5/2</f>
        <v>0.75</v>
      </c>
      <c r="P1802" s="402">
        <v>6.67</v>
      </c>
      <c r="Q1802" s="404">
        <v>2.16</v>
      </c>
      <c r="R1802" s="402">
        <v>25</v>
      </c>
      <c r="S1802" s="404">
        <f>5/2</f>
        <v>2.5</v>
      </c>
      <c r="T1802" s="402">
        <f>0.01/2</f>
        <v>5.0000000000000001E-3</v>
      </c>
      <c r="U1802" s="395">
        <v>0.41</v>
      </c>
      <c r="V1802" s="402">
        <v>0.09</v>
      </c>
      <c r="W1802" s="404">
        <f>0.005/2</f>
        <v>2.5000000000000001E-3</v>
      </c>
      <c r="X1802" s="402">
        <v>1.6E-2</v>
      </c>
      <c r="Y1802" s="404">
        <v>6.0000000000000001E-3</v>
      </c>
      <c r="Z1802" s="399">
        <v>0.70699999999999996</v>
      </c>
      <c r="AA1802" s="399">
        <v>0.68300000000000005</v>
      </c>
      <c r="AB1802" s="394">
        <v>2</v>
      </c>
      <c r="AC1802" s="402">
        <v>13</v>
      </c>
      <c r="AD1802" s="399">
        <v>0</v>
      </c>
      <c r="AE1802" s="402"/>
      <c r="AF1802" s="391"/>
      <c r="AG1802" s="394"/>
      <c r="AH1802" s="394"/>
      <c r="AI1802" s="394"/>
      <c r="AJ1802" s="394"/>
      <c r="AK1802" s="394"/>
      <c r="AL1802" s="394"/>
      <c r="AM1802" s="394"/>
      <c r="AN1802" s="394"/>
      <c r="AO1802" s="394"/>
      <c r="AP1802" s="394"/>
      <c r="AQ1802" s="394"/>
      <c r="AR1802" s="394"/>
      <c r="AS1802" s="402"/>
      <c r="AT1802" s="404"/>
      <c r="AU1802" s="394"/>
      <c r="AV1802" s="394"/>
      <c r="AW1802" s="394"/>
      <c r="AX1802" s="5"/>
      <c r="AY1802" s="5"/>
      <c r="AZ1802" s="5"/>
      <c r="BA1802" s="5"/>
      <c r="BB1802" s="5"/>
      <c r="BC1802" s="5"/>
      <c r="BD1802" s="5"/>
      <c r="BE1802" s="5"/>
      <c r="BF1802" s="5"/>
      <c r="BG1802" s="5"/>
      <c r="BH1802" s="5"/>
      <c r="BI1802" s="5"/>
      <c r="BJ1802" s="5"/>
      <c r="BK1802" s="5"/>
      <c r="BL1802" s="5"/>
      <c r="BM1802" s="5"/>
      <c r="BN1802" s="5"/>
      <c r="BO1802" s="5"/>
      <c r="BP1802" s="5"/>
      <c r="BQ1802" s="5"/>
      <c r="BR1802" s="5"/>
      <c r="BS1802" s="5"/>
      <c r="BT1802" s="5"/>
      <c r="BU1802" s="5"/>
      <c r="BV1802" s="5"/>
      <c r="BW1802" s="5"/>
      <c r="BX1802" s="5"/>
      <c r="BY1802" s="5"/>
      <c r="BZ1802" s="5"/>
      <c r="CA1802" s="5"/>
    </row>
    <row r="1803" spans="1:79" ht="15" customHeight="1">
      <c r="A1803" s="41" t="s">
        <v>183</v>
      </c>
      <c r="B1803" s="402" t="s">
        <v>48</v>
      </c>
      <c r="C1803" s="113" t="s">
        <v>48</v>
      </c>
      <c r="D1803" s="393">
        <v>146</v>
      </c>
      <c r="E1803" s="394" t="s">
        <v>49</v>
      </c>
      <c r="G1803" s="405" t="s">
        <v>50</v>
      </c>
      <c r="H1803" s="49">
        <v>3471</v>
      </c>
      <c r="I1803" s="52" t="s">
        <v>1</v>
      </c>
      <c r="J1803" s="339" t="s">
        <v>54</v>
      </c>
      <c r="K1803" s="51">
        <v>41072</v>
      </c>
      <c r="L1803" s="173">
        <v>41066</v>
      </c>
      <c r="M1803" s="50">
        <f t="shared" si="98"/>
        <v>6</v>
      </c>
      <c r="N1803" s="50" t="s">
        <v>2</v>
      </c>
      <c r="O1803" s="74">
        <f>1/2</f>
        <v>0.5</v>
      </c>
      <c r="P1803" s="50">
        <v>5.03</v>
      </c>
      <c r="Q1803" s="74">
        <v>6.06</v>
      </c>
      <c r="R1803" s="50">
        <v>15</v>
      </c>
      <c r="S1803" s="74">
        <v>90</v>
      </c>
      <c r="T1803" s="50">
        <v>0.55000000000000004</v>
      </c>
      <c r="U1803" s="131">
        <v>2.16</v>
      </c>
      <c r="V1803" s="50">
        <v>0.32</v>
      </c>
      <c r="W1803" s="74">
        <v>1.7000000000000001E-2</v>
      </c>
      <c r="X1803" s="50">
        <v>5.6000000000000001E-2</v>
      </c>
      <c r="Y1803" s="74">
        <v>4.0000000000000001E-3</v>
      </c>
      <c r="Z1803" s="271">
        <v>1</v>
      </c>
      <c r="AA1803" s="271">
        <v>1</v>
      </c>
      <c r="AB1803" s="114">
        <v>10.54</v>
      </c>
      <c r="AC1803" s="50">
        <v>170</v>
      </c>
      <c r="AD1803" s="271">
        <v>1</v>
      </c>
    </row>
    <row r="1804" spans="1:79" ht="15" customHeight="1">
      <c r="A1804" s="41" t="s">
        <v>183</v>
      </c>
      <c r="B1804" s="402" t="s">
        <v>48</v>
      </c>
      <c r="C1804" s="113" t="s">
        <v>48</v>
      </c>
      <c r="D1804" s="393">
        <v>146</v>
      </c>
      <c r="E1804" s="394" t="s">
        <v>49</v>
      </c>
      <c r="G1804" s="405" t="s">
        <v>50</v>
      </c>
      <c r="H1804" s="49">
        <v>3471</v>
      </c>
      <c r="I1804" s="52" t="s">
        <v>1</v>
      </c>
      <c r="J1804" s="76" t="s">
        <v>53</v>
      </c>
      <c r="K1804" s="51">
        <v>41072</v>
      </c>
      <c r="L1804" s="173">
        <v>41066</v>
      </c>
      <c r="M1804" s="50">
        <f t="shared" si="98"/>
        <v>6</v>
      </c>
      <c r="N1804" s="50" t="s">
        <v>2</v>
      </c>
      <c r="O1804" s="74">
        <v>1.2</v>
      </c>
      <c r="P1804" s="50">
        <v>5.03</v>
      </c>
      <c r="Q1804" s="74">
        <v>4.24</v>
      </c>
      <c r="R1804" s="50">
        <v>58.5</v>
      </c>
      <c r="S1804" s="74">
        <v>4</v>
      </c>
      <c r="T1804" s="50">
        <v>0.36</v>
      </c>
      <c r="U1804" s="131">
        <v>2.99</v>
      </c>
      <c r="V1804" s="50">
        <v>2.2400000000000002</v>
      </c>
      <c r="W1804" s="74">
        <v>7.2999999999999995E-2</v>
      </c>
      <c r="X1804" s="50">
        <v>6.5000000000000002E-2</v>
      </c>
      <c r="Y1804" s="74">
        <v>7.0000000000000001E-3</v>
      </c>
      <c r="Z1804" s="271">
        <v>0.70699999999999996</v>
      </c>
      <c r="AA1804" s="271">
        <v>0.70699999999999996</v>
      </c>
    </row>
    <row r="1805" spans="1:79" ht="15" customHeight="1">
      <c r="A1805" s="41" t="s">
        <v>183</v>
      </c>
      <c r="B1805" s="402" t="s">
        <v>48</v>
      </c>
      <c r="C1805" s="113" t="s">
        <v>48</v>
      </c>
      <c r="D1805" s="393">
        <v>146</v>
      </c>
      <c r="E1805" s="394" t="s">
        <v>49</v>
      </c>
      <c r="G1805" s="405" t="s">
        <v>50</v>
      </c>
      <c r="H1805" s="49">
        <v>3471</v>
      </c>
      <c r="I1805" s="52" t="s">
        <v>1</v>
      </c>
      <c r="J1805" s="76" t="s">
        <v>52</v>
      </c>
      <c r="K1805" s="51">
        <v>41072</v>
      </c>
      <c r="L1805" s="173">
        <v>41066</v>
      </c>
      <c r="M1805" s="50">
        <f t="shared" si="98"/>
        <v>6</v>
      </c>
      <c r="N1805" s="50" t="s">
        <v>2</v>
      </c>
      <c r="O1805" s="74">
        <v>1.2</v>
      </c>
      <c r="P1805" s="50">
        <v>5.03</v>
      </c>
      <c r="Q1805" s="74">
        <v>5.82</v>
      </c>
      <c r="R1805" s="50">
        <v>47.3</v>
      </c>
      <c r="S1805" s="74">
        <v>35</v>
      </c>
      <c r="T1805" s="50">
        <v>2.94</v>
      </c>
      <c r="U1805" s="131">
        <v>3.86</v>
      </c>
      <c r="V1805" s="50">
        <v>0.91</v>
      </c>
      <c r="W1805" s="74">
        <v>3.3000000000000002E-2</v>
      </c>
      <c r="X1805" s="50">
        <v>0.106</v>
      </c>
      <c r="Y1805" s="74">
        <v>1.0999999999999999E-2</v>
      </c>
      <c r="Z1805" s="271">
        <v>1</v>
      </c>
      <c r="AA1805" s="271">
        <v>1</v>
      </c>
      <c r="AC1805" s="50">
        <v>135</v>
      </c>
      <c r="AD1805" s="271">
        <v>1</v>
      </c>
    </row>
    <row r="1806" spans="1:79" ht="15" customHeight="1">
      <c r="A1806" s="41" t="s">
        <v>183</v>
      </c>
      <c r="B1806" s="402" t="s">
        <v>48</v>
      </c>
      <c r="C1806" s="113" t="s">
        <v>48</v>
      </c>
      <c r="D1806" s="393">
        <v>146</v>
      </c>
      <c r="E1806" s="394" t="s">
        <v>49</v>
      </c>
      <c r="G1806" s="405" t="s">
        <v>50</v>
      </c>
      <c r="H1806" s="49">
        <v>3471</v>
      </c>
      <c r="I1806" s="52" t="s">
        <v>1</v>
      </c>
      <c r="J1806" s="76" t="s">
        <v>52</v>
      </c>
      <c r="K1806" s="51">
        <v>41270</v>
      </c>
      <c r="L1806" s="173">
        <v>41264</v>
      </c>
      <c r="M1806" s="50">
        <f t="shared" si="98"/>
        <v>6</v>
      </c>
      <c r="N1806" s="50" t="s">
        <v>1</v>
      </c>
      <c r="O1806" s="74">
        <v>1.2</v>
      </c>
      <c r="Q1806" s="74">
        <v>6.41</v>
      </c>
      <c r="R1806" s="50">
        <v>11.3</v>
      </c>
      <c r="S1806" s="74">
        <v>8</v>
      </c>
      <c r="T1806" s="50">
        <v>0.1</v>
      </c>
      <c r="U1806" s="131">
        <v>1</v>
      </c>
      <c r="V1806" s="50">
        <f>0.1/2</f>
        <v>0.05</v>
      </c>
      <c r="W1806" s="74">
        <f>0.005/2</f>
        <v>2.5000000000000001E-3</v>
      </c>
      <c r="X1806" s="50">
        <v>2.5000000000000001E-2</v>
      </c>
      <c r="Y1806" s="74">
        <v>3.0000000000000001E-3</v>
      </c>
      <c r="Z1806" s="271">
        <v>1</v>
      </c>
      <c r="AA1806" s="271">
        <v>1</v>
      </c>
      <c r="AB1806" s="114">
        <v>3.4</v>
      </c>
      <c r="AC1806" s="50">
        <v>13</v>
      </c>
      <c r="AD1806" s="271">
        <v>0.8</v>
      </c>
    </row>
    <row r="1807" spans="1:79" ht="15" customHeight="1">
      <c r="A1807" s="41" t="s">
        <v>183</v>
      </c>
      <c r="B1807" s="402" t="s">
        <v>48</v>
      </c>
      <c r="C1807" s="113" t="s">
        <v>48</v>
      </c>
      <c r="D1807" s="393">
        <v>146</v>
      </c>
      <c r="E1807" s="394" t="s">
        <v>49</v>
      </c>
      <c r="G1807" s="405" t="s">
        <v>50</v>
      </c>
      <c r="H1807" s="49">
        <v>3471</v>
      </c>
      <c r="I1807" s="52" t="s">
        <v>1</v>
      </c>
      <c r="J1807" s="339" t="s">
        <v>53</v>
      </c>
      <c r="K1807" s="51">
        <v>41270</v>
      </c>
      <c r="L1807" s="173">
        <v>41264</v>
      </c>
      <c r="M1807" s="50">
        <f t="shared" si="98"/>
        <v>6</v>
      </c>
      <c r="N1807" s="50" t="s">
        <v>1</v>
      </c>
      <c r="O1807" s="74">
        <v>1.2</v>
      </c>
      <c r="P1807" s="50">
        <v>6.17</v>
      </c>
      <c r="Q1807" s="74">
        <v>5.94</v>
      </c>
      <c r="R1807" s="50">
        <v>7.5</v>
      </c>
      <c r="S1807" s="74">
        <f>1/2</f>
        <v>0.5</v>
      </c>
      <c r="T1807" s="50">
        <v>0.08</v>
      </c>
      <c r="U1807" s="131">
        <v>0.7</v>
      </c>
      <c r="V1807" s="50">
        <f>0.1/2</f>
        <v>0.05</v>
      </c>
      <c r="W1807" s="74">
        <v>1.4999999999999999E-2</v>
      </c>
      <c r="X1807" s="50">
        <v>2.9000000000000001E-2</v>
      </c>
      <c r="Y1807" s="74">
        <v>2E-3</v>
      </c>
      <c r="Z1807" s="271">
        <v>0.51800000000000002</v>
      </c>
      <c r="AA1807" s="271">
        <v>0.379</v>
      </c>
      <c r="AB1807" s="114">
        <f>1/2</f>
        <v>0.5</v>
      </c>
      <c r="AC1807" s="50">
        <v>10</v>
      </c>
      <c r="AD1807" s="271">
        <v>0</v>
      </c>
    </row>
    <row r="1808" spans="1:79" ht="15" customHeight="1">
      <c r="A1808" s="41" t="s">
        <v>183</v>
      </c>
      <c r="B1808" s="402" t="s">
        <v>48</v>
      </c>
      <c r="C1808" s="113" t="s">
        <v>48</v>
      </c>
      <c r="D1808" s="393">
        <v>146</v>
      </c>
      <c r="E1808" s="394" t="s">
        <v>49</v>
      </c>
      <c r="G1808" s="405" t="s">
        <v>50</v>
      </c>
      <c r="H1808" s="49">
        <v>3471</v>
      </c>
      <c r="I1808" s="52" t="s">
        <v>1</v>
      </c>
      <c r="J1808" s="76" t="s">
        <v>54</v>
      </c>
      <c r="K1808" s="51">
        <v>41270</v>
      </c>
      <c r="L1808" s="173">
        <v>41264</v>
      </c>
      <c r="M1808" s="50">
        <f t="shared" si="98"/>
        <v>6</v>
      </c>
      <c r="N1808" s="50" t="s">
        <v>1</v>
      </c>
      <c r="O1808" s="74">
        <f>1/2</f>
        <v>0.5</v>
      </c>
      <c r="P1808" s="50">
        <v>6.71</v>
      </c>
      <c r="Q1808" s="74">
        <v>7.23</v>
      </c>
      <c r="R1808" s="50">
        <v>11.3</v>
      </c>
      <c r="S1808" s="74">
        <v>10</v>
      </c>
      <c r="T1808" s="50">
        <v>0.09</v>
      </c>
      <c r="U1808" s="131">
        <v>0.72</v>
      </c>
      <c r="V1808" s="50">
        <f>0.1/2</f>
        <v>0.05</v>
      </c>
      <c r="W1808" s="74">
        <v>7.0000000000000001E-3</v>
      </c>
      <c r="X1808" s="50">
        <v>4.1000000000000002E-2</v>
      </c>
      <c r="Y1808" s="74">
        <v>1.0999999999999999E-2</v>
      </c>
      <c r="Z1808" s="271">
        <v>1</v>
      </c>
      <c r="AA1808" s="271">
        <v>1</v>
      </c>
      <c r="AB1808" s="114">
        <v>7.11</v>
      </c>
      <c r="AC1808" s="50">
        <v>20</v>
      </c>
      <c r="AD1808" s="271">
        <v>0.95</v>
      </c>
    </row>
    <row r="1809" spans="1:43" ht="15" customHeight="1">
      <c r="A1809" s="41" t="s">
        <v>183</v>
      </c>
      <c r="B1809" s="402" t="s">
        <v>48</v>
      </c>
      <c r="C1809" s="113" t="s">
        <v>48</v>
      </c>
      <c r="D1809" s="393">
        <v>146</v>
      </c>
      <c r="E1809" s="394" t="s">
        <v>49</v>
      </c>
      <c r="G1809" s="405" t="s">
        <v>50</v>
      </c>
      <c r="H1809" s="49">
        <v>3471</v>
      </c>
      <c r="I1809" s="52" t="s">
        <v>1</v>
      </c>
      <c r="J1809" s="76" t="s">
        <v>52</v>
      </c>
      <c r="K1809" s="51">
        <v>41512</v>
      </c>
      <c r="L1809" s="173">
        <v>41509</v>
      </c>
      <c r="M1809" s="50">
        <f t="shared" si="98"/>
        <v>3</v>
      </c>
      <c r="N1809" s="50" t="s">
        <v>2</v>
      </c>
      <c r="O1809" s="74">
        <v>2</v>
      </c>
      <c r="P1809" s="50">
        <v>4.3</v>
      </c>
      <c r="Q1809" s="74">
        <v>6.07</v>
      </c>
      <c r="R1809" s="50">
        <v>38.4</v>
      </c>
      <c r="S1809" s="74">
        <v>1</v>
      </c>
      <c r="T1809" s="50">
        <v>0.5</v>
      </c>
      <c r="U1809" s="131">
        <v>2.54</v>
      </c>
      <c r="V1809" s="50">
        <v>0.9</v>
      </c>
      <c r="W1809" s="74">
        <v>2.1000000000000001E-2</v>
      </c>
      <c r="X1809" s="50">
        <v>5.2999999999999999E-2</v>
      </c>
      <c r="Y1809" s="74">
        <v>4.0000000000000001E-3</v>
      </c>
    </row>
    <row r="1810" spans="1:43" ht="15" customHeight="1">
      <c r="A1810" s="41" t="s">
        <v>183</v>
      </c>
      <c r="B1810" s="402" t="s">
        <v>48</v>
      </c>
      <c r="C1810" s="113" t="s">
        <v>48</v>
      </c>
      <c r="D1810" s="393">
        <v>146</v>
      </c>
      <c r="E1810" s="394" t="s">
        <v>49</v>
      </c>
      <c r="G1810" s="405" t="s">
        <v>50</v>
      </c>
      <c r="H1810" s="49">
        <v>3471</v>
      </c>
      <c r="I1810" s="52" t="s">
        <v>1</v>
      </c>
      <c r="J1810" s="339" t="s">
        <v>53</v>
      </c>
      <c r="K1810" s="51">
        <v>41512</v>
      </c>
      <c r="L1810" s="173">
        <v>41509</v>
      </c>
      <c r="M1810" s="50">
        <f t="shared" si="98"/>
        <v>3</v>
      </c>
      <c r="N1810" s="50" t="s">
        <v>2</v>
      </c>
      <c r="O1810" s="74">
        <v>1.6</v>
      </c>
      <c r="P1810" s="50">
        <v>4.3</v>
      </c>
      <c r="Q1810" s="74">
        <v>4.41</v>
      </c>
      <c r="R1810" s="50">
        <v>47.3</v>
      </c>
      <c r="S1810" s="74">
        <f>1/2</f>
        <v>0.5</v>
      </c>
      <c r="T1810" s="50">
        <v>0.22</v>
      </c>
      <c r="U1810" s="131">
        <v>2.96</v>
      </c>
      <c r="V1810" s="50">
        <v>1.58</v>
      </c>
      <c r="W1810" s="74">
        <v>9.5000000000000001E-2</v>
      </c>
      <c r="X1810" s="50">
        <v>0.129</v>
      </c>
      <c r="Y1810" s="74">
        <v>1.0999999999999999E-2</v>
      </c>
    </row>
    <row r="1811" spans="1:43" ht="15" customHeight="1">
      <c r="A1811" s="41" t="s">
        <v>183</v>
      </c>
      <c r="B1811" s="402" t="s">
        <v>48</v>
      </c>
      <c r="C1811" s="113" t="s">
        <v>48</v>
      </c>
      <c r="D1811" s="393">
        <v>146</v>
      </c>
      <c r="E1811" s="394" t="s">
        <v>49</v>
      </c>
      <c r="G1811" s="405" t="s">
        <v>50</v>
      </c>
      <c r="H1811" s="49">
        <v>3471</v>
      </c>
      <c r="I1811" s="52" t="s">
        <v>1</v>
      </c>
      <c r="J1811" s="76" t="s">
        <v>54</v>
      </c>
      <c r="K1811" s="51">
        <v>41512</v>
      </c>
      <c r="L1811" s="173">
        <v>41509</v>
      </c>
      <c r="M1811" s="50">
        <f t="shared" si="98"/>
        <v>3</v>
      </c>
      <c r="N1811" s="50" t="s">
        <v>2</v>
      </c>
      <c r="O1811" s="74">
        <v>1.6</v>
      </c>
      <c r="P1811" s="50">
        <v>4.3</v>
      </c>
      <c r="Q1811" s="74">
        <v>6.09</v>
      </c>
      <c r="R1811" s="50">
        <v>22.2</v>
      </c>
      <c r="S1811" s="74">
        <v>1</v>
      </c>
      <c r="T1811" s="50">
        <v>0.26</v>
      </c>
      <c r="U1811" s="131">
        <v>3.8</v>
      </c>
      <c r="V1811" s="50">
        <v>0.7</v>
      </c>
      <c r="W1811" s="74">
        <v>3.3000000000000002E-2</v>
      </c>
      <c r="X1811" s="50">
        <v>8.5999999999999993E-2</v>
      </c>
      <c r="Y1811" s="74">
        <v>3.0000000000000001E-3</v>
      </c>
    </row>
    <row r="1812" spans="1:43" ht="15" customHeight="1">
      <c r="A1812" s="41" t="s">
        <v>183</v>
      </c>
      <c r="B1812" s="402" t="s">
        <v>3927</v>
      </c>
      <c r="C1812" s="113" t="s">
        <v>4753</v>
      </c>
      <c r="D1812" s="393" t="s">
        <v>56</v>
      </c>
      <c r="E1812" s="394" t="s">
        <v>95</v>
      </c>
      <c r="G1812" s="405" t="s">
        <v>3928</v>
      </c>
      <c r="H1812" s="74">
        <v>4952</v>
      </c>
      <c r="I1812" s="50" t="s">
        <v>1</v>
      </c>
      <c r="J1812" s="74" t="s">
        <v>5087</v>
      </c>
      <c r="K1812" s="51">
        <v>41197</v>
      </c>
      <c r="L1812" s="173">
        <v>41192</v>
      </c>
      <c r="M1812" s="50">
        <f t="shared" si="98"/>
        <v>5</v>
      </c>
      <c r="N1812" s="50" t="s">
        <v>2</v>
      </c>
      <c r="O1812" s="74">
        <f>5/2</f>
        <v>2.5</v>
      </c>
      <c r="P1812" s="50">
        <v>7.98</v>
      </c>
      <c r="Q1812" s="74">
        <v>6.53</v>
      </c>
      <c r="R1812" s="50">
        <v>61</v>
      </c>
      <c r="S1812" s="74">
        <v>50</v>
      </c>
      <c r="T1812" s="50">
        <v>0.38</v>
      </c>
      <c r="U1812" s="131">
        <f>0.5/2</f>
        <v>0.25</v>
      </c>
      <c r="V1812" s="50">
        <v>0.98</v>
      </c>
      <c r="W1812" s="74">
        <v>1.7000000000000001E-2</v>
      </c>
      <c r="X1812" s="50">
        <v>0.13</v>
      </c>
      <c r="Y1812" s="74">
        <v>7.0000000000000001E-3</v>
      </c>
    </row>
    <row r="1813" spans="1:43" ht="15" customHeight="1">
      <c r="A1813" s="41" t="s">
        <v>183</v>
      </c>
      <c r="B1813" s="402" t="s">
        <v>3927</v>
      </c>
      <c r="C1813" s="113" t="s">
        <v>4753</v>
      </c>
      <c r="D1813" s="393" t="s">
        <v>56</v>
      </c>
      <c r="E1813" s="394" t="s">
        <v>95</v>
      </c>
      <c r="G1813" s="405" t="s">
        <v>3928</v>
      </c>
      <c r="H1813" s="74">
        <v>4952</v>
      </c>
      <c r="I1813" s="50" t="s">
        <v>1</v>
      </c>
      <c r="J1813" s="74" t="s">
        <v>3930</v>
      </c>
      <c r="K1813" s="51">
        <v>41197</v>
      </c>
      <c r="L1813" s="173">
        <v>41192</v>
      </c>
      <c r="M1813" s="50">
        <f t="shared" si="98"/>
        <v>5</v>
      </c>
      <c r="N1813" s="50" t="s">
        <v>2</v>
      </c>
      <c r="O1813" s="74">
        <f>5/2</f>
        <v>2.5</v>
      </c>
      <c r="P1813" s="50">
        <v>4.9800000000000004</v>
      </c>
      <c r="Q1813" s="74">
        <v>6.09</v>
      </c>
      <c r="R1813" s="50">
        <v>285</v>
      </c>
      <c r="S1813" s="74">
        <v>354</v>
      </c>
      <c r="T1813" s="50">
        <v>1.19</v>
      </c>
      <c r="U1813" s="131">
        <v>1.79</v>
      </c>
      <c r="V1813" s="50">
        <v>0.79</v>
      </c>
      <c r="W1813" s="74">
        <v>5.5E-2</v>
      </c>
      <c r="X1813" s="50">
        <v>0.39</v>
      </c>
      <c r="Y1813" s="74">
        <v>5.7000000000000002E-2</v>
      </c>
    </row>
    <row r="1814" spans="1:43" ht="15" customHeight="1">
      <c r="A1814" s="41" t="s">
        <v>183</v>
      </c>
      <c r="B1814" s="402" t="s">
        <v>1415</v>
      </c>
      <c r="C1814" s="113" t="s">
        <v>1416</v>
      </c>
      <c r="D1814" s="393" t="s">
        <v>78</v>
      </c>
      <c r="E1814" s="394" t="s">
        <v>1417</v>
      </c>
      <c r="G1814" s="405" t="s">
        <v>1418</v>
      </c>
      <c r="H1814" s="74">
        <v>3272</v>
      </c>
      <c r="I1814" s="50" t="s">
        <v>2</v>
      </c>
      <c r="J1814" s="74" t="s">
        <v>130</v>
      </c>
      <c r="K1814" s="51">
        <v>41105</v>
      </c>
      <c r="L1814" s="173">
        <v>41085</v>
      </c>
      <c r="M1814" s="50">
        <f t="shared" si="98"/>
        <v>20</v>
      </c>
      <c r="N1814" s="50" t="s">
        <v>2</v>
      </c>
      <c r="O1814" s="74">
        <f>5/2</f>
        <v>2.5</v>
      </c>
      <c r="P1814" s="50">
        <v>5.9</v>
      </c>
      <c r="Q1814" s="74">
        <v>7.9</v>
      </c>
      <c r="R1814" s="50">
        <v>10</v>
      </c>
      <c r="S1814" s="74">
        <f>5/2</f>
        <v>2.5</v>
      </c>
      <c r="T1814" s="50">
        <f>0.1/2</f>
        <v>0.05</v>
      </c>
      <c r="U1814" s="131">
        <f>1/2</f>
        <v>0.5</v>
      </c>
      <c r="V1814" s="50">
        <v>1.8</v>
      </c>
      <c r="W1814" s="74">
        <f>0.04/2</f>
        <v>0.02</v>
      </c>
      <c r="X1814" s="50">
        <f>0.02/2</f>
        <v>0.01</v>
      </c>
      <c r="Y1814" s="74">
        <f>0.013/2</f>
        <v>6.4999999999999997E-3</v>
      </c>
    </row>
    <row r="1815" spans="1:43" ht="15" customHeight="1">
      <c r="A1815" s="41" t="s">
        <v>183</v>
      </c>
      <c r="B1815" s="402" t="s">
        <v>1074</v>
      </c>
      <c r="D1815" s="393" t="s">
        <v>2375</v>
      </c>
      <c r="G1815" s="405" t="s">
        <v>1075</v>
      </c>
      <c r="H1815" s="74">
        <v>3479</v>
      </c>
      <c r="I1815" s="50" t="s">
        <v>2</v>
      </c>
      <c r="J1815" s="74" t="s">
        <v>1076</v>
      </c>
      <c r="K1815" s="51">
        <v>41345</v>
      </c>
      <c r="L1815" s="173">
        <v>41332</v>
      </c>
      <c r="M1815" s="50">
        <f t="shared" si="98"/>
        <v>13</v>
      </c>
      <c r="N1815" s="50" t="s">
        <v>1</v>
      </c>
      <c r="O1815" s="74">
        <f>1.8/2</f>
        <v>0.9</v>
      </c>
      <c r="P1815" s="50">
        <v>6</v>
      </c>
      <c r="Q1815" s="74">
        <v>7</v>
      </c>
      <c r="R1815" s="50">
        <v>32</v>
      </c>
      <c r="S1815" s="74">
        <v>24.4</v>
      </c>
      <c r="T1815" s="50">
        <v>0.12</v>
      </c>
      <c r="U1815" s="131">
        <v>1.7</v>
      </c>
      <c r="V1815" s="50">
        <f>0.46/2</f>
        <v>0.23</v>
      </c>
      <c r="W1815" s="74">
        <v>8.0000000000000002E-3</v>
      </c>
      <c r="X1815" s="50">
        <v>0.13700000000000001</v>
      </c>
      <c r="Y1815" s="74">
        <f>0.005/2</f>
        <v>2.5000000000000001E-3</v>
      </c>
      <c r="Z1815" s="271">
        <v>1</v>
      </c>
      <c r="AA1815" s="271">
        <v>1</v>
      </c>
      <c r="AB1815" s="114">
        <v>20</v>
      </c>
      <c r="AC1815" s="50">
        <v>267</v>
      </c>
      <c r="AD1815" s="271">
        <v>1</v>
      </c>
    </row>
    <row r="1816" spans="1:43" ht="15" customHeight="1">
      <c r="A1816" s="41" t="s">
        <v>183</v>
      </c>
      <c r="B1816" s="402" t="s">
        <v>5088</v>
      </c>
      <c r="D1816" s="393" t="s">
        <v>338</v>
      </c>
      <c r="E1816" s="394" t="s">
        <v>5089</v>
      </c>
      <c r="G1816" s="405" t="s">
        <v>5090</v>
      </c>
      <c r="H1816" s="74">
        <v>3469</v>
      </c>
      <c r="I1816" s="50" t="s">
        <v>2</v>
      </c>
      <c r="J1816" s="74" t="s">
        <v>5091</v>
      </c>
      <c r="K1816" s="51">
        <v>40996</v>
      </c>
      <c r="L1816" s="173">
        <v>40977</v>
      </c>
      <c r="M1816" s="50">
        <f t="shared" si="98"/>
        <v>19</v>
      </c>
      <c r="N1816" s="50" t="s">
        <v>2</v>
      </c>
      <c r="O1816" s="74">
        <v>2.9</v>
      </c>
      <c r="P1816" s="50">
        <v>5.5</v>
      </c>
      <c r="Q1816" s="74">
        <v>10</v>
      </c>
      <c r="R1816" s="50">
        <v>240</v>
      </c>
      <c r="S1816" s="74">
        <v>30.7</v>
      </c>
      <c r="T1816" s="50">
        <v>1.55</v>
      </c>
      <c r="U1816" s="131">
        <v>14</v>
      </c>
      <c r="V1816" s="50">
        <v>0.93</v>
      </c>
      <c r="W1816" s="74">
        <v>0.06</v>
      </c>
      <c r="X1816" s="50">
        <v>0.28199999999999997</v>
      </c>
      <c r="Y1816" s="74">
        <f>0.005/2</f>
        <v>2.5000000000000001E-3</v>
      </c>
      <c r="Z1816" s="271">
        <v>1</v>
      </c>
      <c r="AA1816" s="271">
        <v>1</v>
      </c>
      <c r="AB1816" s="114">
        <v>58</v>
      </c>
      <c r="AC1816" s="50">
        <v>652</v>
      </c>
      <c r="AD1816" s="271">
        <v>0.6</v>
      </c>
    </row>
    <row r="1817" spans="1:43" ht="15" customHeight="1">
      <c r="A1817" s="41" t="s">
        <v>183</v>
      </c>
      <c r="B1817" s="402" t="s">
        <v>461</v>
      </c>
      <c r="C1817" s="113" t="s">
        <v>461</v>
      </c>
      <c r="D1817" s="393" t="s">
        <v>462</v>
      </c>
      <c r="E1817" s="394" t="s">
        <v>1838</v>
      </c>
      <c r="G1817" s="405" t="s">
        <v>464</v>
      </c>
      <c r="H1817" s="74">
        <v>2499</v>
      </c>
      <c r="I1817" s="50" t="s">
        <v>2</v>
      </c>
      <c r="J1817" s="74" t="s">
        <v>1376</v>
      </c>
      <c r="K1817" s="51">
        <v>41201</v>
      </c>
      <c r="L1817" s="173">
        <v>41197</v>
      </c>
      <c r="M1817" s="50">
        <f t="shared" si="98"/>
        <v>4</v>
      </c>
      <c r="N1817" s="50" t="s">
        <v>2</v>
      </c>
      <c r="O1817" s="74">
        <v>1.8</v>
      </c>
      <c r="P1817" s="50">
        <v>6.1</v>
      </c>
      <c r="Q1817" s="74">
        <v>6.14</v>
      </c>
      <c r="R1817" s="50">
        <v>456</v>
      </c>
      <c r="S1817" s="74">
        <v>44</v>
      </c>
      <c r="T1817" s="50">
        <v>0.11</v>
      </c>
      <c r="U1817" s="131">
        <v>1.24</v>
      </c>
      <c r="V1817" s="50">
        <v>0.09</v>
      </c>
      <c r="W1817" s="74">
        <v>1.2E-2</v>
      </c>
      <c r="X1817" s="50">
        <v>0.11799999999999999</v>
      </c>
      <c r="Y1817" s="74">
        <v>2.9000000000000001E-2</v>
      </c>
    </row>
    <row r="1818" spans="1:43" ht="15" customHeight="1">
      <c r="A1818" s="41" t="s">
        <v>183</v>
      </c>
      <c r="B1818" s="402" t="s">
        <v>4788</v>
      </c>
      <c r="C1818" s="113" t="s">
        <v>4788</v>
      </c>
      <c r="D1818" s="393" t="s">
        <v>1837</v>
      </c>
      <c r="E1818" s="394" t="s">
        <v>2087</v>
      </c>
      <c r="G1818" s="405" t="s">
        <v>4789</v>
      </c>
      <c r="H1818" s="74">
        <v>3965</v>
      </c>
      <c r="I1818" s="50" t="s">
        <v>1</v>
      </c>
      <c r="J1818" s="74" t="s">
        <v>4790</v>
      </c>
      <c r="K1818" s="51">
        <v>41201</v>
      </c>
      <c r="L1818" s="173">
        <v>41197</v>
      </c>
      <c r="M1818" s="50">
        <f t="shared" si="98"/>
        <v>4</v>
      </c>
      <c r="N1818" s="50" t="s">
        <v>1</v>
      </c>
      <c r="O1818" s="74">
        <v>1.9</v>
      </c>
      <c r="P1818" s="50">
        <v>7.6</v>
      </c>
      <c r="Q1818" s="74">
        <v>6.68</v>
      </c>
      <c r="R1818" s="50">
        <v>23</v>
      </c>
      <c r="S1818" s="74">
        <v>850</v>
      </c>
      <c r="T1818" s="50">
        <v>0.34</v>
      </c>
      <c r="U1818" s="131">
        <v>1.74</v>
      </c>
      <c r="V1818" s="50">
        <v>0.46</v>
      </c>
      <c r="W1818" s="74">
        <v>0.16200000000000001</v>
      </c>
      <c r="X1818" s="50">
        <v>0.30099999999999999</v>
      </c>
      <c r="Y1818" s="74">
        <v>4.2000000000000003E-2</v>
      </c>
    </row>
    <row r="1819" spans="1:43" ht="15" customHeight="1">
      <c r="A1819" s="41" t="s">
        <v>183</v>
      </c>
      <c r="B1819" s="402" t="s">
        <v>4788</v>
      </c>
      <c r="C1819" s="113" t="s">
        <v>4788</v>
      </c>
      <c r="D1819" s="393" t="s">
        <v>1837</v>
      </c>
      <c r="E1819" s="394" t="s">
        <v>2087</v>
      </c>
      <c r="G1819" s="405" t="s">
        <v>4789</v>
      </c>
      <c r="H1819" s="74">
        <v>3965</v>
      </c>
      <c r="I1819" s="50" t="s">
        <v>1</v>
      </c>
      <c r="J1819" s="74" t="s">
        <v>5099</v>
      </c>
      <c r="K1819" s="51">
        <v>41170</v>
      </c>
      <c r="L1819" s="173">
        <v>41161</v>
      </c>
      <c r="M1819" s="50">
        <f t="shared" si="98"/>
        <v>9</v>
      </c>
      <c r="N1819" s="50" t="s">
        <v>2</v>
      </c>
      <c r="O1819" s="74">
        <f>1.4/2</f>
        <v>0.7</v>
      </c>
      <c r="P1819" s="50">
        <v>6.27</v>
      </c>
      <c r="Q1819" s="74">
        <v>6.8</v>
      </c>
      <c r="R1819" s="50">
        <v>15</v>
      </c>
      <c r="S1819" s="74">
        <v>7</v>
      </c>
      <c r="T1819" s="50">
        <v>0.08</v>
      </c>
      <c r="U1819" s="131">
        <v>0.95</v>
      </c>
      <c r="V1819" s="50">
        <v>0.51</v>
      </c>
      <c r="W1819" s="74">
        <v>1.2999999999999999E-2</v>
      </c>
      <c r="X1819" s="50">
        <v>1.4E-2</v>
      </c>
      <c r="Y1819" s="74">
        <f>0.002/2</f>
        <v>1E-3</v>
      </c>
      <c r="Z1819" s="271">
        <v>1</v>
      </c>
      <c r="AA1819" s="271">
        <v>1</v>
      </c>
      <c r="AB1819" s="114">
        <v>4</v>
      </c>
      <c r="AC1819" s="50">
        <v>33</v>
      </c>
      <c r="AD1819" s="271">
        <v>0.7</v>
      </c>
    </row>
    <row r="1820" spans="1:43" ht="15" customHeight="1">
      <c r="A1820" s="41" t="s">
        <v>183</v>
      </c>
      <c r="B1820" s="402" t="s">
        <v>5092</v>
      </c>
      <c r="C1820" s="113" t="s">
        <v>1037</v>
      </c>
      <c r="D1820" s="393" t="s">
        <v>262</v>
      </c>
      <c r="E1820" s="394" t="s">
        <v>664</v>
      </c>
      <c r="G1820" s="405" t="s">
        <v>2697</v>
      </c>
      <c r="H1820" s="74">
        <v>9199</v>
      </c>
      <c r="I1820" s="50" t="s">
        <v>1</v>
      </c>
      <c r="J1820" s="74" t="s">
        <v>5093</v>
      </c>
      <c r="K1820" s="51">
        <v>41345</v>
      </c>
      <c r="L1820" s="173"/>
      <c r="N1820" s="50" t="s">
        <v>2</v>
      </c>
      <c r="O1820" s="74">
        <v>5.26</v>
      </c>
      <c r="P1820" s="50">
        <v>7.57</v>
      </c>
      <c r="Q1820" s="74">
        <v>7.16</v>
      </c>
      <c r="R1820" s="50">
        <v>28.3</v>
      </c>
      <c r="S1820" s="74">
        <v>11.5</v>
      </c>
      <c r="T1820" s="50">
        <v>0.4</v>
      </c>
      <c r="U1820" s="131">
        <v>15.7</v>
      </c>
      <c r="V1820" s="50">
        <v>4.08</v>
      </c>
      <c r="W1820" s="74">
        <v>0.02</v>
      </c>
      <c r="X1820" s="50">
        <v>0.02</v>
      </c>
      <c r="Y1820" s="74">
        <v>8.0000000000000002E-3</v>
      </c>
      <c r="Z1820" s="271">
        <v>0.66700000000000004</v>
      </c>
      <c r="AA1820" s="271">
        <v>0.375</v>
      </c>
      <c r="AB1820" s="114">
        <v>90</v>
      </c>
      <c r="AC1820" s="50">
        <v>7010</v>
      </c>
      <c r="AD1820" s="271">
        <v>0</v>
      </c>
      <c r="AE1820" s="50" t="s">
        <v>5094</v>
      </c>
      <c r="AG1820" s="114">
        <f>0.22/2</f>
        <v>0.11</v>
      </c>
      <c r="AI1820" s="114" t="s">
        <v>5094</v>
      </c>
      <c r="AQ1820" s="114">
        <f>10/2</f>
        <v>5</v>
      </c>
    </row>
    <row r="1821" spans="1:43" ht="15" customHeight="1">
      <c r="A1821" s="41" t="s">
        <v>183</v>
      </c>
      <c r="B1821" s="386" t="s">
        <v>362</v>
      </c>
      <c r="C1821" s="149" t="s">
        <v>363</v>
      </c>
      <c r="D1821" s="392" t="s">
        <v>205</v>
      </c>
      <c r="E1821" s="258" t="s">
        <v>364</v>
      </c>
      <c r="F1821" s="386"/>
      <c r="G1821" s="389" t="s">
        <v>365</v>
      </c>
      <c r="H1821" s="55">
        <v>4952</v>
      </c>
      <c r="I1821" s="54" t="s">
        <v>2</v>
      </c>
      <c r="J1821" s="55" t="s">
        <v>366</v>
      </c>
      <c r="K1821" s="51">
        <v>41058</v>
      </c>
      <c r="L1821" s="173"/>
      <c r="N1821" s="50" t="s">
        <v>2</v>
      </c>
      <c r="O1821" s="74">
        <v>0.74</v>
      </c>
      <c r="P1821" s="50">
        <v>4.5999999999999996</v>
      </c>
      <c r="Q1821" s="74">
        <v>7.07</v>
      </c>
      <c r="R1821" s="50">
        <v>160</v>
      </c>
      <c r="S1821" s="74">
        <v>55</v>
      </c>
      <c r="T1821" s="50">
        <v>0.05</v>
      </c>
      <c r="U1821" s="131">
        <v>4</v>
      </c>
      <c r="V1821" s="50">
        <v>1.83</v>
      </c>
      <c r="W1821" s="74">
        <v>4.1099999999999998E-2</v>
      </c>
      <c r="X1821" s="50">
        <v>3.8300000000000001E-2</v>
      </c>
      <c r="Y1821" s="74">
        <v>4.5599999999999998E-3</v>
      </c>
    </row>
    <row r="1822" spans="1:43" ht="15" customHeight="1">
      <c r="A1822" s="41" t="s">
        <v>183</v>
      </c>
      <c r="B1822" s="402" t="s">
        <v>2057</v>
      </c>
      <c r="D1822" s="393" t="s">
        <v>1759</v>
      </c>
      <c r="E1822" s="394" t="s">
        <v>2058</v>
      </c>
      <c r="G1822" s="405" t="s">
        <v>2059</v>
      </c>
      <c r="H1822" s="74">
        <v>3589</v>
      </c>
      <c r="I1822" s="50" t="s">
        <v>2</v>
      </c>
      <c r="J1822" s="74" t="s">
        <v>1119</v>
      </c>
      <c r="K1822" s="51">
        <v>41148</v>
      </c>
      <c r="L1822" s="173">
        <v>41133</v>
      </c>
      <c r="M1822" s="50">
        <f t="shared" ref="M1822:M1828" si="99">K1822-L1822</f>
        <v>15</v>
      </c>
      <c r="N1822" s="50" t="s">
        <v>2</v>
      </c>
      <c r="O1822" s="74">
        <f>1.4/2</f>
        <v>0.7</v>
      </c>
      <c r="Q1822" s="74">
        <v>4.8499999999999996</v>
      </c>
      <c r="R1822" s="50">
        <v>130</v>
      </c>
      <c r="S1822" s="74">
        <v>18</v>
      </c>
      <c r="T1822" s="50">
        <v>0.33</v>
      </c>
      <c r="U1822" s="131">
        <v>3.24</v>
      </c>
      <c r="V1822" s="50">
        <v>0.93</v>
      </c>
      <c r="W1822" s="74">
        <v>2.1000000000000001E-2</v>
      </c>
      <c r="X1822" s="50">
        <v>0.35099999999999998</v>
      </c>
      <c r="Y1822" s="74">
        <v>2E-3</v>
      </c>
    </row>
    <row r="1823" spans="1:43" ht="15" customHeight="1">
      <c r="A1823" s="41" t="s">
        <v>183</v>
      </c>
      <c r="B1823" s="402" t="s">
        <v>4379</v>
      </c>
      <c r="C1823" s="113" t="s">
        <v>4379</v>
      </c>
      <c r="D1823" s="393" t="s">
        <v>3869</v>
      </c>
      <c r="E1823" s="394" t="s">
        <v>5095</v>
      </c>
      <c r="F1823" s="402">
        <v>4204</v>
      </c>
      <c r="G1823" s="405" t="s">
        <v>4381</v>
      </c>
      <c r="H1823" s="74">
        <v>3491</v>
      </c>
      <c r="I1823" s="50" t="s">
        <v>2</v>
      </c>
      <c r="J1823" s="74" t="s">
        <v>3144</v>
      </c>
      <c r="K1823" s="51">
        <v>40999</v>
      </c>
      <c r="L1823" s="173">
        <v>40996</v>
      </c>
      <c r="M1823" s="50">
        <f t="shared" si="99"/>
        <v>3</v>
      </c>
      <c r="N1823" s="50" t="s">
        <v>2</v>
      </c>
      <c r="O1823" s="74">
        <f>1.9/2</f>
        <v>0.95</v>
      </c>
      <c r="P1823" s="50">
        <v>6.05</v>
      </c>
      <c r="Q1823" s="74">
        <v>7.6</v>
      </c>
      <c r="R1823" s="50">
        <v>100</v>
      </c>
      <c r="S1823" s="74">
        <v>251</v>
      </c>
      <c r="T1823" s="50">
        <v>0.217</v>
      </c>
      <c r="U1823" s="131">
        <v>1.4</v>
      </c>
      <c r="V1823" s="50">
        <v>0.78</v>
      </c>
      <c r="W1823" s="74">
        <v>0.03</v>
      </c>
      <c r="X1823" s="50">
        <v>0.108</v>
      </c>
      <c r="Y1823" s="74">
        <v>1.0699999999999999E-2</v>
      </c>
    </row>
    <row r="1824" spans="1:43" ht="15" customHeight="1">
      <c r="A1824" s="41" t="s">
        <v>183</v>
      </c>
      <c r="B1824" s="402" t="s">
        <v>5096</v>
      </c>
      <c r="C1824" s="113" t="s">
        <v>5096</v>
      </c>
      <c r="D1824" s="393" t="s">
        <v>268</v>
      </c>
      <c r="E1824" s="394" t="s">
        <v>269</v>
      </c>
      <c r="G1824" s="405" t="s">
        <v>274</v>
      </c>
      <c r="H1824" s="49">
        <v>3484</v>
      </c>
      <c r="J1824" s="49" t="s">
        <v>271</v>
      </c>
      <c r="K1824" s="51">
        <v>41030</v>
      </c>
      <c r="L1824" s="173">
        <v>41022</v>
      </c>
      <c r="M1824" s="50">
        <f t="shared" si="99"/>
        <v>8</v>
      </c>
      <c r="N1824" s="50" t="s">
        <v>2</v>
      </c>
      <c r="O1824" s="74">
        <v>5.3</v>
      </c>
      <c r="P1824" s="50">
        <v>4.79</v>
      </c>
      <c r="Q1824" s="74">
        <v>6.51</v>
      </c>
      <c r="R1824" s="50">
        <v>38.799999999999997</v>
      </c>
      <c r="S1824" s="74">
        <v>34</v>
      </c>
      <c r="T1824" s="50">
        <v>0.24</v>
      </c>
      <c r="U1824" s="131">
        <v>1.51</v>
      </c>
      <c r="V1824" s="50">
        <v>0.24</v>
      </c>
      <c r="W1824" s="74">
        <v>0.02</v>
      </c>
      <c r="X1824" s="50">
        <v>0.15</v>
      </c>
      <c r="Y1824" s="74">
        <v>0.02</v>
      </c>
      <c r="Z1824" s="271">
        <v>1</v>
      </c>
      <c r="AA1824" s="271">
        <v>1</v>
      </c>
      <c r="AB1824" s="114">
        <v>6.44</v>
      </c>
      <c r="AC1824" s="50">
        <v>32.700000000000003</v>
      </c>
      <c r="AD1824" s="271">
        <v>0.95</v>
      </c>
    </row>
    <row r="1825" spans="1:31" ht="15" customHeight="1">
      <c r="A1825" s="41" t="s">
        <v>183</v>
      </c>
      <c r="B1825" s="402" t="s">
        <v>5096</v>
      </c>
      <c r="C1825" s="113" t="s">
        <v>5096</v>
      </c>
      <c r="D1825" s="393" t="s">
        <v>268</v>
      </c>
      <c r="E1825" s="394" t="s">
        <v>269</v>
      </c>
      <c r="G1825" s="405" t="s">
        <v>274</v>
      </c>
      <c r="H1825" s="49">
        <v>3484</v>
      </c>
      <c r="J1825" s="49" t="s">
        <v>272</v>
      </c>
      <c r="K1825" s="51">
        <v>41030</v>
      </c>
      <c r="L1825" s="173">
        <v>41022</v>
      </c>
      <c r="M1825" s="50">
        <f t="shared" si="99"/>
        <v>8</v>
      </c>
      <c r="N1825" s="50" t="s">
        <v>2</v>
      </c>
      <c r="O1825" s="74">
        <v>3.4</v>
      </c>
      <c r="P1825" s="50">
        <v>4.79</v>
      </c>
      <c r="Q1825" s="74">
        <v>7.52</v>
      </c>
      <c r="R1825" s="50">
        <v>47</v>
      </c>
      <c r="S1825" s="74">
        <v>61</v>
      </c>
      <c r="T1825" s="50">
        <v>0.16</v>
      </c>
      <c r="U1825" s="131">
        <v>0.95</v>
      </c>
      <c r="V1825" s="50">
        <f>0.2/2</f>
        <v>0.1</v>
      </c>
      <c r="W1825" s="74">
        <v>0.03</v>
      </c>
      <c r="X1825" s="50">
        <v>0.12</v>
      </c>
      <c r="Y1825" s="74">
        <v>0.06</v>
      </c>
      <c r="Z1825" s="271">
        <v>1</v>
      </c>
      <c r="AA1825" s="271">
        <v>1</v>
      </c>
      <c r="AB1825" s="114">
        <v>17.100000000000001</v>
      </c>
      <c r="AC1825" s="50">
        <v>190</v>
      </c>
      <c r="AD1825" s="271">
        <v>1</v>
      </c>
    </row>
    <row r="1826" spans="1:31" ht="15" customHeight="1">
      <c r="A1826" s="41" t="s">
        <v>183</v>
      </c>
      <c r="B1826" s="402" t="s">
        <v>5096</v>
      </c>
      <c r="C1826" s="113" t="s">
        <v>5096</v>
      </c>
      <c r="D1826" s="393" t="s">
        <v>268</v>
      </c>
      <c r="E1826" s="394" t="s">
        <v>269</v>
      </c>
      <c r="G1826" s="405" t="s">
        <v>274</v>
      </c>
      <c r="H1826" s="49">
        <v>3484</v>
      </c>
      <c r="J1826" s="49" t="s">
        <v>270</v>
      </c>
      <c r="K1826" s="51">
        <v>41030</v>
      </c>
      <c r="L1826" s="173">
        <v>41022</v>
      </c>
      <c r="M1826" s="50">
        <f t="shared" si="99"/>
        <v>8</v>
      </c>
      <c r="N1826" s="50" t="s">
        <v>2</v>
      </c>
      <c r="O1826" s="74">
        <v>4</v>
      </c>
      <c r="P1826" s="50">
        <v>6</v>
      </c>
      <c r="Q1826" s="74">
        <v>4.7300000000000004</v>
      </c>
      <c r="R1826" s="50">
        <v>208</v>
      </c>
      <c r="S1826" s="74">
        <f>1/2</f>
        <v>0.5</v>
      </c>
      <c r="T1826" s="50">
        <v>0.19</v>
      </c>
      <c r="U1826" s="131">
        <v>4.96</v>
      </c>
      <c r="V1826" s="50">
        <v>1.8</v>
      </c>
      <c r="W1826" s="74">
        <v>0.52</v>
      </c>
      <c r="X1826" s="50">
        <v>0.95</v>
      </c>
      <c r="Y1826" s="74">
        <v>1.85</v>
      </c>
      <c r="Z1826" s="271">
        <v>6.25E-2</v>
      </c>
      <c r="AA1826" s="271">
        <v>6.25E-2</v>
      </c>
      <c r="AB1826" s="114">
        <v>23.7</v>
      </c>
      <c r="AC1826" s="50">
        <v>99.9</v>
      </c>
      <c r="AD1826" s="271">
        <v>0</v>
      </c>
    </row>
    <row r="1827" spans="1:31" ht="15" customHeight="1">
      <c r="A1827" s="41" t="s">
        <v>183</v>
      </c>
      <c r="B1827" s="402" t="s">
        <v>5096</v>
      </c>
      <c r="C1827" s="113" t="s">
        <v>5096</v>
      </c>
      <c r="D1827" s="393" t="s">
        <v>268</v>
      </c>
      <c r="E1827" s="394" t="s">
        <v>269</v>
      </c>
      <c r="G1827" s="405" t="s">
        <v>274</v>
      </c>
      <c r="H1827" s="49">
        <v>3484</v>
      </c>
      <c r="J1827" s="49" t="s">
        <v>273</v>
      </c>
      <c r="K1827" s="51">
        <v>41030</v>
      </c>
      <c r="L1827" s="173">
        <v>41022</v>
      </c>
      <c r="M1827" s="50">
        <f t="shared" si="99"/>
        <v>8</v>
      </c>
      <c r="N1827" s="50" t="s">
        <v>2</v>
      </c>
      <c r="O1827" s="74">
        <v>3.8</v>
      </c>
      <c r="P1827" s="50">
        <v>6</v>
      </c>
      <c r="Q1827" s="74">
        <v>7.44</v>
      </c>
      <c r="R1827" s="50">
        <v>74.599999999999994</v>
      </c>
      <c r="S1827" s="74">
        <v>66.5</v>
      </c>
      <c r="T1827" s="50">
        <v>0.27</v>
      </c>
      <c r="U1827" s="131">
        <v>2.2400000000000002</v>
      </c>
      <c r="V1827" s="50">
        <v>0.93</v>
      </c>
      <c r="W1827" s="74">
        <v>0.21</v>
      </c>
      <c r="X1827" s="50">
        <v>0.19</v>
      </c>
      <c r="Y1827" s="74">
        <v>1.02</v>
      </c>
      <c r="Z1827" s="271">
        <v>1</v>
      </c>
      <c r="AA1827" s="271">
        <v>1</v>
      </c>
      <c r="AB1827" s="114">
        <v>129</v>
      </c>
      <c r="AC1827" s="50">
        <v>1302</v>
      </c>
      <c r="AD1827" s="271">
        <v>1</v>
      </c>
    </row>
    <row r="1828" spans="1:31" ht="15" customHeight="1">
      <c r="A1828" s="41" t="s">
        <v>183</v>
      </c>
      <c r="B1828" s="402" t="s">
        <v>5097</v>
      </c>
      <c r="C1828" s="113" t="s">
        <v>2018</v>
      </c>
      <c r="D1828" s="393" t="s">
        <v>1881</v>
      </c>
      <c r="G1828" s="405" t="s">
        <v>5098</v>
      </c>
      <c r="H1828" s="74"/>
      <c r="I1828" s="50" t="s">
        <v>2</v>
      </c>
      <c r="J1828" s="74" t="s">
        <v>1030</v>
      </c>
      <c r="K1828" s="51">
        <v>40843</v>
      </c>
      <c r="L1828" s="173">
        <v>40809</v>
      </c>
      <c r="M1828" s="50">
        <f t="shared" si="99"/>
        <v>34</v>
      </c>
      <c r="N1828" s="50" t="s">
        <v>2</v>
      </c>
      <c r="O1828" s="74">
        <v>2</v>
      </c>
      <c r="P1828" s="50">
        <v>5.0599999999999996</v>
      </c>
      <c r="Q1828" s="74">
        <v>6.9</v>
      </c>
      <c r="R1828" s="50">
        <v>23</v>
      </c>
      <c r="S1828" s="74">
        <v>4.8</v>
      </c>
      <c r="T1828" s="50">
        <v>0.06</v>
      </c>
      <c r="U1828" s="131">
        <v>1.1000000000000001</v>
      </c>
      <c r="V1828" s="50">
        <v>0.51</v>
      </c>
      <c r="W1828" s="74">
        <v>5.0000000000000001E-3</v>
      </c>
      <c r="X1828" s="50">
        <v>0.22600000000000001</v>
      </c>
      <c r="Y1828" s="74">
        <v>5.0000000000000001E-3</v>
      </c>
      <c r="Z1828" s="271">
        <v>1</v>
      </c>
      <c r="AA1828" s="271">
        <v>1</v>
      </c>
      <c r="AB1828" s="114">
        <v>180</v>
      </c>
      <c r="AC1828" s="50">
        <v>268</v>
      </c>
      <c r="AD1828" s="271">
        <v>1</v>
      </c>
    </row>
    <row r="1829" spans="1:31" ht="15" customHeight="1">
      <c r="A1829" s="41" t="s">
        <v>183</v>
      </c>
      <c r="B1829" s="402" t="s">
        <v>5097</v>
      </c>
      <c r="C1829" s="113" t="s">
        <v>2018</v>
      </c>
      <c r="D1829" s="393" t="s">
        <v>1881</v>
      </c>
      <c r="G1829" s="405" t="s">
        <v>5098</v>
      </c>
      <c r="H1829" s="74"/>
      <c r="I1829" s="50" t="s">
        <v>2</v>
      </c>
      <c r="J1829" s="74" t="s">
        <v>1030</v>
      </c>
      <c r="K1829" s="51">
        <v>41037</v>
      </c>
      <c r="L1829" s="173"/>
      <c r="N1829" s="50" t="s">
        <v>2</v>
      </c>
      <c r="O1829" s="74">
        <v>1.8</v>
      </c>
      <c r="P1829" s="50">
        <v>5.2</v>
      </c>
      <c r="Q1829" s="74">
        <v>7.1</v>
      </c>
      <c r="R1829" s="50">
        <v>39</v>
      </c>
      <c r="S1829" s="74">
        <v>51</v>
      </c>
      <c r="T1829" s="50">
        <v>0.19600000000000001</v>
      </c>
      <c r="U1829" s="131">
        <v>2.6</v>
      </c>
      <c r="V1829" s="50">
        <v>0.46</v>
      </c>
      <c r="W1829" s="74">
        <v>5.0000000000000001E-3</v>
      </c>
      <c r="X1829" s="50">
        <v>6.2E-2</v>
      </c>
      <c r="Y1829" s="74">
        <v>5.0000000000000001E-3</v>
      </c>
      <c r="Z1829" s="271">
        <v>1</v>
      </c>
      <c r="AA1829" s="271">
        <v>1</v>
      </c>
      <c r="AB1829" s="114">
        <v>220</v>
      </c>
      <c r="AC1829" s="50">
        <v>1108</v>
      </c>
      <c r="AD1829" s="271">
        <v>1</v>
      </c>
    </row>
    <row r="1830" spans="1:31" ht="15" customHeight="1">
      <c r="A1830" s="41" t="s">
        <v>183</v>
      </c>
      <c r="B1830" s="402" t="s">
        <v>4881</v>
      </c>
      <c r="C1830" s="113" t="s">
        <v>4588</v>
      </c>
      <c r="D1830" s="393" t="s">
        <v>910</v>
      </c>
      <c r="E1830" s="394" t="s">
        <v>1546</v>
      </c>
      <c r="G1830" s="405" t="s">
        <v>4589</v>
      </c>
      <c r="H1830" s="74">
        <v>4952</v>
      </c>
      <c r="I1830" s="50" t="s">
        <v>2</v>
      </c>
      <c r="J1830" s="74" t="s">
        <v>4590</v>
      </c>
      <c r="K1830" s="51">
        <v>41072</v>
      </c>
      <c r="L1830" s="173">
        <v>41067</v>
      </c>
      <c r="M1830" s="50">
        <f>K1830-L1830</f>
        <v>5</v>
      </c>
      <c r="N1830" s="50" t="s">
        <v>2</v>
      </c>
      <c r="O1830" s="74">
        <v>2.9</v>
      </c>
      <c r="P1830" s="50">
        <v>5.2</v>
      </c>
      <c r="Q1830" s="74">
        <v>7.22</v>
      </c>
      <c r="R1830" s="50">
        <v>150</v>
      </c>
      <c r="S1830" s="74">
        <v>40</v>
      </c>
      <c r="T1830" s="50">
        <v>0.49</v>
      </c>
      <c r="U1830" s="131">
        <v>2</v>
      </c>
      <c r="V1830" s="50">
        <v>0.35399999999999998</v>
      </c>
      <c r="W1830" s="74">
        <f>0.005/2</f>
        <v>2.5000000000000001E-3</v>
      </c>
      <c r="X1830" s="50">
        <v>2.4500000000000001E-2</v>
      </c>
      <c r="Y1830" s="74">
        <f>0.003/2</f>
        <v>1.5E-3</v>
      </c>
    </row>
    <row r="1831" spans="1:31" ht="15" customHeight="1">
      <c r="A1831" s="41" t="s">
        <v>183</v>
      </c>
      <c r="B1831" s="402" t="s">
        <v>1286</v>
      </c>
      <c r="C1831" s="113" t="s">
        <v>2220</v>
      </c>
      <c r="D1831" s="393" t="s">
        <v>735</v>
      </c>
      <c r="E1831" s="394" t="s">
        <v>888</v>
      </c>
      <c r="G1831" s="405" t="s">
        <v>2221</v>
      </c>
      <c r="H1831" s="74">
        <v>4151</v>
      </c>
      <c r="I1831" s="50" t="s">
        <v>2</v>
      </c>
      <c r="J1831" s="74" t="s">
        <v>1125</v>
      </c>
      <c r="K1831" s="51">
        <v>41030</v>
      </c>
      <c r="L1831" s="173">
        <v>41022</v>
      </c>
      <c r="M1831" s="50">
        <f>K1831-L1831</f>
        <v>8</v>
      </c>
      <c r="N1831" s="50" t="s">
        <v>2</v>
      </c>
      <c r="O1831" s="74">
        <f>2/2</f>
        <v>1</v>
      </c>
      <c r="P1831" s="50">
        <v>6.8</v>
      </c>
      <c r="Q1831" s="74">
        <v>5.5</v>
      </c>
      <c r="R1831" s="50">
        <v>15</v>
      </c>
      <c r="S1831" s="74">
        <v>10</v>
      </c>
      <c r="T1831" s="50">
        <v>0.14000000000000001</v>
      </c>
      <c r="U1831" s="131">
        <v>1.29</v>
      </c>
      <c r="V1831" s="50">
        <v>0.11</v>
      </c>
      <c r="W1831" s="74">
        <f>0.01/2</f>
        <v>5.0000000000000001E-3</v>
      </c>
      <c r="X1831" s="50">
        <v>7.5999999999999998E-2</v>
      </c>
      <c r="Y1831" s="74">
        <f>0.03/2</f>
        <v>1.4999999999999999E-2</v>
      </c>
    </row>
    <row r="1832" spans="1:31" ht="15" customHeight="1">
      <c r="A1832" s="41" t="s">
        <v>183</v>
      </c>
      <c r="B1832" s="402" t="s">
        <v>4415</v>
      </c>
      <c r="D1832" s="393" t="s">
        <v>89</v>
      </c>
      <c r="E1832" s="394" t="s">
        <v>535</v>
      </c>
      <c r="G1832" s="405" t="s">
        <v>4416</v>
      </c>
      <c r="H1832" s="74"/>
      <c r="I1832" s="50" t="s">
        <v>1</v>
      </c>
      <c r="J1832" s="74"/>
      <c r="K1832" s="51">
        <v>41030</v>
      </c>
      <c r="L1832" s="173">
        <v>41022</v>
      </c>
      <c r="M1832" s="50">
        <f>K1832-L1832</f>
        <v>8</v>
      </c>
      <c r="N1832" s="50" t="s">
        <v>2</v>
      </c>
      <c r="O1832" s="74">
        <v>0.7</v>
      </c>
      <c r="P1832" s="50">
        <v>5.4</v>
      </c>
      <c r="Q1832" s="74">
        <v>7.9</v>
      </c>
      <c r="R1832" s="50">
        <v>6</v>
      </c>
      <c r="S1832" s="74">
        <v>5</v>
      </c>
      <c r="T1832" s="50">
        <f>0.01/2</f>
        <v>5.0000000000000001E-3</v>
      </c>
      <c r="U1832" s="131">
        <v>0.37</v>
      </c>
      <c r="V1832" s="50">
        <v>0.41</v>
      </c>
      <c r="W1832" s="74">
        <v>0.01</v>
      </c>
      <c r="X1832" s="50">
        <v>0.05</v>
      </c>
      <c r="Y1832" s="74">
        <f>0.001/2</f>
        <v>5.0000000000000001E-4</v>
      </c>
      <c r="Z1832" s="271">
        <v>1</v>
      </c>
      <c r="AA1832" s="271">
        <v>1</v>
      </c>
      <c r="AB1832" s="114">
        <v>119</v>
      </c>
      <c r="AC1832" s="50">
        <v>393</v>
      </c>
      <c r="AD1832" s="271">
        <v>1</v>
      </c>
    </row>
    <row r="1833" spans="1:31" ht="15" customHeight="1">
      <c r="A1833" s="41" t="s">
        <v>183</v>
      </c>
      <c r="B1833" s="402" t="s">
        <v>3916</v>
      </c>
      <c r="D1833" s="393" t="s">
        <v>806</v>
      </c>
      <c r="E1833" s="394" t="s">
        <v>535</v>
      </c>
      <c r="F1833" s="402">
        <v>6600</v>
      </c>
      <c r="G1833" s="405" t="s">
        <v>3917</v>
      </c>
      <c r="H1833" s="74">
        <v>3272</v>
      </c>
      <c r="I1833" s="50" t="s">
        <v>2</v>
      </c>
      <c r="J1833" s="74" t="s">
        <v>431</v>
      </c>
      <c r="K1833" s="51">
        <v>41345</v>
      </c>
      <c r="L1833" s="173">
        <v>41341</v>
      </c>
      <c r="M1833" s="50">
        <f>K1833-L1833</f>
        <v>4</v>
      </c>
      <c r="N1833" s="50" t="s">
        <v>2</v>
      </c>
      <c r="O1833" s="74">
        <f>5/2</f>
        <v>2.5</v>
      </c>
      <c r="P1833" s="50">
        <v>7.61</v>
      </c>
      <c r="Q1833" s="74">
        <v>8.25</v>
      </c>
      <c r="R1833" s="50">
        <v>96</v>
      </c>
      <c r="S1833" s="74">
        <v>220</v>
      </c>
      <c r="T1833" s="50">
        <v>0.11</v>
      </c>
      <c r="U1833" s="131">
        <f>1/2</f>
        <v>0.5</v>
      </c>
      <c r="V1833" s="50">
        <v>0.41</v>
      </c>
      <c r="W1833" s="74">
        <f>0.04/2</f>
        <v>0.02</v>
      </c>
      <c r="X1833" s="50">
        <v>8.2000000000000003E-2</v>
      </c>
      <c r="Y1833" s="74">
        <v>1.2999999999999999E-2</v>
      </c>
      <c r="Z1833" s="271">
        <v>1</v>
      </c>
      <c r="AA1833" s="271">
        <v>1</v>
      </c>
      <c r="AB1833" s="114">
        <v>220</v>
      </c>
      <c r="AC1833" s="50">
        <v>40</v>
      </c>
      <c r="AD1833" s="271">
        <v>1</v>
      </c>
    </row>
    <row r="1834" spans="1:31" ht="15" customHeight="1">
      <c r="A1834" s="41" t="s">
        <v>183</v>
      </c>
      <c r="B1834" s="402" t="s">
        <v>5100</v>
      </c>
      <c r="D1834" s="393" t="s">
        <v>1537</v>
      </c>
      <c r="E1834" s="394" t="s">
        <v>1555</v>
      </c>
      <c r="F1834" s="402">
        <v>7300</v>
      </c>
      <c r="G1834" s="405" t="s">
        <v>5101</v>
      </c>
      <c r="H1834" s="74">
        <v>2844</v>
      </c>
      <c r="J1834" s="339" t="s">
        <v>641</v>
      </c>
      <c r="K1834" s="51">
        <v>40863</v>
      </c>
      <c r="L1834" s="173"/>
      <c r="O1834" s="74">
        <f>5/2</f>
        <v>2.5</v>
      </c>
      <c r="P1834" s="50">
        <v>5.04</v>
      </c>
      <c r="Q1834" s="74">
        <v>7.05</v>
      </c>
      <c r="R1834" s="50">
        <v>140</v>
      </c>
      <c r="S1834" s="74">
        <v>9</v>
      </c>
      <c r="T1834" s="50">
        <v>0.55000000000000004</v>
      </c>
      <c r="U1834" s="131">
        <f>1/2</f>
        <v>0.5</v>
      </c>
      <c r="V1834" s="50">
        <v>4.2</v>
      </c>
      <c r="W1834" s="74">
        <f>0.04/2</f>
        <v>0.02</v>
      </c>
      <c r="X1834" s="50">
        <v>0.11</v>
      </c>
      <c r="Y1834" s="74">
        <f>0.013/2</f>
        <v>6.4999999999999997E-3</v>
      </c>
    </row>
    <row r="1835" spans="1:31" ht="15" customHeight="1">
      <c r="A1835" s="41" t="s">
        <v>183</v>
      </c>
      <c r="B1835" s="402" t="s">
        <v>2096</v>
      </c>
      <c r="C1835" s="113" t="s">
        <v>1236</v>
      </c>
      <c r="D1835" s="393" t="s">
        <v>111</v>
      </c>
      <c r="E1835" s="394" t="s">
        <v>112</v>
      </c>
      <c r="G1835" s="405" t="s">
        <v>3602</v>
      </c>
      <c r="H1835" s="113">
        <v>3316</v>
      </c>
      <c r="I1835" s="49" t="s">
        <v>1</v>
      </c>
      <c r="J1835" s="48" t="s">
        <v>96</v>
      </c>
      <c r="K1835" s="51">
        <v>41051</v>
      </c>
      <c r="L1835" s="173">
        <v>41045</v>
      </c>
      <c r="M1835" s="50">
        <f t="shared" ref="M1835:M1851" si="100">K1835-L1835</f>
        <v>6</v>
      </c>
      <c r="N1835" s="50" t="s">
        <v>2</v>
      </c>
      <c r="O1835" s="74">
        <f t="shared" ref="O1835:O1841" si="101">1/2</f>
        <v>0.5</v>
      </c>
      <c r="P1835" s="50">
        <v>7.2</v>
      </c>
      <c r="Q1835" s="74">
        <v>7.1</v>
      </c>
      <c r="R1835" s="50">
        <v>18.7</v>
      </c>
      <c r="S1835" s="74">
        <v>20</v>
      </c>
      <c r="T1835" s="50">
        <v>0.1</v>
      </c>
      <c r="U1835" s="131">
        <v>1.8</v>
      </c>
      <c r="V1835" s="50">
        <v>1.7</v>
      </c>
      <c r="W1835" s="74">
        <v>0.01</v>
      </c>
      <c r="X1835" s="50">
        <v>0.03</v>
      </c>
      <c r="Y1835" s="74">
        <v>0.01</v>
      </c>
      <c r="AE1835" s="50">
        <v>260</v>
      </c>
    </row>
    <row r="1836" spans="1:31" ht="15" customHeight="1">
      <c r="A1836" s="41" t="s">
        <v>183</v>
      </c>
      <c r="B1836" s="402" t="s">
        <v>2096</v>
      </c>
      <c r="C1836" s="113" t="s">
        <v>1236</v>
      </c>
      <c r="D1836" s="393" t="s">
        <v>111</v>
      </c>
      <c r="E1836" s="394" t="s">
        <v>112</v>
      </c>
      <c r="G1836" s="405" t="s">
        <v>3602</v>
      </c>
      <c r="H1836" s="113">
        <v>3316</v>
      </c>
      <c r="I1836" s="49" t="s">
        <v>1</v>
      </c>
      <c r="J1836" s="48" t="s">
        <v>690</v>
      </c>
      <c r="K1836" s="51">
        <v>41051</v>
      </c>
      <c r="L1836" s="173">
        <v>41045</v>
      </c>
      <c r="M1836" s="50">
        <f t="shared" si="100"/>
        <v>6</v>
      </c>
      <c r="N1836" s="50" t="s">
        <v>2</v>
      </c>
      <c r="O1836" s="74">
        <f t="shared" si="101"/>
        <v>0.5</v>
      </c>
      <c r="P1836" s="50">
        <v>7.2</v>
      </c>
      <c r="Q1836" s="74">
        <v>7.3</v>
      </c>
      <c r="R1836" s="50">
        <v>18.7</v>
      </c>
      <c r="S1836" s="74">
        <v>8</v>
      </c>
      <c r="T1836" s="50">
        <v>0.15</v>
      </c>
      <c r="U1836" s="131">
        <v>2.7</v>
      </c>
      <c r="V1836" s="50">
        <v>0.8</v>
      </c>
      <c r="W1836" s="74">
        <v>1.9E-2</v>
      </c>
      <c r="X1836" s="50">
        <v>0.09</v>
      </c>
      <c r="Y1836" s="74">
        <v>4.0000000000000001E-3</v>
      </c>
      <c r="AE1836" s="50">
        <v>900</v>
      </c>
    </row>
    <row r="1837" spans="1:31" ht="15" customHeight="1">
      <c r="A1837" s="41" t="s">
        <v>183</v>
      </c>
      <c r="B1837" s="402" t="s">
        <v>2096</v>
      </c>
      <c r="C1837" s="113" t="s">
        <v>1236</v>
      </c>
      <c r="D1837" s="393" t="s">
        <v>111</v>
      </c>
      <c r="E1837" s="394" t="s">
        <v>112</v>
      </c>
      <c r="G1837" s="405" t="s">
        <v>3602</v>
      </c>
      <c r="H1837" s="113">
        <v>3316</v>
      </c>
      <c r="I1837" s="49" t="s">
        <v>1</v>
      </c>
      <c r="J1837" s="48" t="s">
        <v>2097</v>
      </c>
      <c r="K1837" s="51">
        <v>41051</v>
      </c>
      <c r="L1837" s="173">
        <v>41045</v>
      </c>
      <c r="M1837" s="50">
        <f t="shared" si="100"/>
        <v>6</v>
      </c>
      <c r="N1837" s="50" t="s">
        <v>2</v>
      </c>
      <c r="O1837" s="74">
        <f t="shared" si="101"/>
        <v>0.5</v>
      </c>
      <c r="P1837" s="50">
        <v>7.2</v>
      </c>
      <c r="Q1837" s="74">
        <v>7.4</v>
      </c>
      <c r="R1837" s="50">
        <v>25.6</v>
      </c>
      <c r="S1837" s="74">
        <v>10</v>
      </c>
      <c r="T1837" s="50">
        <v>0.08</v>
      </c>
      <c r="U1837" s="131">
        <v>0.8</v>
      </c>
      <c r="V1837" s="50">
        <f>0.1/2</f>
        <v>0.05</v>
      </c>
      <c r="W1837" s="74">
        <v>1.7999999999999999E-2</v>
      </c>
      <c r="X1837" s="50">
        <v>0.06</v>
      </c>
      <c r="Y1837" s="74">
        <f>0.002/2</f>
        <v>1E-3</v>
      </c>
      <c r="AE1837" s="50">
        <v>4600</v>
      </c>
    </row>
    <row r="1838" spans="1:31" ht="15" customHeight="1">
      <c r="A1838" s="41" t="s">
        <v>183</v>
      </c>
      <c r="B1838" s="402" t="s">
        <v>2096</v>
      </c>
      <c r="C1838" s="113" t="s">
        <v>1236</v>
      </c>
      <c r="D1838" s="393" t="s">
        <v>111</v>
      </c>
      <c r="E1838" s="394" t="s">
        <v>112</v>
      </c>
      <c r="G1838" s="405" t="s">
        <v>3602</v>
      </c>
      <c r="H1838" s="113">
        <v>3316</v>
      </c>
      <c r="I1838" s="49" t="s">
        <v>1</v>
      </c>
      <c r="J1838" s="48" t="s">
        <v>1291</v>
      </c>
      <c r="K1838" s="51">
        <v>41051</v>
      </c>
      <c r="L1838" s="173">
        <v>41045</v>
      </c>
      <c r="M1838" s="50">
        <f t="shared" si="100"/>
        <v>6</v>
      </c>
      <c r="N1838" s="50" t="s">
        <v>2</v>
      </c>
      <c r="O1838" s="74">
        <f t="shared" si="101"/>
        <v>0.5</v>
      </c>
      <c r="P1838" s="50">
        <v>7.2</v>
      </c>
      <c r="Q1838" s="74">
        <v>7.1</v>
      </c>
      <c r="R1838" s="50">
        <v>28.9</v>
      </c>
      <c r="S1838" s="74">
        <v>13</v>
      </c>
      <c r="T1838" s="50">
        <v>0.05</v>
      </c>
      <c r="U1838" s="131">
        <v>0.9</v>
      </c>
      <c r="V1838" s="50">
        <v>0.2</v>
      </c>
      <c r="W1838" s="74">
        <v>1.2999999999999999E-2</v>
      </c>
      <c r="X1838" s="50">
        <v>0.03</v>
      </c>
      <c r="Y1838" s="74">
        <v>4.0000000000000001E-3</v>
      </c>
      <c r="AE1838" s="50">
        <v>760</v>
      </c>
    </row>
    <row r="1839" spans="1:31" ht="15" customHeight="1">
      <c r="A1839" s="41" t="s">
        <v>183</v>
      </c>
      <c r="B1839" s="402" t="s">
        <v>2096</v>
      </c>
      <c r="C1839" s="113" t="s">
        <v>1236</v>
      </c>
      <c r="D1839" s="393" t="s">
        <v>111</v>
      </c>
      <c r="E1839" s="394" t="s">
        <v>112</v>
      </c>
      <c r="G1839" s="405" t="s">
        <v>3602</v>
      </c>
      <c r="H1839" s="113">
        <v>3316</v>
      </c>
      <c r="I1839" s="49" t="s">
        <v>1</v>
      </c>
      <c r="J1839" s="48" t="s">
        <v>171</v>
      </c>
      <c r="K1839" s="51">
        <v>41051</v>
      </c>
      <c r="L1839" s="173">
        <v>41045</v>
      </c>
      <c r="M1839" s="50">
        <f t="shared" si="100"/>
        <v>6</v>
      </c>
      <c r="N1839" s="50" t="s">
        <v>2</v>
      </c>
      <c r="O1839" s="74">
        <f t="shared" si="101"/>
        <v>0.5</v>
      </c>
      <c r="P1839" s="50">
        <v>7.2</v>
      </c>
      <c r="Q1839" s="74">
        <v>7.3</v>
      </c>
      <c r="R1839" s="50">
        <v>15</v>
      </c>
      <c r="S1839" s="74">
        <v>9</v>
      </c>
      <c r="T1839" s="50">
        <v>0.25</v>
      </c>
      <c r="U1839" s="131">
        <v>1</v>
      </c>
      <c r="V1839" s="50">
        <v>3.3</v>
      </c>
      <c r="W1839" s="74">
        <v>0.01</v>
      </c>
      <c r="X1839" s="50">
        <v>0.03</v>
      </c>
      <c r="Y1839" s="74">
        <f>0.002/2</f>
        <v>1E-3</v>
      </c>
      <c r="AE1839" s="50">
        <v>140</v>
      </c>
    </row>
    <row r="1840" spans="1:31" ht="15" customHeight="1">
      <c r="A1840" s="41" t="s">
        <v>183</v>
      </c>
      <c r="B1840" s="402" t="s">
        <v>2096</v>
      </c>
      <c r="C1840" s="113" t="s">
        <v>1236</v>
      </c>
      <c r="D1840" s="393" t="s">
        <v>111</v>
      </c>
      <c r="E1840" s="394" t="s">
        <v>112</v>
      </c>
      <c r="G1840" s="405" t="s">
        <v>3602</v>
      </c>
      <c r="H1840" s="113">
        <v>3316</v>
      </c>
      <c r="I1840" s="49" t="s">
        <v>1</v>
      </c>
      <c r="J1840" s="48" t="s">
        <v>96</v>
      </c>
      <c r="K1840" s="51">
        <v>41192</v>
      </c>
      <c r="L1840" s="173">
        <v>41186</v>
      </c>
      <c r="M1840" s="50">
        <f t="shared" si="100"/>
        <v>6</v>
      </c>
      <c r="N1840" s="50" t="s">
        <v>2</v>
      </c>
      <c r="O1840" s="74">
        <f t="shared" si="101"/>
        <v>0.5</v>
      </c>
      <c r="P1840" s="50">
        <v>7.3</v>
      </c>
      <c r="Q1840" s="74">
        <v>6.3</v>
      </c>
      <c r="R1840" s="50">
        <v>15</v>
      </c>
      <c r="S1840" s="74">
        <v>9</v>
      </c>
      <c r="T1840" s="50">
        <v>0.06</v>
      </c>
      <c r="U1840" s="131">
        <v>0.3</v>
      </c>
      <c r="V1840" s="50">
        <v>0.97</v>
      </c>
      <c r="W1840" s="74">
        <v>0.01</v>
      </c>
      <c r="X1840" s="50">
        <v>0.04</v>
      </c>
      <c r="Y1840" s="74">
        <v>7.0000000000000001E-3</v>
      </c>
      <c r="Z1840" s="271">
        <v>1</v>
      </c>
      <c r="AA1840" s="271">
        <v>1</v>
      </c>
      <c r="AB1840" s="114">
        <v>50.65</v>
      </c>
      <c r="AC1840" s="50">
        <v>252</v>
      </c>
      <c r="AD1840" s="271">
        <v>0.9</v>
      </c>
      <c r="AE1840" s="50">
        <v>160</v>
      </c>
    </row>
    <row r="1841" spans="1:31" ht="15" customHeight="1">
      <c r="A1841" s="41" t="s">
        <v>183</v>
      </c>
      <c r="B1841" s="402" t="s">
        <v>2096</v>
      </c>
      <c r="C1841" s="113" t="s">
        <v>1236</v>
      </c>
      <c r="D1841" s="393" t="s">
        <v>111</v>
      </c>
      <c r="E1841" s="394" t="s">
        <v>112</v>
      </c>
      <c r="G1841" s="405" t="s">
        <v>3602</v>
      </c>
      <c r="H1841" s="113">
        <v>3316</v>
      </c>
      <c r="I1841" s="49" t="s">
        <v>1</v>
      </c>
      <c r="J1841" s="48" t="s">
        <v>690</v>
      </c>
      <c r="K1841" s="51">
        <v>41192</v>
      </c>
      <c r="L1841" s="173">
        <v>41186</v>
      </c>
      <c r="M1841" s="50">
        <f t="shared" si="100"/>
        <v>6</v>
      </c>
      <c r="N1841" s="50" t="s">
        <v>2</v>
      </c>
      <c r="O1841" s="74">
        <f t="shared" si="101"/>
        <v>0.5</v>
      </c>
      <c r="P1841" s="50">
        <v>7.3</v>
      </c>
      <c r="Q1841" s="74">
        <v>6.3</v>
      </c>
      <c r="R1841" s="50">
        <v>15</v>
      </c>
      <c r="S1841" s="74">
        <v>8</v>
      </c>
      <c r="T1841" s="50">
        <f>0.05/2</f>
        <v>2.5000000000000001E-2</v>
      </c>
      <c r="U1841" s="131">
        <v>0.2</v>
      </c>
      <c r="V1841" s="50">
        <v>1.1000000000000001</v>
      </c>
      <c r="W1841" s="74">
        <v>0.01</v>
      </c>
      <c r="X1841" s="50">
        <v>6.4000000000000001E-2</v>
      </c>
      <c r="Y1841" s="74">
        <v>3.0000000000000001E-3</v>
      </c>
      <c r="Z1841" s="271">
        <v>1</v>
      </c>
      <c r="AA1841" s="271">
        <v>1</v>
      </c>
      <c r="AB1841" s="114">
        <v>47.76</v>
      </c>
      <c r="AC1841" s="50">
        <v>134</v>
      </c>
      <c r="AD1841" s="271">
        <v>1</v>
      </c>
      <c r="AE1841" s="50">
        <v>128</v>
      </c>
    </row>
    <row r="1842" spans="1:31" ht="15" customHeight="1">
      <c r="A1842" s="41" t="s">
        <v>183</v>
      </c>
      <c r="B1842" s="402" t="s">
        <v>2096</v>
      </c>
      <c r="C1842" s="113" t="s">
        <v>1236</v>
      </c>
      <c r="D1842" s="393" t="s">
        <v>111</v>
      </c>
      <c r="E1842" s="394" t="s">
        <v>112</v>
      </c>
      <c r="G1842" s="405" t="s">
        <v>3602</v>
      </c>
      <c r="H1842" s="113">
        <v>3316</v>
      </c>
      <c r="I1842" s="49" t="s">
        <v>1</v>
      </c>
      <c r="J1842" s="48" t="s">
        <v>2097</v>
      </c>
      <c r="K1842" s="51">
        <v>41192</v>
      </c>
      <c r="L1842" s="173">
        <v>41186</v>
      </c>
      <c r="M1842" s="50">
        <f t="shared" si="100"/>
        <v>6</v>
      </c>
      <c r="N1842" s="50" t="s">
        <v>2</v>
      </c>
      <c r="O1842" s="74">
        <v>2.4</v>
      </c>
      <c r="P1842" s="50">
        <v>7.3</v>
      </c>
      <c r="Q1842" s="74">
        <v>6.5</v>
      </c>
      <c r="R1842" s="50">
        <v>25.6</v>
      </c>
      <c r="S1842" s="74">
        <v>36</v>
      </c>
      <c r="T1842" s="50">
        <v>7.0000000000000007E-2</v>
      </c>
      <c r="U1842" s="131">
        <v>1.45</v>
      </c>
      <c r="V1842" s="50">
        <f>0.1/2</f>
        <v>0.05</v>
      </c>
      <c r="W1842" s="74">
        <v>5.0000000000000001E-3</v>
      </c>
      <c r="X1842" s="50">
        <v>6.5000000000000002E-2</v>
      </c>
      <c r="Y1842" s="74">
        <v>3.0000000000000001E-3</v>
      </c>
      <c r="Z1842" s="271">
        <v>1</v>
      </c>
      <c r="AA1842" s="271">
        <v>1</v>
      </c>
      <c r="AB1842" s="114">
        <v>3.23</v>
      </c>
      <c r="AC1842" s="50">
        <v>12</v>
      </c>
      <c r="AD1842" s="271">
        <v>0.85</v>
      </c>
      <c r="AE1842" s="50">
        <v>88</v>
      </c>
    </row>
    <row r="1843" spans="1:31" ht="15" customHeight="1">
      <c r="A1843" s="41" t="s">
        <v>183</v>
      </c>
      <c r="B1843" s="402" t="s">
        <v>2096</v>
      </c>
      <c r="C1843" s="113" t="s">
        <v>1236</v>
      </c>
      <c r="D1843" s="393" t="s">
        <v>111</v>
      </c>
      <c r="E1843" s="394" t="s">
        <v>112</v>
      </c>
      <c r="G1843" s="405" t="s">
        <v>3602</v>
      </c>
      <c r="H1843" s="113">
        <v>3316</v>
      </c>
      <c r="I1843" s="49" t="s">
        <v>1</v>
      </c>
      <c r="J1843" s="48" t="s">
        <v>1291</v>
      </c>
      <c r="K1843" s="51">
        <v>41192</v>
      </c>
      <c r="L1843" s="173">
        <v>41186</v>
      </c>
      <c r="M1843" s="50">
        <f t="shared" si="100"/>
        <v>6</v>
      </c>
      <c r="N1843" s="50" t="s">
        <v>2</v>
      </c>
      <c r="O1843" s="74">
        <v>1.6</v>
      </c>
      <c r="P1843" s="50">
        <v>7.3</v>
      </c>
      <c r="Q1843" s="74">
        <v>6.8</v>
      </c>
      <c r="R1843" s="50">
        <v>28.9</v>
      </c>
      <c r="S1843" s="74">
        <v>24</v>
      </c>
      <c r="T1843" s="50">
        <v>0.08</v>
      </c>
      <c r="U1843" s="131">
        <v>0.67</v>
      </c>
      <c r="V1843" s="50">
        <f>0.1/2</f>
        <v>0.05</v>
      </c>
      <c r="W1843" s="74">
        <v>6.0000000000000001E-3</v>
      </c>
      <c r="X1843" s="50">
        <v>0.04</v>
      </c>
      <c r="Y1843" s="74">
        <v>7.0000000000000001E-3</v>
      </c>
      <c r="Z1843" s="271">
        <v>1</v>
      </c>
      <c r="AA1843" s="271">
        <v>1</v>
      </c>
      <c r="AB1843" s="114">
        <v>110.8</v>
      </c>
      <c r="AC1843" s="50">
        <v>428</v>
      </c>
      <c r="AD1843" s="271">
        <v>1</v>
      </c>
      <c r="AE1843" s="50">
        <v>46</v>
      </c>
    </row>
    <row r="1844" spans="1:31" ht="15" customHeight="1">
      <c r="A1844" s="41" t="s">
        <v>183</v>
      </c>
      <c r="B1844" s="402" t="s">
        <v>2096</v>
      </c>
      <c r="C1844" s="113" t="s">
        <v>1236</v>
      </c>
      <c r="D1844" s="393" t="s">
        <v>111</v>
      </c>
      <c r="E1844" s="394" t="s">
        <v>112</v>
      </c>
      <c r="G1844" s="405" t="s">
        <v>3602</v>
      </c>
      <c r="H1844" s="113">
        <v>3316</v>
      </c>
      <c r="I1844" s="49" t="s">
        <v>1</v>
      </c>
      <c r="J1844" s="48" t="s">
        <v>171</v>
      </c>
      <c r="K1844" s="51">
        <v>41192</v>
      </c>
      <c r="L1844" s="173">
        <v>41186</v>
      </c>
      <c r="M1844" s="50">
        <f t="shared" si="100"/>
        <v>6</v>
      </c>
      <c r="N1844" s="50" t="s">
        <v>2</v>
      </c>
      <c r="O1844" s="74">
        <v>2</v>
      </c>
      <c r="P1844" s="50">
        <v>7.3</v>
      </c>
      <c r="Q1844" s="74">
        <v>6.4</v>
      </c>
      <c r="R1844" s="50">
        <v>18.7</v>
      </c>
      <c r="S1844" s="74">
        <v>11</v>
      </c>
      <c r="T1844" s="50">
        <v>0.12</v>
      </c>
      <c r="U1844" s="131">
        <v>0.54</v>
      </c>
      <c r="V1844" s="50">
        <v>0.47</v>
      </c>
      <c r="W1844" s="74">
        <v>6.0000000000000001E-3</v>
      </c>
      <c r="X1844" s="50">
        <v>4.9000000000000002E-2</v>
      </c>
      <c r="Y1844" s="74">
        <v>5.0000000000000001E-3</v>
      </c>
      <c r="Z1844" s="271">
        <v>1</v>
      </c>
      <c r="AA1844" s="271">
        <v>1</v>
      </c>
      <c r="AB1844" s="114">
        <v>40.43</v>
      </c>
      <c r="AC1844" s="50">
        <v>139</v>
      </c>
      <c r="AD1844" s="271">
        <v>1</v>
      </c>
      <c r="AE1844" s="50">
        <v>310</v>
      </c>
    </row>
    <row r="1845" spans="1:31" ht="15" customHeight="1">
      <c r="A1845" s="41" t="s">
        <v>183</v>
      </c>
      <c r="B1845" s="402" t="s">
        <v>2096</v>
      </c>
      <c r="C1845" s="113" t="s">
        <v>1236</v>
      </c>
      <c r="D1845" s="393" t="s">
        <v>111</v>
      </c>
      <c r="E1845" s="394" t="s">
        <v>112</v>
      </c>
      <c r="G1845" s="405" t="s">
        <v>3602</v>
      </c>
      <c r="H1845" s="113">
        <v>3316</v>
      </c>
      <c r="I1845" s="49" t="s">
        <v>1</v>
      </c>
      <c r="J1845" s="48" t="s">
        <v>96</v>
      </c>
      <c r="K1845" s="51">
        <v>41376</v>
      </c>
      <c r="L1845" s="173">
        <v>41365</v>
      </c>
      <c r="M1845" s="50">
        <f t="shared" si="100"/>
        <v>11</v>
      </c>
      <c r="N1845" s="50" t="s">
        <v>2</v>
      </c>
      <c r="O1845" s="74">
        <f>1/2</f>
        <v>0.5</v>
      </c>
      <c r="P1845" s="50">
        <v>7.9</v>
      </c>
      <c r="Q1845" s="74">
        <v>7.7</v>
      </c>
      <c r="R1845" s="50">
        <v>7.5</v>
      </c>
      <c r="S1845" s="74">
        <v>18</v>
      </c>
      <c r="T1845" s="50">
        <v>0.13</v>
      </c>
      <c r="U1845" s="131">
        <v>0.22</v>
      </c>
      <c r="V1845" s="50">
        <v>2.2000000000000002</v>
      </c>
      <c r="W1845" s="74">
        <v>5.0000000000000001E-3</v>
      </c>
      <c r="X1845" s="50">
        <v>0.04</v>
      </c>
      <c r="Y1845" s="74">
        <f>0.001/2</f>
        <v>5.0000000000000001E-4</v>
      </c>
    </row>
    <row r="1846" spans="1:31" ht="15" customHeight="1">
      <c r="A1846" s="41" t="s">
        <v>183</v>
      </c>
      <c r="B1846" s="402" t="s">
        <v>2096</v>
      </c>
      <c r="C1846" s="113" t="s">
        <v>1236</v>
      </c>
      <c r="D1846" s="393" t="s">
        <v>111</v>
      </c>
      <c r="E1846" s="394" t="s">
        <v>112</v>
      </c>
      <c r="G1846" s="405" t="s">
        <v>3602</v>
      </c>
      <c r="H1846" s="113">
        <v>3316</v>
      </c>
      <c r="I1846" s="49" t="s">
        <v>1</v>
      </c>
      <c r="J1846" s="48" t="s">
        <v>690</v>
      </c>
      <c r="K1846" s="51">
        <v>41376</v>
      </c>
      <c r="L1846" s="173">
        <v>41365</v>
      </c>
      <c r="M1846" s="50">
        <f t="shared" si="100"/>
        <v>11</v>
      </c>
      <c r="N1846" s="50" t="s">
        <v>2</v>
      </c>
      <c r="O1846" s="74">
        <f>1/2</f>
        <v>0.5</v>
      </c>
      <c r="P1846" s="50">
        <v>7.6</v>
      </c>
      <c r="Q1846" s="74">
        <v>7.9</v>
      </c>
      <c r="R1846" s="50">
        <v>7.5</v>
      </c>
      <c r="S1846" s="74">
        <v>4</v>
      </c>
      <c r="T1846" s="50">
        <v>0.2</v>
      </c>
      <c r="U1846" s="131">
        <v>0.2</v>
      </c>
      <c r="V1846" s="50">
        <v>3</v>
      </c>
      <c r="W1846" s="74">
        <v>1.6E-2</v>
      </c>
      <c r="X1846" s="50">
        <v>0.09</v>
      </c>
      <c r="Y1846" s="74">
        <v>2E-3</v>
      </c>
    </row>
    <row r="1847" spans="1:31" ht="15" customHeight="1">
      <c r="A1847" s="41" t="s">
        <v>183</v>
      </c>
      <c r="B1847" s="402" t="s">
        <v>2096</v>
      </c>
      <c r="C1847" s="113" t="s">
        <v>1236</v>
      </c>
      <c r="D1847" s="393" t="s">
        <v>111</v>
      </c>
      <c r="E1847" s="394" t="s">
        <v>112</v>
      </c>
      <c r="G1847" s="405" t="s">
        <v>3602</v>
      </c>
      <c r="H1847" s="113">
        <v>3316</v>
      </c>
      <c r="I1847" s="49" t="s">
        <v>1</v>
      </c>
      <c r="J1847" s="48" t="s">
        <v>2097</v>
      </c>
      <c r="K1847" s="51">
        <v>41376</v>
      </c>
      <c r="L1847" s="173">
        <v>41365</v>
      </c>
      <c r="M1847" s="50">
        <f t="shared" si="100"/>
        <v>11</v>
      </c>
      <c r="N1847" s="50" t="s">
        <v>2</v>
      </c>
      <c r="O1847" s="74">
        <v>2</v>
      </c>
      <c r="P1847" s="50">
        <v>7.9</v>
      </c>
      <c r="Q1847" s="74">
        <v>7.8</v>
      </c>
      <c r="R1847" s="50">
        <v>22.2</v>
      </c>
      <c r="S1847" s="74">
        <v>38</v>
      </c>
      <c r="T1847" s="50">
        <v>0.21</v>
      </c>
      <c r="U1847" s="131">
        <v>0.3</v>
      </c>
      <c r="V1847" s="50">
        <f>0.1/2</f>
        <v>0.05</v>
      </c>
      <c r="W1847" s="74">
        <v>5.0000000000000001E-3</v>
      </c>
      <c r="X1847" s="50">
        <v>7.0000000000000007E-2</v>
      </c>
      <c r="Y1847" s="74">
        <v>2E-3</v>
      </c>
    </row>
    <row r="1848" spans="1:31" ht="15" customHeight="1">
      <c r="A1848" s="41" t="s">
        <v>183</v>
      </c>
      <c r="B1848" s="402" t="s">
        <v>2096</v>
      </c>
      <c r="C1848" s="113" t="s">
        <v>1236</v>
      </c>
      <c r="D1848" s="393" t="s">
        <v>111</v>
      </c>
      <c r="E1848" s="394" t="s">
        <v>112</v>
      </c>
      <c r="G1848" s="405" t="s">
        <v>3602</v>
      </c>
      <c r="H1848" s="113">
        <v>3316</v>
      </c>
      <c r="I1848" s="49" t="s">
        <v>1</v>
      </c>
      <c r="J1848" s="48" t="s">
        <v>1291</v>
      </c>
      <c r="K1848" s="51">
        <v>41376</v>
      </c>
      <c r="L1848" s="173">
        <v>41365</v>
      </c>
      <c r="M1848" s="50">
        <f t="shared" si="100"/>
        <v>11</v>
      </c>
      <c r="N1848" s="50" t="s">
        <v>2</v>
      </c>
      <c r="O1848" s="74">
        <v>5.2</v>
      </c>
      <c r="P1848" s="50">
        <v>7.9</v>
      </c>
      <c r="Q1848" s="74">
        <v>7.9</v>
      </c>
      <c r="R1848" s="50">
        <v>87.7</v>
      </c>
      <c r="S1848" s="74">
        <v>154</v>
      </c>
      <c r="T1848" s="50">
        <v>0.41</v>
      </c>
      <c r="U1848" s="131">
        <v>1.1000000000000001</v>
      </c>
      <c r="V1848" s="50">
        <f>0.1/2</f>
        <v>0.05</v>
      </c>
      <c r="W1848" s="74">
        <v>2.7E-2</v>
      </c>
      <c r="X1848" s="50">
        <v>0.11</v>
      </c>
      <c r="Y1848" s="74">
        <v>2.8000000000000001E-2</v>
      </c>
    </row>
    <row r="1849" spans="1:31" ht="15" customHeight="1">
      <c r="A1849" s="41" t="s">
        <v>183</v>
      </c>
      <c r="B1849" s="402" t="s">
        <v>2096</v>
      </c>
      <c r="C1849" s="113" t="s">
        <v>1236</v>
      </c>
      <c r="D1849" s="393" t="s">
        <v>111</v>
      </c>
      <c r="E1849" s="394" t="s">
        <v>112</v>
      </c>
      <c r="G1849" s="405" t="s">
        <v>3602</v>
      </c>
      <c r="H1849" s="113">
        <v>3316</v>
      </c>
      <c r="I1849" s="49" t="s">
        <v>1</v>
      </c>
      <c r="J1849" s="48" t="s">
        <v>171</v>
      </c>
      <c r="K1849" s="51">
        <v>41376</v>
      </c>
      <c r="L1849" s="173">
        <v>41365</v>
      </c>
      <c r="M1849" s="50">
        <f t="shared" si="100"/>
        <v>11</v>
      </c>
      <c r="N1849" s="50" t="s">
        <v>2</v>
      </c>
      <c r="O1849" s="74">
        <v>1.6</v>
      </c>
      <c r="P1849" s="50">
        <v>7.9</v>
      </c>
      <c r="Q1849" s="74">
        <v>7.8</v>
      </c>
      <c r="R1849" s="50">
        <v>18.7</v>
      </c>
      <c r="S1849" s="74">
        <v>32</v>
      </c>
      <c r="T1849" s="50">
        <v>0.27</v>
      </c>
      <c r="U1849" s="131">
        <v>1.5</v>
      </c>
      <c r="V1849" s="50">
        <v>0.05</v>
      </c>
      <c r="W1849" s="74">
        <v>8.9999999999999993E-3</v>
      </c>
      <c r="X1849" s="50">
        <v>0.05</v>
      </c>
      <c r="Y1849" s="74">
        <v>3.0000000000000001E-3</v>
      </c>
    </row>
    <row r="1850" spans="1:31" ht="15" customHeight="1">
      <c r="A1850" s="41" t="s">
        <v>183</v>
      </c>
      <c r="B1850" s="386" t="s">
        <v>204</v>
      </c>
      <c r="C1850" s="149" t="s">
        <v>204</v>
      </c>
      <c r="D1850" s="392" t="s">
        <v>205</v>
      </c>
      <c r="E1850" s="258"/>
      <c r="F1850" s="386"/>
      <c r="G1850" s="389" t="s">
        <v>206</v>
      </c>
      <c r="H1850" s="55">
        <v>8744</v>
      </c>
      <c r="I1850" s="54" t="s">
        <v>2</v>
      </c>
      <c r="J1850" s="61" t="s">
        <v>81</v>
      </c>
      <c r="K1850" s="51">
        <v>41030</v>
      </c>
      <c r="L1850" s="173">
        <v>41022</v>
      </c>
      <c r="M1850" s="50">
        <f t="shared" si="100"/>
        <v>8</v>
      </c>
      <c r="N1850" s="50" t="s">
        <v>2</v>
      </c>
      <c r="O1850" s="74">
        <f>1.4/2</f>
        <v>0.7</v>
      </c>
      <c r="P1850" s="50">
        <v>6.9</v>
      </c>
      <c r="Q1850" s="74">
        <v>7.03</v>
      </c>
      <c r="R1850" s="50">
        <v>13</v>
      </c>
      <c r="S1850" s="74">
        <v>56</v>
      </c>
      <c r="T1850" s="50">
        <v>0.13</v>
      </c>
      <c r="U1850" s="131">
        <v>0.77</v>
      </c>
      <c r="W1850" s="74">
        <v>4.2000000000000003E-2</v>
      </c>
      <c r="X1850" s="50">
        <v>5.3999999999999999E-2</v>
      </c>
      <c r="Y1850" s="74">
        <v>8.9999999999999993E-3</v>
      </c>
      <c r="Z1850" s="271">
        <v>1</v>
      </c>
      <c r="AA1850" s="271">
        <v>1</v>
      </c>
      <c r="AB1850" s="114">
        <v>10</v>
      </c>
      <c r="AC1850" s="50">
        <v>42</v>
      </c>
      <c r="AD1850" s="271">
        <v>1</v>
      </c>
    </row>
    <row r="1851" spans="1:31" ht="15" customHeight="1">
      <c r="A1851" s="41" t="s">
        <v>183</v>
      </c>
      <c r="B1851" s="386" t="s">
        <v>204</v>
      </c>
      <c r="C1851" s="149" t="s">
        <v>204</v>
      </c>
      <c r="D1851" s="392" t="s">
        <v>205</v>
      </c>
      <c r="E1851" s="258"/>
      <c r="F1851" s="386"/>
      <c r="G1851" s="389" t="s">
        <v>206</v>
      </c>
      <c r="H1851" s="55">
        <v>8744</v>
      </c>
      <c r="I1851" s="54" t="s">
        <v>2</v>
      </c>
      <c r="J1851" s="61" t="s">
        <v>422</v>
      </c>
      <c r="K1851" s="51">
        <v>41030</v>
      </c>
      <c r="L1851" s="173">
        <v>41022</v>
      </c>
      <c r="M1851" s="50">
        <f t="shared" si="100"/>
        <v>8</v>
      </c>
      <c r="N1851" s="50" t="s">
        <v>2</v>
      </c>
      <c r="O1851" s="74">
        <f>1.4/2</f>
        <v>0.7</v>
      </c>
      <c r="P1851" s="50">
        <v>6.8</v>
      </c>
      <c r="Q1851" s="74">
        <v>6.66</v>
      </c>
      <c r="R1851" s="50">
        <v>11</v>
      </c>
      <c r="S1851" s="74">
        <f>5/2</f>
        <v>2.5</v>
      </c>
      <c r="T1851" s="50">
        <v>0.05</v>
      </c>
      <c r="U1851" s="131">
        <v>0.43</v>
      </c>
      <c r="V1851" s="50">
        <v>0.1</v>
      </c>
      <c r="W1851" s="74">
        <f>0.005/2</f>
        <v>2.5000000000000001E-3</v>
      </c>
      <c r="X1851" s="50">
        <v>5.0000000000000001E-3</v>
      </c>
      <c r="Y1851" s="74">
        <f>0.002/2</f>
        <v>1E-3</v>
      </c>
      <c r="Z1851" s="271">
        <v>1</v>
      </c>
      <c r="AA1851" s="271">
        <v>1</v>
      </c>
      <c r="AB1851" s="114">
        <v>2</v>
      </c>
      <c r="AC1851" s="50">
        <v>6</v>
      </c>
      <c r="AD1851" s="271">
        <v>0.95</v>
      </c>
    </row>
    <row r="1852" spans="1:31" ht="15" customHeight="1">
      <c r="A1852" s="41" t="s">
        <v>183</v>
      </c>
      <c r="B1852" s="386" t="s">
        <v>204</v>
      </c>
      <c r="C1852" s="149" t="s">
        <v>204</v>
      </c>
      <c r="D1852" s="392" t="s">
        <v>205</v>
      </c>
      <c r="E1852" s="258"/>
      <c r="F1852" s="386"/>
      <c r="G1852" s="389" t="s">
        <v>206</v>
      </c>
      <c r="H1852" s="55">
        <v>8744</v>
      </c>
      <c r="I1852" s="54" t="s">
        <v>2</v>
      </c>
      <c r="J1852" s="61" t="s">
        <v>81</v>
      </c>
      <c r="K1852" s="51">
        <v>41432</v>
      </c>
      <c r="L1852" s="173"/>
      <c r="N1852" s="50" t="s">
        <v>2</v>
      </c>
      <c r="O1852" s="74">
        <f>1.4/2</f>
        <v>0.7</v>
      </c>
      <c r="Q1852" s="74">
        <v>7.3</v>
      </c>
      <c r="R1852" s="50">
        <v>21</v>
      </c>
      <c r="S1852" s="74">
        <v>5</v>
      </c>
      <c r="T1852" s="50">
        <v>7.0000000000000007E-2</v>
      </c>
      <c r="U1852" s="131">
        <v>0.35</v>
      </c>
      <c r="V1852" s="50">
        <v>0.13</v>
      </c>
      <c r="W1852" s="74">
        <f>0.005/2</f>
        <v>2.5000000000000001E-3</v>
      </c>
      <c r="X1852" s="50">
        <v>8.9999999999999993E-3</v>
      </c>
      <c r="Y1852" s="74">
        <f>0.002/2</f>
        <v>1E-3</v>
      </c>
      <c r="Z1852" s="271">
        <v>1</v>
      </c>
      <c r="AA1852" s="271">
        <v>1</v>
      </c>
      <c r="AB1852" s="114">
        <v>6</v>
      </c>
      <c r="AC1852" s="50">
        <v>20</v>
      </c>
      <c r="AD1852" s="271">
        <v>1</v>
      </c>
    </row>
    <row r="1853" spans="1:31" ht="15" customHeight="1">
      <c r="A1853" s="41" t="s">
        <v>183</v>
      </c>
      <c r="B1853" s="386" t="s">
        <v>2505</v>
      </c>
      <c r="C1853" s="149"/>
      <c r="D1853" s="393" t="s">
        <v>480</v>
      </c>
      <c r="G1853" s="405" t="s">
        <v>2506</v>
      </c>
      <c r="H1853" s="74"/>
      <c r="J1853" s="339"/>
      <c r="K1853" s="51">
        <v>41520</v>
      </c>
      <c r="L1853" s="173"/>
      <c r="N1853" s="50" t="s">
        <v>2</v>
      </c>
      <c r="O1853" s="74">
        <v>2.4</v>
      </c>
      <c r="Q1853" s="74">
        <v>8.18</v>
      </c>
      <c r="R1853" s="50">
        <v>68.8</v>
      </c>
      <c r="S1853" s="74">
        <v>1</v>
      </c>
      <c r="T1853" s="50">
        <v>0.11</v>
      </c>
      <c r="U1853" s="131">
        <v>1.36</v>
      </c>
      <c r="V1853" s="50">
        <v>1.46</v>
      </c>
      <c r="W1853" s="74">
        <v>1.4999999999999999E-2</v>
      </c>
      <c r="X1853" s="50">
        <v>0.09</v>
      </c>
      <c r="Y1853" s="74">
        <v>3.0000000000000001E-3</v>
      </c>
    </row>
    <row r="1854" spans="1:31" ht="15" customHeight="1">
      <c r="A1854" s="41" t="s">
        <v>183</v>
      </c>
      <c r="B1854" s="386" t="s">
        <v>5103</v>
      </c>
      <c r="C1854" s="149"/>
      <c r="D1854" s="393" t="s">
        <v>103</v>
      </c>
      <c r="G1854" s="405" t="s">
        <v>5102</v>
      </c>
      <c r="H1854" s="74">
        <v>3499</v>
      </c>
      <c r="J1854" s="339" t="s">
        <v>2118</v>
      </c>
      <c r="K1854" s="51">
        <v>41117</v>
      </c>
      <c r="L1854" s="173">
        <v>41112</v>
      </c>
      <c r="M1854" s="50">
        <f>K1854-L1854</f>
        <v>5</v>
      </c>
      <c r="N1854" s="50" t="s">
        <v>2</v>
      </c>
      <c r="O1854" s="74">
        <f>1.5/2</f>
        <v>0.75</v>
      </c>
      <c r="Q1854" s="74">
        <v>7.69</v>
      </c>
      <c r="R1854" s="50">
        <f>10/2</f>
        <v>5</v>
      </c>
      <c r="S1854" s="74">
        <v>17</v>
      </c>
      <c r="T1854" s="50">
        <v>7.0000000000000007E-2</v>
      </c>
      <c r="U1854" s="131">
        <v>0.56999999999999995</v>
      </c>
      <c r="V1854" s="50">
        <v>1.17</v>
      </c>
      <c r="W1854" s="74">
        <v>2.4E-2</v>
      </c>
      <c r="X1854" s="50">
        <v>5.0000000000000001E-3</v>
      </c>
      <c r="Y1854" s="74">
        <f>0.002/2</f>
        <v>1E-3</v>
      </c>
      <c r="Z1854" s="271">
        <v>1</v>
      </c>
      <c r="AA1854" s="271">
        <v>1</v>
      </c>
      <c r="AB1854" s="114">
        <v>100</v>
      </c>
      <c r="AC1854" s="50">
        <v>320</v>
      </c>
      <c r="AD1854" s="271">
        <v>1</v>
      </c>
    </row>
    <row r="1855" spans="1:31" ht="15" customHeight="1">
      <c r="A1855" s="41" t="s">
        <v>183</v>
      </c>
      <c r="B1855" s="386" t="s">
        <v>5103</v>
      </c>
      <c r="C1855" s="149"/>
      <c r="D1855" s="393" t="s">
        <v>103</v>
      </c>
      <c r="G1855" s="405" t="s">
        <v>5102</v>
      </c>
      <c r="H1855" s="74">
        <v>3499</v>
      </c>
      <c r="J1855" s="339" t="s">
        <v>2118</v>
      </c>
      <c r="K1855" s="51">
        <v>41260</v>
      </c>
      <c r="L1855" s="173"/>
      <c r="N1855" s="50" t="s">
        <v>2</v>
      </c>
      <c r="O1855" s="74">
        <f>1.5/2</f>
        <v>0.75</v>
      </c>
      <c r="P1855" s="50">
        <v>7.86</v>
      </c>
      <c r="Q1855" s="74">
        <v>7.84</v>
      </c>
      <c r="R1855" s="50">
        <f>10/2</f>
        <v>5</v>
      </c>
      <c r="S1855" s="74">
        <v>15</v>
      </c>
      <c r="T1855" s="50">
        <v>0.22</v>
      </c>
      <c r="U1855" s="131">
        <v>2.69</v>
      </c>
      <c r="V1855" s="50">
        <v>1.23</v>
      </c>
      <c r="W1855" s="74">
        <v>2.5999999999999999E-2</v>
      </c>
      <c r="X1855" s="50">
        <v>6.5000000000000002E-2</v>
      </c>
      <c r="Y1855" s="74">
        <v>8.0000000000000002E-3</v>
      </c>
      <c r="Z1855" s="271">
        <v>1</v>
      </c>
      <c r="AA1855" s="271">
        <v>1</v>
      </c>
      <c r="AB1855" s="114">
        <v>80</v>
      </c>
      <c r="AC1855" s="50">
        <v>261</v>
      </c>
      <c r="AD1855" s="271">
        <v>1</v>
      </c>
    </row>
    <row r="1856" spans="1:31" ht="15" customHeight="1">
      <c r="A1856" s="41" t="s">
        <v>183</v>
      </c>
      <c r="B1856" s="386" t="s">
        <v>5103</v>
      </c>
      <c r="C1856" s="149"/>
      <c r="D1856" s="393" t="s">
        <v>103</v>
      </c>
      <c r="G1856" s="405" t="s">
        <v>5102</v>
      </c>
      <c r="H1856" s="74"/>
      <c r="J1856" s="339" t="s">
        <v>2118</v>
      </c>
      <c r="K1856" s="51">
        <v>41513</v>
      </c>
      <c r="L1856" s="173"/>
      <c r="N1856" s="50" t="s">
        <v>2</v>
      </c>
      <c r="O1856" s="74">
        <f>1.5/2</f>
        <v>0.75</v>
      </c>
      <c r="P1856" s="50">
        <v>7.7</v>
      </c>
      <c r="Q1856" s="74">
        <v>7.6</v>
      </c>
      <c r="R1856" s="50">
        <v>17</v>
      </c>
      <c r="S1856" s="74">
        <v>50</v>
      </c>
      <c r="T1856" s="50">
        <v>0.12</v>
      </c>
      <c r="U1856" s="131">
        <v>0.74</v>
      </c>
      <c r="V1856" s="50">
        <v>0.7</v>
      </c>
      <c r="W1856" s="74">
        <f>0.005/2</f>
        <v>2.5000000000000001E-3</v>
      </c>
      <c r="X1856" s="50">
        <v>1.2E-2</v>
      </c>
      <c r="Y1856" s="74">
        <f>0.002/2</f>
        <v>1E-3</v>
      </c>
      <c r="Z1856" s="271">
        <v>1</v>
      </c>
      <c r="AA1856" s="271">
        <v>1</v>
      </c>
      <c r="AB1856" s="114">
        <v>68</v>
      </c>
      <c r="AC1856" s="50">
        <v>246</v>
      </c>
      <c r="AD1856" s="271">
        <v>1</v>
      </c>
    </row>
    <row r="1857" spans="1:31" ht="15" customHeight="1">
      <c r="A1857" s="41" t="s">
        <v>183</v>
      </c>
      <c r="B1857" s="402" t="s">
        <v>2065</v>
      </c>
      <c r="D1857" s="393" t="s">
        <v>314</v>
      </c>
      <c r="E1857" s="394" t="s">
        <v>2066</v>
      </c>
      <c r="G1857" s="405" t="s">
        <v>3593</v>
      </c>
      <c r="H1857" s="113">
        <v>3444</v>
      </c>
      <c r="I1857" s="49" t="s">
        <v>2</v>
      </c>
      <c r="J1857" s="48" t="s">
        <v>81</v>
      </c>
      <c r="K1857" s="51">
        <v>41578</v>
      </c>
      <c r="L1857" s="173">
        <v>41554</v>
      </c>
      <c r="M1857" s="50">
        <f>K1857-L1857</f>
        <v>24</v>
      </c>
      <c r="N1857" s="50" t="s">
        <v>2</v>
      </c>
      <c r="O1857" s="74">
        <f>1.4/2</f>
        <v>0.7</v>
      </c>
      <c r="P1857" s="50">
        <v>5.33</v>
      </c>
      <c r="Q1857" s="74">
        <v>6.35</v>
      </c>
      <c r="R1857" s="50">
        <v>26</v>
      </c>
      <c r="S1857" s="74">
        <v>8</v>
      </c>
      <c r="T1857" s="50">
        <v>0.14000000000000001</v>
      </c>
      <c r="U1857" s="131">
        <v>1.64</v>
      </c>
      <c r="V1857" s="50">
        <f>0.01/2</f>
        <v>5.0000000000000001E-3</v>
      </c>
      <c r="W1857" s="74">
        <v>1.2E-2</v>
      </c>
      <c r="X1857" s="50">
        <v>6.0000000000000001E-3</v>
      </c>
      <c r="Y1857" s="74">
        <v>5.0000000000000001E-3</v>
      </c>
    </row>
    <row r="1858" spans="1:31" ht="15" customHeight="1">
      <c r="A1858" s="41" t="s">
        <v>183</v>
      </c>
      <c r="B1858" s="402" t="s">
        <v>2065</v>
      </c>
      <c r="D1858" s="393" t="s">
        <v>314</v>
      </c>
      <c r="E1858" s="394" t="s">
        <v>2066</v>
      </c>
      <c r="G1858" s="405" t="s">
        <v>3593</v>
      </c>
      <c r="H1858" s="113">
        <v>3444</v>
      </c>
      <c r="I1858" s="49" t="s">
        <v>2</v>
      </c>
      <c r="J1858" s="48" t="s">
        <v>114</v>
      </c>
      <c r="K1858" s="51">
        <v>41578</v>
      </c>
      <c r="L1858" s="173">
        <v>41554</v>
      </c>
      <c r="M1858" s="50">
        <f>K1858-L1858</f>
        <v>24</v>
      </c>
      <c r="N1858" s="50" t="s">
        <v>2</v>
      </c>
      <c r="O1858" s="74">
        <f>1.4/2</f>
        <v>0.7</v>
      </c>
      <c r="P1858" s="50">
        <v>5.33</v>
      </c>
      <c r="Q1858" s="74">
        <v>6.64</v>
      </c>
      <c r="R1858" s="50">
        <v>26</v>
      </c>
      <c r="S1858" s="74">
        <v>12</v>
      </c>
      <c r="T1858" s="50">
        <v>0.16</v>
      </c>
      <c r="U1858" s="131">
        <v>1.63</v>
      </c>
      <c r="V1858" s="50">
        <v>0.01</v>
      </c>
      <c r="W1858" s="74">
        <v>8.9999999999999993E-3</v>
      </c>
      <c r="X1858" s="50">
        <v>2.7E-2</v>
      </c>
      <c r="Y1858" s="74">
        <v>8.0000000000000002E-3</v>
      </c>
    </row>
    <row r="1859" spans="1:31" ht="15" customHeight="1">
      <c r="A1859" s="41" t="s">
        <v>183</v>
      </c>
      <c r="B1859" s="402" t="s">
        <v>2065</v>
      </c>
      <c r="D1859" s="393" t="s">
        <v>314</v>
      </c>
      <c r="E1859" s="394" t="s">
        <v>2066</v>
      </c>
      <c r="G1859" s="405" t="s">
        <v>3593</v>
      </c>
      <c r="H1859" s="113">
        <v>3444</v>
      </c>
      <c r="I1859" s="49" t="s">
        <v>2</v>
      </c>
      <c r="J1859" s="48" t="s">
        <v>115</v>
      </c>
      <c r="K1859" s="51">
        <v>41578</v>
      </c>
      <c r="L1859" s="173">
        <v>41554</v>
      </c>
      <c r="M1859" s="50">
        <f>K1859-L1859</f>
        <v>24</v>
      </c>
      <c r="N1859" s="50" t="s">
        <v>2</v>
      </c>
      <c r="O1859" s="74">
        <f>1.4/2</f>
        <v>0.7</v>
      </c>
      <c r="P1859" s="50">
        <v>5.33</v>
      </c>
      <c r="Q1859" s="74">
        <v>5.96</v>
      </c>
      <c r="R1859" s="50">
        <v>48</v>
      </c>
      <c r="S1859" s="74">
        <v>13</v>
      </c>
      <c r="T1859" s="50">
        <v>0.54</v>
      </c>
      <c r="U1859" s="131">
        <v>2.66</v>
      </c>
      <c r="V1859" s="50">
        <v>0.03</v>
      </c>
      <c r="W1859" s="74">
        <v>1.6E-2</v>
      </c>
      <c r="X1859" s="50">
        <v>2.9000000000000001E-2</v>
      </c>
      <c r="Y1859" s="74">
        <v>7.0000000000000001E-3</v>
      </c>
    </row>
    <row r="1860" spans="1:31" ht="15" customHeight="1">
      <c r="A1860" s="41" t="s">
        <v>183</v>
      </c>
      <c r="B1860" s="402" t="s">
        <v>2065</v>
      </c>
      <c r="D1860" s="393" t="s">
        <v>314</v>
      </c>
      <c r="E1860" s="394" t="s">
        <v>2066</v>
      </c>
      <c r="G1860" s="405" t="s">
        <v>3593</v>
      </c>
      <c r="H1860" s="113">
        <v>3444</v>
      </c>
      <c r="I1860" s="49" t="s">
        <v>2</v>
      </c>
      <c r="J1860" s="48" t="s">
        <v>924</v>
      </c>
      <c r="K1860" s="51">
        <v>41578</v>
      </c>
      <c r="L1860" s="173">
        <v>41554</v>
      </c>
      <c r="M1860" s="50">
        <f>K1860-L1860</f>
        <v>24</v>
      </c>
      <c r="N1860" s="50" t="s">
        <v>2</v>
      </c>
      <c r="O1860" s="74">
        <f>1.4/2</f>
        <v>0.7</v>
      </c>
      <c r="P1860" s="50">
        <v>5.33</v>
      </c>
      <c r="Q1860" s="74">
        <v>7.06</v>
      </c>
      <c r="R1860" s="50">
        <v>39</v>
      </c>
      <c r="S1860" s="74">
        <v>5</v>
      </c>
      <c r="T1860" s="50">
        <v>0.11</v>
      </c>
      <c r="U1860" s="131">
        <v>1.49</v>
      </c>
      <c r="V1860" s="50">
        <v>0.14000000000000001</v>
      </c>
      <c r="W1860" s="74">
        <v>8.9999999999999993E-3</v>
      </c>
      <c r="X1860" s="50">
        <v>3.1E-2</v>
      </c>
      <c r="Y1860" s="74">
        <v>4.0000000000000001E-3</v>
      </c>
    </row>
    <row r="1861" spans="1:31" ht="15" customHeight="1">
      <c r="A1861" s="41" t="s">
        <v>183</v>
      </c>
      <c r="B1861" s="402" t="s">
        <v>191</v>
      </c>
      <c r="C1861" s="113" t="s">
        <v>191</v>
      </c>
      <c r="D1861" s="393" t="s">
        <v>192</v>
      </c>
      <c r="E1861" s="394" t="s">
        <v>44</v>
      </c>
      <c r="G1861" s="405" t="s">
        <v>193</v>
      </c>
      <c r="H1861" s="74">
        <v>4952</v>
      </c>
      <c r="I1861" s="50" t="s">
        <v>2</v>
      </c>
      <c r="J1861" s="74" t="s">
        <v>194</v>
      </c>
      <c r="K1861" s="51">
        <v>41585</v>
      </c>
      <c r="L1861" s="173">
        <v>41580</v>
      </c>
      <c r="M1861" s="50">
        <f>K1861-L1861</f>
        <v>5</v>
      </c>
      <c r="N1861" s="50" t="s">
        <v>2</v>
      </c>
      <c r="O1861" s="74">
        <f>1/2</f>
        <v>0.5</v>
      </c>
      <c r="P1861" s="50">
        <v>4.7</v>
      </c>
      <c r="Q1861" s="74">
        <v>6.77</v>
      </c>
      <c r="R1861" s="50">
        <v>22.3</v>
      </c>
      <c r="S1861" s="74">
        <v>8</v>
      </c>
      <c r="T1861" s="50">
        <v>0.1</v>
      </c>
      <c r="U1861" s="131">
        <v>0.9</v>
      </c>
      <c r="V1861" s="50">
        <v>1.01</v>
      </c>
      <c r="W1861" s="74">
        <v>1.9E-2</v>
      </c>
      <c r="X1861" s="50">
        <v>9.9000000000000005E-2</v>
      </c>
      <c r="Y1861" s="74">
        <v>3.0000000000000001E-3</v>
      </c>
      <c r="AE1861" s="50">
        <v>40</v>
      </c>
    </row>
    <row r="1862" spans="1:31" ht="15" customHeight="1">
      <c r="A1862" s="41" t="s">
        <v>183</v>
      </c>
      <c r="B1862" s="385" t="s">
        <v>2101</v>
      </c>
      <c r="C1862" s="18"/>
      <c r="D1862" s="377" t="s">
        <v>303</v>
      </c>
      <c r="E1862" s="20"/>
      <c r="F1862" s="385"/>
      <c r="G1862" s="390" t="s">
        <v>3603</v>
      </c>
      <c r="H1862" s="6"/>
      <c r="I1862" s="7"/>
      <c r="J1862" s="344" t="s">
        <v>4291</v>
      </c>
      <c r="K1862" s="51">
        <v>41508</v>
      </c>
      <c r="L1862" s="173"/>
      <c r="N1862" s="50" t="s">
        <v>2</v>
      </c>
      <c r="O1862" s="74">
        <f>1/2</f>
        <v>0.5</v>
      </c>
      <c r="P1862" s="50">
        <v>5.12</v>
      </c>
      <c r="Q1862" s="74">
        <v>6.86</v>
      </c>
      <c r="R1862" s="50">
        <v>62</v>
      </c>
      <c r="S1862" s="74">
        <v>68</v>
      </c>
      <c r="T1862" s="50">
        <v>0.23</v>
      </c>
      <c r="U1862" s="131">
        <v>1.54</v>
      </c>
      <c r="V1862" s="50">
        <v>0.51</v>
      </c>
      <c r="W1862" s="74">
        <v>0.33</v>
      </c>
      <c r="X1862" s="50">
        <v>0.26</v>
      </c>
      <c r="Y1862" s="74">
        <f>0.05/2</f>
        <v>2.5000000000000001E-2</v>
      </c>
      <c r="Z1862" s="271">
        <v>0.46700000000000003</v>
      </c>
      <c r="AA1862" s="271">
        <v>0.35399999999999998</v>
      </c>
      <c r="AB1862" s="114">
        <v>75</v>
      </c>
      <c r="AC1862" s="50">
        <v>67</v>
      </c>
      <c r="AD1862" s="271">
        <v>0</v>
      </c>
    </row>
    <row r="1863" spans="1:31" ht="15" customHeight="1">
      <c r="A1863" s="41" t="s">
        <v>183</v>
      </c>
      <c r="B1863" s="385" t="s">
        <v>2101</v>
      </c>
      <c r="C1863" s="18"/>
      <c r="D1863" s="377" t="s">
        <v>303</v>
      </c>
      <c r="E1863" s="20"/>
      <c r="F1863" s="385"/>
      <c r="G1863" s="390" t="s">
        <v>3603</v>
      </c>
      <c r="H1863" s="6"/>
      <c r="I1863" s="7"/>
      <c r="J1863" s="344" t="s">
        <v>4292</v>
      </c>
      <c r="K1863" s="51">
        <v>41508</v>
      </c>
      <c r="L1863" s="173"/>
      <c r="N1863" s="50" t="s">
        <v>2</v>
      </c>
      <c r="O1863" s="74">
        <f>1/2</f>
        <v>0.5</v>
      </c>
      <c r="P1863" s="50">
        <v>5.03</v>
      </c>
      <c r="Q1863" s="74">
        <v>6.55</v>
      </c>
      <c r="R1863" s="50">
        <v>46</v>
      </c>
      <c r="S1863" s="74">
        <v>27</v>
      </c>
      <c r="T1863" s="50">
        <v>0.18</v>
      </c>
      <c r="U1863" s="131">
        <v>7.32</v>
      </c>
      <c r="V1863" s="50">
        <v>0.77</v>
      </c>
      <c r="W1863" s="74">
        <v>0.24</v>
      </c>
      <c r="X1863" s="50">
        <v>0.19</v>
      </c>
      <c r="Y1863" s="74">
        <f>0.05/2</f>
        <v>2.5000000000000001E-2</v>
      </c>
      <c r="Z1863" s="271">
        <v>0.35399999999999998</v>
      </c>
      <c r="AA1863" s="271">
        <v>0.35399999999999998</v>
      </c>
      <c r="AB1863" s="114">
        <v>70</v>
      </c>
      <c r="AC1863" s="50">
        <v>88</v>
      </c>
      <c r="AD1863" s="271">
        <v>0</v>
      </c>
    </row>
    <row r="1864" spans="1:31" ht="15" customHeight="1">
      <c r="A1864" s="41" t="s">
        <v>183</v>
      </c>
      <c r="B1864" s="402" t="s">
        <v>220</v>
      </c>
      <c r="C1864" s="113" t="s">
        <v>220</v>
      </c>
      <c r="D1864" s="393" t="s">
        <v>41</v>
      </c>
      <c r="E1864" s="394" t="s">
        <v>221</v>
      </c>
      <c r="G1864" s="405" t="s">
        <v>222</v>
      </c>
      <c r="H1864" s="49" t="s">
        <v>223</v>
      </c>
      <c r="I1864" s="50" t="s">
        <v>1</v>
      </c>
      <c r="J1864" s="76" t="s">
        <v>225</v>
      </c>
      <c r="K1864" s="51">
        <v>41585</v>
      </c>
      <c r="L1864" s="173">
        <v>41579</v>
      </c>
      <c r="M1864" s="50">
        <f>K1864-L1864</f>
        <v>6</v>
      </c>
      <c r="N1864" s="50" t="s">
        <v>2</v>
      </c>
      <c r="X1864" s="50">
        <v>0.16200000000000001</v>
      </c>
    </row>
    <row r="1865" spans="1:31" ht="15" customHeight="1">
      <c r="A1865" s="41" t="s">
        <v>183</v>
      </c>
      <c r="B1865" s="402" t="s">
        <v>2004</v>
      </c>
      <c r="D1865" s="393" t="s">
        <v>1830</v>
      </c>
      <c r="E1865" s="394" t="s">
        <v>2005</v>
      </c>
      <c r="G1865" s="405" t="s">
        <v>2006</v>
      </c>
      <c r="H1865" s="74">
        <v>3496</v>
      </c>
      <c r="I1865" s="50" t="s">
        <v>2</v>
      </c>
      <c r="J1865" s="339" t="s">
        <v>510</v>
      </c>
      <c r="K1865" s="51">
        <v>41529</v>
      </c>
      <c r="L1865" s="173">
        <v>41519</v>
      </c>
      <c r="M1865" s="50">
        <f>K1865-L1865</f>
        <v>10</v>
      </c>
      <c r="N1865" s="50" t="s">
        <v>2</v>
      </c>
      <c r="O1865" s="74">
        <f>1/2</f>
        <v>0.5</v>
      </c>
      <c r="P1865" s="50">
        <v>6.9</v>
      </c>
      <c r="Q1865" s="74">
        <v>6.5</v>
      </c>
      <c r="R1865" s="50">
        <f>1/2</f>
        <v>0.5</v>
      </c>
      <c r="S1865" s="74">
        <v>8</v>
      </c>
      <c r="T1865" s="50">
        <v>0.06</v>
      </c>
      <c r="U1865" s="131">
        <v>0.84</v>
      </c>
      <c r="V1865" s="50">
        <v>1.38</v>
      </c>
      <c r="W1865" s="74">
        <v>1.4E-2</v>
      </c>
      <c r="X1865" s="50">
        <v>2.5000000000000001E-2</v>
      </c>
      <c r="Y1865" s="74">
        <f>0.5/2</f>
        <v>0.25</v>
      </c>
    </row>
    <row r="1866" spans="1:31" ht="15" customHeight="1">
      <c r="A1866" s="41" t="s">
        <v>183</v>
      </c>
      <c r="B1866" s="386" t="s">
        <v>123</v>
      </c>
      <c r="C1866" s="149" t="s">
        <v>123</v>
      </c>
      <c r="D1866" s="392" t="s">
        <v>41</v>
      </c>
      <c r="E1866" s="258" t="s">
        <v>960</v>
      </c>
      <c r="F1866" s="386" t="s">
        <v>961</v>
      </c>
      <c r="G1866" s="363" t="s">
        <v>153</v>
      </c>
      <c r="H1866" s="55">
        <v>3471</v>
      </c>
      <c r="I1866" s="54" t="s">
        <v>2</v>
      </c>
      <c r="J1866" s="61" t="s">
        <v>4247</v>
      </c>
      <c r="K1866" s="51">
        <v>41579</v>
      </c>
      <c r="L1866" s="173">
        <v>41566</v>
      </c>
      <c r="M1866" s="50">
        <f>K1866-L1866</f>
        <v>13</v>
      </c>
      <c r="N1866" s="50" t="s">
        <v>2</v>
      </c>
      <c r="Q1866" s="74">
        <v>6.04</v>
      </c>
      <c r="X1866" s="50">
        <v>0.872</v>
      </c>
    </row>
    <row r="1867" spans="1:31" ht="15" customHeight="1">
      <c r="A1867" s="41" t="s">
        <v>183</v>
      </c>
      <c r="B1867" s="402" t="s">
        <v>1415</v>
      </c>
      <c r="C1867" s="113" t="s">
        <v>1416</v>
      </c>
      <c r="D1867" s="393" t="s">
        <v>78</v>
      </c>
      <c r="E1867" s="394" t="s">
        <v>1417</v>
      </c>
      <c r="G1867" s="405" t="s">
        <v>1418</v>
      </c>
      <c r="H1867" s="74">
        <v>3272</v>
      </c>
      <c r="I1867" s="50" t="s">
        <v>2</v>
      </c>
      <c r="J1867" s="74" t="s">
        <v>130</v>
      </c>
      <c r="K1867" s="51">
        <v>41539</v>
      </c>
      <c r="L1867" s="173">
        <v>41530</v>
      </c>
      <c r="M1867" s="50">
        <f t="shared" ref="M1867:M1912" si="102">K1867-L1867</f>
        <v>9</v>
      </c>
      <c r="N1867" s="50" t="s">
        <v>2</v>
      </c>
      <c r="O1867" s="74">
        <f>5/2</f>
        <v>2.5</v>
      </c>
      <c r="P1867" s="50">
        <v>6.2</v>
      </c>
      <c r="Q1867" s="74">
        <v>8</v>
      </c>
      <c r="R1867" s="50">
        <f>5/2</f>
        <v>2.5</v>
      </c>
      <c r="S1867" s="74">
        <f>5/2</f>
        <v>2.5</v>
      </c>
      <c r="T1867" s="50">
        <f>0.1/2</f>
        <v>0.05</v>
      </c>
      <c r="U1867" s="131">
        <f>1/2</f>
        <v>0.5</v>
      </c>
      <c r="V1867" s="50">
        <f>0.1/2</f>
        <v>0.05</v>
      </c>
      <c r="W1867" s="74">
        <f>0.04/2</f>
        <v>0.02</v>
      </c>
      <c r="X1867" s="50">
        <v>2.9000000000000001E-2</v>
      </c>
      <c r="Y1867" s="74">
        <f>0.013/2</f>
        <v>6.4999999999999997E-3</v>
      </c>
    </row>
    <row r="1868" spans="1:31" ht="15" customHeight="1">
      <c r="A1868" s="41" t="s">
        <v>183</v>
      </c>
      <c r="B1868" s="402" t="s">
        <v>1074</v>
      </c>
      <c r="D1868" s="393" t="s">
        <v>2375</v>
      </c>
      <c r="G1868" s="405" t="s">
        <v>1075</v>
      </c>
      <c r="H1868" s="74">
        <v>3479</v>
      </c>
      <c r="I1868" s="50" t="s">
        <v>2</v>
      </c>
      <c r="J1868" s="74" t="s">
        <v>1076</v>
      </c>
      <c r="K1868" s="51">
        <v>41529</v>
      </c>
      <c r="L1868" s="173">
        <v>41519</v>
      </c>
      <c r="M1868" s="50">
        <f t="shared" si="102"/>
        <v>10</v>
      </c>
      <c r="N1868" s="50" t="s">
        <v>2</v>
      </c>
      <c r="O1868" s="74">
        <f>1.8/2</f>
        <v>0.9</v>
      </c>
      <c r="P1868" s="50">
        <v>6.3</v>
      </c>
      <c r="Q1868" s="74">
        <v>6.4</v>
      </c>
      <c r="R1868" s="50">
        <f>20/2</f>
        <v>10</v>
      </c>
      <c r="S1868" s="74">
        <v>17.3</v>
      </c>
      <c r="T1868" s="50">
        <v>0.126</v>
      </c>
      <c r="U1868" s="131">
        <v>1.7</v>
      </c>
      <c r="V1868" s="50">
        <v>0.62</v>
      </c>
      <c r="W1868" s="74">
        <f>0.005/2</f>
        <v>2.5000000000000001E-3</v>
      </c>
      <c r="X1868" s="50">
        <v>3.3000000000000002E-2</v>
      </c>
      <c r="Y1868" s="74">
        <f>0.005/2</f>
        <v>2.5000000000000001E-3</v>
      </c>
    </row>
    <row r="1869" spans="1:31" ht="15" customHeight="1">
      <c r="A1869" s="41" t="s">
        <v>4668</v>
      </c>
      <c r="B1869" s="402" t="s">
        <v>3235</v>
      </c>
      <c r="C1869" s="113" t="s">
        <v>4471</v>
      </c>
      <c r="D1869" s="393" t="s">
        <v>1748</v>
      </c>
      <c r="E1869" s="394" t="s">
        <v>3265</v>
      </c>
      <c r="G1869" s="405" t="s">
        <v>3266</v>
      </c>
      <c r="H1869" s="113">
        <v>3273</v>
      </c>
      <c r="I1869" s="49" t="s">
        <v>2</v>
      </c>
      <c r="J1869" s="48" t="s">
        <v>3144</v>
      </c>
      <c r="K1869" s="51">
        <v>41617</v>
      </c>
      <c r="L1869" s="173">
        <v>41605</v>
      </c>
      <c r="M1869" s="50">
        <f t="shared" si="102"/>
        <v>12</v>
      </c>
      <c r="N1869" s="50" t="s">
        <v>2</v>
      </c>
      <c r="V1869" s="50">
        <v>0.15</v>
      </c>
    </row>
    <row r="1870" spans="1:31" ht="15" customHeight="1">
      <c r="A1870" s="41" t="s">
        <v>183</v>
      </c>
      <c r="B1870" s="402" t="s">
        <v>3955</v>
      </c>
      <c r="C1870" s="113" t="s">
        <v>3956</v>
      </c>
      <c r="D1870" s="393" t="s">
        <v>684</v>
      </c>
      <c r="G1870" s="405" t="s">
        <v>3954</v>
      </c>
      <c r="H1870" s="74">
        <v>3691</v>
      </c>
      <c r="I1870" s="50" t="s">
        <v>1</v>
      </c>
      <c r="J1870" s="339" t="s">
        <v>3957</v>
      </c>
      <c r="K1870" s="51">
        <v>41600</v>
      </c>
      <c r="L1870" s="173">
        <v>41596</v>
      </c>
      <c r="M1870" s="50">
        <f t="shared" si="102"/>
        <v>4</v>
      </c>
      <c r="N1870" s="50" t="s">
        <v>2</v>
      </c>
      <c r="O1870" s="74">
        <f>1.4/2</f>
        <v>0.7</v>
      </c>
      <c r="P1870" s="50">
        <v>6.8</v>
      </c>
      <c r="Q1870" s="74">
        <v>6.1</v>
      </c>
      <c r="R1870" s="50">
        <v>15</v>
      </c>
      <c r="S1870" s="74">
        <f>5/2</f>
        <v>2.5</v>
      </c>
      <c r="T1870" s="50">
        <v>0.02</v>
      </c>
      <c r="U1870" s="131">
        <v>0.64</v>
      </c>
      <c r="V1870" s="50">
        <v>0.37</v>
      </c>
      <c r="W1870" s="74">
        <f>0.005/2</f>
        <v>2.5000000000000001E-3</v>
      </c>
      <c r="X1870" s="50">
        <v>0.09</v>
      </c>
      <c r="Y1870" s="74">
        <f>0.002/2</f>
        <v>1E-3</v>
      </c>
    </row>
    <row r="1871" spans="1:31" ht="15" customHeight="1">
      <c r="A1871" s="41" t="s">
        <v>183</v>
      </c>
      <c r="B1871" s="402" t="s">
        <v>1910</v>
      </c>
      <c r="C1871" s="113" t="s">
        <v>1110</v>
      </c>
      <c r="D1871" s="393" t="s">
        <v>262</v>
      </c>
      <c r="E1871" s="394" t="s">
        <v>128</v>
      </c>
      <c r="G1871" s="405" t="s">
        <v>1876</v>
      </c>
      <c r="H1871" s="74">
        <v>4151</v>
      </c>
      <c r="I1871" s="50" t="s">
        <v>2</v>
      </c>
      <c r="J1871" s="339" t="s">
        <v>1031</v>
      </c>
      <c r="K1871" s="51">
        <v>41495</v>
      </c>
      <c r="L1871" s="173">
        <v>41487</v>
      </c>
      <c r="M1871" s="50">
        <f t="shared" si="102"/>
        <v>8</v>
      </c>
      <c r="N1871" s="50" t="s">
        <v>2</v>
      </c>
      <c r="O1871" s="74">
        <v>1.8</v>
      </c>
      <c r="P1871" s="50">
        <v>4.6900000000000004</v>
      </c>
      <c r="Q1871" s="74">
        <v>6.65</v>
      </c>
      <c r="R1871" s="50">
        <v>128</v>
      </c>
      <c r="S1871" s="74">
        <v>120</v>
      </c>
      <c r="T1871" s="50">
        <v>0.17</v>
      </c>
      <c r="U1871" s="131">
        <v>1.4</v>
      </c>
      <c r="V1871" s="50">
        <v>0.56000000000000005</v>
      </c>
      <c r="W1871" s="74">
        <v>2.7E-2</v>
      </c>
      <c r="X1871" s="50">
        <v>0.189</v>
      </c>
      <c r="Y1871" s="74">
        <v>1.2E-2</v>
      </c>
    </row>
    <row r="1872" spans="1:31" ht="15" customHeight="1">
      <c r="A1872" s="41" t="s">
        <v>183</v>
      </c>
      <c r="B1872" s="402" t="s">
        <v>1910</v>
      </c>
      <c r="C1872" s="113" t="s">
        <v>2239</v>
      </c>
      <c r="D1872" s="393" t="s">
        <v>257</v>
      </c>
      <c r="E1872" s="394" t="s">
        <v>823</v>
      </c>
      <c r="G1872" s="405" t="s">
        <v>2240</v>
      </c>
      <c r="H1872" s="74">
        <v>4151</v>
      </c>
      <c r="I1872" s="50" t="s">
        <v>2</v>
      </c>
      <c r="J1872" s="339" t="s">
        <v>1030</v>
      </c>
      <c r="K1872" s="51">
        <v>41585</v>
      </c>
      <c r="L1872" s="173">
        <v>41554</v>
      </c>
      <c r="M1872" s="50">
        <f t="shared" si="102"/>
        <v>31</v>
      </c>
      <c r="N1872" s="50" t="s">
        <v>2</v>
      </c>
      <c r="O1872" s="74">
        <v>24</v>
      </c>
      <c r="P1872" s="50">
        <v>6.67</v>
      </c>
      <c r="Q1872" s="74">
        <v>7.38</v>
      </c>
      <c r="R1872" s="50">
        <v>150</v>
      </c>
      <c r="S1872" s="74">
        <v>120</v>
      </c>
      <c r="T1872" s="50">
        <v>0.25</v>
      </c>
      <c r="U1872" s="131">
        <v>1.43</v>
      </c>
      <c r="V1872" s="50">
        <v>0.21</v>
      </c>
      <c r="W1872" s="74">
        <v>5.1999999999999998E-2</v>
      </c>
      <c r="X1872" s="50">
        <v>0.154</v>
      </c>
      <c r="Y1872" s="74">
        <v>1.0999999999999999E-2</v>
      </c>
    </row>
    <row r="1873" spans="1:30" ht="15" customHeight="1">
      <c r="A1873" s="41" t="s">
        <v>183</v>
      </c>
      <c r="B1873" s="402" t="s">
        <v>1910</v>
      </c>
      <c r="C1873" s="113" t="s">
        <v>2239</v>
      </c>
      <c r="D1873" s="393" t="s">
        <v>257</v>
      </c>
      <c r="E1873" s="394" t="s">
        <v>823</v>
      </c>
      <c r="G1873" s="405" t="s">
        <v>2240</v>
      </c>
      <c r="H1873" s="74">
        <v>4151</v>
      </c>
      <c r="I1873" s="50" t="s">
        <v>2</v>
      </c>
      <c r="J1873" s="339" t="s">
        <v>1031</v>
      </c>
      <c r="K1873" s="51">
        <v>41585</v>
      </c>
      <c r="L1873" s="173">
        <v>41554</v>
      </c>
      <c r="M1873" s="50">
        <f t="shared" si="102"/>
        <v>31</v>
      </c>
      <c r="N1873" s="50" t="s">
        <v>2</v>
      </c>
      <c r="O1873" s="74">
        <v>3.1</v>
      </c>
      <c r="P1873" s="50">
        <v>6.67</v>
      </c>
      <c r="Q1873" s="74">
        <v>7.46</v>
      </c>
      <c r="R1873" s="50">
        <v>89</v>
      </c>
      <c r="S1873" s="74">
        <v>150</v>
      </c>
      <c r="T1873" s="50">
        <v>0.31</v>
      </c>
      <c r="U1873" s="131">
        <v>1.05</v>
      </c>
      <c r="V1873" s="50">
        <v>0.52</v>
      </c>
      <c r="W1873" s="74">
        <v>3.1E-2</v>
      </c>
      <c r="X1873" s="50">
        <v>9.5000000000000001E-2</v>
      </c>
      <c r="Y1873" s="74">
        <v>0.01</v>
      </c>
    </row>
    <row r="1874" spans="1:30" ht="15" customHeight="1">
      <c r="A1874" s="41" t="s">
        <v>183</v>
      </c>
      <c r="B1874" s="402" t="s">
        <v>1910</v>
      </c>
      <c r="C1874" s="113" t="s">
        <v>2239</v>
      </c>
      <c r="D1874" s="393" t="s">
        <v>257</v>
      </c>
      <c r="E1874" s="394" t="s">
        <v>823</v>
      </c>
      <c r="G1874" s="405" t="s">
        <v>2240</v>
      </c>
      <c r="H1874" s="74">
        <v>4151</v>
      </c>
      <c r="I1874" s="50" t="s">
        <v>2</v>
      </c>
      <c r="J1874" s="339" t="s">
        <v>1032</v>
      </c>
      <c r="K1874" s="51">
        <v>41585</v>
      </c>
      <c r="L1874" s="173">
        <v>41554</v>
      </c>
      <c r="M1874" s="50">
        <f t="shared" si="102"/>
        <v>31</v>
      </c>
      <c r="N1874" s="50" t="s">
        <v>2</v>
      </c>
      <c r="O1874" s="74">
        <v>2.8</v>
      </c>
      <c r="P1874" s="50">
        <v>6.67</v>
      </c>
      <c r="Q1874" s="74">
        <v>7.01</v>
      </c>
      <c r="R1874" s="50">
        <v>98</v>
      </c>
      <c r="S1874" s="74">
        <v>110</v>
      </c>
      <c r="T1874" s="50">
        <v>0.41</v>
      </c>
      <c r="U1874" s="131">
        <v>1.1399999999999999</v>
      </c>
      <c r="V1874" s="50">
        <v>0.44</v>
      </c>
      <c r="W1874" s="74">
        <v>1.9E-2</v>
      </c>
      <c r="X1874" s="50">
        <v>0.17599999999999999</v>
      </c>
      <c r="Y1874" s="74">
        <v>4.0000000000000001E-3</v>
      </c>
    </row>
    <row r="1875" spans="1:30" ht="15" customHeight="1">
      <c r="A1875" s="41" t="s">
        <v>183</v>
      </c>
      <c r="B1875" s="402" t="s">
        <v>1910</v>
      </c>
      <c r="C1875" s="113" t="s">
        <v>2239</v>
      </c>
      <c r="D1875" s="393" t="s">
        <v>257</v>
      </c>
      <c r="E1875" s="394" t="s">
        <v>823</v>
      </c>
      <c r="G1875" s="405" t="s">
        <v>2240</v>
      </c>
      <c r="H1875" s="74">
        <v>4151</v>
      </c>
      <c r="I1875" s="50" t="s">
        <v>2</v>
      </c>
      <c r="J1875" s="339" t="s">
        <v>1032</v>
      </c>
      <c r="K1875" s="51">
        <v>41605</v>
      </c>
      <c r="L1875" s="173">
        <v>41596</v>
      </c>
      <c r="M1875" s="50">
        <f t="shared" si="102"/>
        <v>9</v>
      </c>
      <c r="N1875" s="50" t="s">
        <v>2</v>
      </c>
      <c r="O1875" s="74">
        <f>1.4/2</f>
        <v>0.7</v>
      </c>
      <c r="P1875" s="50">
        <v>7.56</v>
      </c>
      <c r="Q1875" s="74">
        <v>5.75</v>
      </c>
      <c r="R1875" s="50">
        <f>10/2</f>
        <v>5</v>
      </c>
      <c r="S1875" s="74">
        <f>5/2</f>
        <v>2.5</v>
      </c>
      <c r="T1875" s="50">
        <v>0.04</v>
      </c>
      <c r="U1875" s="131">
        <v>0.22</v>
      </c>
      <c r="V1875" s="50">
        <v>0.01</v>
      </c>
      <c r="W1875" s="74">
        <f>0.005/2</f>
        <v>2.5000000000000001E-3</v>
      </c>
      <c r="X1875" s="50">
        <v>5.6000000000000001E-2</v>
      </c>
      <c r="Y1875" s="74">
        <f>0.002/2</f>
        <v>1E-3</v>
      </c>
    </row>
    <row r="1876" spans="1:30" ht="15" customHeight="1">
      <c r="A1876" s="41" t="s">
        <v>183</v>
      </c>
      <c r="B1876" s="402" t="s">
        <v>1910</v>
      </c>
      <c r="C1876" s="113" t="s">
        <v>3679</v>
      </c>
      <c r="D1876" s="393" t="s">
        <v>480</v>
      </c>
      <c r="E1876" s="394" t="s">
        <v>3680</v>
      </c>
      <c r="G1876" s="405" t="s">
        <v>3681</v>
      </c>
      <c r="H1876" s="74">
        <v>4151</v>
      </c>
      <c r="I1876" s="50" t="s">
        <v>1</v>
      </c>
      <c r="J1876" s="339" t="s">
        <v>1030</v>
      </c>
      <c r="K1876" s="51">
        <v>41585</v>
      </c>
      <c r="L1876" s="173">
        <v>41579</v>
      </c>
      <c r="M1876" s="50">
        <f t="shared" si="102"/>
        <v>6</v>
      </c>
      <c r="N1876" s="50" t="s">
        <v>2</v>
      </c>
      <c r="O1876" s="74">
        <v>19</v>
      </c>
      <c r="P1876" s="50">
        <v>4.95</v>
      </c>
      <c r="Q1876" s="74">
        <v>7.48</v>
      </c>
      <c r="R1876" s="50">
        <v>360</v>
      </c>
      <c r="S1876" s="74">
        <v>440</v>
      </c>
      <c r="T1876" s="50">
        <v>0.59</v>
      </c>
      <c r="U1876" s="131">
        <v>1.89</v>
      </c>
      <c r="V1876" s="50">
        <v>0.06</v>
      </c>
      <c r="W1876" s="74">
        <v>6.8000000000000005E-2</v>
      </c>
      <c r="X1876" s="50">
        <v>0.22600000000000001</v>
      </c>
      <c r="Y1876" s="74">
        <v>1.7000000000000001E-2</v>
      </c>
    </row>
    <row r="1877" spans="1:30" ht="15" customHeight="1">
      <c r="A1877" s="41" t="s">
        <v>183</v>
      </c>
      <c r="B1877" s="402" t="s">
        <v>3732</v>
      </c>
      <c r="C1877" s="113" t="s">
        <v>3732</v>
      </c>
      <c r="D1877" s="393" t="s">
        <v>516</v>
      </c>
      <c r="E1877" s="394" t="s">
        <v>2027</v>
      </c>
      <c r="G1877" s="405" t="s">
        <v>2028</v>
      </c>
      <c r="H1877" s="74">
        <v>3291</v>
      </c>
      <c r="I1877" s="50" t="s">
        <v>2</v>
      </c>
      <c r="J1877" s="339"/>
      <c r="K1877" s="51">
        <v>41585</v>
      </c>
      <c r="L1877" s="173">
        <v>41547</v>
      </c>
      <c r="M1877" s="50">
        <f t="shared" si="102"/>
        <v>38</v>
      </c>
      <c r="N1877" s="50" t="s">
        <v>2</v>
      </c>
      <c r="O1877" s="74">
        <f>1.4/2</f>
        <v>0.7</v>
      </c>
      <c r="P1877" s="50">
        <v>5.36</v>
      </c>
      <c r="Q1877" s="74">
        <v>5.98</v>
      </c>
      <c r="R1877" s="50">
        <v>19</v>
      </c>
      <c r="S1877" s="74">
        <f>5/2</f>
        <v>2.5</v>
      </c>
      <c r="T1877" s="50">
        <v>0.02</v>
      </c>
      <c r="U1877" s="131">
        <v>2.11</v>
      </c>
      <c r="V1877" s="50">
        <v>1.76</v>
      </c>
      <c r="W1877" s="74">
        <v>7.0000000000000001E-3</v>
      </c>
      <c r="X1877" s="50">
        <v>0.40600000000000003</v>
      </c>
      <c r="Y1877" s="74">
        <v>3.0000000000000001E-3</v>
      </c>
      <c r="Z1877" s="271">
        <v>0.64400000000000002</v>
      </c>
      <c r="AA1877" s="271">
        <v>0.46300000000000002</v>
      </c>
      <c r="AB1877" s="114">
        <v>6</v>
      </c>
      <c r="AC1877" s="50">
        <v>31</v>
      </c>
      <c r="AD1877" s="271">
        <v>0</v>
      </c>
    </row>
    <row r="1878" spans="1:30" ht="15" customHeight="1">
      <c r="A1878" s="41" t="s">
        <v>183</v>
      </c>
      <c r="B1878" s="402" t="s">
        <v>515</v>
      </c>
      <c r="C1878" s="113" t="s">
        <v>515</v>
      </c>
      <c r="D1878" s="393" t="s">
        <v>516</v>
      </c>
      <c r="E1878" s="394" t="s">
        <v>517</v>
      </c>
      <c r="G1878" s="405" t="s">
        <v>518</v>
      </c>
      <c r="H1878" s="74">
        <v>3357</v>
      </c>
      <c r="I1878" s="50" t="s">
        <v>1</v>
      </c>
      <c r="J1878" s="339" t="s">
        <v>81</v>
      </c>
      <c r="K1878" s="51">
        <v>41590</v>
      </c>
      <c r="L1878" s="173">
        <v>41585</v>
      </c>
      <c r="M1878" s="50">
        <f t="shared" si="102"/>
        <v>5</v>
      </c>
      <c r="N1878" s="50" t="s">
        <v>2</v>
      </c>
      <c r="V1878" s="50">
        <v>3.29</v>
      </c>
    </row>
    <row r="1879" spans="1:30" ht="15" customHeight="1">
      <c r="A1879" s="41" t="s">
        <v>183</v>
      </c>
      <c r="B1879" s="402" t="s">
        <v>5106</v>
      </c>
      <c r="D1879" s="393" t="s">
        <v>200</v>
      </c>
      <c r="E1879" s="394" t="s">
        <v>214</v>
      </c>
      <c r="G1879" s="405" t="s">
        <v>5107</v>
      </c>
      <c r="H1879" s="74">
        <v>3272</v>
      </c>
      <c r="I1879" s="50" t="s">
        <v>1</v>
      </c>
      <c r="J1879" s="339" t="s">
        <v>5108</v>
      </c>
      <c r="K1879" s="51">
        <v>40829</v>
      </c>
      <c r="L1879" s="173">
        <v>40819</v>
      </c>
      <c r="M1879" s="50">
        <f t="shared" si="102"/>
        <v>10</v>
      </c>
      <c r="N1879" s="50" t="s">
        <v>2</v>
      </c>
      <c r="O1879" s="74">
        <f>2.1/2</f>
        <v>1.05</v>
      </c>
      <c r="P1879" s="50">
        <v>4.78</v>
      </c>
      <c r="Q1879" s="74">
        <v>8.8000000000000007</v>
      </c>
      <c r="R1879" s="50">
        <f>20/2</f>
        <v>10</v>
      </c>
      <c r="S1879" s="74">
        <v>418</v>
      </c>
      <c r="T1879" s="50">
        <v>0.18</v>
      </c>
      <c r="U1879" s="131">
        <f>1/2</f>
        <v>0.5</v>
      </c>
      <c r="V1879" s="50">
        <f t="shared" ref="V1879:V1884" si="103">0.46/2</f>
        <v>0.23</v>
      </c>
      <c r="W1879" s="74">
        <v>0.01</v>
      </c>
      <c r="X1879" s="50">
        <v>0.01</v>
      </c>
      <c r="Y1879" s="74">
        <f t="shared" ref="Y1879:Y1884" si="104">0.005/2</f>
        <v>2.5000000000000001E-3</v>
      </c>
      <c r="Z1879" s="271">
        <v>1</v>
      </c>
      <c r="AA1879" s="271">
        <v>1</v>
      </c>
      <c r="AB1879" s="114">
        <v>20</v>
      </c>
      <c r="AC1879" s="50">
        <v>59</v>
      </c>
      <c r="AD1879" s="271">
        <v>1</v>
      </c>
    </row>
    <row r="1880" spans="1:30" ht="15" customHeight="1">
      <c r="A1880" s="41" t="s">
        <v>183</v>
      </c>
      <c r="B1880" s="402" t="s">
        <v>5106</v>
      </c>
      <c r="D1880" s="393" t="s">
        <v>200</v>
      </c>
      <c r="E1880" s="394" t="s">
        <v>214</v>
      </c>
      <c r="G1880" s="405" t="s">
        <v>5107</v>
      </c>
      <c r="H1880" s="74">
        <v>3272</v>
      </c>
      <c r="I1880" s="50" t="s">
        <v>1</v>
      </c>
      <c r="J1880" s="339" t="s">
        <v>5108</v>
      </c>
      <c r="K1880" s="51">
        <v>41051</v>
      </c>
      <c r="L1880" s="173">
        <v>41044</v>
      </c>
      <c r="M1880" s="50">
        <f t="shared" si="102"/>
        <v>7</v>
      </c>
      <c r="N1880" s="345" t="s">
        <v>2</v>
      </c>
      <c r="O1880" s="74">
        <f>2.1/2</f>
        <v>1.05</v>
      </c>
      <c r="P1880" s="50">
        <v>4.53</v>
      </c>
      <c r="Q1880" s="74">
        <v>8.5</v>
      </c>
      <c r="R1880" s="50">
        <v>46</v>
      </c>
      <c r="S1880" s="74">
        <v>222</v>
      </c>
      <c r="T1880" s="50">
        <v>0.26800000000000002</v>
      </c>
      <c r="U1880" s="131">
        <v>2.2999999999999998</v>
      </c>
      <c r="V1880" s="50">
        <f t="shared" si="103"/>
        <v>0.23</v>
      </c>
      <c r="W1880" s="74">
        <v>4.8000000000000001E-2</v>
      </c>
      <c r="X1880" s="50">
        <v>4.1000000000000002E-2</v>
      </c>
      <c r="Y1880" s="74">
        <f t="shared" si="104"/>
        <v>2.5000000000000001E-3</v>
      </c>
    </row>
    <row r="1881" spans="1:30" ht="15" customHeight="1">
      <c r="A1881" s="41" t="s">
        <v>183</v>
      </c>
      <c r="B1881" s="402" t="s">
        <v>5106</v>
      </c>
      <c r="D1881" s="393" t="s">
        <v>200</v>
      </c>
      <c r="E1881" s="394" t="s">
        <v>214</v>
      </c>
      <c r="G1881" s="405" t="s">
        <v>5107</v>
      </c>
      <c r="H1881" s="74">
        <v>3272</v>
      </c>
      <c r="I1881" s="50" t="s">
        <v>1</v>
      </c>
      <c r="J1881" s="339" t="s">
        <v>5108</v>
      </c>
      <c r="K1881" s="51">
        <v>41428</v>
      </c>
      <c r="L1881" s="173">
        <v>41419</v>
      </c>
      <c r="M1881" s="50">
        <f t="shared" si="102"/>
        <v>9</v>
      </c>
      <c r="N1881" s="50" t="s">
        <v>2</v>
      </c>
      <c r="O1881" s="74">
        <f>2.8/2</f>
        <v>1.4</v>
      </c>
      <c r="P1881" s="50">
        <v>7.6</v>
      </c>
      <c r="Q1881" s="74">
        <v>8</v>
      </c>
      <c r="R1881" s="50">
        <f>20/2</f>
        <v>10</v>
      </c>
      <c r="S1881" s="74">
        <v>13.8</v>
      </c>
      <c r="T1881" s="50">
        <v>4.9000000000000002E-2</v>
      </c>
      <c r="U1881" s="131">
        <v>1.1000000000000001</v>
      </c>
      <c r="V1881" s="50">
        <f t="shared" si="103"/>
        <v>0.23</v>
      </c>
      <c r="W1881" s="74">
        <f>0.005/2</f>
        <v>2.5000000000000001E-3</v>
      </c>
      <c r="X1881" s="50">
        <f>0.01/2</f>
        <v>5.0000000000000001E-3</v>
      </c>
      <c r="Y1881" s="74">
        <f t="shared" si="104"/>
        <v>2.5000000000000001E-3</v>
      </c>
      <c r="Z1881" s="271">
        <v>1</v>
      </c>
      <c r="AA1881" s="271">
        <v>1</v>
      </c>
      <c r="AB1881" s="114">
        <v>48</v>
      </c>
      <c r="AC1881" s="50">
        <v>121</v>
      </c>
      <c r="AD1881" s="271">
        <v>1</v>
      </c>
    </row>
    <row r="1882" spans="1:30" ht="15" customHeight="1">
      <c r="A1882" s="41" t="s">
        <v>183</v>
      </c>
      <c r="B1882" s="402" t="s">
        <v>5109</v>
      </c>
      <c r="D1882" s="393" t="s">
        <v>268</v>
      </c>
      <c r="E1882" s="394" t="s">
        <v>269</v>
      </c>
      <c r="F1882" s="402">
        <v>4403</v>
      </c>
      <c r="G1882" s="405" t="s">
        <v>5110</v>
      </c>
      <c r="H1882" s="74">
        <v>3272</v>
      </c>
      <c r="I1882" s="50" t="s">
        <v>1</v>
      </c>
      <c r="J1882" s="339" t="s">
        <v>700</v>
      </c>
      <c r="K1882" s="51">
        <v>41051</v>
      </c>
      <c r="L1882" s="173">
        <v>41044</v>
      </c>
      <c r="M1882" s="50">
        <f t="shared" si="102"/>
        <v>7</v>
      </c>
      <c r="N1882" s="50" t="s">
        <v>2</v>
      </c>
      <c r="O1882" s="74">
        <f>2.3/2</f>
        <v>1.1499999999999999</v>
      </c>
      <c r="P1882" s="50">
        <v>4.53</v>
      </c>
      <c r="Q1882" s="74">
        <v>8.5</v>
      </c>
      <c r="R1882" s="50">
        <f>20/2</f>
        <v>10</v>
      </c>
      <c r="S1882" s="74">
        <v>75.400000000000006</v>
      </c>
      <c r="T1882" s="50">
        <v>0.112</v>
      </c>
      <c r="U1882" s="131">
        <v>1.3</v>
      </c>
      <c r="V1882" s="50">
        <f t="shared" si="103"/>
        <v>0.23</v>
      </c>
      <c r="W1882" s="74">
        <v>6.0000000000000001E-3</v>
      </c>
      <c r="X1882" s="50">
        <v>1.2E-2</v>
      </c>
      <c r="Y1882" s="74">
        <f t="shared" si="104"/>
        <v>2.5000000000000001E-3</v>
      </c>
    </row>
    <row r="1883" spans="1:30" ht="15" customHeight="1">
      <c r="A1883" s="41" t="s">
        <v>183</v>
      </c>
      <c r="B1883" s="402" t="s">
        <v>5109</v>
      </c>
      <c r="D1883" s="393" t="s">
        <v>268</v>
      </c>
      <c r="E1883" s="394" t="s">
        <v>269</v>
      </c>
      <c r="F1883" s="402">
        <v>4403</v>
      </c>
      <c r="G1883" s="405" t="s">
        <v>5110</v>
      </c>
      <c r="H1883" s="74">
        <v>3272</v>
      </c>
      <c r="I1883" s="50" t="s">
        <v>1</v>
      </c>
      <c r="J1883" s="339" t="s">
        <v>700</v>
      </c>
      <c r="K1883" s="51">
        <v>40829</v>
      </c>
      <c r="L1883" s="173">
        <v>40820</v>
      </c>
      <c r="M1883" s="50">
        <f t="shared" si="102"/>
        <v>9</v>
      </c>
      <c r="N1883" s="50" t="s">
        <v>2</v>
      </c>
      <c r="O1883" s="74">
        <f>2/2</f>
        <v>1</v>
      </c>
      <c r="P1883" s="50">
        <v>4.78</v>
      </c>
      <c r="Q1883" s="74">
        <v>8.1999999999999993</v>
      </c>
      <c r="R1883" s="50">
        <f>20/2</f>
        <v>10</v>
      </c>
      <c r="S1883" s="74">
        <v>50.4</v>
      </c>
      <c r="T1883" s="50">
        <v>1.2999999999999999E-2</v>
      </c>
      <c r="U1883" s="131">
        <f>1/2</f>
        <v>0.5</v>
      </c>
      <c r="V1883" s="50">
        <f t="shared" si="103"/>
        <v>0.23</v>
      </c>
      <c r="W1883" s="74">
        <v>7.0000000000000001E-3</v>
      </c>
      <c r="X1883" s="50">
        <v>1.2E-2</v>
      </c>
      <c r="Y1883" s="74">
        <f t="shared" si="104"/>
        <v>2.5000000000000001E-3</v>
      </c>
      <c r="Z1883" s="271">
        <v>1</v>
      </c>
      <c r="AA1883" s="271">
        <v>1</v>
      </c>
      <c r="AB1883" s="114">
        <v>20</v>
      </c>
      <c r="AC1883" s="50">
        <v>59</v>
      </c>
      <c r="AD1883" s="271">
        <v>1</v>
      </c>
    </row>
    <row r="1884" spans="1:30" ht="15" customHeight="1">
      <c r="A1884" s="41" t="s">
        <v>183</v>
      </c>
      <c r="B1884" s="402" t="s">
        <v>5109</v>
      </c>
      <c r="D1884" s="393" t="s">
        <v>268</v>
      </c>
      <c r="E1884" s="394" t="s">
        <v>269</v>
      </c>
      <c r="F1884" s="402">
        <v>4403</v>
      </c>
      <c r="G1884" s="405" t="s">
        <v>5110</v>
      </c>
      <c r="H1884" s="74">
        <v>3272</v>
      </c>
      <c r="I1884" s="50" t="s">
        <v>1</v>
      </c>
      <c r="J1884" s="339" t="s">
        <v>700</v>
      </c>
      <c r="K1884" s="51">
        <v>41428</v>
      </c>
      <c r="L1884" s="173">
        <v>41419</v>
      </c>
      <c r="M1884" s="50">
        <f t="shared" si="102"/>
        <v>9</v>
      </c>
      <c r="N1884" s="50" t="s">
        <v>2</v>
      </c>
      <c r="O1884" s="74">
        <f>2.4/2</f>
        <v>1.2</v>
      </c>
      <c r="P1884" s="50">
        <v>7.6</v>
      </c>
      <c r="Q1884" s="74">
        <v>8</v>
      </c>
      <c r="R1884" s="50">
        <f>20/2</f>
        <v>10</v>
      </c>
      <c r="S1884" s="74">
        <v>13.7</v>
      </c>
      <c r="T1884" s="50">
        <v>4.9000000000000002E-2</v>
      </c>
      <c r="U1884" s="131">
        <f>1/2</f>
        <v>0.5</v>
      </c>
      <c r="V1884" s="50">
        <f t="shared" si="103"/>
        <v>0.23</v>
      </c>
      <c r="W1884" s="74">
        <v>6.0000000000000001E-3</v>
      </c>
      <c r="X1884" s="50">
        <f>0.01/2</f>
        <v>5.0000000000000001E-3</v>
      </c>
      <c r="Y1884" s="74">
        <f t="shared" si="104"/>
        <v>2.5000000000000001E-3</v>
      </c>
      <c r="Z1884" s="271">
        <v>1</v>
      </c>
      <c r="AA1884" s="271">
        <v>1</v>
      </c>
      <c r="AB1884" s="114">
        <v>48</v>
      </c>
      <c r="AC1884" s="50">
        <v>121</v>
      </c>
      <c r="AD1884" s="271">
        <v>1</v>
      </c>
    </row>
    <row r="1885" spans="1:30" ht="15" customHeight="1">
      <c r="A1885" s="41" t="s">
        <v>183</v>
      </c>
      <c r="B1885" s="402" t="s">
        <v>2065</v>
      </c>
      <c r="D1885" s="393" t="s">
        <v>314</v>
      </c>
      <c r="E1885" s="394" t="s">
        <v>49</v>
      </c>
      <c r="G1885" s="405" t="s">
        <v>3590</v>
      </c>
      <c r="H1885" s="113">
        <v>3444</v>
      </c>
      <c r="I1885" s="49" t="s">
        <v>2</v>
      </c>
      <c r="J1885" s="48" t="s">
        <v>81</v>
      </c>
      <c r="K1885" s="51">
        <v>41197</v>
      </c>
      <c r="L1885" s="173">
        <v>41192</v>
      </c>
      <c r="M1885" s="50">
        <f t="shared" si="102"/>
        <v>5</v>
      </c>
      <c r="N1885" s="50" t="s">
        <v>2</v>
      </c>
      <c r="O1885" s="74">
        <f>1.4/2</f>
        <v>0.7</v>
      </c>
      <c r="P1885" s="50">
        <v>7.35</v>
      </c>
      <c r="Q1885" s="74">
        <v>6.45</v>
      </c>
      <c r="R1885" s="50">
        <f>10/2</f>
        <v>5</v>
      </c>
      <c r="S1885" s="74">
        <f>5/2</f>
        <v>2.5</v>
      </c>
      <c r="T1885" s="50">
        <f>0.1/2</f>
        <v>0.05</v>
      </c>
      <c r="U1885" s="131">
        <v>0.42</v>
      </c>
      <c r="V1885" s="50">
        <v>0.14000000000000001</v>
      </c>
      <c r="W1885" s="74">
        <f>0.005/2</f>
        <v>2.5000000000000001E-3</v>
      </c>
      <c r="X1885" s="50">
        <v>3.5999999999999997E-2</v>
      </c>
      <c r="Y1885" s="74">
        <f>0.002/2</f>
        <v>1E-3</v>
      </c>
    </row>
    <row r="1886" spans="1:30" ht="15" customHeight="1">
      <c r="A1886" s="41" t="s">
        <v>183</v>
      </c>
      <c r="B1886" s="402" t="s">
        <v>2065</v>
      </c>
      <c r="D1886" s="393" t="s">
        <v>314</v>
      </c>
      <c r="E1886" s="394" t="s">
        <v>49</v>
      </c>
      <c r="G1886" s="405" t="s">
        <v>3591</v>
      </c>
      <c r="H1886" s="74">
        <v>3444</v>
      </c>
      <c r="I1886" s="50" t="s">
        <v>2</v>
      </c>
      <c r="J1886" s="339" t="s">
        <v>81</v>
      </c>
      <c r="K1886" s="51">
        <v>41170</v>
      </c>
      <c r="L1886" s="173">
        <v>41160</v>
      </c>
      <c r="M1886" s="50">
        <f t="shared" si="102"/>
        <v>10</v>
      </c>
      <c r="N1886" s="50" t="s">
        <v>2</v>
      </c>
      <c r="O1886" s="74">
        <f>1.4/2</f>
        <v>0.7</v>
      </c>
      <c r="P1886" s="50">
        <v>4.3</v>
      </c>
      <c r="Q1886" s="74">
        <v>6.36</v>
      </c>
      <c r="R1886" s="50">
        <v>53</v>
      </c>
      <c r="S1886" s="74">
        <v>11</v>
      </c>
      <c r="T1886" s="50">
        <v>0.09</v>
      </c>
      <c r="U1886" s="131">
        <v>1.61</v>
      </c>
      <c r="V1886" s="50">
        <v>0.89</v>
      </c>
      <c r="W1886" s="74">
        <v>8.9999999999999993E-3</v>
      </c>
      <c r="X1886" s="50">
        <v>9.2999999999999999E-2</v>
      </c>
      <c r="Y1886" s="74">
        <f>0.002/2</f>
        <v>1E-3</v>
      </c>
    </row>
    <row r="1887" spans="1:30" ht="15" customHeight="1">
      <c r="A1887" s="41" t="s">
        <v>183</v>
      </c>
      <c r="B1887" s="402" t="s">
        <v>2065</v>
      </c>
      <c r="D1887" s="393" t="s">
        <v>314</v>
      </c>
      <c r="E1887" s="394" t="s">
        <v>49</v>
      </c>
      <c r="G1887" s="405" t="s">
        <v>3592</v>
      </c>
      <c r="H1887" s="74">
        <v>3444</v>
      </c>
      <c r="I1887" s="50" t="s">
        <v>2</v>
      </c>
      <c r="J1887" s="339" t="s">
        <v>81</v>
      </c>
      <c r="K1887" s="51">
        <v>41197</v>
      </c>
      <c r="L1887" s="173">
        <v>41192</v>
      </c>
      <c r="M1887" s="50">
        <f t="shared" si="102"/>
        <v>5</v>
      </c>
      <c r="N1887" s="50" t="s">
        <v>2</v>
      </c>
      <c r="O1887" s="74">
        <f>1.4/2</f>
        <v>0.7</v>
      </c>
      <c r="P1887" s="50">
        <v>7.35</v>
      </c>
      <c r="Q1887" s="74">
        <v>7.08</v>
      </c>
      <c r="R1887" s="50">
        <v>18</v>
      </c>
      <c r="S1887" s="74">
        <v>17</v>
      </c>
      <c r="T1887" s="50">
        <v>0.04</v>
      </c>
      <c r="U1887" s="131">
        <v>0.49</v>
      </c>
      <c r="V1887" s="50">
        <v>0.15</v>
      </c>
      <c r="W1887" s="74">
        <v>6.0000000000000001E-3</v>
      </c>
      <c r="X1887" s="50">
        <v>2.1999999999999999E-2</v>
      </c>
      <c r="Y1887" s="74">
        <f>0.002/2</f>
        <v>1E-3</v>
      </c>
    </row>
    <row r="1888" spans="1:30" ht="15" customHeight="1">
      <c r="A1888" s="41" t="s">
        <v>183</v>
      </c>
      <c r="B1888" s="402" t="s">
        <v>2065</v>
      </c>
      <c r="D1888" s="393" t="s">
        <v>314</v>
      </c>
      <c r="E1888" s="394" t="s">
        <v>49</v>
      </c>
      <c r="G1888" s="405" t="s">
        <v>3592</v>
      </c>
      <c r="H1888" s="74">
        <v>3444</v>
      </c>
      <c r="I1888" s="50" t="s">
        <v>2</v>
      </c>
      <c r="J1888" s="339" t="s">
        <v>114</v>
      </c>
      <c r="K1888" s="51">
        <v>41197</v>
      </c>
      <c r="L1888" s="173">
        <v>41192</v>
      </c>
      <c r="M1888" s="50">
        <f t="shared" si="102"/>
        <v>5</v>
      </c>
      <c r="N1888" s="50" t="s">
        <v>2</v>
      </c>
      <c r="O1888" s="74">
        <v>1.6</v>
      </c>
      <c r="P1888" s="50">
        <v>7.35</v>
      </c>
      <c r="Q1888" s="74">
        <v>6.99</v>
      </c>
      <c r="R1888" s="50">
        <v>130</v>
      </c>
      <c r="S1888" s="74">
        <v>330</v>
      </c>
      <c r="T1888" s="50">
        <v>0.16</v>
      </c>
      <c r="U1888" s="131">
        <v>1.71</v>
      </c>
      <c r="V1888" s="50">
        <v>0.22</v>
      </c>
      <c r="W1888" s="74">
        <v>6.6000000000000003E-2</v>
      </c>
      <c r="X1888" s="50">
        <v>0.30099999999999999</v>
      </c>
      <c r="Y1888" s="74">
        <v>2.5000000000000001E-2</v>
      </c>
    </row>
    <row r="1889" spans="1:30" ht="15" customHeight="1">
      <c r="A1889" s="41" t="s">
        <v>183</v>
      </c>
      <c r="B1889" s="402" t="s">
        <v>2065</v>
      </c>
      <c r="D1889" s="393" t="s">
        <v>314</v>
      </c>
      <c r="E1889" s="394" t="s">
        <v>5111</v>
      </c>
      <c r="G1889" s="405" t="s">
        <v>3593</v>
      </c>
      <c r="H1889" s="74">
        <v>3444</v>
      </c>
      <c r="I1889" s="50" t="s">
        <v>2</v>
      </c>
      <c r="J1889" s="339" t="s">
        <v>924</v>
      </c>
      <c r="K1889" s="51">
        <v>41170</v>
      </c>
      <c r="L1889" s="173">
        <v>41160</v>
      </c>
      <c r="M1889" s="50">
        <f t="shared" si="102"/>
        <v>10</v>
      </c>
      <c r="N1889" s="50" t="s">
        <v>2</v>
      </c>
      <c r="O1889" s="74">
        <v>1.6</v>
      </c>
      <c r="P1889" s="50">
        <v>4.3</v>
      </c>
      <c r="Q1889" s="74">
        <v>6.77</v>
      </c>
      <c r="R1889" s="50">
        <v>28</v>
      </c>
      <c r="S1889" s="74">
        <v>10</v>
      </c>
      <c r="T1889" s="50">
        <v>7.0000000000000007E-2</v>
      </c>
      <c r="U1889" s="131">
        <v>1.2</v>
      </c>
      <c r="V1889" s="50">
        <v>1.02</v>
      </c>
      <c r="W1889" s="74">
        <v>8.9999999999999993E-3</v>
      </c>
      <c r="X1889" s="50">
        <v>7.2999999999999995E-2</v>
      </c>
      <c r="Y1889" s="74">
        <f>0.002/2</f>
        <v>1E-3</v>
      </c>
    </row>
    <row r="1890" spans="1:30" ht="15" customHeight="1">
      <c r="A1890" s="41" t="s">
        <v>183</v>
      </c>
      <c r="B1890" s="402" t="s">
        <v>2065</v>
      </c>
      <c r="D1890" s="393" t="s">
        <v>314</v>
      </c>
      <c r="E1890" s="394" t="s">
        <v>5111</v>
      </c>
      <c r="G1890" s="405" t="s">
        <v>3593</v>
      </c>
      <c r="H1890" s="74">
        <v>3444</v>
      </c>
      <c r="I1890" s="50" t="s">
        <v>2</v>
      </c>
      <c r="J1890" s="339" t="s">
        <v>115</v>
      </c>
      <c r="K1890" s="51">
        <v>41170</v>
      </c>
      <c r="L1890" s="173">
        <v>41160</v>
      </c>
      <c r="M1890" s="50">
        <f t="shared" si="102"/>
        <v>10</v>
      </c>
      <c r="N1890" s="50" t="s">
        <v>2</v>
      </c>
      <c r="O1890" s="74">
        <v>3.1</v>
      </c>
      <c r="P1890" s="50">
        <v>4.3</v>
      </c>
      <c r="Q1890" s="74">
        <v>6.76</v>
      </c>
      <c r="R1890" s="50">
        <v>150</v>
      </c>
      <c r="S1890" s="74">
        <v>180</v>
      </c>
      <c r="T1890" s="50">
        <v>0.39</v>
      </c>
      <c r="U1890" s="131">
        <v>3.8</v>
      </c>
      <c r="V1890" s="50">
        <v>1.31</v>
      </c>
      <c r="W1890" s="74">
        <v>7.5999999999999998E-2</v>
      </c>
      <c r="X1890" s="50">
        <v>0.20300000000000001</v>
      </c>
      <c r="Y1890" s="74">
        <v>2.1999999999999999E-2</v>
      </c>
    </row>
    <row r="1891" spans="1:30" ht="15" customHeight="1">
      <c r="A1891" s="41" t="s">
        <v>183</v>
      </c>
      <c r="B1891" s="402" t="s">
        <v>2065</v>
      </c>
      <c r="D1891" s="393" t="s">
        <v>314</v>
      </c>
      <c r="E1891" s="394" t="s">
        <v>5111</v>
      </c>
      <c r="G1891" s="405" t="s">
        <v>3593</v>
      </c>
      <c r="H1891" s="74">
        <v>3444</v>
      </c>
      <c r="I1891" s="50" t="s">
        <v>2</v>
      </c>
      <c r="J1891" s="339" t="s">
        <v>114</v>
      </c>
      <c r="K1891" s="51">
        <v>41170</v>
      </c>
      <c r="L1891" s="173">
        <v>41160</v>
      </c>
      <c r="M1891" s="50">
        <f t="shared" si="102"/>
        <v>10</v>
      </c>
      <c r="N1891" s="50" t="s">
        <v>2</v>
      </c>
      <c r="O1891" s="74">
        <v>1.4</v>
      </c>
      <c r="P1891" s="50">
        <v>4.3</v>
      </c>
      <c r="Q1891" s="74">
        <v>6.57</v>
      </c>
      <c r="R1891" s="50">
        <v>22</v>
      </c>
      <c r="S1891" s="74">
        <v>8.5</v>
      </c>
      <c r="T1891" s="50">
        <v>0.11</v>
      </c>
      <c r="U1891" s="131">
        <v>0.93</v>
      </c>
      <c r="V1891" s="50">
        <v>0.47</v>
      </c>
      <c r="W1891" s="74">
        <v>0.01</v>
      </c>
      <c r="X1891" s="50">
        <v>0.02</v>
      </c>
      <c r="Y1891" s="74">
        <f>0.002/2</f>
        <v>1E-3</v>
      </c>
    </row>
    <row r="1892" spans="1:30" ht="15" customHeight="1">
      <c r="A1892" s="41" t="s">
        <v>183</v>
      </c>
      <c r="B1892" s="402" t="s">
        <v>2065</v>
      </c>
      <c r="D1892" s="393" t="s">
        <v>314</v>
      </c>
      <c r="E1892" s="394" t="s">
        <v>5111</v>
      </c>
      <c r="G1892" s="405" t="s">
        <v>3593</v>
      </c>
      <c r="H1892" s="74">
        <v>3444</v>
      </c>
      <c r="I1892" s="50" t="s">
        <v>2</v>
      </c>
      <c r="J1892" s="339" t="s">
        <v>81</v>
      </c>
      <c r="K1892" s="51">
        <v>41170</v>
      </c>
      <c r="L1892" s="173">
        <v>41160</v>
      </c>
      <c r="M1892" s="50">
        <f t="shared" si="102"/>
        <v>10</v>
      </c>
      <c r="N1892" s="50" t="s">
        <v>2</v>
      </c>
      <c r="O1892" s="74">
        <f>1.4/2</f>
        <v>0.7</v>
      </c>
      <c r="P1892" s="50">
        <v>4.3</v>
      </c>
      <c r="Q1892" s="74">
        <v>6.45</v>
      </c>
      <c r="R1892" s="50">
        <v>38</v>
      </c>
      <c r="S1892" s="74">
        <v>20</v>
      </c>
      <c r="T1892" s="50">
        <v>0.18</v>
      </c>
      <c r="U1892" s="131">
        <v>1.08</v>
      </c>
      <c r="V1892" s="50">
        <v>0.41</v>
      </c>
      <c r="W1892" s="74">
        <v>0.01</v>
      </c>
      <c r="X1892" s="50">
        <v>2.7E-2</v>
      </c>
      <c r="Y1892" s="74">
        <v>3.0000000000000001E-3</v>
      </c>
    </row>
    <row r="1893" spans="1:30" ht="15" customHeight="1">
      <c r="A1893" s="41" t="s">
        <v>183</v>
      </c>
      <c r="B1893" s="402" t="s">
        <v>2065</v>
      </c>
      <c r="D1893" s="393" t="s">
        <v>314</v>
      </c>
      <c r="E1893" s="394" t="s">
        <v>5111</v>
      </c>
      <c r="G1893" s="405" t="s">
        <v>3593</v>
      </c>
      <c r="H1893" s="74">
        <v>3444</v>
      </c>
      <c r="I1893" s="50" t="s">
        <v>2</v>
      </c>
      <c r="J1893" s="339" t="s">
        <v>81</v>
      </c>
      <c r="K1893" s="51">
        <v>41170</v>
      </c>
      <c r="L1893" s="173">
        <v>41160</v>
      </c>
      <c r="M1893" s="50">
        <f t="shared" si="102"/>
        <v>10</v>
      </c>
      <c r="N1893" s="50" t="s">
        <v>2</v>
      </c>
      <c r="O1893" s="74">
        <f>1.4/2</f>
        <v>0.7</v>
      </c>
      <c r="P1893" s="50">
        <v>4.3</v>
      </c>
      <c r="Q1893" s="74">
        <v>6.45</v>
      </c>
      <c r="R1893" s="50">
        <v>38</v>
      </c>
      <c r="S1893" s="74">
        <v>20</v>
      </c>
      <c r="T1893" s="50">
        <v>0.18</v>
      </c>
      <c r="U1893" s="131">
        <v>1.08</v>
      </c>
      <c r="V1893" s="50">
        <v>0.41</v>
      </c>
      <c r="W1893" s="74">
        <v>0.01</v>
      </c>
      <c r="X1893" s="50">
        <v>2.7E-2</v>
      </c>
      <c r="Y1893" s="74">
        <v>3.0000000000000001E-3</v>
      </c>
    </row>
    <row r="1894" spans="1:30" ht="15" customHeight="1">
      <c r="A1894" s="41" t="s">
        <v>183</v>
      </c>
      <c r="B1894" s="402" t="s">
        <v>2065</v>
      </c>
      <c r="D1894" s="393" t="s">
        <v>314</v>
      </c>
      <c r="E1894" s="394" t="s">
        <v>5111</v>
      </c>
      <c r="G1894" s="405" t="s">
        <v>3593</v>
      </c>
      <c r="H1894" s="74">
        <v>3444</v>
      </c>
      <c r="I1894" s="50" t="s">
        <v>2</v>
      </c>
      <c r="J1894" s="339" t="s">
        <v>115</v>
      </c>
      <c r="K1894" s="51">
        <v>41170</v>
      </c>
      <c r="L1894" s="173">
        <v>41160</v>
      </c>
      <c r="M1894" s="50">
        <f t="shared" si="102"/>
        <v>10</v>
      </c>
      <c r="N1894" s="50" t="s">
        <v>2</v>
      </c>
      <c r="O1894" s="74">
        <v>3.1</v>
      </c>
      <c r="P1894" s="50">
        <v>4.3</v>
      </c>
      <c r="Q1894" s="74">
        <v>6.76</v>
      </c>
      <c r="R1894" s="50">
        <v>150</v>
      </c>
      <c r="S1894" s="74">
        <v>180</v>
      </c>
      <c r="T1894" s="50">
        <v>0.39</v>
      </c>
      <c r="U1894" s="131">
        <v>3.8</v>
      </c>
      <c r="V1894" s="50">
        <v>1.31</v>
      </c>
      <c r="W1894" s="74">
        <v>7.5999999999999998E-2</v>
      </c>
      <c r="X1894" s="50">
        <v>0.20300000000000001</v>
      </c>
      <c r="Y1894" s="74">
        <v>2.1999999999999999E-2</v>
      </c>
    </row>
    <row r="1895" spans="1:30" ht="15" customHeight="1">
      <c r="A1895" s="41" t="s">
        <v>183</v>
      </c>
      <c r="B1895" s="402" t="s">
        <v>2065</v>
      </c>
      <c r="D1895" s="393" t="s">
        <v>314</v>
      </c>
      <c r="E1895" s="394" t="s">
        <v>49</v>
      </c>
      <c r="G1895" s="405" t="s">
        <v>3594</v>
      </c>
      <c r="H1895" s="74">
        <v>3444</v>
      </c>
      <c r="I1895" s="50" t="s">
        <v>2</v>
      </c>
      <c r="J1895" s="339" t="s">
        <v>696</v>
      </c>
      <c r="K1895" s="51">
        <v>41170</v>
      </c>
      <c r="L1895" s="173">
        <v>41160</v>
      </c>
      <c r="M1895" s="50">
        <f t="shared" si="102"/>
        <v>10</v>
      </c>
      <c r="N1895" s="50" t="s">
        <v>2</v>
      </c>
      <c r="O1895" s="74">
        <f>1.4/2</f>
        <v>0.7</v>
      </c>
      <c r="P1895" s="50">
        <v>4.3</v>
      </c>
      <c r="Q1895" s="74">
        <v>5.85</v>
      </c>
      <c r="R1895" s="50">
        <v>38</v>
      </c>
      <c r="S1895" s="74">
        <v>34</v>
      </c>
      <c r="T1895" s="50">
        <v>0.1</v>
      </c>
      <c r="U1895" s="131">
        <v>1.25</v>
      </c>
      <c r="V1895" s="50">
        <v>1.91</v>
      </c>
      <c r="W1895" s="74">
        <v>8.9999999999999993E-3</v>
      </c>
      <c r="X1895" s="50">
        <v>0.60599999999999998</v>
      </c>
      <c r="Y1895" s="74">
        <f>0.002/2</f>
        <v>1E-3</v>
      </c>
    </row>
    <row r="1896" spans="1:30" ht="15" customHeight="1">
      <c r="A1896" s="41" t="s">
        <v>183</v>
      </c>
      <c r="B1896" s="402" t="s">
        <v>2065</v>
      </c>
      <c r="D1896" s="393" t="s">
        <v>314</v>
      </c>
      <c r="E1896" s="394" t="s">
        <v>49</v>
      </c>
      <c r="G1896" s="405" t="s">
        <v>3594</v>
      </c>
      <c r="H1896" s="74">
        <v>3444</v>
      </c>
      <c r="I1896" s="50" t="s">
        <v>2</v>
      </c>
      <c r="J1896" s="339" t="s">
        <v>924</v>
      </c>
      <c r="K1896" s="51">
        <v>41170</v>
      </c>
      <c r="L1896" s="173">
        <v>41160</v>
      </c>
      <c r="M1896" s="50">
        <f t="shared" si="102"/>
        <v>10</v>
      </c>
      <c r="N1896" s="50" t="s">
        <v>2</v>
      </c>
      <c r="O1896" s="74">
        <f>1.4/2</f>
        <v>0.7</v>
      </c>
      <c r="P1896" s="50">
        <v>4.3</v>
      </c>
      <c r="Q1896" s="74">
        <v>6.05</v>
      </c>
      <c r="R1896" s="50">
        <f>10/2</f>
        <v>5</v>
      </c>
      <c r="S1896" s="74">
        <v>17</v>
      </c>
      <c r="T1896" s="50">
        <v>0.04</v>
      </c>
      <c r="U1896" s="131">
        <v>1</v>
      </c>
      <c r="V1896" s="50">
        <v>1.03</v>
      </c>
      <c r="W1896" s="74">
        <v>5.0000000000000001E-3</v>
      </c>
      <c r="X1896" s="50">
        <v>0.84299999999999997</v>
      </c>
      <c r="Y1896" s="74">
        <f>0.002/2</f>
        <v>1E-3</v>
      </c>
    </row>
    <row r="1897" spans="1:30" ht="15" customHeight="1">
      <c r="A1897" s="41" t="s">
        <v>183</v>
      </c>
      <c r="B1897" s="402" t="s">
        <v>2065</v>
      </c>
      <c r="D1897" s="393" t="s">
        <v>314</v>
      </c>
      <c r="E1897" s="394" t="s">
        <v>49</v>
      </c>
      <c r="G1897" s="405" t="s">
        <v>3594</v>
      </c>
      <c r="H1897" s="74">
        <v>3444</v>
      </c>
      <c r="I1897" s="50" t="s">
        <v>2</v>
      </c>
      <c r="J1897" s="339" t="s">
        <v>115</v>
      </c>
      <c r="K1897" s="51">
        <v>41170</v>
      </c>
      <c r="L1897" s="173">
        <v>41160</v>
      </c>
      <c r="M1897" s="50">
        <f t="shared" si="102"/>
        <v>10</v>
      </c>
      <c r="N1897" s="50" t="s">
        <v>2</v>
      </c>
      <c r="O1897" s="74">
        <f>1.4/2</f>
        <v>0.7</v>
      </c>
      <c r="P1897" s="50">
        <v>4.3</v>
      </c>
      <c r="Q1897" s="74">
        <v>6.02</v>
      </c>
      <c r="R1897" s="50">
        <v>20</v>
      </c>
      <c r="S1897" s="74">
        <v>23</v>
      </c>
      <c r="T1897" s="50">
        <v>7.0000000000000007E-2</v>
      </c>
      <c r="U1897" s="131">
        <v>1.43</v>
      </c>
      <c r="V1897" s="50">
        <v>1.02</v>
      </c>
      <c r="W1897" s="74">
        <v>0.01</v>
      </c>
      <c r="X1897" s="50">
        <v>0.49399999999999999</v>
      </c>
      <c r="Y1897" s="74">
        <f>0.002/2</f>
        <v>1E-3</v>
      </c>
    </row>
    <row r="1898" spans="1:30" ht="15" customHeight="1">
      <c r="A1898" s="41" t="s">
        <v>183</v>
      </c>
      <c r="B1898" s="402" t="s">
        <v>2065</v>
      </c>
      <c r="D1898" s="393" t="s">
        <v>314</v>
      </c>
      <c r="E1898" s="394" t="s">
        <v>49</v>
      </c>
      <c r="G1898" s="405" t="s">
        <v>3594</v>
      </c>
      <c r="H1898" s="74">
        <v>3444</v>
      </c>
      <c r="I1898" s="50" t="s">
        <v>2</v>
      </c>
      <c r="J1898" s="339" t="s">
        <v>114</v>
      </c>
      <c r="K1898" s="51">
        <v>41170</v>
      </c>
      <c r="L1898" s="173">
        <v>41160</v>
      </c>
      <c r="M1898" s="50">
        <f t="shared" si="102"/>
        <v>10</v>
      </c>
      <c r="N1898" s="50" t="s">
        <v>2</v>
      </c>
      <c r="O1898" s="74">
        <v>1.4</v>
      </c>
      <c r="P1898" s="50">
        <v>4.3</v>
      </c>
      <c r="Q1898" s="74">
        <v>6.26</v>
      </c>
      <c r="R1898" s="50">
        <v>62</v>
      </c>
      <c r="S1898" s="74">
        <v>9.5</v>
      </c>
      <c r="T1898" s="50">
        <v>0.5</v>
      </c>
      <c r="U1898" s="131">
        <v>1.53</v>
      </c>
      <c r="V1898" s="50">
        <v>0.71</v>
      </c>
      <c r="W1898" s="74">
        <v>1.2999999999999999E-2</v>
      </c>
      <c r="X1898" s="50">
        <v>0.57699999999999996</v>
      </c>
      <c r="Y1898" s="74">
        <f>0.002/2</f>
        <v>1E-3</v>
      </c>
    </row>
    <row r="1899" spans="1:30" ht="15" customHeight="1">
      <c r="A1899" s="41" t="s">
        <v>183</v>
      </c>
      <c r="B1899" s="402" t="s">
        <v>2065</v>
      </c>
      <c r="D1899" s="393" t="s">
        <v>314</v>
      </c>
      <c r="E1899" s="394" t="s">
        <v>49</v>
      </c>
      <c r="G1899" s="405" t="s">
        <v>3594</v>
      </c>
      <c r="H1899" s="74">
        <v>3444</v>
      </c>
      <c r="I1899" s="50" t="s">
        <v>2</v>
      </c>
      <c r="J1899" s="339" t="s">
        <v>81</v>
      </c>
      <c r="K1899" s="51">
        <v>41170</v>
      </c>
      <c r="L1899" s="173">
        <v>41160</v>
      </c>
      <c r="M1899" s="50">
        <f t="shared" si="102"/>
        <v>10</v>
      </c>
      <c r="N1899" s="50" t="s">
        <v>2</v>
      </c>
      <c r="O1899" s="74">
        <v>1.7</v>
      </c>
      <c r="P1899" s="50">
        <v>4.3</v>
      </c>
      <c r="Q1899" s="74">
        <v>6.07</v>
      </c>
      <c r="R1899" s="50">
        <v>70</v>
      </c>
      <c r="S1899" s="74">
        <v>6.5</v>
      </c>
      <c r="T1899" s="50">
        <v>1.24</v>
      </c>
      <c r="U1899" s="131">
        <v>2.52</v>
      </c>
      <c r="V1899" s="50">
        <v>0.67</v>
      </c>
      <c r="W1899" s="74">
        <v>8.0000000000000002E-3</v>
      </c>
      <c r="X1899" s="50">
        <v>0.56000000000000005</v>
      </c>
      <c r="Y1899" s="74">
        <v>2E-3</v>
      </c>
    </row>
    <row r="1900" spans="1:30" ht="15" customHeight="1">
      <c r="A1900" s="41" t="s">
        <v>183</v>
      </c>
      <c r="B1900" s="402" t="s">
        <v>2065</v>
      </c>
      <c r="D1900" s="393" t="s">
        <v>314</v>
      </c>
      <c r="E1900" s="394" t="s">
        <v>49</v>
      </c>
      <c r="G1900" s="405" t="s">
        <v>3590</v>
      </c>
      <c r="H1900" s="113">
        <v>3444</v>
      </c>
      <c r="I1900" s="49" t="s">
        <v>2</v>
      </c>
      <c r="J1900" s="48" t="s">
        <v>81</v>
      </c>
      <c r="K1900" s="51">
        <v>41409</v>
      </c>
      <c r="L1900" s="173">
        <v>41405</v>
      </c>
      <c r="M1900" s="50">
        <f t="shared" si="102"/>
        <v>4</v>
      </c>
      <c r="N1900" s="50" t="s">
        <v>2</v>
      </c>
      <c r="O1900" s="74">
        <f t="shared" ref="O1900:O1905" si="105">1.4/2</f>
        <v>0.7</v>
      </c>
      <c r="P1900" s="50">
        <v>5.92</v>
      </c>
      <c r="Q1900" s="74">
        <v>5.34</v>
      </c>
      <c r="R1900" s="50">
        <v>90</v>
      </c>
      <c r="S1900" s="74">
        <v>47</v>
      </c>
      <c r="T1900" s="50">
        <v>0.62</v>
      </c>
      <c r="U1900" s="131">
        <v>8.9600000000000009</v>
      </c>
      <c r="V1900" s="50">
        <v>1.2</v>
      </c>
      <c r="W1900" s="74">
        <v>0.02</v>
      </c>
      <c r="X1900" s="50">
        <v>0.152</v>
      </c>
      <c r="Y1900" s="74">
        <f>0.002/2</f>
        <v>1E-3</v>
      </c>
      <c r="Z1900" s="271">
        <v>1</v>
      </c>
      <c r="AA1900" s="271">
        <v>1</v>
      </c>
      <c r="AB1900" s="114">
        <v>12</v>
      </c>
      <c r="AC1900" s="50">
        <v>46</v>
      </c>
      <c r="AD1900" s="271">
        <v>1</v>
      </c>
    </row>
    <row r="1901" spans="1:30" ht="15" customHeight="1">
      <c r="A1901" s="41" t="s">
        <v>183</v>
      </c>
      <c r="B1901" s="402" t="s">
        <v>2065</v>
      </c>
      <c r="D1901" s="393" t="s">
        <v>314</v>
      </c>
      <c r="E1901" s="394" t="s">
        <v>49</v>
      </c>
      <c r="G1901" s="405" t="s">
        <v>3591</v>
      </c>
      <c r="H1901" s="74">
        <v>3444</v>
      </c>
      <c r="I1901" s="50" t="s">
        <v>2</v>
      </c>
      <c r="J1901" s="339" t="s">
        <v>81</v>
      </c>
      <c r="K1901" s="51">
        <v>41409</v>
      </c>
      <c r="L1901" s="173">
        <v>41405</v>
      </c>
      <c r="M1901" s="50">
        <f t="shared" si="102"/>
        <v>4</v>
      </c>
      <c r="N1901" s="50" t="s">
        <v>2</v>
      </c>
      <c r="O1901" s="74">
        <f t="shared" si="105"/>
        <v>0.7</v>
      </c>
      <c r="P1901" s="50">
        <v>5.92</v>
      </c>
      <c r="Q1901" s="74">
        <v>5.81</v>
      </c>
      <c r="R1901" s="50">
        <v>75</v>
      </c>
      <c r="S1901" s="74">
        <v>82</v>
      </c>
      <c r="T1901" s="50">
        <v>0.37</v>
      </c>
      <c r="U1901" s="131">
        <v>4.8499999999999996</v>
      </c>
      <c r="V1901" s="50">
        <v>1.1000000000000001</v>
      </c>
      <c r="W1901" s="74">
        <v>1.2999999999999999E-2</v>
      </c>
      <c r="X1901" s="50">
        <v>8.7999999999999995E-2</v>
      </c>
      <c r="Y1901" s="74">
        <f>0.002/2</f>
        <v>1E-3</v>
      </c>
      <c r="Z1901" s="271">
        <v>1</v>
      </c>
      <c r="AA1901" s="271">
        <v>1</v>
      </c>
      <c r="AB1901" s="114">
        <v>34</v>
      </c>
      <c r="AC1901" s="50">
        <v>149</v>
      </c>
      <c r="AD1901" s="271">
        <v>1</v>
      </c>
    </row>
    <row r="1902" spans="1:30" ht="15" customHeight="1">
      <c r="A1902" s="41" t="s">
        <v>183</v>
      </c>
      <c r="B1902" s="402" t="s">
        <v>2065</v>
      </c>
      <c r="D1902" s="393" t="s">
        <v>314</v>
      </c>
      <c r="E1902" s="394" t="s">
        <v>49</v>
      </c>
      <c r="G1902" s="405" t="s">
        <v>3592</v>
      </c>
      <c r="H1902" s="74">
        <v>3444</v>
      </c>
      <c r="I1902" s="50" t="s">
        <v>2</v>
      </c>
      <c r="J1902" s="339" t="s">
        <v>81</v>
      </c>
      <c r="K1902" s="51">
        <v>41402</v>
      </c>
      <c r="L1902" s="173">
        <v>41384</v>
      </c>
      <c r="M1902" s="50">
        <f t="shared" si="102"/>
        <v>18</v>
      </c>
      <c r="N1902" s="50" t="s">
        <v>2</v>
      </c>
      <c r="O1902" s="74">
        <f t="shared" si="105"/>
        <v>0.7</v>
      </c>
      <c r="P1902" s="50">
        <v>5.53</v>
      </c>
      <c r="Q1902" s="74">
        <v>6.99</v>
      </c>
      <c r="R1902" s="50">
        <v>32</v>
      </c>
      <c r="S1902" s="74">
        <v>20</v>
      </c>
      <c r="T1902" s="50">
        <v>0.14000000000000001</v>
      </c>
      <c r="U1902" s="131">
        <v>0.89</v>
      </c>
      <c r="V1902" s="50">
        <v>0.6</v>
      </c>
      <c r="W1902" s="74">
        <v>8.0000000000000002E-3</v>
      </c>
      <c r="X1902" s="50">
        <v>2.4E-2</v>
      </c>
      <c r="Y1902" s="74">
        <v>2E-3</v>
      </c>
      <c r="Z1902" s="271">
        <v>1</v>
      </c>
      <c r="AA1902" s="271">
        <v>1</v>
      </c>
      <c r="AB1902" s="114">
        <v>4</v>
      </c>
      <c r="AC1902" s="50">
        <v>23</v>
      </c>
      <c r="AD1902" s="271">
        <v>1</v>
      </c>
    </row>
    <row r="1903" spans="1:30" ht="15" customHeight="1">
      <c r="A1903" s="41" t="s">
        <v>183</v>
      </c>
      <c r="B1903" s="402" t="s">
        <v>2065</v>
      </c>
      <c r="D1903" s="393" t="s">
        <v>314</v>
      </c>
      <c r="E1903" s="394" t="s">
        <v>49</v>
      </c>
      <c r="G1903" s="405" t="s">
        <v>3592</v>
      </c>
      <c r="H1903" s="74">
        <v>3444</v>
      </c>
      <c r="I1903" s="50" t="s">
        <v>2</v>
      </c>
      <c r="J1903" s="339" t="s">
        <v>114</v>
      </c>
      <c r="K1903" s="51">
        <v>41402</v>
      </c>
      <c r="L1903" s="173">
        <v>41384</v>
      </c>
      <c r="M1903" s="50">
        <f t="shared" si="102"/>
        <v>18</v>
      </c>
      <c r="N1903" s="50" t="s">
        <v>2</v>
      </c>
      <c r="O1903" s="74">
        <f t="shared" si="105"/>
        <v>0.7</v>
      </c>
      <c r="P1903" s="50">
        <v>5.53</v>
      </c>
      <c r="Q1903" s="74">
        <v>7.55</v>
      </c>
      <c r="R1903" s="50">
        <v>32</v>
      </c>
      <c r="S1903" s="74">
        <v>53</v>
      </c>
      <c r="T1903" s="50">
        <v>0.41</v>
      </c>
      <c r="U1903" s="131">
        <v>1.72</v>
      </c>
      <c r="V1903" s="50">
        <v>0.17</v>
      </c>
      <c r="W1903" s="74">
        <v>2.4E-2</v>
      </c>
      <c r="X1903" s="50">
        <v>0.13500000000000001</v>
      </c>
      <c r="Y1903" s="74">
        <v>8.9999999999999993E-3</v>
      </c>
      <c r="Z1903" s="271">
        <v>1</v>
      </c>
      <c r="AA1903" s="271">
        <v>1</v>
      </c>
      <c r="AB1903" s="114">
        <v>8</v>
      </c>
      <c r="AC1903" s="50">
        <v>31</v>
      </c>
      <c r="AD1903" s="271">
        <v>1</v>
      </c>
    </row>
    <row r="1904" spans="1:30" ht="15" customHeight="1">
      <c r="A1904" s="41" t="s">
        <v>183</v>
      </c>
      <c r="B1904" s="402" t="s">
        <v>2065</v>
      </c>
      <c r="D1904" s="393" t="s">
        <v>314</v>
      </c>
      <c r="E1904" s="394" t="s">
        <v>5111</v>
      </c>
      <c r="G1904" s="405" t="s">
        <v>3593</v>
      </c>
      <c r="H1904" s="74">
        <v>3444</v>
      </c>
      <c r="I1904" s="50" t="s">
        <v>2</v>
      </c>
      <c r="J1904" s="339" t="s">
        <v>81</v>
      </c>
      <c r="K1904" s="51">
        <v>41442</v>
      </c>
      <c r="L1904" s="173">
        <v>41439</v>
      </c>
      <c r="M1904" s="50">
        <f t="shared" si="102"/>
        <v>3</v>
      </c>
      <c r="N1904" s="50" t="s">
        <v>2</v>
      </c>
      <c r="O1904" s="74">
        <f t="shared" si="105"/>
        <v>0.7</v>
      </c>
      <c r="P1904" s="50">
        <v>5.77</v>
      </c>
      <c r="Q1904" s="74">
        <v>6.1</v>
      </c>
      <c r="R1904" s="50">
        <f>10/2</f>
        <v>5</v>
      </c>
      <c r="S1904" s="74">
        <f>5/2</f>
        <v>2.5</v>
      </c>
      <c r="T1904" s="50">
        <v>0.04</v>
      </c>
      <c r="U1904" s="131">
        <v>0.36</v>
      </c>
      <c r="V1904" s="50">
        <v>0.06</v>
      </c>
      <c r="W1904" s="74">
        <f>0.005/2</f>
        <v>2.5000000000000001E-3</v>
      </c>
      <c r="X1904" s="50">
        <v>1.2999999999999999E-2</v>
      </c>
      <c r="Y1904" s="74">
        <f>0.002/2</f>
        <v>1E-3</v>
      </c>
      <c r="Z1904" s="271">
        <v>1</v>
      </c>
      <c r="AA1904" s="271">
        <v>1</v>
      </c>
      <c r="AB1904" s="114">
        <v>6</v>
      </c>
      <c r="AC1904" s="50">
        <v>16</v>
      </c>
      <c r="AD1904" s="271">
        <v>1</v>
      </c>
    </row>
    <row r="1905" spans="1:42" ht="15" customHeight="1">
      <c r="A1905" s="41" t="s">
        <v>183</v>
      </c>
      <c r="B1905" s="402" t="s">
        <v>2065</v>
      </c>
      <c r="D1905" s="393" t="s">
        <v>314</v>
      </c>
      <c r="E1905" s="394" t="s">
        <v>5111</v>
      </c>
      <c r="G1905" s="405" t="s">
        <v>3593</v>
      </c>
      <c r="H1905" s="74">
        <v>3444</v>
      </c>
      <c r="I1905" s="50" t="s">
        <v>2</v>
      </c>
      <c r="J1905" s="339" t="s">
        <v>114</v>
      </c>
      <c r="K1905" s="51">
        <v>41442</v>
      </c>
      <c r="L1905" s="173">
        <v>41439</v>
      </c>
      <c r="M1905" s="50">
        <f t="shared" si="102"/>
        <v>3</v>
      </c>
      <c r="N1905" s="50" t="s">
        <v>2</v>
      </c>
      <c r="O1905" s="74">
        <f t="shared" si="105"/>
        <v>0.7</v>
      </c>
      <c r="P1905" s="50">
        <v>5.77</v>
      </c>
      <c r="Q1905" s="74">
        <v>6.14</v>
      </c>
      <c r="R1905" s="50">
        <f>10/2</f>
        <v>5</v>
      </c>
      <c r="S1905" s="74">
        <f>5/2</f>
        <v>2.5</v>
      </c>
      <c r="T1905" s="50">
        <v>0.04</v>
      </c>
      <c r="U1905" s="131">
        <v>0.39</v>
      </c>
      <c r="V1905" s="50">
        <v>7.0000000000000007E-2</v>
      </c>
      <c r="W1905" s="74">
        <f>0.005/2</f>
        <v>2.5000000000000001E-3</v>
      </c>
      <c r="X1905" s="50">
        <v>1.4E-2</v>
      </c>
      <c r="Y1905" s="74">
        <f>0.002/2</f>
        <v>1E-3</v>
      </c>
      <c r="Z1905" s="271">
        <v>1</v>
      </c>
      <c r="AA1905" s="271">
        <v>1</v>
      </c>
      <c r="AB1905" s="114">
        <v>6</v>
      </c>
      <c r="AC1905" s="50">
        <v>15</v>
      </c>
      <c r="AD1905" s="271">
        <v>1</v>
      </c>
    </row>
    <row r="1906" spans="1:42" ht="15" customHeight="1">
      <c r="A1906" s="41" t="s">
        <v>183</v>
      </c>
      <c r="B1906" s="402" t="s">
        <v>2065</v>
      </c>
      <c r="D1906" s="393" t="s">
        <v>314</v>
      </c>
      <c r="E1906" s="394" t="s">
        <v>5111</v>
      </c>
      <c r="G1906" s="405" t="s">
        <v>3593</v>
      </c>
      <c r="H1906" s="74">
        <v>3444</v>
      </c>
      <c r="I1906" s="50" t="s">
        <v>2</v>
      </c>
      <c r="J1906" s="339" t="s">
        <v>115</v>
      </c>
      <c r="K1906" s="51">
        <v>41442</v>
      </c>
      <c r="L1906" s="173">
        <v>41439</v>
      </c>
      <c r="M1906" s="50">
        <f t="shared" si="102"/>
        <v>3</v>
      </c>
      <c r="N1906" s="50" t="s">
        <v>2</v>
      </c>
      <c r="O1906" s="74">
        <v>3.5</v>
      </c>
      <c r="P1906" s="50">
        <v>5.77</v>
      </c>
      <c r="Q1906" s="74">
        <v>5.92</v>
      </c>
      <c r="R1906" s="50">
        <v>192</v>
      </c>
      <c r="S1906" s="74">
        <v>71</v>
      </c>
      <c r="T1906" s="50">
        <v>0.49</v>
      </c>
      <c r="U1906" s="131">
        <v>3.3</v>
      </c>
      <c r="V1906" s="50">
        <v>1.01</v>
      </c>
      <c r="W1906" s="74">
        <v>5.2999999999999999E-2</v>
      </c>
      <c r="X1906" s="50">
        <v>0.123</v>
      </c>
      <c r="Y1906" s="74">
        <v>1.2E-2</v>
      </c>
      <c r="Z1906" s="271">
        <v>1</v>
      </c>
      <c r="AA1906" s="271">
        <v>1</v>
      </c>
      <c r="AB1906" s="114">
        <v>32</v>
      </c>
      <c r="AC1906" s="50">
        <v>276</v>
      </c>
      <c r="AD1906" s="271">
        <v>1</v>
      </c>
    </row>
    <row r="1907" spans="1:42" ht="15" customHeight="1">
      <c r="A1907" s="41" t="s">
        <v>183</v>
      </c>
      <c r="B1907" s="402" t="s">
        <v>2065</v>
      </c>
      <c r="D1907" s="393" t="s">
        <v>314</v>
      </c>
      <c r="E1907" s="394" t="s">
        <v>5111</v>
      </c>
      <c r="G1907" s="405" t="s">
        <v>3593</v>
      </c>
      <c r="H1907" s="74">
        <v>3444</v>
      </c>
      <c r="I1907" s="50" t="s">
        <v>2</v>
      </c>
      <c r="J1907" s="339" t="s">
        <v>924</v>
      </c>
      <c r="K1907" s="51">
        <v>41442</v>
      </c>
      <c r="L1907" s="173">
        <v>41439</v>
      </c>
      <c r="M1907" s="50">
        <f t="shared" si="102"/>
        <v>3</v>
      </c>
      <c r="N1907" s="50" t="s">
        <v>2</v>
      </c>
      <c r="O1907" s="74">
        <f>1.4/2</f>
        <v>0.7</v>
      </c>
      <c r="P1907" s="50">
        <v>5.77</v>
      </c>
      <c r="Q1907" s="74">
        <v>6.08</v>
      </c>
      <c r="R1907" s="50">
        <v>24</v>
      </c>
      <c r="S1907" s="74">
        <f>5/2</f>
        <v>2.5</v>
      </c>
      <c r="T1907" s="50">
        <v>7.0000000000000007E-2</v>
      </c>
      <c r="U1907" s="131">
        <v>1.56</v>
      </c>
      <c r="V1907" s="50">
        <v>0.6</v>
      </c>
      <c r="W1907" s="74">
        <f>0.005/2</f>
        <v>2.5000000000000001E-3</v>
      </c>
      <c r="X1907" s="50">
        <v>0.11899999999999999</v>
      </c>
      <c r="Y1907" s="74">
        <f>0.002/2</f>
        <v>1E-3</v>
      </c>
      <c r="Z1907" s="271">
        <v>1</v>
      </c>
      <c r="AA1907" s="271">
        <v>0.70699999999999996</v>
      </c>
      <c r="AB1907" s="114">
        <v>6</v>
      </c>
      <c r="AC1907" s="50">
        <v>25</v>
      </c>
      <c r="AD1907" s="271">
        <v>0</v>
      </c>
    </row>
    <row r="1908" spans="1:42" ht="15" customHeight="1">
      <c r="A1908" s="41" t="s">
        <v>183</v>
      </c>
      <c r="B1908" s="402" t="s">
        <v>2065</v>
      </c>
      <c r="D1908" s="393" t="s">
        <v>314</v>
      </c>
      <c r="E1908" s="394" t="s">
        <v>49</v>
      </c>
      <c r="G1908" s="405" t="s">
        <v>3594</v>
      </c>
      <c r="H1908" s="74">
        <v>3444</v>
      </c>
      <c r="I1908" s="50" t="s">
        <v>2</v>
      </c>
      <c r="J1908" s="339" t="s">
        <v>81</v>
      </c>
      <c r="K1908" s="51">
        <v>41402</v>
      </c>
      <c r="L1908" s="173">
        <v>41384</v>
      </c>
      <c r="M1908" s="50">
        <f t="shared" si="102"/>
        <v>18</v>
      </c>
      <c r="N1908" s="50" t="s">
        <v>2</v>
      </c>
      <c r="O1908" s="74">
        <v>1.9</v>
      </c>
      <c r="P1908" s="50">
        <v>5.53</v>
      </c>
      <c r="Q1908" s="74">
        <v>6.12</v>
      </c>
      <c r="R1908" s="50">
        <v>45</v>
      </c>
      <c r="S1908" s="74">
        <v>180</v>
      </c>
      <c r="T1908" s="50">
        <v>0.8</v>
      </c>
      <c r="U1908" s="131">
        <v>5.4</v>
      </c>
      <c r="V1908" s="50">
        <v>0.3</v>
      </c>
      <c r="W1908" s="74">
        <v>3.5000000000000003E-2</v>
      </c>
      <c r="X1908" s="50">
        <v>0.35299999999999998</v>
      </c>
      <c r="Y1908" s="74">
        <v>1.9E-2</v>
      </c>
      <c r="Z1908" s="271">
        <v>1</v>
      </c>
      <c r="AA1908" s="271">
        <v>0.752</v>
      </c>
      <c r="AD1908" s="271">
        <v>0.15</v>
      </c>
    </row>
    <row r="1909" spans="1:42" ht="15" customHeight="1">
      <c r="A1909" s="41" t="s">
        <v>183</v>
      </c>
      <c r="B1909" s="402" t="s">
        <v>2065</v>
      </c>
      <c r="D1909" s="393" t="s">
        <v>314</v>
      </c>
      <c r="E1909" s="394" t="s">
        <v>49</v>
      </c>
      <c r="G1909" s="405" t="s">
        <v>3594</v>
      </c>
      <c r="H1909" s="74">
        <v>3444</v>
      </c>
      <c r="I1909" s="50" t="s">
        <v>2</v>
      </c>
      <c r="J1909" s="339" t="s">
        <v>114</v>
      </c>
      <c r="K1909" s="51">
        <v>41402</v>
      </c>
      <c r="L1909" s="173">
        <v>41384</v>
      </c>
      <c r="M1909" s="50">
        <f t="shared" si="102"/>
        <v>18</v>
      </c>
      <c r="N1909" s="50" t="s">
        <v>2</v>
      </c>
      <c r="O1909" s="74">
        <f>1.4/2</f>
        <v>0.7</v>
      </c>
      <c r="P1909" s="50">
        <v>5.53</v>
      </c>
      <c r="Q1909" s="74">
        <v>5.98</v>
      </c>
      <c r="R1909" s="50">
        <v>30</v>
      </c>
      <c r="S1909" s="74">
        <v>220</v>
      </c>
      <c r="T1909" s="50">
        <v>0.32</v>
      </c>
      <c r="U1909" s="131">
        <v>1.22</v>
      </c>
      <c r="V1909" s="50">
        <v>0.08</v>
      </c>
      <c r="W1909" s="74">
        <v>1.7000000000000001E-2</v>
      </c>
      <c r="X1909" s="50">
        <v>0.12</v>
      </c>
      <c r="Y1909" s="74">
        <v>1.6E-2</v>
      </c>
      <c r="Z1909" s="271">
        <v>1</v>
      </c>
      <c r="AA1909" s="271">
        <v>1</v>
      </c>
      <c r="AB1909" s="114">
        <v>4</v>
      </c>
      <c r="AC1909" s="50">
        <v>12</v>
      </c>
      <c r="AD1909" s="271">
        <v>1</v>
      </c>
    </row>
    <row r="1910" spans="1:42" ht="15" customHeight="1">
      <c r="A1910" s="41" t="s">
        <v>183</v>
      </c>
      <c r="B1910" s="402" t="s">
        <v>2065</v>
      </c>
      <c r="D1910" s="393" t="s">
        <v>314</v>
      </c>
      <c r="E1910" s="394" t="s">
        <v>49</v>
      </c>
      <c r="G1910" s="405" t="s">
        <v>3594</v>
      </c>
      <c r="H1910" s="74">
        <v>3444</v>
      </c>
      <c r="I1910" s="50" t="s">
        <v>2</v>
      </c>
      <c r="J1910" s="339" t="s">
        <v>115</v>
      </c>
      <c r="K1910" s="51">
        <v>41402</v>
      </c>
      <c r="L1910" s="173">
        <v>41384</v>
      </c>
      <c r="M1910" s="50">
        <f t="shared" si="102"/>
        <v>18</v>
      </c>
      <c r="N1910" s="50" t="s">
        <v>2</v>
      </c>
      <c r="O1910" s="74">
        <v>2.1</v>
      </c>
      <c r="P1910" s="50">
        <v>5.53</v>
      </c>
      <c r="Q1910" s="74">
        <v>6.18</v>
      </c>
      <c r="R1910" s="50">
        <v>25</v>
      </c>
      <c r="S1910" s="74">
        <v>550</v>
      </c>
      <c r="T1910" s="50">
        <v>0.57999999999999996</v>
      </c>
      <c r="U1910" s="131">
        <v>1.03</v>
      </c>
      <c r="V1910" s="50">
        <v>0.05</v>
      </c>
      <c r="W1910" s="74">
        <v>4.5999999999999999E-2</v>
      </c>
      <c r="X1910" s="50">
        <v>0.14799999999999999</v>
      </c>
      <c r="Y1910" s="74">
        <v>2.5000000000000001E-2</v>
      </c>
      <c r="Z1910" s="271">
        <v>1</v>
      </c>
      <c r="AA1910" s="271">
        <v>1</v>
      </c>
      <c r="AB1910" s="114">
        <v>2</v>
      </c>
      <c r="AC1910" s="50">
        <v>8</v>
      </c>
      <c r="AD1910" s="271">
        <v>0.55000000000000004</v>
      </c>
    </row>
    <row r="1911" spans="1:42" ht="15" customHeight="1">
      <c r="A1911" s="41" t="s">
        <v>183</v>
      </c>
      <c r="B1911" s="402" t="s">
        <v>2065</v>
      </c>
      <c r="D1911" s="393" t="s">
        <v>314</v>
      </c>
      <c r="E1911" s="394" t="s">
        <v>49</v>
      </c>
      <c r="G1911" s="405" t="s">
        <v>3594</v>
      </c>
      <c r="H1911" s="74">
        <v>3444</v>
      </c>
      <c r="I1911" s="50" t="s">
        <v>2</v>
      </c>
      <c r="J1911" s="80" t="s">
        <v>924</v>
      </c>
      <c r="K1911" s="51">
        <v>41402</v>
      </c>
      <c r="L1911" s="173">
        <v>41384</v>
      </c>
      <c r="M1911" s="50">
        <f t="shared" si="102"/>
        <v>18</v>
      </c>
      <c r="N1911" s="50" t="s">
        <v>2</v>
      </c>
      <c r="O1911" s="74">
        <f>1.4/2</f>
        <v>0.7</v>
      </c>
      <c r="P1911" s="50">
        <v>5.53</v>
      </c>
      <c r="Q1911" s="74">
        <v>5.62</v>
      </c>
      <c r="R1911" s="50">
        <f>10/2</f>
        <v>5</v>
      </c>
      <c r="S1911" s="74">
        <f>5/2</f>
        <v>2.5</v>
      </c>
      <c r="T1911" s="50">
        <v>0.12</v>
      </c>
      <c r="U1911" s="131">
        <v>0.45</v>
      </c>
      <c r="V1911" s="50">
        <v>0.02</v>
      </c>
      <c r="W1911" s="74">
        <v>6.0000000000000001E-3</v>
      </c>
      <c r="X1911" s="50">
        <v>4.7E-2</v>
      </c>
      <c r="Y1911" s="74">
        <v>6.0000000000000001E-3</v>
      </c>
      <c r="Z1911" s="271">
        <v>1</v>
      </c>
      <c r="AA1911" s="271">
        <v>1</v>
      </c>
      <c r="AB1911" s="114">
        <f>2/2</f>
        <v>1</v>
      </c>
      <c r="AC1911" s="50">
        <v>6</v>
      </c>
      <c r="AD1911" s="271">
        <v>1</v>
      </c>
    </row>
    <row r="1912" spans="1:42" ht="15" customHeight="1">
      <c r="A1912" s="41" t="s">
        <v>183</v>
      </c>
      <c r="B1912" s="402" t="s">
        <v>2065</v>
      </c>
      <c r="D1912" s="393" t="s">
        <v>314</v>
      </c>
      <c r="E1912" s="394" t="s">
        <v>49</v>
      </c>
      <c r="G1912" s="405" t="s">
        <v>3594</v>
      </c>
      <c r="H1912" s="74">
        <v>3444</v>
      </c>
      <c r="I1912" s="50" t="s">
        <v>2</v>
      </c>
      <c r="J1912" s="339" t="s">
        <v>696</v>
      </c>
      <c r="K1912" s="51">
        <v>41402</v>
      </c>
      <c r="L1912" s="173">
        <v>41384</v>
      </c>
      <c r="M1912" s="50">
        <f t="shared" si="102"/>
        <v>18</v>
      </c>
      <c r="N1912" s="50" t="s">
        <v>2</v>
      </c>
      <c r="O1912" s="74">
        <f>1.4/2</f>
        <v>0.7</v>
      </c>
      <c r="P1912" s="50">
        <v>5.53</v>
      </c>
      <c r="Q1912" s="74">
        <v>5.8</v>
      </c>
      <c r="R1912" s="50">
        <v>21</v>
      </c>
      <c r="S1912" s="74">
        <v>39</v>
      </c>
      <c r="T1912" s="50">
        <v>0.18</v>
      </c>
      <c r="U1912" s="131">
        <v>0.38</v>
      </c>
      <c r="V1912" s="50">
        <v>0.06</v>
      </c>
      <c r="W1912" s="74">
        <v>6.0000000000000001E-3</v>
      </c>
      <c r="X1912" s="50">
        <v>3.4000000000000002E-2</v>
      </c>
      <c r="Y1912" s="74">
        <v>3.0000000000000001E-3</v>
      </c>
      <c r="Z1912" s="271">
        <v>1</v>
      </c>
      <c r="AA1912" s="271">
        <v>1</v>
      </c>
      <c r="AB1912" s="114">
        <v>2</v>
      </c>
      <c r="AC1912" s="50">
        <v>11</v>
      </c>
      <c r="AD1912" s="271">
        <v>1</v>
      </c>
    </row>
    <row r="1913" spans="1:42" ht="15" customHeight="1">
      <c r="A1913" s="41" t="s">
        <v>183</v>
      </c>
      <c r="B1913" s="385" t="s">
        <v>4356</v>
      </c>
      <c r="C1913" s="18" t="s">
        <v>4356</v>
      </c>
      <c r="D1913" s="377" t="s">
        <v>262</v>
      </c>
      <c r="E1913" s="20" t="s">
        <v>4357</v>
      </c>
      <c r="F1913" s="385" t="s">
        <v>4358</v>
      </c>
      <c r="G1913" s="390" t="s">
        <v>4359</v>
      </c>
      <c r="H1913" s="6"/>
      <c r="I1913" s="7" t="s">
        <v>1</v>
      </c>
      <c r="J1913" s="344" t="s">
        <v>4360</v>
      </c>
      <c r="K1913" s="51">
        <v>41240</v>
      </c>
      <c r="L1913" s="173">
        <v>41236</v>
      </c>
      <c r="M1913" s="50">
        <f t="shared" ref="M1913:M1925" si="106">K1913-L1913</f>
        <v>4</v>
      </c>
      <c r="N1913" s="50" t="s">
        <v>1</v>
      </c>
      <c r="O1913" s="74">
        <v>20</v>
      </c>
      <c r="P1913" s="50">
        <v>4.5</v>
      </c>
      <c r="Q1913" s="74">
        <v>7.14</v>
      </c>
      <c r="R1913" s="50">
        <v>55</v>
      </c>
      <c r="S1913" s="74">
        <v>13</v>
      </c>
      <c r="T1913" s="50">
        <f>0.25/2</f>
        <v>0.125</v>
      </c>
      <c r="U1913" s="131">
        <v>0.71199999999999997</v>
      </c>
      <c r="V1913" s="50">
        <v>0.54300000000000004</v>
      </c>
      <c r="W1913" s="74">
        <f>0.005/2</f>
        <v>2.5000000000000001E-3</v>
      </c>
      <c r="X1913" s="50">
        <v>3.0200000000000001E-2</v>
      </c>
      <c r="Y1913" s="74">
        <v>4.0200000000000001E-3</v>
      </c>
      <c r="Z1913" s="271">
        <v>1</v>
      </c>
      <c r="AA1913" s="271">
        <v>1</v>
      </c>
      <c r="AB1913" s="114">
        <v>62</v>
      </c>
      <c r="AC1913" s="50">
        <v>445</v>
      </c>
      <c r="AD1913" s="271">
        <v>1</v>
      </c>
      <c r="AP1913" s="114">
        <f>0.003/2</f>
        <v>1.5E-3</v>
      </c>
    </row>
    <row r="1914" spans="1:42" ht="15" customHeight="1">
      <c r="A1914" s="41" t="s">
        <v>183</v>
      </c>
      <c r="B1914" s="402" t="s">
        <v>1220</v>
      </c>
      <c r="C1914" s="113" t="s">
        <v>1239</v>
      </c>
      <c r="D1914" s="393" t="s">
        <v>806</v>
      </c>
      <c r="E1914" s="394" t="s">
        <v>535</v>
      </c>
      <c r="F1914" s="402" t="s">
        <v>1240</v>
      </c>
      <c r="G1914" s="405" t="s">
        <v>1241</v>
      </c>
      <c r="H1914" s="74">
        <v>4215</v>
      </c>
      <c r="I1914" s="50" t="s">
        <v>2</v>
      </c>
      <c r="J1914" s="339" t="s">
        <v>1223</v>
      </c>
      <c r="K1914" s="51">
        <v>41383</v>
      </c>
      <c r="L1914" s="115">
        <v>41377</v>
      </c>
      <c r="M1914" s="50">
        <f t="shared" si="106"/>
        <v>6</v>
      </c>
      <c r="N1914" s="50" t="s">
        <v>2</v>
      </c>
      <c r="O1914" s="74">
        <f>5/2</f>
        <v>2.5</v>
      </c>
      <c r="P1914" s="50">
        <v>7.34</v>
      </c>
      <c r="Q1914" s="74">
        <v>7.6</v>
      </c>
      <c r="R1914" s="50">
        <v>66.3</v>
      </c>
      <c r="S1914" s="74">
        <v>144</v>
      </c>
      <c r="T1914" s="50">
        <v>0.31</v>
      </c>
      <c r="U1914" s="131">
        <v>3.1</v>
      </c>
      <c r="V1914" s="50">
        <v>3.1E-2</v>
      </c>
      <c r="W1914" s="74">
        <v>2.5000000000000001E-2</v>
      </c>
      <c r="X1914" s="50">
        <v>4.7E-2</v>
      </c>
      <c r="Y1914" s="74">
        <v>5.4000000000000003E-3</v>
      </c>
    </row>
    <row r="1915" spans="1:42" ht="15" customHeight="1">
      <c r="A1915" s="41" t="s">
        <v>183</v>
      </c>
      <c r="B1915" s="402" t="s">
        <v>1220</v>
      </c>
      <c r="C1915" s="113" t="s">
        <v>1221</v>
      </c>
      <c r="D1915" s="393" t="s">
        <v>684</v>
      </c>
      <c r="E1915" s="394" t="s">
        <v>112</v>
      </c>
      <c r="G1915" s="405" t="s">
        <v>1222</v>
      </c>
      <c r="H1915" s="49">
        <v>4215</v>
      </c>
      <c r="I1915" s="50" t="s">
        <v>2</v>
      </c>
      <c r="J1915" s="76" t="s">
        <v>1223</v>
      </c>
      <c r="K1915" s="51">
        <v>41487</v>
      </c>
      <c r="L1915" s="115">
        <v>41481</v>
      </c>
      <c r="M1915" s="50">
        <f t="shared" si="106"/>
        <v>6</v>
      </c>
      <c r="N1915" s="50" t="s">
        <v>2</v>
      </c>
      <c r="O1915" s="74">
        <f>1.4/2</f>
        <v>0.7</v>
      </c>
      <c r="P1915" s="50">
        <v>5.56</v>
      </c>
      <c r="Q1915" s="74">
        <v>5.01</v>
      </c>
      <c r="R1915" s="50">
        <v>161</v>
      </c>
      <c r="S1915" s="74">
        <v>66.8</v>
      </c>
      <c r="T1915" s="50">
        <v>0.24</v>
      </c>
      <c r="U1915" s="131">
        <v>3.7</v>
      </c>
      <c r="V1915" s="50">
        <v>2.2000000000000002</v>
      </c>
      <c r="W1915" s="74">
        <v>6.3E-2</v>
      </c>
      <c r="X1915" s="50">
        <v>0.56000000000000005</v>
      </c>
      <c r="Y1915" s="74">
        <v>6.0000000000000001E-3</v>
      </c>
    </row>
    <row r="1916" spans="1:42" ht="15" customHeight="1">
      <c r="A1916" s="41" t="s">
        <v>183</v>
      </c>
      <c r="B1916" s="402" t="s">
        <v>1220</v>
      </c>
      <c r="C1916" s="113" t="s">
        <v>1221</v>
      </c>
      <c r="D1916" s="393" t="s">
        <v>684</v>
      </c>
      <c r="E1916" s="394" t="s">
        <v>112</v>
      </c>
      <c r="G1916" s="405" t="s">
        <v>1222</v>
      </c>
      <c r="H1916" s="49">
        <v>4215</v>
      </c>
      <c r="I1916" s="50" t="s">
        <v>2</v>
      </c>
      <c r="J1916" s="76" t="s">
        <v>1224</v>
      </c>
      <c r="K1916" s="51">
        <v>41487</v>
      </c>
      <c r="L1916" s="115">
        <v>41481</v>
      </c>
      <c r="M1916" s="50">
        <f t="shared" si="106"/>
        <v>6</v>
      </c>
      <c r="N1916" s="50" t="s">
        <v>2</v>
      </c>
      <c r="O1916" s="74">
        <f>1.4/2</f>
        <v>0.7</v>
      </c>
      <c r="P1916" s="50">
        <v>5.56</v>
      </c>
      <c r="Q1916" s="74">
        <v>6.42</v>
      </c>
      <c r="R1916" s="50">
        <v>133</v>
      </c>
      <c r="S1916" s="74">
        <v>56</v>
      </c>
      <c r="T1916" s="50">
        <v>0.46</v>
      </c>
      <c r="U1916" s="131">
        <v>3.7</v>
      </c>
      <c r="V1916" s="50">
        <v>1.2</v>
      </c>
      <c r="W1916" s="74">
        <v>3.1E-2</v>
      </c>
      <c r="X1916" s="50">
        <v>0.19</v>
      </c>
      <c r="Y1916" s="74">
        <v>3.2000000000000002E-3</v>
      </c>
    </row>
    <row r="1917" spans="1:42" ht="15" customHeight="1">
      <c r="A1917" s="41" t="s">
        <v>183</v>
      </c>
      <c r="B1917" s="402" t="s">
        <v>1220</v>
      </c>
      <c r="C1917" s="113" t="s">
        <v>1292</v>
      </c>
      <c r="D1917" s="393" t="s">
        <v>2372</v>
      </c>
      <c r="E1917" s="394" t="s">
        <v>1293</v>
      </c>
      <c r="G1917" s="405" t="s">
        <v>1294</v>
      </c>
      <c r="H1917" s="49">
        <v>4215</v>
      </c>
      <c r="I1917" s="50" t="s">
        <v>2</v>
      </c>
      <c r="J1917" s="76" t="s">
        <v>1295</v>
      </c>
      <c r="K1917" s="51">
        <v>41529</v>
      </c>
      <c r="L1917" s="115">
        <v>41520</v>
      </c>
      <c r="M1917" s="50">
        <f t="shared" si="106"/>
        <v>9</v>
      </c>
      <c r="N1917" s="50" t="s">
        <v>2</v>
      </c>
      <c r="O1917" s="74">
        <v>2.2999999999999998</v>
      </c>
      <c r="P1917" s="50">
        <v>6.55</v>
      </c>
      <c r="Q1917" s="74">
        <v>5.66</v>
      </c>
      <c r="R1917" s="50">
        <v>37</v>
      </c>
      <c r="S1917" s="74">
        <v>12.4</v>
      </c>
      <c r="T1917" s="50">
        <v>0.14000000000000001</v>
      </c>
      <c r="U1917" s="131">
        <v>0.79</v>
      </c>
      <c r="V1917" s="50">
        <v>0.32</v>
      </c>
      <c r="W1917" s="74">
        <v>6.6E-3</v>
      </c>
      <c r="X1917" s="50">
        <v>7.1999999999999995E-2</v>
      </c>
      <c r="Y1917" s="74">
        <f>0.003/2</f>
        <v>1.5E-3</v>
      </c>
    </row>
    <row r="1918" spans="1:42" ht="15" customHeight="1">
      <c r="A1918" s="41" t="s">
        <v>183</v>
      </c>
      <c r="B1918" s="402" t="s">
        <v>1220</v>
      </c>
      <c r="C1918" s="113" t="s">
        <v>1292</v>
      </c>
      <c r="D1918" s="393" t="s">
        <v>2372</v>
      </c>
      <c r="E1918" s="394" t="s">
        <v>1293</v>
      </c>
      <c r="G1918" s="405" t="s">
        <v>1294</v>
      </c>
      <c r="H1918" s="49">
        <v>4215</v>
      </c>
      <c r="I1918" s="50" t="s">
        <v>2</v>
      </c>
      <c r="J1918" s="76" t="s">
        <v>1224</v>
      </c>
      <c r="K1918" s="51">
        <v>41529</v>
      </c>
      <c r="L1918" s="115">
        <v>41520</v>
      </c>
      <c r="M1918" s="50">
        <f t="shared" si="106"/>
        <v>9</v>
      </c>
      <c r="N1918" s="50" t="s">
        <v>2</v>
      </c>
      <c r="O1918" s="74">
        <f>1.4/2</f>
        <v>0.7</v>
      </c>
      <c r="P1918" s="50">
        <v>6.55</v>
      </c>
      <c r="Q1918" s="74">
        <v>6.14</v>
      </c>
      <c r="R1918" s="50">
        <v>47.1</v>
      </c>
      <c r="S1918" s="74">
        <v>149</v>
      </c>
      <c r="T1918" s="50">
        <v>0.26</v>
      </c>
      <c r="U1918" s="131">
        <v>2.7</v>
      </c>
      <c r="V1918" s="50">
        <v>1.1000000000000001</v>
      </c>
      <c r="W1918" s="74">
        <v>8.0000000000000002E-3</v>
      </c>
      <c r="X1918" s="50">
        <v>4.2999999999999997E-2</v>
      </c>
      <c r="Y1918" s="74">
        <v>8.9999999999999993E-3</v>
      </c>
    </row>
    <row r="1919" spans="1:42" ht="15" customHeight="1">
      <c r="A1919" s="41" t="s">
        <v>183</v>
      </c>
      <c r="B1919" s="402" t="s">
        <v>1220</v>
      </c>
      <c r="C1919" s="113" t="s">
        <v>1229</v>
      </c>
      <c r="D1919" s="393" t="s">
        <v>338</v>
      </c>
      <c r="E1919" s="394" t="s">
        <v>1249</v>
      </c>
      <c r="F1919" s="402" t="s">
        <v>1250</v>
      </c>
      <c r="G1919" s="405" t="s">
        <v>1251</v>
      </c>
      <c r="H1919" s="49">
        <v>4215</v>
      </c>
      <c r="I1919" s="50" t="s">
        <v>2</v>
      </c>
      <c r="J1919" s="76" t="s">
        <v>1223</v>
      </c>
      <c r="K1919" s="51">
        <v>41487</v>
      </c>
      <c r="L1919" s="115">
        <v>41481</v>
      </c>
      <c r="M1919" s="50">
        <f t="shared" si="106"/>
        <v>6</v>
      </c>
      <c r="N1919" s="50" t="s">
        <v>2</v>
      </c>
      <c r="O1919" s="74">
        <v>1.6</v>
      </c>
      <c r="P1919" s="50">
        <v>5.85</v>
      </c>
      <c r="Q1919" s="74">
        <v>7.58</v>
      </c>
      <c r="R1919" s="50">
        <v>55.4</v>
      </c>
      <c r="S1919" s="74">
        <v>14</v>
      </c>
      <c r="T1919" s="50">
        <v>1.2999999999999999E-2</v>
      </c>
      <c r="U1919" s="131">
        <v>1.1000000000000001</v>
      </c>
      <c r="V1919" s="50">
        <v>0.97</v>
      </c>
      <c r="W1919" s="74">
        <v>1.7000000000000001E-2</v>
      </c>
      <c r="X1919" s="50">
        <v>6.2E-2</v>
      </c>
      <c r="Y1919" s="74">
        <f>0.003/2</f>
        <v>1.5E-3</v>
      </c>
    </row>
    <row r="1920" spans="1:42" ht="15" customHeight="1">
      <c r="A1920" s="41" t="s">
        <v>183</v>
      </c>
      <c r="B1920" s="402" t="s">
        <v>1220</v>
      </c>
      <c r="C1920" s="113" t="s">
        <v>1242</v>
      </c>
      <c r="D1920" s="393" t="s">
        <v>133</v>
      </c>
      <c r="E1920" s="394" t="s">
        <v>1244</v>
      </c>
      <c r="F1920" s="402" t="s">
        <v>1245</v>
      </c>
      <c r="G1920" s="405" t="s">
        <v>1246</v>
      </c>
      <c r="H1920" s="74">
        <v>4173</v>
      </c>
      <c r="I1920" s="50" t="s">
        <v>2</v>
      </c>
      <c r="J1920" s="339" t="s">
        <v>1223</v>
      </c>
      <c r="K1920" s="51">
        <v>41539</v>
      </c>
      <c r="L1920" s="115">
        <v>41529</v>
      </c>
      <c r="M1920" s="50">
        <f t="shared" si="106"/>
        <v>10</v>
      </c>
      <c r="N1920" s="50" t="s">
        <v>2</v>
      </c>
      <c r="O1920" s="74">
        <f>1.4/2</f>
        <v>0.7</v>
      </c>
      <c r="P1920" s="50">
        <v>6.92</v>
      </c>
      <c r="Q1920" s="74">
        <v>6</v>
      </c>
      <c r="R1920" s="50">
        <v>38</v>
      </c>
      <c r="S1920" s="74">
        <v>24</v>
      </c>
      <c r="T1920" s="50">
        <v>9.7000000000000003E-2</v>
      </c>
      <c r="U1920" s="131">
        <v>1</v>
      </c>
      <c r="V1920" s="50">
        <v>0.39</v>
      </c>
      <c r="W1920" s="74">
        <v>1.2999999999999999E-2</v>
      </c>
      <c r="X1920" s="50">
        <v>0.23</v>
      </c>
      <c r="Y1920" s="74">
        <v>6.3E-3</v>
      </c>
    </row>
    <row r="1921" spans="1:30" ht="15" customHeight="1">
      <c r="A1921" s="41" t="s">
        <v>183</v>
      </c>
      <c r="B1921" s="402" t="s">
        <v>1220</v>
      </c>
      <c r="C1921" s="113" t="s">
        <v>1242</v>
      </c>
      <c r="D1921" s="393" t="s">
        <v>133</v>
      </c>
      <c r="E1921" s="394" t="s">
        <v>1244</v>
      </c>
      <c r="F1921" s="402" t="s">
        <v>1245</v>
      </c>
      <c r="G1921" s="405" t="s">
        <v>1246</v>
      </c>
      <c r="H1921" s="74">
        <v>4173</v>
      </c>
      <c r="I1921" s="50" t="s">
        <v>2</v>
      </c>
      <c r="J1921" s="339" t="s">
        <v>1224</v>
      </c>
      <c r="K1921" s="51">
        <v>41539</v>
      </c>
      <c r="L1921" s="115">
        <v>41529</v>
      </c>
      <c r="M1921" s="50">
        <f t="shared" si="106"/>
        <v>10</v>
      </c>
      <c r="N1921" s="50" t="s">
        <v>2</v>
      </c>
      <c r="O1921" s="74">
        <f>1.4/2</f>
        <v>0.7</v>
      </c>
      <c r="P1921" s="50">
        <v>6.92</v>
      </c>
      <c r="Q1921" s="74">
        <v>6.32</v>
      </c>
      <c r="R1921" s="50">
        <v>150</v>
      </c>
      <c r="S1921" s="74">
        <v>30</v>
      </c>
      <c r="T1921" s="50">
        <v>8.4000000000000005E-2</v>
      </c>
      <c r="U1921" s="131">
        <v>4.7</v>
      </c>
      <c r="V1921" s="50">
        <v>0.76</v>
      </c>
      <c r="W1921" s="74">
        <v>2.5000000000000001E-2</v>
      </c>
      <c r="X1921" s="50">
        <v>0.36</v>
      </c>
      <c r="Y1921" s="74">
        <f>0.003/2</f>
        <v>1.5E-3</v>
      </c>
    </row>
    <row r="1922" spans="1:30" ht="15" customHeight="1">
      <c r="A1922" s="41" t="s">
        <v>183</v>
      </c>
      <c r="B1922" s="402" t="s">
        <v>1220</v>
      </c>
      <c r="C1922" s="113" t="s">
        <v>1242</v>
      </c>
      <c r="D1922" s="393" t="s">
        <v>133</v>
      </c>
      <c r="E1922" s="394" t="s">
        <v>1244</v>
      </c>
      <c r="F1922" s="402" t="s">
        <v>1245</v>
      </c>
      <c r="G1922" s="405" t="s">
        <v>1246</v>
      </c>
      <c r="H1922" s="74">
        <v>4173</v>
      </c>
      <c r="I1922" s="50" t="s">
        <v>2</v>
      </c>
      <c r="J1922" s="339" t="s">
        <v>1228</v>
      </c>
      <c r="K1922" s="51">
        <v>41539</v>
      </c>
      <c r="L1922" s="115">
        <v>41529</v>
      </c>
      <c r="M1922" s="50">
        <f t="shared" si="106"/>
        <v>10</v>
      </c>
      <c r="N1922" s="50" t="s">
        <v>2</v>
      </c>
      <c r="O1922" s="74">
        <v>2.2999999999999998</v>
      </c>
      <c r="P1922" s="50">
        <v>6.92</v>
      </c>
      <c r="Q1922" s="74">
        <v>6.22</v>
      </c>
      <c r="R1922" s="50">
        <v>140</v>
      </c>
      <c r="S1922" s="74">
        <v>110</v>
      </c>
      <c r="T1922" s="50">
        <v>0.25</v>
      </c>
      <c r="U1922" s="131">
        <v>4</v>
      </c>
      <c r="V1922" s="50">
        <v>0.97</v>
      </c>
      <c r="W1922" s="74">
        <v>8.8999999999999996E-2</v>
      </c>
      <c r="X1922" s="50">
        <v>0.48</v>
      </c>
      <c r="Y1922" s="74">
        <v>1.9E-2</v>
      </c>
    </row>
    <row r="1923" spans="1:30" ht="15" customHeight="1">
      <c r="A1923" s="41" t="s">
        <v>183</v>
      </c>
      <c r="B1923" s="402" t="s">
        <v>1220</v>
      </c>
      <c r="C1923" s="113" t="s">
        <v>1242</v>
      </c>
      <c r="D1923" s="393" t="s">
        <v>133</v>
      </c>
      <c r="E1923" s="394" t="s">
        <v>1244</v>
      </c>
      <c r="F1923" s="402" t="s">
        <v>1245</v>
      </c>
      <c r="G1923" s="405" t="s">
        <v>1246</v>
      </c>
      <c r="H1923" s="74">
        <v>4173</v>
      </c>
      <c r="I1923" s="50" t="s">
        <v>2</v>
      </c>
      <c r="J1923" s="339" t="s">
        <v>1248</v>
      </c>
      <c r="K1923" s="51">
        <v>41539</v>
      </c>
      <c r="L1923" s="115">
        <v>41529</v>
      </c>
      <c r="M1923" s="50">
        <f t="shared" si="106"/>
        <v>10</v>
      </c>
      <c r="N1923" s="50" t="s">
        <v>2</v>
      </c>
      <c r="O1923" s="74">
        <v>1.8</v>
      </c>
      <c r="P1923" s="50">
        <v>6.92</v>
      </c>
      <c r="Q1923" s="74">
        <v>6.12</v>
      </c>
      <c r="R1923" s="50">
        <v>140</v>
      </c>
      <c r="S1923" s="74">
        <v>150</v>
      </c>
      <c r="T1923" s="50">
        <v>0.17</v>
      </c>
      <c r="U1923" s="131">
        <v>10</v>
      </c>
      <c r="V1923" s="50">
        <v>0.73</v>
      </c>
      <c r="W1923" s="74">
        <v>3.3000000000000002E-2</v>
      </c>
      <c r="X1923" s="50">
        <v>0.38</v>
      </c>
      <c r="Y1923" s="74">
        <v>4.0000000000000001E-3</v>
      </c>
    </row>
    <row r="1924" spans="1:30" ht="15" customHeight="1">
      <c r="A1924" s="41" t="s">
        <v>183</v>
      </c>
      <c r="B1924" s="402" t="s">
        <v>3969</v>
      </c>
      <c r="D1924" s="393" t="s">
        <v>89</v>
      </c>
      <c r="G1924" s="405" t="s">
        <v>3968</v>
      </c>
      <c r="H1924" s="74">
        <v>2869</v>
      </c>
      <c r="I1924" s="50" t="s">
        <v>2</v>
      </c>
      <c r="J1924" s="339" t="s">
        <v>3970</v>
      </c>
      <c r="K1924" s="51">
        <v>41402</v>
      </c>
      <c r="L1924" s="173">
        <v>41387</v>
      </c>
      <c r="M1924" s="50">
        <f t="shared" si="106"/>
        <v>15</v>
      </c>
      <c r="N1924" s="50" t="s">
        <v>2</v>
      </c>
      <c r="O1924" s="74">
        <f>5.4/2</f>
        <v>2.7</v>
      </c>
      <c r="P1924" s="50">
        <v>4.9000000000000004</v>
      </c>
      <c r="Q1924" s="74">
        <v>7.2</v>
      </c>
      <c r="R1924" s="50">
        <v>91</v>
      </c>
      <c r="S1924" s="74">
        <v>180</v>
      </c>
      <c r="T1924" s="50">
        <v>0.22</v>
      </c>
      <c r="U1924" s="131">
        <v>1.4</v>
      </c>
      <c r="V1924" s="50">
        <v>0.31</v>
      </c>
      <c r="W1924" s="74">
        <f>0.025/2</f>
        <v>1.2500000000000001E-2</v>
      </c>
      <c r="X1924" s="50">
        <v>0.12</v>
      </c>
      <c r="Y1924" s="74">
        <v>8.0000000000000002E-3</v>
      </c>
      <c r="Z1924" s="271">
        <v>1</v>
      </c>
      <c r="AA1924" s="271">
        <v>1</v>
      </c>
      <c r="AB1924" s="114">
        <v>44</v>
      </c>
      <c r="AC1924" s="50">
        <v>140</v>
      </c>
      <c r="AD1924" s="271">
        <v>0.8</v>
      </c>
    </row>
    <row r="1925" spans="1:30" ht="15" customHeight="1">
      <c r="A1925" s="41" t="s">
        <v>183</v>
      </c>
      <c r="B1925" s="402" t="s">
        <v>3969</v>
      </c>
      <c r="D1925" s="393" t="s">
        <v>89</v>
      </c>
      <c r="G1925" s="405" t="s">
        <v>3968</v>
      </c>
      <c r="H1925" s="74">
        <v>2869</v>
      </c>
      <c r="I1925" s="50" t="s">
        <v>2</v>
      </c>
      <c r="J1925" s="339" t="s">
        <v>3970</v>
      </c>
      <c r="K1925" s="51">
        <v>41529</v>
      </c>
      <c r="L1925" s="173">
        <v>41519</v>
      </c>
      <c r="M1925" s="50">
        <f t="shared" si="106"/>
        <v>10</v>
      </c>
      <c r="N1925" s="50" t="s">
        <v>2</v>
      </c>
      <c r="O1925" s="74">
        <f>5.6/2</f>
        <v>2.8</v>
      </c>
      <c r="P1925" s="50">
        <v>5.0999999999999996</v>
      </c>
      <c r="Q1925" s="74">
        <v>8.1</v>
      </c>
      <c r="R1925" s="50">
        <v>10</v>
      </c>
      <c r="S1925" s="74">
        <v>2.8</v>
      </c>
      <c r="T1925" s="50">
        <f>0.01/2</f>
        <v>5.0000000000000001E-3</v>
      </c>
      <c r="U1925" s="131">
        <v>1</v>
      </c>
      <c r="V1925" s="50">
        <v>0.8</v>
      </c>
      <c r="W1925" s="74">
        <f>0.025/2</f>
        <v>1.2500000000000001E-2</v>
      </c>
      <c r="X1925" s="50">
        <v>0.15</v>
      </c>
      <c r="Y1925" s="74">
        <f>0.005/2</f>
        <v>2.5000000000000001E-3</v>
      </c>
    </row>
    <row r="1926" spans="1:30" ht="15" customHeight="1">
      <c r="A1926" s="41" t="s">
        <v>183</v>
      </c>
      <c r="B1926" s="385" t="s">
        <v>4328</v>
      </c>
      <c r="C1926" s="18" t="s">
        <v>4328</v>
      </c>
      <c r="D1926" s="377" t="s">
        <v>372</v>
      </c>
      <c r="E1926" s="20" t="s">
        <v>235</v>
      </c>
      <c r="F1926" s="385"/>
      <c r="G1926" s="390" t="s">
        <v>4329</v>
      </c>
      <c r="H1926" s="6"/>
      <c r="I1926" s="7"/>
      <c r="J1926" s="14" t="s">
        <v>641</v>
      </c>
      <c r="K1926" s="22">
        <v>40835</v>
      </c>
      <c r="L1926" s="324">
        <v>40830</v>
      </c>
      <c r="M1926" s="7">
        <v>8</v>
      </c>
      <c r="N1926" s="7" t="s">
        <v>2</v>
      </c>
      <c r="O1926" s="74">
        <v>1.1000000000000001</v>
      </c>
      <c r="P1926" s="50">
        <v>5.46</v>
      </c>
      <c r="Q1926" s="74">
        <v>6.06</v>
      </c>
      <c r="R1926" s="50">
        <v>24.8</v>
      </c>
      <c r="S1926" s="74">
        <v>7</v>
      </c>
      <c r="T1926" s="50">
        <v>0.11</v>
      </c>
      <c r="U1926" s="131">
        <v>1.17</v>
      </c>
      <c r="V1926" s="50">
        <v>0.49</v>
      </c>
      <c r="W1926" s="74">
        <v>0.01</v>
      </c>
      <c r="X1926" s="50">
        <v>0.04</v>
      </c>
      <c r="Y1926" s="74">
        <f>0.02/2</f>
        <v>0.01</v>
      </c>
      <c r="Z1926" s="271">
        <v>1</v>
      </c>
      <c r="AA1926" s="271">
        <v>1</v>
      </c>
      <c r="AB1926" s="114">
        <v>3.35</v>
      </c>
      <c r="AC1926" s="50">
        <v>16</v>
      </c>
      <c r="AD1926" s="271">
        <v>1</v>
      </c>
    </row>
    <row r="1927" spans="1:30" ht="15" customHeight="1">
      <c r="A1927" s="41" t="s">
        <v>183</v>
      </c>
      <c r="B1927" s="385" t="s">
        <v>4328</v>
      </c>
      <c r="C1927" s="18" t="s">
        <v>4328</v>
      </c>
      <c r="D1927" s="377" t="s">
        <v>372</v>
      </c>
      <c r="E1927" s="20" t="s">
        <v>235</v>
      </c>
      <c r="F1927" s="385"/>
      <c r="G1927" s="390" t="s">
        <v>4329</v>
      </c>
      <c r="H1927" s="6"/>
      <c r="I1927" s="7"/>
      <c r="J1927" s="14" t="s">
        <v>641</v>
      </c>
      <c r="K1927" s="22">
        <v>41499</v>
      </c>
      <c r="L1927" s="324">
        <v>41495</v>
      </c>
      <c r="M1927" s="7">
        <v>8</v>
      </c>
      <c r="N1927" s="7" t="s">
        <v>2</v>
      </c>
      <c r="O1927" s="74">
        <v>1.1000000000000001</v>
      </c>
      <c r="P1927" s="50">
        <v>4.6900000000000004</v>
      </c>
      <c r="Q1927" s="74">
        <v>5.38</v>
      </c>
      <c r="R1927" s="50">
        <v>64.5</v>
      </c>
      <c r="S1927" s="74">
        <v>209</v>
      </c>
      <c r="T1927" s="50">
        <v>0.41</v>
      </c>
      <c r="U1927" s="131">
        <v>2.93</v>
      </c>
      <c r="V1927" s="50">
        <v>1.2</v>
      </c>
      <c r="W1927" s="74">
        <v>0.31</v>
      </c>
      <c r="X1927" s="50">
        <v>0.54</v>
      </c>
      <c r="Y1927" s="74">
        <v>0.12</v>
      </c>
    </row>
    <row r="1928" spans="1:30" ht="15" customHeight="1">
      <c r="A1928" s="41" t="s">
        <v>183</v>
      </c>
      <c r="B1928" s="402" t="s">
        <v>511</v>
      </c>
      <c r="C1928" s="113" t="s">
        <v>511</v>
      </c>
      <c r="D1928" s="393" t="s">
        <v>156</v>
      </c>
      <c r="E1928" s="394" t="s">
        <v>512</v>
      </c>
      <c r="G1928" s="405" t="s">
        <v>513</v>
      </c>
      <c r="H1928" s="49">
        <v>3398</v>
      </c>
      <c r="I1928" s="50" t="s">
        <v>2</v>
      </c>
      <c r="J1928" s="76" t="s">
        <v>514</v>
      </c>
      <c r="K1928" s="51">
        <v>41050</v>
      </c>
      <c r="L1928" s="173">
        <v>41044</v>
      </c>
      <c r="M1928" s="50">
        <f t="shared" ref="M1928:M1960" si="107">K1928-L1928</f>
        <v>6</v>
      </c>
      <c r="N1928" s="50" t="s">
        <v>2</v>
      </c>
      <c r="O1928" s="74">
        <f>5/2</f>
        <v>2.5</v>
      </c>
      <c r="P1928" s="50">
        <v>5.49</v>
      </c>
      <c r="Q1928" s="74">
        <v>5.88</v>
      </c>
      <c r="R1928" s="50">
        <v>53</v>
      </c>
      <c r="S1928" s="74">
        <v>62</v>
      </c>
      <c r="T1928" s="50">
        <f>0.1/2</f>
        <v>0.05</v>
      </c>
      <c r="U1928" s="131">
        <f>1/2</f>
        <v>0.5</v>
      </c>
      <c r="V1928" s="50">
        <v>0.36</v>
      </c>
      <c r="W1928" s="74">
        <f>0.04/2</f>
        <v>0.02</v>
      </c>
      <c r="X1928" s="50">
        <v>0.12</v>
      </c>
      <c r="Y1928" s="74">
        <f>0.013/2</f>
        <v>6.4999999999999997E-3</v>
      </c>
    </row>
    <row r="1929" spans="1:30" ht="15" customHeight="1">
      <c r="A1929" s="41" t="s">
        <v>183</v>
      </c>
      <c r="B1929" s="402" t="s">
        <v>511</v>
      </c>
      <c r="C1929" s="113" t="s">
        <v>511</v>
      </c>
      <c r="D1929" s="393" t="s">
        <v>156</v>
      </c>
      <c r="E1929" s="394" t="s">
        <v>512</v>
      </c>
      <c r="G1929" s="405" t="s">
        <v>513</v>
      </c>
      <c r="H1929" s="49">
        <v>3398</v>
      </c>
      <c r="I1929" s="50" t="s">
        <v>2</v>
      </c>
      <c r="J1929" s="76" t="s">
        <v>514</v>
      </c>
      <c r="K1929" s="51">
        <v>41345</v>
      </c>
      <c r="L1929" s="173">
        <v>41341</v>
      </c>
      <c r="M1929" s="50">
        <f t="shared" si="107"/>
        <v>4</v>
      </c>
      <c r="N1929" s="50" t="s">
        <v>2</v>
      </c>
      <c r="O1929" s="74">
        <f>2.5/2</f>
        <v>1.25</v>
      </c>
      <c r="P1929" s="50">
        <v>5.5</v>
      </c>
      <c r="Q1929" s="74">
        <v>7.2</v>
      </c>
      <c r="R1929" s="50">
        <v>180</v>
      </c>
      <c r="S1929" s="74">
        <v>290</v>
      </c>
      <c r="T1929" s="50">
        <v>0.33</v>
      </c>
      <c r="U1929" s="131">
        <f>1/2</f>
        <v>0.5</v>
      </c>
      <c r="V1929" s="50">
        <v>0.19</v>
      </c>
      <c r="W1929" s="74">
        <v>5.7000000000000002E-2</v>
      </c>
      <c r="X1929" s="50">
        <v>0.31</v>
      </c>
      <c r="Y1929" s="74">
        <v>2.3E-2</v>
      </c>
    </row>
    <row r="1930" spans="1:30" ht="15" customHeight="1">
      <c r="A1930" s="41" t="s">
        <v>183</v>
      </c>
      <c r="B1930" s="402" t="s">
        <v>511</v>
      </c>
      <c r="C1930" s="113" t="s">
        <v>511</v>
      </c>
      <c r="D1930" s="393" t="s">
        <v>156</v>
      </c>
      <c r="E1930" s="394" t="s">
        <v>512</v>
      </c>
      <c r="G1930" s="405" t="s">
        <v>513</v>
      </c>
      <c r="H1930" s="49">
        <v>3398</v>
      </c>
      <c r="I1930" s="50" t="s">
        <v>2</v>
      </c>
      <c r="J1930" s="76" t="s">
        <v>514</v>
      </c>
      <c r="K1930" s="51">
        <v>41465</v>
      </c>
      <c r="L1930" s="173">
        <v>41456</v>
      </c>
      <c r="M1930" s="50">
        <f t="shared" si="107"/>
        <v>9</v>
      </c>
      <c r="N1930" s="50" t="s">
        <v>2</v>
      </c>
      <c r="O1930" s="74">
        <f>2.5/2</f>
        <v>1.25</v>
      </c>
      <c r="P1930" s="50">
        <v>4.51</v>
      </c>
      <c r="Q1930" s="74">
        <v>6.72</v>
      </c>
      <c r="R1930" s="50">
        <v>110</v>
      </c>
      <c r="S1930" s="74">
        <f>5/2</f>
        <v>2.5</v>
      </c>
      <c r="T1930" s="50">
        <v>0.18</v>
      </c>
      <c r="U1930" s="131">
        <v>2.4</v>
      </c>
      <c r="V1930" s="50">
        <v>1.4</v>
      </c>
      <c r="W1930" s="74">
        <v>6.6000000000000003E-2</v>
      </c>
      <c r="X1930" s="50">
        <v>0.57999999999999996</v>
      </c>
      <c r="Y1930" s="74">
        <v>1.6E-2</v>
      </c>
      <c r="Z1930" s="271">
        <v>1</v>
      </c>
      <c r="AA1930" s="271">
        <v>1</v>
      </c>
      <c r="AB1930" s="114">
        <v>43</v>
      </c>
      <c r="AC1930" s="50">
        <v>543</v>
      </c>
      <c r="AD1930" s="271">
        <v>1</v>
      </c>
    </row>
    <row r="1931" spans="1:30" ht="15" customHeight="1">
      <c r="A1931" s="41" t="s">
        <v>183</v>
      </c>
      <c r="B1931" s="402" t="s">
        <v>5116</v>
      </c>
      <c r="D1931" s="393" t="s">
        <v>1896</v>
      </c>
      <c r="E1931" s="394" t="s">
        <v>467</v>
      </c>
      <c r="G1931" s="405" t="s">
        <v>5117</v>
      </c>
      <c r="H1931" s="74">
        <v>3728</v>
      </c>
      <c r="I1931" s="50" t="s">
        <v>2</v>
      </c>
      <c r="J1931" s="339" t="s">
        <v>1125</v>
      </c>
      <c r="K1931" s="51">
        <v>41178</v>
      </c>
      <c r="L1931" s="173">
        <v>41170</v>
      </c>
      <c r="M1931" s="50">
        <f t="shared" si="107"/>
        <v>8</v>
      </c>
      <c r="N1931" s="50" t="s">
        <v>2</v>
      </c>
      <c r="O1931" s="74">
        <v>8.1199999999999992</v>
      </c>
      <c r="P1931" s="50">
        <v>5</v>
      </c>
      <c r="Q1931" s="74">
        <v>6.93</v>
      </c>
      <c r="R1931" s="50">
        <v>43</v>
      </c>
      <c r="S1931" s="74">
        <v>25</v>
      </c>
      <c r="T1931" s="50">
        <f>0.05/2</f>
        <v>2.5000000000000001E-2</v>
      </c>
      <c r="U1931" s="131">
        <v>1.89</v>
      </c>
      <c r="V1931" s="50">
        <v>0.77200000000000002</v>
      </c>
      <c r="W1931" s="74">
        <v>1.61E-2</v>
      </c>
      <c r="X1931" s="50">
        <v>7.9899999999999999E-2</v>
      </c>
      <c r="Y1931" s="74">
        <v>5.04E-2</v>
      </c>
      <c r="Z1931" s="271">
        <v>1</v>
      </c>
      <c r="AA1931" s="271">
        <v>1</v>
      </c>
      <c r="AB1931" s="114">
        <v>10</v>
      </c>
      <c r="AC1931" s="50">
        <v>38</v>
      </c>
      <c r="AD1931" s="271">
        <v>1</v>
      </c>
    </row>
    <row r="1932" spans="1:30" ht="15" customHeight="1">
      <c r="A1932" s="41" t="s">
        <v>183</v>
      </c>
      <c r="B1932" s="402" t="s">
        <v>5116</v>
      </c>
      <c r="D1932" s="393" t="s">
        <v>1896</v>
      </c>
      <c r="E1932" s="394" t="s">
        <v>467</v>
      </c>
      <c r="G1932" s="405" t="s">
        <v>5117</v>
      </c>
      <c r="H1932" s="74">
        <v>3728</v>
      </c>
      <c r="I1932" s="50" t="s">
        <v>2</v>
      </c>
      <c r="J1932" s="339" t="s">
        <v>1125</v>
      </c>
      <c r="K1932" s="51">
        <v>41184</v>
      </c>
      <c r="L1932" s="173">
        <v>41180</v>
      </c>
      <c r="M1932" s="50">
        <f t="shared" si="107"/>
        <v>4</v>
      </c>
      <c r="N1932" s="50" t="s">
        <v>2</v>
      </c>
      <c r="O1932" s="74">
        <f>0.5/2</f>
        <v>0.25</v>
      </c>
      <c r="P1932" s="50">
        <v>5</v>
      </c>
      <c r="Q1932" s="74">
        <v>5.45</v>
      </c>
      <c r="R1932" s="50">
        <v>20</v>
      </c>
      <c r="S1932" s="74">
        <v>1</v>
      </c>
      <c r="T1932" s="50">
        <f>0.01/2</f>
        <v>5.0000000000000001E-3</v>
      </c>
      <c r="U1932" s="131">
        <v>0.64800000000000002</v>
      </c>
      <c r="V1932" s="50">
        <v>0.33300000000000002</v>
      </c>
      <c r="W1932" s="74">
        <v>9.0600000000000003E-3</v>
      </c>
      <c r="X1932" s="50">
        <v>0.15</v>
      </c>
      <c r="Y1932" s="74">
        <f>0.003/2</f>
        <v>1.5E-3</v>
      </c>
      <c r="Z1932" s="271">
        <v>1</v>
      </c>
      <c r="AA1932" s="271">
        <v>1</v>
      </c>
      <c r="AB1932" s="114">
        <v>30</v>
      </c>
      <c r="AC1932" s="50">
        <v>45</v>
      </c>
      <c r="AD1932" s="271">
        <v>0.5</v>
      </c>
    </row>
    <row r="1933" spans="1:30" ht="15" customHeight="1">
      <c r="A1933" s="41" t="s">
        <v>183</v>
      </c>
      <c r="B1933" s="386" t="s">
        <v>411</v>
      </c>
      <c r="C1933" s="149"/>
      <c r="D1933" s="392" t="s">
        <v>111</v>
      </c>
      <c r="E1933" s="258" t="s">
        <v>982</v>
      </c>
      <c r="F1933" s="386"/>
      <c r="G1933" s="389" t="s">
        <v>412</v>
      </c>
      <c r="H1933" s="55">
        <v>3841</v>
      </c>
      <c r="I1933" s="54" t="s">
        <v>2</v>
      </c>
      <c r="J1933" s="61" t="s">
        <v>81</v>
      </c>
      <c r="K1933" s="51">
        <v>41431</v>
      </c>
      <c r="L1933" s="173">
        <v>41428</v>
      </c>
      <c r="M1933" s="50">
        <f t="shared" si="107"/>
        <v>3</v>
      </c>
      <c r="N1933" s="50" t="s">
        <v>2</v>
      </c>
      <c r="O1933" s="74">
        <v>3.2</v>
      </c>
      <c r="P1933" s="50">
        <v>6.6</v>
      </c>
      <c r="Q1933" s="74">
        <v>6.5</v>
      </c>
      <c r="R1933" s="50">
        <v>31</v>
      </c>
      <c r="S1933" s="74">
        <v>14</v>
      </c>
      <c r="T1933" s="50">
        <v>0.16</v>
      </c>
      <c r="U1933" s="131">
        <v>1.52</v>
      </c>
      <c r="V1933" s="50">
        <v>0.18</v>
      </c>
      <c r="W1933" s="74">
        <v>2.5999999999999999E-2</v>
      </c>
      <c r="X1933" s="50">
        <v>7.0000000000000007E-2</v>
      </c>
      <c r="Y1933" s="74">
        <f>0.03/2</f>
        <v>1.4999999999999999E-2</v>
      </c>
    </row>
    <row r="1934" spans="1:30" ht="15" customHeight="1">
      <c r="A1934" s="41" t="s">
        <v>183</v>
      </c>
      <c r="B1934" s="402" t="s">
        <v>2294</v>
      </c>
      <c r="D1934" s="393" t="s">
        <v>684</v>
      </c>
      <c r="E1934" s="394" t="s">
        <v>112</v>
      </c>
      <c r="F1934" s="402">
        <v>5200</v>
      </c>
      <c r="G1934" s="405" t="s">
        <v>2295</v>
      </c>
      <c r="H1934" s="113">
        <v>4953</v>
      </c>
      <c r="I1934" s="49" t="s">
        <v>1</v>
      </c>
      <c r="J1934" s="48" t="s">
        <v>2296</v>
      </c>
      <c r="K1934" s="51">
        <v>41085</v>
      </c>
      <c r="L1934" s="173">
        <v>41073</v>
      </c>
      <c r="M1934" s="50">
        <f t="shared" si="107"/>
        <v>12</v>
      </c>
      <c r="N1934" s="50" t="s">
        <v>2</v>
      </c>
      <c r="O1934" s="74">
        <v>6.4</v>
      </c>
      <c r="P1934" s="50">
        <v>5.76</v>
      </c>
      <c r="Q1934" s="74">
        <v>5.83</v>
      </c>
      <c r="R1934" s="50">
        <f>20/2</f>
        <v>10</v>
      </c>
      <c r="S1934" s="74">
        <v>18</v>
      </c>
      <c r="T1934" s="50">
        <v>0.112</v>
      </c>
      <c r="U1934" s="131">
        <v>1.2</v>
      </c>
      <c r="V1934" s="50">
        <v>0.31</v>
      </c>
      <c r="W1934" s="74">
        <v>3.0000000000000001E-3</v>
      </c>
      <c r="X1934" s="50">
        <v>0.1</v>
      </c>
      <c r="Y1934" s="74">
        <f>0.005/2</f>
        <v>2.5000000000000001E-3</v>
      </c>
    </row>
    <row r="1935" spans="1:30" ht="15" customHeight="1">
      <c r="A1935" s="41" t="s">
        <v>183</v>
      </c>
      <c r="B1935" s="402" t="s">
        <v>2294</v>
      </c>
      <c r="D1935" s="393" t="s">
        <v>684</v>
      </c>
      <c r="E1935" s="394" t="s">
        <v>112</v>
      </c>
      <c r="F1935" s="402">
        <v>5200</v>
      </c>
      <c r="G1935" s="405" t="s">
        <v>2295</v>
      </c>
      <c r="H1935" s="113">
        <v>4953</v>
      </c>
      <c r="I1935" s="49" t="s">
        <v>1</v>
      </c>
      <c r="J1935" s="48" t="s">
        <v>2297</v>
      </c>
      <c r="K1935" s="51">
        <v>41085</v>
      </c>
      <c r="L1935" s="173">
        <v>41073</v>
      </c>
      <c r="M1935" s="50">
        <f t="shared" si="107"/>
        <v>12</v>
      </c>
      <c r="N1935" s="50" t="s">
        <v>2</v>
      </c>
      <c r="O1935" s="74">
        <f>4/2</f>
        <v>2</v>
      </c>
      <c r="P1935" s="50">
        <v>5.76</v>
      </c>
      <c r="Q1935" s="74">
        <v>5.93</v>
      </c>
      <c r="R1935" s="50">
        <f>20/2</f>
        <v>10</v>
      </c>
      <c r="S1935" s="74">
        <v>13</v>
      </c>
      <c r="T1935" s="50">
        <v>4.2999999999999997E-2</v>
      </c>
      <c r="U1935" s="131">
        <v>0.83</v>
      </c>
      <c r="V1935" s="50">
        <v>0.16</v>
      </c>
      <c r="W1935" s="74">
        <v>3.0000000000000001E-3</v>
      </c>
      <c r="X1935" s="50">
        <v>3.6999999999999998E-2</v>
      </c>
      <c r="Y1935" s="74">
        <v>1.9E-2</v>
      </c>
    </row>
    <row r="1936" spans="1:30" ht="15" customHeight="1">
      <c r="A1936" s="41" t="s">
        <v>183</v>
      </c>
      <c r="B1936" s="402" t="s">
        <v>2294</v>
      </c>
      <c r="D1936" s="393" t="s">
        <v>684</v>
      </c>
      <c r="E1936" s="394" t="s">
        <v>112</v>
      </c>
      <c r="F1936" s="402">
        <v>5200</v>
      </c>
      <c r="G1936" s="405" t="s">
        <v>2295</v>
      </c>
      <c r="H1936" s="113">
        <v>4953</v>
      </c>
      <c r="I1936" s="49" t="s">
        <v>1</v>
      </c>
      <c r="J1936" s="48" t="s">
        <v>2298</v>
      </c>
      <c r="K1936" s="51">
        <v>41085</v>
      </c>
      <c r="L1936" s="173">
        <v>41073</v>
      </c>
      <c r="M1936" s="50">
        <f t="shared" si="107"/>
        <v>12</v>
      </c>
      <c r="N1936" s="50" t="s">
        <v>2</v>
      </c>
      <c r="O1936" s="74">
        <f>4/2</f>
        <v>2</v>
      </c>
      <c r="P1936" s="50">
        <v>5.76</v>
      </c>
      <c r="Q1936" s="74">
        <v>5.93</v>
      </c>
      <c r="R1936" s="50">
        <v>40</v>
      </c>
      <c r="S1936" s="74">
        <f>5/2</f>
        <v>2.5</v>
      </c>
      <c r="T1936" s="50">
        <v>6.0999999999999999E-2</v>
      </c>
      <c r="U1936" s="131">
        <v>1</v>
      </c>
      <c r="V1936" s="50">
        <v>0.44</v>
      </c>
      <c r="W1936" s="74">
        <v>8.9999999999999993E-3</v>
      </c>
      <c r="X1936" s="50">
        <v>2.3E-2</v>
      </c>
      <c r="Y1936" s="74">
        <f>0.005/2</f>
        <v>2.5000000000000001E-3</v>
      </c>
    </row>
    <row r="1937" spans="1:31" ht="15" customHeight="1">
      <c r="A1937" s="41" t="s">
        <v>183</v>
      </c>
      <c r="B1937" s="402" t="s">
        <v>2294</v>
      </c>
      <c r="D1937" s="393" t="s">
        <v>684</v>
      </c>
      <c r="E1937" s="394" t="s">
        <v>112</v>
      </c>
      <c r="F1937" s="402">
        <v>5200</v>
      </c>
      <c r="G1937" s="405" t="s">
        <v>2295</v>
      </c>
      <c r="H1937" s="113">
        <v>4953</v>
      </c>
      <c r="I1937" s="49" t="s">
        <v>1</v>
      </c>
      <c r="J1937" s="48" t="s">
        <v>2299</v>
      </c>
      <c r="K1937" s="51">
        <v>41085</v>
      </c>
      <c r="L1937" s="173">
        <v>41073</v>
      </c>
      <c r="M1937" s="50">
        <f t="shared" si="107"/>
        <v>12</v>
      </c>
      <c r="N1937" s="50" t="s">
        <v>2</v>
      </c>
      <c r="O1937" s="74">
        <f>4/2</f>
        <v>2</v>
      </c>
      <c r="P1937" s="50">
        <v>5.76</v>
      </c>
      <c r="Q1937" s="74">
        <v>6.42</v>
      </c>
      <c r="R1937" s="50">
        <v>95</v>
      </c>
      <c r="S1937" s="74">
        <v>11</v>
      </c>
      <c r="T1937" s="50">
        <v>0.53400000000000003</v>
      </c>
      <c r="U1937" s="131">
        <v>1.8</v>
      </c>
      <c r="V1937" s="50">
        <f>0.1/2</f>
        <v>0.05</v>
      </c>
      <c r="W1937" s="74">
        <v>4.0000000000000001E-3</v>
      </c>
      <c r="X1937" s="50">
        <v>2.9000000000000001E-2</v>
      </c>
      <c r="Y1937" s="74">
        <f>0.005/2</f>
        <v>2.5000000000000001E-3</v>
      </c>
    </row>
    <row r="1938" spans="1:31" ht="15" customHeight="1">
      <c r="A1938" s="41" t="s">
        <v>183</v>
      </c>
      <c r="B1938" s="402" t="s">
        <v>2294</v>
      </c>
      <c r="D1938" s="393" t="s">
        <v>684</v>
      </c>
      <c r="E1938" s="394" t="s">
        <v>112</v>
      </c>
      <c r="F1938" s="402">
        <v>5200</v>
      </c>
      <c r="G1938" s="405" t="s">
        <v>2295</v>
      </c>
      <c r="H1938" s="113">
        <v>4953</v>
      </c>
      <c r="I1938" s="49" t="s">
        <v>1</v>
      </c>
      <c r="J1938" s="48" t="s">
        <v>2296</v>
      </c>
      <c r="K1938" s="51">
        <v>41305</v>
      </c>
      <c r="L1938" s="173">
        <v>41290</v>
      </c>
      <c r="M1938" s="50">
        <f t="shared" si="107"/>
        <v>15</v>
      </c>
      <c r="N1938" s="50" t="s">
        <v>2</v>
      </c>
      <c r="O1938" s="74">
        <f>4/2</f>
        <v>2</v>
      </c>
      <c r="P1938" s="50">
        <v>5.98</v>
      </c>
      <c r="Q1938" s="74">
        <v>6.48</v>
      </c>
      <c r="R1938" s="50">
        <v>22</v>
      </c>
      <c r="S1938" s="74">
        <v>21</v>
      </c>
      <c r="T1938" s="50">
        <v>8.2000000000000003E-2</v>
      </c>
      <c r="U1938" s="131">
        <v>0.67200000000000004</v>
      </c>
      <c r="V1938" s="50">
        <v>0.2</v>
      </c>
      <c r="W1938" s="74">
        <f>0.005/2</f>
        <v>2.5000000000000001E-3</v>
      </c>
      <c r="X1938" s="50">
        <v>9.7000000000000003E-2</v>
      </c>
      <c r="Y1938" s="74">
        <v>7.0000000000000001E-3</v>
      </c>
      <c r="Z1938" s="271">
        <v>1</v>
      </c>
      <c r="AA1938" s="271">
        <v>1</v>
      </c>
      <c r="AB1938" s="114">
        <v>26</v>
      </c>
      <c r="AC1938" s="50">
        <v>104</v>
      </c>
      <c r="AD1938" s="271">
        <v>1</v>
      </c>
      <c r="AE1938" s="50">
        <v>40</v>
      </c>
    </row>
    <row r="1939" spans="1:31" ht="15" customHeight="1">
      <c r="A1939" s="41" t="s">
        <v>183</v>
      </c>
      <c r="B1939" s="402" t="s">
        <v>2294</v>
      </c>
      <c r="D1939" s="393" t="s">
        <v>684</v>
      </c>
      <c r="E1939" s="394" t="s">
        <v>112</v>
      </c>
      <c r="F1939" s="402">
        <v>5200</v>
      </c>
      <c r="G1939" s="405" t="s">
        <v>2295</v>
      </c>
      <c r="H1939" s="113">
        <v>4953</v>
      </c>
      <c r="I1939" s="49" t="s">
        <v>1</v>
      </c>
      <c r="J1939" s="48" t="s">
        <v>2297</v>
      </c>
      <c r="K1939" s="51">
        <v>41305</v>
      </c>
      <c r="L1939" s="173">
        <v>41290</v>
      </c>
      <c r="M1939" s="50">
        <f t="shared" si="107"/>
        <v>15</v>
      </c>
      <c r="N1939" s="50" t="s">
        <v>2</v>
      </c>
      <c r="O1939" s="74">
        <f>4.4/2</f>
        <v>2.2000000000000002</v>
      </c>
      <c r="P1939" s="50">
        <v>5.98</v>
      </c>
      <c r="Q1939" s="74">
        <v>7.53</v>
      </c>
      <c r="R1939" s="50">
        <f>20/2</f>
        <v>10</v>
      </c>
      <c r="S1939" s="74">
        <v>12</v>
      </c>
      <c r="T1939" s="50">
        <v>3.3000000000000002E-2</v>
      </c>
      <c r="U1939" s="131">
        <v>0.38800000000000001</v>
      </c>
      <c r="V1939" s="50">
        <v>0.2</v>
      </c>
      <c r="W1939" s="74">
        <f>0.005/2</f>
        <v>2.5000000000000001E-3</v>
      </c>
      <c r="X1939" s="50">
        <v>3.9E-2</v>
      </c>
      <c r="Y1939" s="74">
        <v>1.0999999999999999E-2</v>
      </c>
      <c r="Z1939" s="271">
        <v>8.8400000000000006E-2</v>
      </c>
      <c r="AA1939" s="271">
        <v>8.8400000000000006E-2</v>
      </c>
      <c r="AB1939" s="114">
        <v>44</v>
      </c>
      <c r="AC1939" s="50">
        <v>2790</v>
      </c>
      <c r="AD1939" s="271">
        <v>0</v>
      </c>
      <c r="AE1939" s="50">
        <f>10/2</f>
        <v>5</v>
      </c>
    </row>
    <row r="1940" spans="1:31" ht="15" customHeight="1">
      <c r="A1940" s="41" t="s">
        <v>183</v>
      </c>
      <c r="B1940" s="402" t="s">
        <v>2294</v>
      </c>
      <c r="D1940" s="393" t="s">
        <v>684</v>
      </c>
      <c r="E1940" s="394" t="s">
        <v>112</v>
      </c>
      <c r="F1940" s="402">
        <v>5200</v>
      </c>
      <c r="G1940" s="405" t="s">
        <v>2295</v>
      </c>
      <c r="H1940" s="113">
        <v>4953</v>
      </c>
      <c r="I1940" s="49" t="s">
        <v>1</v>
      </c>
      <c r="J1940" s="48" t="s">
        <v>2298</v>
      </c>
      <c r="K1940" s="51">
        <v>41305</v>
      </c>
      <c r="L1940" s="173">
        <v>41290</v>
      </c>
      <c r="M1940" s="50">
        <f t="shared" si="107"/>
        <v>15</v>
      </c>
      <c r="N1940" s="50" t="s">
        <v>2</v>
      </c>
      <c r="O1940" s="74">
        <f>4/2</f>
        <v>2</v>
      </c>
      <c r="P1940" s="77">
        <v>5.98</v>
      </c>
      <c r="Q1940" s="74">
        <v>6.28</v>
      </c>
      <c r="R1940" s="50">
        <v>22</v>
      </c>
      <c r="S1940" s="74">
        <f>5/2</f>
        <v>2.5</v>
      </c>
      <c r="T1940" s="50">
        <v>6.2E-2</v>
      </c>
      <c r="U1940" s="131">
        <v>1.05</v>
      </c>
      <c r="V1940" s="50">
        <v>0.27</v>
      </c>
      <c r="W1940" s="74">
        <f>0.005/2</f>
        <v>2.5000000000000001E-3</v>
      </c>
      <c r="X1940" s="50">
        <v>1.7000000000000001E-2</v>
      </c>
      <c r="Y1940" s="74">
        <f>0.005/2</f>
        <v>2.5000000000000001E-3</v>
      </c>
      <c r="Z1940" s="271">
        <v>1</v>
      </c>
      <c r="AA1940" s="271">
        <v>1</v>
      </c>
      <c r="AB1940" s="114">
        <v>38</v>
      </c>
      <c r="AC1940" s="50">
        <v>102</v>
      </c>
      <c r="AD1940" s="271">
        <v>1</v>
      </c>
      <c r="AE1940" s="50">
        <v>80</v>
      </c>
    </row>
    <row r="1941" spans="1:31" ht="15" customHeight="1">
      <c r="A1941" s="41" t="s">
        <v>183</v>
      </c>
      <c r="B1941" s="402" t="s">
        <v>2294</v>
      </c>
      <c r="D1941" s="393" t="s">
        <v>684</v>
      </c>
      <c r="E1941" s="394" t="s">
        <v>112</v>
      </c>
      <c r="F1941" s="402">
        <v>5200</v>
      </c>
      <c r="G1941" s="405" t="s">
        <v>2295</v>
      </c>
      <c r="H1941" s="113">
        <v>4953</v>
      </c>
      <c r="I1941" s="49" t="s">
        <v>1</v>
      </c>
      <c r="J1941" s="48" t="s">
        <v>2299</v>
      </c>
      <c r="K1941" s="51">
        <v>41305</v>
      </c>
      <c r="L1941" s="173">
        <v>41290</v>
      </c>
      <c r="M1941" s="50">
        <f t="shared" si="107"/>
        <v>15</v>
      </c>
      <c r="N1941" s="50" t="s">
        <v>2</v>
      </c>
      <c r="O1941" s="74">
        <f>4/2</f>
        <v>2</v>
      </c>
      <c r="P1941" s="50">
        <v>5.98</v>
      </c>
      <c r="Q1941" s="74">
        <v>6.67</v>
      </c>
      <c r="R1941" s="50">
        <v>27</v>
      </c>
      <c r="S1941" s="74">
        <f>5/2</f>
        <v>2.5</v>
      </c>
      <c r="T1941" s="50">
        <v>6.8000000000000005E-2</v>
      </c>
      <c r="U1941" s="131">
        <v>0.746</v>
      </c>
      <c r="V1941" s="50">
        <f>0.1/2</f>
        <v>0.05</v>
      </c>
      <c r="W1941" s="74">
        <f>0.005/2</f>
        <v>2.5000000000000001E-3</v>
      </c>
      <c r="X1941" s="50">
        <v>1.4E-2</v>
      </c>
      <c r="Y1941" s="74">
        <f>0.005/2</f>
        <v>2.5000000000000001E-3</v>
      </c>
      <c r="Z1941" s="271">
        <v>1</v>
      </c>
      <c r="AA1941" s="271">
        <v>1</v>
      </c>
      <c r="AB1941" s="114">
        <v>34</v>
      </c>
      <c r="AC1941" s="50">
        <v>113</v>
      </c>
      <c r="AD1941" s="271">
        <v>1</v>
      </c>
      <c r="AE1941" s="50">
        <v>230</v>
      </c>
    </row>
    <row r="1942" spans="1:31" ht="15" customHeight="1">
      <c r="A1942" s="41" t="s">
        <v>183</v>
      </c>
      <c r="B1942" s="402" t="s">
        <v>2294</v>
      </c>
      <c r="D1942" s="393" t="s">
        <v>684</v>
      </c>
      <c r="E1942" s="394" t="s">
        <v>112</v>
      </c>
      <c r="F1942" s="402">
        <v>5200</v>
      </c>
      <c r="G1942" s="405" t="s">
        <v>2295</v>
      </c>
      <c r="H1942" s="113">
        <v>4953</v>
      </c>
      <c r="I1942" s="49" t="s">
        <v>1</v>
      </c>
      <c r="J1942" s="48" t="s">
        <v>2297</v>
      </c>
      <c r="K1942" s="51">
        <v>41345</v>
      </c>
      <c r="L1942" s="173">
        <v>41332</v>
      </c>
      <c r="M1942" s="50">
        <f t="shared" si="107"/>
        <v>13</v>
      </c>
      <c r="N1942" s="50" t="s">
        <v>2</v>
      </c>
      <c r="O1942" s="74">
        <f>4/2</f>
        <v>2</v>
      </c>
      <c r="P1942" s="50">
        <v>6.02</v>
      </c>
      <c r="Q1942" s="74">
        <v>6.78</v>
      </c>
      <c r="R1942" s="50">
        <f>10/2</f>
        <v>5</v>
      </c>
      <c r="S1942" s="74">
        <f>5/2</f>
        <v>2.5</v>
      </c>
      <c r="T1942" s="50">
        <v>2.1999999999999999E-2</v>
      </c>
      <c r="U1942" s="131">
        <v>0.76600000000000001</v>
      </c>
      <c r="V1942" s="50">
        <v>0.13</v>
      </c>
      <c r="W1942" s="74">
        <f>0.005/2</f>
        <v>2.5000000000000001E-3</v>
      </c>
      <c r="X1942" s="50">
        <v>2.8000000000000001E-2</v>
      </c>
      <c r="Y1942" s="74">
        <f>0.005/2</f>
        <v>2.5000000000000001E-3</v>
      </c>
      <c r="Z1942" s="271">
        <v>1</v>
      </c>
      <c r="AA1942" s="271">
        <v>1</v>
      </c>
      <c r="AB1942" s="114">
        <v>90</v>
      </c>
      <c r="AC1942" s="50">
        <v>229</v>
      </c>
      <c r="AD1942" s="271">
        <v>1</v>
      </c>
      <c r="AE1942" s="50">
        <f>10/2</f>
        <v>5</v>
      </c>
    </row>
    <row r="1943" spans="1:31" ht="15" customHeight="1">
      <c r="A1943" s="41" t="s">
        <v>183</v>
      </c>
      <c r="B1943" s="402" t="s">
        <v>2294</v>
      </c>
      <c r="D1943" s="393" t="s">
        <v>684</v>
      </c>
      <c r="E1943" s="394" t="s">
        <v>112</v>
      </c>
      <c r="F1943" s="402">
        <v>5200</v>
      </c>
      <c r="G1943" s="405" t="s">
        <v>2295</v>
      </c>
      <c r="H1943" s="113">
        <v>4953</v>
      </c>
      <c r="I1943" s="49" t="s">
        <v>1</v>
      </c>
      <c r="J1943" s="48" t="s">
        <v>2296</v>
      </c>
      <c r="K1943" s="51">
        <v>41495</v>
      </c>
      <c r="L1943" s="173">
        <v>41478</v>
      </c>
      <c r="M1943" s="50">
        <f t="shared" si="107"/>
        <v>17</v>
      </c>
      <c r="N1943" s="72" t="s">
        <v>2</v>
      </c>
      <c r="O1943" s="74">
        <f>4/2</f>
        <v>2</v>
      </c>
      <c r="P1943" s="50">
        <v>5.87</v>
      </c>
      <c r="Q1943" s="74">
        <v>5.45</v>
      </c>
      <c r="R1943" s="50">
        <v>48</v>
      </c>
      <c r="S1943" s="74">
        <v>59</v>
      </c>
      <c r="T1943" s="50">
        <v>0.19500000000000001</v>
      </c>
      <c r="U1943" s="131">
        <v>1.67</v>
      </c>
      <c r="V1943" s="50">
        <v>0.36</v>
      </c>
      <c r="W1943" s="74">
        <v>8.9999999999999993E-3</v>
      </c>
      <c r="X1943" s="50">
        <v>4.7E-2</v>
      </c>
      <c r="Y1943" s="74">
        <v>1.4999999999999999E-2</v>
      </c>
    </row>
    <row r="1944" spans="1:31" ht="15" customHeight="1">
      <c r="A1944" s="41" t="s">
        <v>183</v>
      </c>
      <c r="B1944" s="402" t="s">
        <v>2294</v>
      </c>
      <c r="D1944" s="393" t="s">
        <v>684</v>
      </c>
      <c r="E1944" s="394" t="s">
        <v>112</v>
      </c>
      <c r="F1944" s="402">
        <v>5200</v>
      </c>
      <c r="G1944" s="405" t="s">
        <v>2295</v>
      </c>
      <c r="H1944" s="113">
        <v>4953</v>
      </c>
      <c r="I1944" s="49" t="s">
        <v>1</v>
      </c>
      <c r="J1944" s="48" t="s">
        <v>2297</v>
      </c>
      <c r="K1944" s="51">
        <v>41495</v>
      </c>
      <c r="L1944" s="173">
        <v>41478</v>
      </c>
      <c r="M1944" s="50">
        <f t="shared" si="107"/>
        <v>17</v>
      </c>
      <c r="N1944" s="72" t="s">
        <v>2</v>
      </c>
      <c r="O1944" s="74">
        <f>4.4/2</f>
        <v>2.2000000000000002</v>
      </c>
      <c r="P1944" s="50">
        <v>5.87</v>
      </c>
      <c r="Q1944" s="74">
        <v>8.26</v>
      </c>
      <c r="R1944" s="50">
        <f>20/2</f>
        <v>10</v>
      </c>
      <c r="S1944" s="74">
        <f>5/2</f>
        <v>2.5</v>
      </c>
      <c r="T1944" s="50">
        <v>4.5999999999999999E-2</v>
      </c>
      <c r="U1944" s="131">
        <v>0.82799999999999996</v>
      </c>
      <c r="V1944" s="50">
        <f>0.1/2</f>
        <v>0.05</v>
      </c>
      <c r="W1944" s="74">
        <v>1E-3</v>
      </c>
      <c r="X1944" s="50">
        <v>1.2999999999999999E-2</v>
      </c>
      <c r="Y1944" s="74">
        <f>0.005/2</f>
        <v>2.5000000000000001E-3</v>
      </c>
    </row>
    <row r="1945" spans="1:31" ht="15" customHeight="1">
      <c r="A1945" s="41" t="s">
        <v>183</v>
      </c>
      <c r="B1945" s="402" t="s">
        <v>2294</v>
      </c>
      <c r="D1945" s="393" t="s">
        <v>684</v>
      </c>
      <c r="E1945" s="394" t="s">
        <v>112</v>
      </c>
      <c r="F1945" s="402">
        <v>5200</v>
      </c>
      <c r="G1945" s="405" t="s">
        <v>2295</v>
      </c>
      <c r="H1945" s="113">
        <v>4953</v>
      </c>
      <c r="I1945" s="49" t="s">
        <v>1</v>
      </c>
      <c r="J1945" s="48" t="s">
        <v>2298</v>
      </c>
      <c r="K1945" s="51">
        <v>41495</v>
      </c>
      <c r="L1945" s="173">
        <v>41478</v>
      </c>
      <c r="M1945" s="50">
        <f t="shared" si="107"/>
        <v>17</v>
      </c>
      <c r="N1945" s="72" t="s">
        <v>2</v>
      </c>
      <c r="O1945" s="74">
        <f>4/2</f>
        <v>2</v>
      </c>
      <c r="P1945" s="50">
        <v>5.87</v>
      </c>
    </row>
    <row r="1946" spans="1:31" ht="15" customHeight="1">
      <c r="A1946" s="41" t="s">
        <v>183</v>
      </c>
      <c r="B1946" s="402" t="s">
        <v>2294</v>
      </c>
      <c r="D1946" s="393" t="s">
        <v>684</v>
      </c>
      <c r="E1946" s="394" t="s">
        <v>112</v>
      </c>
      <c r="F1946" s="402">
        <v>5200</v>
      </c>
      <c r="G1946" s="405" t="s">
        <v>2295</v>
      </c>
      <c r="H1946" s="113">
        <v>4953</v>
      </c>
      <c r="I1946" s="49" t="s">
        <v>1</v>
      </c>
      <c r="J1946" s="48" t="s">
        <v>2299</v>
      </c>
      <c r="K1946" s="51">
        <v>41495</v>
      </c>
      <c r="L1946" s="173">
        <v>41478</v>
      </c>
      <c r="M1946" s="50">
        <f t="shared" si="107"/>
        <v>17</v>
      </c>
      <c r="N1946" s="72" t="s">
        <v>2</v>
      </c>
      <c r="O1946" s="74">
        <f>4/2</f>
        <v>2</v>
      </c>
      <c r="P1946" s="50">
        <v>5.87</v>
      </c>
      <c r="Q1946" s="74">
        <v>7.4</v>
      </c>
      <c r="R1946" s="50">
        <v>89</v>
      </c>
      <c r="S1946" s="74">
        <f>5/2</f>
        <v>2.5</v>
      </c>
      <c r="T1946" s="50">
        <v>0.14099999999999999</v>
      </c>
      <c r="U1946" s="131">
        <v>2.72</v>
      </c>
      <c r="V1946" s="50">
        <v>0.27</v>
      </c>
      <c r="W1946" s="74">
        <v>3.0000000000000001E-3</v>
      </c>
      <c r="X1946" s="50">
        <v>0.01</v>
      </c>
      <c r="Y1946" s="74">
        <f>0.005/2</f>
        <v>2.5000000000000001E-3</v>
      </c>
    </row>
    <row r="1947" spans="1:31" ht="15" customHeight="1">
      <c r="A1947" s="41" t="s">
        <v>183</v>
      </c>
      <c r="B1947" s="402" t="s">
        <v>4294</v>
      </c>
      <c r="C1947" s="113" t="s">
        <v>4294</v>
      </c>
      <c r="D1947" s="393" t="s">
        <v>338</v>
      </c>
      <c r="E1947" s="394" t="s">
        <v>4295</v>
      </c>
      <c r="G1947" s="405" t="s">
        <v>4296</v>
      </c>
      <c r="H1947" s="74">
        <v>3469</v>
      </c>
      <c r="I1947" s="50" t="s">
        <v>2</v>
      </c>
      <c r="J1947" s="339" t="s">
        <v>1943</v>
      </c>
      <c r="K1947" s="51">
        <v>41553</v>
      </c>
      <c r="L1947" s="173">
        <v>41539</v>
      </c>
      <c r="M1947" s="50">
        <f t="shared" si="107"/>
        <v>14</v>
      </c>
      <c r="N1947" s="50" t="s">
        <v>2</v>
      </c>
      <c r="O1947" s="74">
        <f>1.4/2</f>
        <v>0.7</v>
      </c>
      <c r="P1947" s="50">
        <v>5.7</v>
      </c>
      <c r="Q1947" s="74">
        <v>6.4</v>
      </c>
      <c r="R1947" s="50">
        <v>28</v>
      </c>
      <c r="S1947" s="74">
        <v>5</v>
      </c>
      <c r="T1947" s="50">
        <v>6.3E-2</v>
      </c>
      <c r="U1947" s="131">
        <f>1/2</f>
        <v>0.5</v>
      </c>
      <c r="V1947" s="50">
        <v>0.19</v>
      </c>
      <c r="W1947" s="74">
        <f>0.005/2</f>
        <v>2.5000000000000001E-3</v>
      </c>
      <c r="X1947" s="50">
        <f>0.01/2</f>
        <v>5.0000000000000001E-3</v>
      </c>
      <c r="Y1947" s="74">
        <f>0.005/2</f>
        <v>2.5000000000000001E-3</v>
      </c>
      <c r="Z1947" s="271">
        <v>1</v>
      </c>
      <c r="AA1947" s="271">
        <v>1</v>
      </c>
      <c r="AB1947" s="114">
        <v>14</v>
      </c>
      <c r="AC1947" s="50">
        <v>23</v>
      </c>
      <c r="AD1947" s="271">
        <v>1</v>
      </c>
    </row>
    <row r="1948" spans="1:31" ht="15" customHeight="1">
      <c r="A1948" s="41" t="s">
        <v>183</v>
      </c>
      <c r="B1948" s="402" t="s">
        <v>5122</v>
      </c>
      <c r="D1948" s="393" t="s">
        <v>350</v>
      </c>
      <c r="E1948" s="394" t="s">
        <v>1329</v>
      </c>
      <c r="G1948" s="405" t="s">
        <v>5123</v>
      </c>
      <c r="H1948" s="74">
        <v>4953</v>
      </c>
      <c r="I1948" s="50" t="s">
        <v>2</v>
      </c>
      <c r="J1948" s="339" t="s">
        <v>1943</v>
      </c>
      <c r="K1948" s="51">
        <v>41533</v>
      </c>
      <c r="L1948" s="173">
        <v>41524</v>
      </c>
      <c r="M1948" s="50">
        <f t="shared" si="107"/>
        <v>9</v>
      </c>
      <c r="N1948" s="50" t="s">
        <v>2</v>
      </c>
      <c r="O1948" s="74">
        <f>1.4/2</f>
        <v>0.7</v>
      </c>
      <c r="P1948" s="50">
        <v>6</v>
      </c>
      <c r="Q1948" s="74">
        <v>4.92</v>
      </c>
      <c r="R1948" s="50">
        <v>69</v>
      </c>
      <c r="S1948" s="74">
        <f>10/2</f>
        <v>5</v>
      </c>
      <c r="T1948" s="50">
        <v>0.04</v>
      </c>
      <c r="U1948" s="131">
        <v>1.17</v>
      </c>
      <c r="V1948" s="50">
        <v>1.04</v>
      </c>
      <c r="W1948" s="74">
        <v>5.0000000000000001E-3</v>
      </c>
      <c r="X1948" s="50">
        <v>0.06</v>
      </c>
      <c r="Y1948" s="74">
        <f>0.002/2</f>
        <v>1E-3</v>
      </c>
    </row>
    <row r="1949" spans="1:31" ht="15" customHeight="1">
      <c r="A1949" s="41" t="s">
        <v>183</v>
      </c>
      <c r="B1949" s="402" t="s">
        <v>5122</v>
      </c>
      <c r="D1949" s="393" t="s">
        <v>350</v>
      </c>
      <c r="E1949" s="394" t="s">
        <v>1329</v>
      </c>
      <c r="G1949" s="405" t="s">
        <v>5123</v>
      </c>
      <c r="H1949" s="74">
        <v>4953</v>
      </c>
      <c r="I1949" s="50" t="s">
        <v>2</v>
      </c>
      <c r="J1949" s="339" t="s">
        <v>425</v>
      </c>
      <c r="K1949" s="51">
        <v>41533</v>
      </c>
      <c r="L1949" s="173">
        <v>41524</v>
      </c>
      <c r="M1949" s="50">
        <f t="shared" si="107"/>
        <v>9</v>
      </c>
      <c r="N1949" s="50" t="s">
        <v>2</v>
      </c>
      <c r="O1949" s="74">
        <f>1.4/2</f>
        <v>0.7</v>
      </c>
      <c r="P1949" s="50">
        <v>5</v>
      </c>
      <c r="Q1949" s="74">
        <v>4.55</v>
      </c>
      <c r="R1949" s="50">
        <v>58</v>
      </c>
      <c r="S1949" s="74">
        <v>15</v>
      </c>
      <c r="T1949" s="50">
        <v>0.19</v>
      </c>
      <c r="U1949" s="131">
        <v>1.22</v>
      </c>
      <c r="V1949" s="50">
        <v>0.56000000000000005</v>
      </c>
      <c r="W1949" s="74">
        <v>3.5999999999999997E-2</v>
      </c>
      <c r="X1949" s="50">
        <v>0.19600000000000001</v>
      </c>
      <c r="Y1949" s="74">
        <v>1.4999999999999999E-2</v>
      </c>
    </row>
    <row r="1950" spans="1:31" ht="15" customHeight="1">
      <c r="A1950" s="41" t="s">
        <v>183</v>
      </c>
      <c r="B1950" s="402" t="s">
        <v>5122</v>
      </c>
      <c r="D1950" s="393" t="s">
        <v>350</v>
      </c>
      <c r="E1950" s="394" t="s">
        <v>1329</v>
      </c>
      <c r="G1950" s="405" t="s">
        <v>5123</v>
      </c>
      <c r="H1950" s="74">
        <v>4953</v>
      </c>
      <c r="I1950" s="50" t="s">
        <v>2</v>
      </c>
      <c r="J1950" s="339" t="s">
        <v>1341</v>
      </c>
      <c r="K1950" s="51">
        <v>41533</v>
      </c>
      <c r="L1950" s="173">
        <v>41524</v>
      </c>
      <c r="M1950" s="50">
        <f t="shared" si="107"/>
        <v>9</v>
      </c>
      <c r="N1950" s="50" t="s">
        <v>2</v>
      </c>
      <c r="O1950" s="74">
        <f>1.4/2</f>
        <v>0.7</v>
      </c>
      <c r="P1950" s="50">
        <v>7</v>
      </c>
      <c r="Q1950" s="74">
        <v>8.34</v>
      </c>
      <c r="R1950" s="50">
        <v>15</v>
      </c>
      <c r="S1950" s="74">
        <v>15</v>
      </c>
      <c r="T1950" s="50">
        <v>0.1</v>
      </c>
      <c r="U1950" s="131">
        <v>0.78</v>
      </c>
      <c r="V1950" s="50">
        <v>3.79</v>
      </c>
      <c r="W1950" s="74">
        <f>0.005/2</f>
        <v>2.5000000000000001E-3</v>
      </c>
      <c r="X1950" s="50">
        <v>1.2E-2</v>
      </c>
      <c r="Y1950" s="74">
        <f>0.002/2</f>
        <v>1E-3</v>
      </c>
    </row>
    <row r="1951" spans="1:31" ht="15" customHeight="1">
      <c r="A1951" s="41" t="s">
        <v>183</v>
      </c>
      <c r="B1951" s="402" t="s">
        <v>878</v>
      </c>
      <c r="C1951" s="113" t="s">
        <v>879</v>
      </c>
      <c r="D1951" s="393" t="s">
        <v>127</v>
      </c>
      <c r="E1951" s="394" t="s">
        <v>880</v>
      </c>
      <c r="G1951" s="405" t="s">
        <v>881</v>
      </c>
      <c r="H1951" s="74">
        <v>3563</v>
      </c>
      <c r="I1951" s="50" t="s">
        <v>2</v>
      </c>
      <c r="J1951" s="339" t="s">
        <v>510</v>
      </c>
      <c r="K1951" s="51">
        <v>41402</v>
      </c>
      <c r="L1951" s="173">
        <v>41384</v>
      </c>
      <c r="M1951" s="50">
        <f t="shared" si="107"/>
        <v>18</v>
      </c>
      <c r="N1951" s="50" t="s">
        <v>2</v>
      </c>
      <c r="O1951" s="74">
        <f>5/2</f>
        <v>2.5</v>
      </c>
      <c r="P1951" s="50">
        <v>6.59</v>
      </c>
      <c r="Q1951" s="74">
        <v>5.63</v>
      </c>
      <c r="R1951" s="50">
        <v>100</v>
      </c>
      <c r="S1951" s="74">
        <v>100</v>
      </c>
      <c r="T1951" s="50">
        <v>0.15</v>
      </c>
      <c r="U1951" s="131">
        <v>1.1000000000000001</v>
      </c>
      <c r="V1951" s="50">
        <v>0.19</v>
      </c>
      <c r="W1951" s="74">
        <v>5.8999999999999997E-2</v>
      </c>
      <c r="X1951" s="50">
        <v>0.11</v>
      </c>
      <c r="Y1951" s="74">
        <f>0.013/2</f>
        <v>6.4999999999999997E-3</v>
      </c>
    </row>
    <row r="1952" spans="1:31" ht="15" customHeight="1">
      <c r="A1952" s="41" t="s">
        <v>183</v>
      </c>
      <c r="B1952" s="402" t="s">
        <v>878</v>
      </c>
      <c r="C1952" s="113" t="s">
        <v>879</v>
      </c>
      <c r="D1952" s="393" t="s">
        <v>127</v>
      </c>
      <c r="E1952" s="394" t="s">
        <v>880</v>
      </c>
      <c r="G1952" s="405" t="s">
        <v>881</v>
      </c>
      <c r="H1952" s="74">
        <v>3563</v>
      </c>
      <c r="I1952" s="50" t="s">
        <v>2</v>
      </c>
      <c r="J1952" s="339" t="s">
        <v>510</v>
      </c>
      <c r="K1952" s="51">
        <v>41044</v>
      </c>
      <c r="L1952" s="173">
        <v>41039</v>
      </c>
      <c r="M1952" s="50">
        <f t="shared" si="107"/>
        <v>5</v>
      </c>
      <c r="N1952" s="50" t="s">
        <v>2</v>
      </c>
      <c r="O1952" s="74">
        <f>5/2</f>
        <v>2.5</v>
      </c>
      <c r="P1952" s="50">
        <v>5.73</v>
      </c>
      <c r="Q1952" s="74">
        <v>5.88</v>
      </c>
      <c r="R1952" s="50">
        <v>49</v>
      </c>
      <c r="S1952" s="74">
        <v>12</v>
      </c>
      <c r="T1952" s="50">
        <f>0.1/2</f>
        <v>0.05</v>
      </c>
      <c r="U1952" s="131">
        <v>1.5</v>
      </c>
      <c r="V1952" s="50">
        <v>0.89</v>
      </c>
      <c r="W1952" s="74">
        <f>0.04/2</f>
        <v>0.02</v>
      </c>
      <c r="X1952" s="50">
        <v>9.8000000000000004E-2</v>
      </c>
      <c r="Y1952" s="74">
        <f>0.013/2</f>
        <v>6.4999999999999997E-3</v>
      </c>
      <c r="Z1952" s="271">
        <v>1</v>
      </c>
      <c r="AA1952" s="271">
        <v>0.77100000000000002</v>
      </c>
      <c r="AB1952" s="114">
        <v>11</v>
      </c>
      <c r="AC1952" s="50">
        <v>53</v>
      </c>
      <c r="AD1952" s="271">
        <v>0.2</v>
      </c>
    </row>
    <row r="1953" spans="1:30" ht="15" customHeight="1">
      <c r="A1953" s="41" t="s">
        <v>183</v>
      </c>
      <c r="B1953" s="402" t="s">
        <v>1910</v>
      </c>
      <c r="C1953" s="113" t="s">
        <v>2072</v>
      </c>
      <c r="D1953" s="393" t="s">
        <v>1837</v>
      </c>
      <c r="E1953" s="394" t="s">
        <v>2253</v>
      </c>
      <c r="F1953" s="401" t="s">
        <v>5124</v>
      </c>
      <c r="G1953" s="405" t="s">
        <v>2254</v>
      </c>
      <c r="H1953" s="74">
        <v>4151</v>
      </c>
      <c r="I1953" s="50" t="s">
        <v>2</v>
      </c>
      <c r="J1953" s="339" t="s">
        <v>641</v>
      </c>
      <c r="K1953" s="51">
        <v>41585</v>
      </c>
      <c r="L1953" s="173">
        <v>41554</v>
      </c>
      <c r="M1953" s="50">
        <f t="shared" si="107"/>
        <v>31</v>
      </c>
      <c r="N1953" s="50" t="s">
        <v>2</v>
      </c>
      <c r="O1953" s="74">
        <v>2</v>
      </c>
      <c r="P1953" s="50">
        <v>6.6</v>
      </c>
      <c r="Q1953" s="74">
        <v>6.05</v>
      </c>
      <c r="R1953" s="50">
        <v>310</v>
      </c>
      <c r="S1953" s="74">
        <v>40</v>
      </c>
      <c r="T1953" s="50">
        <v>0.77</v>
      </c>
      <c r="U1953" s="131">
        <v>1.82</v>
      </c>
      <c r="V1953" s="50">
        <v>0.17</v>
      </c>
      <c r="W1953" s="74">
        <v>2.5000000000000001E-2</v>
      </c>
      <c r="X1953" s="50">
        <v>0.19600000000000001</v>
      </c>
      <c r="Y1953" s="74">
        <f>0.002/2</f>
        <v>1E-3</v>
      </c>
    </row>
    <row r="1954" spans="1:30" ht="15" customHeight="1">
      <c r="A1954" s="41" t="s">
        <v>183</v>
      </c>
      <c r="B1954" s="402" t="s">
        <v>1910</v>
      </c>
      <c r="C1954" s="113" t="s">
        <v>2072</v>
      </c>
      <c r="D1954" s="393" t="s">
        <v>1837</v>
      </c>
      <c r="E1954" s="394" t="s">
        <v>2253</v>
      </c>
      <c r="F1954" s="401"/>
      <c r="G1954" s="405" t="s">
        <v>2254</v>
      </c>
      <c r="H1954" s="74">
        <v>4151</v>
      </c>
      <c r="I1954" s="50" t="s">
        <v>2</v>
      </c>
      <c r="J1954" s="48" t="s">
        <v>4562</v>
      </c>
      <c r="K1954" s="51">
        <v>41585</v>
      </c>
      <c r="L1954" s="173">
        <v>41554</v>
      </c>
      <c r="M1954" s="50">
        <f t="shared" si="107"/>
        <v>31</v>
      </c>
      <c r="N1954" s="50" t="s">
        <v>2</v>
      </c>
      <c r="O1954" s="74">
        <v>4.2</v>
      </c>
      <c r="P1954" s="50">
        <v>6.6</v>
      </c>
      <c r="Q1954" s="74">
        <v>6.65</v>
      </c>
      <c r="R1954" s="50">
        <v>250</v>
      </c>
      <c r="S1954" s="74">
        <v>94</v>
      </c>
      <c r="T1954" s="50">
        <v>0.49</v>
      </c>
      <c r="U1954" s="131">
        <v>1.79</v>
      </c>
      <c r="V1954" s="50">
        <v>0.19</v>
      </c>
      <c r="W1954" s="74">
        <v>3.5000000000000003E-2</v>
      </c>
      <c r="X1954" s="50">
        <v>9.5000000000000001E-2</v>
      </c>
      <c r="Y1954" s="74">
        <f>0.002/2</f>
        <v>1E-3</v>
      </c>
    </row>
    <row r="1955" spans="1:30" ht="15" customHeight="1">
      <c r="A1955" s="41" t="s">
        <v>183</v>
      </c>
      <c r="B1955" s="402" t="s">
        <v>1910</v>
      </c>
      <c r="C1955" s="113" t="s">
        <v>2241</v>
      </c>
      <c r="D1955" s="393" t="s">
        <v>257</v>
      </c>
      <c r="E1955" s="394" t="s">
        <v>823</v>
      </c>
      <c r="G1955" s="405" t="s">
        <v>2242</v>
      </c>
      <c r="H1955" s="74">
        <v>4151</v>
      </c>
      <c r="I1955" s="50" t="s">
        <v>2</v>
      </c>
      <c r="J1955" s="48" t="s">
        <v>641</v>
      </c>
      <c r="K1955" s="51">
        <v>41605</v>
      </c>
      <c r="L1955" s="173">
        <v>41596</v>
      </c>
      <c r="M1955" s="50">
        <f t="shared" si="107"/>
        <v>9</v>
      </c>
      <c r="N1955" s="50" t="s">
        <v>2</v>
      </c>
      <c r="O1955" s="74">
        <v>13</v>
      </c>
      <c r="P1955" s="50">
        <v>6.31</v>
      </c>
      <c r="Q1955" s="74">
        <v>6.96</v>
      </c>
      <c r="R1955" s="50">
        <v>15</v>
      </c>
      <c r="S1955" s="74">
        <v>180</v>
      </c>
      <c r="T1955" s="50">
        <v>0.31</v>
      </c>
      <c r="U1955" s="131">
        <v>1.1399999999999999</v>
      </c>
      <c r="V1955" s="50">
        <v>0.13</v>
      </c>
      <c r="W1955" s="74">
        <v>4.2999999999999997E-2</v>
      </c>
      <c r="X1955" s="50">
        <v>0.11799999999999999</v>
      </c>
      <c r="Y1955" s="74">
        <v>3.4000000000000002E-2</v>
      </c>
    </row>
    <row r="1956" spans="1:30" ht="15" customHeight="1">
      <c r="A1956" s="41" t="s">
        <v>183</v>
      </c>
      <c r="B1956" s="402" t="s">
        <v>1910</v>
      </c>
      <c r="C1956" s="113" t="s">
        <v>2241</v>
      </c>
      <c r="D1956" s="393" t="s">
        <v>257</v>
      </c>
      <c r="E1956" s="394" t="s">
        <v>823</v>
      </c>
      <c r="G1956" s="405" t="s">
        <v>2242</v>
      </c>
      <c r="H1956" s="74">
        <v>4151</v>
      </c>
      <c r="I1956" s="50" t="s">
        <v>2</v>
      </c>
      <c r="J1956" s="48" t="s">
        <v>643</v>
      </c>
      <c r="K1956" s="51">
        <v>41605</v>
      </c>
      <c r="L1956" s="173">
        <v>41596</v>
      </c>
      <c r="M1956" s="50">
        <f t="shared" si="107"/>
        <v>9</v>
      </c>
      <c r="N1956" s="50" t="s">
        <v>2</v>
      </c>
      <c r="O1956" s="74">
        <v>8.5</v>
      </c>
      <c r="P1956" s="50">
        <v>6.31</v>
      </c>
      <c r="Q1956" s="74">
        <v>7.49</v>
      </c>
      <c r="R1956" s="50">
        <v>10</v>
      </c>
      <c r="S1956" s="74">
        <v>430</v>
      </c>
      <c r="T1956" s="50">
        <v>0.41</v>
      </c>
      <c r="U1956" s="131">
        <v>1.64</v>
      </c>
      <c r="V1956" s="50">
        <v>0.13</v>
      </c>
      <c r="W1956" s="74">
        <v>4.8000000000000001E-2</v>
      </c>
      <c r="X1956" s="50">
        <v>0.114</v>
      </c>
      <c r="Y1956" s="74">
        <v>4.3999999999999997E-2</v>
      </c>
    </row>
    <row r="1957" spans="1:30" ht="15" customHeight="1">
      <c r="A1957" s="41" t="s">
        <v>183</v>
      </c>
      <c r="B1957" s="402" t="s">
        <v>575</v>
      </c>
      <c r="D1957" s="393" t="s">
        <v>56</v>
      </c>
      <c r="E1957" s="394" t="s">
        <v>95</v>
      </c>
      <c r="G1957" s="405" t="s">
        <v>301</v>
      </c>
      <c r="H1957" s="74">
        <v>5171</v>
      </c>
      <c r="I1957" s="50" t="s">
        <v>1</v>
      </c>
      <c r="J1957" s="339" t="s">
        <v>114</v>
      </c>
      <c r="K1957" s="51">
        <v>41579</v>
      </c>
      <c r="L1957" s="173">
        <v>41564</v>
      </c>
      <c r="M1957" s="50">
        <f t="shared" si="107"/>
        <v>15</v>
      </c>
      <c r="N1957" s="50" t="s">
        <v>2</v>
      </c>
      <c r="V1957" s="50">
        <v>3.9</v>
      </c>
    </row>
    <row r="1958" spans="1:30" ht="15" customHeight="1">
      <c r="A1958" s="41" t="s">
        <v>183</v>
      </c>
      <c r="B1958" s="402" t="s">
        <v>1325</v>
      </c>
      <c r="C1958" s="113" t="s">
        <v>1325</v>
      </c>
      <c r="D1958" s="393" t="s">
        <v>372</v>
      </c>
      <c r="E1958" s="394" t="s">
        <v>1326</v>
      </c>
      <c r="G1958" s="405" t="s">
        <v>1327</v>
      </c>
      <c r="H1958" s="74">
        <v>3479</v>
      </c>
      <c r="J1958" s="339" t="s">
        <v>194</v>
      </c>
      <c r="K1958" s="51">
        <v>41170</v>
      </c>
      <c r="L1958" s="173">
        <v>41160</v>
      </c>
      <c r="M1958" s="50">
        <f t="shared" si="107"/>
        <v>10</v>
      </c>
      <c r="N1958" s="50" t="s">
        <v>2</v>
      </c>
      <c r="O1958" s="74">
        <v>6.1</v>
      </c>
      <c r="P1958" s="50">
        <v>5.59</v>
      </c>
      <c r="Q1958" s="74">
        <v>6.45</v>
      </c>
      <c r="R1958" s="50">
        <v>41.6</v>
      </c>
      <c r="S1958" s="74">
        <v>75</v>
      </c>
      <c r="T1958" s="50">
        <v>0.14000000000000001</v>
      </c>
      <c r="U1958" s="131">
        <v>0.86</v>
      </c>
      <c r="V1958" s="50">
        <v>0.41</v>
      </c>
      <c r="W1958" s="74">
        <v>0.01</v>
      </c>
      <c r="X1958" s="50">
        <v>7.0000000000000007E-2</v>
      </c>
      <c r="Y1958" s="74">
        <f>0.02/2</f>
        <v>0.01</v>
      </c>
    </row>
    <row r="1959" spans="1:30" ht="15" customHeight="1">
      <c r="A1959" s="41" t="s">
        <v>183</v>
      </c>
      <c r="B1959" s="402" t="s">
        <v>1325</v>
      </c>
      <c r="C1959" s="113" t="s">
        <v>1325</v>
      </c>
      <c r="D1959" s="393" t="s">
        <v>372</v>
      </c>
      <c r="E1959" s="394" t="s">
        <v>1326</v>
      </c>
      <c r="G1959" s="405" t="s">
        <v>1327</v>
      </c>
      <c r="H1959" s="74">
        <v>3479</v>
      </c>
      <c r="J1959" s="339" t="s">
        <v>194</v>
      </c>
      <c r="K1959" s="51">
        <v>41402</v>
      </c>
      <c r="L1959" s="173">
        <v>41387</v>
      </c>
      <c r="M1959" s="50">
        <f t="shared" si="107"/>
        <v>15</v>
      </c>
      <c r="N1959" s="50" t="s">
        <v>2</v>
      </c>
      <c r="O1959" s="74">
        <v>1.4</v>
      </c>
      <c r="P1959" s="50">
        <v>4.9800000000000004</v>
      </c>
      <c r="Q1959" s="74">
        <v>5.46</v>
      </c>
      <c r="R1959" s="50">
        <v>208</v>
      </c>
      <c r="S1959" s="74">
        <v>292</v>
      </c>
      <c r="T1959" s="50">
        <v>0.8</v>
      </c>
      <c r="U1959" s="131">
        <v>7.58</v>
      </c>
      <c r="V1959" s="50">
        <v>0.54</v>
      </c>
      <c r="W1959" s="74">
        <v>0.09</v>
      </c>
      <c r="X1959" s="50">
        <v>0.27</v>
      </c>
      <c r="Y1959" s="74">
        <v>0.06</v>
      </c>
      <c r="Z1959" s="271">
        <v>1</v>
      </c>
      <c r="AA1959" s="271">
        <v>1</v>
      </c>
      <c r="AB1959" s="114">
        <v>543</v>
      </c>
      <c r="AC1959" s="50">
        <v>33.9</v>
      </c>
      <c r="AD1959" s="271">
        <v>1</v>
      </c>
    </row>
    <row r="1960" spans="1:30" ht="15" customHeight="1">
      <c r="A1960" s="41" t="s">
        <v>183</v>
      </c>
      <c r="B1960" s="402" t="s">
        <v>2322</v>
      </c>
      <c r="C1960" s="113" t="s">
        <v>1325</v>
      </c>
      <c r="D1960" s="393" t="s">
        <v>350</v>
      </c>
      <c r="E1960" s="394" t="s">
        <v>1326</v>
      </c>
      <c r="G1960" s="405" t="s">
        <v>2323</v>
      </c>
      <c r="H1960" s="74">
        <v>3479</v>
      </c>
      <c r="I1960" s="50" t="s">
        <v>2</v>
      </c>
      <c r="J1960" s="339"/>
      <c r="K1960" s="51">
        <v>41073</v>
      </c>
      <c r="L1960" s="173">
        <v>41071</v>
      </c>
      <c r="M1960" s="50">
        <f t="shared" si="107"/>
        <v>2</v>
      </c>
      <c r="N1960" s="50" t="s">
        <v>2</v>
      </c>
      <c r="O1960" s="74">
        <v>1.4</v>
      </c>
      <c r="Q1960" s="74">
        <v>6.12</v>
      </c>
      <c r="R1960" s="50">
        <v>10</v>
      </c>
      <c r="S1960" s="74">
        <v>5</v>
      </c>
      <c r="T1960" s="50">
        <v>0.01</v>
      </c>
      <c r="U1960" s="131">
        <v>0.1</v>
      </c>
      <c r="V1960" s="50">
        <v>0.05</v>
      </c>
      <c r="W1960" s="74">
        <v>5.0000000000000001E-3</v>
      </c>
      <c r="X1960" s="50">
        <v>2E-3</v>
      </c>
      <c r="Y1960" s="74">
        <v>2E-3</v>
      </c>
    </row>
    <row r="1961" spans="1:30" ht="15" customHeight="1">
      <c r="A1961" s="74" t="s">
        <v>183</v>
      </c>
      <c r="B1961" s="402" t="s">
        <v>1325</v>
      </c>
      <c r="C1961" s="113" t="s">
        <v>1325</v>
      </c>
      <c r="D1961" s="393" t="s">
        <v>372</v>
      </c>
      <c r="E1961" s="394" t="s">
        <v>1326</v>
      </c>
      <c r="G1961" s="405" t="s">
        <v>2323</v>
      </c>
      <c r="H1961" s="74">
        <v>3479</v>
      </c>
      <c r="J1961" s="339" t="s">
        <v>194</v>
      </c>
      <c r="K1961" s="51">
        <v>41478</v>
      </c>
      <c r="L1961" s="173"/>
      <c r="O1961" s="74">
        <v>1.4</v>
      </c>
      <c r="Q1961" s="74">
        <v>5.46</v>
      </c>
      <c r="R1961" s="50">
        <v>19</v>
      </c>
      <c r="S1961" s="74">
        <v>11</v>
      </c>
      <c r="T1961" s="50">
        <v>0.02</v>
      </c>
      <c r="U1961" s="131">
        <v>0.53</v>
      </c>
      <c r="V1961" s="50">
        <v>7.0000000000000007E-2</v>
      </c>
      <c r="W1961" s="74">
        <v>2.5000000000000001E-2</v>
      </c>
      <c r="X1961" s="50">
        <v>1.7000000000000001E-2</v>
      </c>
      <c r="Y1961" s="74">
        <f>0.002/2</f>
        <v>1E-3</v>
      </c>
    </row>
    <row r="1962" spans="1:30" ht="15" customHeight="1">
      <c r="A1962" s="41" t="s">
        <v>183</v>
      </c>
      <c r="B1962" s="402" t="s">
        <v>1325</v>
      </c>
      <c r="C1962" s="113" t="s">
        <v>1325</v>
      </c>
      <c r="D1962" s="393" t="s">
        <v>372</v>
      </c>
      <c r="E1962" s="394" t="s">
        <v>1326</v>
      </c>
      <c r="G1962" s="405" t="s">
        <v>2323</v>
      </c>
      <c r="H1962" s="74">
        <v>3479</v>
      </c>
      <c r="I1962" s="50" t="s">
        <v>2</v>
      </c>
      <c r="J1962" s="339" t="s">
        <v>194</v>
      </c>
      <c r="K1962" s="51">
        <v>41533</v>
      </c>
      <c r="L1962" s="173">
        <v>41530</v>
      </c>
      <c r="M1962" s="50">
        <f t="shared" ref="M1962:M1967" si="108">K1962-L1962</f>
        <v>3</v>
      </c>
      <c r="N1962" s="50" t="s">
        <v>2</v>
      </c>
      <c r="O1962" s="74">
        <v>1.5</v>
      </c>
      <c r="Q1962" s="74">
        <v>5.17</v>
      </c>
      <c r="R1962" s="50">
        <v>95</v>
      </c>
      <c r="S1962" s="74">
        <f>5/2</f>
        <v>2.5</v>
      </c>
      <c r="T1962" s="50">
        <v>0.04</v>
      </c>
      <c r="U1962" s="131">
        <v>2.76</v>
      </c>
      <c r="V1962" s="50">
        <v>1.24</v>
      </c>
      <c r="W1962" s="74">
        <v>8.5999999999999993E-2</v>
      </c>
      <c r="X1962" s="50">
        <v>9.9000000000000005E-2</v>
      </c>
      <c r="Y1962" s="74">
        <f>0.002/2</f>
        <v>1E-3</v>
      </c>
      <c r="Z1962" s="271">
        <v>0.218</v>
      </c>
      <c r="AA1962" s="271">
        <v>9.74E-2</v>
      </c>
      <c r="AB1962" s="114">
        <v>18</v>
      </c>
      <c r="AC1962" s="50">
        <v>59</v>
      </c>
      <c r="AD1962" s="271">
        <v>0</v>
      </c>
    </row>
    <row r="1963" spans="1:30" ht="15" customHeight="1">
      <c r="A1963" s="41" t="s">
        <v>183</v>
      </c>
      <c r="B1963" s="402" t="s">
        <v>1325</v>
      </c>
      <c r="C1963" s="113" t="s">
        <v>1325</v>
      </c>
      <c r="D1963" s="393" t="s">
        <v>372</v>
      </c>
      <c r="E1963" s="394" t="s">
        <v>1326</v>
      </c>
      <c r="G1963" s="405" t="s">
        <v>1327</v>
      </c>
      <c r="H1963" s="74">
        <v>3479</v>
      </c>
      <c r="J1963" s="339" t="s">
        <v>194</v>
      </c>
      <c r="K1963" s="51">
        <v>41579</v>
      </c>
      <c r="L1963" s="173">
        <v>41554</v>
      </c>
      <c r="M1963" s="50">
        <f t="shared" si="108"/>
        <v>25</v>
      </c>
      <c r="N1963" s="50" t="s">
        <v>2</v>
      </c>
      <c r="O1963" s="74">
        <f>1/2</f>
        <v>0.5</v>
      </c>
      <c r="P1963" s="50">
        <v>5.46</v>
      </c>
      <c r="Q1963" s="74">
        <v>5.93</v>
      </c>
      <c r="R1963" s="50">
        <v>35.9</v>
      </c>
      <c r="S1963" s="74">
        <v>8.5</v>
      </c>
      <c r="T1963" s="50">
        <v>0.16</v>
      </c>
      <c r="U1963" s="131">
        <v>1.04</v>
      </c>
      <c r="V1963" s="50">
        <f>0.02/2</f>
        <v>0.01</v>
      </c>
      <c r="W1963" s="74">
        <f>0.01/2</f>
        <v>5.0000000000000001E-3</v>
      </c>
      <c r="X1963" s="50">
        <v>0.04</v>
      </c>
      <c r="Y1963" s="74">
        <f>0.02/2</f>
        <v>0.01</v>
      </c>
    </row>
    <row r="1964" spans="1:30" ht="15" customHeight="1">
      <c r="A1964" s="41" t="s">
        <v>183</v>
      </c>
      <c r="B1964" s="402" t="s">
        <v>5128</v>
      </c>
      <c r="C1964" s="113" t="s">
        <v>4922</v>
      </c>
      <c r="D1964" s="393" t="s">
        <v>111</v>
      </c>
      <c r="E1964" s="394" t="s">
        <v>429</v>
      </c>
      <c r="F1964" s="402" t="s">
        <v>4923</v>
      </c>
      <c r="G1964" s="405" t="s">
        <v>4924</v>
      </c>
      <c r="H1964" s="74">
        <v>4215</v>
      </c>
      <c r="I1964" s="50" t="s">
        <v>1</v>
      </c>
      <c r="J1964" s="339" t="s">
        <v>4925</v>
      </c>
      <c r="K1964" s="51">
        <v>40996</v>
      </c>
      <c r="L1964" s="173">
        <v>40963</v>
      </c>
      <c r="M1964" s="50">
        <f t="shared" si="108"/>
        <v>33</v>
      </c>
      <c r="N1964" s="50" t="s">
        <v>2</v>
      </c>
      <c r="O1964" s="74">
        <f>1.4/2</f>
        <v>0.7</v>
      </c>
      <c r="P1964" s="50">
        <v>5.66</v>
      </c>
      <c r="Q1964" s="74">
        <v>6.31</v>
      </c>
      <c r="R1964" s="50">
        <v>15</v>
      </c>
      <c r="S1964" s="74">
        <v>7.5</v>
      </c>
      <c r="T1964" s="50">
        <v>0.17</v>
      </c>
      <c r="U1964" s="131">
        <v>0.82</v>
      </c>
      <c r="V1964" s="50">
        <v>0.24</v>
      </c>
      <c r="W1964" s="74">
        <f>0.005/2</f>
        <v>2.5000000000000001E-3</v>
      </c>
      <c r="X1964" s="50">
        <v>0.05</v>
      </c>
      <c r="Y1964" s="74">
        <f>0.002/2</f>
        <v>1E-3</v>
      </c>
      <c r="Z1964" s="271">
        <v>1</v>
      </c>
      <c r="AA1964" s="271">
        <v>1</v>
      </c>
      <c r="AB1964" s="114">
        <v>14</v>
      </c>
      <c r="AC1964" s="50">
        <v>26</v>
      </c>
      <c r="AD1964" s="271">
        <v>0.85</v>
      </c>
    </row>
    <row r="1965" spans="1:30" ht="15" customHeight="1">
      <c r="A1965" s="41" t="s">
        <v>183</v>
      </c>
      <c r="B1965" s="402" t="s">
        <v>5128</v>
      </c>
      <c r="C1965" s="113" t="s">
        <v>4922</v>
      </c>
      <c r="D1965" s="393" t="s">
        <v>111</v>
      </c>
      <c r="E1965" s="394" t="s">
        <v>429</v>
      </c>
      <c r="F1965" s="402" t="s">
        <v>4923</v>
      </c>
      <c r="G1965" s="405" t="s">
        <v>4924</v>
      </c>
      <c r="H1965" s="74">
        <v>4215</v>
      </c>
      <c r="I1965" s="50" t="s">
        <v>1</v>
      </c>
      <c r="J1965" s="339" t="s">
        <v>4925</v>
      </c>
      <c r="K1965" s="51">
        <v>41044</v>
      </c>
      <c r="L1965" s="173">
        <v>41039</v>
      </c>
      <c r="M1965" s="50">
        <f t="shared" si="108"/>
        <v>5</v>
      </c>
      <c r="N1965" s="50" t="s">
        <v>2</v>
      </c>
      <c r="O1965" s="74">
        <f>1.4/2</f>
        <v>0.7</v>
      </c>
      <c r="P1965" s="50">
        <v>5.18</v>
      </c>
      <c r="Q1965" s="74">
        <v>6.04</v>
      </c>
      <c r="R1965" s="50">
        <f>10/2</f>
        <v>5</v>
      </c>
      <c r="S1965" s="74">
        <f>5/2</f>
        <v>2.5</v>
      </c>
      <c r="T1965" s="50">
        <v>0.04</v>
      </c>
      <c r="U1965" s="131">
        <v>0.69</v>
      </c>
      <c r="V1965" s="50">
        <v>0.13</v>
      </c>
      <c r="W1965" s="74">
        <f>0.005/2</f>
        <v>2.5000000000000001E-3</v>
      </c>
      <c r="X1965" s="50">
        <v>4.2999999999999997E-2</v>
      </c>
      <c r="Y1965" s="74">
        <f>0.002/2</f>
        <v>1E-3</v>
      </c>
    </row>
    <row r="1966" spans="1:30" ht="15" customHeight="1">
      <c r="A1966" s="41" t="s">
        <v>183</v>
      </c>
      <c r="B1966" s="402" t="s">
        <v>5129</v>
      </c>
      <c r="D1966" s="393" t="s">
        <v>1484</v>
      </c>
      <c r="E1966" s="394" t="s">
        <v>235</v>
      </c>
      <c r="G1966" s="405" t="s">
        <v>5130</v>
      </c>
      <c r="H1966" s="74">
        <v>3399</v>
      </c>
      <c r="I1966" s="50" t="s">
        <v>2</v>
      </c>
      <c r="J1966" s="339" t="s">
        <v>2238</v>
      </c>
      <c r="K1966" s="51">
        <v>41108</v>
      </c>
      <c r="L1966" s="173">
        <v>41105</v>
      </c>
      <c r="M1966" s="50">
        <f t="shared" si="108"/>
        <v>3</v>
      </c>
      <c r="N1966" s="50" t="s">
        <v>2</v>
      </c>
      <c r="O1966" s="74">
        <v>3.1</v>
      </c>
      <c r="P1966" s="50">
        <v>4.32</v>
      </c>
      <c r="Q1966" s="74">
        <v>4.58</v>
      </c>
      <c r="R1966" s="50">
        <v>13.1</v>
      </c>
      <c r="S1966" s="74">
        <f>1/2</f>
        <v>0.5</v>
      </c>
      <c r="T1966" s="50">
        <f>0.05/2</f>
        <v>2.5000000000000001E-2</v>
      </c>
      <c r="U1966" s="131">
        <v>0.96</v>
      </c>
      <c r="V1966" s="50">
        <v>0.4</v>
      </c>
      <c r="W1966" s="74">
        <v>0.03</v>
      </c>
      <c r="X1966" s="50">
        <v>0.04</v>
      </c>
      <c r="Y1966" s="74">
        <f>0.02/2</f>
        <v>0.01</v>
      </c>
      <c r="Z1966" s="271">
        <v>0.23499999999999999</v>
      </c>
      <c r="AA1966" s="271">
        <v>0.215</v>
      </c>
      <c r="AB1966" s="114">
        <v>2.62</v>
      </c>
      <c r="AC1966" s="50">
        <v>24.5</v>
      </c>
      <c r="AD1966" s="271">
        <v>0.05</v>
      </c>
    </row>
    <row r="1967" spans="1:30" ht="15" customHeight="1">
      <c r="A1967" s="41" t="s">
        <v>183</v>
      </c>
      <c r="B1967" s="402" t="s">
        <v>5129</v>
      </c>
      <c r="D1967" s="393" t="s">
        <v>1484</v>
      </c>
      <c r="E1967" s="394" t="s">
        <v>235</v>
      </c>
      <c r="G1967" s="405" t="s">
        <v>5130</v>
      </c>
      <c r="H1967" s="74">
        <v>3399</v>
      </c>
      <c r="I1967" s="50" t="s">
        <v>2</v>
      </c>
      <c r="J1967" s="339" t="s">
        <v>2238</v>
      </c>
      <c r="K1967" s="51">
        <v>41197</v>
      </c>
      <c r="L1967" s="173">
        <v>41192</v>
      </c>
      <c r="M1967" s="50">
        <f t="shared" si="108"/>
        <v>5</v>
      </c>
      <c r="N1967" s="50" t="s">
        <v>2</v>
      </c>
      <c r="O1967" s="74">
        <v>4.4000000000000004</v>
      </c>
      <c r="P1967" s="50">
        <v>5.39</v>
      </c>
      <c r="Q1967" s="74">
        <v>6.16</v>
      </c>
      <c r="R1967" s="50">
        <v>17.2</v>
      </c>
      <c r="S1967" s="74">
        <v>6.5</v>
      </c>
      <c r="T1967" s="50">
        <v>0.08</v>
      </c>
      <c r="U1967" s="131">
        <v>0.93</v>
      </c>
      <c r="V1967" s="50">
        <v>0.35</v>
      </c>
      <c r="W1967" s="74">
        <v>0.08</v>
      </c>
      <c r="X1967" s="50">
        <v>0.03</v>
      </c>
      <c r="Y1967" s="74">
        <f>0.02/2</f>
        <v>0.01</v>
      </c>
    </row>
    <row r="1968" spans="1:30" ht="15" customHeight="1">
      <c r="A1968" s="41" t="s">
        <v>183</v>
      </c>
      <c r="B1968" s="402" t="s">
        <v>5131</v>
      </c>
      <c r="D1968" s="393" t="s">
        <v>350</v>
      </c>
      <c r="G1968" s="405" t="s">
        <v>5132</v>
      </c>
      <c r="H1968" s="74">
        <v>3440</v>
      </c>
      <c r="I1968" s="50" t="s">
        <v>2</v>
      </c>
      <c r="J1968" s="339" t="s">
        <v>194</v>
      </c>
      <c r="K1968" s="51">
        <v>41579</v>
      </c>
      <c r="L1968" s="173"/>
      <c r="N1968" s="50" t="s">
        <v>2</v>
      </c>
      <c r="O1968" s="74">
        <f>1.5/2</f>
        <v>0.75</v>
      </c>
      <c r="P1968" s="50">
        <v>5.44</v>
      </c>
      <c r="Q1968" s="74">
        <v>5.61</v>
      </c>
      <c r="R1968" s="50">
        <f>10/2</f>
        <v>5</v>
      </c>
      <c r="S1968" s="74">
        <v>20</v>
      </c>
      <c r="T1968" s="50">
        <v>0.09</v>
      </c>
      <c r="U1968" s="131">
        <v>0.76</v>
      </c>
      <c r="V1968" s="50">
        <v>0.08</v>
      </c>
      <c r="W1968" s="74">
        <v>5.0000000000000001E-3</v>
      </c>
      <c r="X1968" s="50">
        <v>0.13400000000000001</v>
      </c>
      <c r="Y1968" s="74">
        <v>3.0000000000000001E-3</v>
      </c>
      <c r="Z1968" s="271">
        <v>1</v>
      </c>
      <c r="AA1968" s="271">
        <v>0.73499999999999999</v>
      </c>
    </row>
    <row r="1969" spans="1:30" ht="15" customHeight="1">
      <c r="A1969" s="41" t="s">
        <v>183</v>
      </c>
      <c r="B1969" s="402" t="s">
        <v>5047</v>
      </c>
      <c r="C1969" s="113" t="s">
        <v>5047</v>
      </c>
      <c r="D1969" s="393" t="s">
        <v>195</v>
      </c>
      <c r="G1969" s="405" t="s">
        <v>5048</v>
      </c>
      <c r="H1969" s="74"/>
      <c r="I1969" s="50" t="s">
        <v>2</v>
      </c>
      <c r="J1969" s="74" t="s">
        <v>5049</v>
      </c>
      <c r="K1969" s="51">
        <v>41417</v>
      </c>
      <c r="L1969" s="173">
        <v>41413</v>
      </c>
      <c r="M1969" s="50">
        <f t="shared" ref="M1969:M1994" si="109">K1969-L1969</f>
        <v>4</v>
      </c>
      <c r="N1969" s="50" t="s">
        <v>2</v>
      </c>
      <c r="O1969" s="74">
        <v>25.3</v>
      </c>
      <c r="P1969" s="50">
        <v>5.5</v>
      </c>
      <c r="Q1969" s="74">
        <v>5.4</v>
      </c>
      <c r="R1969" s="50">
        <v>119</v>
      </c>
      <c r="S1969" s="74">
        <f>50/2</f>
        <v>25</v>
      </c>
      <c r="T1969" s="50">
        <f>0.1/2</f>
        <v>0.05</v>
      </c>
      <c r="U1969" s="131">
        <v>1.52</v>
      </c>
      <c r="V1969" s="50">
        <v>0.13</v>
      </c>
      <c r="W1969" s="74">
        <f>0.02/2</f>
        <v>0.01</v>
      </c>
      <c r="X1969" s="50">
        <v>0.12</v>
      </c>
      <c r="Y1969" s="74">
        <v>1.2E-2</v>
      </c>
      <c r="Z1969" s="271">
        <v>1</v>
      </c>
      <c r="AA1969" s="271">
        <v>1</v>
      </c>
      <c r="AB1969" s="114">
        <v>12</v>
      </c>
      <c r="AC1969" s="50">
        <v>25</v>
      </c>
      <c r="AD1969" s="271">
        <v>1</v>
      </c>
    </row>
    <row r="1970" spans="1:30" ht="15" customHeight="1">
      <c r="A1970" s="41" t="s">
        <v>183</v>
      </c>
      <c r="B1970" s="402" t="s">
        <v>2088</v>
      </c>
      <c r="C1970" s="113" t="s">
        <v>2092</v>
      </c>
      <c r="D1970" s="393" t="s">
        <v>303</v>
      </c>
      <c r="E1970" s="394" t="s">
        <v>2093</v>
      </c>
      <c r="G1970" s="405" t="s">
        <v>3599</v>
      </c>
      <c r="H1970" s="113">
        <v>4213</v>
      </c>
      <c r="I1970" s="49" t="s">
        <v>1</v>
      </c>
      <c r="J1970" s="48" t="s">
        <v>1119</v>
      </c>
      <c r="K1970" s="51">
        <v>41157</v>
      </c>
      <c r="L1970" s="173">
        <v>41148</v>
      </c>
      <c r="M1970" s="50">
        <f t="shared" si="109"/>
        <v>9</v>
      </c>
      <c r="N1970" s="50" t="s">
        <v>2</v>
      </c>
      <c r="O1970" s="74">
        <v>1.5</v>
      </c>
      <c r="P1970" s="50">
        <v>74.099999999999994</v>
      </c>
      <c r="Q1970" s="74">
        <v>6.5</v>
      </c>
      <c r="R1970" s="50">
        <v>74</v>
      </c>
      <c r="S1970" s="74">
        <v>18</v>
      </c>
      <c r="T1970" s="50">
        <v>0.11</v>
      </c>
      <c r="U1970" s="131">
        <v>2.06</v>
      </c>
      <c r="V1970" s="50">
        <v>10.199999999999999</v>
      </c>
      <c r="W1970" s="74">
        <v>1.7999999999999999E-2</v>
      </c>
      <c r="X1970" s="50">
        <v>0.16500000000000001</v>
      </c>
      <c r="Y1970" s="74">
        <v>3.0000000000000001E-3</v>
      </c>
      <c r="Z1970" s="271">
        <v>1</v>
      </c>
      <c r="AA1970" s="271">
        <v>1</v>
      </c>
      <c r="AB1970" s="114">
        <v>12</v>
      </c>
      <c r="AC1970" s="50">
        <v>93</v>
      </c>
      <c r="AD1970" s="271">
        <v>1</v>
      </c>
    </row>
    <row r="1971" spans="1:30" ht="15" customHeight="1">
      <c r="A1971" s="41" t="s">
        <v>183</v>
      </c>
      <c r="B1971" s="402" t="s">
        <v>2088</v>
      </c>
      <c r="C1971" s="113" t="s">
        <v>2090</v>
      </c>
      <c r="D1971" s="393" t="s">
        <v>1484</v>
      </c>
      <c r="E1971" s="394" t="s">
        <v>2091</v>
      </c>
      <c r="G1971" s="405" t="s">
        <v>3598</v>
      </c>
      <c r="H1971" s="74">
        <v>4213</v>
      </c>
      <c r="I1971" s="50" t="s">
        <v>2</v>
      </c>
      <c r="J1971" s="339" t="s">
        <v>1119</v>
      </c>
      <c r="K1971" s="51">
        <v>41157</v>
      </c>
      <c r="L1971" s="173">
        <v>41122</v>
      </c>
      <c r="M1971" s="50">
        <f t="shared" si="109"/>
        <v>35</v>
      </c>
      <c r="N1971" s="50" t="s">
        <v>2</v>
      </c>
      <c r="O1971" s="74">
        <f t="shared" ref="O1971:O1977" si="110">1.4/2</f>
        <v>0.7</v>
      </c>
      <c r="P1971" s="50">
        <v>7.3</v>
      </c>
      <c r="Q1971" s="74">
        <v>6.6</v>
      </c>
      <c r="R1971" s="50">
        <f>10/2</f>
        <v>5</v>
      </c>
      <c r="S1971" s="74">
        <f>5/2</f>
        <v>2.5</v>
      </c>
      <c r="T1971" s="50">
        <v>0.02</v>
      </c>
      <c r="U1971" s="131">
        <v>0.91</v>
      </c>
      <c r="V1971" s="50">
        <v>0.99</v>
      </c>
      <c r="W1971" s="74">
        <v>7.0000000000000001E-3</v>
      </c>
      <c r="X1971" s="50">
        <v>0.59199999999999997</v>
      </c>
      <c r="Y1971" s="74">
        <v>3.0000000000000001E-3</v>
      </c>
      <c r="Z1971" s="271">
        <v>1</v>
      </c>
    </row>
    <row r="1972" spans="1:30" ht="15" customHeight="1">
      <c r="A1972" s="41" t="s">
        <v>183</v>
      </c>
      <c r="B1972" s="402" t="s">
        <v>2088</v>
      </c>
      <c r="C1972" s="113" t="s">
        <v>2090</v>
      </c>
      <c r="D1972" s="393" t="s">
        <v>1484</v>
      </c>
      <c r="E1972" s="394" t="s">
        <v>2091</v>
      </c>
      <c r="G1972" s="405" t="s">
        <v>3598</v>
      </c>
      <c r="H1972" s="74">
        <v>4213</v>
      </c>
      <c r="I1972" s="50" t="s">
        <v>2</v>
      </c>
      <c r="J1972" s="339" t="s">
        <v>1119</v>
      </c>
      <c r="K1972" s="51">
        <v>41345</v>
      </c>
      <c r="L1972" s="173">
        <v>41341</v>
      </c>
      <c r="M1972" s="50">
        <f t="shared" si="109"/>
        <v>4</v>
      </c>
      <c r="N1972" s="50" t="s">
        <v>2</v>
      </c>
      <c r="O1972" s="74">
        <f t="shared" si="110"/>
        <v>0.7</v>
      </c>
      <c r="P1972" s="50">
        <v>7.3</v>
      </c>
      <c r="Q1972" s="74">
        <v>6.9</v>
      </c>
      <c r="R1972" s="50">
        <v>30</v>
      </c>
      <c r="S1972" s="74">
        <v>52</v>
      </c>
      <c r="T1972" s="50">
        <v>0.09</v>
      </c>
      <c r="U1972" s="131">
        <v>0.68</v>
      </c>
      <c r="V1972" s="50">
        <v>0.26</v>
      </c>
      <c r="W1972" s="74">
        <v>1.0999999999999999E-2</v>
      </c>
      <c r="X1972" s="50">
        <v>5.2999999999999999E-2</v>
      </c>
      <c r="Y1972" s="74">
        <v>3.0000000000000001E-3</v>
      </c>
      <c r="Z1972" s="271">
        <v>0.70699999999999996</v>
      </c>
      <c r="AA1972" s="271">
        <v>0.70699999999999996</v>
      </c>
      <c r="AB1972" s="114">
        <v>32</v>
      </c>
      <c r="AC1972" s="50">
        <v>182</v>
      </c>
      <c r="AD1972" s="271">
        <v>0</v>
      </c>
    </row>
    <row r="1973" spans="1:30" ht="15" customHeight="1">
      <c r="A1973" s="41" t="s">
        <v>183</v>
      </c>
      <c r="B1973" s="402" t="s">
        <v>2088</v>
      </c>
      <c r="C1973" s="113" t="s">
        <v>2090</v>
      </c>
      <c r="D1973" s="393" t="s">
        <v>1484</v>
      </c>
      <c r="E1973" s="394" t="s">
        <v>2091</v>
      </c>
      <c r="G1973" s="405" t="s">
        <v>3598</v>
      </c>
      <c r="H1973" s="74">
        <v>4213</v>
      </c>
      <c r="I1973" s="50" t="s">
        <v>2</v>
      </c>
      <c r="J1973" s="339" t="s">
        <v>1119</v>
      </c>
      <c r="K1973" s="51">
        <v>41499</v>
      </c>
      <c r="L1973" s="173">
        <v>41495</v>
      </c>
      <c r="M1973" s="50">
        <f t="shared" si="109"/>
        <v>4</v>
      </c>
      <c r="N1973" s="50" t="s">
        <v>2</v>
      </c>
      <c r="O1973" s="74">
        <f t="shared" si="110"/>
        <v>0.7</v>
      </c>
      <c r="P1973" s="50">
        <v>7.5</v>
      </c>
      <c r="Q1973" s="74">
        <v>7.1</v>
      </c>
      <c r="R1973" s="50">
        <v>54</v>
      </c>
      <c r="S1973" s="74">
        <v>29</v>
      </c>
      <c r="T1973" s="50">
        <v>7.0000000000000007E-2</v>
      </c>
      <c r="U1973" s="131">
        <v>0.92</v>
      </c>
      <c r="V1973" s="50">
        <v>0.65</v>
      </c>
      <c r="W1973" s="74">
        <v>1.7999999999999999E-2</v>
      </c>
      <c r="X1973" s="50">
        <v>9.6000000000000002E-2</v>
      </c>
      <c r="Y1973" s="74">
        <f>0.002/2</f>
        <v>1E-3</v>
      </c>
      <c r="Z1973" s="271">
        <v>0.70399999999999996</v>
      </c>
      <c r="AA1973" s="271">
        <v>0.70399999999999996</v>
      </c>
      <c r="AB1973" s="114">
        <v>6</v>
      </c>
      <c r="AC1973" s="50">
        <v>148</v>
      </c>
      <c r="AD1973" s="271">
        <v>0</v>
      </c>
    </row>
    <row r="1974" spans="1:30" ht="15" customHeight="1">
      <c r="A1974" s="41" t="s">
        <v>183</v>
      </c>
      <c r="B1974" s="402" t="s">
        <v>2088</v>
      </c>
      <c r="C1974" s="113" t="s">
        <v>2089</v>
      </c>
      <c r="D1974" s="393" t="s">
        <v>350</v>
      </c>
      <c r="E1974" s="394" t="s">
        <v>467</v>
      </c>
      <c r="G1974" s="405" t="s">
        <v>3597</v>
      </c>
      <c r="H1974" s="74">
        <v>4213</v>
      </c>
      <c r="I1974" s="50" t="s">
        <v>2</v>
      </c>
      <c r="J1974" s="339" t="s">
        <v>2047</v>
      </c>
      <c r="K1974" s="51">
        <v>41499</v>
      </c>
      <c r="L1974" s="173">
        <v>41495</v>
      </c>
      <c r="M1974" s="50">
        <f t="shared" si="109"/>
        <v>4</v>
      </c>
      <c r="N1974" s="50" t="s">
        <v>2</v>
      </c>
      <c r="O1974" s="74">
        <f t="shared" si="110"/>
        <v>0.7</v>
      </c>
      <c r="P1974" s="50">
        <v>6.9</v>
      </c>
      <c r="Q1974" s="74">
        <v>7</v>
      </c>
      <c r="R1974" s="50">
        <v>48</v>
      </c>
      <c r="T1974" s="50">
        <v>0.31</v>
      </c>
      <c r="U1974" s="131">
        <v>2.34</v>
      </c>
      <c r="W1974" s="74">
        <v>2.5999999999999999E-2</v>
      </c>
      <c r="X1974" s="50">
        <v>0.30099999999999999</v>
      </c>
      <c r="Y1974" s="74">
        <v>1.2E-2</v>
      </c>
    </row>
    <row r="1975" spans="1:30" ht="15" customHeight="1">
      <c r="A1975" s="41" t="s">
        <v>183</v>
      </c>
      <c r="B1975" s="402" t="s">
        <v>2088</v>
      </c>
      <c r="C1975" s="113" t="s">
        <v>2094</v>
      </c>
      <c r="D1975" s="393" t="s">
        <v>735</v>
      </c>
      <c r="E1975" s="394" t="s">
        <v>467</v>
      </c>
      <c r="G1975" s="405" t="s">
        <v>3600</v>
      </c>
      <c r="H1975" s="74">
        <v>4213</v>
      </c>
      <c r="I1975" s="50" t="s">
        <v>2</v>
      </c>
      <c r="J1975" s="339" t="s">
        <v>2095</v>
      </c>
      <c r="K1975" s="51">
        <v>41361</v>
      </c>
      <c r="L1975" s="173">
        <v>41352</v>
      </c>
      <c r="M1975" s="50">
        <f t="shared" si="109"/>
        <v>9</v>
      </c>
      <c r="N1975" s="50" t="s">
        <v>2</v>
      </c>
      <c r="O1975" s="74">
        <f t="shared" si="110"/>
        <v>0.7</v>
      </c>
      <c r="P1975" s="50">
        <v>7.1</v>
      </c>
      <c r="Q1975" s="74">
        <v>7.3</v>
      </c>
      <c r="R1975" s="50">
        <f>10/2</f>
        <v>5</v>
      </c>
      <c r="S1975" s="74">
        <f>5/2</f>
        <v>2.5</v>
      </c>
      <c r="T1975" s="50">
        <v>0.01</v>
      </c>
      <c r="U1975" s="131">
        <v>0.2</v>
      </c>
      <c r="V1975" s="50">
        <v>0.08</v>
      </c>
      <c r="W1975" s="74">
        <f>0.005/2</f>
        <v>2.5000000000000001E-3</v>
      </c>
      <c r="X1975" s="50">
        <v>2.1999999999999999E-2</v>
      </c>
      <c r="Y1975" s="74">
        <f>0.002/2</f>
        <v>1E-3</v>
      </c>
      <c r="Z1975" s="271">
        <v>1</v>
      </c>
      <c r="AA1975" s="271">
        <v>1</v>
      </c>
      <c r="AB1975" s="114">
        <v>120</v>
      </c>
      <c r="AC1975" s="50">
        <v>615</v>
      </c>
      <c r="AD1975" s="271">
        <v>1</v>
      </c>
    </row>
    <row r="1976" spans="1:30" ht="15" customHeight="1">
      <c r="A1976" s="41" t="s">
        <v>183</v>
      </c>
      <c r="B1976" s="402" t="s">
        <v>2088</v>
      </c>
      <c r="C1976" s="113" t="s">
        <v>2094</v>
      </c>
      <c r="D1976" s="393" t="s">
        <v>735</v>
      </c>
      <c r="E1976" s="394" t="s">
        <v>467</v>
      </c>
      <c r="G1976" s="405" t="s">
        <v>3600</v>
      </c>
      <c r="H1976" s="74">
        <v>4213</v>
      </c>
      <c r="I1976" s="50" t="s">
        <v>2</v>
      </c>
      <c r="J1976" s="339" t="s">
        <v>2095</v>
      </c>
      <c r="K1976" s="51">
        <v>41499</v>
      </c>
      <c r="L1976" s="173">
        <v>41495</v>
      </c>
      <c r="M1976" s="50">
        <f t="shared" si="109"/>
        <v>4</v>
      </c>
      <c r="N1976" s="50" t="s">
        <v>2</v>
      </c>
      <c r="O1976" s="74">
        <f t="shared" si="110"/>
        <v>0.7</v>
      </c>
      <c r="P1976" s="50">
        <v>7.1</v>
      </c>
      <c r="Q1976" s="74">
        <v>6.9</v>
      </c>
      <c r="R1976" s="50">
        <v>50</v>
      </c>
      <c r="T1976" s="50">
        <v>0.12</v>
      </c>
      <c r="U1976" s="131">
        <v>1.48</v>
      </c>
      <c r="W1976" s="74">
        <v>1.7999999999999999E-2</v>
      </c>
      <c r="X1976" s="50">
        <v>0.19600000000000001</v>
      </c>
      <c r="Y1976" s="74">
        <v>0.01</v>
      </c>
    </row>
    <row r="1977" spans="1:30" ht="15" customHeight="1">
      <c r="A1977" s="41" t="s">
        <v>183</v>
      </c>
      <c r="B1977" s="402" t="s">
        <v>2088</v>
      </c>
      <c r="C1977" s="113" t="s">
        <v>2089</v>
      </c>
      <c r="D1977" s="393" t="s">
        <v>350</v>
      </c>
      <c r="E1977" s="394" t="s">
        <v>467</v>
      </c>
      <c r="G1977" s="405" t="s">
        <v>3597</v>
      </c>
      <c r="H1977" s="74">
        <v>4213</v>
      </c>
      <c r="I1977" s="50" t="s">
        <v>2</v>
      </c>
      <c r="J1977" s="339" t="s">
        <v>2047</v>
      </c>
      <c r="K1977" s="51">
        <v>41345</v>
      </c>
      <c r="L1977" s="173">
        <v>41340</v>
      </c>
      <c r="M1977" s="50">
        <f t="shared" si="109"/>
        <v>5</v>
      </c>
      <c r="N1977" s="50" t="s">
        <v>2</v>
      </c>
      <c r="O1977" s="74">
        <f t="shared" si="110"/>
        <v>0.7</v>
      </c>
      <c r="P1977" s="50">
        <v>6.57</v>
      </c>
      <c r="Q1977" s="74">
        <v>6.57</v>
      </c>
      <c r="R1977" s="50">
        <v>25</v>
      </c>
      <c r="S1977" s="74">
        <v>5.5</v>
      </c>
      <c r="T1977" s="50">
        <v>0.04</v>
      </c>
      <c r="U1977" s="131">
        <v>0.41</v>
      </c>
      <c r="V1977" s="50">
        <v>0.17</v>
      </c>
      <c r="W1977" s="74">
        <f>0.005/2</f>
        <v>2.5000000000000001E-3</v>
      </c>
      <c r="X1977" s="50">
        <v>0.375</v>
      </c>
      <c r="Y1977" s="74">
        <f>0.002/2</f>
        <v>1E-3</v>
      </c>
      <c r="Z1977" s="271">
        <v>0.73799999999999999</v>
      </c>
      <c r="AA1977" s="271">
        <v>0.53600000000000003</v>
      </c>
      <c r="AB1977" s="114">
        <v>4</v>
      </c>
      <c r="AC1977" s="50">
        <v>37</v>
      </c>
      <c r="AD1977" s="271">
        <v>0</v>
      </c>
    </row>
    <row r="1978" spans="1:30" ht="15" customHeight="1">
      <c r="A1978" s="41" t="s">
        <v>183</v>
      </c>
      <c r="B1978" s="402" t="s">
        <v>2088</v>
      </c>
      <c r="C1978" s="113" t="s">
        <v>2092</v>
      </c>
      <c r="D1978" s="393" t="s">
        <v>303</v>
      </c>
      <c r="E1978" s="394" t="s">
        <v>2093</v>
      </c>
      <c r="G1978" s="405" t="s">
        <v>3599</v>
      </c>
      <c r="H1978" s="113">
        <v>4213</v>
      </c>
      <c r="I1978" s="49" t="s">
        <v>1</v>
      </c>
      <c r="J1978" s="48" t="s">
        <v>1119</v>
      </c>
      <c r="K1978" s="51">
        <v>41345</v>
      </c>
      <c r="L1978" s="173">
        <v>41341</v>
      </c>
      <c r="M1978" s="50">
        <f t="shared" si="109"/>
        <v>4</v>
      </c>
      <c r="N1978" s="50" t="s">
        <v>2</v>
      </c>
      <c r="O1978" s="74">
        <v>1.7</v>
      </c>
      <c r="P1978" s="50">
        <v>7.7</v>
      </c>
      <c r="Q1978" s="74">
        <v>7.1</v>
      </c>
      <c r="R1978" s="50">
        <v>36</v>
      </c>
      <c r="S1978" s="74">
        <v>90</v>
      </c>
      <c r="T1978" s="50">
        <v>0.13</v>
      </c>
      <c r="U1978" s="131">
        <v>0.42</v>
      </c>
      <c r="V1978" s="50">
        <v>3.2</v>
      </c>
      <c r="W1978" s="74">
        <v>1.6E-2</v>
      </c>
      <c r="X1978" s="50">
        <v>7.0999999999999994E-2</v>
      </c>
      <c r="Y1978" s="74">
        <v>4.0000000000000001E-3</v>
      </c>
      <c r="Z1978" s="271">
        <v>1</v>
      </c>
      <c r="AA1978" s="271">
        <v>1</v>
      </c>
      <c r="AB1978" s="114">
        <v>2</v>
      </c>
      <c r="AC1978" s="50">
        <v>241</v>
      </c>
      <c r="AD1978" s="271">
        <v>1</v>
      </c>
    </row>
    <row r="1979" spans="1:30" ht="15" customHeight="1">
      <c r="A1979" s="41" t="s">
        <v>183</v>
      </c>
      <c r="B1979" s="402" t="s">
        <v>2088</v>
      </c>
      <c r="C1979" s="113" t="s">
        <v>2092</v>
      </c>
      <c r="D1979" s="393" t="s">
        <v>303</v>
      </c>
      <c r="E1979" s="394" t="s">
        <v>2093</v>
      </c>
      <c r="G1979" s="405" t="s">
        <v>3599</v>
      </c>
      <c r="H1979" s="113">
        <v>4213</v>
      </c>
      <c r="I1979" s="49" t="s">
        <v>1</v>
      </c>
      <c r="J1979" s="48" t="s">
        <v>1119</v>
      </c>
      <c r="K1979" s="51">
        <v>41579</v>
      </c>
      <c r="L1979" s="173">
        <v>41554</v>
      </c>
      <c r="M1979" s="50">
        <f t="shared" si="109"/>
        <v>25</v>
      </c>
      <c r="N1979" s="50" t="s">
        <v>2</v>
      </c>
      <c r="O1979" s="74">
        <v>2.2999999999999998</v>
      </c>
      <c r="P1979" s="50">
        <v>7.7</v>
      </c>
      <c r="Q1979" s="74">
        <v>7.1</v>
      </c>
      <c r="R1979" s="50">
        <v>54</v>
      </c>
      <c r="S1979" s="74">
        <v>99</v>
      </c>
      <c r="T1979" s="50">
        <v>0.21</v>
      </c>
      <c r="U1979" s="131">
        <v>3.72</v>
      </c>
      <c r="V1979" s="50">
        <v>0.52</v>
      </c>
      <c r="W1979" s="74">
        <v>6.2E-2</v>
      </c>
      <c r="X1979" s="50">
        <v>0.63800000000000001</v>
      </c>
      <c r="Y1979" s="74">
        <v>1.4E-2</v>
      </c>
      <c r="Z1979" s="271">
        <v>1</v>
      </c>
      <c r="AA1979" s="271">
        <v>0.93899999999999995</v>
      </c>
      <c r="AB1979" s="114">
        <v>8</v>
      </c>
      <c r="AC1979" s="50">
        <v>62</v>
      </c>
      <c r="AD1979" s="271">
        <v>0.45</v>
      </c>
    </row>
    <row r="1980" spans="1:30" ht="15" customHeight="1">
      <c r="A1980" s="41" t="s">
        <v>183</v>
      </c>
      <c r="B1980" s="402" t="s">
        <v>2088</v>
      </c>
      <c r="C1980" s="113" t="s">
        <v>2094</v>
      </c>
      <c r="D1980" s="393" t="s">
        <v>735</v>
      </c>
      <c r="E1980" s="394" t="s">
        <v>467</v>
      </c>
      <c r="G1980" s="405" t="s">
        <v>3600</v>
      </c>
      <c r="H1980" s="74">
        <v>4213</v>
      </c>
      <c r="I1980" s="50" t="s">
        <v>2</v>
      </c>
      <c r="J1980" s="339" t="s">
        <v>2095</v>
      </c>
      <c r="K1980" s="51">
        <v>41554</v>
      </c>
      <c r="L1980" s="173">
        <v>41539</v>
      </c>
      <c r="M1980" s="50">
        <f t="shared" si="109"/>
        <v>15</v>
      </c>
      <c r="N1980" s="50" t="s">
        <v>2</v>
      </c>
      <c r="S1980" s="74">
        <v>49</v>
      </c>
      <c r="V1980" s="50">
        <v>1.08</v>
      </c>
      <c r="X1980" s="50">
        <v>0.39200000000000002</v>
      </c>
      <c r="Z1980" s="271">
        <v>1</v>
      </c>
      <c r="AA1980" s="271">
        <v>1</v>
      </c>
      <c r="AB1980" s="114">
        <v>18</v>
      </c>
      <c r="AC1980" s="50">
        <v>93</v>
      </c>
      <c r="AD1980" s="271">
        <v>1</v>
      </c>
    </row>
    <row r="1981" spans="1:30" ht="15" customHeight="1">
      <c r="A1981" s="41" t="s">
        <v>183</v>
      </c>
      <c r="B1981" s="402" t="s">
        <v>2088</v>
      </c>
      <c r="C1981" s="113" t="s">
        <v>2089</v>
      </c>
      <c r="D1981" s="393" t="s">
        <v>350</v>
      </c>
      <c r="E1981" s="394" t="s">
        <v>467</v>
      </c>
      <c r="G1981" s="405" t="s">
        <v>3597</v>
      </c>
      <c r="H1981" s="74">
        <v>4213</v>
      </c>
      <c r="I1981" s="50" t="s">
        <v>2</v>
      </c>
      <c r="J1981" s="339" t="s">
        <v>2047</v>
      </c>
      <c r="K1981" s="51">
        <v>41554</v>
      </c>
      <c r="L1981" s="173">
        <v>41539</v>
      </c>
      <c r="M1981" s="50">
        <f t="shared" si="109"/>
        <v>15</v>
      </c>
      <c r="N1981" s="50" t="s">
        <v>2</v>
      </c>
      <c r="S1981" s="74">
        <v>57</v>
      </c>
      <c r="V1981" s="50">
        <v>1.08</v>
      </c>
      <c r="X1981" s="50">
        <v>0.20499999999999999</v>
      </c>
    </row>
    <row r="1982" spans="1:30" ht="15" customHeight="1">
      <c r="A1982" s="41" t="s">
        <v>183</v>
      </c>
      <c r="B1982" s="402" t="s">
        <v>2088</v>
      </c>
      <c r="C1982" s="113" t="s">
        <v>4031</v>
      </c>
      <c r="D1982" s="393" t="s">
        <v>372</v>
      </c>
      <c r="E1982" s="394" t="s">
        <v>467</v>
      </c>
      <c r="G1982" s="405" t="s">
        <v>4032</v>
      </c>
      <c r="H1982" s="74">
        <v>4213</v>
      </c>
      <c r="I1982" s="50" t="s">
        <v>2</v>
      </c>
      <c r="J1982" s="339" t="s">
        <v>4033</v>
      </c>
      <c r="K1982" s="51">
        <v>41345</v>
      </c>
      <c r="L1982" s="173">
        <v>41341</v>
      </c>
      <c r="M1982" s="50">
        <f t="shared" si="109"/>
        <v>4</v>
      </c>
      <c r="N1982" s="50" t="s">
        <v>2</v>
      </c>
      <c r="O1982" s="74">
        <v>1.9</v>
      </c>
      <c r="P1982" s="50">
        <v>7.3</v>
      </c>
      <c r="Q1982" s="74">
        <v>8.1</v>
      </c>
      <c r="R1982" s="50">
        <v>43</v>
      </c>
      <c r="S1982" s="74">
        <v>92</v>
      </c>
      <c r="T1982" s="50">
        <v>0.14000000000000001</v>
      </c>
      <c r="U1982" s="131">
        <v>0.63</v>
      </c>
      <c r="V1982" s="50">
        <v>3.22</v>
      </c>
      <c r="W1982" s="74">
        <v>1.2E-2</v>
      </c>
      <c r="X1982" s="50">
        <v>3.5999999999999997E-2</v>
      </c>
      <c r="Y1982" s="74">
        <v>4.0000000000000001E-3</v>
      </c>
      <c r="Z1982" s="271">
        <v>0.70699999999999996</v>
      </c>
      <c r="AA1982" s="271">
        <v>0.70699999999999996</v>
      </c>
      <c r="AB1982" s="114">
        <v>18</v>
      </c>
      <c r="AC1982" s="50">
        <v>401</v>
      </c>
      <c r="AD1982" s="271">
        <v>0</v>
      </c>
    </row>
    <row r="1983" spans="1:30" ht="15" customHeight="1">
      <c r="A1983" s="41" t="s">
        <v>183</v>
      </c>
      <c r="B1983" s="402" t="s">
        <v>2088</v>
      </c>
      <c r="C1983" s="113" t="s">
        <v>4031</v>
      </c>
      <c r="D1983" s="393" t="s">
        <v>372</v>
      </c>
      <c r="E1983" s="394" t="s">
        <v>467</v>
      </c>
      <c r="G1983" s="405" t="s">
        <v>4032</v>
      </c>
      <c r="H1983" s="74">
        <v>4213</v>
      </c>
      <c r="I1983" s="50" t="s">
        <v>2</v>
      </c>
      <c r="J1983" s="339" t="s">
        <v>4033</v>
      </c>
      <c r="K1983" s="51">
        <v>41499</v>
      </c>
      <c r="L1983" s="173">
        <v>41495</v>
      </c>
      <c r="M1983" s="50">
        <f t="shared" si="109"/>
        <v>4</v>
      </c>
      <c r="N1983" s="50" t="s">
        <v>2</v>
      </c>
      <c r="O1983" s="74">
        <f>1.4/2</f>
        <v>0.7</v>
      </c>
      <c r="P1983" s="50">
        <v>7.1</v>
      </c>
      <c r="Q1983" s="74">
        <v>7.9</v>
      </c>
      <c r="R1983" s="50">
        <v>52</v>
      </c>
      <c r="S1983" s="74">
        <v>12</v>
      </c>
      <c r="T1983" s="50">
        <v>7.0000000000000007E-2</v>
      </c>
      <c r="U1983" s="131">
        <v>1.27</v>
      </c>
      <c r="V1983" s="50">
        <v>0.57999999999999996</v>
      </c>
      <c r="W1983" s="74">
        <v>0.01</v>
      </c>
      <c r="X1983" s="50">
        <v>3.7999999999999999E-2</v>
      </c>
      <c r="Y1983" s="74">
        <f>0.002/2</f>
        <v>1E-3</v>
      </c>
      <c r="Z1983" s="271">
        <v>1</v>
      </c>
      <c r="AA1983" s="271">
        <v>1</v>
      </c>
      <c r="AB1983" s="114">
        <v>2</v>
      </c>
      <c r="AC1983" s="50">
        <v>30</v>
      </c>
      <c r="AD1983" s="271">
        <v>0.95</v>
      </c>
    </row>
    <row r="1984" spans="1:30" ht="15" customHeight="1">
      <c r="A1984" s="41" t="s">
        <v>183</v>
      </c>
      <c r="B1984" s="402" t="s">
        <v>2088</v>
      </c>
      <c r="C1984" s="113" t="s">
        <v>4031</v>
      </c>
      <c r="D1984" s="393" t="s">
        <v>372</v>
      </c>
      <c r="E1984" s="394" t="s">
        <v>467</v>
      </c>
      <c r="G1984" s="405" t="s">
        <v>4032</v>
      </c>
      <c r="H1984" s="74">
        <v>4213</v>
      </c>
      <c r="I1984" s="50" t="s">
        <v>2</v>
      </c>
      <c r="J1984" s="339" t="s">
        <v>4033</v>
      </c>
      <c r="K1984" s="51">
        <v>41579</v>
      </c>
      <c r="L1984" s="173">
        <v>41554</v>
      </c>
      <c r="M1984" s="50">
        <f t="shared" si="109"/>
        <v>25</v>
      </c>
      <c r="N1984" s="50" t="s">
        <v>2</v>
      </c>
      <c r="O1984" s="74">
        <v>6.6</v>
      </c>
      <c r="P1984" s="50">
        <v>6.9</v>
      </c>
      <c r="Q1984" s="74">
        <v>7.6</v>
      </c>
      <c r="R1984" s="50">
        <v>13</v>
      </c>
      <c r="S1984" s="74">
        <v>220</v>
      </c>
      <c r="T1984" s="50">
        <v>0.42</v>
      </c>
      <c r="U1984" s="131">
        <v>1.62</v>
      </c>
      <c r="V1984" s="50">
        <v>0.4</v>
      </c>
      <c r="W1984" s="74">
        <v>0.03</v>
      </c>
      <c r="X1984" s="50">
        <v>0.16300000000000001</v>
      </c>
      <c r="Y1984" s="74">
        <v>1.4999999999999999E-2</v>
      </c>
      <c r="Z1984" s="271">
        <v>1</v>
      </c>
      <c r="AA1984" s="271">
        <v>1</v>
      </c>
      <c r="AB1984" s="114">
        <v>2</v>
      </c>
      <c r="AC1984" s="50">
        <v>23</v>
      </c>
      <c r="AD1984" s="271">
        <v>1</v>
      </c>
    </row>
    <row r="1985" spans="1:35" ht="15" customHeight="1">
      <c r="A1985" s="41" t="s">
        <v>183</v>
      </c>
      <c r="B1985" s="402" t="s">
        <v>1220</v>
      </c>
      <c r="C1985" s="113" t="s">
        <v>1232</v>
      </c>
      <c r="D1985" s="393" t="s">
        <v>434</v>
      </c>
      <c r="E1985" s="394" t="s">
        <v>1233</v>
      </c>
      <c r="G1985" s="405" t="s">
        <v>1234</v>
      </c>
      <c r="H1985" s="74">
        <v>4215</v>
      </c>
      <c r="I1985" s="50" t="s">
        <v>2</v>
      </c>
      <c r="J1985" s="76" t="s">
        <v>1223</v>
      </c>
      <c r="K1985" s="51">
        <v>41554</v>
      </c>
      <c r="L1985" s="173">
        <v>41539</v>
      </c>
      <c r="M1985" s="50">
        <f t="shared" si="109"/>
        <v>15</v>
      </c>
      <c r="N1985" s="50" t="s">
        <v>2</v>
      </c>
      <c r="O1985" s="74">
        <v>12.4</v>
      </c>
      <c r="P1985" s="50">
        <v>6.72</v>
      </c>
      <c r="Q1985" s="74">
        <v>6.77</v>
      </c>
      <c r="R1985" s="50">
        <v>58.5</v>
      </c>
      <c r="S1985" s="74">
        <v>38.4</v>
      </c>
      <c r="T1985" s="50">
        <v>9.9000000000000005E-2</v>
      </c>
      <c r="U1985" s="131">
        <v>1</v>
      </c>
      <c r="V1985" s="50">
        <v>0.44</v>
      </c>
      <c r="W1985" s="74">
        <v>2.4E-2</v>
      </c>
      <c r="X1985" s="50">
        <v>0.19</v>
      </c>
      <c r="Y1985" s="74">
        <v>5.7000000000000002E-3</v>
      </c>
    </row>
    <row r="1986" spans="1:35" ht="15" customHeight="1">
      <c r="A1986" s="41" t="s">
        <v>183</v>
      </c>
      <c r="B1986" s="402" t="s">
        <v>1220</v>
      </c>
      <c r="C1986" s="113" t="s">
        <v>1232</v>
      </c>
      <c r="D1986" s="393" t="s">
        <v>434</v>
      </c>
      <c r="E1986" s="394" t="s">
        <v>1233</v>
      </c>
      <c r="G1986" s="405" t="s">
        <v>1234</v>
      </c>
      <c r="H1986" s="74">
        <v>4215</v>
      </c>
      <c r="I1986" s="50" t="s">
        <v>2</v>
      </c>
      <c r="J1986" s="76" t="s">
        <v>1224</v>
      </c>
      <c r="K1986" s="51">
        <v>41554</v>
      </c>
      <c r="L1986" s="173">
        <v>41539</v>
      </c>
      <c r="M1986" s="50">
        <f t="shared" si="109"/>
        <v>15</v>
      </c>
      <c r="N1986" s="50" t="s">
        <v>2</v>
      </c>
      <c r="O1986" s="74">
        <v>7.8</v>
      </c>
      <c r="P1986" s="50">
        <v>6.72</v>
      </c>
      <c r="Q1986" s="74">
        <v>6.87</v>
      </c>
      <c r="R1986" s="50">
        <v>18.399999999999999</v>
      </c>
      <c r="S1986" s="74">
        <v>31.2</v>
      </c>
      <c r="T1986" s="50">
        <v>2.3E-2</v>
      </c>
      <c r="U1986" s="131">
        <v>0.36</v>
      </c>
      <c r="V1986" s="50">
        <v>0.28999999999999998</v>
      </c>
      <c r="W1986" s="74">
        <v>6.8000000000000005E-2</v>
      </c>
      <c r="X1986" s="50">
        <v>0.13</v>
      </c>
      <c r="Y1986" s="74">
        <f>0.003/2</f>
        <v>1.5E-3</v>
      </c>
    </row>
    <row r="1987" spans="1:35" ht="15" customHeight="1">
      <c r="A1987" s="41" t="s">
        <v>183</v>
      </c>
      <c r="B1987" s="402" t="s">
        <v>1220</v>
      </c>
      <c r="C1987" s="113" t="s">
        <v>1229</v>
      </c>
      <c r="D1987" s="393" t="s">
        <v>640</v>
      </c>
      <c r="E1987" s="394" t="s">
        <v>1230</v>
      </c>
      <c r="G1987" s="405" t="s">
        <v>1231</v>
      </c>
      <c r="H1987" s="74">
        <v>4215</v>
      </c>
      <c r="I1987" s="50" t="s">
        <v>2</v>
      </c>
      <c r="J1987" s="339" t="s">
        <v>1223</v>
      </c>
      <c r="K1987" s="51">
        <v>41554</v>
      </c>
      <c r="L1987" s="173">
        <v>41539</v>
      </c>
      <c r="M1987" s="50">
        <f t="shared" si="109"/>
        <v>15</v>
      </c>
      <c r="N1987" s="50" t="s">
        <v>2</v>
      </c>
      <c r="O1987" s="74">
        <f>1.4/2</f>
        <v>0.7</v>
      </c>
      <c r="P1987" s="50">
        <v>7.26</v>
      </c>
      <c r="Q1987" s="74">
        <v>6.91</v>
      </c>
      <c r="R1987" s="50">
        <v>18.399999999999999</v>
      </c>
      <c r="S1987" s="74">
        <v>16.399999999999999</v>
      </c>
      <c r="T1987" s="50">
        <v>2.1000000000000001E-2</v>
      </c>
      <c r="U1987" s="131">
        <v>0.39</v>
      </c>
      <c r="V1987" s="50">
        <v>0.27</v>
      </c>
      <c r="W1987" s="74">
        <v>8.9999999999999993E-3</v>
      </c>
      <c r="X1987" s="50">
        <v>1.3</v>
      </c>
      <c r="Y1987" s="74">
        <f>0.003/2</f>
        <v>1.5E-3</v>
      </c>
    </row>
    <row r="1988" spans="1:35" ht="15" customHeight="1">
      <c r="A1988" s="41" t="s">
        <v>183</v>
      </c>
      <c r="B1988" s="402" t="s">
        <v>1220</v>
      </c>
      <c r="C1988" s="113" t="s">
        <v>1239</v>
      </c>
      <c r="D1988" s="393" t="s">
        <v>806</v>
      </c>
      <c r="E1988" s="394" t="s">
        <v>535</v>
      </c>
      <c r="F1988" s="402" t="s">
        <v>1240</v>
      </c>
      <c r="G1988" s="405" t="s">
        <v>1241</v>
      </c>
      <c r="H1988" s="74">
        <v>4215</v>
      </c>
      <c r="I1988" s="50" t="s">
        <v>2</v>
      </c>
      <c r="J1988" s="339" t="s">
        <v>1223</v>
      </c>
      <c r="K1988" s="51">
        <v>41554</v>
      </c>
      <c r="L1988" s="173">
        <v>41539</v>
      </c>
      <c r="M1988" s="50">
        <f t="shared" si="109"/>
        <v>15</v>
      </c>
      <c r="N1988" s="50" t="s">
        <v>2</v>
      </c>
      <c r="O1988" s="74">
        <v>7.7</v>
      </c>
      <c r="P1988" s="50">
        <v>6.87</v>
      </c>
      <c r="Q1988" s="74">
        <v>7.33</v>
      </c>
      <c r="R1988" s="50">
        <v>28.5</v>
      </c>
      <c r="S1988" s="74">
        <v>75.599999999999994</v>
      </c>
      <c r="T1988" s="50">
        <v>0.31</v>
      </c>
      <c r="U1988" s="131">
        <v>1.8</v>
      </c>
      <c r="V1988" s="50">
        <v>0.15</v>
      </c>
      <c r="W1988" s="74">
        <v>3.6999999999999998E-2</v>
      </c>
      <c r="X1988" s="50">
        <v>0.24</v>
      </c>
      <c r="Y1988" s="74">
        <v>2.1000000000000001E-2</v>
      </c>
      <c r="Z1988" s="271">
        <v>1</v>
      </c>
      <c r="AA1988" s="271">
        <v>1</v>
      </c>
      <c r="AC1988" s="50">
        <v>36</v>
      </c>
      <c r="AD1988" s="271">
        <v>1</v>
      </c>
    </row>
    <row r="1989" spans="1:35" ht="15" customHeight="1">
      <c r="A1989" s="41" t="s">
        <v>183</v>
      </c>
      <c r="B1989" s="402" t="s">
        <v>1220</v>
      </c>
      <c r="C1989" s="113" t="s">
        <v>1225</v>
      </c>
      <c r="D1989" s="393" t="s">
        <v>1537</v>
      </c>
      <c r="E1989" s="394" t="s">
        <v>1226</v>
      </c>
      <c r="G1989" s="405" t="s">
        <v>1227</v>
      </c>
      <c r="H1989" s="49">
        <v>4215</v>
      </c>
      <c r="I1989" s="50" t="s">
        <v>2</v>
      </c>
      <c r="J1989" s="76" t="s">
        <v>1223</v>
      </c>
      <c r="K1989" s="51">
        <v>41604</v>
      </c>
      <c r="L1989" s="173">
        <v>41600</v>
      </c>
      <c r="M1989" s="50">
        <f t="shared" si="109"/>
        <v>4</v>
      </c>
      <c r="N1989" s="50" t="s">
        <v>2</v>
      </c>
      <c r="O1989" s="74">
        <v>1.7</v>
      </c>
      <c r="P1989" s="50">
        <v>6.33</v>
      </c>
      <c r="Q1989" s="74">
        <v>5.81</v>
      </c>
      <c r="R1989" s="50">
        <v>7.6</v>
      </c>
      <c r="S1989" s="74">
        <v>30.8</v>
      </c>
      <c r="T1989" s="50">
        <v>0.06</v>
      </c>
      <c r="U1989" s="131">
        <v>0.35</v>
      </c>
      <c r="V1989" s="50">
        <v>0.26</v>
      </c>
      <c r="W1989" s="74">
        <v>6.4000000000000003E-3</v>
      </c>
      <c r="X1989" s="50">
        <v>3.2000000000000001E-2</v>
      </c>
      <c r="Y1989" s="74">
        <f>0.003/2</f>
        <v>1.5E-3</v>
      </c>
    </row>
    <row r="1990" spans="1:35" ht="15" customHeight="1">
      <c r="A1990" s="41" t="s">
        <v>183</v>
      </c>
      <c r="B1990" s="402" t="s">
        <v>1220</v>
      </c>
      <c r="C1990" s="113" t="s">
        <v>1225</v>
      </c>
      <c r="D1990" s="393" t="s">
        <v>1537</v>
      </c>
      <c r="E1990" s="394" t="s">
        <v>1226</v>
      </c>
      <c r="G1990" s="405" t="s">
        <v>1227</v>
      </c>
      <c r="H1990" s="49">
        <v>4215</v>
      </c>
      <c r="I1990" s="50" t="s">
        <v>2</v>
      </c>
      <c r="J1990" s="76" t="s">
        <v>1224</v>
      </c>
      <c r="K1990" s="51">
        <v>41604</v>
      </c>
      <c r="L1990" s="173">
        <v>41600</v>
      </c>
      <c r="M1990" s="50">
        <f t="shared" si="109"/>
        <v>4</v>
      </c>
      <c r="N1990" s="50" t="s">
        <v>2</v>
      </c>
      <c r="O1990" s="74">
        <v>2.2999999999999998</v>
      </c>
      <c r="P1990" s="50">
        <v>6.33</v>
      </c>
      <c r="Q1990" s="74">
        <v>5.72</v>
      </c>
      <c r="R1990" s="50">
        <v>8.6</v>
      </c>
      <c r="S1990" s="74">
        <v>25.2</v>
      </c>
      <c r="T1990" s="50">
        <v>4.2999999999999997E-2</v>
      </c>
      <c r="U1990" s="131">
        <v>0.77</v>
      </c>
      <c r="V1990" s="50">
        <v>0.33</v>
      </c>
      <c r="W1990" s="74">
        <v>6.4000000000000003E-3</v>
      </c>
      <c r="X1990" s="50">
        <v>5.1999999999999998E-2</v>
      </c>
      <c r="Y1990" s="74">
        <v>4.1999999999999997E-3</v>
      </c>
    </row>
    <row r="1991" spans="1:35" ht="15" customHeight="1">
      <c r="A1991" s="41" t="s">
        <v>183</v>
      </c>
      <c r="B1991" s="402" t="s">
        <v>1220</v>
      </c>
      <c r="C1991" s="113" t="s">
        <v>1225</v>
      </c>
      <c r="D1991" s="393" t="s">
        <v>1537</v>
      </c>
      <c r="E1991" s="394" t="s">
        <v>1226</v>
      </c>
      <c r="G1991" s="405" t="s">
        <v>1227</v>
      </c>
      <c r="H1991" s="49">
        <v>4215</v>
      </c>
      <c r="I1991" s="50" t="s">
        <v>2</v>
      </c>
      <c r="J1991" s="76" t="s">
        <v>1228</v>
      </c>
      <c r="K1991" s="51">
        <v>41604</v>
      </c>
      <c r="L1991" s="173">
        <v>41600</v>
      </c>
      <c r="M1991" s="50">
        <f t="shared" si="109"/>
        <v>4</v>
      </c>
      <c r="N1991" s="50" t="s">
        <v>2</v>
      </c>
      <c r="O1991" s="74">
        <v>2.6</v>
      </c>
      <c r="P1991" s="50">
        <v>6.33</v>
      </c>
      <c r="Q1991" s="74">
        <v>5.64</v>
      </c>
      <c r="R1991" s="50">
        <v>17.3</v>
      </c>
      <c r="S1991" s="74">
        <v>30.4</v>
      </c>
      <c r="T1991" s="50">
        <v>0.28999999999999998</v>
      </c>
      <c r="U1991" s="131">
        <v>2.2000000000000002</v>
      </c>
      <c r="V1991" s="50">
        <v>0.44</v>
      </c>
      <c r="W1991" s="74">
        <v>0.02</v>
      </c>
      <c r="X1991" s="50">
        <v>0.27</v>
      </c>
      <c r="Y1991" s="74">
        <v>1.4999999999999999E-2</v>
      </c>
    </row>
    <row r="1992" spans="1:35" ht="15" customHeight="1">
      <c r="A1992" s="41" t="s">
        <v>183</v>
      </c>
      <c r="B1992" s="402" t="s">
        <v>4450</v>
      </c>
      <c r="D1992" s="393" t="s">
        <v>257</v>
      </c>
      <c r="E1992" s="394" t="s">
        <v>4451</v>
      </c>
      <c r="G1992" s="405" t="s">
        <v>4452</v>
      </c>
      <c r="H1992" s="74">
        <v>3471</v>
      </c>
      <c r="I1992" s="50" t="s">
        <v>1</v>
      </c>
      <c r="J1992" s="339" t="s">
        <v>1943</v>
      </c>
      <c r="K1992" s="51">
        <v>41113</v>
      </c>
      <c r="L1992" s="173">
        <v>41110</v>
      </c>
      <c r="M1992" s="50">
        <f t="shared" si="109"/>
        <v>3</v>
      </c>
      <c r="N1992" s="50" t="s">
        <v>2</v>
      </c>
      <c r="O1992" s="74">
        <v>1.4</v>
      </c>
      <c r="Q1992" s="74">
        <v>6.3</v>
      </c>
      <c r="R1992" s="50">
        <v>11</v>
      </c>
      <c r="S1992" s="74">
        <v>39</v>
      </c>
      <c r="T1992" s="50">
        <v>0.32</v>
      </c>
      <c r="U1992" s="131">
        <v>0.62</v>
      </c>
      <c r="V1992" s="50">
        <v>0.06</v>
      </c>
      <c r="W1992" s="74">
        <v>1.7999999999999999E-2</v>
      </c>
      <c r="X1992" s="50">
        <v>9.6000000000000002E-2</v>
      </c>
      <c r="Y1992" s="74">
        <f>0.002/2</f>
        <v>1E-3</v>
      </c>
      <c r="Z1992" s="271">
        <v>1</v>
      </c>
      <c r="AA1992" s="271">
        <v>1</v>
      </c>
      <c r="AB1992" s="114">
        <f>2/2</f>
        <v>1</v>
      </c>
      <c r="AC1992" s="50">
        <v>5</v>
      </c>
      <c r="AD1992" s="271">
        <v>0.6</v>
      </c>
    </row>
    <row r="1993" spans="1:35" ht="15" customHeight="1">
      <c r="A1993" s="41" t="s">
        <v>183</v>
      </c>
      <c r="B1993" s="402" t="s">
        <v>4771</v>
      </c>
      <c r="C1993" s="113" t="s">
        <v>4771</v>
      </c>
      <c r="D1993" s="393" t="s">
        <v>111</v>
      </c>
      <c r="E1993" s="394" t="s">
        <v>4772</v>
      </c>
      <c r="G1993" s="405" t="s">
        <v>4773</v>
      </c>
      <c r="H1993" s="74">
        <v>3446</v>
      </c>
      <c r="J1993" s="339" t="s">
        <v>4772</v>
      </c>
      <c r="K1993" s="51">
        <v>41508</v>
      </c>
      <c r="L1993" s="173">
        <v>41504</v>
      </c>
      <c r="M1993" s="50">
        <f t="shared" si="109"/>
        <v>4</v>
      </c>
      <c r="N1993" s="50" t="s">
        <v>2</v>
      </c>
      <c r="O1993" s="74">
        <f>1/2</f>
        <v>0.5</v>
      </c>
      <c r="Q1993" s="74">
        <v>6.04</v>
      </c>
      <c r="R1993" s="50">
        <v>58.5</v>
      </c>
      <c r="S1993" s="74">
        <v>130</v>
      </c>
      <c r="T1993" s="50">
        <v>0.13</v>
      </c>
      <c r="U1993" s="131">
        <v>1.8</v>
      </c>
      <c r="V1993" s="50">
        <v>0.53</v>
      </c>
      <c r="W1993" s="74">
        <v>1.9E-2</v>
      </c>
      <c r="X1993" s="50">
        <v>3.7999999999999999E-2</v>
      </c>
      <c r="Y1993" s="74">
        <v>3.0000000000000001E-3</v>
      </c>
    </row>
    <row r="1994" spans="1:35" ht="15" customHeight="1">
      <c r="A1994" s="41" t="s">
        <v>183</v>
      </c>
      <c r="B1994" s="402" t="s">
        <v>4771</v>
      </c>
      <c r="C1994" s="113" t="s">
        <v>4771</v>
      </c>
      <c r="D1994" s="393" t="s">
        <v>111</v>
      </c>
      <c r="E1994" s="394" t="s">
        <v>4772</v>
      </c>
      <c r="G1994" s="405" t="s">
        <v>4773</v>
      </c>
      <c r="H1994" s="74">
        <v>3446</v>
      </c>
      <c r="J1994" s="339" t="s">
        <v>4772</v>
      </c>
      <c r="K1994" s="51">
        <v>41085</v>
      </c>
      <c r="L1994" s="173">
        <v>41082</v>
      </c>
      <c r="M1994" s="50">
        <f t="shared" si="109"/>
        <v>3</v>
      </c>
      <c r="N1994" s="50" t="s">
        <v>2</v>
      </c>
      <c r="O1994" s="74">
        <v>1.6</v>
      </c>
      <c r="P1994" s="50">
        <v>6.81</v>
      </c>
      <c r="R1994" s="50">
        <v>22.2</v>
      </c>
      <c r="S1994" s="74">
        <v>43</v>
      </c>
      <c r="T1994" s="50">
        <v>0.05</v>
      </c>
      <c r="U1994" s="131">
        <v>0.97</v>
      </c>
      <c r="V1994" s="50">
        <f>0.1/2</f>
        <v>0.05</v>
      </c>
      <c r="W1994" s="74">
        <v>1.2E-2</v>
      </c>
      <c r="X1994" s="50">
        <v>4.7E-2</v>
      </c>
      <c r="Y1994" s="74">
        <v>3.0000000000000001E-3</v>
      </c>
      <c r="Z1994" s="271">
        <v>1</v>
      </c>
      <c r="AA1994" s="271">
        <v>1</v>
      </c>
      <c r="AB1994" s="114">
        <v>1.73</v>
      </c>
      <c r="AC1994" s="50">
        <v>197</v>
      </c>
      <c r="AD1994" s="271">
        <v>1</v>
      </c>
    </row>
    <row r="1995" spans="1:35" ht="15" customHeight="1">
      <c r="A1995" s="41" t="s">
        <v>183</v>
      </c>
      <c r="B1995" s="402" t="s">
        <v>5133</v>
      </c>
      <c r="D1995" s="393" t="s">
        <v>2921</v>
      </c>
      <c r="E1995" s="394" t="s">
        <v>815</v>
      </c>
      <c r="F1995" s="402" t="s">
        <v>5134</v>
      </c>
      <c r="G1995" s="405" t="s">
        <v>5135</v>
      </c>
      <c r="H1995" s="74">
        <v>3089</v>
      </c>
      <c r="I1995" s="50" t="s">
        <v>1</v>
      </c>
      <c r="J1995" s="74" t="s">
        <v>1392</v>
      </c>
      <c r="K1995" s="51">
        <v>41585</v>
      </c>
      <c r="L1995" s="173"/>
      <c r="N1995" s="50" t="s">
        <v>2</v>
      </c>
      <c r="O1995" s="74">
        <f>1.4/2</f>
        <v>0.7</v>
      </c>
      <c r="P1995" s="50">
        <v>6.5</v>
      </c>
      <c r="Q1995" s="74">
        <v>6.3</v>
      </c>
      <c r="R1995" s="50">
        <v>38</v>
      </c>
      <c r="S1995" s="74">
        <v>41</v>
      </c>
      <c r="T1995" s="50">
        <v>0.14000000000000001</v>
      </c>
      <c r="U1995" s="131">
        <v>0.92</v>
      </c>
      <c r="V1995" s="50">
        <f>0.05/2</f>
        <v>2.5000000000000001E-2</v>
      </c>
      <c r="W1995" s="74">
        <v>1.4999999999999999E-2</v>
      </c>
      <c r="X1995" s="50">
        <v>5.6000000000000001E-2</v>
      </c>
      <c r="Y1995" s="74">
        <v>4.0000000000000001E-3</v>
      </c>
      <c r="Z1995" s="271">
        <v>1</v>
      </c>
      <c r="AA1995" s="271">
        <v>1</v>
      </c>
      <c r="AB1995" s="114">
        <v>2</v>
      </c>
      <c r="AC1995" s="50">
        <v>18</v>
      </c>
      <c r="AD1995" s="271">
        <v>0.8</v>
      </c>
      <c r="AI1995" s="114">
        <v>40</v>
      </c>
    </row>
    <row r="1996" spans="1:35" ht="15" customHeight="1">
      <c r="A1996" s="41" t="s">
        <v>183</v>
      </c>
      <c r="B1996" s="386" t="s">
        <v>321</v>
      </c>
      <c r="C1996" s="149" t="s">
        <v>321</v>
      </c>
      <c r="D1996" s="392" t="s">
        <v>111</v>
      </c>
      <c r="E1996" s="258" t="s">
        <v>322</v>
      </c>
      <c r="F1996" s="386"/>
      <c r="G1996" s="405" t="s">
        <v>323</v>
      </c>
      <c r="H1996" s="74">
        <v>2834</v>
      </c>
      <c r="I1996" s="50" t="s">
        <v>2</v>
      </c>
      <c r="J1996" s="339" t="s">
        <v>5136</v>
      </c>
      <c r="K1996" s="51">
        <v>41340</v>
      </c>
      <c r="L1996" s="173"/>
      <c r="N1996" s="50" t="s">
        <v>2</v>
      </c>
      <c r="O1996" s="74">
        <f>1/2</f>
        <v>0.5</v>
      </c>
      <c r="P1996" s="50">
        <v>5.64</v>
      </c>
      <c r="Q1996" s="74">
        <v>6.83</v>
      </c>
      <c r="R1996" s="50">
        <v>7.5</v>
      </c>
      <c r="S1996" s="74">
        <v>4</v>
      </c>
      <c r="T1996" s="50">
        <v>0.09</v>
      </c>
      <c r="U1996" s="131">
        <v>0.8</v>
      </c>
      <c r="V1996" s="50">
        <v>0.76</v>
      </c>
      <c r="W1996" s="74">
        <f>0.005/2</f>
        <v>2.5000000000000001E-3</v>
      </c>
      <c r="X1996" s="50">
        <v>2.9000000000000001E-2</v>
      </c>
      <c r="Y1996" s="74">
        <v>3.0000000000000001E-3</v>
      </c>
    </row>
    <row r="1997" spans="1:35" ht="15" customHeight="1">
      <c r="A1997" s="41" t="s">
        <v>183</v>
      </c>
      <c r="B1997" s="386" t="s">
        <v>321</v>
      </c>
      <c r="C1997" s="149" t="s">
        <v>321</v>
      </c>
      <c r="D1997" s="392" t="s">
        <v>111</v>
      </c>
      <c r="E1997" s="258" t="s">
        <v>322</v>
      </c>
      <c r="F1997" s="386"/>
      <c r="G1997" s="405" t="s">
        <v>323</v>
      </c>
      <c r="H1997" s="74">
        <v>2834</v>
      </c>
      <c r="I1997" s="50" t="s">
        <v>2</v>
      </c>
      <c r="J1997" s="339" t="s">
        <v>5136</v>
      </c>
      <c r="K1997" s="51">
        <v>41402</v>
      </c>
      <c r="L1997" s="173"/>
      <c r="N1997" s="50" t="s">
        <v>2</v>
      </c>
      <c r="O1997" s="74">
        <f>1/2</f>
        <v>0.5</v>
      </c>
      <c r="P1997" s="50">
        <v>6.8</v>
      </c>
      <c r="Q1997" s="74">
        <v>8.42</v>
      </c>
      <c r="R1997" s="50">
        <v>7.5</v>
      </c>
      <c r="S1997" s="74">
        <v>6</v>
      </c>
      <c r="T1997" s="50">
        <v>0.08</v>
      </c>
      <c r="U1997" s="131">
        <v>0.84</v>
      </c>
      <c r="V1997" s="50">
        <v>0.49</v>
      </c>
      <c r="W1997" s="74">
        <v>8.9999999999999993E-3</v>
      </c>
      <c r="X1997" s="50">
        <v>1.4999999999999999E-2</v>
      </c>
      <c r="Y1997" s="74">
        <f>0.002/2</f>
        <v>1E-3</v>
      </c>
    </row>
    <row r="1998" spans="1:35" ht="15" customHeight="1">
      <c r="A1998" s="41" t="s">
        <v>183</v>
      </c>
      <c r="B1998" s="402" t="s">
        <v>3235</v>
      </c>
      <c r="C1998" s="113" t="s">
        <v>4471</v>
      </c>
      <c r="D1998" s="393" t="s">
        <v>1748</v>
      </c>
      <c r="E1998" s="394" t="s">
        <v>3265</v>
      </c>
      <c r="G1998" s="405" t="s">
        <v>3266</v>
      </c>
      <c r="H1998" s="113">
        <v>3273</v>
      </c>
      <c r="I1998" s="49" t="s">
        <v>2</v>
      </c>
      <c r="J1998" s="48" t="s">
        <v>3144</v>
      </c>
      <c r="K1998" s="51">
        <v>41201</v>
      </c>
      <c r="L1998" s="173">
        <v>41197</v>
      </c>
      <c r="M1998" s="50">
        <f t="shared" ref="M1998:M2025" si="111">K1998-L1998</f>
        <v>4</v>
      </c>
      <c r="N1998" s="50" t="s">
        <v>2</v>
      </c>
      <c r="O1998" s="74">
        <f>5/2</f>
        <v>2.5</v>
      </c>
      <c r="P1998" s="50">
        <v>7.3</v>
      </c>
      <c r="Q1998" s="74">
        <v>8.0500000000000007</v>
      </c>
      <c r="R1998" s="50">
        <v>14</v>
      </c>
      <c r="S1998" s="74">
        <f>5/2</f>
        <v>2.5</v>
      </c>
      <c r="T1998" s="50">
        <f>0.1/2</f>
        <v>0.05</v>
      </c>
      <c r="U1998" s="131">
        <f>1/2</f>
        <v>0.5</v>
      </c>
      <c r="V1998" s="50">
        <v>2.7E-2</v>
      </c>
      <c r="W1998" s="74">
        <f>0.04/2</f>
        <v>0.02</v>
      </c>
      <c r="X1998" s="50">
        <v>2.8000000000000001E-2</v>
      </c>
      <c r="Y1998" s="74">
        <f>0.013/2</f>
        <v>6.4999999999999997E-3</v>
      </c>
      <c r="Z1998" s="271">
        <v>1</v>
      </c>
      <c r="AA1998" s="271">
        <v>1</v>
      </c>
      <c r="AB1998" s="114">
        <v>13</v>
      </c>
      <c r="AC1998" s="50">
        <v>64</v>
      </c>
      <c r="AD1998" s="271">
        <v>1</v>
      </c>
    </row>
    <row r="1999" spans="1:35" ht="15" customHeight="1">
      <c r="A1999" s="41" t="s">
        <v>183</v>
      </c>
      <c r="B1999" s="402" t="s">
        <v>4427</v>
      </c>
      <c r="C1999" s="113" t="s">
        <v>4428</v>
      </c>
      <c r="D1999" s="393" t="s">
        <v>534</v>
      </c>
      <c r="E1999" s="394" t="s">
        <v>304</v>
      </c>
      <c r="G1999" s="405" t="s">
        <v>4429</v>
      </c>
      <c r="H1999" s="74"/>
      <c r="I1999" s="50" t="s">
        <v>1</v>
      </c>
      <c r="J1999" s="339" t="s">
        <v>4430</v>
      </c>
      <c r="K1999" s="51">
        <v>41170</v>
      </c>
      <c r="L1999" s="173">
        <v>41160</v>
      </c>
      <c r="M1999" s="50">
        <f t="shared" si="111"/>
        <v>10</v>
      </c>
      <c r="N1999" s="50" t="s">
        <v>2</v>
      </c>
      <c r="O1999" s="74">
        <v>1</v>
      </c>
      <c r="P1999" s="50">
        <v>4.87</v>
      </c>
      <c r="Q1999" s="74">
        <v>7</v>
      </c>
      <c r="R1999" s="50">
        <v>126</v>
      </c>
      <c r="S1999" s="74">
        <v>68</v>
      </c>
      <c r="T1999" s="50">
        <v>1.24</v>
      </c>
      <c r="U1999" s="131">
        <v>6.17</v>
      </c>
      <c r="V1999" s="50">
        <f>0.05/2</f>
        <v>2.5000000000000001E-2</v>
      </c>
      <c r="W1999" s="74">
        <v>0.02</v>
      </c>
      <c r="X1999" s="50">
        <v>0.37</v>
      </c>
      <c r="Y1999" s="74">
        <v>3.3000000000000002E-2</v>
      </c>
    </row>
    <row r="2000" spans="1:35" ht="15" customHeight="1">
      <c r="A2000" s="41" t="s">
        <v>183</v>
      </c>
      <c r="B2000" s="402" t="s">
        <v>4427</v>
      </c>
      <c r="C2000" s="113" t="s">
        <v>4431</v>
      </c>
      <c r="D2000" s="393" t="s">
        <v>534</v>
      </c>
      <c r="E2000" s="394" t="s">
        <v>304</v>
      </c>
      <c r="G2000" s="405" t="s">
        <v>4429</v>
      </c>
      <c r="H2000" s="74"/>
      <c r="I2000" s="50" t="s">
        <v>1</v>
      </c>
      <c r="J2000" s="339" t="s">
        <v>4432</v>
      </c>
      <c r="K2000" s="51">
        <v>41170</v>
      </c>
      <c r="L2000" s="173">
        <v>41160</v>
      </c>
      <c r="M2000" s="50">
        <f t="shared" si="111"/>
        <v>10</v>
      </c>
      <c r="N2000" s="50" t="s">
        <v>2</v>
      </c>
      <c r="O2000" s="74">
        <f>0.5/2</f>
        <v>0.25</v>
      </c>
      <c r="P2000" s="50">
        <v>4.87</v>
      </c>
      <c r="Q2000" s="74">
        <v>7.1</v>
      </c>
      <c r="R2000" s="50">
        <v>156</v>
      </c>
      <c r="S2000" s="74">
        <v>77</v>
      </c>
      <c r="T2000" s="50">
        <v>1.5</v>
      </c>
      <c r="U2000" s="131">
        <v>10.4</v>
      </c>
      <c r="V2000" s="50">
        <f>0.05/2</f>
        <v>2.5000000000000001E-2</v>
      </c>
      <c r="W2000" s="74">
        <v>0.03</v>
      </c>
      <c r="X2000" s="50">
        <v>0.46</v>
      </c>
      <c r="Y2000" s="74">
        <v>3.5999999999999997E-2</v>
      </c>
    </row>
    <row r="2001" spans="1:31" ht="15" customHeight="1">
      <c r="A2001" s="41" t="s">
        <v>183</v>
      </c>
      <c r="B2001" s="402" t="s">
        <v>4297</v>
      </c>
      <c r="C2001" s="113" t="s">
        <v>4312</v>
      </c>
      <c r="D2001" s="393" t="s">
        <v>640</v>
      </c>
      <c r="E2001" s="394" t="s">
        <v>4447</v>
      </c>
      <c r="G2001" s="405" t="s">
        <v>4313</v>
      </c>
      <c r="H2001" s="74"/>
      <c r="I2001" s="50" t="s">
        <v>2</v>
      </c>
      <c r="J2001" s="339" t="s">
        <v>510</v>
      </c>
      <c r="K2001" s="51">
        <v>41402</v>
      </c>
      <c r="L2001" s="173">
        <v>41384</v>
      </c>
      <c r="M2001" s="50">
        <f t="shared" si="111"/>
        <v>18</v>
      </c>
      <c r="N2001" s="50" t="s">
        <v>2</v>
      </c>
      <c r="O2001" s="74">
        <v>0.7</v>
      </c>
      <c r="P2001" s="50">
        <v>5.6</v>
      </c>
      <c r="Q2001" s="74">
        <v>7.43</v>
      </c>
      <c r="R2001" s="50">
        <v>131</v>
      </c>
      <c r="S2001" s="74">
        <v>18</v>
      </c>
      <c r="T2001" s="50">
        <v>0.39</v>
      </c>
      <c r="U2001" s="131">
        <v>4.96</v>
      </c>
      <c r="V2001" s="50">
        <v>1.02</v>
      </c>
      <c r="W2001" s="74">
        <v>1.4999999999999999E-2</v>
      </c>
      <c r="X2001" s="50">
        <v>4.3999999999999997E-2</v>
      </c>
      <c r="Y2001" s="74">
        <v>1E-3</v>
      </c>
      <c r="Z2001" s="271">
        <v>1</v>
      </c>
      <c r="AA2001" s="271">
        <v>1</v>
      </c>
      <c r="AB2001" s="114">
        <v>104</v>
      </c>
      <c r="AC2001" s="50">
        <v>344</v>
      </c>
      <c r="AD2001" s="271">
        <v>1</v>
      </c>
    </row>
    <row r="2002" spans="1:31" ht="15" customHeight="1">
      <c r="A2002" s="41" t="s">
        <v>183</v>
      </c>
      <c r="B2002" s="402" t="s">
        <v>4297</v>
      </c>
      <c r="C2002" s="113" t="s">
        <v>4312</v>
      </c>
      <c r="D2002" s="393" t="s">
        <v>640</v>
      </c>
      <c r="E2002" s="394" t="s">
        <v>4447</v>
      </c>
      <c r="G2002" s="405" t="s">
        <v>4313</v>
      </c>
      <c r="H2002" s="74"/>
      <c r="I2002" s="50" t="s">
        <v>2</v>
      </c>
      <c r="J2002" s="339" t="s">
        <v>460</v>
      </c>
      <c r="K2002" s="51">
        <v>41402</v>
      </c>
      <c r="L2002" s="173">
        <v>41384</v>
      </c>
      <c r="M2002" s="50">
        <f t="shared" si="111"/>
        <v>18</v>
      </c>
      <c r="N2002" s="50" t="s">
        <v>2</v>
      </c>
      <c r="O2002" s="74">
        <v>0.7</v>
      </c>
      <c r="P2002" s="50">
        <v>5.6</v>
      </c>
      <c r="Q2002" s="74">
        <v>7.7</v>
      </c>
      <c r="R2002" s="50">
        <v>53</v>
      </c>
      <c r="S2002" s="74">
        <v>22</v>
      </c>
      <c r="T2002" s="50">
        <v>0.14000000000000001</v>
      </c>
      <c r="U2002" s="131">
        <v>1.75</v>
      </c>
      <c r="V2002" s="50">
        <v>1.26</v>
      </c>
      <c r="W2002" s="74">
        <v>6.8000000000000005E-2</v>
      </c>
      <c r="X2002" s="50">
        <v>2.8000000000000001E-2</v>
      </c>
      <c r="Y2002" s="74">
        <v>0.03</v>
      </c>
      <c r="Z2002" s="271">
        <v>1</v>
      </c>
      <c r="AA2002" s="271">
        <v>1</v>
      </c>
      <c r="AB2002" s="114">
        <v>44</v>
      </c>
      <c r="AC2002" s="50">
        <v>186</v>
      </c>
      <c r="AD2002" s="271">
        <v>1</v>
      </c>
    </row>
    <row r="2003" spans="1:31" ht="15" customHeight="1">
      <c r="A2003" s="41" t="s">
        <v>183</v>
      </c>
      <c r="B2003" s="402" t="s">
        <v>1381</v>
      </c>
      <c r="C2003" s="113" t="s">
        <v>2000</v>
      </c>
      <c r="D2003" s="393" t="s">
        <v>200</v>
      </c>
      <c r="E2003" s="394" t="s">
        <v>214</v>
      </c>
      <c r="G2003" s="405" t="s">
        <v>2840</v>
      </c>
      <c r="H2003" s="74"/>
      <c r="I2003" s="50" t="s">
        <v>1</v>
      </c>
      <c r="J2003" s="339" t="s">
        <v>5137</v>
      </c>
      <c r="K2003" s="51">
        <v>41345</v>
      </c>
      <c r="L2003" s="173">
        <v>41341</v>
      </c>
      <c r="M2003" s="50">
        <f t="shared" si="111"/>
        <v>4</v>
      </c>
      <c r="N2003" s="50" t="s">
        <v>2</v>
      </c>
      <c r="O2003" s="74">
        <f t="shared" ref="O2003:O2008" si="112">1.4/2</f>
        <v>0.7</v>
      </c>
      <c r="P2003" s="50">
        <v>6.49</v>
      </c>
      <c r="Q2003" s="74">
        <v>7.75</v>
      </c>
      <c r="R2003" s="50">
        <v>41</v>
      </c>
      <c r="S2003" s="74">
        <v>11</v>
      </c>
      <c r="T2003" s="50">
        <v>0.2</v>
      </c>
      <c r="U2003" s="131">
        <v>0.98</v>
      </c>
      <c r="V2003" s="50">
        <v>0.06</v>
      </c>
      <c r="W2003" s="74">
        <v>5.7000000000000002E-2</v>
      </c>
      <c r="X2003" s="50">
        <v>1.9E-2</v>
      </c>
      <c r="Y2003" s="74">
        <v>3.0000000000000001E-3</v>
      </c>
      <c r="Z2003" s="271">
        <v>1</v>
      </c>
      <c r="AA2003" s="271">
        <v>1</v>
      </c>
      <c r="AB2003" s="114">
        <v>76</v>
      </c>
      <c r="AC2003" s="50">
        <v>975</v>
      </c>
      <c r="AD2003" s="271">
        <v>0.95</v>
      </c>
      <c r="AE2003" s="50">
        <f>10/2</f>
        <v>5</v>
      </c>
    </row>
    <row r="2004" spans="1:31" ht="15" customHeight="1">
      <c r="A2004" s="41" t="s">
        <v>183</v>
      </c>
      <c r="B2004" s="402" t="s">
        <v>1381</v>
      </c>
      <c r="C2004" s="113" t="s">
        <v>2000</v>
      </c>
      <c r="D2004" s="393" t="s">
        <v>200</v>
      </c>
      <c r="E2004" s="394" t="s">
        <v>214</v>
      </c>
      <c r="G2004" s="405" t="s">
        <v>2840</v>
      </c>
      <c r="H2004" s="74"/>
      <c r="I2004" s="50" t="s">
        <v>1</v>
      </c>
      <c r="J2004" s="339" t="s">
        <v>5138</v>
      </c>
      <c r="K2004" s="51">
        <v>41345</v>
      </c>
      <c r="L2004" s="173">
        <v>41341</v>
      </c>
      <c r="M2004" s="50">
        <f t="shared" si="111"/>
        <v>4</v>
      </c>
      <c r="N2004" s="50" t="s">
        <v>2</v>
      </c>
      <c r="O2004" s="74">
        <f t="shared" si="112"/>
        <v>0.7</v>
      </c>
      <c r="P2004" s="50">
        <v>6.49</v>
      </c>
      <c r="Q2004" s="74">
        <v>7.14</v>
      </c>
      <c r="R2004" s="50">
        <v>54</v>
      </c>
      <c r="S2004" s="74">
        <v>8.5</v>
      </c>
      <c r="T2004" s="50">
        <v>0.16</v>
      </c>
      <c r="U2004" s="131">
        <v>0.66</v>
      </c>
      <c r="V2004" s="50">
        <f>0.05/2</f>
        <v>2.5000000000000001E-2</v>
      </c>
      <c r="W2004" s="74">
        <v>7.0000000000000001E-3</v>
      </c>
      <c r="X2004" s="50">
        <v>1.2E-2</v>
      </c>
      <c r="Y2004" s="74">
        <f>0.002/2</f>
        <v>1E-3</v>
      </c>
      <c r="Z2004" s="271">
        <v>1</v>
      </c>
      <c r="AA2004" s="271">
        <v>1</v>
      </c>
      <c r="AB2004" s="114">
        <v>10</v>
      </c>
      <c r="AC2004" s="50">
        <v>436</v>
      </c>
      <c r="AD2004" s="271">
        <v>1</v>
      </c>
      <c r="AE2004" s="50">
        <f>10/2</f>
        <v>5</v>
      </c>
    </row>
    <row r="2005" spans="1:31" ht="15" customHeight="1">
      <c r="A2005" s="41" t="s">
        <v>183</v>
      </c>
      <c r="B2005" s="402" t="s">
        <v>1381</v>
      </c>
      <c r="C2005" s="113" t="s">
        <v>2000</v>
      </c>
      <c r="D2005" s="393" t="s">
        <v>200</v>
      </c>
      <c r="E2005" s="394" t="s">
        <v>214</v>
      </c>
      <c r="G2005" s="405" t="s">
        <v>2840</v>
      </c>
      <c r="H2005" s="74"/>
      <c r="I2005" s="50" t="s">
        <v>1</v>
      </c>
      <c r="J2005" s="339" t="s">
        <v>5139</v>
      </c>
      <c r="K2005" s="51">
        <v>41345</v>
      </c>
      <c r="L2005" s="173">
        <v>41341</v>
      </c>
      <c r="M2005" s="50">
        <f t="shared" si="111"/>
        <v>4</v>
      </c>
      <c r="N2005" s="50" t="s">
        <v>2</v>
      </c>
      <c r="O2005" s="74">
        <f t="shared" si="112"/>
        <v>0.7</v>
      </c>
      <c r="P2005" s="50">
        <v>6.49</v>
      </c>
      <c r="Q2005" s="74">
        <v>5.29</v>
      </c>
      <c r="R2005" s="50">
        <f>10/2</f>
        <v>5</v>
      </c>
      <c r="S2005" s="74">
        <f>5/2</f>
        <v>2.5</v>
      </c>
      <c r="T2005" s="50">
        <v>0.01</v>
      </c>
      <c r="U2005" s="131">
        <v>0.18</v>
      </c>
      <c r="V2005" s="50">
        <f>0.05/2</f>
        <v>2.5000000000000001E-2</v>
      </c>
      <c r="W2005" s="74">
        <f>0.005/2</f>
        <v>2.5000000000000001E-3</v>
      </c>
      <c r="X2005" s="50">
        <v>0.03</v>
      </c>
      <c r="Y2005" s="74">
        <v>5.0000000000000001E-3</v>
      </c>
      <c r="Z2005" s="271">
        <v>1</v>
      </c>
      <c r="AA2005" s="271">
        <v>0.84799999999999998</v>
      </c>
      <c r="AB2005" s="114">
        <f>2/2</f>
        <v>1</v>
      </c>
      <c r="AC2005" s="50">
        <v>69</v>
      </c>
      <c r="AD2005" s="271">
        <v>0.3</v>
      </c>
      <c r="AE2005" s="50">
        <f>10/2</f>
        <v>5</v>
      </c>
    </row>
    <row r="2006" spans="1:31" ht="15" customHeight="1">
      <c r="A2006" s="41" t="s">
        <v>183</v>
      </c>
      <c r="B2006" s="402" t="s">
        <v>1381</v>
      </c>
      <c r="C2006" s="113" t="s">
        <v>2000</v>
      </c>
      <c r="D2006" s="393" t="s">
        <v>200</v>
      </c>
      <c r="E2006" s="394" t="s">
        <v>214</v>
      </c>
      <c r="G2006" s="405" t="s">
        <v>2840</v>
      </c>
      <c r="H2006" s="74"/>
      <c r="I2006" s="50" t="s">
        <v>1</v>
      </c>
      <c r="J2006" s="339" t="s">
        <v>5140</v>
      </c>
      <c r="K2006" s="51">
        <v>41345</v>
      </c>
      <c r="L2006" s="173">
        <v>41341</v>
      </c>
      <c r="M2006" s="50">
        <f t="shared" si="111"/>
        <v>4</v>
      </c>
      <c r="N2006" s="50" t="s">
        <v>2</v>
      </c>
      <c r="O2006" s="74">
        <f t="shared" si="112"/>
        <v>0.7</v>
      </c>
      <c r="P2006" s="50">
        <v>6.49</v>
      </c>
      <c r="Q2006" s="74">
        <v>6.25</v>
      </c>
      <c r="R2006" s="50">
        <v>12</v>
      </c>
      <c r="S2006" s="74">
        <f>5/2</f>
        <v>2.5</v>
      </c>
      <c r="T2006" s="50">
        <v>0.03</v>
      </c>
      <c r="U2006" s="131">
        <v>0.36</v>
      </c>
      <c r="V2006" s="50">
        <f>0.05/2</f>
        <v>2.5000000000000001E-2</v>
      </c>
      <c r="W2006" s="74">
        <f>0.005/2</f>
        <v>2.5000000000000001E-3</v>
      </c>
      <c r="X2006" s="50">
        <v>1.0999999999999999E-2</v>
      </c>
      <c r="Y2006" s="74">
        <v>7.0000000000000001E-3</v>
      </c>
      <c r="Z2006" s="271">
        <v>1</v>
      </c>
      <c r="AA2006" s="271">
        <v>1</v>
      </c>
      <c r="AB2006" s="114">
        <v>8</v>
      </c>
      <c r="AC2006" s="50">
        <v>16</v>
      </c>
      <c r="AD2006" s="271">
        <v>1</v>
      </c>
      <c r="AE2006" s="50">
        <f>10/2</f>
        <v>5</v>
      </c>
    </row>
    <row r="2007" spans="1:31" ht="15" customHeight="1">
      <c r="A2007" s="41" t="s">
        <v>183</v>
      </c>
      <c r="B2007" s="402" t="s">
        <v>1381</v>
      </c>
      <c r="C2007" s="113" t="s">
        <v>2000</v>
      </c>
      <c r="D2007" s="393" t="s">
        <v>200</v>
      </c>
      <c r="E2007" s="394" t="s">
        <v>214</v>
      </c>
      <c r="G2007" s="405" t="s">
        <v>2840</v>
      </c>
      <c r="H2007" s="74"/>
      <c r="I2007" s="50" t="s">
        <v>1</v>
      </c>
      <c r="J2007" s="339" t="s">
        <v>5137</v>
      </c>
      <c r="K2007" s="51">
        <v>41487</v>
      </c>
      <c r="L2007" s="173">
        <v>41481</v>
      </c>
      <c r="M2007" s="50">
        <f t="shared" si="111"/>
        <v>6</v>
      </c>
      <c r="N2007" s="50" t="s">
        <v>2</v>
      </c>
      <c r="O2007" s="74">
        <f t="shared" si="112"/>
        <v>0.7</v>
      </c>
      <c r="P2007" s="50">
        <v>7</v>
      </c>
      <c r="Q2007" s="74">
        <v>7.02</v>
      </c>
      <c r="R2007" s="50">
        <v>45</v>
      </c>
      <c r="S2007" s="74">
        <v>9.5</v>
      </c>
      <c r="T2007" s="50">
        <v>0.44</v>
      </c>
      <c r="U2007" s="131">
        <v>1.64</v>
      </c>
      <c r="V2007" s="50">
        <v>0.82</v>
      </c>
      <c r="W2007" s="74">
        <v>7.0000000000000001E-3</v>
      </c>
      <c r="X2007" s="50">
        <v>5.8000000000000003E-2</v>
      </c>
      <c r="Y2007" s="74">
        <f>0.002/2</f>
        <v>1E-3</v>
      </c>
      <c r="AE2007" s="50">
        <v>90</v>
      </c>
    </row>
    <row r="2008" spans="1:31" ht="15" customHeight="1">
      <c r="A2008" s="41" t="s">
        <v>183</v>
      </c>
      <c r="B2008" s="402" t="s">
        <v>1381</v>
      </c>
      <c r="C2008" s="113" t="s">
        <v>2000</v>
      </c>
      <c r="D2008" s="393" t="s">
        <v>200</v>
      </c>
      <c r="E2008" s="394" t="s">
        <v>214</v>
      </c>
      <c r="G2008" s="405" t="s">
        <v>2840</v>
      </c>
      <c r="H2008" s="74"/>
      <c r="I2008" s="50" t="s">
        <v>1</v>
      </c>
      <c r="J2008" s="339" t="s">
        <v>5138</v>
      </c>
      <c r="K2008" s="51">
        <v>41487</v>
      </c>
      <c r="L2008" s="173">
        <v>41481</v>
      </c>
      <c r="M2008" s="50">
        <f t="shared" si="111"/>
        <v>6</v>
      </c>
      <c r="N2008" s="50" t="s">
        <v>2</v>
      </c>
      <c r="O2008" s="74">
        <f t="shared" si="112"/>
        <v>0.7</v>
      </c>
      <c r="P2008" s="50">
        <v>7</v>
      </c>
      <c r="Q2008" s="74">
        <v>5.0599999999999996</v>
      </c>
      <c r="R2008" s="50">
        <v>32</v>
      </c>
      <c r="S2008" s="74">
        <f>5/2</f>
        <v>2.5</v>
      </c>
      <c r="T2008" s="50">
        <v>0.04</v>
      </c>
      <c r="U2008" s="131">
        <v>1.52</v>
      </c>
      <c r="V2008" s="50">
        <v>0.56999999999999995</v>
      </c>
      <c r="W2008" s="74">
        <v>0.01</v>
      </c>
      <c r="X2008" s="50">
        <v>0.111</v>
      </c>
      <c r="Y2008" s="74">
        <v>7.5999999999999998E-2</v>
      </c>
      <c r="AE2008" s="50">
        <v>10</v>
      </c>
    </row>
    <row r="2009" spans="1:31" ht="15" customHeight="1">
      <c r="A2009" s="41" t="s">
        <v>183</v>
      </c>
      <c r="B2009" s="402" t="s">
        <v>1381</v>
      </c>
      <c r="C2009" s="113" t="s">
        <v>2000</v>
      </c>
      <c r="D2009" s="393" t="s">
        <v>200</v>
      </c>
      <c r="E2009" s="394" t="s">
        <v>214</v>
      </c>
      <c r="G2009" s="405" t="s">
        <v>2840</v>
      </c>
      <c r="H2009" s="74"/>
      <c r="I2009" s="50" t="s">
        <v>1</v>
      </c>
      <c r="J2009" s="339" t="s">
        <v>5139</v>
      </c>
      <c r="K2009" s="51">
        <v>41487</v>
      </c>
      <c r="L2009" s="173">
        <v>41481</v>
      </c>
      <c r="M2009" s="50">
        <f t="shared" si="111"/>
        <v>6</v>
      </c>
      <c r="N2009" s="50" t="s">
        <v>2</v>
      </c>
      <c r="O2009" s="74">
        <v>120</v>
      </c>
      <c r="P2009" s="50">
        <v>7</v>
      </c>
      <c r="Q2009" s="74">
        <v>6.21</v>
      </c>
      <c r="R2009" s="50">
        <v>145</v>
      </c>
      <c r="S2009" s="74">
        <v>140</v>
      </c>
      <c r="T2009" s="50">
        <v>1.64</v>
      </c>
      <c r="U2009" s="131">
        <v>6.14</v>
      </c>
      <c r="V2009" s="50">
        <v>1.96</v>
      </c>
      <c r="W2009" s="74">
        <v>0.128</v>
      </c>
      <c r="X2009" s="50">
        <v>0.29899999999999999</v>
      </c>
      <c r="Y2009" s="74">
        <v>0.442</v>
      </c>
      <c r="AE2009" s="50">
        <v>1440</v>
      </c>
    </row>
    <row r="2010" spans="1:31" ht="15" customHeight="1">
      <c r="A2010" s="41" t="s">
        <v>183</v>
      </c>
      <c r="B2010" s="402" t="s">
        <v>1381</v>
      </c>
      <c r="C2010" s="113" t="s">
        <v>2000</v>
      </c>
      <c r="D2010" s="393" t="s">
        <v>200</v>
      </c>
      <c r="E2010" s="394" t="s">
        <v>214</v>
      </c>
      <c r="G2010" s="405" t="s">
        <v>2840</v>
      </c>
      <c r="H2010" s="74"/>
      <c r="I2010" s="50" t="s">
        <v>1</v>
      </c>
      <c r="J2010" s="339" t="s">
        <v>5140</v>
      </c>
      <c r="K2010" s="51">
        <v>41487</v>
      </c>
      <c r="L2010" s="173">
        <v>41481</v>
      </c>
      <c r="M2010" s="50">
        <f t="shared" si="111"/>
        <v>6</v>
      </c>
      <c r="N2010" s="50" t="s">
        <v>2</v>
      </c>
      <c r="O2010" s="74">
        <f>1.4/2</f>
        <v>0.7</v>
      </c>
      <c r="P2010" s="50">
        <v>7</v>
      </c>
      <c r="Q2010" s="74">
        <v>7.73</v>
      </c>
      <c r="R2010" s="50">
        <v>10</v>
      </c>
      <c r="S2010" s="74">
        <f>5/2</f>
        <v>2.5</v>
      </c>
      <c r="T2010" s="50">
        <v>0.62</v>
      </c>
      <c r="U2010" s="131">
        <v>0.76</v>
      </c>
      <c r="V2010" s="50">
        <v>2.98</v>
      </c>
      <c r="W2010" s="74">
        <v>6.0000000000000001E-3</v>
      </c>
      <c r="X2010" s="50">
        <v>1.6E-2</v>
      </c>
      <c r="Y2010" s="74">
        <v>5.0000000000000001E-3</v>
      </c>
      <c r="AE2010" s="50">
        <v>320</v>
      </c>
    </row>
    <row r="2011" spans="1:31" ht="15" customHeight="1">
      <c r="A2011" s="41" t="s">
        <v>183</v>
      </c>
      <c r="B2011" s="402" t="s">
        <v>2142</v>
      </c>
      <c r="D2011" s="393" t="s">
        <v>117</v>
      </c>
      <c r="E2011" s="394" t="s">
        <v>2143</v>
      </c>
      <c r="G2011" s="405" t="s">
        <v>3615</v>
      </c>
      <c r="H2011" s="113">
        <v>3087</v>
      </c>
      <c r="I2011" s="49"/>
      <c r="J2011" s="48" t="s">
        <v>2102</v>
      </c>
      <c r="K2011" s="51">
        <v>41316</v>
      </c>
      <c r="L2011" s="173">
        <v>41313</v>
      </c>
      <c r="M2011" s="50">
        <f t="shared" si="111"/>
        <v>3</v>
      </c>
      <c r="N2011" s="50" t="s">
        <v>2</v>
      </c>
      <c r="O2011" s="74">
        <v>1.6</v>
      </c>
      <c r="P2011" s="50">
        <v>5.93</v>
      </c>
      <c r="Q2011" s="74">
        <v>6.74</v>
      </c>
      <c r="R2011" s="50">
        <v>33</v>
      </c>
      <c r="S2011" s="74">
        <v>25</v>
      </c>
      <c r="T2011" s="50">
        <v>0.08</v>
      </c>
      <c r="U2011" s="131">
        <v>0.4</v>
      </c>
      <c r="V2011" s="50">
        <f>0.2/2</f>
        <v>0.1</v>
      </c>
      <c r="W2011" s="74">
        <v>0.04</v>
      </c>
      <c r="X2011" s="50">
        <v>0.06</v>
      </c>
      <c r="Y2011" s="74">
        <f>0.02/2</f>
        <v>0.01</v>
      </c>
    </row>
    <row r="2012" spans="1:31" ht="15" customHeight="1">
      <c r="A2012" s="41" t="s">
        <v>183</v>
      </c>
      <c r="B2012" s="402" t="s">
        <v>2142</v>
      </c>
      <c r="D2012" s="393" t="s">
        <v>117</v>
      </c>
      <c r="E2012" s="394" t="s">
        <v>2143</v>
      </c>
      <c r="G2012" s="405" t="s">
        <v>3615</v>
      </c>
      <c r="H2012" s="113">
        <v>3087</v>
      </c>
      <c r="I2012" s="49" t="s">
        <v>2</v>
      </c>
      <c r="J2012" s="48" t="s">
        <v>2102</v>
      </c>
      <c r="K2012" s="51">
        <v>41402</v>
      </c>
      <c r="L2012" s="173">
        <v>41387</v>
      </c>
      <c r="M2012" s="50">
        <f t="shared" si="111"/>
        <v>15</v>
      </c>
      <c r="N2012" s="50" t="s">
        <v>2</v>
      </c>
      <c r="O2012" s="74">
        <v>4.0999999999999996</v>
      </c>
      <c r="P2012" s="50">
        <v>5.63</v>
      </c>
      <c r="Q2012" s="74">
        <v>5.12</v>
      </c>
      <c r="R2012" s="50">
        <v>497</v>
      </c>
      <c r="S2012" s="74">
        <v>33</v>
      </c>
      <c r="T2012" s="50">
        <v>0.76</v>
      </c>
      <c r="U2012" s="131">
        <v>22.78</v>
      </c>
      <c r="V2012" s="50">
        <v>2</v>
      </c>
      <c r="W2012" s="74">
        <v>0.05</v>
      </c>
      <c r="X2012" s="50">
        <v>0.22</v>
      </c>
      <c r="Y2012" s="74">
        <f>0.02/2</f>
        <v>0.01</v>
      </c>
      <c r="Z2012" s="271">
        <v>1</v>
      </c>
      <c r="AA2012" s="271">
        <v>1</v>
      </c>
      <c r="AB2012" s="114">
        <v>72.5</v>
      </c>
      <c r="AC2012" s="50">
        <v>332</v>
      </c>
      <c r="AD2012" s="271">
        <v>1</v>
      </c>
    </row>
    <row r="2013" spans="1:31" ht="15" customHeight="1">
      <c r="A2013" s="41" t="s">
        <v>183</v>
      </c>
      <c r="B2013" s="402" t="s">
        <v>2142</v>
      </c>
      <c r="D2013" s="393" t="s">
        <v>117</v>
      </c>
      <c r="E2013" s="394" t="s">
        <v>2143</v>
      </c>
      <c r="G2013" s="405" t="s">
        <v>3615</v>
      </c>
      <c r="H2013" s="113">
        <v>3087</v>
      </c>
      <c r="I2013" s="49"/>
      <c r="J2013" s="48" t="s">
        <v>2102</v>
      </c>
      <c r="K2013" s="51">
        <v>41499</v>
      </c>
      <c r="L2013" s="173">
        <v>41495</v>
      </c>
      <c r="M2013" s="50">
        <f t="shared" si="111"/>
        <v>4</v>
      </c>
      <c r="N2013" s="50" t="s">
        <v>2</v>
      </c>
      <c r="O2013" s="74">
        <v>1.1000000000000001</v>
      </c>
      <c r="P2013" s="50">
        <v>5</v>
      </c>
      <c r="Q2013" s="74">
        <v>6.65</v>
      </c>
      <c r="R2013" s="50">
        <v>33</v>
      </c>
      <c r="S2013" s="74">
        <v>5</v>
      </c>
      <c r="T2013" s="50">
        <v>0.06</v>
      </c>
      <c r="U2013" s="131">
        <v>2.4</v>
      </c>
      <c r="V2013" s="50">
        <v>0.47</v>
      </c>
      <c r="W2013" s="74">
        <f>0.01/2</f>
        <v>5.0000000000000001E-3</v>
      </c>
      <c r="X2013" s="50">
        <v>0.02</v>
      </c>
      <c r="Y2013" s="74">
        <f>0.02/2</f>
        <v>0.01</v>
      </c>
      <c r="Z2013" s="271">
        <v>1</v>
      </c>
      <c r="AA2013" s="271">
        <v>1</v>
      </c>
      <c r="AB2013" s="114">
        <v>5.31</v>
      </c>
      <c r="AC2013" s="50">
        <v>29.4</v>
      </c>
      <c r="AD2013" s="271">
        <v>1</v>
      </c>
    </row>
    <row r="2014" spans="1:31" ht="15" customHeight="1">
      <c r="A2014" s="41" t="s">
        <v>183</v>
      </c>
      <c r="B2014" s="402" t="s">
        <v>4944</v>
      </c>
      <c r="D2014" s="393" t="s">
        <v>1537</v>
      </c>
      <c r="E2014" s="394" t="s">
        <v>1555</v>
      </c>
      <c r="G2014" s="405" t="s">
        <v>3175</v>
      </c>
      <c r="H2014" s="74">
        <v>2869</v>
      </c>
      <c r="I2014" s="50" t="s">
        <v>1</v>
      </c>
      <c r="J2014" s="339" t="s">
        <v>4280</v>
      </c>
      <c r="K2014" s="51">
        <v>41324</v>
      </c>
      <c r="L2014" s="173">
        <v>41321</v>
      </c>
      <c r="M2014" s="50">
        <f t="shared" si="111"/>
        <v>3</v>
      </c>
      <c r="N2014" s="50" t="s">
        <v>2</v>
      </c>
      <c r="O2014" s="74">
        <v>7.7</v>
      </c>
      <c r="P2014" s="50">
        <v>5.85</v>
      </c>
      <c r="Q2014" s="74">
        <v>7.38</v>
      </c>
      <c r="R2014" s="50">
        <v>244</v>
      </c>
      <c r="S2014" s="74">
        <v>274</v>
      </c>
      <c r="T2014" s="50">
        <v>0.51</v>
      </c>
      <c r="U2014" s="131">
        <v>0.91</v>
      </c>
      <c r="V2014" s="50">
        <v>0.51</v>
      </c>
      <c r="W2014" s="74">
        <v>3.1E-2</v>
      </c>
      <c r="X2014" s="50">
        <v>0.12</v>
      </c>
      <c r="Y2014" s="74">
        <v>2.7E-2</v>
      </c>
      <c r="Z2014" s="271">
        <v>1</v>
      </c>
      <c r="AA2014" s="271">
        <v>1</v>
      </c>
      <c r="AB2014" s="114">
        <v>41.78</v>
      </c>
      <c r="AC2014" s="50">
        <v>969</v>
      </c>
      <c r="AD2014" s="271">
        <v>1</v>
      </c>
    </row>
    <row r="2015" spans="1:31" ht="15" customHeight="1">
      <c r="A2015" s="41" t="s">
        <v>183</v>
      </c>
      <c r="B2015" s="402" t="s">
        <v>4944</v>
      </c>
      <c r="D2015" s="393" t="s">
        <v>1537</v>
      </c>
      <c r="E2015" s="394" t="s">
        <v>1555</v>
      </c>
      <c r="G2015" s="405" t="s">
        <v>3175</v>
      </c>
      <c r="H2015" s="74">
        <v>2869</v>
      </c>
      <c r="I2015" s="50" t="s">
        <v>1</v>
      </c>
      <c r="J2015" s="339" t="s">
        <v>4947</v>
      </c>
      <c r="K2015" s="51">
        <v>41324</v>
      </c>
      <c r="L2015" s="173">
        <v>41321</v>
      </c>
      <c r="M2015" s="50">
        <f t="shared" si="111"/>
        <v>3</v>
      </c>
      <c r="N2015" s="50" t="s">
        <v>2</v>
      </c>
      <c r="O2015" s="74">
        <f>1/2</f>
        <v>0.5</v>
      </c>
      <c r="P2015" s="50">
        <v>5.85</v>
      </c>
      <c r="Q2015" s="74">
        <v>6.82</v>
      </c>
      <c r="R2015" s="50">
        <v>42</v>
      </c>
      <c r="S2015" s="74">
        <v>100</v>
      </c>
      <c r="T2015" s="50">
        <v>1.5</v>
      </c>
      <c r="U2015" s="131">
        <v>1.02</v>
      </c>
      <c r="V2015" s="50">
        <v>2.96</v>
      </c>
      <c r="W2015" s="74">
        <v>7.9699999999999993E-2</v>
      </c>
      <c r="X2015" s="50">
        <v>1.069</v>
      </c>
      <c r="Y2015" s="74">
        <v>6.7000000000000002E-3</v>
      </c>
      <c r="Z2015" s="271">
        <v>1</v>
      </c>
      <c r="AA2015" s="271">
        <v>0.45400000000000001</v>
      </c>
      <c r="AB2015" s="114">
        <v>52.34</v>
      </c>
      <c r="AC2015" s="50">
        <v>293</v>
      </c>
      <c r="AD2015" s="271">
        <v>0.3</v>
      </c>
    </row>
    <row r="2016" spans="1:31" ht="15" customHeight="1">
      <c r="A2016" s="41" t="s">
        <v>183</v>
      </c>
      <c r="B2016" s="402" t="s">
        <v>4944</v>
      </c>
      <c r="D2016" s="393" t="s">
        <v>1537</v>
      </c>
      <c r="E2016" s="394" t="s">
        <v>1555</v>
      </c>
      <c r="G2016" s="405" t="s">
        <v>3175</v>
      </c>
      <c r="H2016" s="74">
        <v>2869</v>
      </c>
      <c r="I2016" s="50" t="s">
        <v>1</v>
      </c>
      <c r="J2016" s="339" t="s">
        <v>4948</v>
      </c>
      <c r="K2016" s="51">
        <v>41324</v>
      </c>
      <c r="L2016" s="173">
        <v>41321</v>
      </c>
      <c r="M2016" s="50">
        <f t="shared" si="111"/>
        <v>3</v>
      </c>
      <c r="N2016" s="50" t="s">
        <v>2</v>
      </c>
      <c r="O2016" s="74">
        <v>20.7</v>
      </c>
      <c r="P2016" s="50">
        <v>5.85</v>
      </c>
      <c r="Q2016" s="74">
        <v>7.15</v>
      </c>
      <c r="R2016" s="50">
        <v>728</v>
      </c>
      <c r="S2016" s="74">
        <v>543</v>
      </c>
      <c r="T2016" s="50">
        <v>1.19</v>
      </c>
      <c r="U2016" s="131">
        <v>6.87</v>
      </c>
      <c r="V2016" s="50">
        <v>0.77</v>
      </c>
      <c r="W2016" s="74">
        <v>8.0100000000000005E-2</v>
      </c>
      <c r="X2016" s="50">
        <v>1.071</v>
      </c>
      <c r="Y2016" s="74">
        <v>9.0499999999999997E-2</v>
      </c>
      <c r="Z2016" s="271">
        <v>1</v>
      </c>
      <c r="AA2016" s="271">
        <v>1</v>
      </c>
      <c r="AB2016" s="114">
        <v>171.6</v>
      </c>
      <c r="AC2016" s="50">
        <v>7650</v>
      </c>
      <c r="AD2016" s="271">
        <v>0.7</v>
      </c>
    </row>
    <row r="2017" spans="1:30" ht="15" customHeight="1">
      <c r="A2017" s="41" t="s">
        <v>183</v>
      </c>
      <c r="B2017" s="402" t="s">
        <v>4944</v>
      </c>
      <c r="D2017" s="393" t="s">
        <v>1537</v>
      </c>
      <c r="E2017" s="394" t="s">
        <v>1555</v>
      </c>
      <c r="G2017" s="405" t="s">
        <v>3175</v>
      </c>
      <c r="H2017" s="74">
        <v>2869</v>
      </c>
      <c r="I2017" s="50" t="s">
        <v>1</v>
      </c>
      <c r="J2017" s="339" t="s">
        <v>4949</v>
      </c>
      <c r="K2017" s="51">
        <v>41324</v>
      </c>
      <c r="L2017" s="173">
        <v>41321</v>
      </c>
      <c r="M2017" s="50">
        <f t="shared" si="111"/>
        <v>3</v>
      </c>
      <c r="N2017" s="50" t="s">
        <v>2</v>
      </c>
      <c r="O2017" s="74">
        <v>7</v>
      </c>
      <c r="P2017" s="50">
        <v>5.85</v>
      </c>
      <c r="Q2017" s="74">
        <v>7.26</v>
      </c>
      <c r="R2017" s="50">
        <v>220</v>
      </c>
      <c r="S2017" s="74">
        <v>217</v>
      </c>
      <c r="T2017" s="50">
        <v>0.27</v>
      </c>
      <c r="U2017" s="131">
        <v>1.54</v>
      </c>
      <c r="V2017" s="50">
        <v>0.54</v>
      </c>
      <c r="W2017" s="74">
        <v>4.2700000000000002E-2</v>
      </c>
      <c r="X2017" s="50">
        <v>0.34010000000000001</v>
      </c>
      <c r="Y2017" s="74">
        <v>4.3200000000000002E-2</v>
      </c>
      <c r="Z2017" s="271">
        <v>1</v>
      </c>
      <c r="AA2017" s="271">
        <v>1</v>
      </c>
      <c r="AB2017" s="114">
        <v>91.36</v>
      </c>
      <c r="AC2017" s="50">
        <v>1848</v>
      </c>
      <c r="AD2017" s="271">
        <v>1</v>
      </c>
    </row>
    <row r="2018" spans="1:30" ht="15" customHeight="1">
      <c r="A2018" s="41" t="s">
        <v>183</v>
      </c>
      <c r="B2018" s="402" t="s">
        <v>4944</v>
      </c>
      <c r="D2018" s="393" t="s">
        <v>1537</v>
      </c>
      <c r="E2018" s="394" t="s">
        <v>1555</v>
      </c>
      <c r="G2018" s="405" t="s">
        <v>3175</v>
      </c>
      <c r="H2018" s="74">
        <v>2869</v>
      </c>
      <c r="I2018" s="50" t="s">
        <v>1</v>
      </c>
      <c r="J2018" s="339" t="s">
        <v>4280</v>
      </c>
      <c r="K2018" s="51">
        <v>41345</v>
      </c>
      <c r="L2018" s="173">
        <v>41341</v>
      </c>
      <c r="M2018" s="50">
        <f t="shared" si="111"/>
        <v>4</v>
      </c>
      <c r="N2018" s="50" t="s">
        <v>2</v>
      </c>
      <c r="O2018" s="74">
        <v>1.1000000000000001</v>
      </c>
      <c r="P2018" s="50">
        <v>6.35</v>
      </c>
      <c r="Q2018" s="74">
        <v>7.14</v>
      </c>
      <c r="R2018" s="50">
        <v>26</v>
      </c>
      <c r="S2018" s="74">
        <v>25</v>
      </c>
      <c r="T2018" s="50">
        <v>0.15</v>
      </c>
      <c r="U2018" s="131">
        <v>7.2</v>
      </c>
      <c r="V2018" s="50">
        <v>0.45</v>
      </c>
      <c r="W2018" s="74">
        <v>1.0999999999999999E-2</v>
      </c>
      <c r="X2018" s="50">
        <v>3.5000000000000003E-2</v>
      </c>
      <c r="Y2018" s="74">
        <v>6.0000000000000001E-3</v>
      </c>
      <c r="Z2018" s="271">
        <v>1</v>
      </c>
      <c r="AA2018" s="271">
        <v>1</v>
      </c>
      <c r="AB2018" s="114">
        <v>16</v>
      </c>
      <c r="AC2018" s="50">
        <v>527</v>
      </c>
      <c r="AD2018" s="271">
        <v>1</v>
      </c>
    </row>
    <row r="2019" spans="1:30" ht="15" customHeight="1">
      <c r="A2019" s="41" t="s">
        <v>183</v>
      </c>
      <c r="B2019" s="402" t="s">
        <v>4944</v>
      </c>
      <c r="D2019" s="393" t="s">
        <v>1537</v>
      </c>
      <c r="E2019" s="394" t="s">
        <v>1555</v>
      </c>
      <c r="G2019" s="405" t="s">
        <v>3175</v>
      </c>
      <c r="H2019" s="74">
        <v>2869</v>
      </c>
      <c r="I2019" s="50" t="s">
        <v>1</v>
      </c>
      <c r="J2019" s="339" t="s">
        <v>4947</v>
      </c>
      <c r="K2019" s="51">
        <v>41345</v>
      </c>
      <c r="L2019" s="173">
        <v>41341</v>
      </c>
      <c r="M2019" s="50">
        <f t="shared" si="111"/>
        <v>4</v>
      </c>
      <c r="N2019" s="50" t="s">
        <v>2</v>
      </c>
      <c r="O2019" s="74">
        <f>1/2</f>
        <v>0.5</v>
      </c>
      <c r="P2019" s="50">
        <v>6.35</v>
      </c>
      <c r="Q2019" s="74">
        <v>6.87</v>
      </c>
      <c r="R2019" s="50">
        <v>38</v>
      </c>
      <c r="S2019" s="74">
        <f>1/2</f>
        <v>0.5</v>
      </c>
      <c r="T2019" s="50">
        <v>0.49</v>
      </c>
      <c r="U2019" s="131">
        <v>5.53</v>
      </c>
      <c r="V2019" s="50">
        <v>0.76</v>
      </c>
      <c r="W2019" s="74">
        <v>3.5000000000000003E-2</v>
      </c>
      <c r="X2019" s="50">
        <v>0.51100000000000001</v>
      </c>
      <c r="Y2019" s="74">
        <v>5.0000000000000001E-3</v>
      </c>
      <c r="Z2019" s="271">
        <v>0.70109999999999995</v>
      </c>
      <c r="AA2019" s="271">
        <v>0.40600000000000003</v>
      </c>
      <c r="AB2019" s="114">
        <v>16</v>
      </c>
      <c r="AC2019" s="50">
        <v>92</v>
      </c>
      <c r="AD2019" s="271">
        <v>0</v>
      </c>
    </row>
    <row r="2020" spans="1:30" ht="15" customHeight="1">
      <c r="A2020" s="41" t="s">
        <v>183</v>
      </c>
      <c r="B2020" s="402" t="s">
        <v>4944</v>
      </c>
      <c r="D2020" s="393" t="s">
        <v>1537</v>
      </c>
      <c r="E2020" s="394" t="s">
        <v>1555</v>
      </c>
      <c r="G2020" s="405" t="s">
        <v>3175</v>
      </c>
      <c r="H2020" s="74">
        <v>2869</v>
      </c>
      <c r="I2020" s="50" t="s">
        <v>1</v>
      </c>
      <c r="J2020" s="339" t="s">
        <v>4948</v>
      </c>
      <c r="K2020" s="51">
        <v>41345</v>
      </c>
      <c r="L2020" s="173">
        <v>41341</v>
      </c>
      <c r="M2020" s="50">
        <f t="shared" si="111"/>
        <v>4</v>
      </c>
      <c r="N2020" s="50" t="s">
        <v>2</v>
      </c>
      <c r="O2020" s="74">
        <v>8.6</v>
      </c>
      <c r="P2020" s="50">
        <v>6.35</v>
      </c>
      <c r="Q2020" s="74">
        <v>7.55</v>
      </c>
      <c r="R2020" s="50">
        <v>108</v>
      </c>
      <c r="S2020" s="74">
        <v>134</v>
      </c>
      <c r="T2020" s="50">
        <v>0.57999999999999996</v>
      </c>
      <c r="U2020" s="131">
        <v>2.52</v>
      </c>
      <c r="V2020" s="50">
        <v>0.4</v>
      </c>
      <c r="W2020" s="74">
        <v>3.9E-2</v>
      </c>
      <c r="X2020" s="50">
        <v>0.35899999999999999</v>
      </c>
      <c r="Y2020" s="74">
        <v>4.5999999999999999E-2</v>
      </c>
      <c r="Z2020" s="271">
        <v>1</v>
      </c>
      <c r="AA2020" s="271">
        <v>1</v>
      </c>
      <c r="AB2020" s="114">
        <v>160</v>
      </c>
      <c r="AC2020" s="50">
        <v>2110</v>
      </c>
      <c r="AD2020" s="271">
        <v>1</v>
      </c>
    </row>
    <row r="2021" spans="1:30" ht="15" customHeight="1">
      <c r="A2021" s="41" t="s">
        <v>183</v>
      </c>
      <c r="B2021" s="402" t="s">
        <v>4944</v>
      </c>
      <c r="D2021" s="393" t="s">
        <v>1537</v>
      </c>
      <c r="E2021" s="394" t="s">
        <v>1555</v>
      </c>
      <c r="G2021" s="405" t="s">
        <v>3175</v>
      </c>
      <c r="H2021" s="74">
        <v>2869</v>
      </c>
      <c r="I2021" s="50" t="s">
        <v>1</v>
      </c>
      <c r="J2021" s="339" t="s">
        <v>4949</v>
      </c>
      <c r="K2021" s="51">
        <v>41345</v>
      </c>
      <c r="L2021" s="173">
        <v>41341</v>
      </c>
      <c r="M2021" s="50">
        <f t="shared" si="111"/>
        <v>4</v>
      </c>
      <c r="N2021" s="50" t="s">
        <v>2</v>
      </c>
      <c r="O2021" s="74">
        <v>1.6</v>
      </c>
      <c r="P2021" s="50">
        <v>6.35</v>
      </c>
      <c r="Q2021" s="74">
        <v>7.35</v>
      </c>
      <c r="R2021" s="50">
        <v>29</v>
      </c>
      <c r="S2021" s="74">
        <v>84</v>
      </c>
      <c r="T2021" s="50">
        <v>0.17</v>
      </c>
      <c r="U2021" s="131">
        <v>1.61</v>
      </c>
      <c r="V2021" s="50">
        <v>0.51</v>
      </c>
      <c r="W2021" s="74">
        <v>2.5999999999999999E-2</v>
      </c>
      <c r="X2021" s="50">
        <v>0.20499999999999999</v>
      </c>
      <c r="Y2021" s="74">
        <v>2.3E-2</v>
      </c>
      <c r="Z2021" s="271">
        <v>1</v>
      </c>
      <c r="AA2021" s="271">
        <v>1</v>
      </c>
      <c r="AB2021" s="114">
        <v>154</v>
      </c>
      <c r="AC2021" s="50">
        <v>952</v>
      </c>
      <c r="AD2021" s="271">
        <v>1</v>
      </c>
    </row>
    <row r="2022" spans="1:30" ht="15" customHeight="1">
      <c r="A2022" s="41" t="s">
        <v>183</v>
      </c>
      <c r="B2022" s="402" t="s">
        <v>511</v>
      </c>
      <c r="C2022" s="113" t="s">
        <v>511</v>
      </c>
      <c r="D2022" s="393" t="s">
        <v>350</v>
      </c>
      <c r="E2022" s="394" t="s">
        <v>838</v>
      </c>
      <c r="G2022" s="405" t="s">
        <v>839</v>
      </c>
      <c r="H2022" s="74">
        <v>3398</v>
      </c>
      <c r="I2022" s="50" t="s">
        <v>2</v>
      </c>
      <c r="J2022" s="339" t="s">
        <v>4878</v>
      </c>
      <c r="K2022" s="51">
        <v>41345</v>
      </c>
      <c r="L2022" s="173">
        <v>41341</v>
      </c>
      <c r="M2022" s="50">
        <f t="shared" si="111"/>
        <v>4</v>
      </c>
      <c r="N2022" s="50" t="s">
        <v>1</v>
      </c>
      <c r="O2022" s="74">
        <v>2.6</v>
      </c>
      <c r="P2022" s="50">
        <v>6.58</v>
      </c>
      <c r="Q2022" s="74">
        <v>6.72</v>
      </c>
      <c r="R2022" s="50">
        <v>61</v>
      </c>
      <c r="S2022" s="74">
        <v>70</v>
      </c>
      <c r="T2022" s="50">
        <f>0.1/2</f>
        <v>0.05</v>
      </c>
      <c r="U2022" s="131">
        <f>1/2</f>
        <v>0.5</v>
      </c>
      <c r="V2022" s="50">
        <f>0.1/2</f>
        <v>0.05</v>
      </c>
      <c r="W2022" s="74">
        <f>0.04/2</f>
        <v>0.02</v>
      </c>
      <c r="X2022" s="50">
        <v>0.19</v>
      </c>
      <c r="Y2022" s="74">
        <f>0.013/2</f>
        <v>6.4999999999999997E-3</v>
      </c>
    </row>
    <row r="2023" spans="1:30" ht="15" customHeight="1">
      <c r="A2023" s="41" t="s">
        <v>183</v>
      </c>
      <c r="B2023" s="402" t="s">
        <v>511</v>
      </c>
      <c r="C2023" s="113" t="s">
        <v>511</v>
      </c>
      <c r="D2023" s="393" t="s">
        <v>350</v>
      </c>
      <c r="E2023" s="394" t="s">
        <v>838</v>
      </c>
      <c r="G2023" s="405" t="s">
        <v>839</v>
      </c>
      <c r="H2023" s="74">
        <v>3398</v>
      </c>
      <c r="I2023" s="50" t="s">
        <v>2</v>
      </c>
      <c r="J2023" s="339" t="s">
        <v>4878</v>
      </c>
      <c r="K2023" s="51">
        <v>41604</v>
      </c>
      <c r="L2023" s="173">
        <v>41596</v>
      </c>
      <c r="M2023" s="50">
        <f t="shared" si="111"/>
        <v>8</v>
      </c>
      <c r="N2023" s="50" t="s">
        <v>2</v>
      </c>
      <c r="P2023" s="50">
        <v>6.01</v>
      </c>
      <c r="Q2023" s="74">
        <v>6.24</v>
      </c>
      <c r="T2023" s="50">
        <f>0.1/2</f>
        <v>0.05</v>
      </c>
      <c r="X2023" s="50">
        <v>0.25</v>
      </c>
    </row>
    <row r="2024" spans="1:30" ht="15" customHeight="1">
      <c r="A2024" s="41" t="s">
        <v>183</v>
      </c>
      <c r="B2024" s="402" t="s">
        <v>511</v>
      </c>
      <c r="C2024" s="113" t="s">
        <v>511</v>
      </c>
      <c r="D2024" s="393" t="s">
        <v>156</v>
      </c>
      <c r="E2024" s="394" t="s">
        <v>512</v>
      </c>
      <c r="G2024" s="405" t="s">
        <v>513</v>
      </c>
      <c r="H2024" s="74">
        <v>3398</v>
      </c>
      <c r="I2024" s="50" t="s">
        <v>2</v>
      </c>
      <c r="J2024" s="339" t="s">
        <v>514</v>
      </c>
      <c r="K2024" s="51">
        <v>41604</v>
      </c>
      <c r="L2024" s="173">
        <v>41596</v>
      </c>
      <c r="M2024" s="50">
        <f t="shared" si="111"/>
        <v>8</v>
      </c>
      <c r="N2024" s="50" t="s">
        <v>2</v>
      </c>
      <c r="P2024" s="50">
        <v>5.27</v>
      </c>
      <c r="Q2024" s="74">
        <v>6.9</v>
      </c>
      <c r="R2024" s="50">
        <v>65</v>
      </c>
      <c r="S2024" s="74">
        <v>150</v>
      </c>
      <c r="X2024" s="50">
        <v>0.4</v>
      </c>
    </row>
    <row r="2025" spans="1:30" ht="15" customHeight="1">
      <c r="A2025" s="41" t="s">
        <v>183</v>
      </c>
      <c r="B2025" s="402" t="s">
        <v>5142</v>
      </c>
      <c r="E2025" s="394" t="s">
        <v>5143</v>
      </c>
      <c r="G2025" s="405" t="s">
        <v>5144</v>
      </c>
      <c r="H2025" s="74">
        <v>3273</v>
      </c>
      <c r="I2025" s="50" t="s">
        <v>2</v>
      </c>
      <c r="J2025" s="339" t="s">
        <v>5145</v>
      </c>
      <c r="K2025" s="51">
        <v>40885</v>
      </c>
      <c r="L2025" s="173">
        <v>40881</v>
      </c>
      <c r="M2025" s="50">
        <f t="shared" si="111"/>
        <v>4</v>
      </c>
      <c r="N2025" s="50" t="s">
        <v>2</v>
      </c>
      <c r="O2025" s="74">
        <f>2.1/2</f>
        <v>1.05</v>
      </c>
      <c r="P2025" s="50">
        <v>7.3</v>
      </c>
      <c r="Q2025" s="74">
        <v>7.1</v>
      </c>
      <c r="R2025" s="50">
        <f>20/2</f>
        <v>10</v>
      </c>
      <c r="S2025" s="74">
        <v>4.4000000000000004</v>
      </c>
      <c r="T2025" s="50">
        <v>5.1999999999999998E-2</v>
      </c>
      <c r="U2025" s="131">
        <f>1/2</f>
        <v>0.5</v>
      </c>
      <c r="V2025" s="50">
        <v>1.37</v>
      </c>
      <c r="W2025" s="74">
        <f>0.005/2</f>
        <v>2.5000000000000001E-3</v>
      </c>
      <c r="X2025" s="50">
        <f>0.01/2</f>
        <v>5.0000000000000001E-3</v>
      </c>
      <c r="Y2025" s="74">
        <f>0.005/2</f>
        <v>2.5000000000000001E-3</v>
      </c>
      <c r="Z2025" s="271">
        <v>1</v>
      </c>
      <c r="AA2025" s="271">
        <v>1</v>
      </c>
      <c r="AB2025" s="114">
        <v>52</v>
      </c>
      <c r="AC2025" s="50">
        <v>156</v>
      </c>
      <c r="AD2025" s="271">
        <v>1</v>
      </c>
    </row>
    <row r="2026" spans="1:30" ht="15" customHeight="1">
      <c r="A2026" s="41" t="s">
        <v>183</v>
      </c>
      <c r="B2026" s="402" t="s">
        <v>5146</v>
      </c>
      <c r="C2026" s="113" t="s">
        <v>4393</v>
      </c>
      <c r="D2026" s="393" t="s">
        <v>111</v>
      </c>
      <c r="F2026" s="402">
        <v>5206</v>
      </c>
      <c r="G2026" s="405" t="s">
        <v>5147</v>
      </c>
      <c r="H2026" s="74">
        <v>3663</v>
      </c>
      <c r="I2026" s="50" t="s">
        <v>2</v>
      </c>
      <c r="J2026" s="339" t="s">
        <v>3251</v>
      </c>
      <c r="K2026" s="51">
        <v>41495</v>
      </c>
      <c r="L2026" s="173"/>
      <c r="N2026" s="50" t="s">
        <v>2</v>
      </c>
      <c r="O2026" s="74">
        <f>5/2</f>
        <v>2.5</v>
      </c>
      <c r="P2026" s="50">
        <v>6.9</v>
      </c>
      <c r="Q2026" s="74">
        <v>7.08</v>
      </c>
      <c r="R2026" s="50">
        <v>16</v>
      </c>
      <c r="S2026" s="74">
        <f>5/2</f>
        <v>2.5</v>
      </c>
      <c r="T2026" s="50">
        <f>0.1/2</f>
        <v>0.05</v>
      </c>
      <c r="U2026" s="131">
        <f>1/2</f>
        <v>0.5</v>
      </c>
      <c r="V2026" s="50">
        <v>1</v>
      </c>
      <c r="W2026" s="74">
        <f>0.04/2</f>
        <v>0.02</v>
      </c>
      <c r="X2026" s="50">
        <v>0.43</v>
      </c>
      <c r="Y2026" s="74">
        <f>0.013/2</f>
        <v>6.4999999999999997E-3</v>
      </c>
    </row>
    <row r="2027" spans="1:30" ht="15" customHeight="1">
      <c r="A2027" s="41" t="s">
        <v>183</v>
      </c>
      <c r="B2027" s="402" t="s">
        <v>5146</v>
      </c>
      <c r="C2027" s="113" t="s">
        <v>4393</v>
      </c>
      <c r="D2027" s="393" t="s">
        <v>111</v>
      </c>
      <c r="F2027" s="402" t="s">
        <v>5148</v>
      </c>
      <c r="G2027" s="405" t="s">
        <v>5147</v>
      </c>
      <c r="H2027" s="74">
        <v>3663</v>
      </c>
      <c r="I2027" s="50" t="s">
        <v>2</v>
      </c>
      <c r="J2027" s="339" t="s">
        <v>3251</v>
      </c>
      <c r="K2027" s="51">
        <v>41428</v>
      </c>
      <c r="L2027" s="173"/>
      <c r="N2027" s="50" t="s">
        <v>2</v>
      </c>
      <c r="O2027" s="74">
        <f>5/2</f>
        <v>2.5</v>
      </c>
      <c r="P2027" s="50">
        <v>6.38</v>
      </c>
      <c r="Q2027" s="74">
        <v>7.14</v>
      </c>
      <c r="R2027" s="50">
        <v>33</v>
      </c>
      <c r="S2027" s="74">
        <v>6</v>
      </c>
      <c r="T2027" s="50">
        <f>0.1/2</f>
        <v>0.05</v>
      </c>
      <c r="U2027" s="131">
        <v>1.7</v>
      </c>
      <c r="V2027" s="50">
        <v>1.4</v>
      </c>
      <c r="W2027" s="74">
        <f>0.04/2</f>
        <v>0.02</v>
      </c>
      <c r="X2027" s="50">
        <v>6.7000000000000004E-2</v>
      </c>
      <c r="Y2027" s="74">
        <f>0.013/2</f>
        <v>6.4999999999999997E-3</v>
      </c>
      <c r="Z2027" s="271">
        <v>1</v>
      </c>
      <c r="AA2027" s="271">
        <v>0.80600000000000005</v>
      </c>
      <c r="AB2027" s="114">
        <v>30</v>
      </c>
      <c r="AC2027" s="50">
        <v>134</v>
      </c>
      <c r="AD2027" s="271">
        <v>0.2</v>
      </c>
    </row>
    <row r="2028" spans="1:30" ht="15" customHeight="1">
      <c r="A2028" s="41" t="s">
        <v>183</v>
      </c>
      <c r="B2028" s="402" t="s">
        <v>5149</v>
      </c>
      <c r="D2028" s="393" t="s">
        <v>1484</v>
      </c>
      <c r="G2028" s="405" t="s">
        <v>5150</v>
      </c>
      <c r="H2028" s="74"/>
      <c r="J2028" s="339" t="s">
        <v>5164</v>
      </c>
      <c r="K2028" s="51">
        <v>41508</v>
      </c>
      <c r="L2028" s="173">
        <v>41499</v>
      </c>
      <c r="M2028" s="50">
        <f>K2028-L2028</f>
        <v>9</v>
      </c>
      <c r="N2028" s="50" t="s">
        <v>2</v>
      </c>
      <c r="O2028" s="74">
        <v>1.5</v>
      </c>
      <c r="P2028" s="50">
        <v>5.35</v>
      </c>
      <c r="Q2028" s="74">
        <v>6.62</v>
      </c>
      <c r="R2028" s="50">
        <v>89.8</v>
      </c>
      <c r="S2028" s="74">
        <v>108</v>
      </c>
      <c r="T2028" s="50">
        <v>0.3</v>
      </c>
      <c r="U2028" s="131">
        <v>2.89</v>
      </c>
      <c r="V2028" s="50">
        <v>1.2</v>
      </c>
      <c r="W2028" s="74">
        <v>0.04</v>
      </c>
      <c r="X2028" s="50">
        <v>0.31</v>
      </c>
      <c r="Y2028" s="74">
        <f>0.02/2</f>
        <v>0.01</v>
      </c>
      <c r="Z2028" s="271">
        <v>1</v>
      </c>
      <c r="AA2028" s="271">
        <v>1</v>
      </c>
      <c r="AB2028" s="114">
        <v>43.67</v>
      </c>
      <c r="AC2028" s="50">
        <v>56.4</v>
      </c>
      <c r="AD2028" s="271">
        <v>1</v>
      </c>
    </row>
    <row r="2029" spans="1:30" ht="15" customHeight="1">
      <c r="A2029" s="41" t="s">
        <v>183</v>
      </c>
      <c r="B2029" s="402" t="s">
        <v>5149</v>
      </c>
      <c r="D2029" s="393" t="s">
        <v>1484</v>
      </c>
      <c r="G2029" s="405" t="s">
        <v>5150</v>
      </c>
      <c r="H2029" s="74"/>
      <c r="J2029" s="339" t="s">
        <v>5165</v>
      </c>
      <c r="K2029" s="51">
        <v>41508</v>
      </c>
      <c r="L2029" s="173">
        <v>41499</v>
      </c>
      <c r="M2029" s="50">
        <f>K2029-L2029</f>
        <v>9</v>
      </c>
      <c r="N2029" s="50" t="s">
        <v>2</v>
      </c>
      <c r="O2029" s="74">
        <v>1.5</v>
      </c>
      <c r="P2029" s="50">
        <v>5.35</v>
      </c>
      <c r="Q2029" s="74">
        <v>6</v>
      </c>
      <c r="R2029" s="50">
        <v>106</v>
      </c>
      <c r="S2029" s="74">
        <v>34</v>
      </c>
      <c r="T2029" s="50">
        <v>0.24</v>
      </c>
      <c r="U2029" s="131">
        <v>4.93</v>
      </c>
      <c r="V2029" s="50">
        <v>1.1000000000000001</v>
      </c>
      <c r="W2029" s="74">
        <v>0.03</v>
      </c>
      <c r="X2029" s="50">
        <v>0.05</v>
      </c>
      <c r="Y2029" s="74">
        <f>0.02/2</f>
        <v>0.01</v>
      </c>
      <c r="Z2029" s="271">
        <v>1</v>
      </c>
      <c r="AA2029" s="271">
        <v>1</v>
      </c>
      <c r="AB2029" s="114">
        <v>17.63</v>
      </c>
      <c r="AC2029" s="50">
        <v>33.5</v>
      </c>
      <c r="AD2029" s="271">
        <v>0.95</v>
      </c>
    </row>
    <row r="2030" spans="1:30" ht="15" customHeight="1">
      <c r="A2030" s="41" t="s">
        <v>183</v>
      </c>
      <c r="B2030" s="402" t="s">
        <v>5151</v>
      </c>
      <c r="D2030" s="393" t="s">
        <v>1683</v>
      </c>
      <c r="E2030" s="394" t="s">
        <v>5152</v>
      </c>
      <c r="G2030" s="405" t="s">
        <v>5153</v>
      </c>
      <c r="H2030" s="74">
        <v>2815</v>
      </c>
      <c r="I2030" s="50" t="s">
        <v>2</v>
      </c>
      <c r="J2030" s="339" t="s">
        <v>641</v>
      </c>
      <c r="K2030" s="51">
        <v>41030</v>
      </c>
      <c r="L2030" s="173">
        <v>41022</v>
      </c>
      <c r="M2030" s="50">
        <f>K2030-L2030</f>
        <v>8</v>
      </c>
      <c r="N2030" s="50" t="s">
        <v>2</v>
      </c>
      <c r="O2030" s="74">
        <v>1.3</v>
      </c>
      <c r="P2030" s="50">
        <v>6.25</v>
      </c>
      <c r="Q2030" s="74">
        <v>6.16</v>
      </c>
      <c r="R2030" s="50">
        <v>26.9</v>
      </c>
      <c r="S2030" s="74">
        <v>4</v>
      </c>
      <c r="T2030" s="50">
        <v>0.11</v>
      </c>
      <c r="U2030" s="131">
        <v>1.73</v>
      </c>
      <c r="V2030" s="50">
        <v>0.48</v>
      </c>
      <c r="W2030" s="74">
        <f>0.01/2</f>
        <v>5.0000000000000001E-3</v>
      </c>
      <c r="X2030" s="50">
        <v>0.13</v>
      </c>
      <c r="Y2030" s="74">
        <f>0.02/2</f>
        <v>0.01</v>
      </c>
      <c r="Z2030" s="271">
        <v>1</v>
      </c>
      <c r="AA2030" s="271">
        <v>1</v>
      </c>
      <c r="AB2030" s="114">
        <v>3.54</v>
      </c>
      <c r="AC2030" s="50">
        <v>25.1</v>
      </c>
      <c r="AD2030" s="271">
        <v>0.8</v>
      </c>
    </row>
    <row r="2031" spans="1:30" ht="15" customHeight="1">
      <c r="A2031" s="41" t="s">
        <v>183</v>
      </c>
      <c r="B2031" s="402" t="s">
        <v>5151</v>
      </c>
      <c r="D2031" s="393" t="s">
        <v>1683</v>
      </c>
      <c r="E2031" s="394" t="s">
        <v>5152</v>
      </c>
      <c r="G2031" s="405" t="s">
        <v>5153</v>
      </c>
      <c r="H2031" s="74">
        <v>2815</v>
      </c>
      <c r="I2031" s="50" t="s">
        <v>2</v>
      </c>
      <c r="J2031" s="339" t="s">
        <v>641</v>
      </c>
      <c r="K2031" s="51">
        <v>41170</v>
      </c>
      <c r="L2031" s="173">
        <v>41160</v>
      </c>
      <c r="M2031" s="50">
        <f>K2031-L2031</f>
        <v>10</v>
      </c>
      <c r="N2031" s="50" t="s">
        <v>2</v>
      </c>
      <c r="O2031" s="74">
        <v>5.4</v>
      </c>
      <c r="P2031" s="50">
        <v>7.15</v>
      </c>
      <c r="Q2031" s="74">
        <v>7.1</v>
      </c>
      <c r="R2031" s="50">
        <v>17.2</v>
      </c>
      <c r="S2031" s="74">
        <f>1/2</f>
        <v>0.5</v>
      </c>
      <c r="T2031" s="50">
        <v>0.05</v>
      </c>
      <c r="U2031" s="131">
        <v>0.93</v>
      </c>
      <c r="V2031" s="50">
        <v>0.25</v>
      </c>
      <c r="W2031" s="74">
        <f>0.01/2</f>
        <v>5.0000000000000001E-3</v>
      </c>
      <c r="X2031" s="50">
        <f>0.01/2</f>
        <v>5.0000000000000001E-3</v>
      </c>
      <c r="Y2031" s="74">
        <f>0.02/2</f>
        <v>0.01</v>
      </c>
    </row>
    <row r="2032" spans="1:30" ht="15" customHeight="1">
      <c r="A2032" s="41" t="s">
        <v>183</v>
      </c>
      <c r="B2032" s="402" t="s">
        <v>5151</v>
      </c>
      <c r="D2032" s="393" t="s">
        <v>1683</v>
      </c>
      <c r="E2032" s="394" t="s">
        <v>5152</v>
      </c>
      <c r="G2032" s="405" t="s">
        <v>5153</v>
      </c>
      <c r="H2032" s="74">
        <v>2815</v>
      </c>
      <c r="I2032" s="50" t="s">
        <v>2</v>
      </c>
      <c r="J2032" s="339" t="s">
        <v>641</v>
      </c>
      <c r="K2032" s="51">
        <v>41495</v>
      </c>
      <c r="L2032" s="173"/>
      <c r="N2032" s="50" t="s">
        <v>2</v>
      </c>
      <c r="O2032" s="74">
        <f>1/2</f>
        <v>0.5</v>
      </c>
      <c r="P2032" s="50">
        <v>6.53</v>
      </c>
      <c r="Q2032" s="74">
        <v>4.12</v>
      </c>
      <c r="R2032" s="50">
        <v>17.2</v>
      </c>
      <c r="S2032" s="74">
        <f>1/2</f>
        <v>0.5</v>
      </c>
      <c r="T2032" s="50">
        <f>0.05/2</f>
        <v>2.5000000000000001E-2</v>
      </c>
      <c r="U2032" s="131">
        <v>1.84</v>
      </c>
      <c r="V2032" s="50">
        <v>1.1000000000000001</v>
      </c>
      <c r="W2032" s="74">
        <f>0.01/2</f>
        <v>5.0000000000000001E-3</v>
      </c>
      <c r="X2032" s="50">
        <v>0.11</v>
      </c>
      <c r="Y2032" s="74">
        <f>0.02/2</f>
        <v>0.01</v>
      </c>
    </row>
    <row r="2033" spans="1:32" ht="15" customHeight="1">
      <c r="A2033" s="41" t="s">
        <v>183</v>
      </c>
      <c r="B2033" s="386" t="s">
        <v>701</v>
      </c>
      <c r="C2033" s="149" t="s">
        <v>702</v>
      </c>
      <c r="D2033" s="392" t="s">
        <v>209</v>
      </c>
      <c r="E2033" s="258" t="s">
        <v>985</v>
      </c>
      <c r="F2033" s="386"/>
      <c r="G2033" s="405" t="s">
        <v>703</v>
      </c>
      <c r="H2033" s="55">
        <v>3052</v>
      </c>
      <c r="I2033" s="54"/>
      <c r="J2033" s="55" t="s">
        <v>81</v>
      </c>
      <c r="K2033" s="51">
        <v>41495</v>
      </c>
      <c r="L2033" s="173">
        <v>41490</v>
      </c>
      <c r="M2033" s="50">
        <f>K2033-L2033</f>
        <v>5</v>
      </c>
      <c r="N2033" s="50" t="s">
        <v>2</v>
      </c>
      <c r="O2033" s="74">
        <v>2.5</v>
      </c>
      <c r="P2033" s="50">
        <v>6.4</v>
      </c>
      <c r="Q2033" s="74">
        <v>7.2</v>
      </c>
      <c r="R2033" s="50">
        <v>12</v>
      </c>
      <c r="S2033" s="74">
        <v>14</v>
      </c>
      <c r="T2033" s="50">
        <f>0.1/2</f>
        <v>0.05</v>
      </c>
      <c r="U2033" s="131">
        <f>1/2</f>
        <v>0.5</v>
      </c>
      <c r="V2033" s="50">
        <f>0.1/2</f>
        <v>0.05</v>
      </c>
      <c r="W2033" s="74">
        <f>0.04/2</f>
        <v>0.02</v>
      </c>
      <c r="X2033" s="50">
        <f>0.02/2</f>
        <v>0.01</v>
      </c>
      <c r="Y2033" s="74">
        <f>0.013/2</f>
        <v>6.4999999999999997E-3</v>
      </c>
    </row>
    <row r="2034" spans="1:32" ht="15" customHeight="1">
      <c r="A2034" s="41" t="s">
        <v>183</v>
      </c>
      <c r="B2034" s="386" t="s">
        <v>701</v>
      </c>
      <c r="C2034" s="149" t="s">
        <v>702</v>
      </c>
      <c r="D2034" s="392" t="s">
        <v>209</v>
      </c>
      <c r="E2034" s="258" t="s">
        <v>985</v>
      </c>
      <c r="F2034" s="386"/>
      <c r="G2034" s="405" t="s">
        <v>703</v>
      </c>
      <c r="H2034" s="55">
        <v>3052</v>
      </c>
      <c r="I2034" s="54"/>
      <c r="J2034" s="55" t="s">
        <v>114</v>
      </c>
      <c r="K2034" s="51">
        <v>41495</v>
      </c>
      <c r="L2034" s="173">
        <v>41490</v>
      </c>
      <c r="M2034" s="50">
        <f>K2034-L2034</f>
        <v>5</v>
      </c>
      <c r="N2034" s="50" t="s">
        <v>2</v>
      </c>
      <c r="O2034" s="74">
        <v>2.5</v>
      </c>
      <c r="P2034" s="50">
        <v>6.4</v>
      </c>
      <c r="Q2034" s="74">
        <v>7.3</v>
      </c>
      <c r="R2034" s="50">
        <v>9.6999999999999993</v>
      </c>
      <c r="S2034" s="74">
        <v>30</v>
      </c>
      <c r="T2034" s="50">
        <f>0.1/2</f>
        <v>0.05</v>
      </c>
      <c r="U2034" s="131">
        <f>1/2</f>
        <v>0.5</v>
      </c>
      <c r="V2034" s="50">
        <f>0.1/2</f>
        <v>0.05</v>
      </c>
      <c r="W2034" s="74">
        <f>0.04/2</f>
        <v>0.02</v>
      </c>
      <c r="X2034" s="50">
        <f>0.02/2</f>
        <v>0.01</v>
      </c>
      <c r="Y2034" s="74">
        <f>0.013/2</f>
        <v>6.4999999999999997E-3</v>
      </c>
    </row>
    <row r="2035" spans="1:32" ht="15" customHeight="1">
      <c r="A2035" s="41" t="s">
        <v>183</v>
      </c>
      <c r="B2035" s="402" t="s">
        <v>4294</v>
      </c>
      <c r="C2035" s="113" t="s">
        <v>4294</v>
      </c>
      <c r="D2035" s="393" t="s">
        <v>338</v>
      </c>
      <c r="E2035" s="394" t="s">
        <v>4295</v>
      </c>
      <c r="G2035" s="405" t="s">
        <v>4296</v>
      </c>
      <c r="H2035" s="74">
        <v>3469</v>
      </c>
      <c r="I2035" s="50" t="s">
        <v>2</v>
      </c>
      <c r="J2035" s="339" t="s">
        <v>1943</v>
      </c>
      <c r="K2035" s="51">
        <v>41021</v>
      </c>
      <c r="L2035" s="173">
        <v>40999</v>
      </c>
      <c r="M2035" s="50">
        <f>K2035-L2035</f>
        <v>22</v>
      </c>
      <c r="N2035" s="50" t="s">
        <v>2</v>
      </c>
      <c r="O2035" s="74">
        <f>1.6/2</f>
        <v>0.8</v>
      </c>
      <c r="P2035" s="50">
        <v>5.8</v>
      </c>
      <c r="Q2035" s="74">
        <v>6.1</v>
      </c>
      <c r="R2035" s="50">
        <f>15/2</f>
        <v>7.5</v>
      </c>
      <c r="S2035" s="74">
        <v>8</v>
      </c>
      <c r="T2035" s="50">
        <f>0.062/2</f>
        <v>3.1E-2</v>
      </c>
      <c r="U2035" s="131">
        <f>1/2</f>
        <v>0.5</v>
      </c>
      <c r="V2035" s="50">
        <v>0.23</v>
      </c>
      <c r="W2035" s="74">
        <v>1.2E-2</v>
      </c>
      <c r="X2035" s="50">
        <v>1.6E-2</v>
      </c>
      <c r="Y2035" s="74">
        <f>0.005/2</f>
        <v>2.5000000000000001E-3</v>
      </c>
    </row>
    <row r="2036" spans="1:32" ht="15" customHeight="1">
      <c r="A2036" s="41" t="s">
        <v>183</v>
      </c>
      <c r="B2036" s="402" t="s">
        <v>5154</v>
      </c>
      <c r="D2036" s="393" t="s">
        <v>111</v>
      </c>
      <c r="E2036" s="394" t="s">
        <v>5155</v>
      </c>
      <c r="G2036" s="405" t="s">
        <v>5156</v>
      </c>
      <c r="H2036" s="74">
        <v>3441</v>
      </c>
      <c r="I2036" s="50" t="s">
        <v>2</v>
      </c>
      <c r="J2036" s="339" t="s">
        <v>5157</v>
      </c>
      <c r="K2036" s="51">
        <v>41428</v>
      </c>
      <c r="L2036" s="173"/>
      <c r="N2036" s="50" t="s">
        <v>2</v>
      </c>
      <c r="O2036" s="74">
        <f>5/2</f>
        <v>2.5</v>
      </c>
      <c r="P2036" s="50">
        <v>6.38</v>
      </c>
      <c r="Q2036" s="74">
        <v>5.93</v>
      </c>
      <c r="R2036" s="50">
        <v>180</v>
      </c>
      <c r="S2036" s="74">
        <v>46</v>
      </c>
      <c r="T2036" s="50">
        <v>0.39</v>
      </c>
      <c r="U2036" s="131">
        <v>3.8</v>
      </c>
      <c r="V2036" s="50">
        <v>0.84</v>
      </c>
      <c r="W2036" s="74">
        <f>0.04/2</f>
        <v>0.02</v>
      </c>
      <c r="X2036" s="50">
        <v>0.08</v>
      </c>
      <c r="Y2036" s="74">
        <f>0.013/2</f>
        <v>6.4999999999999997E-3</v>
      </c>
      <c r="Z2036" s="165">
        <v>1</v>
      </c>
      <c r="AA2036" s="271">
        <v>1</v>
      </c>
      <c r="AB2036" s="114">
        <v>9.6</v>
      </c>
      <c r="AC2036" s="50">
        <v>72</v>
      </c>
      <c r="AD2036" s="271">
        <v>1</v>
      </c>
    </row>
    <row r="2037" spans="1:32" ht="15" customHeight="1">
      <c r="A2037" s="41" t="s">
        <v>183</v>
      </c>
      <c r="B2037" s="402" t="s">
        <v>4845</v>
      </c>
      <c r="C2037" s="113" t="s">
        <v>4846</v>
      </c>
      <c r="D2037" s="393" t="s">
        <v>290</v>
      </c>
      <c r="E2037" s="394" t="s">
        <v>112</v>
      </c>
      <c r="G2037" s="405" t="s">
        <v>4847</v>
      </c>
      <c r="H2037" s="74"/>
      <c r="I2037" s="50" t="s">
        <v>2</v>
      </c>
      <c r="J2037" s="339" t="s">
        <v>4848</v>
      </c>
      <c r="K2037" s="51">
        <v>41487</v>
      </c>
      <c r="L2037" s="173">
        <v>41481</v>
      </c>
      <c r="M2037" s="50">
        <f t="shared" ref="M2037:M2044" si="113">K2037-L2037</f>
        <v>6</v>
      </c>
      <c r="N2037" s="50" t="s">
        <v>2</v>
      </c>
      <c r="O2037" s="74">
        <f>1/2</f>
        <v>0.5</v>
      </c>
      <c r="P2037" s="50">
        <v>5.98</v>
      </c>
      <c r="Q2037" s="74">
        <v>6.58</v>
      </c>
      <c r="R2037" s="50">
        <v>18.7</v>
      </c>
      <c r="S2037" s="74">
        <v>2</v>
      </c>
      <c r="T2037" s="50">
        <v>0.06</v>
      </c>
      <c r="U2037" s="131">
        <v>0.84</v>
      </c>
      <c r="V2037" s="50">
        <v>1.02</v>
      </c>
      <c r="W2037" s="74">
        <v>4.4999999999999998E-2</v>
      </c>
      <c r="X2037" s="50">
        <v>6.3E-2</v>
      </c>
      <c r="Y2037" s="74">
        <f>0.002/2</f>
        <v>1E-3</v>
      </c>
      <c r="Z2037" s="165"/>
    </row>
    <row r="2038" spans="1:32" ht="15" customHeight="1">
      <c r="A2038" s="41" t="s">
        <v>183</v>
      </c>
      <c r="B2038" s="402" t="s">
        <v>4845</v>
      </c>
      <c r="C2038" s="113" t="s">
        <v>4846</v>
      </c>
      <c r="D2038" s="393" t="s">
        <v>290</v>
      </c>
      <c r="E2038" s="394" t="s">
        <v>112</v>
      </c>
      <c r="G2038" s="405" t="s">
        <v>4847</v>
      </c>
      <c r="H2038" s="74"/>
      <c r="I2038" s="50" t="s">
        <v>2</v>
      </c>
      <c r="J2038" s="339" t="s">
        <v>4849</v>
      </c>
      <c r="K2038" s="51">
        <v>41487</v>
      </c>
      <c r="L2038" s="173">
        <v>41481</v>
      </c>
      <c r="M2038" s="50">
        <f t="shared" si="113"/>
        <v>6</v>
      </c>
      <c r="N2038" s="50" t="s">
        <v>2</v>
      </c>
      <c r="O2038" s="74">
        <f>1/2</f>
        <v>0.5</v>
      </c>
      <c r="P2038" s="50">
        <v>5.98</v>
      </c>
      <c r="Q2038" s="74">
        <v>6.77</v>
      </c>
      <c r="R2038" s="50">
        <v>35.299999999999997</v>
      </c>
      <c r="S2038" s="74">
        <v>6</v>
      </c>
      <c r="T2038" s="50">
        <v>0.08</v>
      </c>
      <c r="U2038" s="131">
        <v>1.02</v>
      </c>
      <c r="V2038" s="50">
        <v>1.52</v>
      </c>
      <c r="W2038" s="74">
        <v>3.9E-2</v>
      </c>
      <c r="X2038" s="50">
        <v>0.11700000000000001</v>
      </c>
      <c r="Y2038" s="74">
        <v>3.0000000000000001E-3</v>
      </c>
      <c r="Z2038" s="165"/>
    </row>
    <row r="2039" spans="1:32" ht="15" customHeight="1">
      <c r="A2039" s="41" t="s">
        <v>183</v>
      </c>
      <c r="B2039" s="402" t="s">
        <v>4845</v>
      </c>
      <c r="C2039" s="113" t="s">
        <v>4846</v>
      </c>
      <c r="D2039" s="393" t="s">
        <v>290</v>
      </c>
      <c r="E2039" s="394" t="s">
        <v>112</v>
      </c>
      <c r="G2039" s="405" t="s">
        <v>4847</v>
      </c>
      <c r="H2039" s="74"/>
      <c r="I2039" s="50" t="s">
        <v>2</v>
      </c>
      <c r="J2039" s="339" t="s">
        <v>4850</v>
      </c>
      <c r="K2039" s="51">
        <v>41487</v>
      </c>
      <c r="L2039" s="173">
        <v>41481</v>
      </c>
      <c r="M2039" s="50">
        <f t="shared" si="113"/>
        <v>6</v>
      </c>
      <c r="N2039" s="50" t="s">
        <v>2</v>
      </c>
      <c r="O2039" s="74">
        <f>1/2</f>
        <v>0.5</v>
      </c>
      <c r="P2039" s="50">
        <v>5.98</v>
      </c>
      <c r="Q2039" s="74">
        <v>6.62</v>
      </c>
      <c r="R2039" s="50">
        <v>63.8</v>
      </c>
      <c r="S2039" s="74">
        <v>18</v>
      </c>
      <c r="T2039" s="50">
        <v>0.11</v>
      </c>
      <c r="U2039" s="131">
        <v>1.66</v>
      </c>
      <c r="V2039" s="50">
        <v>1.76</v>
      </c>
      <c r="W2039" s="74">
        <v>7.1999999999999995E-2</v>
      </c>
      <c r="X2039" s="50">
        <v>0.219</v>
      </c>
      <c r="Y2039" s="74">
        <v>6.0000000000000001E-3</v>
      </c>
      <c r="Z2039" s="165"/>
    </row>
    <row r="2040" spans="1:32" ht="15" customHeight="1">
      <c r="A2040" s="74" t="s">
        <v>183</v>
      </c>
      <c r="B2040" s="402" t="s">
        <v>5158</v>
      </c>
      <c r="C2040" s="113" t="s">
        <v>126</v>
      </c>
      <c r="D2040" s="393" t="s">
        <v>127</v>
      </c>
      <c r="E2040" s="394" t="s">
        <v>128</v>
      </c>
      <c r="G2040" s="405" t="s">
        <v>129</v>
      </c>
      <c r="H2040" s="74"/>
      <c r="I2040" s="50" t="s">
        <v>2</v>
      </c>
      <c r="J2040" s="339" t="s">
        <v>130</v>
      </c>
      <c r="K2040" s="51">
        <v>41456</v>
      </c>
      <c r="L2040" s="173">
        <v>41452</v>
      </c>
      <c r="M2040" s="50">
        <f t="shared" si="113"/>
        <v>4</v>
      </c>
      <c r="N2040" s="50" t="s">
        <v>2</v>
      </c>
      <c r="O2040" s="74">
        <f>5/2</f>
        <v>2.5</v>
      </c>
      <c r="P2040" s="50">
        <v>5.6</v>
      </c>
      <c r="Q2040" s="74">
        <v>6.4</v>
      </c>
      <c r="R2040" s="50">
        <v>27</v>
      </c>
      <c r="S2040" s="74">
        <v>22</v>
      </c>
      <c r="T2040" s="50">
        <f>0.1/2</f>
        <v>0.05</v>
      </c>
      <c r="U2040" s="131">
        <f>1/2</f>
        <v>0.5</v>
      </c>
      <c r="V2040" s="50">
        <v>0.41</v>
      </c>
      <c r="W2040" s="74">
        <f>0.04/2</f>
        <v>0.02</v>
      </c>
      <c r="X2040" s="50">
        <v>0.2</v>
      </c>
      <c r="Y2040" s="74">
        <f>0.013/2</f>
        <v>6.4999999999999997E-3</v>
      </c>
      <c r="Z2040" s="165"/>
    </row>
    <row r="2041" spans="1:32" ht="15" customHeight="1">
      <c r="A2041" s="41" t="s">
        <v>183</v>
      </c>
      <c r="B2041" s="402" t="s">
        <v>846</v>
      </c>
      <c r="C2041" s="113" t="s">
        <v>847</v>
      </c>
      <c r="D2041" s="393" t="s">
        <v>684</v>
      </c>
      <c r="E2041" s="394" t="s">
        <v>848</v>
      </c>
      <c r="G2041" s="405" t="s">
        <v>849</v>
      </c>
      <c r="H2041" s="74">
        <v>2653</v>
      </c>
      <c r="J2041" s="339" t="s">
        <v>4435</v>
      </c>
      <c r="K2041" s="51">
        <v>41452</v>
      </c>
      <c r="L2041" s="173">
        <v>41443</v>
      </c>
      <c r="M2041" s="50">
        <f t="shared" si="113"/>
        <v>9</v>
      </c>
      <c r="N2041" s="50" t="s">
        <v>2</v>
      </c>
      <c r="O2041" s="74">
        <f>1/2</f>
        <v>0.5</v>
      </c>
      <c r="P2041" s="50">
        <v>3.58</v>
      </c>
      <c r="Q2041" s="74">
        <v>7.19</v>
      </c>
      <c r="R2041" s="50">
        <v>618</v>
      </c>
      <c r="S2041" s="74">
        <v>578</v>
      </c>
      <c r="T2041" s="50">
        <v>0.1</v>
      </c>
      <c r="U2041" s="131">
        <v>4.5999999999999996</v>
      </c>
      <c r="V2041" s="50">
        <v>2.4300000000000002</v>
      </c>
      <c r="W2041" s="74">
        <v>4.7E-2</v>
      </c>
      <c r="X2041" s="50">
        <v>0.35599999999999998</v>
      </c>
      <c r="Y2041" s="74">
        <v>2.5999999999999999E-2</v>
      </c>
      <c r="Z2041" s="165">
        <v>1</v>
      </c>
      <c r="AA2041" s="271">
        <v>1</v>
      </c>
      <c r="AB2041" s="114">
        <v>76.08</v>
      </c>
      <c r="AC2041" s="50">
        <v>330</v>
      </c>
      <c r="AD2041" s="271">
        <v>1</v>
      </c>
    </row>
    <row r="2042" spans="1:32" ht="15" customHeight="1">
      <c r="A2042" s="41" t="s">
        <v>183</v>
      </c>
      <c r="B2042" s="402" t="s">
        <v>1071</v>
      </c>
      <c r="D2042" s="393" t="s">
        <v>372</v>
      </c>
      <c r="E2042" s="394" t="s">
        <v>1072</v>
      </c>
      <c r="G2042" s="405" t="s">
        <v>1073</v>
      </c>
      <c r="H2042" s="49">
        <v>3471</v>
      </c>
      <c r="I2042" s="50" t="s">
        <v>2</v>
      </c>
      <c r="J2042" s="76" t="s">
        <v>1030</v>
      </c>
      <c r="K2042" s="51">
        <v>41488</v>
      </c>
      <c r="L2042" s="173">
        <v>41481</v>
      </c>
      <c r="M2042" s="50">
        <f t="shared" si="113"/>
        <v>7</v>
      </c>
      <c r="N2042" s="50" t="s">
        <v>2</v>
      </c>
      <c r="O2042" s="74">
        <f>2.5/2</f>
        <v>1.25</v>
      </c>
      <c r="P2042" s="50">
        <v>4.5</v>
      </c>
      <c r="Q2042" s="74">
        <v>5.98</v>
      </c>
      <c r="R2042" s="50">
        <v>20</v>
      </c>
      <c r="S2042" s="74">
        <f>5/2</f>
        <v>2.5</v>
      </c>
      <c r="T2042" s="50">
        <f>0.1/2</f>
        <v>0.05</v>
      </c>
      <c r="U2042" s="131">
        <f>1/2</f>
        <v>0.5</v>
      </c>
      <c r="V2042" s="50">
        <v>0.51</v>
      </c>
      <c r="W2042" s="74">
        <f>0.04/2</f>
        <v>0.02</v>
      </c>
      <c r="X2042" s="50">
        <v>0.14000000000000001</v>
      </c>
      <c r="Y2042" s="74">
        <f>0.013/2</f>
        <v>6.4999999999999997E-3</v>
      </c>
      <c r="Z2042" s="165"/>
    </row>
    <row r="2043" spans="1:32" ht="15" customHeight="1">
      <c r="A2043" s="41" t="s">
        <v>183</v>
      </c>
      <c r="B2043" s="402" t="s">
        <v>1267</v>
      </c>
      <c r="C2043" s="113" t="s">
        <v>1268</v>
      </c>
      <c r="D2043" s="393" t="s">
        <v>205</v>
      </c>
      <c r="E2043" s="394" t="s">
        <v>1269</v>
      </c>
      <c r="G2043" s="405" t="s">
        <v>1270</v>
      </c>
      <c r="H2043" s="49">
        <v>3724</v>
      </c>
      <c r="I2043" s="50" t="s">
        <v>2</v>
      </c>
      <c r="J2043" s="76" t="s">
        <v>687</v>
      </c>
      <c r="K2043" s="51">
        <v>41402</v>
      </c>
      <c r="L2043" s="173">
        <v>41384</v>
      </c>
      <c r="M2043" s="50">
        <f t="shared" si="113"/>
        <v>18</v>
      </c>
      <c r="N2043" s="50" t="s">
        <v>2</v>
      </c>
      <c r="O2043" s="74">
        <f>1/2</f>
        <v>0.5</v>
      </c>
      <c r="P2043" s="50">
        <v>4.62</v>
      </c>
      <c r="Q2043" s="74">
        <v>5.66</v>
      </c>
      <c r="S2043" s="74">
        <v>100</v>
      </c>
      <c r="T2043" s="50">
        <v>0.47399999999999998</v>
      </c>
      <c r="U2043" s="131">
        <v>4.34</v>
      </c>
      <c r="V2043" s="50">
        <v>0.224</v>
      </c>
      <c r="W2043" s="74">
        <v>2.86E-2</v>
      </c>
      <c r="X2043" s="50">
        <v>0.106</v>
      </c>
      <c r="Y2043" s="74">
        <v>9.5999999999999992E-3</v>
      </c>
      <c r="Z2043" s="165">
        <v>1</v>
      </c>
      <c r="AA2043" s="271">
        <v>1</v>
      </c>
      <c r="AB2043" s="114">
        <v>10</v>
      </c>
      <c r="AC2043" s="50">
        <v>58</v>
      </c>
      <c r="AD2043" s="271">
        <v>1</v>
      </c>
    </row>
    <row r="2044" spans="1:32" ht="15" customHeight="1">
      <c r="A2044" s="41" t="s">
        <v>183</v>
      </c>
      <c r="B2044" s="402" t="s">
        <v>1267</v>
      </c>
      <c r="C2044" s="113" t="s">
        <v>1268</v>
      </c>
      <c r="D2044" s="393" t="s">
        <v>205</v>
      </c>
      <c r="E2044" s="394" t="s">
        <v>1269</v>
      </c>
      <c r="G2044" s="405" t="s">
        <v>1270</v>
      </c>
      <c r="H2044" s="49">
        <v>3724</v>
      </c>
      <c r="I2044" s="50" t="s">
        <v>2</v>
      </c>
      <c r="J2044" s="76" t="s">
        <v>1271</v>
      </c>
      <c r="K2044" s="51">
        <v>41402</v>
      </c>
      <c r="L2044" s="173">
        <v>41384</v>
      </c>
      <c r="M2044" s="50">
        <f t="shared" si="113"/>
        <v>18</v>
      </c>
      <c r="N2044" s="50" t="s">
        <v>2</v>
      </c>
      <c r="O2044" s="74">
        <f>1/2</f>
        <v>0.5</v>
      </c>
      <c r="P2044" s="50">
        <v>4.62</v>
      </c>
      <c r="Q2044" s="74">
        <v>5.72</v>
      </c>
      <c r="S2044" s="74">
        <v>27</v>
      </c>
      <c r="T2044" s="50">
        <v>0.68100000000000005</v>
      </c>
      <c r="U2044" s="131">
        <v>4.55</v>
      </c>
      <c r="V2044" s="50">
        <v>0.10299999999999999</v>
      </c>
      <c r="W2044" s="74">
        <v>7.1999999999999998E-3</v>
      </c>
      <c r="X2044" s="50">
        <v>4.7699999999999999E-2</v>
      </c>
      <c r="Y2044" s="74">
        <f>0.0075</f>
        <v>7.4999999999999997E-3</v>
      </c>
      <c r="Z2044" s="165">
        <v>1</v>
      </c>
      <c r="AA2044" s="271">
        <v>1</v>
      </c>
      <c r="AB2044" s="114">
        <v>14</v>
      </c>
      <c r="AC2044" s="50">
        <v>13</v>
      </c>
      <c r="AD2044" s="271">
        <v>1</v>
      </c>
    </row>
    <row r="2045" spans="1:32" ht="15" customHeight="1">
      <c r="A2045" s="41" t="s">
        <v>183</v>
      </c>
      <c r="B2045" s="402" t="s">
        <v>4453</v>
      </c>
      <c r="D2045" s="393" t="s">
        <v>1683</v>
      </c>
      <c r="E2045" s="394" t="s">
        <v>304</v>
      </c>
      <c r="G2045" s="405" t="s">
        <v>4454</v>
      </c>
      <c r="H2045" s="74">
        <v>3069</v>
      </c>
      <c r="J2045" s="339">
        <v>1</v>
      </c>
      <c r="K2045" s="51">
        <v>41402</v>
      </c>
      <c r="L2045" s="173"/>
      <c r="N2045" s="50" t="s">
        <v>2</v>
      </c>
      <c r="O2045" s="74">
        <f>5/2</f>
        <v>2.5</v>
      </c>
      <c r="P2045" s="50">
        <v>7.09</v>
      </c>
      <c r="Q2045" s="74">
        <v>5.58</v>
      </c>
      <c r="R2045" s="50">
        <v>280</v>
      </c>
      <c r="S2045" s="74">
        <v>250</v>
      </c>
      <c r="T2045" s="50">
        <v>0.7</v>
      </c>
      <c r="U2045" s="131">
        <v>15</v>
      </c>
      <c r="V2045" s="50">
        <v>3.2</v>
      </c>
      <c r="W2045" s="74">
        <v>0.1</v>
      </c>
      <c r="X2045" s="50">
        <v>1.8</v>
      </c>
      <c r="Y2045" s="74">
        <v>5.7000000000000002E-2</v>
      </c>
      <c r="Z2045" s="165">
        <v>1</v>
      </c>
      <c r="AA2045" s="271">
        <v>0.80600000000000005</v>
      </c>
      <c r="AB2045" s="114">
        <v>60</v>
      </c>
      <c r="AC2045" s="50">
        <v>266</v>
      </c>
      <c r="AD2045" s="271">
        <v>0.2</v>
      </c>
    </row>
    <row r="2046" spans="1:32" ht="15" customHeight="1">
      <c r="A2046" s="41" t="s">
        <v>183</v>
      </c>
      <c r="B2046" s="402" t="s">
        <v>4453</v>
      </c>
      <c r="D2046" s="393" t="s">
        <v>1683</v>
      </c>
      <c r="E2046" s="394" t="s">
        <v>304</v>
      </c>
      <c r="G2046" s="405" t="s">
        <v>4454</v>
      </c>
      <c r="H2046" s="74">
        <v>3069</v>
      </c>
      <c r="J2046" s="339" t="s">
        <v>5159</v>
      </c>
      <c r="K2046" s="51">
        <v>41402</v>
      </c>
      <c r="L2046" s="173"/>
      <c r="N2046" s="50" t="s">
        <v>2</v>
      </c>
      <c r="O2046" s="74">
        <f>5/2</f>
        <v>2.5</v>
      </c>
      <c r="P2046" s="50">
        <v>7.09</v>
      </c>
      <c r="Q2046" s="74">
        <v>5.51</v>
      </c>
      <c r="R2046" s="50">
        <v>680</v>
      </c>
      <c r="S2046" s="74">
        <v>63</v>
      </c>
      <c r="T2046" s="50">
        <v>1.5</v>
      </c>
      <c r="U2046" s="131">
        <v>22</v>
      </c>
      <c r="V2046" s="50">
        <f>0.1/2</f>
        <v>0.05</v>
      </c>
      <c r="W2046" s="74">
        <v>0.17</v>
      </c>
      <c r="X2046" s="50">
        <v>0.61</v>
      </c>
      <c r="Y2046" s="74">
        <f>0.013/2</f>
        <v>6.4999999999999997E-3</v>
      </c>
      <c r="Z2046" s="165">
        <v>1</v>
      </c>
      <c r="AA2046" s="271">
        <v>0.63700000000000001</v>
      </c>
      <c r="AB2046" s="114">
        <v>18</v>
      </c>
      <c r="AC2046" s="50">
        <v>375</v>
      </c>
      <c r="AD2046" s="271">
        <v>0</v>
      </c>
    </row>
    <row r="2047" spans="1:32" ht="15" customHeight="1">
      <c r="A2047" s="41" t="s">
        <v>183</v>
      </c>
      <c r="B2047" s="402" t="s">
        <v>3102</v>
      </c>
      <c r="C2047" s="113" t="s">
        <v>3103</v>
      </c>
      <c r="D2047" s="393" t="s">
        <v>262</v>
      </c>
      <c r="E2047" s="394" t="s">
        <v>3104</v>
      </c>
      <c r="F2047" s="86" t="s">
        <v>2667</v>
      </c>
      <c r="G2047" s="405" t="s">
        <v>2373</v>
      </c>
      <c r="H2047" s="74">
        <v>3316</v>
      </c>
      <c r="I2047" s="50" t="s">
        <v>2</v>
      </c>
      <c r="J2047" s="48" t="s">
        <v>81</v>
      </c>
      <c r="K2047" s="51">
        <v>41487</v>
      </c>
      <c r="L2047" s="173">
        <v>41481</v>
      </c>
      <c r="M2047" s="50">
        <f t="shared" ref="M2047:M2063" si="114">K2047-L2047</f>
        <v>6</v>
      </c>
      <c r="N2047" s="50" t="s">
        <v>2</v>
      </c>
      <c r="O2047" s="74">
        <f>1/2</f>
        <v>0.5</v>
      </c>
      <c r="P2047" s="50">
        <v>7</v>
      </c>
      <c r="Q2047" s="74">
        <v>6.87</v>
      </c>
      <c r="R2047" s="50">
        <v>11.3</v>
      </c>
      <c r="S2047" s="74">
        <f>1/2</f>
        <v>0.5</v>
      </c>
      <c r="T2047" s="50">
        <v>0.06</v>
      </c>
      <c r="U2047" s="131">
        <v>1.3</v>
      </c>
      <c r="V2047" s="50">
        <v>1.05</v>
      </c>
      <c r="W2047" s="74">
        <v>2.5000000000000001E-2</v>
      </c>
      <c r="X2047" s="50">
        <v>0.16900000000000001</v>
      </c>
      <c r="Y2047" s="74">
        <v>0.02</v>
      </c>
      <c r="Z2047" s="165">
        <v>0.70699999999999996</v>
      </c>
      <c r="AA2047" s="271">
        <v>0.59499999999999997</v>
      </c>
      <c r="AB2047" s="114">
        <v>5.47</v>
      </c>
      <c r="AC2047" s="50">
        <v>29</v>
      </c>
      <c r="AD2047" s="271">
        <v>0</v>
      </c>
    </row>
    <row r="2048" spans="1:32" ht="15" customHeight="1">
      <c r="A2048" s="41" t="s">
        <v>183</v>
      </c>
      <c r="B2048" s="402" t="s">
        <v>2516</v>
      </c>
      <c r="D2048" s="393" t="s">
        <v>89</v>
      </c>
      <c r="E2048" s="394" t="s">
        <v>535</v>
      </c>
      <c r="G2048" s="405" t="s">
        <v>2517</v>
      </c>
      <c r="H2048" s="74">
        <v>3827</v>
      </c>
      <c r="I2048" s="50" t="s">
        <v>1</v>
      </c>
      <c r="J2048" s="339" t="s">
        <v>5160</v>
      </c>
      <c r="K2048" s="51">
        <v>41431</v>
      </c>
      <c r="L2048" s="173">
        <v>41428</v>
      </c>
      <c r="M2048" s="50">
        <f t="shared" si="114"/>
        <v>3</v>
      </c>
      <c r="N2048" s="50" t="s">
        <v>2</v>
      </c>
      <c r="O2048" s="74">
        <f>1.4/2</f>
        <v>0.7</v>
      </c>
      <c r="P2048" s="50">
        <v>5.87</v>
      </c>
      <c r="Q2048" s="74">
        <v>7.68</v>
      </c>
      <c r="R2048" s="50">
        <v>45</v>
      </c>
      <c r="S2048" s="74">
        <v>19</v>
      </c>
      <c r="T2048" s="50">
        <v>0.44</v>
      </c>
      <c r="U2048" s="131">
        <v>2.71</v>
      </c>
      <c r="V2048" s="50">
        <v>0.6</v>
      </c>
      <c r="W2048" s="74">
        <v>3.4000000000000002E-2</v>
      </c>
      <c r="X2048" s="50">
        <v>9.5000000000000001E-2</v>
      </c>
      <c r="Y2048" s="74">
        <v>7.0000000000000001E-3</v>
      </c>
      <c r="Z2048" s="165">
        <v>1</v>
      </c>
      <c r="AA2048" s="271">
        <v>1</v>
      </c>
      <c r="AB2048" s="114">
        <v>18</v>
      </c>
      <c r="AC2048" s="50">
        <v>230</v>
      </c>
      <c r="AD2048" s="271">
        <v>1</v>
      </c>
      <c r="AE2048" s="50">
        <v>10</v>
      </c>
      <c r="AF2048" s="49">
        <v>24200</v>
      </c>
    </row>
    <row r="2049" spans="1:32" ht="15" customHeight="1">
      <c r="A2049" s="41" t="s">
        <v>183</v>
      </c>
      <c r="B2049" s="402" t="s">
        <v>2516</v>
      </c>
      <c r="D2049" s="393" t="s">
        <v>89</v>
      </c>
      <c r="E2049" s="394" t="s">
        <v>535</v>
      </c>
      <c r="G2049" s="405" t="s">
        <v>2517</v>
      </c>
      <c r="H2049" s="74">
        <v>3827</v>
      </c>
      <c r="I2049" s="50" t="s">
        <v>1</v>
      </c>
      <c r="J2049" s="339" t="s">
        <v>5161</v>
      </c>
      <c r="K2049" s="51">
        <v>41432</v>
      </c>
      <c r="L2049" s="173">
        <v>41428</v>
      </c>
      <c r="M2049" s="50">
        <f t="shared" si="114"/>
        <v>4</v>
      </c>
      <c r="N2049" s="50" t="s">
        <v>2</v>
      </c>
      <c r="O2049" s="74">
        <f>1.4/2</f>
        <v>0.7</v>
      </c>
      <c r="P2049" s="50">
        <v>5.87</v>
      </c>
      <c r="Q2049" s="74">
        <v>8.14</v>
      </c>
      <c r="R2049" s="50">
        <f>10/2</f>
        <v>5</v>
      </c>
      <c r="S2049" s="74">
        <f>5/2</f>
        <v>2.5</v>
      </c>
      <c r="T2049" s="50">
        <v>0.03</v>
      </c>
      <c r="U2049" s="131">
        <v>0.19</v>
      </c>
      <c r="V2049" s="50">
        <v>0.11</v>
      </c>
      <c r="W2049" s="74">
        <f>0.005/2</f>
        <v>2.5000000000000001E-3</v>
      </c>
      <c r="X2049" s="50">
        <v>1.0999999999999999E-2</v>
      </c>
      <c r="Y2049" s="74">
        <f>0.002/2</f>
        <v>1E-3</v>
      </c>
      <c r="Z2049" s="165">
        <v>1</v>
      </c>
      <c r="AA2049" s="271">
        <v>1</v>
      </c>
      <c r="AB2049" s="114">
        <v>100</v>
      </c>
      <c r="AC2049" s="50">
        <v>254</v>
      </c>
      <c r="AD2049" s="271">
        <v>1</v>
      </c>
      <c r="AE2049" s="50">
        <v>4350</v>
      </c>
      <c r="AF2049" s="49">
        <v>15530</v>
      </c>
    </row>
    <row r="2050" spans="1:32" ht="15" customHeight="1">
      <c r="A2050" s="41" t="s">
        <v>183</v>
      </c>
      <c r="B2050" s="402" t="s">
        <v>2516</v>
      </c>
      <c r="D2050" s="393" t="s">
        <v>89</v>
      </c>
      <c r="E2050" s="394" t="s">
        <v>535</v>
      </c>
      <c r="G2050" s="405" t="s">
        <v>2517</v>
      </c>
      <c r="H2050" s="74">
        <v>3827</v>
      </c>
      <c r="I2050" s="50" t="s">
        <v>1</v>
      </c>
      <c r="J2050" s="339" t="s">
        <v>5162</v>
      </c>
      <c r="K2050" s="51">
        <v>41431</v>
      </c>
      <c r="L2050" s="173">
        <v>41428</v>
      </c>
      <c r="M2050" s="50">
        <f t="shared" si="114"/>
        <v>3</v>
      </c>
      <c r="N2050" s="50" t="s">
        <v>2</v>
      </c>
      <c r="O2050" s="74">
        <f>1.4/2</f>
        <v>0.7</v>
      </c>
      <c r="P2050" s="50">
        <v>5.87</v>
      </c>
      <c r="Q2050" s="74">
        <v>8.02</v>
      </c>
      <c r="R2050" s="50">
        <v>47</v>
      </c>
      <c r="S2050" s="74">
        <v>17</v>
      </c>
      <c r="T2050" s="50">
        <v>0.15</v>
      </c>
      <c r="U2050" s="131">
        <v>1.23</v>
      </c>
      <c r="V2050" s="50">
        <v>0.39</v>
      </c>
      <c r="W2050" s="74">
        <v>1.2E-2</v>
      </c>
      <c r="X2050" s="50">
        <v>0.121</v>
      </c>
      <c r="Y2050" s="74">
        <f>0.002/2</f>
        <v>1E-3</v>
      </c>
      <c r="Z2050" s="165">
        <v>1</v>
      </c>
      <c r="AA2050" s="271">
        <v>1</v>
      </c>
      <c r="AB2050" s="114">
        <v>90</v>
      </c>
      <c r="AC2050" s="50">
        <v>409</v>
      </c>
      <c r="AD2050" s="271">
        <v>1</v>
      </c>
      <c r="AE2050" s="50">
        <v>1610</v>
      </c>
      <c r="AF2050" s="49" t="s">
        <v>964</v>
      </c>
    </row>
    <row r="2051" spans="1:32" ht="15" customHeight="1">
      <c r="A2051" s="41" t="s">
        <v>183</v>
      </c>
      <c r="B2051" s="402" t="s">
        <v>2283</v>
      </c>
      <c r="D2051" s="393" t="s">
        <v>303</v>
      </c>
      <c r="G2051" s="405" t="s">
        <v>2284</v>
      </c>
      <c r="H2051" s="113">
        <v>325510</v>
      </c>
      <c r="I2051" s="49" t="s">
        <v>2</v>
      </c>
      <c r="J2051" s="339"/>
      <c r="K2051" s="51">
        <v>41487</v>
      </c>
      <c r="L2051" s="173">
        <v>41481</v>
      </c>
      <c r="M2051" s="50">
        <f t="shared" si="114"/>
        <v>6</v>
      </c>
      <c r="N2051" s="50" t="s">
        <v>2</v>
      </c>
      <c r="O2051" s="74">
        <f>1/2</f>
        <v>0.5</v>
      </c>
      <c r="P2051" s="50">
        <v>4.67</v>
      </c>
      <c r="Q2051" s="74">
        <v>5.13</v>
      </c>
      <c r="R2051" s="50">
        <v>86</v>
      </c>
      <c r="S2051" s="74">
        <v>8</v>
      </c>
      <c r="T2051" s="50">
        <v>0.3</v>
      </c>
      <c r="U2051" s="131">
        <v>2.73</v>
      </c>
      <c r="V2051" s="50">
        <v>1.5</v>
      </c>
      <c r="W2051" s="74">
        <v>0.18</v>
      </c>
      <c r="X2051" s="50">
        <v>0.09</v>
      </c>
      <c r="Y2051" s="74">
        <f>0.05/2</f>
        <v>2.5000000000000001E-2</v>
      </c>
      <c r="Z2051" s="165"/>
      <c r="AB2051" s="114">
        <v>1.3</v>
      </c>
    </row>
    <row r="2052" spans="1:32" ht="15" customHeight="1">
      <c r="A2052" s="41" t="s">
        <v>183</v>
      </c>
      <c r="B2052" s="386" t="s">
        <v>956</v>
      </c>
      <c r="C2052" s="149" t="s">
        <v>381</v>
      </c>
      <c r="D2052" s="392" t="s">
        <v>350</v>
      </c>
      <c r="E2052" s="258" t="s">
        <v>382</v>
      </c>
      <c r="F2052" s="386"/>
      <c r="G2052" s="389" t="s">
        <v>383</v>
      </c>
      <c r="H2052" s="55">
        <v>4151</v>
      </c>
      <c r="I2052" s="54" t="s">
        <v>2</v>
      </c>
      <c r="J2052" s="61" t="s">
        <v>81</v>
      </c>
      <c r="K2052" s="51">
        <v>41345</v>
      </c>
      <c r="L2052" s="173">
        <v>41339</v>
      </c>
      <c r="M2052" s="50">
        <f t="shared" si="114"/>
        <v>6</v>
      </c>
      <c r="N2052" s="50" t="s">
        <v>2</v>
      </c>
      <c r="O2052" s="74">
        <v>2.5</v>
      </c>
      <c r="P2052" s="50">
        <v>5.86</v>
      </c>
      <c r="Q2052" s="74">
        <v>7.41</v>
      </c>
      <c r="R2052" s="50">
        <v>40.200000000000003</v>
      </c>
      <c r="S2052" s="74">
        <v>220</v>
      </c>
      <c r="T2052" s="50">
        <v>0.26</v>
      </c>
      <c r="U2052" s="131">
        <v>0.63</v>
      </c>
      <c r="V2052" s="50">
        <f>0.2/2</f>
        <v>0.1</v>
      </c>
      <c r="W2052" s="74">
        <v>0.02</v>
      </c>
      <c r="X2052" s="50">
        <v>0.11</v>
      </c>
      <c r="Y2052" s="74">
        <f>0.02/2</f>
        <v>0.01</v>
      </c>
      <c r="Z2052" s="165"/>
    </row>
    <row r="2053" spans="1:32" ht="15" customHeight="1">
      <c r="A2053" s="41" t="s">
        <v>183</v>
      </c>
      <c r="B2053" s="402" t="s">
        <v>2319</v>
      </c>
      <c r="D2053" s="393" t="s">
        <v>1881</v>
      </c>
      <c r="E2053" s="394" t="s">
        <v>49</v>
      </c>
      <c r="F2053" s="402">
        <v>4500</v>
      </c>
      <c r="G2053" s="405" t="s">
        <v>2320</v>
      </c>
      <c r="H2053" s="74">
        <v>2621</v>
      </c>
      <c r="I2053" s="50" t="s">
        <v>1</v>
      </c>
      <c r="J2053" s="339" t="s">
        <v>5163</v>
      </c>
      <c r="K2053" s="51">
        <v>41478</v>
      </c>
      <c r="L2053" s="173">
        <v>41477</v>
      </c>
      <c r="M2053" s="50">
        <f t="shared" si="114"/>
        <v>1</v>
      </c>
      <c r="N2053" s="50" t="s">
        <v>2</v>
      </c>
      <c r="O2053" s="74">
        <f>1.4/2</f>
        <v>0.7</v>
      </c>
      <c r="P2053" s="50">
        <v>5.76</v>
      </c>
      <c r="Q2053" s="74">
        <v>7.19</v>
      </c>
      <c r="R2053" s="50">
        <v>28</v>
      </c>
      <c r="S2053" s="74">
        <v>11</v>
      </c>
      <c r="T2053" s="50">
        <v>0.14000000000000001</v>
      </c>
      <c r="U2053" s="131">
        <v>0.97</v>
      </c>
      <c r="V2053" s="50">
        <v>0.4</v>
      </c>
      <c r="W2053" s="74">
        <v>7.0000000000000001E-3</v>
      </c>
      <c r="X2053" s="50">
        <v>0.19</v>
      </c>
      <c r="Y2053" s="74">
        <f>0.002/2</f>
        <v>1E-3</v>
      </c>
      <c r="Z2053" s="165"/>
    </row>
    <row r="2054" spans="1:32" ht="15" customHeight="1">
      <c r="A2054" s="41" t="s">
        <v>183</v>
      </c>
      <c r="B2054" s="402" t="s">
        <v>1926</v>
      </c>
      <c r="D2054" s="393" t="s">
        <v>1505</v>
      </c>
      <c r="E2054" s="394" t="s">
        <v>44</v>
      </c>
      <c r="G2054" s="405" t="s">
        <v>1927</v>
      </c>
      <c r="H2054" s="113">
        <v>3479</v>
      </c>
      <c r="I2054" s="49" t="s">
        <v>2</v>
      </c>
      <c r="J2054" s="48" t="s">
        <v>366</v>
      </c>
      <c r="K2054" s="51">
        <v>41487</v>
      </c>
      <c r="L2054" s="173">
        <v>41480</v>
      </c>
      <c r="M2054" s="50">
        <f t="shared" si="114"/>
        <v>7</v>
      </c>
      <c r="N2054" s="50" t="s">
        <v>2</v>
      </c>
      <c r="O2054" s="74">
        <f>1.5/2</f>
        <v>0.75</v>
      </c>
      <c r="P2054" s="50">
        <v>5.05</v>
      </c>
      <c r="Q2054" s="74">
        <v>4.8600000000000003</v>
      </c>
      <c r="R2054" s="50">
        <v>19</v>
      </c>
      <c r="S2054" s="74">
        <f>5/2</f>
        <v>2.5</v>
      </c>
      <c r="T2054" s="50">
        <v>0.03</v>
      </c>
      <c r="U2054" s="131">
        <v>0.54</v>
      </c>
      <c r="V2054" s="50">
        <v>0.52</v>
      </c>
      <c r="W2054" s="74">
        <v>1.2E-2</v>
      </c>
      <c r="X2054" s="50">
        <v>0.28000000000000003</v>
      </c>
      <c r="Y2054" s="74">
        <v>3.0000000000000001E-3</v>
      </c>
      <c r="Z2054" s="165"/>
    </row>
    <row r="2055" spans="1:32" ht="15" customHeight="1">
      <c r="A2055" s="41" t="s">
        <v>183</v>
      </c>
      <c r="B2055" s="402" t="s">
        <v>1926</v>
      </c>
      <c r="D2055" s="393" t="s">
        <v>1505</v>
      </c>
      <c r="E2055" s="394" t="s">
        <v>44</v>
      </c>
      <c r="G2055" s="405" t="s">
        <v>1927</v>
      </c>
      <c r="H2055" s="113">
        <v>3479</v>
      </c>
      <c r="I2055" s="49" t="s">
        <v>2</v>
      </c>
      <c r="J2055" s="48" t="s">
        <v>593</v>
      </c>
      <c r="K2055" s="51">
        <v>41487</v>
      </c>
      <c r="L2055" s="173">
        <v>41480</v>
      </c>
      <c r="M2055" s="50">
        <f t="shared" si="114"/>
        <v>7</v>
      </c>
      <c r="N2055" s="50" t="s">
        <v>2</v>
      </c>
      <c r="O2055" s="74">
        <f>1.4/2</f>
        <v>0.7</v>
      </c>
      <c r="P2055" s="50">
        <v>5.05</v>
      </c>
      <c r="Q2055" s="74">
        <v>5.35</v>
      </c>
      <c r="R2055" s="50">
        <v>71</v>
      </c>
      <c r="S2055" s="74">
        <v>5</v>
      </c>
      <c r="T2055" s="50">
        <v>0.12</v>
      </c>
      <c r="U2055" s="131">
        <v>2.5499999999999998</v>
      </c>
      <c r="V2055" s="50">
        <v>1.49</v>
      </c>
      <c r="W2055" s="74">
        <v>1.4E-2</v>
      </c>
      <c r="X2055" s="50">
        <v>5.5E-2</v>
      </c>
      <c r="Y2055" s="74">
        <f>0.002/2</f>
        <v>1E-3</v>
      </c>
      <c r="Z2055" s="165"/>
    </row>
    <row r="2056" spans="1:32" ht="15" customHeight="1">
      <c r="A2056" s="41" t="s">
        <v>183</v>
      </c>
      <c r="B2056" s="402" t="s">
        <v>1926</v>
      </c>
      <c r="D2056" s="393" t="s">
        <v>1505</v>
      </c>
      <c r="E2056" s="394" t="s">
        <v>44</v>
      </c>
      <c r="G2056" s="405" t="s">
        <v>1927</v>
      </c>
      <c r="H2056" s="113">
        <v>3479</v>
      </c>
      <c r="I2056" s="49" t="s">
        <v>2</v>
      </c>
      <c r="J2056" s="48" t="s">
        <v>477</v>
      </c>
      <c r="K2056" s="51">
        <v>41487</v>
      </c>
      <c r="L2056" s="173">
        <v>41480</v>
      </c>
      <c r="M2056" s="50">
        <f t="shared" si="114"/>
        <v>7</v>
      </c>
      <c r="N2056" s="50" t="s">
        <v>2</v>
      </c>
      <c r="O2056" s="74">
        <f>1.4/2</f>
        <v>0.7</v>
      </c>
      <c r="P2056" s="50">
        <v>5.05</v>
      </c>
      <c r="Q2056" s="74">
        <v>4.93</v>
      </c>
      <c r="R2056" s="50">
        <v>137</v>
      </c>
      <c r="S2056" s="74">
        <v>11</v>
      </c>
      <c r="T2056" s="50">
        <v>0.2</v>
      </c>
      <c r="U2056" s="131">
        <v>3.4</v>
      </c>
      <c r="V2056" s="50">
        <v>2.09</v>
      </c>
      <c r="W2056" s="74">
        <v>0.14299999999999999</v>
      </c>
      <c r="X2056" s="50">
        <v>2.87</v>
      </c>
      <c r="Y2056" s="74">
        <f>0.002/2</f>
        <v>1E-3</v>
      </c>
      <c r="Z2056" s="165"/>
    </row>
    <row r="2057" spans="1:32" ht="15" customHeight="1">
      <c r="A2057" s="41" t="s">
        <v>183</v>
      </c>
      <c r="B2057" s="386" t="s">
        <v>432</v>
      </c>
      <c r="C2057" s="149" t="s">
        <v>432</v>
      </c>
      <c r="D2057" s="392" t="s">
        <v>434</v>
      </c>
      <c r="E2057" s="258" t="s">
        <v>433</v>
      </c>
      <c r="F2057" s="386"/>
      <c r="G2057" s="389" t="s">
        <v>435</v>
      </c>
      <c r="H2057" s="55">
        <v>3644</v>
      </c>
      <c r="I2057" s="54" t="s">
        <v>2</v>
      </c>
      <c r="J2057" s="61" t="s">
        <v>81</v>
      </c>
      <c r="K2057" s="51">
        <v>41499</v>
      </c>
      <c r="L2057" s="173">
        <v>41496</v>
      </c>
      <c r="M2057" s="50">
        <f t="shared" si="114"/>
        <v>3</v>
      </c>
      <c r="N2057" s="50" t="s">
        <v>2</v>
      </c>
      <c r="O2057" s="74">
        <f>5/2</f>
        <v>2.5</v>
      </c>
      <c r="P2057" s="50">
        <v>6.21</v>
      </c>
      <c r="Q2057" s="74">
        <v>6.21</v>
      </c>
      <c r="R2057" s="50">
        <v>140</v>
      </c>
      <c r="S2057" s="74">
        <v>6</v>
      </c>
      <c r="T2057" s="50">
        <f>0.1/2</f>
        <v>0.05</v>
      </c>
      <c r="U2057" s="131">
        <v>3.7</v>
      </c>
      <c r="V2057" s="50">
        <v>1.4</v>
      </c>
      <c r="W2057" s="74">
        <f>0.04/2</f>
        <v>0.02</v>
      </c>
      <c r="X2057" s="50">
        <v>4.4000000000000004</v>
      </c>
      <c r="Y2057" s="74">
        <f>0.013</f>
        <v>1.2999999999999999E-2</v>
      </c>
      <c r="Z2057" s="165"/>
    </row>
    <row r="2058" spans="1:32" ht="15" customHeight="1">
      <c r="A2058" s="41" t="s">
        <v>183</v>
      </c>
      <c r="B2058" s="386" t="s">
        <v>956</v>
      </c>
      <c r="C2058" s="149" t="s">
        <v>378</v>
      </c>
      <c r="D2058" s="392" t="s">
        <v>379</v>
      </c>
      <c r="E2058" s="258" t="s">
        <v>214</v>
      </c>
      <c r="F2058" s="386"/>
      <c r="G2058" s="389" t="s">
        <v>380</v>
      </c>
      <c r="H2058" s="55">
        <v>4151</v>
      </c>
      <c r="I2058" s="54" t="s">
        <v>2</v>
      </c>
      <c r="J2058" s="61" t="s">
        <v>81</v>
      </c>
      <c r="K2058" s="51">
        <v>41495</v>
      </c>
      <c r="L2058" s="173">
        <v>41487</v>
      </c>
      <c r="M2058" s="50">
        <f t="shared" si="114"/>
        <v>8</v>
      </c>
      <c r="N2058" s="50" t="s">
        <v>2</v>
      </c>
      <c r="O2058" s="74">
        <f>2/2</f>
        <v>1</v>
      </c>
      <c r="P2058" s="50">
        <v>6.2</v>
      </c>
      <c r="Q2058" s="74">
        <v>6.8</v>
      </c>
      <c r="R2058" s="50">
        <v>20</v>
      </c>
      <c r="S2058" s="74">
        <v>35</v>
      </c>
      <c r="T2058" s="50">
        <v>0.16</v>
      </c>
      <c r="U2058" s="131">
        <v>1.1000000000000001</v>
      </c>
      <c r="V2058" s="50">
        <v>1</v>
      </c>
      <c r="W2058" s="74">
        <f>0.01/2</f>
        <v>5.0000000000000001E-3</v>
      </c>
      <c r="X2058" s="50">
        <v>4.3999999999999997E-2</v>
      </c>
      <c r="Y2058" s="74">
        <f>0.03/2</f>
        <v>1.4999999999999999E-2</v>
      </c>
      <c r="Z2058" s="165">
        <v>1</v>
      </c>
      <c r="AA2058" s="271">
        <v>1</v>
      </c>
      <c r="AB2058" s="114">
        <v>35</v>
      </c>
      <c r="AC2058" s="50">
        <v>178</v>
      </c>
      <c r="AD2058" s="271">
        <v>1</v>
      </c>
    </row>
    <row r="2059" spans="1:32" ht="15" customHeight="1">
      <c r="A2059" s="41" t="s">
        <v>183</v>
      </c>
      <c r="B2059" s="402" t="s">
        <v>212</v>
      </c>
      <c r="C2059" s="113" t="s">
        <v>212</v>
      </c>
      <c r="D2059" s="393" t="s">
        <v>213</v>
      </c>
      <c r="E2059" s="394" t="s">
        <v>214</v>
      </c>
      <c r="G2059" s="405" t="s">
        <v>215</v>
      </c>
      <c r="H2059" s="49">
        <v>3442</v>
      </c>
      <c r="I2059" s="50" t="s">
        <v>2</v>
      </c>
      <c r="J2059" s="76" t="s">
        <v>216</v>
      </c>
      <c r="K2059" s="51">
        <v>41465</v>
      </c>
      <c r="L2059" s="173">
        <v>41462</v>
      </c>
      <c r="M2059" s="50">
        <f t="shared" si="114"/>
        <v>3</v>
      </c>
      <c r="N2059" s="50" t="s">
        <v>2</v>
      </c>
      <c r="O2059" s="74">
        <f>1.9/2</f>
        <v>0.95</v>
      </c>
      <c r="Q2059" s="74">
        <v>4.0999999999999996</v>
      </c>
      <c r="R2059" s="50">
        <v>110</v>
      </c>
      <c r="S2059" s="74">
        <v>4</v>
      </c>
      <c r="T2059" s="50">
        <v>8.4000000000000005E-2</v>
      </c>
      <c r="U2059" s="131">
        <v>3.6</v>
      </c>
      <c r="V2059" s="50">
        <v>1.95</v>
      </c>
      <c r="W2059" s="74">
        <v>2.8000000000000001E-2</v>
      </c>
      <c r="X2059" s="50">
        <v>2.3199999999999998</v>
      </c>
      <c r="Y2059" s="74">
        <f>0.005/2</f>
        <v>2.5000000000000001E-3</v>
      </c>
      <c r="Z2059" s="165">
        <v>0.48299999999999998</v>
      </c>
      <c r="AA2059" s="271">
        <v>0.19600000000000001</v>
      </c>
      <c r="AB2059" s="114">
        <v>10</v>
      </c>
      <c r="AC2059" s="50">
        <v>91</v>
      </c>
      <c r="AD2059" s="271">
        <v>0</v>
      </c>
    </row>
    <row r="2060" spans="1:32" ht="15" customHeight="1">
      <c r="A2060" s="41" t="s">
        <v>183</v>
      </c>
      <c r="B2060" s="402" t="s">
        <v>212</v>
      </c>
      <c r="C2060" s="113" t="s">
        <v>212</v>
      </c>
      <c r="D2060" s="393" t="s">
        <v>213</v>
      </c>
      <c r="E2060" s="394" t="s">
        <v>214</v>
      </c>
      <c r="G2060" s="405" t="s">
        <v>215</v>
      </c>
      <c r="H2060" s="49">
        <v>3442</v>
      </c>
      <c r="I2060" s="50" t="s">
        <v>2</v>
      </c>
      <c r="J2060" s="76" t="s">
        <v>217</v>
      </c>
      <c r="K2060" s="51">
        <v>41465</v>
      </c>
      <c r="L2060" s="173">
        <v>41462</v>
      </c>
      <c r="M2060" s="50">
        <f t="shared" si="114"/>
        <v>3</v>
      </c>
      <c r="N2060" s="50" t="s">
        <v>2</v>
      </c>
      <c r="O2060" s="74">
        <f>1.6/2</f>
        <v>0.8</v>
      </c>
      <c r="Q2060" s="74">
        <v>5.9</v>
      </c>
      <c r="R2060" s="50">
        <v>130</v>
      </c>
      <c r="S2060" s="74">
        <v>12.7</v>
      </c>
      <c r="T2060" s="50">
        <v>0.154</v>
      </c>
      <c r="U2060" s="131">
        <v>3.1</v>
      </c>
      <c r="V2060" s="50">
        <v>2.1</v>
      </c>
      <c r="W2060" s="74">
        <v>2.3E-2</v>
      </c>
      <c r="X2060" s="50">
        <v>0.16200000000000001</v>
      </c>
      <c r="Y2060" s="74">
        <f>0.005/2</f>
        <v>2.5000000000000001E-3</v>
      </c>
      <c r="Z2060" s="165">
        <v>1</v>
      </c>
      <c r="AA2060" s="271">
        <v>1</v>
      </c>
      <c r="AB2060" s="114">
        <v>18</v>
      </c>
      <c r="AC2060" s="50">
        <v>86</v>
      </c>
      <c r="AD2060" s="271">
        <v>1</v>
      </c>
    </row>
    <row r="2061" spans="1:32" ht="15" customHeight="1">
      <c r="A2061" s="41" t="s">
        <v>183</v>
      </c>
      <c r="B2061" s="402" t="s">
        <v>212</v>
      </c>
      <c r="C2061" s="113" t="s">
        <v>212</v>
      </c>
      <c r="D2061" s="393" t="s">
        <v>213</v>
      </c>
      <c r="E2061" s="394" t="s">
        <v>214</v>
      </c>
      <c r="G2061" s="405" t="s">
        <v>215</v>
      </c>
      <c r="H2061" s="49">
        <v>3442</v>
      </c>
      <c r="I2061" s="50" t="s">
        <v>2</v>
      </c>
      <c r="J2061" s="76" t="s">
        <v>218</v>
      </c>
      <c r="K2061" s="51">
        <v>41465</v>
      </c>
      <c r="L2061" s="173">
        <v>41462</v>
      </c>
      <c r="M2061" s="50">
        <f t="shared" si="114"/>
        <v>3</v>
      </c>
      <c r="N2061" s="50" t="s">
        <v>2</v>
      </c>
      <c r="O2061" s="74">
        <v>1.9</v>
      </c>
      <c r="Q2061" s="74">
        <v>7.4</v>
      </c>
      <c r="R2061" s="50">
        <v>230</v>
      </c>
      <c r="S2061" s="74">
        <v>100</v>
      </c>
      <c r="T2061" s="50">
        <v>0.28199999999999997</v>
      </c>
      <c r="U2061" s="131">
        <v>2.5</v>
      </c>
      <c r="V2061" s="50">
        <v>1.89</v>
      </c>
      <c r="W2061" s="74">
        <v>5.3999999999999999E-2</v>
      </c>
      <c r="X2061" s="50">
        <v>0.374</v>
      </c>
      <c r="Y2061" s="74">
        <v>1.0999999999999999E-2</v>
      </c>
      <c r="Z2061" s="165">
        <v>1</v>
      </c>
      <c r="AA2061" s="271">
        <v>1</v>
      </c>
      <c r="AB2061" s="114">
        <v>26</v>
      </c>
      <c r="AC2061" s="50">
        <v>161</v>
      </c>
      <c r="AD2061" s="271">
        <v>1</v>
      </c>
    </row>
    <row r="2062" spans="1:32" ht="15" customHeight="1">
      <c r="A2062" s="41" t="s">
        <v>183</v>
      </c>
      <c r="B2062" s="402" t="s">
        <v>212</v>
      </c>
      <c r="C2062" s="113" t="s">
        <v>212</v>
      </c>
      <c r="D2062" s="393" t="s">
        <v>213</v>
      </c>
      <c r="E2062" s="394" t="s">
        <v>214</v>
      </c>
      <c r="G2062" s="405" t="s">
        <v>215</v>
      </c>
      <c r="H2062" s="49">
        <v>3442</v>
      </c>
      <c r="I2062" s="50" t="s">
        <v>2</v>
      </c>
      <c r="J2062" s="76" t="s">
        <v>219</v>
      </c>
      <c r="K2062" s="51">
        <v>41465</v>
      </c>
      <c r="L2062" s="173">
        <v>41462</v>
      </c>
      <c r="M2062" s="50">
        <f t="shared" si="114"/>
        <v>3</v>
      </c>
      <c r="N2062" s="50" t="s">
        <v>2</v>
      </c>
      <c r="O2062" s="74">
        <f>1.7/2</f>
        <v>0.85</v>
      </c>
      <c r="Q2062" s="74">
        <v>6.9</v>
      </c>
      <c r="R2062" s="50">
        <v>91</v>
      </c>
      <c r="S2062" s="74">
        <v>30.5</v>
      </c>
      <c r="T2062" s="50">
        <v>0.111</v>
      </c>
      <c r="U2062" s="131">
        <v>1.7</v>
      </c>
      <c r="V2062" s="50">
        <v>2.15</v>
      </c>
      <c r="W2062" s="74">
        <v>2.4E-2</v>
      </c>
      <c r="X2062" s="50">
        <v>0.17799999999999999</v>
      </c>
      <c r="Y2062" s="74">
        <f>0.005/2</f>
        <v>2.5000000000000001E-3</v>
      </c>
      <c r="Z2062" s="165">
        <v>1</v>
      </c>
      <c r="AA2062" s="271">
        <v>1</v>
      </c>
      <c r="AB2062" s="114">
        <v>28</v>
      </c>
      <c r="AC2062" s="50">
        <v>102</v>
      </c>
      <c r="AD2062" s="271">
        <v>0.95</v>
      </c>
    </row>
    <row r="2063" spans="1:32" ht="15" customHeight="1">
      <c r="A2063" s="41" t="s">
        <v>183</v>
      </c>
      <c r="B2063" s="402" t="s">
        <v>4079</v>
      </c>
      <c r="C2063" s="113" t="s">
        <v>4079</v>
      </c>
      <c r="D2063" s="393" t="s">
        <v>251</v>
      </c>
      <c r="E2063" s="394" t="s">
        <v>5215</v>
      </c>
      <c r="F2063" s="402">
        <v>4402</v>
      </c>
      <c r="G2063" s="405" t="s">
        <v>4078</v>
      </c>
      <c r="H2063" s="74">
        <v>3471</v>
      </c>
      <c r="I2063" s="50" t="s">
        <v>2</v>
      </c>
      <c r="J2063" s="339" t="s">
        <v>255</v>
      </c>
      <c r="K2063" s="51">
        <v>41021</v>
      </c>
      <c r="L2063" s="173">
        <v>41000</v>
      </c>
      <c r="M2063" s="50">
        <f t="shared" si="114"/>
        <v>21</v>
      </c>
      <c r="N2063" s="50" t="s">
        <v>2</v>
      </c>
      <c r="O2063" s="74">
        <v>1</v>
      </c>
      <c r="P2063" s="50">
        <v>5.36</v>
      </c>
      <c r="Q2063" s="74">
        <v>6.47</v>
      </c>
      <c r="R2063" s="50">
        <v>77.8</v>
      </c>
      <c r="S2063" s="74">
        <v>6.5</v>
      </c>
      <c r="T2063" s="50">
        <v>2.0699999999999998</v>
      </c>
      <c r="U2063" s="131">
        <v>4.18</v>
      </c>
      <c r="V2063" s="50">
        <v>0.94</v>
      </c>
      <c r="W2063" s="74">
        <v>0.03</v>
      </c>
      <c r="X2063" s="50">
        <v>0.14000000000000001</v>
      </c>
      <c r="Y2063" s="74">
        <f t="shared" ref="Y2063:Y2068" si="115">0.02/2</f>
        <v>0.01</v>
      </c>
      <c r="Z2063" s="271">
        <v>1</v>
      </c>
      <c r="AA2063" s="271">
        <v>1</v>
      </c>
      <c r="AB2063" s="114">
        <v>15.4</v>
      </c>
      <c r="AC2063" s="50">
        <v>233</v>
      </c>
      <c r="AD2063" s="271">
        <v>1</v>
      </c>
    </row>
    <row r="2064" spans="1:32" ht="15" customHeight="1">
      <c r="A2064" s="41" t="s">
        <v>183</v>
      </c>
      <c r="B2064" s="402" t="s">
        <v>4079</v>
      </c>
      <c r="C2064" s="113" t="s">
        <v>4079</v>
      </c>
      <c r="D2064" s="393" t="s">
        <v>251</v>
      </c>
      <c r="E2064" s="394" t="s">
        <v>5215</v>
      </c>
      <c r="F2064" s="402">
        <v>4402</v>
      </c>
      <c r="G2064" s="405" t="s">
        <v>4078</v>
      </c>
      <c r="H2064" s="74">
        <v>3471</v>
      </c>
      <c r="I2064" s="50" t="s">
        <v>2</v>
      </c>
      <c r="J2064" s="339" t="s">
        <v>255</v>
      </c>
      <c r="K2064" s="51">
        <v>41184</v>
      </c>
      <c r="L2064" s="173"/>
      <c r="N2064" s="50" t="s">
        <v>2</v>
      </c>
      <c r="O2064" s="74">
        <v>1.4</v>
      </c>
      <c r="P2064" s="50">
        <v>5.55</v>
      </c>
      <c r="Q2064" s="74">
        <v>6.27</v>
      </c>
      <c r="R2064" s="50">
        <v>10.3</v>
      </c>
      <c r="S2064" s="74">
        <f>1/2</f>
        <v>0.5</v>
      </c>
      <c r="T2064" s="50">
        <v>1.56</v>
      </c>
      <c r="U2064" s="131">
        <v>0.8</v>
      </c>
      <c r="V2064" s="50">
        <v>0.32</v>
      </c>
      <c r="W2064" s="74">
        <f>0.01/2</f>
        <v>5.0000000000000001E-3</v>
      </c>
      <c r="X2064" s="50">
        <f>0.01/2</f>
        <v>5.0000000000000001E-3</v>
      </c>
      <c r="Y2064" s="74">
        <f t="shared" si="115"/>
        <v>0.01</v>
      </c>
      <c r="Z2064" s="271">
        <v>1</v>
      </c>
      <c r="AA2064" s="271">
        <v>1</v>
      </c>
      <c r="AB2064" s="114">
        <v>2.92</v>
      </c>
      <c r="AC2064" s="50">
        <v>28.6</v>
      </c>
      <c r="AD2064" s="271">
        <v>1</v>
      </c>
    </row>
    <row r="2065" spans="1:30" ht="15" customHeight="1">
      <c r="A2065" s="41" t="s">
        <v>183</v>
      </c>
      <c r="B2065" s="402" t="s">
        <v>4079</v>
      </c>
      <c r="D2065" s="393" t="s">
        <v>251</v>
      </c>
      <c r="E2065" s="394" t="s">
        <v>5215</v>
      </c>
      <c r="F2065" s="402">
        <v>4402</v>
      </c>
      <c r="G2065" s="405" t="s">
        <v>4078</v>
      </c>
      <c r="H2065" s="74">
        <v>3471</v>
      </c>
      <c r="J2065" s="339" t="s">
        <v>510</v>
      </c>
      <c r="K2065" s="51">
        <v>41345</v>
      </c>
      <c r="L2065" s="115">
        <v>41341</v>
      </c>
      <c r="M2065" s="50">
        <f t="shared" ref="M2065:M2075" si="116">K2065-L2065</f>
        <v>4</v>
      </c>
      <c r="N2065" s="50" t="s">
        <v>2</v>
      </c>
      <c r="O2065" s="74">
        <f>1/2</f>
        <v>0.5</v>
      </c>
      <c r="Q2065" s="74">
        <v>6.77</v>
      </c>
      <c r="R2065" s="50">
        <v>22.1</v>
      </c>
      <c r="S2065" s="74">
        <v>23.5</v>
      </c>
      <c r="T2065" s="50">
        <v>0.45</v>
      </c>
      <c r="U2065" s="131">
        <v>1.0900000000000001</v>
      </c>
      <c r="V2065" s="50">
        <v>1.6</v>
      </c>
      <c r="W2065" s="74">
        <v>0.03</v>
      </c>
      <c r="X2065" s="50">
        <v>0.04</v>
      </c>
      <c r="Y2065" s="74">
        <f t="shared" si="115"/>
        <v>0.01</v>
      </c>
      <c r="Z2065" s="271">
        <v>1</v>
      </c>
      <c r="AA2065" s="271">
        <v>1</v>
      </c>
      <c r="AB2065" s="114">
        <v>40.799999999999997</v>
      </c>
      <c r="AC2065" s="50">
        <v>164</v>
      </c>
      <c r="AD2065" s="271">
        <v>1</v>
      </c>
    </row>
    <row r="2066" spans="1:30" ht="15" customHeight="1">
      <c r="A2066" s="41" t="s">
        <v>183</v>
      </c>
      <c r="B2066" s="402" t="s">
        <v>4079</v>
      </c>
      <c r="C2066" s="113" t="s">
        <v>4079</v>
      </c>
      <c r="D2066" s="393" t="s">
        <v>251</v>
      </c>
      <c r="E2066" s="394" t="s">
        <v>5215</v>
      </c>
      <c r="F2066" s="402">
        <v>4402</v>
      </c>
      <c r="G2066" s="405" t="s">
        <v>4078</v>
      </c>
      <c r="H2066" s="74">
        <v>3471</v>
      </c>
      <c r="J2066" s="339" t="s">
        <v>255</v>
      </c>
      <c r="K2066" s="51">
        <v>41428</v>
      </c>
      <c r="L2066" s="173">
        <v>41419</v>
      </c>
      <c r="M2066" s="50">
        <f t="shared" si="116"/>
        <v>9</v>
      </c>
      <c r="N2066" s="50" t="s">
        <v>2</v>
      </c>
      <c r="O2066" s="74">
        <v>1.4</v>
      </c>
      <c r="P2066" s="50">
        <v>5.72</v>
      </c>
      <c r="Q2066" s="74">
        <v>6.45</v>
      </c>
      <c r="R2066" s="50">
        <v>81.900000000000006</v>
      </c>
      <c r="S2066" s="74">
        <v>20</v>
      </c>
      <c r="T2066" s="50">
        <v>0.78</v>
      </c>
      <c r="U2066" s="74">
        <v>3</v>
      </c>
      <c r="V2066" s="50">
        <f>0.2/2</f>
        <v>0.1</v>
      </c>
      <c r="W2066" s="74">
        <v>0.02</v>
      </c>
      <c r="X2066" s="50">
        <v>0.03</v>
      </c>
      <c r="Y2066" s="74">
        <f t="shared" si="115"/>
        <v>0.01</v>
      </c>
    </row>
    <row r="2067" spans="1:30" ht="15" customHeight="1">
      <c r="A2067" s="41" t="s">
        <v>183</v>
      </c>
      <c r="B2067" s="402" t="s">
        <v>4079</v>
      </c>
      <c r="D2067" s="393" t="s">
        <v>251</v>
      </c>
      <c r="E2067" s="394" t="s">
        <v>5215</v>
      </c>
      <c r="F2067" s="402">
        <v>4402</v>
      </c>
      <c r="G2067" s="405" t="s">
        <v>4078</v>
      </c>
      <c r="H2067" s="74">
        <v>3471</v>
      </c>
      <c r="J2067" s="339" t="s">
        <v>510</v>
      </c>
      <c r="K2067" s="51">
        <v>41432</v>
      </c>
      <c r="L2067" s="173">
        <v>41428</v>
      </c>
      <c r="M2067" s="50">
        <f t="shared" si="116"/>
        <v>4</v>
      </c>
      <c r="N2067" s="50" t="s">
        <v>2</v>
      </c>
      <c r="O2067" s="74">
        <f>1/2</f>
        <v>0.5</v>
      </c>
      <c r="P2067" s="50">
        <v>5.33</v>
      </c>
      <c r="Q2067" s="74">
        <v>6.74</v>
      </c>
      <c r="R2067" s="50">
        <v>30</v>
      </c>
      <c r="S2067" s="74">
        <f>1/2</f>
        <v>0.5</v>
      </c>
      <c r="T2067" s="50">
        <v>0.5</v>
      </c>
      <c r="U2067" s="131">
        <v>1.83</v>
      </c>
      <c r="V2067" s="50">
        <f>0.2/2</f>
        <v>0.1</v>
      </c>
      <c r="W2067" s="74">
        <f>0.01/2</f>
        <v>5.0000000000000001E-3</v>
      </c>
      <c r="X2067" s="50">
        <f>0.01/2</f>
        <v>5.0000000000000001E-3</v>
      </c>
      <c r="Y2067" s="74">
        <f t="shared" si="115"/>
        <v>0.01</v>
      </c>
    </row>
    <row r="2068" spans="1:30" ht="15" customHeight="1">
      <c r="A2068" s="41" t="s">
        <v>183</v>
      </c>
      <c r="B2068" s="402" t="s">
        <v>4079</v>
      </c>
      <c r="D2068" s="393" t="s">
        <v>251</v>
      </c>
      <c r="E2068" s="394" t="s">
        <v>5215</v>
      </c>
      <c r="F2068" s="402">
        <v>4402</v>
      </c>
      <c r="G2068" s="405" t="s">
        <v>4078</v>
      </c>
      <c r="H2068" s="74">
        <v>3471</v>
      </c>
      <c r="J2068" s="339" t="s">
        <v>510</v>
      </c>
      <c r="K2068" s="51">
        <v>41595</v>
      </c>
      <c r="L2068" s="173">
        <v>41554</v>
      </c>
      <c r="M2068" s="50">
        <f t="shared" si="116"/>
        <v>41</v>
      </c>
      <c r="N2068" s="50" t="s">
        <v>2</v>
      </c>
      <c r="O2068" s="74">
        <f>1/2</f>
        <v>0.5</v>
      </c>
      <c r="P2068" s="50">
        <v>5.48</v>
      </c>
      <c r="Q2068" s="74">
        <v>6.12</v>
      </c>
      <c r="R2068" s="50">
        <v>52.3</v>
      </c>
      <c r="S2068" s="74">
        <v>3</v>
      </c>
      <c r="T2068" s="50">
        <v>4.41</v>
      </c>
      <c r="U2068" s="131">
        <v>3.51</v>
      </c>
      <c r="V2068" s="50">
        <v>1.7</v>
      </c>
      <c r="W2068" s="74">
        <v>0.02</v>
      </c>
      <c r="X2068" s="50">
        <v>0.11</v>
      </c>
      <c r="Y2068" s="74">
        <f t="shared" si="115"/>
        <v>0.01</v>
      </c>
      <c r="Z2068" s="165"/>
    </row>
    <row r="2069" spans="1:30" ht="15" customHeight="1">
      <c r="A2069" s="41" t="s">
        <v>183</v>
      </c>
      <c r="B2069" s="386" t="s">
        <v>956</v>
      </c>
      <c r="C2069" s="149" t="s">
        <v>378</v>
      </c>
      <c r="D2069" s="392" t="s">
        <v>379</v>
      </c>
      <c r="E2069" s="258" t="s">
        <v>214</v>
      </c>
      <c r="F2069" s="386"/>
      <c r="G2069" s="389" t="s">
        <v>380</v>
      </c>
      <c r="H2069" s="55">
        <v>4151</v>
      </c>
      <c r="I2069" s="54" t="s">
        <v>2</v>
      </c>
      <c r="J2069" s="61" t="s">
        <v>81</v>
      </c>
      <c r="K2069" s="51">
        <v>41582</v>
      </c>
      <c r="L2069" s="173">
        <v>41553</v>
      </c>
      <c r="M2069" s="50">
        <f t="shared" si="116"/>
        <v>29</v>
      </c>
      <c r="N2069" s="50" t="s">
        <v>2</v>
      </c>
      <c r="S2069" s="74">
        <v>20</v>
      </c>
      <c r="Z2069" s="165"/>
    </row>
    <row r="2070" spans="1:30" ht="15" customHeight="1">
      <c r="A2070" s="41" t="s">
        <v>183</v>
      </c>
      <c r="B2070" s="386" t="s">
        <v>583</v>
      </c>
      <c r="C2070" s="149" t="s">
        <v>583</v>
      </c>
      <c r="D2070" s="392" t="s">
        <v>290</v>
      </c>
      <c r="E2070" s="258" t="s">
        <v>584</v>
      </c>
      <c r="F2070" s="386"/>
      <c r="G2070" s="389" t="s">
        <v>585</v>
      </c>
      <c r="H2070" s="55">
        <v>3471</v>
      </c>
      <c r="I2070" s="54" t="s">
        <v>1</v>
      </c>
      <c r="J2070" s="61" t="s">
        <v>194</v>
      </c>
      <c r="K2070" s="51">
        <v>41585</v>
      </c>
      <c r="L2070" s="173">
        <v>41580</v>
      </c>
      <c r="M2070" s="50">
        <f t="shared" si="116"/>
        <v>5</v>
      </c>
      <c r="N2070" s="50" t="s">
        <v>2</v>
      </c>
      <c r="W2070" s="74">
        <v>1.6E-2</v>
      </c>
      <c r="Z2070" s="165"/>
    </row>
    <row r="2071" spans="1:30" ht="15" customHeight="1">
      <c r="A2071" s="41" t="s">
        <v>183</v>
      </c>
      <c r="B2071" s="386" t="s">
        <v>583</v>
      </c>
      <c r="C2071" s="149" t="s">
        <v>583</v>
      </c>
      <c r="D2071" s="392" t="s">
        <v>290</v>
      </c>
      <c r="E2071" s="258" t="s">
        <v>584</v>
      </c>
      <c r="F2071" s="386"/>
      <c r="G2071" s="389" t="s">
        <v>585</v>
      </c>
      <c r="H2071" s="55">
        <v>3471</v>
      </c>
      <c r="I2071" s="54" t="s">
        <v>1</v>
      </c>
      <c r="J2071" s="61" t="s">
        <v>569</v>
      </c>
      <c r="K2071" s="51">
        <v>41585</v>
      </c>
      <c r="L2071" s="173">
        <v>41580</v>
      </c>
      <c r="M2071" s="50">
        <f t="shared" si="116"/>
        <v>5</v>
      </c>
      <c r="N2071" s="50" t="s">
        <v>2</v>
      </c>
      <c r="V2071" s="50">
        <v>0.52</v>
      </c>
      <c r="X2071" s="50">
        <v>7.3999999999999996E-2</v>
      </c>
      <c r="Z2071" s="165"/>
    </row>
    <row r="2072" spans="1:30" ht="15" customHeight="1">
      <c r="A2072" s="41" t="s">
        <v>183</v>
      </c>
      <c r="B2072" s="386" t="s">
        <v>583</v>
      </c>
      <c r="C2072" s="149" t="s">
        <v>583</v>
      </c>
      <c r="D2072" s="392" t="s">
        <v>290</v>
      </c>
      <c r="E2072" s="258" t="s">
        <v>584</v>
      </c>
      <c r="F2072" s="386"/>
      <c r="G2072" s="389" t="s">
        <v>585</v>
      </c>
      <c r="H2072" s="55">
        <v>3471</v>
      </c>
      <c r="I2072" s="54" t="s">
        <v>1</v>
      </c>
      <c r="J2072" s="61" t="s">
        <v>586</v>
      </c>
      <c r="K2072" s="51">
        <v>41585</v>
      </c>
      <c r="L2072" s="173">
        <v>41580</v>
      </c>
      <c r="M2072" s="50">
        <f t="shared" si="116"/>
        <v>5</v>
      </c>
      <c r="N2072" s="50" t="s">
        <v>2</v>
      </c>
      <c r="T2072" s="50">
        <v>0.12</v>
      </c>
      <c r="V2072" s="50">
        <v>0.82</v>
      </c>
      <c r="W2072" s="74">
        <v>0.108</v>
      </c>
      <c r="X2072" s="50">
        <v>0.252</v>
      </c>
      <c r="Z2072" s="165"/>
    </row>
    <row r="2073" spans="1:30" ht="15" customHeight="1">
      <c r="A2073" s="41" t="s">
        <v>183</v>
      </c>
      <c r="B2073" s="402" t="s">
        <v>4998</v>
      </c>
      <c r="C2073" s="113" t="s">
        <v>4998</v>
      </c>
      <c r="D2073" s="393" t="s">
        <v>213</v>
      </c>
      <c r="E2073" s="394" t="s">
        <v>671</v>
      </c>
      <c r="F2073" s="402" t="s">
        <v>3258</v>
      </c>
      <c r="G2073" s="405" t="s">
        <v>3259</v>
      </c>
      <c r="H2073" s="74">
        <v>3829</v>
      </c>
      <c r="I2073" s="50" t="s">
        <v>2</v>
      </c>
      <c r="J2073" s="74" t="s">
        <v>700</v>
      </c>
      <c r="K2073" s="51">
        <v>41578</v>
      </c>
      <c r="L2073" s="173">
        <v>41567</v>
      </c>
      <c r="M2073" s="50">
        <f t="shared" si="116"/>
        <v>11</v>
      </c>
      <c r="N2073" s="50" t="s">
        <v>2</v>
      </c>
      <c r="R2073" s="50">
        <v>300</v>
      </c>
      <c r="T2073" s="50">
        <v>0.59599999999999997</v>
      </c>
      <c r="U2073" s="131">
        <v>2.4</v>
      </c>
      <c r="Z2073" s="165"/>
    </row>
    <row r="2074" spans="1:30" ht="15" customHeight="1">
      <c r="A2074" s="41" t="s">
        <v>183</v>
      </c>
      <c r="B2074" s="402" t="s">
        <v>466</v>
      </c>
      <c r="C2074" s="113" t="s">
        <v>466</v>
      </c>
      <c r="D2074" s="393" t="s">
        <v>268</v>
      </c>
      <c r="E2074" s="258" t="s">
        <v>467</v>
      </c>
      <c r="F2074" s="402">
        <v>4402</v>
      </c>
      <c r="G2074" s="405" t="s">
        <v>468</v>
      </c>
      <c r="H2074" s="74">
        <v>3724</v>
      </c>
      <c r="I2074" s="50" t="s">
        <v>2</v>
      </c>
      <c r="J2074" s="339" t="s">
        <v>5166</v>
      </c>
      <c r="K2074" s="51">
        <v>41170</v>
      </c>
      <c r="L2074" s="173">
        <v>41160</v>
      </c>
      <c r="M2074" s="50">
        <f t="shared" si="116"/>
        <v>10</v>
      </c>
      <c r="N2074" s="50" t="s">
        <v>2</v>
      </c>
      <c r="O2074" s="74">
        <f>5/2</f>
        <v>2.5</v>
      </c>
      <c r="P2074" s="50">
        <v>4.97</v>
      </c>
      <c r="Q2074" s="74">
        <v>4.97</v>
      </c>
      <c r="R2074" s="50">
        <v>51</v>
      </c>
      <c r="S2074" s="74">
        <v>5</v>
      </c>
      <c r="T2074" s="50">
        <f>0.1/2</f>
        <v>0.05</v>
      </c>
      <c r="U2074" s="131">
        <v>2</v>
      </c>
      <c r="V2074" s="50">
        <v>1.1000000000000001</v>
      </c>
      <c r="W2074" s="74">
        <f>0.04/2</f>
        <v>0.02</v>
      </c>
      <c r="X2074" s="50">
        <v>0.47</v>
      </c>
      <c r="Y2074" s="74">
        <f>0.013/2</f>
        <v>6.4999999999999997E-3</v>
      </c>
      <c r="Z2074" s="165">
        <v>1</v>
      </c>
      <c r="AA2074" s="165">
        <v>0.68</v>
      </c>
      <c r="AB2074" s="74">
        <v>10</v>
      </c>
      <c r="AC2074" s="74">
        <v>81</v>
      </c>
      <c r="AD2074" s="165">
        <v>0.25</v>
      </c>
    </row>
    <row r="2075" spans="1:30" ht="15" customHeight="1">
      <c r="A2075" s="41" t="s">
        <v>183</v>
      </c>
      <c r="B2075" s="402" t="s">
        <v>5088</v>
      </c>
      <c r="D2075" s="393" t="s">
        <v>338</v>
      </c>
      <c r="E2075" s="394" t="s">
        <v>5089</v>
      </c>
      <c r="G2075" s="405" t="s">
        <v>5090</v>
      </c>
      <c r="H2075" s="74">
        <v>3469</v>
      </c>
      <c r="I2075" s="50" t="s">
        <v>2</v>
      </c>
      <c r="J2075" s="339" t="s">
        <v>5091</v>
      </c>
      <c r="K2075" s="51">
        <v>41149</v>
      </c>
      <c r="L2075" s="173">
        <v>41139</v>
      </c>
      <c r="M2075" s="50">
        <f t="shared" si="116"/>
        <v>10</v>
      </c>
      <c r="N2075" s="50" t="s">
        <v>2</v>
      </c>
      <c r="O2075" s="74">
        <f>1.6/2</f>
        <v>0.8</v>
      </c>
      <c r="P2075" s="50">
        <v>4.8</v>
      </c>
      <c r="Q2075" s="74">
        <v>4.9000000000000004</v>
      </c>
      <c r="R2075" s="50">
        <v>55</v>
      </c>
      <c r="S2075" s="74">
        <v>79</v>
      </c>
      <c r="T2075" s="50">
        <v>0.13200000000000001</v>
      </c>
      <c r="U2075" s="131">
        <v>2.6</v>
      </c>
      <c r="V2075" s="50">
        <v>0.7</v>
      </c>
      <c r="W2075" s="74">
        <v>2.1999999999999999E-2</v>
      </c>
      <c r="X2075" s="50">
        <v>0.216</v>
      </c>
      <c r="Y2075" s="74">
        <f>0.005/2</f>
        <v>2.5000000000000001E-3</v>
      </c>
      <c r="Z2075" s="165"/>
      <c r="AA2075" s="165"/>
      <c r="AB2075" s="74"/>
      <c r="AC2075" s="74"/>
      <c r="AD2075" s="165"/>
    </row>
    <row r="2076" spans="1:30" ht="15" customHeight="1">
      <c r="A2076" s="41" t="s">
        <v>183</v>
      </c>
      <c r="B2076" s="402" t="s">
        <v>5167</v>
      </c>
      <c r="E2076" s="394" t="s">
        <v>44</v>
      </c>
      <c r="G2076" s="405" t="s">
        <v>5168</v>
      </c>
      <c r="H2076" s="74">
        <v>5711</v>
      </c>
      <c r="J2076" s="339" t="s">
        <v>3964</v>
      </c>
      <c r="K2076" s="51">
        <v>41158</v>
      </c>
      <c r="L2076" s="173"/>
      <c r="O2076" s="74">
        <f>1/2</f>
        <v>0.5</v>
      </c>
      <c r="Q2076" s="74">
        <v>5.61</v>
      </c>
      <c r="R2076" s="50">
        <v>9.11</v>
      </c>
      <c r="S2076" s="74">
        <f>5/2</f>
        <v>2.5</v>
      </c>
      <c r="T2076" s="50">
        <v>7.9500000000000001E-2</v>
      </c>
      <c r="U2076" s="131">
        <v>0.35</v>
      </c>
      <c r="V2076" s="50">
        <v>1.37</v>
      </c>
      <c r="W2076" s="74">
        <v>8.0000000000000002E-3</v>
      </c>
      <c r="X2076" s="50">
        <v>4.7600000000000003E-2</v>
      </c>
      <c r="Y2076" s="74">
        <f>0.0075/2</f>
        <v>3.7499999999999999E-3</v>
      </c>
      <c r="Z2076" s="165"/>
      <c r="AA2076" s="165"/>
      <c r="AB2076" s="74"/>
      <c r="AC2076" s="74"/>
      <c r="AD2076" s="165"/>
    </row>
    <row r="2077" spans="1:30" ht="15" customHeight="1">
      <c r="A2077" s="41" t="s">
        <v>183</v>
      </c>
      <c r="B2077" s="386" t="s">
        <v>956</v>
      </c>
      <c r="C2077" s="149" t="s">
        <v>381</v>
      </c>
      <c r="D2077" s="392" t="s">
        <v>350</v>
      </c>
      <c r="E2077" s="258" t="s">
        <v>382</v>
      </c>
      <c r="F2077" s="386"/>
      <c r="G2077" s="389" t="s">
        <v>383</v>
      </c>
      <c r="H2077" s="55">
        <v>4151</v>
      </c>
      <c r="I2077" s="54" t="s">
        <v>2</v>
      </c>
      <c r="J2077" s="61" t="s">
        <v>81</v>
      </c>
      <c r="K2077" s="51">
        <v>41157</v>
      </c>
      <c r="L2077" s="173">
        <v>41152</v>
      </c>
      <c r="M2077" s="50">
        <f>K2077-L2077</f>
        <v>5</v>
      </c>
      <c r="N2077" s="50" t="s">
        <v>2</v>
      </c>
      <c r="O2077" s="74">
        <v>5.4</v>
      </c>
      <c r="P2077" s="50">
        <v>5.4</v>
      </c>
      <c r="Q2077" s="74">
        <v>7.47</v>
      </c>
      <c r="R2077" s="50">
        <v>71.3</v>
      </c>
      <c r="S2077" s="74">
        <v>171</v>
      </c>
      <c r="T2077" s="50">
        <v>0.22</v>
      </c>
      <c r="U2077" s="131">
        <v>1.2</v>
      </c>
      <c r="V2077" s="50">
        <v>2.1</v>
      </c>
      <c r="W2077" s="74">
        <v>0.03</v>
      </c>
      <c r="X2077" s="50">
        <v>0.11</v>
      </c>
      <c r="Y2077" s="74">
        <f>0.02/2</f>
        <v>0.01</v>
      </c>
      <c r="Z2077" s="165">
        <v>1</v>
      </c>
      <c r="AA2077" s="165">
        <v>1</v>
      </c>
      <c r="AB2077" s="74">
        <v>208</v>
      </c>
      <c r="AC2077" s="74">
        <v>2280</v>
      </c>
      <c r="AD2077" s="165">
        <v>0.9</v>
      </c>
    </row>
    <row r="2078" spans="1:30" ht="15" customHeight="1">
      <c r="A2078" s="41" t="s">
        <v>183</v>
      </c>
      <c r="B2078" s="402" t="s">
        <v>4576</v>
      </c>
      <c r="C2078" s="113" t="s">
        <v>4577</v>
      </c>
      <c r="D2078" s="393" t="s">
        <v>2741</v>
      </c>
      <c r="E2078" s="394" t="s">
        <v>4578</v>
      </c>
      <c r="F2078" s="402" t="s">
        <v>4579</v>
      </c>
      <c r="G2078" s="405" t="s">
        <v>4580</v>
      </c>
      <c r="H2078" s="74">
        <v>1442</v>
      </c>
      <c r="I2078" s="50" t="s">
        <v>1</v>
      </c>
      <c r="J2078" s="339" t="s">
        <v>74</v>
      </c>
      <c r="K2078" s="51">
        <v>41073</v>
      </c>
      <c r="L2078" s="173">
        <v>40678</v>
      </c>
      <c r="M2078" s="402">
        <f t="shared" ref="M2078" si="117">K2078-L2078</f>
        <v>395</v>
      </c>
      <c r="N2078" s="50" t="s">
        <v>2</v>
      </c>
      <c r="O2078" s="74">
        <f>2/2</f>
        <v>1</v>
      </c>
      <c r="Q2078" s="74">
        <v>3.1</v>
      </c>
      <c r="R2078" s="50">
        <f>10/2</f>
        <v>5</v>
      </c>
      <c r="S2078" s="74">
        <v>1</v>
      </c>
      <c r="T2078" s="50">
        <f>0.05/2</f>
        <v>2.5000000000000001E-2</v>
      </c>
      <c r="U2078" s="131">
        <v>0.54</v>
      </c>
      <c r="V2078" s="50">
        <v>0.17</v>
      </c>
      <c r="W2078" s="74">
        <v>0.13600000000000001</v>
      </c>
      <c r="X2078" s="50">
        <v>1.19</v>
      </c>
      <c r="Y2078" s="74">
        <f>0.03/2</f>
        <v>1.4999999999999999E-2</v>
      </c>
      <c r="Z2078" s="165">
        <v>7.6999999999999999E-2</v>
      </c>
      <c r="AA2078" s="165">
        <v>6.54E-2</v>
      </c>
      <c r="AB2078" s="74">
        <v>234</v>
      </c>
      <c r="AC2078" s="74">
        <v>1230</v>
      </c>
      <c r="AD2078" s="165">
        <v>0</v>
      </c>
    </row>
    <row r="2079" spans="1:30" ht="15" customHeight="1">
      <c r="A2079" s="41" t="s">
        <v>183</v>
      </c>
      <c r="B2079" s="402" t="s">
        <v>5169</v>
      </c>
      <c r="D2079" s="393" t="s">
        <v>234</v>
      </c>
      <c r="G2079" s="405" t="s">
        <v>5170</v>
      </c>
      <c r="H2079" s="74">
        <v>3471</v>
      </c>
      <c r="I2079" s="50" t="s">
        <v>1</v>
      </c>
      <c r="J2079" s="339" t="s">
        <v>5171</v>
      </c>
      <c r="K2079" s="51">
        <v>41030</v>
      </c>
      <c r="L2079" s="173">
        <v>41022</v>
      </c>
      <c r="M2079" s="50">
        <f t="shared" ref="M2079:M2085" si="118">K2079-L2079</f>
        <v>8</v>
      </c>
      <c r="N2079" s="50" t="s">
        <v>2</v>
      </c>
      <c r="O2079" s="74">
        <v>2.8</v>
      </c>
      <c r="P2079" s="50">
        <v>6</v>
      </c>
      <c r="Q2079" s="74">
        <v>5.37</v>
      </c>
      <c r="R2079" s="50">
        <v>23.7</v>
      </c>
      <c r="S2079" s="74">
        <v>1</v>
      </c>
      <c r="T2079" s="50">
        <f>0.05/2</f>
        <v>2.5000000000000001E-2</v>
      </c>
      <c r="U2079" s="131">
        <v>1.1499999999999999</v>
      </c>
      <c r="V2079" s="50">
        <v>0.4</v>
      </c>
      <c r="W2079" s="74">
        <v>0.01</v>
      </c>
      <c r="X2079" s="50">
        <v>0.36</v>
      </c>
      <c r="Y2079" s="74">
        <f>0.02/2</f>
        <v>0.01</v>
      </c>
      <c r="Z2079" s="165">
        <v>1</v>
      </c>
      <c r="AA2079" s="165">
        <v>0.81699999999999995</v>
      </c>
      <c r="AB2079" s="74">
        <v>3.05</v>
      </c>
      <c r="AC2079" s="74">
        <v>24.4</v>
      </c>
      <c r="AD2079" s="165">
        <v>0.25</v>
      </c>
    </row>
    <row r="2080" spans="1:30" ht="15" customHeight="1">
      <c r="A2080" s="41" t="s">
        <v>183</v>
      </c>
      <c r="B2080" s="402" t="s">
        <v>5169</v>
      </c>
      <c r="D2080" s="393" t="s">
        <v>234</v>
      </c>
      <c r="G2080" s="405" t="s">
        <v>5170</v>
      </c>
      <c r="H2080" s="74">
        <v>3471</v>
      </c>
      <c r="I2080" s="50" t="s">
        <v>1</v>
      </c>
      <c r="J2080" s="339" t="s">
        <v>5172</v>
      </c>
      <c r="K2080" s="51">
        <v>41030</v>
      </c>
      <c r="L2080" s="173">
        <v>41022</v>
      </c>
      <c r="M2080" s="50">
        <f t="shared" si="118"/>
        <v>8</v>
      </c>
      <c r="N2080" s="50" t="s">
        <v>2</v>
      </c>
      <c r="O2080" s="74">
        <v>25.9</v>
      </c>
      <c r="P2080" s="50">
        <v>5.19</v>
      </c>
      <c r="Q2080" s="74">
        <v>7.05</v>
      </c>
      <c r="R2080" s="50">
        <v>111.1</v>
      </c>
      <c r="S2080" s="74">
        <v>3450</v>
      </c>
      <c r="T2080" s="50">
        <v>2.33</v>
      </c>
      <c r="U2080" s="131">
        <v>2.66</v>
      </c>
      <c r="V2080" s="50">
        <v>0.2</v>
      </c>
      <c r="W2080" s="74">
        <v>1.33</v>
      </c>
      <c r="X2080" s="50">
        <v>3.2</v>
      </c>
      <c r="Y2080" s="74">
        <f>0.02/2</f>
        <v>0.01</v>
      </c>
      <c r="Z2080" s="165">
        <v>1</v>
      </c>
      <c r="AA2080" s="165">
        <v>1</v>
      </c>
      <c r="AB2080" s="74">
        <v>261</v>
      </c>
      <c r="AC2080" s="74">
        <v>154</v>
      </c>
      <c r="AD2080" s="165">
        <v>0.9</v>
      </c>
    </row>
    <row r="2081" spans="1:79" ht="15" customHeight="1">
      <c r="A2081" s="41" t="s">
        <v>183</v>
      </c>
      <c r="B2081" s="402" t="s">
        <v>5173</v>
      </c>
      <c r="D2081" s="393" t="s">
        <v>1490</v>
      </c>
      <c r="E2081" s="394" t="s">
        <v>5174</v>
      </c>
      <c r="G2081" s="405" t="s">
        <v>5175</v>
      </c>
      <c r="H2081" s="74">
        <v>3069</v>
      </c>
      <c r="I2081" s="50" t="s">
        <v>1</v>
      </c>
      <c r="J2081" s="339" t="s">
        <v>836</v>
      </c>
      <c r="K2081" s="51">
        <v>40996</v>
      </c>
      <c r="L2081" s="173">
        <v>40971</v>
      </c>
      <c r="M2081" s="50">
        <f t="shared" si="118"/>
        <v>25</v>
      </c>
      <c r="N2081" s="50" t="s">
        <v>2</v>
      </c>
      <c r="O2081" s="74">
        <f>1.5/2</f>
        <v>0.75</v>
      </c>
      <c r="P2081" s="50">
        <v>5.0599999999999996</v>
      </c>
      <c r="Q2081" s="74">
        <v>5.42</v>
      </c>
      <c r="R2081" s="50">
        <v>24</v>
      </c>
      <c r="S2081" s="74">
        <f>5/2</f>
        <v>2.5</v>
      </c>
      <c r="T2081" s="50">
        <v>0.04</v>
      </c>
      <c r="U2081" s="131">
        <v>0.93</v>
      </c>
      <c r="V2081" s="50">
        <v>0.32</v>
      </c>
      <c r="W2081" s="74">
        <f>0.005/2</f>
        <v>2.5000000000000001E-3</v>
      </c>
      <c r="X2081" s="50">
        <v>0.186</v>
      </c>
      <c r="Y2081" s="74">
        <f>0.002/2</f>
        <v>1E-3</v>
      </c>
      <c r="Z2081" s="165">
        <v>1</v>
      </c>
      <c r="AA2081" s="165">
        <v>0.70699999999999996</v>
      </c>
      <c r="AB2081" s="74">
        <v>2</v>
      </c>
      <c r="AC2081" s="74">
        <v>16</v>
      </c>
      <c r="AD2081" s="165">
        <v>0</v>
      </c>
      <c r="AE2081" s="50">
        <f>10/2</f>
        <v>5</v>
      </c>
      <c r="AI2081" s="114">
        <v>40</v>
      </c>
      <c r="AM2081" s="114">
        <f>0.001/2</f>
        <v>5.0000000000000001E-4</v>
      </c>
      <c r="AN2081" s="114">
        <v>5.8999999999999997E-2</v>
      </c>
      <c r="AO2081" s="114">
        <f>0.001/2</f>
        <v>5.0000000000000001E-4</v>
      </c>
      <c r="AP2081" s="114">
        <f>0.001/2</f>
        <v>5.0000000000000001E-4</v>
      </c>
      <c r="AW2081" s="394">
        <v>5.6000000000000001E-2</v>
      </c>
      <c r="BP2081" s="5">
        <f>0.001/2</f>
        <v>5.0000000000000001E-4</v>
      </c>
      <c r="BR2081" s="5">
        <f>0.004/2</f>
        <v>2E-3</v>
      </c>
      <c r="BS2081" s="5">
        <f>0.002/2</f>
        <v>1E-3</v>
      </c>
      <c r="BT2081" s="5">
        <f>0.02/2</f>
        <v>0.01</v>
      </c>
      <c r="BU2081" s="5">
        <f>0.01/2</f>
        <v>5.0000000000000001E-3</v>
      </c>
      <c r="BV2081" s="5">
        <f>0.01/2</f>
        <v>5.0000000000000001E-3</v>
      </c>
      <c r="BW2081" s="5">
        <f>0.025/2</f>
        <v>1.2500000000000001E-2</v>
      </c>
    </row>
    <row r="2082" spans="1:79" ht="15" customHeight="1">
      <c r="A2082" s="41" t="s">
        <v>183</v>
      </c>
      <c r="B2082" s="402" t="s">
        <v>5173</v>
      </c>
      <c r="D2082" s="393" t="s">
        <v>1490</v>
      </c>
      <c r="E2082" s="394" t="s">
        <v>5174</v>
      </c>
      <c r="G2082" s="405" t="s">
        <v>5175</v>
      </c>
      <c r="H2082" s="74">
        <v>3069</v>
      </c>
      <c r="I2082" s="50" t="s">
        <v>1</v>
      </c>
      <c r="J2082" s="339" t="s">
        <v>548</v>
      </c>
      <c r="K2082" s="51">
        <v>40996</v>
      </c>
      <c r="L2082" s="173">
        <v>40971</v>
      </c>
      <c r="M2082" s="50">
        <f t="shared" si="118"/>
        <v>25</v>
      </c>
      <c r="N2082" s="50" t="s">
        <v>2</v>
      </c>
      <c r="O2082" s="74">
        <f>1.4/2</f>
        <v>0.7</v>
      </c>
      <c r="P2082" s="50">
        <v>5.0599999999999996</v>
      </c>
      <c r="Q2082" s="74">
        <v>4.0599999999999996</v>
      </c>
      <c r="R2082" s="50">
        <v>15</v>
      </c>
      <c r="S2082" s="74">
        <f>5/2</f>
        <v>2.5</v>
      </c>
      <c r="T2082" s="50">
        <v>0.02</v>
      </c>
      <c r="U2082" s="131">
        <v>0.8</v>
      </c>
      <c r="V2082" s="50">
        <v>0.17</v>
      </c>
      <c r="W2082" s="74">
        <f>0.005/2</f>
        <v>2.5000000000000001E-3</v>
      </c>
      <c r="X2082" s="50">
        <v>8.0000000000000002E-3</v>
      </c>
      <c r="Y2082" s="74">
        <f>0.002/2</f>
        <v>1E-3</v>
      </c>
      <c r="Z2082" s="165">
        <v>1</v>
      </c>
      <c r="AA2082" s="165">
        <v>1</v>
      </c>
      <c r="AB2082" s="74">
        <v>2</v>
      </c>
      <c r="AC2082" s="74">
        <v>12</v>
      </c>
      <c r="AD2082" s="165">
        <v>0.6</v>
      </c>
      <c r="AE2082" s="50">
        <v>160</v>
      </c>
      <c r="AI2082" s="114" t="s">
        <v>5176</v>
      </c>
      <c r="AM2082" s="114">
        <v>1E-3</v>
      </c>
      <c r="AN2082" s="114">
        <v>0.04</v>
      </c>
      <c r="AO2082" s="114">
        <f>0.02/2</f>
        <v>0.01</v>
      </c>
      <c r="AP2082" s="114">
        <f>0.001/2</f>
        <v>5.0000000000000001E-4</v>
      </c>
      <c r="AW2082" s="394">
        <v>0.04</v>
      </c>
      <c r="BP2082" s="5">
        <f>0.001/2</f>
        <v>5.0000000000000001E-4</v>
      </c>
      <c r="BR2082" s="5">
        <f>0.004/2</f>
        <v>2E-3</v>
      </c>
      <c r="BS2082" s="5">
        <f>0.002/2</f>
        <v>1E-3</v>
      </c>
      <c r="BT2082" s="5">
        <f>0.02/2</f>
        <v>0.01</v>
      </c>
      <c r="BU2082" s="5">
        <f>0.02/2</f>
        <v>0.01</v>
      </c>
      <c r="BV2082" s="5">
        <f>0.01/2</f>
        <v>5.0000000000000001E-3</v>
      </c>
      <c r="BW2082" s="5">
        <f>0.025/2</f>
        <v>1.2500000000000001E-2</v>
      </c>
    </row>
    <row r="2083" spans="1:79" ht="15" customHeight="1">
      <c r="A2083" s="41" t="s">
        <v>183</v>
      </c>
      <c r="B2083" s="402" t="s">
        <v>511</v>
      </c>
      <c r="C2083" s="113" t="s">
        <v>511</v>
      </c>
      <c r="D2083" s="393" t="s">
        <v>350</v>
      </c>
      <c r="E2083" s="394" t="s">
        <v>838</v>
      </c>
      <c r="G2083" s="405" t="s">
        <v>839</v>
      </c>
      <c r="H2083" s="74">
        <v>3398</v>
      </c>
      <c r="I2083" s="50" t="s">
        <v>2</v>
      </c>
      <c r="J2083" s="339" t="s">
        <v>4878</v>
      </c>
      <c r="K2083" s="51">
        <v>41170</v>
      </c>
      <c r="L2083" s="173">
        <v>41160</v>
      </c>
      <c r="M2083" s="50">
        <f t="shared" si="118"/>
        <v>10</v>
      </c>
      <c r="N2083" s="50" t="s">
        <v>2</v>
      </c>
      <c r="O2083" s="74">
        <f>5/2</f>
        <v>2.5</v>
      </c>
      <c r="P2083" s="50">
        <v>4.8899999999999997</v>
      </c>
      <c r="Q2083" s="74">
        <v>5.74</v>
      </c>
      <c r="R2083" s="50">
        <v>86</v>
      </c>
      <c r="S2083" s="74">
        <v>17</v>
      </c>
      <c r="T2083" s="50">
        <v>1.3</v>
      </c>
      <c r="U2083" s="131">
        <v>2.9</v>
      </c>
      <c r="V2083" s="50">
        <v>0.6</v>
      </c>
      <c r="W2083" s="74">
        <f>0.04/2</f>
        <v>0.02</v>
      </c>
      <c r="X2083" s="50">
        <v>0.83</v>
      </c>
      <c r="Y2083" s="74">
        <f>0.013/2</f>
        <v>6.4999999999999997E-3</v>
      </c>
      <c r="Z2083" s="165"/>
      <c r="AA2083" s="165"/>
      <c r="AB2083" s="74"/>
      <c r="AC2083" s="74"/>
      <c r="AD2083" s="165"/>
    </row>
    <row r="2084" spans="1:79" ht="15" customHeight="1">
      <c r="A2084" s="41" t="s">
        <v>183</v>
      </c>
      <c r="B2084" s="402" t="s">
        <v>5177</v>
      </c>
      <c r="C2084" s="113" t="s">
        <v>5178</v>
      </c>
      <c r="D2084" s="393" t="s">
        <v>205</v>
      </c>
      <c r="E2084" s="394" t="s">
        <v>5179</v>
      </c>
      <c r="G2084" s="405" t="s">
        <v>5180</v>
      </c>
      <c r="H2084" s="74"/>
      <c r="J2084" s="339" t="s">
        <v>5179</v>
      </c>
      <c r="K2084" s="51">
        <v>41170</v>
      </c>
      <c r="L2084" s="173">
        <v>41160</v>
      </c>
      <c r="M2084" s="50">
        <f t="shared" si="118"/>
        <v>10</v>
      </c>
      <c r="N2084" s="50" t="s">
        <v>2</v>
      </c>
      <c r="O2084" s="74">
        <f>1.6/2</f>
        <v>0.8</v>
      </c>
      <c r="P2084" s="50">
        <v>6.4</v>
      </c>
      <c r="Q2084" s="74">
        <v>6.08</v>
      </c>
      <c r="R2084" s="50">
        <v>15</v>
      </c>
      <c r="S2084" s="74">
        <v>7</v>
      </c>
      <c r="T2084" s="50">
        <v>7.0000000000000007E-2</v>
      </c>
      <c r="U2084" s="131">
        <v>1.29</v>
      </c>
      <c r="V2084" s="50">
        <v>1.26</v>
      </c>
      <c r="W2084" s="74">
        <v>4.0000000000000001E-3</v>
      </c>
      <c r="X2084" s="50">
        <v>0.252</v>
      </c>
      <c r="Y2084" s="74">
        <f>0.002/2</f>
        <v>1E-3</v>
      </c>
      <c r="Z2084" s="165">
        <v>1</v>
      </c>
      <c r="AA2084" s="165">
        <v>0.68300000000000005</v>
      </c>
      <c r="AB2084" s="74">
        <v>8</v>
      </c>
      <c r="AC2084" s="74">
        <v>48</v>
      </c>
      <c r="AD2084" s="165">
        <v>0</v>
      </c>
    </row>
    <row r="2085" spans="1:79" ht="15" customHeight="1">
      <c r="A2085" s="41" t="s">
        <v>183</v>
      </c>
      <c r="B2085" s="402" t="s">
        <v>5177</v>
      </c>
      <c r="C2085" s="113" t="s">
        <v>5178</v>
      </c>
      <c r="D2085" s="393" t="s">
        <v>205</v>
      </c>
      <c r="E2085" s="394" t="s">
        <v>5179</v>
      </c>
      <c r="G2085" s="405" t="s">
        <v>5180</v>
      </c>
      <c r="H2085" s="74"/>
      <c r="J2085" s="339" t="s">
        <v>5179</v>
      </c>
      <c r="K2085" s="51">
        <v>41180</v>
      </c>
      <c r="L2085" s="173">
        <v>41170</v>
      </c>
      <c r="M2085" s="50">
        <f t="shared" si="118"/>
        <v>10</v>
      </c>
      <c r="N2085" s="50" t="s">
        <v>2</v>
      </c>
      <c r="O2085" s="74">
        <f>1.6/2</f>
        <v>0.8</v>
      </c>
      <c r="P2085" s="50">
        <v>4.8</v>
      </c>
      <c r="Q2085" s="74">
        <v>5.67</v>
      </c>
      <c r="R2085" s="50">
        <v>14</v>
      </c>
      <c r="S2085" s="74">
        <f>5/2</f>
        <v>2.5</v>
      </c>
      <c r="T2085" s="50">
        <v>0.01</v>
      </c>
      <c r="U2085" s="131">
        <v>1.21</v>
      </c>
      <c r="V2085" s="50">
        <v>1.1599999999999999</v>
      </c>
      <c r="W2085" s="74">
        <v>3.0000000000000001E-3</v>
      </c>
      <c r="X2085" s="50">
        <v>0.11</v>
      </c>
      <c r="Y2085" s="74">
        <v>2E-3</v>
      </c>
      <c r="Z2085" s="165"/>
      <c r="AA2085" s="165"/>
      <c r="AB2085" s="74"/>
      <c r="AC2085" s="74"/>
      <c r="AD2085" s="165"/>
    </row>
    <row r="2086" spans="1:79" s="400" customFormat="1" ht="15" customHeight="1">
      <c r="A2086" s="404" t="s">
        <v>183</v>
      </c>
      <c r="B2086" s="402" t="s">
        <v>5181</v>
      </c>
      <c r="C2086" s="113"/>
      <c r="D2086" s="393" t="s">
        <v>1830</v>
      </c>
      <c r="E2086" s="394" t="s">
        <v>4671</v>
      </c>
      <c r="F2086" s="402"/>
      <c r="G2086" s="405" t="s">
        <v>5182</v>
      </c>
      <c r="H2086" s="404">
        <v>3341</v>
      </c>
      <c r="I2086" s="402" t="s">
        <v>1</v>
      </c>
      <c r="J2086" s="406" t="s">
        <v>5183</v>
      </c>
      <c r="K2086" s="403">
        <v>41050</v>
      </c>
      <c r="L2086" s="398"/>
      <c r="M2086" s="402"/>
      <c r="N2086" s="402" t="s">
        <v>2</v>
      </c>
      <c r="O2086" s="404">
        <f>0.5/2</f>
        <v>0.25</v>
      </c>
      <c r="P2086" s="402">
        <v>6.39</v>
      </c>
      <c r="Q2086" s="404">
        <v>6.65</v>
      </c>
      <c r="R2086" s="402">
        <v>48</v>
      </c>
      <c r="S2086" s="404">
        <v>17</v>
      </c>
      <c r="T2086" s="402">
        <v>0.28999999999999998</v>
      </c>
      <c r="U2086" s="395">
        <v>2.4500000000000002</v>
      </c>
      <c r="V2086" s="402">
        <v>0.26</v>
      </c>
      <c r="W2086" s="404">
        <f>0.01/2</f>
        <v>5.0000000000000001E-3</v>
      </c>
      <c r="X2086" s="402">
        <v>0.01</v>
      </c>
      <c r="Y2086" s="404">
        <v>1.4999999999999999E-2</v>
      </c>
      <c r="Z2086" s="397">
        <v>1</v>
      </c>
      <c r="AA2086" s="397">
        <v>1</v>
      </c>
      <c r="AB2086" s="404">
        <v>30</v>
      </c>
      <c r="AC2086" s="404">
        <v>96.3</v>
      </c>
      <c r="AD2086" s="397">
        <v>1</v>
      </c>
      <c r="AE2086" s="402">
        <v>4</v>
      </c>
      <c r="AF2086" s="391"/>
      <c r="AG2086" s="394"/>
      <c r="AH2086" s="394"/>
      <c r="AI2086" s="394">
        <v>0</v>
      </c>
      <c r="AJ2086" s="394"/>
      <c r="AK2086" s="394"/>
      <c r="AL2086" s="394"/>
      <c r="AM2086" s="394"/>
      <c r="AN2086" s="394"/>
      <c r="AO2086" s="394"/>
      <c r="AP2086" s="394"/>
      <c r="AQ2086" s="394"/>
      <c r="AR2086" s="394"/>
      <c r="AS2086" s="402"/>
      <c r="AT2086" s="404"/>
      <c r="AU2086" s="394"/>
      <c r="AV2086" s="394"/>
      <c r="AW2086" s="394"/>
      <c r="AX2086" s="5"/>
      <c r="AY2086" s="5"/>
      <c r="AZ2086" s="5"/>
      <c r="BA2086" s="5"/>
      <c r="BB2086" s="5"/>
      <c r="BC2086" s="5"/>
      <c r="BD2086" s="5"/>
      <c r="BE2086" s="5"/>
      <c r="BF2086" s="5"/>
      <c r="BG2086" s="5"/>
      <c r="BH2086" s="5"/>
      <c r="BI2086" s="5"/>
      <c r="BJ2086" s="5"/>
      <c r="BK2086" s="5"/>
      <c r="BL2086" s="5"/>
      <c r="BM2086" s="5"/>
      <c r="BN2086" s="5"/>
      <c r="BO2086" s="5"/>
      <c r="BP2086" s="5">
        <v>0.03</v>
      </c>
      <c r="BQ2086" s="5" t="s">
        <v>143</v>
      </c>
      <c r="BR2086" s="5"/>
      <c r="BS2086" s="5"/>
      <c r="BT2086" s="5"/>
      <c r="BU2086" s="5"/>
      <c r="BV2086" s="5"/>
      <c r="BW2086" s="5"/>
      <c r="BX2086" s="5"/>
      <c r="BY2086" s="5"/>
      <c r="BZ2086" s="5"/>
      <c r="CA2086" s="5"/>
    </row>
    <row r="2087" spans="1:79" ht="15" customHeight="1">
      <c r="A2087" s="41" t="s">
        <v>183</v>
      </c>
      <c r="B2087" s="402" t="s">
        <v>1940</v>
      </c>
      <c r="D2087" s="393" t="s">
        <v>1837</v>
      </c>
      <c r="E2087" s="394" t="s">
        <v>1941</v>
      </c>
      <c r="F2087" s="402" t="s">
        <v>112</v>
      </c>
      <c r="G2087" s="405" t="s">
        <v>1942</v>
      </c>
      <c r="H2087" s="113">
        <v>3812</v>
      </c>
      <c r="I2087" s="49" t="s">
        <v>2</v>
      </c>
      <c r="J2087" s="230" t="s">
        <v>1943</v>
      </c>
      <c r="K2087" s="51">
        <v>41170</v>
      </c>
      <c r="L2087" s="173">
        <v>41160</v>
      </c>
      <c r="M2087" s="50">
        <f>K2087-L2087</f>
        <v>10</v>
      </c>
      <c r="N2087" s="50" t="s">
        <v>2</v>
      </c>
      <c r="O2087" s="74">
        <f>2/2</f>
        <v>1</v>
      </c>
      <c r="P2087" s="50">
        <v>5</v>
      </c>
      <c r="Q2087" s="74">
        <v>7.79</v>
      </c>
      <c r="R2087" s="50">
        <v>44</v>
      </c>
      <c r="S2087" s="74">
        <v>12</v>
      </c>
      <c r="T2087" s="50">
        <v>0.08</v>
      </c>
      <c r="U2087" s="131">
        <v>1.93</v>
      </c>
      <c r="V2087" s="50">
        <v>1.23</v>
      </c>
      <c r="W2087" s="74">
        <v>1.4999999999999999E-2</v>
      </c>
      <c r="X2087" s="50">
        <v>0.442</v>
      </c>
      <c r="Y2087" s="74">
        <f>0.03/2</f>
        <v>1.4999999999999999E-2</v>
      </c>
      <c r="Z2087" s="165"/>
      <c r="AA2087" s="165"/>
      <c r="AB2087" s="74"/>
      <c r="AC2087" s="74"/>
      <c r="AD2087" s="165"/>
    </row>
    <row r="2088" spans="1:79" ht="15" customHeight="1">
      <c r="A2088" s="41" t="s">
        <v>183</v>
      </c>
      <c r="B2088" s="402" t="s">
        <v>1940</v>
      </c>
      <c r="D2088" s="393" t="s">
        <v>1837</v>
      </c>
      <c r="E2088" s="394" t="s">
        <v>1941</v>
      </c>
      <c r="F2088" s="402" t="s">
        <v>112</v>
      </c>
      <c r="G2088" s="405" t="s">
        <v>1942</v>
      </c>
      <c r="H2088" s="74">
        <v>3812</v>
      </c>
      <c r="I2088" s="50" t="s">
        <v>2</v>
      </c>
      <c r="J2088" s="339" t="s">
        <v>425</v>
      </c>
      <c r="K2088" s="51">
        <v>41170</v>
      </c>
      <c r="L2088" s="173">
        <v>41160</v>
      </c>
      <c r="M2088" s="50">
        <f>K2088-L2088</f>
        <v>10</v>
      </c>
      <c r="N2088" s="50" t="s">
        <v>2</v>
      </c>
      <c r="O2088" s="74">
        <f>2/2</f>
        <v>1</v>
      </c>
      <c r="P2088" s="50">
        <v>5</v>
      </c>
      <c r="Q2088" s="74">
        <v>7.5</v>
      </c>
      <c r="R2088" s="50">
        <v>27</v>
      </c>
      <c r="S2088" s="74">
        <v>7</v>
      </c>
      <c r="T2088" s="50">
        <f>0.05/2</f>
        <v>2.5000000000000001E-2</v>
      </c>
      <c r="U2088" s="131">
        <v>2</v>
      </c>
      <c r="V2088" s="50">
        <v>0.86</v>
      </c>
      <c r="W2088" s="74">
        <v>6.6000000000000003E-2</v>
      </c>
      <c r="X2088" s="50">
        <v>0.63</v>
      </c>
      <c r="Y2088" s="74">
        <f>0.03/2</f>
        <v>1.4999999999999999E-2</v>
      </c>
      <c r="Z2088" s="165"/>
      <c r="AA2088" s="165"/>
      <c r="AB2088" s="74"/>
      <c r="AC2088" s="74"/>
      <c r="AD2088" s="165"/>
    </row>
    <row r="2089" spans="1:79" ht="15" customHeight="1">
      <c r="A2089" s="41" t="s">
        <v>183</v>
      </c>
      <c r="B2089" s="402" t="s">
        <v>5167</v>
      </c>
      <c r="E2089" s="394" t="s">
        <v>44</v>
      </c>
      <c r="G2089" s="405" t="s">
        <v>5168</v>
      </c>
      <c r="H2089" s="74">
        <v>5711</v>
      </c>
      <c r="J2089" s="339" t="s">
        <v>3964</v>
      </c>
      <c r="K2089" s="51">
        <v>41023</v>
      </c>
      <c r="L2089" s="173"/>
      <c r="O2089" s="74">
        <f>1/2</f>
        <v>0.5</v>
      </c>
      <c r="Q2089" s="74">
        <v>6.63</v>
      </c>
      <c r="R2089" s="50">
        <v>9.5299999999999994</v>
      </c>
      <c r="S2089" s="74">
        <f>5/2</f>
        <v>2.5</v>
      </c>
      <c r="T2089" s="50">
        <v>4.5699999999999998E-2</v>
      </c>
      <c r="U2089" s="131">
        <f>0.2/2</f>
        <v>0.1</v>
      </c>
      <c r="V2089" s="50">
        <v>0.55000000000000004</v>
      </c>
      <c r="W2089" s="74">
        <f>0.005/2</f>
        <v>2.5000000000000001E-3</v>
      </c>
      <c r="X2089" s="50">
        <v>1.54E-2</v>
      </c>
      <c r="Y2089" s="74">
        <f>0.0075/2</f>
        <v>3.7499999999999999E-3</v>
      </c>
      <c r="Z2089" s="165">
        <v>1</v>
      </c>
      <c r="AA2089" s="165">
        <v>1</v>
      </c>
      <c r="AB2089" s="74">
        <v>14</v>
      </c>
      <c r="AC2089" s="74">
        <v>57</v>
      </c>
      <c r="AD2089" s="165">
        <v>1</v>
      </c>
    </row>
    <row r="2090" spans="1:79" ht="15" customHeight="1">
      <c r="A2090" s="41" t="s">
        <v>183</v>
      </c>
      <c r="B2090" s="402" t="s">
        <v>2070</v>
      </c>
      <c r="C2090" s="113" t="s">
        <v>2071</v>
      </c>
      <c r="D2090" s="393" t="s">
        <v>1837</v>
      </c>
      <c r="E2090" s="394" t="s">
        <v>112</v>
      </c>
      <c r="G2090" s="405" t="s">
        <v>3105</v>
      </c>
      <c r="H2090" s="113">
        <v>4952</v>
      </c>
      <c r="I2090" s="49" t="s">
        <v>1</v>
      </c>
      <c r="J2090" s="48" t="s">
        <v>2074</v>
      </c>
      <c r="K2090" s="51">
        <v>41149</v>
      </c>
      <c r="L2090" s="173">
        <v>41139</v>
      </c>
      <c r="M2090" s="50">
        <f>K2090-L2090</f>
        <v>10</v>
      </c>
      <c r="N2090" s="50" t="s">
        <v>2</v>
      </c>
      <c r="O2090" s="74">
        <f>5/2</f>
        <v>2.5</v>
      </c>
      <c r="P2090" s="50">
        <v>6.19</v>
      </c>
      <c r="Q2090" s="74">
        <v>7.6</v>
      </c>
      <c r="R2090" s="50">
        <v>27</v>
      </c>
      <c r="S2090" s="74">
        <f>5/2</f>
        <v>2.5</v>
      </c>
      <c r="T2090" s="50">
        <v>1.3</v>
      </c>
      <c r="U2090" s="131">
        <v>1.2</v>
      </c>
      <c r="V2090" s="50">
        <v>0.13</v>
      </c>
      <c r="W2090" s="74">
        <f>0.04/2</f>
        <v>0.02</v>
      </c>
      <c r="X2090" s="50">
        <v>0.02</v>
      </c>
      <c r="Y2090" s="74">
        <f>0.013/2</f>
        <v>6.4999999999999997E-3</v>
      </c>
      <c r="Z2090" s="165"/>
      <c r="AA2090" s="165"/>
      <c r="AB2090" s="74"/>
      <c r="AC2090" s="74"/>
      <c r="AD2090" s="165"/>
    </row>
    <row r="2091" spans="1:79" ht="15" customHeight="1">
      <c r="A2091" s="41" t="s">
        <v>183</v>
      </c>
      <c r="B2091" s="402" t="s">
        <v>1964</v>
      </c>
      <c r="D2091" s="393" t="s">
        <v>251</v>
      </c>
      <c r="E2091" s="394" t="s">
        <v>252</v>
      </c>
      <c r="G2091" s="405" t="s">
        <v>1965</v>
      </c>
      <c r="H2091" s="113">
        <v>2891</v>
      </c>
      <c r="I2091" s="49" t="s">
        <v>2</v>
      </c>
      <c r="J2091" s="48" t="s">
        <v>1966</v>
      </c>
      <c r="K2091" s="51">
        <v>41030</v>
      </c>
      <c r="L2091" s="173">
        <v>41029</v>
      </c>
      <c r="M2091" s="50">
        <f>K2091-L2091</f>
        <v>1</v>
      </c>
      <c r="N2091" s="50" t="s">
        <v>2</v>
      </c>
      <c r="O2091" s="74">
        <f>1.6/2</f>
        <v>0.8</v>
      </c>
      <c r="Q2091" s="74">
        <v>6.06</v>
      </c>
      <c r="R2091" s="50">
        <v>46</v>
      </c>
      <c r="S2091" s="74">
        <v>14</v>
      </c>
      <c r="T2091" s="50">
        <v>0.34</v>
      </c>
      <c r="U2091" s="131">
        <v>1.19</v>
      </c>
      <c r="V2091" s="50">
        <f>0.05/2</f>
        <v>2.5000000000000001E-2</v>
      </c>
      <c r="W2091" s="74">
        <f>0.005/2</f>
        <v>2.5000000000000001E-3</v>
      </c>
      <c r="X2091" s="50">
        <v>1.9E-2</v>
      </c>
      <c r="Y2091" s="74">
        <f>0.002/2</f>
        <v>1E-3</v>
      </c>
      <c r="Z2091" s="165">
        <v>1</v>
      </c>
      <c r="AA2091" s="165">
        <v>1</v>
      </c>
      <c r="AB2091" s="74">
        <v>2</v>
      </c>
      <c r="AC2091" s="74">
        <v>12</v>
      </c>
      <c r="AD2091" s="165">
        <v>1</v>
      </c>
    </row>
    <row r="2092" spans="1:79" ht="15" customHeight="1">
      <c r="A2092" s="41" t="s">
        <v>183</v>
      </c>
      <c r="B2092" s="402" t="s">
        <v>1964</v>
      </c>
      <c r="D2092" s="393" t="s">
        <v>251</v>
      </c>
      <c r="E2092" s="394" t="s">
        <v>252</v>
      </c>
      <c r="G2092" s="405" t="s">
        <v>1965</v>
      </c>
      <c r="H2092" s="74">
        <v>2891</v>
      </c>
      <c r="I2092" s="50" t="s">
        <v>2</v>
      </c>
      <c r="J2092" s="48" t="s">
        <v>1966</v>
      </c>
      <c r="K2092" s="51">
        <v>41264</v>
      </c>
      <c r="L2092" s="173">
        <v>41261</v>
      </c>
      <c r="M2092" s="50">
        <f>K2092-L2092</f>
        <v>3</v>
      </c>
      <c r="N2092" s="50" t="s">
        <v>2</v>
      </c>
      <c r="O2092" s="74">
        <v>2.1</v>
      </c>
      <c r="P2092" s="50">
        <v>6.5</v>
      </c>
      <c r="Q2092" s="74">
        <v>6.9</v>
      </c>
      <c r="R2092" s="50">
        <v>38</v>
      </c>
      <c r="S2092" s="74">
        <v>45</v>
      </c>
      <c r="T2092" s="50">
        <v>0.09</v>
      </c>
      <c r="U2092" s="131">
        <v>0.46</v>
      </c>
      <c r="V2092" s="50">
        <f>0.05/2</f>
        <v>2.5000000000000001E-2</v>
      </c>
      <c r="W2092" s="74">
        <v>5.0000000000000001E-3</v>
      </c>
      <c r="X2092" s="50">
        <v>3.2000000000000001E-2</v>
      </c>
      <c r="Y2092" s="74">
        <v>8.0000000000000002E-3</v>
      </c>
      <c r="Z2092" s="165">
        <v>1</v>
      </c>
      <c r="AA2092" s="165">
        <v>1</v>
      </c>
      <c r="AB2092" s="74">
        <v>2</v>
      </c>
      <c r="AC2092" s="74">
        <v>7</v>
      </c>
      <c r="AD2092" s="165">
        <v>1</v>
      </c>
    </row>
    <row r="2093" spans="1:79" ht="15" customHeight="1">
      <c r="A2093" s="41" t="s">
        <v>183</v>
      </c>
      <c r="B2093" s="402" t="s">
        <v>1964</v>
      </c>
      <c r="D2093" s="393" t="s">
        <v>251</v>
      </c>
      <c r="E2093" s="394" t="s">
        <v>252</v>
      </c>
      <c r="G2093" s="405" t="s">
        <v>1965</v>
      </c>
      <c r="H2093" s="74">
        <v>2891</v>
      </c>
      <c r="I2093" s="50" t="s">
        <v>2</v>
      </c>
      <c r="J2093" s="48" t="s">
        <v>1966</v>
      </c>
      <c r="K2093" s="51">
        <v>41432</v>
      </c>
      <c r="L2093" s="173">
        <v>41428</v>
      </c>
      <c r="M2093" s="50">
        <f>K2093-L2093</f>
        <v>4</v>
      </c>
      <c r="N2093" s="50" t="s">
        <v>2</v>
      </c>
      <c r="O2093" s="74">
        <f>1.4/2</f>
        <v>0.7</v>
      </c>
      <c r="P2093" s="50">
        <v>6.69</v>
      </c>
      <c r="Q2093" s="74">
        <v>6.63</v>
      </c>
      <c r="R2093" s="50">
        <v>53</v>
      </c>
      <c r="S2093" s="74">
        <v>40</v>
      </c>
      <c r="T2093" s="50">
        <v>0.19</v>
      </c>
      <c r="U2093" s="131">
        <v>1.03</v>
      </c>
      <c r="V2093" s="50">
        <v>7.0000000000000007E-2</v>
      </c>
      <c r="W2093" s="74">
        <f>0.005/2</f>
        <v>2.5000000000000001E-3</v>
      </c>
      <c r="X2093" s="50">
        <v>1.6E-2</v>
      </c>
      <c r="Y2093" s="74">
        <v>3.0000000000000001E-3</v>
      </c>
      <c r="Z2093" s="165">
        <v>1</v>
      </c>
      <c r="AA2093" s="165">
        <v>1</v>
      </c>
      <c r="AB2093" s="74">
        <v>2</v>
      </c>
      <c r="AC2093" s="74">
        <v>12</v>
      </c>
      <c r="AD2093" s="165">
        <v>1</v>
      </c>
    </row>
    <row r="2094" spans="1:79" ht="15" customHeight="1">
      <c r="A2094" s="41" t="s">
        <v>183</v>
      </c>
      <c r="B2094" s="402" t="s">
        <v>5146</v>
      </c>
      <c r="C2094" s="113" t="s">
        <v>4393</v>
      </c>
      <c r="D2094" s="393" t="s">
        <v>111</v>
      </c>
      <c r="F2094" s="402" t="s">
        <v>5148</v>
      </c>
      <c r="G2094" s="405" t="s">
        <v>5147</v>
      </c>
      <c r="H2094" s="74">
        <v>3663</v>
      </c>
      <c r="I2094" s="50" t="s">
        <v>2</v>
      </c>
      <c r="J2094" s="339" t="s">
        <v>3251</v>
      </c>
      <c r="K2094" s="51">
        <v>41105</v>
      </c>
      <c r="L2094" s="173"/>
      <c r="N2094" s="50" t="s">
        <v>2</v>
      </c>
      <c r="O2094" s="74">
        <f>5/2</f>
        <v>2.5</v>
      </c>
      <c r="P2094" s="50">
        <v>6.21</v>
      </c>
      <c r="Q2094" s="74">
        <v>7.55</v>
      </c>
      <c r="R2094" s="50">
        <v>18</v>
      </c>
      <c r="S2094" s="74">
        <v>31</v>
      </c>
      <c r="T2094" s="50">
        <f>0.1/2</f>
        <v>0.05</v>
      </c>
      <c r="U2094" s="131">
        <f>1/2</f>
        <v>0.5</v>
      </c>
      <c r="V2094" s="50">
        <v>0.23</v>
      </c>
      <c r="W2094" s="74">
        <f>0.04/2</f>
        <v>0.02</v>
      </c>
      <c r="X2094" s="50">
        <v>4.9000000000000002E-2</v>
      </c>
      <c r="Y2094" s="74">
        <f>0.013/2</f>
        <v>6.4999999999999997E-3</v>
      </c>
      <c r="Z2094" s="165"/>
      <c r="AA2094" s="165"/>
      <c r="AB2094" s="74"/>
      <c r="AC2094" s="74"/>
      <c r="AD2094" s="165"/>
    </row>
    <row r="2095" spans="1:79" ht="15" customHeight="1">
      <c r="A2095" s="41" t="s">
        <v>183</v>
      </c>
      <c r="B2095" s="402" t="s">
        <v>2622</v>
      </c>
      <c r="C2095" s="113" t="s">
        <v>2653</v>
      </c>
      <c r="D2095" s="393" t="s">
        <v>209</v>
      </c>
      <c r="E2095" s="394" t="s">
        <v>2654</v>
      </c>
      <c r="G2095" s="405" t="s">
        <v>2655</v>
      </c>
      <c r="H2095" s="74"/>
      <c r="J2095" s="48" t="s">
        <v>2656</v>
      </c>
      <c r="K2095" s="51">
        <v>41495</v>
      </c>
      <c r="L2095" s="173"/>
      <c r="N2095" s="50" t="s">
        <v>2</v>
      </c>
      <c r="O2095" s="74">
        <f>1.6/2</f>
        <v>0.8</v>
      </c>
      <c r="P2095" s="50">
        <v>7.29</v>
      </c>
      <c r="Q2095" s="74">
        <v>7.59</v>
      </c>
      <c r="R2095" s="50">
        <f>10/2</f>
        <v>5</v>
      </c>
      <c r="S2095" s="74">
        <f>5/2</f>
        <v>2.5</v>
      </c>
      <c r="T2095" s="50">
        <v>0.13</v>
      </c>
      <c r="U2095" s="131">
        <v>0.52</v>
      </c>
      <c r="V2095" s="50">
        <v>0.34</v>
      </c>
      <c r="W2095" s="74">
        <f>0.005/2</f>
        <v>2.5000000000000001E-3</v>
      </c>
      <c r="X2095" s="50">
        <v>5.0000000000000001E-3</v>
      </c>
      <c r="Y2095" s="74">
        <v>4.0000000000000001E-3</v>
      </c>
      <c r="Z2095" s="165"/>
    </row>
    <row r="2096" spans="1:79" ht="15" customHeight="1">
      <c r="A2096" s="41" t="s">
        <v>183</v>
      </c>
      <c r="B2096" s="402" t="s">
        <v>2111</v>
      </c>
      <c r="D2096" s="393" t="s">
        <v>1217</v>
      </c>
      <c r="E2096" s="394" t="s">
        <v>2112</v>
      </c>
      <c r="G2096" s="405" t="s">
        <v>3606</v>
      </c>
      <c r="H2096" s="113">
        <v>3562</v>
      </c>
      <c r="I2096" s="49" t="s">
        <v>2</v>
      </c>
      <c r="J2096" s="48" t="s">
        <v>2102</v>
      </c>
      <c r="K2096" s="51">
        <v>41529</v>
      </c>
      <c r="L2096" s="173">
        <v>41527</v>
      </c>
      <c r="M2096" s="50">
        <f>K2096-L2096</f>
        <v>2</v>
      </c>
      <c r="N2096" s="50" t="s">
        <v>2</v>
      </c>
      <c r="O2096" s="74">
        <v>1.9</v>
      </c>
      <c r="P2096" s="50">
        <v>6.75</v>
      </c>
      <c r="Q2096" s="74">
        <v>6.25</v>
      </c>
      <c r="R2096" s="50">
        <v>148</v>
      </c>
      <c r="S2096" s="74">
        <v>172</v>
      </c>
      <c r="T2096" s="50">
        <v>0.29699999999999999</v>
      </c>
      <c r="U2096" s="131">
        <v>3.08</v>
      </c>
      <c r="V2096" s="50">
        <v>1.71</v>
      </c>
      <c r="W2096" s="74">
        <v>1.7899999999999999E-2</v>
      </c>
      <c r="X2096" s="50">
        <v>0.23100000000000001</v>
      </c>
      <c r="Y2096" s="74">
        <f>0.0075/2</f>
        <v>3.7499999999999999E-3</v>
      </c>
      <c r="Z2096" s="165"/>
    </row>
    <row r="2097" spans="1:30" ht="15" customHeight="1">
      <c r="A2097" s="41" t="s">
        <v>183</v>
      </c>
      <c r="B2097" s="402" t="s">
        <v>2060</v>
      </c>
      <c r="C2097" s="113" t="s">
        <v>2061</v>
      </c>
      <c r="D2097" s="393" t="s">
        <v>156</v>
      </c>
      <c r="G2097" s="405" t="s">
        <v>2062</v>
      </c>
      <c r="H2097" s="74"/>
      <c r="J2097" s="339"/>
      <c r="K2097" s="51">
        <v>41579</v>
      </c>
      <c r="L2097" s="173"/>
      <c r="N2097" s="50" t="s">
        <v>2</v>
      </c>
      <c r="O2097" s="74">
        <f>1/2</f>
        <v>0.5</v>
      </c>
      <c r="Q2097" s="74">
        <v>3.86</v>
      </c>
      <c r="R2097" s="50">
        <v>58.3</v>
      </c>
      <c r="S2097" s="74">
        <v>68</v>
      </c>
      <c r="T2097" s="50">
        <v>0.14000000000000001</v>
      </c>
      <c r="U2097" s="131">
        <v>1.72</v>
      </c>
      <c r="V2097" s="50">
        <v>0.55000000000000004</v>
      </c>
      <c r="W2097" s="74">
        <v>2.4E-2</v>
      </c>
      <c r="X2097" s="50">
        <v>0.16300000000000001</v>
      </c>
      <c r="Y2097" s="74">
        <f>0.002/2</f>
        <v>1E-3</v>
      </c>
      <c r="Z2097" s="165"/>
    </row>
    <row r="2098" spans="1:30" ht="15" customHeight="1">
      <c r="A2098" s="41" t="s">
        <v>183</v>
      </c>
      <c r="B2098" s="385" t="s">
        <v>4410</v>
      </c>
      <c r="C2098" s="18" t="s">
        <v>4411</v>
      </c>
      <c r="D2098" s="377" t="s">
        <v>56</v>
      </c>
      <c r="E2098" s="20" t="s">
        <v>4412</v>
      </c>
      <c r="F2098" s="385"/>
      <c r="G2098" s="390" t="s">
        <v>4413</v>
      </c>
      <c r="H2098" s="6">
        <v>4173</v>
      </c>
      <c r="I2098" s="7" t="s">
        <v>2</v>
      </c>
      <c r="J2098" s="344"/>
      <c r="K2098" s="51">
        <v>41291</v>
      </c>
      <c r="L2098" s="173">
        <v>41286</v>
      </c>
      <c r="M2098" s="50">
        <f>K2098-L2098</f>
        <v>5</v>
      </c>
      <c r="N2098" s="50" t="s">
        <v>2</v>
      </c>
      <c r="O2098" s="74">
        <v>6</v>
      </c>
      <c r="P2098" s="50">
        <v>4.72</v>
      </c>
      <c r="Q2098" s="74">
        <v>4.42</v>
      </c>
      <c r="R2098" s="50">
        <v>5</v>
      </c>
      <c r="S2098" s="74">
        <v>5</v>
      </c>
      <c r="T2098" s="50">
        <v>0.1</v>
      </c>
      <c r="U2098" s="131">
        <v>1</v>
      </c>
      <c r="V2098" s="50">
        <v>0.12</v>
      </c>
      <c r="W2098" s="74">
        <v>0.04</v>
      </c>
      <c r="X2098" s="50">
        <v>0.32</v>
      </c>
      <c r="Y2098" s="74">
        <v>1.2999999999999999E-2</v>
      </c>
      <c r="Z2098" s="165">
        <v>0.51800000000000002</v>
      </c>
      <c r="AA2098" s="271">
        <v>0.27200000000000002</v>
      </c>
      <c r="AB2098" s="114">
        <v>1.3</v>
      </c>
      <c r="AC2098" s="50">
        <v>18</v>
      </c>
      <c r="AD2098" s="271">
        <v>0</v>
      </c>
    </row>
    <row r="2099" spans="1:30" ht="15" customHeight="1">
      <c r="A2099" s="41" t="s">
        <v>183</v>
      </c>
      <c r="B2099" s="402" t="s">
        <v>5122</v>
      </c>
      <c r="D2099" s="393" t="s">
        <v>350</v>
      </c>
      <c r="E2099" s="394" t="s">
        <v>1329</v>
      </c>
      <c r="G2099" s="405" t="s">
        <v>5123</v>
      </c>
      <c r="H2099" s="74">
        <v>4953</v>
      </c>
      <c r="I2099" s="50" t="s">
        <v>2</v>
      </c>
      <c r="J2099" s="339" t="s">
        <v>1943</v>
      </c>
      <c r="K2099" s="51">
        <v>41495</v>
      </c>
      <c r="L2099" s="173">
        <v>41490</v>
      </c>
      <c r="M2099" s="50">
        <f>K2099-L2099</f>
        <v>5</v>
      </c>
      <c r="N2099" s="50" t="s">
        <v>2</v>
      </c>
      <c r="O2099" s="74">
        <f>1.4/2</f>
        <v>0.7</v>
      </c>
      <c r="P2099" s="50">
        <v>6</v>
      </c>
      <c r="Q2099" s="74">
        <v>6.08</v>
      </c>
      <c r="R2099" s="50">
        <v>15</v>
      </c>
      <c r="S2099" s="74">
        <v>7.5</v>
      </c>
      <c r="T2099" s="50">
        <v>0.04</v>
      </c>
      <c r="U2099" s="131">
        <v>0.32</v>
      </c>
      <c r="V2099" s="50">
        <v>0.2</v>
      </c>
      <c r="W2099" s="74">
        <f>0.005/2</f>
        <v>2.5000000000000001E-3</v>
      </c>
      <c r="X2099" s="50">
        <v>8.9999999999999993E-3</v>
      </c>
      <c r="Y2099" s="74">
        <f>0.002/2</f>
        <v>1E-3</v>
      </c>
      <c r="Z2099" s="165"/>
    </row>
    <row r="2100" spans="1:30" ht="15" customHeight="1">
      <c r="A2100" s="41" t="s">
        <v>183</v>
      </c>
      <c r="B2100" s="402" t="s">
        <v>5122</v>
      </c>
      <c r="D2100" s="393" t="s">
        <v>350</v>
      </c>
      <c r="E2100" s="394" t="s">
        <v>1329</v>
      </c>
      <c r="G2100" s="405" t="s">
        <v>5123</v>
      </c>
      <c r="H2100" s="74">
        <v>4953</v>
      </c>
      <c r="I2100" s="50" t="s">
        <v>2</v>
      </c>
      <c r="J2100" s="339" t="s">
        <v>425</v>
      </c>
      <c r="K2100" s="51">
        <v>41495</v>
      </c>
      <c r="L2100" s="173">
        <v>41490</v>
      </c>
      <c r="M2100" s="50">
        <f>K2100-L2100</f>
        <v>5</v>
      </c>
      <c r="N2100" s="50" t="s">
        <v>2</v>
      </c>
      <c r="O2100" s="74">
        <v>13</v>
      </c>
      <c r="P2100" s="50">
        <v>6</v>
      </c>
      <c r="Q2100" s="74">
        <v>6.51</v>
      </c>
      <c r="R2100" s="50">
        <v>30</v>
      </c>
      <c r="S2100" s="74">
        <v>270</v>
      </c>
      <c r="T2100" s="50">
        <v>1.58</v>
      </c>
      <c r="U2100" s="131">
        <v>2.1</v>
      </c>
      <c r="V2100" s="50">
        <v>0.94</v>
      </c>
      <c r="W2100" s="74">
        <v>2.9000000000000001E-2</v>
      </c>
      <c r="X2100" s="50">
        <v>0.13300000000000001</v>
      </c>
      <c r="Y2100" s="74">
        <v>0.02</v>
      </c>
      <c r="Z2100" s="165"/>
    </row>
    <row r="2101" spans="1:30" ht="15" customHeight="1">
      <c r="A2101" s="41" t="s">
        <v>183</v>
      </c>
      <c r="B2101" s="402" t="s">
        <v>5122</v>
      </c>
      <c r="D2101" s="393" t="s">
        <v>350</v>
      </c>
      <c r="E2101" s="394" t="s">
        <v>1329</v>
      </c>
      <c r="G2101" s="405" t="s">
        <v>5123</v>
      </c>
      <c r="H2101" s="74">
        <v>4953</v>
      </c>
      <c r="I2101" s="50" t="s">
        <v>2</v>
      </c>
      <c r="J2101" s="339" t="s">
        <v>1341</v>
      </c>
      <c r="K2101" s="51">
        <v>41495</v>
      </c>
      <c r="L2101" s="173">
        <v>41490</v>
      </c>
      <c r="M2101" s="50">
        <f>K2101-L2101</f>
        <v>5</v>
      </c>
      <c r="N2101" s="50" t="s">
        <v>2</v>
      </c>
      <c r="O2101" s="74">
        <f>1.4/2</f>
        <v>0.7</v>
      </c>
      <c r="P2101" s="50">
        <v>6</v>
      </c>
      <c r="Q2101" s="74">
        <v>6.95</v>
      </c>
      <c r="R2101" s="50">
        <v>21</v>
      </c>
      <c r="S2101" s="74">
        <v>24</v>
      </c>
      <c r="T2101" s="50">
        <v>0.15</v>
      </c>
      <c r="U2101" s="131">
        <v>0.7</v>
      </c>
      <c r="V2101" s="50">
        <v>0.42</v>
      </c>
      <c r="W2101" s="74">
        <v>8.0000000000000002E-3</v>
      </c>
      <c r="X2101" s="50">
        <v>2.7E-2</v>
      </c>
      <c r="Y2101" s="74">
        <v>5.0000000000000001E-3</v>
      </c>
      <c r="Z2101" s="165"/>
    </row>
    <row r="2102" spans="1:30" ht="15" customHeight="1">
      <c r="A2102" s="41" t="s">
        <v>183</v>
      </c>
      <c r="B2102" s="402" t="s">
        <v>3235</v>
      </c>
      <c r="C2102" s="113" t="s">
        <v>5270</v>
      </c>
      <c r="D2102" s="393" t="s">
        <v>111</v>
      </c>
      <c r="E2102" s="394" t="s">
        <v>112</v>
      </c>
      <c r="G2102" s="405" t="s">
        <v>3236</v>
      </c>
      <c r="H2102" s="74">
        <v>3273</v>
      </c>
      <c r="I2102" s="50" t="s">
        <v>1</v>
      </c>
      <c r="J2102" s="339" t="s">
        <v>3144</v>
      </c>
      <c r="K2102" s="51">
        <v>41376</v>
      </c>
      <c r="L2102" s="173">
        <v>41365</v>
      </c>
      <c r="M2102" s="50">
        <f>K2102-L2102</f>
        <v>11</v>
      </c>
      <c r="N2102" s="50" t="s">
        <v>2</v>
      </c>
      <c r="O2102" s="74">
        <f>5/2</f>
        <v>2.5</v>
      </c>
      <c r="Q2102" s="74">
        <v>8.9700000000000006</v>
      </c>
      <c r="R2102" s="50">
        <v>57</v>
      </c>
      <c r="S2102" s="74">
        <v>100</v>
      </c>
      <c r="T2102" s="50">
        <v>0.13</v>
      </c>
      <c r="U2102" s="131">
        <v>1.1000000000000001</v>
      </c>
      <c r="V2102" s="50">
        <v>0.28000000000000003</v>
      </c>
      <c r="W2102" s="74">
        <f>0.04/2</f>
        <v>0.02</v>
      </c>
      <c r="X2102" s="50">
        <v>0.05</v>
      </c>
      <c r="Y2102" s="74">
        <v>0.14000000000000001</v>
      </c>
      <c r="Z2102" s="165"/>
    </row>
    <row r="2103" spans="1:30" ht="15" customHeight="1">
      <c r="A2103" s="41" t="s">
        <v>183</v>
      </c>
      <c r="B2103" s="402" t="s">
        <v>2319</v>
      </c>
      <c r="D2103" s="393" t="s">
        <v>1881</v>
      </c>
      <c r="E2103" s="394" t="s">
        <v>49</v>
      </c>
      <c r="F2103" s="402">
        <v>4500</v>
      </c>
      <c r="G2103" s="405" t="s">
        <v>2320</v>
      </c>
      <c r="H2103" s="74">
        <v>2621</v>
      </c>
      <c r="J2103" s="339"/>
      <c r="K2103" s="51">
        <v>41513</v>
      </c>
      <c r="L2103" s="173"/>
      <c r="N2103" s="50" t="s">
        <v>2</v>
      </c>
      <c r="Z2103" s="165">
        <v>1</v>
      </c>
      <c r="AA2103" s="271">
        <v>1</v>
      </c>
      <c r="AB2103" s="114">
        <v>76</v>
      </c>
      <c r="AC2103" s="50">
        <v>200</v>
      </c>
      <c r="AD2103" s="271">
        <v>1</v>
      </c>
    </row>
    <row r="2104" spans="1:30" ht="15" customHeight="1">
      <c r="A2104" s="41" t="s">
        <v>183</v>
      </c>
      <c r="B2104" s="402" t="s">
        <v>4584</v>
      </c>
      <c r="D2104" s="393" t="s">
        <v>710</v>
      </c>
      <c r="E2104" s="394" t="s">
        <v>4585</v>
      </c>
      <c r="G2104" s="405" t="s">
        <v>4586</v>
      </c>
      <c r="H2104" s="74">
        <v>2653</v>
      </c>
      <c r="J2104" s="339"/>
      <c r="K2104" s="51">
        <v>41527</v>
      </c>
      <c r="L2104" s="173"/>
      <c r="N2104" s="50" t="s">
        <v>2</v>
      </c>
      <c r="O2104" s="74">
        <f>1/2</f>
        <v>0.5</v>
      </c>
      <c r="P2104" s="50">
        <v>6</v>
      </c>
      <c r="Q2104" s="74">
        <v>7.1</v>
      </c>
      <c r="R2104" s="50">
        <v>36</v>
      </c>
      <c r="S2104" s="74">
        <v>29</v>
      </c>
      <c r="T2104" s="50">
        <v>0.2</v>
      </c>
      <c r="U2104" s="131">
        <v>0.53</v>
      </c>
      <c r="V2104" s="50">
        <v>0.42</v>
      </c>
      <c r="W2104" s="74">
        <v>1.2E-2</v>
      </c>
      <c r="X2104" s="50">
        <v>0.26</v>
      </c>
      <c r="Y2104" s="74">
        <v>4.3E-3</v>
      </c>
      <c r="Z2104" s="165">
        <v>1</v>
      </c>
      <c r="AA2104" s="271">
        <v>1</v>
      </c>
      <c r="AB2104" s="114">
        <v>48</v>
      </c>
      <c r="AC2104" s="50">
        <v>209</v>
      </c>
      <c r="AD2104" s="271">
        <v>1</v>
      </c>
    </row>
    <row r="2105" spans="1:30" ht="15" customHeight="1">
      <c r="A2105" s="41" t="s">
        <v>183</v>
      </c>
      <c r="B2105" s="402" t="s">
        <v>4584</v>
      </c>
      <c r="D2105" s="393" t="s">
        <v>710</v>
      </c>
      <c r="E2105" s="394" t="s">
        <v>4585</v>
      </c>
      <c r="G2105" s="405" t="s">
        <v>4586</v>
      </c>
      <c r="H2105" s="74">
        <v>2653</v>
      </c>
      <c r="J2105" s="339"/>
      <c r="K2105" s="51">
        <v>41551</v>
      </c>
      <c r="L2105" s="173"/>
      <c r="N2105" s="50" t="s">
        <v>2</v>
      </c>
      <c r="O2105" s="74">
        <v>1.3</v>
      </c>
      <c r="P2105" s="50">
        <v>6</v>
      </c>
      <c r="Q2105" s="74">
        <v>5.3</v>
      </c>
      <c r="R2105" s="50">
        <v>66</v>
      </c>
      <c r="S2105" s="74">
        <v>60</v>
      </c>
      <c r="T2105" s="50">
        <v>0.1</v>
      </c>
      <c r="U2105" s="131">
        <v>2.4</v>
      </c>
      <c r="V2105" s="50">
        <v>1.9</v>
      </c>
      <c r="W2105" s="74">
        <v>6.8999999999999999E-3</v>
      </c>
      <c r="X2105" s="50">
        <v>0.34</v>
      </c>
      <c r="Y2105" s="74">
        <f>0.002/2</f>
        <v>1E-3</v>
      </c>
      <c r="Z2105" s="165"/>
    </row>
    <row r="2106" spans="1:30" ht="15" customHeight="1">
      <c r="A2106" s="41" t="s">
        <v>183</v>
      </c>
      <c r="B2106" s="402" t="s">
        <v>5169</v>
      </c>
      <c r="D2106" s="393" t="s">
        <v>234</v>
      </c>
      <c r="G2106" s="405" t="s">
        <v>5170</v>
      </c>
      <c r="H2106" s="74">
        <v>3471</v>
      </c>
      <c r="J2106" s="339" t="s">
        <v>5201</v>
      </c>
      <c r="K2106" s="51">
        <v>41402</v>
      </c>
      <c r="L2106" s="173">
        <v>41387</v>
      </c>
      <c r="M2106" s="50">
        <f t="shared" ref="M2106:M2115" si="119">K2106-L2106</f>
        <v>15</v>
      </c>
      <c r="N2106" s="50" t="s">
        <v>2</v>
      </c>
      <c r="O2106" s="74">
        <v>13.4</v>
      </c>
      <c r="P2106" s="50">
        <v>6.43</v>
      </c>
      <c r="Q2106" s="74">
        <v>4.95</v>
      </c>
      <c r="R2106" s="50">
        <v>165</v>
      </c>
      <c r="S2106" s="74">
        <v>44.5</v>
      </c>
      <c r="T2106" s="50">
        <v>0.73</v>
      </c>
      <c r="U2106" s="131">
        <v>4.46</v>
      </c>
      <c r="V2106" s="50">
        <v>0.74</v>
      </c>
      <c r="W2106" s="74">
        <v>0.14000000000000001</v>
      </c>
      <c r="X2106" s="50">
        <v>0.49</v>
      </c>
      <c r="Y2106" s="74">
        <v>0.04</v>
      </c>
      <c r="Z2106" s="165"/>
    </row>
    <row r="2107" spans="1:30" ht="15" customHeight="1">
      <c r="A2107" s="41" t="s">
        <v>183</v>
      </c>
      <c r="B2107" s="402" t="s">
        <v>5169</v>
      </c>
      <c r="D2107" s="393" t="s">
        <v>234</v>
      </c>
      <c r="G2107" s="405" t="s">
        <v>5170</v>
      </c>
      <c r="H2107" s="74">
        <v>3471</v>
      </c>
      <c r="J2107" s="339" t="s">
        <v>5171</v>
      </c>
      <c r="K2107" s="51">
        <v>41402</v>
      </c>
      <c r="L2107" s="173">
        <v>41387</v>
      </c>
      <c r="M2107" s="50">
        <f t="shared" si="119"/>
        <v>15</v>
      </c>
      <c r="N2107" s="50" t="s">
        <v>2</v>
      </c>
      <c r="O2107" s="74">
        <v>1.9</v>
      </c>
      <c r="P2107" s="50">
        <v>6.43</v>
      </c>
      <c r="Q2107" s="74">
        <v>6.68</v>
      </c>
      <c r="R2107" s="50">
        <v>23.7</v>
      </c>
      <c r="S2107" s="74">
        <v>40</v>
      </c>
      <c r="T2107" s="50">
        <v>0.12</v>
      </c>
      <c r="U2107" s="131">
        <v>1</v>
      </c>
      <c r="V2107" s="50">
        <f t="shared" ref="V2107:V2112" si="120">0.2/2</f>
        <v>0.1</v>
      </c>
      <c r="W2107" s="74">
        <v>0.03</v>
      </c>
      <c r="X2107" s="50">
        <v>0.08</v>
      </c>
      <c r="Y2107" s="74">
        <f>0.02/2</f>
        <v>0.01</v>
      </c>
      <c r="Z2107" s="165"/>
    </row>
    <row r="2108" spans="1:30" ht="15" customHeight="1">
      <c r="A2108" s="41" t="s">
        <v>183</v>
      </c>
      <c r="B2108" s="402" t="s">
        <v>5169</v>
      </c>
      <c r="D2108" s="393" t="s">
        <v>234</v>
      </c>
      <c r="G2108" s="405" t="s">
        <v>5170</v>
      </c>
      <c r="H2108" s="74">
        <v>3471</v>
      </c>
      <c r="J2108" s="339" t="s">
        <v>5202</v>
      </c>
      <c r="K2108" s="51">
        <v>41113</v>
      </c>
      <c r="L2108" s="173">
        <v>41110</v>
      </c>
      <c r="M2108" s="50">
        <f t="shared" si="119"/>
        <v>3</v>
      </c>
      <c r="N2108" s="50" t="s">
        <v>2</v>
      </c>
      <c r="O2108" s="74">
        <v>5</v>
      </c>
      <c r="P2108" s="50">
        <v>4.6399999999999997</v>
      </c>
      <c r="Q2108" s="74">
        <v>4.2</v>
      </c>
      <c r="R2108" s="50">
        <v>13.8</v>
      </c>
      <c r="S2108" s="74">
        <f>1/2</f>
        <v>0.5</v>
      </c>
      <c r="T2108" s="50">
        <f>0.05/2</f>
        <v>2.5000000000000001E-2</v>
      </c>
      <c r="U2108" s="131">
        <v>0.8</v>
      </c>
      <c r="V2108" s="50">
        <f t="shared" si="120"/>
        <v>0.1</v>
      </c>
      <c r="W2108" s="74">
        <f>0.01/2</f>
        <v>5.0000000000000001E-3</v>
      </c>
      <c r="X2108" s="50">
        <v>0.12</v>
      </c>
      <c r="Y2108" s="74">
        <f>0.02/2</f>
        <v>0.01</v>
      </c>
      <c r="Z2108" s="165"/>
    </row>
    <row r="2109" spans="1:30" ht="15" customHeight="1">
      <c r="A2109" s="41" t="s">
        <v>183</v>
      </c>
      <c r="B2109" s="402" t="s">
        <v>5169</v>
      </c>
      <c r="D2109" s="393" t="s">
        <v>234</v>
      </c>
      <c r="G2109" s="405" t="s">
        <v>5170</v>
      </c>
      <c r="H2109" s="74">
        <v>3471</v>
      </c>
      <c r="J2109" s="339" t="s">
        <v>5201</v>
      </c>
      <c r="K2109" s="51">
        <v>41113</v>
      </c>
      <c r="L2109" s="173">
        <v>41110</v>
      </c>
      <c r="M2109" s="50">
        <f t="shared" si="119"/>
        <v>3</v>
      </c>
      <c r="N2109" s="50" t="s">
        <v>2</v>
      </c>
      <c r="O2109" s="74">
        <v>15.8</v>
      </c>
      <c r="P2109" s="50">
        <v>6.1</v>
      </c>
      <c r="Q2109" s="74">
        <v>6.55</v>
      </c>
      <c r="R2109" s="50">
        <v>84</v>
      </c>
      <c r="S2109" s="74">
        <v>1570</v>
      </c>
      <c r="T2109" s="50">
        <v>0.82</v>
      </c>
      <c r="U2109" s="131">
        <v>1.6</v>
      </c>
      <c r="V2109" s="50">
        <f t="shared" si="120"/>
        <v>0.1</v>
      </c>
      <c r="W2109" s="74">
        <v>0.22</v>
      </c>
      <c r="X2109" s="50">
        <v>0.59</v>
      </c>
      <c r="Y2109" s="74">
        <v>0.12</v>
      </c>
      <c r="Z2109" s="165"/>
    </row>
    <row r="2110" spans="1:30" ht="15" customHeight="1">
      <c r="A2110" s="41" t="s">
        <v>183</v>
      </c>
      <c r="B2110" s="402" t="s">
        <v>5169</v>
      </c>
      <c r="D2110" s="393" t="s">
        <v>234</v>
      </c>
      <c r="G2110" s="405" t="s">
        <v>5170</v>
      </c>
      <c r="H2110" s="74">
        <v>3471</v>
      </c>
      <c r="J2110" s="339" t="s">
        <v>5171</v>
      </c>
      <c r="K2110" s="51">
        <v>41184</v>
      </c>
      <c r="L2110" s="173">
        <v>41180</v>
      </c>
      <c r="M2110" s="50">
        <f t="shared" si="119"/>
        <v>4</v>
      </c>
      <c r="N2110" s="50" t="s">
        <v>2</v>
      </c>
      <c r="O2110" s="74">
        <v>8.3000000000000007</v>
      </c>
      <c r="P2110" s="50">
        <v>5.73</v>
      </c>
      <c r="Q2110" s="74">
        <v>6.11</v>
      </c>
      <c r="R2110" s="50">
        <v>20.5</v>
      </c>
      <c r="S2110" s="74">
        <v>33</v>
      </c>
      <c r="T2110" s="50">
        <v>0.09</v>
      </c>
      <c r="U2110" s="131">
        <f>0.1/2</f>
        <v>0.05</v>
      </c>
      <c r="V2110" s="50">
        <f t="shared" si="120"/>
        <v>0.1</v>
      </c>
      <c r="W2110" s="74">
        <v>0.02</v>
      </c>
      <c r="X2110" s="50">
        <v>0.09</v>
      </c>
      <c r="Y2110" s="74">
        <f>0.02/2</f>
        <v>0.01</v>
      </c>
      <c r="Z2110" s="165">
        <v>1</v>
      </c>
      <c r="AA2110" s="271">
        <v>1</v>
      </c>
      <c r="AB2110" s="114">
        <v>1.6</v>
      </c>
      <c r="AC2110" s="50">
        <v>5.5</v>
      </c>
      <c r="AD2110" s="271">
        <v>0.65</v>
      </c>
    </row>
    <row r="2111" spans="1:30" ht="15" customHeight="1">
      <c r="A2111" s="41" t="s">
        <v>183</v>
      </c>
      <c r="B2111" s="402" t="s">
        <v>5169</v>
      </c>
      <c r="D2111" s="393" t="s">
        <v>234</v>
      </c>
      <c r="G2111" s="405" t="s">
        <v>5170</v>
      </c>
      <c r="H2111" s="74">
        <v>3471</v>
      </c>
      <c r="J2111" s="339" t="s">
        <v>5201</v>
      </c>
      <c r="K2111" s="51">
        <v>41184</v>
      </c>
      <c r="L2111" s="173">
        <v>41180</v>
      </c>
      <c r="M2111" s="50">
        <f t="shared" si="119"/>
        <v>4</v>
      </c>
      <c r="N2111" s="50" t="s">
        <v>2</v>
      </c>
      <c r="O2111" s="74">
        <v>6.8</v>
      </c>
      <c r="P2111" s="50">
        <v>4.05</v>
      </c>
      <c r="Q2111" s="74">
        <v>5.59</v>
      </c>
      <c r="R2111" s="50">
        <f>2/2</f>
        <v>1</v>
      </c>
      <c r="S2111" s="74">
        <f>1/2</f>
        <v>0.5</v>
      </c>
      <c r="T2111" s="50">
        <f>0.05/2</f>
        <v>2.5000000000000001E-2</v>
      </c>
      <c r="U2111" s="131">
        <f>0.1/2</f>
        <v>0.05</v>
      </c>
      <c r="V2111" s="50">
        <f t="shared" si="120"/>
        <v>0.1</v>
      </c>
      <c r="W2111" s="74">
        <f>0.01/2</f>
        <v>5.0000000000000001E-3</v>
      </c>
      <c r="X2111" s="50">
        <v>0.03</v>
      </c>
      <c r="Y2111" s="74">
        <f>0.02/2</f>
        <v>0.01</v>
      </c>
      <c r="Z2111" s="165">
        <v>1</v>
      </c>
      <c r="AA2111" s="271">
        <v>0.95299999999999996</v>
      </c>
      <c r="AB2111" s="114">
        <f>1/2</f>
        <v>0.5</v>
      </c>
      <c r="AC2111" s="50">
        <v>3.4</v>
      </c>
      <c r="AD2111" s="271">
        <v>0.45</v>
      </c>
    </row>
    <row r="2112" spans="1:30" ht="15" customHeight="1">
      <c r="A2112" s="41" t="s">
        <v>183</v>
      </c>
      <c r="B2112" s="402" t="s">
        <v>5169</v>
      </c>
      <c r="D2112" s="393" t="s">
        <v>234</v>
      </c>
      <c r="G2112" s="405" t="s">
        <v>5170</v>
      </c>
      <c r="H2112" s="74">
        <v>3471</v>
      </c>
      <c r="J2112" s="339" t="s">
        <v>5171</v>
      </c>
      <c r="K2112" s="51">
        <v>41585</v>
      </c>
      <c r="L2112" s="173">
        <v>41554</v>
      </c>
      <c r="M2112" s="50">
        <f t="shared" si="119"/>
        <v>31</v>
      </c>
      <c r="N2112" s="50" t="s">
        <v>2</v>
      </c>
      <c r="O2112" s="74">
        <v>1.6</v>
      </c>
      <c r="P2112" s="50">
        <v>5.43</v>
      </c>
      <c r="Q2112" s="74">
        <v>4.49</v>
      </c>
      <c r="R2112" s="50">
        <v>10.3</v>
      </c>
      <c r="S2112" s="74">
        <f>1/2</f>
        <v>0.5</v>
      </c>
      <c r="T2112" s="50">
        <f>0.05/2</f>
        <v>2.5000000000000001E-2</v>
      </c>
      <c r="U2112" s="131">
        <v>0.42</v>
      </c>
      <c r="V2112" s="50">
        <f t="shared" si="120"/>
        <v>0.1</v>
      </c>
      <c r="W2112" s="74">
        <f>0.01/2</f>
        <v>5.0000000000000001E-3</v>
      </c>
      <c r="X2112" s="50">
        <v>0.06</v>
      </c>
      <c r="Y2112" s="74">
        <f>0.02/2</f>
        <v>0.01</v>
      </c>
      <c r="Z2112" s="165"/>
    </row>
    <row r="2113" spans="1:47" ht="15" customHeight="1">
      <c r="A2113" s="41" t="s">
        <v>183</v>
      </c>
      <c r="B2113" s="402" t="s">
        <v>5169</v>
      </c>
      <c r="D2113" s="393" t="s">
        <v>234</v>
      </c>
      <c r="G2113" s="405" t="s">
        <v>5170</v>
      </c>
      <c r="H2113" s="74">
        <v>3471</v>
      </c>
      <c r="J2113" s="339" t="s">
        <v>5201</v>
      </c>
      <c r="K2113" s="51">
        <v>41585</v>
      </c>
      <c r="L2113" s="173">
        <v>41554</v>
      </c>
      <c r="M2113" s="50">
        <f t="shared" si="119"/>
        <v>31</v>
      </c>
      <c r="N2113" s="50" t="s">
        <v>2</v>
      </c>
      <c r="O2113" s="74">
        <v>2.8</v>
      </c>
      <c r="P2113" s="50">
        <v>5.43</v>
      </c>
      <c r="Q2113" s="74">
        <v>5.41</v>
      </c>
      <c r="R2113" s="50">
        <v>35.9</v>
      </c>
      <c r="S2113" s="74">
        <v>54</v>
      </c>
      <c r="T2113" s="50">
        <v>0.14000000000000001</v>
      </c>
      <c r="U2113" s="131">
        <v>2.27</v>
      </c>
      <c r="V2113" s="50">
        <v>0.42</v>
      </c>
      <c r="W2113" s="74">
        <v>0.03</v>
      </c>
      <c r="X2113" s="50">
        <v>0.21</v>
      </c>
      <c r="Y2113" s="74">
        <f>0.02/2</f>
        <v>0.01</v>
      </c>
      <c r="Z2113" s="165"/>
    </row>
    <row r="2114" spans="1:47" ht="15" customHeight="1">
      <c r="A2114" s="41" t="s">
        <v>183</v>
      </c>
      <c r="B2114" s="402" t="s">
        <v>1342</v>
      </c>
      <c r="C2114" s="113" t="s">
        <v>1342</v>
      </c>
      <c r="D2114" s="393" t="s">
        <v>2328</v>
      </c>
      <c r="E2114" s="394" t="s">
        <v>1343</v>
      </c>
      <c r="G2114" s="405" t="s">
        <v>1344</v>
      </c>
      <c r="H2114" s="49">
        <v>3829</v>
      </c>
      <c r="I2114" s="50" t="s">
        <v>2</v>
      </c>
      <c r="J2114" s="76" t="s">
        <v>1345</v>
      </c>
      <c r="K2114" s="51">
        <v>41072</v>
      </c>
      <c r="L2114" s="173">
        <v>41063</v>
      </c>
      <c r="M2114" s="50">
        <f t="shared" si="119"/>
        <v>9</v>
      </c>
      <c r="N2114" s="50" t="s">
        <v>2</v>
      </c>
      <c r="O2114" s="74">
        <f>1.5/2</f>
        <v>0.75</v>
      </c>
      <c r="P2114" s="50">
        <v>6.79</v>
      </c>
      <c r="Q2114" s="74">
        <v>6.73</v>
      </c>
      <c r="R2114" s="50">
        <v>27</v>
      </c>
      <c r="S2114" s="74">
        <v>150</v>
      </c>
      <c r="T2114" s="50">
        <v>0.36</v>
      </c>
      <c r="U2114" s="131">
        <v>2.3199999999999998</v>
      </c>
      <c r="V2114" s="50">
        <v>0.88</v>
      </c>
      <c r="W2114" s="74">
        <v>1.4999999999999999E-2</v>
      </c>
      <c r="X2114" s="50">
        <v>6.9000000000000006E-2</v>
      </c>
      <c r="Y2114" s="74">
        <v>1.7000000000000001E-2</v>
      </c>
      <c r="Z2114" s="165">
        <v>1</v>
      </c>
      <c r="AA2114" s="271">
        <v>1</v>
      </c>
    </row>
    <row r="2115" spans="1:47" ht="15" customHeight="1">
      <c r="A2115" s="41" t="s">
        <v>183</v>
      </c>
      <c r="B2115" s="402" t="s">
        <v>1342</v>
      </c>
      <c r="C2115" s="113" t="s">
        <v>1342</v>
      </c>
      <c r="D2115" s="393" t="s">
        <v>2328</v>
      </c>
      <c r="E2115" s="394" t="s">
        <v>1343</v>
      </c>
      <c r="G2115" s="405" t="s">
        <v>1344</v>
      </c>
      <c r="H2115" s="49">
        <v>3829</v>
      </c>
      <c r="I2115" s="50" t="s">
        <v>2</v>
      </c>
      <c r="J2115" s="76" t="s">
        <v>1345</v>
      </c>
      <c r="K2115" s="51">
        <v>41613</v>
      </c>
      <c r="L2115" s="173">
        <v>41605</v>
      </c>
      <c r="M2115" s="50">
        <f t="shared" si="119"/>
        <v>8</v>
      </c>
      <c r="N2115" s="50" t="s">
        <v>2</v>
      </c>
      <c r="S2115" s="74">
        <f>5/2</f>
        <v>2.5</v>
      </c>
      <c r="Z2115" s="165"/>
    </row>
    <row r="2116" spans="1:47" ht="15" customHeight="1">
      <c r="A2116" s="41" t="s">
        <v>183</v>
      </c>
      <c r="B2116" s="385" t="s">
        <v>4323</v>
      </c>
      <c r="C2116" s="18" t="s">
        <v>4323</v>
      </c>
      <c r="D2116" s="377" t="s">
        <v>735</v>
      </c>
      <c r="E2116" s="20" t="s">
        <v>1937</v>
      </c>
      <c r="F2116" s="385"/>
      <c r="G2116" s="390" t="s">
        <v>1938</v>
      </c>
      <c r="H2116" s="6">
        <v>3441</v>
      </c>
      <c r="I2116" s="7" t="s">
        <v>2</v>
      </c>
      <c r="J2116" s="344" t="s">
        <v>3251</v>
      </c>
      <c r="K2116" s="22">
        <v>41180</v>
      </c>
      <c r="L2116" s="324">
        <v>41170</v>
      </c>
      <c r="M2116" s="7">
        <v>10</v>
      </c>
      <c r="N2116" s="7" t="s">
        <v>2</v>
      </c>
      <c r="O2116" s="6">
        <v>1.9</v>
      </c>
      <c r="P2116" s="20"/>
      <c r="Q2116" s="7">
        <v>6.37</v>
      </c>
      <c r="R2116" s="6">
        <v>50</v>
      </c>
      <c r="S2116" s="7">
        <v>99</v>
      </c>
      <c r="T2116" s="6">
        <v>0.26</v>
      </c>
      <c r="U2116" s="9">
        <v>0.96</v>
      </c>
      <c r="V2116" s="6">
        <v>0.57999999999999996</v>
      </c>
      <c r="W2116" s="7">
        <v>3.3000000000000002E-2</v>
      </c>
      <c r="X2116" s="6">
        <v>0.41599999999999998</v>
      </c>
      <c r="Y2116" s="7">
        <v>6.9000000000000006E-2</v>
      </c>
      <c r="Z2116" s="323">
        <v>1</v>
      </c>
      <c r="AA2116" s="323">
        <v>0.58399999999999996</v>
      </c>
      <c r="AB2116" s="20">
        <v>8</v>
      </c>
      <c r="AC2116" s="7">
        <v>52</v>
      </c>
      <c r="AD2116" s="323">
        <v>0</v>
      </c>
      <c r="AE2116" s="7"/>
      <c r="AF2116" s="19"/>
      <c r="AG2116" s="20"/>
      <c r="AH2116" s="20"/>
      <c r="AI2116" s="20"/>
      <c r="AJ2116" s="20"/>
      <c r="AK2116" s="20"/>
      <c r="AL2116" s="20"/>
      <c r="AM2116" s="20"/>
      <c r="AN2116" s="20"/>
      <c r="AO2116" s="20"/>
      <c r="AP2116" s="20"/>
      <c r="AQ2116" s="20"/>
      <c r="AR2116" s="20"/>
      <c r="AS2116" s="7"/>
      <c r="AT2116" s="6"/>
      <c r="AU2116" s="20"/>
    </row>
    <row r="2117" spans="1:47" ht="15" customHeight="1">
      <c r="A2117" s="41" t="s">
        <v>183</v>
      </c>
      <c r="B2117" s="385" t="s">
        <v>4323</v>
      </c>
      <c r="C2117" s="18" t="s">
        <v>4323</v>
      </c>
      <c r="D2117" s="377" t="s">
        <v>735</v>
      </c>
      <c r="E2117" s="20" t="s">
        <v>1937</v>
      </c>
      <c r="F2117" s="385"/>
      <c r="G2117" s="390" t="s">
        <v>1938</v>
      </c>
      <c r="H2117" s="6">
        <v>3441</v>
      </c>
      <c r="I2117" s="7" t="s">
        <v>2</v>
      </c>
      <c r="J2117" s="344" t="s">
        <v>2494</v>
      </c>
      <c r="K2117" s="22">
        <v>41180</v>
      </c>
      <c r="L2117" s="324">
        <v>41170</v>
      </c>
      <c r="M2117" s="7">
        <v>10</v>
      </c>
      <c r="N2117" s="7" t="s">
        <v>2</v>
      </c>
      <c r="O2117" s="6">
        <v>1.9</v>
      </c>
      <c r="P2117" s="20"/>
      <c r="Q2117" s="7">
        <v>6.21</v>
      </c>
      <c r="R2117" s="6">
        <v>42</v>
      </c>
      <c r="S2117" s="7">
        <v>50</v>
      </c>
      <c r="T2117" s="6">
        <v>0.08</v>
      </c>
      <c r="U2117" s="9">
        <v>0.71</v>
      </c>
      <c r="V2117" s="6">
        <v>0.39</v>
      </c>
      <c r="W2117" s="7">
        <v>8.0000000000000002E-3</v>
      </c>
      <c r="X2117" s="6">
        <v>0.24099999999999999</v>
      </c>
      <c r="Y2117" s="7">
        <v>6.0999999999999999E-2</v>
      </c>
      <c r="Z2117" s="323">
        <v>1</v>
      </c>
      <c r="AA2117" s="323">
        <v>0.70699999999999996</v>
      </c>
      <c r="AB2117" s="20">
        <v>2</v>
      </c>
      <c r="AC2117" s="7">
        <v>15</v>
      </c>
      <c r="AD2117" s="323">
        <v>0</v>
      </c>
      <c r="AE2117" s="7"/>
      <c r="AF2117" s="19"/>
      <c r="AG2117" s="20"/>
      <c r="AH2117" s="20"/>
      <c r="AI2117" s="20"/>
      <c r="AJ2117" s="20"/>
      <c r="AK2117" s="20"/>
      <c r="AL2117" s="20"/>
      <c r="AM2117" s="20"/>
      <c r="AN2117" s="20"/>
      <c r="AO2117" s="20"/>
      <c r="AP2117" s="20"/>
      <c r="AQ2117" s="20"/>
      <c r="AR2117" s="20"/>
      <c r="AS2117" s="7"/>
      <c r="AT2117" s="6"/>
      <c r="AU2117" s="20"/>
    </row>
    <row r="2118" spans="1:47" ht="15" customHeight="1">
      <c r="A2118" s="41" t="s">
        <v>183</v>
      </c>
      <c r="B2118" s="402" t="s">
        <v>2518</v>
      </c>
      <c r="C2118" s="113" t="s">
        <v>3943</v>
      </c>
      <c r="D2118" s="393" t="s">
        <v>195</v>
      </c>
      <c r="E2118" s="394" t="s">
        <v>4448</v>
      </c>
      <c r="G2118" s="405" t="s">
        <v>4476</v>
      </c>
      <c r="H2118" s="74">
        <v>4111</v>
      </c>
      <c r="I2118" s="50" t="s">
        <v>1</v>
      </c>
      <c r="J2118" s="339" t="s">
        <v>74</v>
      </c>
      <c r="K2118" s="51">
        <v>41201</v>
      </c>
      <c r="L2118" s="173">
        <v>41197</v>
      </c>
      <c r="M2118" s="50">
        <f>K2118-L2118</f>
        <v>4</v>
      </c>
      <c r="N2118" s="50" t="s">
        <v>2</v>
      </c>
      <c r="O2118" s="74">
        <f>0.5/2</f>
        <v>0.25</v>
      </c>
      <c r="P2118" s="50">
        <v>5.98</v>
      </c>
      <c r="Q2118" s="74">
        <v>6.1</v>
      </c>
      <c r="R2118" s="50">
        <v>7</v>
      </c>
      <c r="S2118" s="74">
        <v>3</v>
      </c>
      <c r="T2118" s="50">
        <v>0.11700000000000001</v>
      </c>
      <c r="U2118" s="131">
        <f>0.05/2</f>
        <v>2.5000000000000001E-2</v>
      </c>
      <c r="V2118" s="50">
        <v>0.1</v>
      </c>
      <c r="W2118" s="74">
        <v>0.01</v>
      </c>
      <c r="X2118" s="50">
        <v>0.03</v>
      </c>
      <c r="Y2118" s="74">
        <f>0.005/2</f>
        <v>2.5000000000000001E-3</v>
      </c>
      <c r="Z2118" s="165"/>
    </row>
    <row r="2119" spans="1:47" ht="15" customHeight="1">
      <c r="A2119" s="41" t="s">
        <v>183</v>
      </c>
      <c r="B2119" s="402" t="s">
        <v>2518</v>
      </c>
      <c r="C2119" s="113" t="s">
        <v>3943</v>
      </c>
      <c r="D2119" s="393" t="s">
        <v>195</v>
      </c>
      <c r="E2119" s="394" t="s">
        <v>4448</v>
      </c>
      <c r="G2119" s="405" t="s">
        <v>4476</v>
      </c>
      <c r="H2119" s="74">
        <v>4111</v>
      </c>
      <c r="I2119" s="50" t="s">
        <v>1</v>
      </c>
      <c r="J2119" s="339" t="s">
        <v>75</v>
      </c>
      <c r="K2119" s="51">
        <v>41201</v>
      </c>
      <c r="L2119" s="173">
        <v>41197</v>
      </c>
      <c r="M2119" s="50">
        <f>K2119-L2119</f>
        <v>4</v>
      </c>
      <c r="N2119" s="50" t="s">
        <v>2</v>
      </c>
      <c r="O2119" s="74">
        <v>0.8</v>
      </c>
      <c r="P2119" s="50">
        <v>5.98</v>
      </c>
      <c r="Q2119" s="74">
        <v>6.3</v>
      </c>
      <c r="R2119" s="50">
        <v>9</v>
      </c>
      <c r="S2119" s="74">
        <f>1/2</f>
        <v>0.5</v>
      </c>
      <c r="T2119" s="50">
        <v>7.0000000000000001E-3</v>
      </c>
      <c r="U2119" s="131">
        <f>0.05/2</f>
        <v>2.5000000000000001E-2</v>
      </c>
      <c r="V2119" s="50">
        <v>0.06</v>
      </c>
      <c r="W2119" s="74">
        <f>0.005/2</f>
        <v>2.5000000000000001E-3</v>
      </c>
      <c r="X2119" s="50">
        <v>7.0000000000000007E-2</v>
      </c>
      <c r="Y2119" s="74">
        <f>0.005/2</f>
        <v>2.5000000000000001E-3</v>
      </c>
      <c r="Z2119" s="165"/>
    </row>
    <row r="2120" spans="1:47" ht="15" customHeight="1">
      <c r="A2120" s="41" t="s">
        <v>183</v>
      </c>
      <c r="B2120" s="402" t="s">
        <v>2518</v>
      </c>
      <c r="C2120" s="113" t="s">
        <v>3943</v>
      </c>
      <c r="D2120" s="393" t="s">
        <v>195</v>
      </c>
      <c r="E2120" s="394" t="s">
        <v>4448</v>
      </c>
      <c r="G2120" s="405" t="s">
        <v>4476</v>
      </c>
      <c r="H2120" s="74">
        <v>4111</v>
      </c>
      <c r="I2120" s="50" t="s">
        <v>1</v>
      </c>
      <c r="J2120" s="339" t="s">
        <v>74</v>
      </c>
      <c r="K2120" s="51">
        <v>41345</v>
      </c>
      <c r="L2120" s="173"/>
      <c r="N2120" s="50" t="s">
        <v>2</v>
      </c>
      <c r="O2120" s="74">
        <f>2.5/2</f>
        <v>1.25</v>
      </c>
      <c r="P2120" s="50">
        <v>7.57</v>
      </c>
      <c r="Q2120" s="74">
        <v>7.1</v>
      </c>
      <c r="R2120" s="50">
        <v>51.7</v>
      </c>
      <c r="S2120" s="74">
        <f>5/2</f>
        <v>2.5</v>
      </c>
      <c r="T2120" s="50">
        <f>0.05/2</f>
        <v>2.5000000000000001E-2</v>
      </c>
      <c r="U2120" s="131">
        <v>1.1100000000000001</v>
      </c>
      <c r="V2120" s="50">
        <f>0.25/2</f>
        <v>0.125</v>
      </c>
      <c r="W2120" s="74">
        <v>0.02</v>
      </c>
      <c r="X2120" s="50">
        <v>0.01</v>
      </c>
      <c r="Y2120" s="74">
        <f>0.004/2</f>
        <v>2E-3</v>
      </c>
      <c r="Z2120" s="165"/>
    </row>
    <row r="2121" spans="1:47" ht="15" customHeight="1">
      <c r="A2121" s="41" t="s">
        <v>183</v>
      </c>
      <c r="B2121" s="402" t="s">
        <v>2518</v>
      </c>
      <c r="C2121" s="113" t="s">
        <v>3943</v>
      </c>
      <c r="D2121" s="393" t="s">
        <v>195</v>
      </c>
      <c r="E2121" s="394" t="s">
        <v>4448</v>
      </c>
      <c r="G2121" s="405" t="s">
        <v>4476</v>
      </c>
      <c r="H2121" s="74">
        <v>4111</v>
      </c>
      <c r="I2121" s="50" t="s">
        <v>1</v>
      </c>
      <c r="J2121" s="339" t="s">
        <v>75</v>
      </c>
      <c r="K2121" s="51">
        <v>41345</v>
      </c>
      <c r="L2121" s="173"/>
      <c r="N2121" s="50" t="s">
        <v>2</v>
      </c>
      <c r="O2121" s="74">
        <f>2.5/2</f>
        <v>1.25</v>
      </c>
      <c r="P2121" s="50">
        <v>7.57</v>
      </c>
      <c r="Q2121" s="74">
        <v>6.7</v>
      </c>
      <c r="R2121" s="50">
        <v>14.2</v>
      </c>
      <c r="S2121" s="74">
        <f>5/2</f>
        <v>2.5</v>
      </c>
      <c r="T2121" s="50">
        <f>0.05/2</f>
        <v>2.5000000000000001E-2</v>
      </c>
      <c r="U2121" s="131">
        <v>8.75</v>
      </c>
      <c r="V2121" s="50">
        <f>0.25/2</f>
        <v>0.125</v>
      </c>
      <c r="W2121" s="74">
        <v>0.02</v>
      </c>
      <c r="X2121" s="50">
        <v>0.03</v>
      </c>
      <c r="Y2121" s="74">
        <f>0.004/2</f>
        <v>2E-3</v>
      </c>
      <c r="Z2121" s="165"/>
    </row>
    <row r="2122" spans="1:47" ht="15" customHeight="1">
      <c r="A2122" s="41" t="s">
        <v>183</v>
      </c>
      <c r="B2122" s="402" t="s">
        <v>2518</v>
      </c>
      <c r="C2122" s="113" t="s">
        <v>3943</v>
      </c>
      <c r="D2122" s="393" t="s">
        <v>195</v>
      </c>
      <c r="E2122" s="394" t="s">
        <v>4448</v>
      </c>
      <c r="G2122" s="405" t="s">
        <v>4476</v>
      </c>
      <c r="H2122" s="74">
        <v>4111</v>
      </c>
      <c r="I2122" s="50" t="s">
        <v>1</v>
      </c>
      <c r="J2122" s="339" t="s">
        <v>74</v>
      </c>
      <c r="K2122" s="51">
        <v>41585</v>
      </c>
      <c r="L2122" s="173"/>
      <c r="N2122" s="50" t="s">
        <v>2</v>
      </c>
      <c r="O2122" s="74">
        <f>2.5/2</f>
        <v>1.25</v>
      </c>
      <c r="P2122" s="50">
        <v>7.18</v>
      </c>
      <c r="Q2122" s="74">
        <v>6.98</v>
      </c>
      <c r="R2122" s="50">
        <v>36.799999999999997</v>
      </c>
      <c r="S2122" s="74">
        <v>10</v>
      </c>
      <c r="T2122" s="50">
        <v>0.18</v>
      </c>
      <c r="U2122" s="131">
        <v>0.55000000000000004</v>
      </c>
      <c r="V2122" s="50">
        <v>0.36</v>
      </c>
      <c r="W2122" s="74">
        <v>2.4E-2</v>
      </c>
      <c r="X2122" s="50">
        <v>0.06</v>
      </c>
      <c r="Y2122" s="74">
        <f>0.004/2</f>
        <v>2E-3</v>
      </c>
      <c r="Z2122" s="165">
        <v>1</v>
      </c>
      <c r="AA2122" s="271">
        <v>1</v>
      </c>
      <c r="AB2122" s="114">
        <v>24</v>
      </c>
      <c r="AC2122" s="50">
        <v>25.9</v>
      </c>
      <c r="AD2122" s="271">
        <v>1</v>
      </c>
    </row>
    <row r="2123" spans="1:47" ht="15" customHeight="1">
      <c r="A2123" s="41" t="s">
        <v>183</v>
      </c>
      <c r="B2123" s="402" t="s">
        <v>2518</v>
      </c>
      <c r="C2123" s="113" t="s">
        <v>3943</v>
      </c>
      <c r="D2123" s="393" t="s">
        <v>195</v>
      </c>
      <c r="E2123" s="394" t="s">
        <v>4448</v>
      </c>
      <c r="G2123" s="405" t="s">
        <v>4476</v>
      </c>
      <c r="H2123" s="74">
        <v>4111</v>
      </c>
      <c r="I2123" s="50" t="s">
        <v>1</v>
      </c>
      <c r="J2123" s="339" t="s">
        <v>75</v>
      </c>
      <c r="K2123" s="51">
        <v>41585</v>
      </c>
      <c r="L2123" s="173"/>
      <c r="N2123" s="50" t="s">
        <v>2</v>
      </c>
      <c r="O2123" s="74">
        <f>2.5/2</f>
        <v>1.25</v>
      </c>
      <c r="P2123" s="50">
        <v>7.18</v>
      </c>
      <c r="Q2123" s="74">
        <v>7.18</v>
      </c>
      <c r="R2123" s="50">
        <v>24.8</v>
      </c>
      <c r="S2123" s="74">
        <v>6.5</v>
      </c>
      <c r="T2123" s="50">
        <v>0.28999999999999998</v>
      </c>
      <c r="U2123" s="131">
        <v>8.75</v>
      </c>
      <c r="V2123" s="50">
        <v>0.54</v>
      </c>
      <c r="W2123" s="74">
        <v>3.9E-2</v>
      </c>
      <c r="X2123" s="50">
        <v>0.02</v>
      </c>
      <c r="Y2123" s="74">
        <f>0.004/2</f>
        <v>2E-3</v>
      </c>
      <c r="Z2123" s="165">
        <v>1</v>
      </c>
      <c r="AA2123" s="271">
        <v>1</v>
      </c>
      <c r="AB2123" s="114">
        <v>24</v>
      </c>
      <c r="AC2123" s="50">
        <v>12.3</v>
      </c>
      <c r="AD2123" s="271">
        <v>1</v>
      </c>
    </row>
    <row r="2124" spans="1:47" ht="15" customHeight="1">
      <c r="A2124" s="41" t="s">
        <v>183</v>
      </c>
      <c r="B2124" s="402" t="s">
        <v>2518</v>
      </c>
      <c r="C2124" s="113" t="s">
        <v>4709</v>
      </c>
      <c r="D2124" s="393" t="s">
        <v>1896</v>
      </c>
      <c r="E2124" s="394" t="s">
        <v>4710</v>
      </c>
      <c r="G2124" s="405" t="s">
        <v>4711</v>
      </c>
      <c r="H2124" s="74">
        <v>4173</v>
      </c>
      <c r="J2124" s="339" t="s">
        <v>1119</v>
      </c>
      <c r="K2124" s="51">
        <v>41201</v>
      </c>
      <c r="L2124" s="173"/>
      <c r="N2124" s="50" t="s">
        <v>2</v>
      </c>
      <c r="O2124" s="74">
        <v>0.5</v>
      </c>
      <c r="P2124" s="50">
        <v>5.98</v>
      </c>
      <c r="Q2124" s="74">
        <v>6.7</v>
      </c>
      <c r="R2124" s="50">
        <v>5</v>
      </c>
      <c r="S2124" s="74">
        <v>3</v>
      </c>
      <c r="T2124" s="50">
        <v>1.4E-2</v>
      </c>
      <c r="U2124" s="131">
        <f>0.05/2</f>
        <v>2.5000000000000001E-2</v>
      </c>
      <c r="V2124" s="50">
        <v>0.19</v>
      </c>
      <c r="W2124" s="74">
        <v>0.02</v>
      </c>
      <c r="X2124" s="50">
        <v>0.04</v>
      </c>
      <c r="Y2124" s="74">
        <f>0.005/2</f>
        <v>2.5000000000000001E-3</v>
      </c>
      <c r="Z2124" s="165">
        <v>1</v>
      </c>
      <c r="AA2124" s="271">
        <v>1</v>
      </c>
      <c r="AB2124" s="114">
        <v>11</v>
      </c>
      <c r="AC2124" s="50">
        <v>48</v>
      </c>
      <c r="AD2124" s="271">
        <v>0.85</v>
      </c>
    </row>
    <row r="2125" spans="1:47" ht="15" customHeight="1">
      <c r="A2125" s="41" t="s">
        <v>183</v>
      </c>
      <c r="B2125" s="402" t="s">
        <v>2518</v>
      </c>
      <c r="C2125" s="113" t="s">
        <v>4709</v>
      </c>
      <c r="D2125" s="393" t="s">
        <v>1896</v>
      </c>
      <c r="E2125" s="394" t="s">
        <v>4710</v>
      </c>
      <c r="G2125" s="405" t="s">
        <v>4711</v>
      </c>
      <c r="H2125" s="74">
        <v>4173</v>
      </c>
      <c r="J2125" s="339" t="s">
        <v>1119</v>
      </c>
      <c r="K2125" s="51">
        <v>41499</v>
      </c>
      <c r="L2125" s="173"/>
      <c r="N2125" s="50" t="s">
        <v>2</v>
      </c>
      <c r="O2125" s="74">
        <v>5.26</v>
      </c>
      <c r="P2125" s="50">
        <v>7.27</v>
      </c>
      <c r="Q2125" s="74">
        <v>7.73</v>
      </c>
      <c r="R2125" s="50">
        <v>18.7</v>
      </c>
      <c r="S2125" s="74">
        <f>5/2</f>
        <v>2.5</v>
      </c>
      <c r="T2125" s="50">
        <v>0.16</v>
      </c>
      <c r="U2125" s="131">
        <v>1.27</v>
      </c>
      <c r="V2125" s="50">
        <v>0.39</v>
      </c>
      <c r="W2125" s="74">
        <v>0.03</v>
      </c>
      <c r="X2125" s="50">
        <v>5.0999999999999997E-2</v>
      </c>
      <c r="Y2125" s="74">
        <f>0.004/2</f>
        <v>2E-3</v>
      </c>
      <c r="Z2125" s="165">
        <v>1</v>
      </c>
      <c r="AA2125" s="271">
        <v>1</v>
      </c>
      <c r="AB2125" s="114">
        <v>24</v>
      </c>
      <c r="AC2125" s="50">
        <v>25.9</v>
      </c>
      <c r="AD2125" s="271">
        <v>1</v>
      </c>
    </row>
    <row r="2126" spans="1:47" ht="15" customHeight="1">
      <c r="A2126" s="41" t="s">
        <v>183</v>
      </c>
      <c r="B2126" s="402" t="s">
        <v>2518</v>
      </c>
      <c r="C2126" s="113" t="s">
        <v>4709</v>
      </c>
      <c r="D2126" s="393" t="s">
        <v>1896</v>
      </c>
      <c r="E2126" s="394" t="s">
        <v>4710</v>
      </c>
      <c r="G2126" s="405" t="s">
        <v>4711</v>
      </c>
      <c r="H2126" s="74">
        <v>4173</v>
      </c>
      <c r="J2126" s="339" t="s">
        <v>1119</v>
      </c>
      <c r="K2126" s="51">
        <v>41579</v>
      </c>
      <c r="L2126" s="173"/>
      <c r="O2126" s="74">
        <v>5.26</v>
      </c>
      <c r="P2126" s="50">
        <v>78.03</v>
      </c>
      <c r="Q2126" s="74">
        <v>7.02</v>
      </c>
      <c r="R2126" s="50">
        <v>28.7</v>
      </c>
      <c r="S2126" s="74">
        <f>5/2</f>
        <v>2.5</v>
      </c>
      <c r="T2126" s="50">
        <v>0.1</v>
      </c>
      <c r="U2126" s="131">
        <v>3.24</v>
      </c>
      <c r="V2126" s="50">
        <v>0.57999999999999996</v>
      </c>
      <c r="W2126" s="74">
        <v>0.05</v>
      </c>
      <c r="X2126" s="50">
        <v>0.08</v>
      </c>
      <c r="Y2126" s="74">
        <f>0.004/2</f>
        <v>2E-3</v>
      </c>
      <c r="Z2126" s="165"/>
    </row>
    <row r="2127" spans="1:47" ht="15" customHeight="1">
      <c r="A2127" s="41" t="s">
        <v>183</v>
      </c>
      <c r="B2127" s="402" t="s">
        <v>2518</v>
      </c>
      <c r="D2127" s="393" t="s">
        <v>133</v>
      </c>
      <c r="E2127" s="394" t="s">
        <v>2519</v>
      </c>
      <c r="G2127" s="405" t="s">
        <v>2520</v>
      </c>
      <c r="H2127" s="74">
        <v>4173</v>
      </c>
      <c r="I2127" s="50" t="s">
        <v>1</v>
      </c>
      <c r="J2127" s="343" t="s">
        <v>1943</v>
      </c>
      <c r="K2127" s="51">
        <v>41201</v>
      </c>
      <c r="L2127" s="173">
        <v>41197</v>
      </c>
      <c r="M2127" s="50">
        <f>K2127-L2127</f>
        <v>4</v>
      </c>
      <c r="N2127" s="50" t="s">
        <v>2</v>
      </c>
      <c r="O2127" s="74">
        <v>1.6</v>
      </c>
      <c r="P2127" s="50">
        <v>5.98</v>
      </c>
      <c r="Q2127" s="74">
        <v>6.4</v>
      </c>
      <c r="R2127" s="50">
        <v>9</v>
      </c>
      <c r="S2127" s="74">
        <v>11</v>
      </c>
      <c r="T2127" s="50">
        <v>6.7000000000000004E-2</v>
      </c>
      <c r="U2127" s="131">
        <v>0.59</v>
      </c>
      <c r="V2127" s="50">
        <f>0.05/2</f>
        <v>2.5000000000000001E-2</v>
      </c>
      <c r="W2127" s="74">
        <v>0.02</v>
      </c>
      <c r="X2127" s="50">
        <v>0.06</v>
      </c>
      <c r="Y2127" s="74">
        <v>1.4999999999999999E-2</v>
      </c>
      <c r="Z2127" s="165">
        <v>1</v>
      </c>
      <c r="AA2127" s="271">
        <v>1</v>
      </c>
      <c r="AB2127" s="114">
        <v>26</v>
      </c>
      <c r="AC2127" s="50">
        <v>79</v>
      </c>
      <c r="AD2127" s="271">
        <v>1</v>
      </c>
    </row>
    <row r="2128" spans="1:47" ht="15" customHeight="1">
      <c r="A2128" s="41" t="s">
        <v>183</v>
      </c>
      <c r="B2128" s="402" t="s">
        <v>2518</v>
      </c>
      <c r="D2128" s="393" t="s">
        <v>133</v>
      </c>
      <c r="E2128" s="394" t="s">
        <v>2519</v>
      </c>
      <c r="G2128" s="405" t="s">
        <v>2520</v>
      </c>
      <c r="H2128" s="74">
        <v>4173</v>
      </c>
      <c r="I2128" s="50" t="s">
        <v>1</v>
      </c>
      <c r="J2128" s="343" t="s">
        <v>425</v>
      </c>
      <c r="K2128" s="51">
        <v>41201</v>
      </c>
      <c r="L2128" s="173">
        <v>41197</v>
      </c>
      <c r="M2128" s="50">
        <f>K2128-L2128</f>
        <v>4</v>
      </c>
      <c r="N2128" s="50" t="s">
        <v>2</v>
      </c>
      <c r="O2128" s="74">
        <f>0.5/2</f>
        <v>0.25</v>
      </c>
      <c r="P2128" s="50">
        <v>5.98</v>
      </c>
      <c r="Q2128" s="74">
        <v>6.4</v>
      </c>
      <c r="R2128" s="50">
        <v>6</v>
      </c>
      <c r="S2128" s="74">
        <v>8</v>
      </c>
      <c r="T2128" s="50">
        <v>0.19</v>
      </c>
      <c r="U2128" s="131">
        <v>0.35</v>
      </c>
      <c r="V2128" s="50">
        <f>0.05/2</f>
        <v>2.5000000000000001E-2</v>
      </c>
      <c r="W2128" s="74">
        <v>0.02</v>
      </c>
      <c r="X2128" s="50">
        <v>0.06</v>
      </c>
      <c r="Y2128" s="74">
        <f>0.005/2</f>
        <v>2.5000000000000001E-3</v>
      </c>
      <c r="Z2128" s="165">
        <v>1</v>
      </c>
      <c r="AA2128" s="271">
        <v>1</v>
      </c>
      <c r="AB2128" s="114">
        <v>16</v>
      </c>
      <c r="AC2128" s="50">
        <v>61</v>
      </c>
      <c r="AD2128" s="271">
        <v>1</v>
      </c>
    </row>
    <row r="2129" spans="1:30" ht="15" customHeight="1">
      <c r="A2129" s="41" t="s">
        <v>183</v>
      </c>
      <c r="B2129" s="402" t="s">
        <v>2518</v>
      </c>
      <c r="D2129" s="393" t="s">
        <v>133</v>
      </c>
      <c r="E2129" s="394" t="s">
        <v>2519</v>
      </c>
      <c r="G2129" s="405" t="s">
        <v>2520</v>
      </c>
      <c r="H2129" s="74">
        <v>4173</v>
      </c>
      <c r="I2129" s="50" t="s">
        <v>2</v>
      </c>
      <c r="J2129" s="343" t="s">
        <v>1943</v>
      </c>
      <c r="K2129" s="51">
        <v>41527</v>
      </c>
      <c r="L2129" s="173"/>
      <c r="N2129" s="50" t="s">
        <v>2</v>
      </c>
      <c r="O2129" s="74">
        <f>2.5/2</f>
        <v>1.25</v>
      </c>
      <c r="P2129" s="50">
        <v>6.45</v>
      </c>
      <c r="Q2129" s="74">
        <v>6.31</v>
      </c>
      <c r="R2129" s="50">
        <v>128</v>
      </c>
      <c r="S2129" s="74">
        <v>17.5</v>
      </c>
      <c r="T2129" s="50">
        <v>0.19</v>
      </c>
      <c r="U2129" s="131">
        <v>1.61</v>
      </c>
      <c r="V2129" s="50">
        <f>0.25/2</f>
        <v>0.125</v>
      </c>
      <c r="W2129" s="74">
        <v>0.04</v>
      </c>
      <c r="X2129" s="50">
        <v>0.09</v>
      </c>
      <c r="Y2129" s="74">
        <v>1.2999999999999999E-2</v>
      </c>
      <c r="Z2129" s="165">
        <v>1</v>
      </c>
      <c r="AA2129" s="271">
        <v>1</v>
      </c>
      <c r="AB2129" s="114">
        <v>72</v>
      </c>
      <c r="AC2129" s="50">
        <v>226</v>
      </c>
      <c r="AD2129" s="271">
        <v>1</v>
      </c>
    </row>
    <row r="2130" spans="1:30" ht="15" customHeight="1">
      <c r="A2130" s="41" t="s">
        <v>183</v>
      </c>
      <c r="B2130" s="402" t="s">
        <v>2518</v>
      </c>
      <c r="D2130" s="393" t="s">
        <v>133</v>
      </c>
      <c r="E2130" s="394" t="s">
        <v>2519</v>
      </c>
      <c r="G2130" s="405" t="s">
        <v>2520</v>
      </c>
      <c r="H2130" s="74">
        <v>4173</v>
      </c>
      <c r="I2130" s="50" t="s">
        <v>2</v>
      </c>
      <c r="J2130" s="343" t="s">
        <v>425</v>
      </c>
      <c r="K2130" s="51">
        <v>41527</v>
      </c>
      <c r="L2130" s="173"/>
      <c r="N2130" s="50" t="s">
        <v>2</v>
      </c>
      <c r="O2130" s="74">
        <f>2.5/2</f>
        <v>1.25</v>
      </c>
      <c r="P2130" s="50">
        <v>6.45</v>
      </c>
      <c r="Q2130" s="74">
        <v>6.56</v>
      </c>
      <c r="R2130" s="50">
        <v>66.8</v>
      </c>
      <c r="S2130" s="74">
        <v>13</v>
      </c>
      <c r="T2130" s="50">
        <v>0.14000000000000001</v>
      </c>
      <c r="U2130" s="131">
        <v>2.57</v>
      </c>
      <c r="V2130" s="50">
        <v>0.74</v>
      </c>
      <c r="W2130" s="74">
        <v>0.04</v>
      </c>
      <c r="X2130" s="50">
        <v>0.08</v>
      </c>
      <c r="Y2130" s="74">
        <f>0.004/2</f>
        <v>2E-3</v>
      </c>
      <c r="Z2130" s="165">
        <v>1</v>
      </c>
      <c r="AA2130" s="271">
        <v>1</v>
      </c>
      <c r="AB2130" s="114">
        <v>52</v>
      </c>
      <c r="AC2130" s="50">
        <v>144.4</v>
      </c>
      <c r="AD2130" s="271">
        <v>1</v>
      </c>
    </row>
    <row r="2131" spans="1:30" ht="15" customHeight="1">
      <c r="A2131" s="41" t="s">
        <v>183</v>
      </c>
      <c r="B2131" s="402" t="s">
        <v>2518</v>
      </c>
      <c r="D2131" s="393" t="s">
        <v>133</v>
      </c>
      <c r="E2131" s="394" t="s">
        <v>2519</v>
      </c>
      <c r="G2131" s="405" t="s">
        <v>2520</v>
      </c>
      <c r="H2131" s="74">
        <v>4173</v>
      </c>
      <c r="J2131" s="343" t="s">
        <v>1943</v>
      </c>
      <c r="K2131" s="51">
        <v>41585</v>
      </c>
      <c r="L2131" s="173"/>
      <c r="N2131" s="50" t="s">
        <v>2</v>
      </c>
      <c r="O2131" s="74">
        <f>2.5/2</f>
        <v>1.25</v>
      </c>
      <c r="P2131" s="50">
        <v>7.18</v>
      </c>
      <c r="Q2131" s="74">
        <v>6.01</v>
      </c>
      <c r="R2131" s="50">
        <v>137</v>
      </c>
      <c r="S2131" s="74">
        <v>21.5</v>
      </c>
      <c r="T2131" s="50">
        <v>0.99</v>
      </c>
      <c r="U2131" s="131">
        <v>1.02</v>
      </c>
      <c r="V2131" s="50">
        <f>0.25/2</f>
        <v>0.125</v>
      </c>
      <c r="W2131" s="74">
        <v>3.5000000000000003E-2</v>
      </c>
      <c r="X2131" s="50">
        <v>0.08</v>
      </c>
      <c r="Y2131" s="74">
        <f>0.004/2</f>
        <v>2E-3</v>
      </c>
      <c r="Z2131" s="165"/>
    </row>
    <row r="2132" spans="1:30" ht="15" customHeight="1">
      <c r="A2132" s="41" t="s">
        <v>183</v>
      </c>
      <c r="B2132" s="402" t="s">
        <v>2518</v>
      </c>
      <c r="D2132" s="393" t="s">
        <v>133</v>
      </c>
      <c r="E2132" s="394" t="s">
        <v>2519</v>
      </c>
      <c r="G2132" s="405" t="s">
        <v>2520</v>
      </c>
      <c r="H2132" s="74">
        <v>4173</v>
      </c>
      <c r="J2132" s="343" t="s">
        <v>425</v>
      </c>
      <c r="K2132" s="51">
        <v>41585</v>
      </c>
      <c r="L2132" s="173"/>
      <c r="N2132" s="50" t="s">
        <v>2</v>
      </c>
      <c r="O2132" s="74">
        <f>2.5/2</f>
        <v>1.25</v>
      </c>
      <c r="P2132" s="50">
        <v>7.18</v>
      </c>
      <c r="Q2132" s="74">
        <v>6.98</v>
      </c>
      <c r="R2132" s="50">
        <v>46.5</v>
      </c>
      <c r="S2132" s="74">
        <v>9.5</v>
      </c>
      <c r="T2132" s="50">
        <v>0.28000000000000003</v>
      </c>
      <c r="U2132" s="131">
        <v>0.83</v>
      </c>
      <c r="V2132" s="50">
        <f>0.25/2</f>
        <v>0.125</v>
      </c>
      <c r="W2132" s="74">
        <v>3.3000000000000002E-2</v>
      </c>
      <c r="X2132" s="50">
        <v>0.14000000000000001</v>
      </c>
      <c r="Y2132" s="74">
        <v>7.0000000000000001E-3</v>
      </c>
      <c r="Z2132" s="165"/>
    </row>
    <row r="2133" spans="1:30" ht="15" customHeight="1">
      <c r="A2133" s="41" t="s">
        <v>183</v>
      </c>
      <c r="B2133" s="402" t="s">
        <v>948</v>
      </c>
      <c r="C2133" s="113" t="s">
        <v>948</v>
      </c>
      <c r="D2133" s="393" t="s">
        <v>516</v>
      </c>
      <c r="E2133" s="394" t="s">
        <v>949</v>
      </c>
      <c r="G2133" s="405" t="s">
        <v>950</v>
      </c>
      <c r="H2133" s="74">
        <v>3273</v>
      </c>
      <c r="J2133" s="339" t="s">
        <v>510</v>
      </c>
      <c r="K2133" s="51">
        <v>41170</v>
      </c>
      <c r="L2133" s="173">
        <v>41160</v>
      </c>
      <c r="M2133" s="50">
        <f t="shared" ref="M2133:M2150" si="121">K2133-L2133</f>
        <v>10</v>
      </c>
      <c r="N2133" s="50" t="s">
        <v>2</v>
      </c>
      <c r="O2133" s="74">
        <f>1.4/2</f>
        <v>0.7</v>
      </c>
      <c r="P2133" s="50">
        <v>6.75</v>
      </c>
      <c r="Q2133" s="74">
        <v>9.7799999999999994</v>
      </c>
      <c r="R2133" s="50">
        <v>38</v>
      </c>
      <c r="S2133" s="74">
        <v>230</v>
      </c>
      <c r="T2133" s="50">
        <v>0.14000000000000001</v>
      </c>
      <c r="U2133" s="131">
        <v>0.81</v>
      </c>
      <c r="V2133" s="50">
        <v>0.28000000000000003</v>
      </c>
      <c r="W2133" s="74">
        <v>1.7000000000000001E-2</v>
      </c>
      <c r="X2133" s="50">
        <v>0.08</v>
      </c>
      <c r="Y2133" s="74">
        <v>3.0000000000000001E-3</v>
      </c>
      <c r="Z2133" s="165">
        <v>1</v>
      </c>
      <c r="AA2133" s="271">
        <v>1</v>
      </c>
      <c r="AB2133" s="114">
        <v>1900</v>
      </c>
      <c r="AC2133" s="50">
        <v>13850</v>
      </c>
      <c r="AD2133" s="271">
        <v>1</v>
      </c>
    </row>
    <row r="2134" spans="1:30" ht="15" customHeight="1">
      <c r="A2134" s="41" t="s">
        <v>183</v>
      </c>
      <c r="B2134" s="402" t="s">
        <v>948</v>
      </c>
      <c r="C2134" s="113" t="s">
        <v>948</v>
      </c>
      <c r="D2134" s="393" t="s">
        <v>516</v>
      </c>
      <c r="E2134" s="394" t="s">
        <v>949</v>
      </c>
      <c r="G2134" s="405" t="s">
        <v>950</v>
      </c>
      <c r="H2134" s="74">
        <v>3273</v>
      </c>
      <c r="I2134" s="50" t="s">
        <v>1</v>
      </c>
      <c r="J2134" s="339" t="s">
        <v>460</v>
      </c>
      <c r="K2134" s="51">
        <v>41170</v>
      </c>
      <c r="L2134" s="173">
        <v>41160</v>
      </c>
      <c r="M2134" s="50">
        <f t="shared" si="121"/>
        <v>10</v>
      </c>
      <c r="N2134" s="50" t="s">
        <v>2</v>
      </c>
      <c r="O2134" s="74">
        <v>3.3</v>
      </c>
      <c r="Q2134" s="74">
        <v>9.25</v>
      </c>
      <c r="R2134" s="50">
        <v>83</v>
      </c>
      <c r="S2134" s="74">
        <v>1000</v>
      </c>
      <c r="T2134" s="50">
        <v>0.69</v>
      </c>
      <c r="U2134" s="131">
        <v>0.68</v>
      </c>
      <c r="V2134" s="50">
        <v>0.08</v>
      </c>
      <c r="W2134" s="74">
        <v>4.4999999999999998E-2</v>
      </c>
      <c r="X2134" s="50">
        <v>0.16600000000000001</v>
      </c>
      <c r="Y2134" s="74">
        <v>8.0000000000000002E-3</v>
      </c>
      <c r="Z2134" s="165">
        <v>1</v>
      </c>
      <c r="AA2134" s="271">
        <v>1</v>
      </c>
      <c r="AB2134" s="114">
        <v>20</v>
      </c>
      <c r="AC2134" s="50">
        <v>74</v>
      </c>
      <c r="AD2134" s="271">
        <v>1</v>
      </c>
    </row>
    <row r="2135" spans="1:30" ht="15" customHeight="1">
      <c r="A2135" s="41" t="s">
        <v>183</v>
      </c>
      <c r="B2135" s="402" t="s">
        <v>948</v>
      </c>
      <c r="C2135" s="113" t="s">
        <v>948</v>
      </c>
      <c r="D2135" s="393" t="s">
        <v>516</v>
      </c>
      <c r="E2135" s="394" t="s">
        <v>949</v>
      </c>
      <c r="G2135" s="405" t="s">
        <v>950</v>
      </c>
      <c r="H2135" s="74">
        <v>3273</v>
      </c>
      <c r="I2135" s="50" t="s">
        <v>1</v>
      </c>
      <c r="J2135" s="339" t="s">
        <v>510</v>
      </c>
      <c r="K2135" s="51">
        <v>41605</v>
      </c>
      <c r="L2135" s="173">
        <v>41600</v>
      </c>
      <c r="M2135" s="50">
        <f t="shared" si="121"/>
        <v>5</v>
      </c>
      <c r="N2135" s="50" t="s">
        <v>2</v>
      </c>
      <c r="O2135" s="74">
        <f>1.4/2</f>
        <v>0.7</v>
      </c>
      <c r="P2135" s="50">
        <v>6.5</v>
      </c>
      <c r="Q2135" s="74">
        <v>9.69</v>
      </c>
      <c r="R2135" s="50">
        <f>10/2</f>
        <v>5</v>
      </c>
      <c r="S2135" s="74">
        <v>90</v>
      </c>
      <c r="T2135" s="50">
        <v>0.13</v>
      </c>
      <c r="U2135" s="131">
        <v>0.39</v>
      </c>
      <c r="V2135" s="50">
        <v>0.05</v>
      </c>
      <c r="W2135" s="74">
        <v>8.9999999999999993E-3</v>
      </c>
      <c r="X2135" s="50">
        <v>5.8000000000000003E-2</v>
      </c>
      <c r="Y2135" s="74">
        <f>0.002/2</f>
        <v>1E-3</v>
      </c>
      <c r="Z2135" s="165">
        <v>1</v>
      </c>
      <c r="AA2135" s="271">
        <v>1</v>
      </c>
      <c r="AB2135" s="114">
        <v>38</v>
      </c>
      <c r="AC2135" s="50">
        <v>87</v>
      </c>
      <c r="AD2135" s="271">
        <v>1</v>
      </c>
    </row>
    <row r="2136" spans="1:30" ht="15" customHeight="1">
      <c r="A2136" s="41" t="s">
        <v>183</v>
      </c>
      <c r="B2136" s="402" t="s">
        <v>948</v>
      </c>
      <c r="C2136" s="113" t="s">
        <v>948</v>
      </c>
      <c r="D2136" s="393" t="s">
        <v>516</v>
      </c>
      <c r="E2136" s="394" t="s">
        <v>949</v>
      </c>
      <c r="G2136" s="405" t="s">
        <v>950</v>
      </c>
      <c r="H2136" s="74">
        <v>3273</v>
      </c>
      <c r="I2136" s="50" t="s">
        <v>1</v>
      </c>
      <c r="J2136" s="339" t="s">
        <v>460</v>
      </c>
      <c r="K2136" s="51">
        <v>41605</v>
      </c>
      <c r="L2136" s="173">
        <v>41600</v>
      </c>
      <c r="M2136" s="50">
        <f t="shared" si="121"/>
        <v>5</v>
      </c>
      <c r="N2136" s="50" t="s">
        <v>2</v>
      </c>
      <c r="O2136" s="74">
        <f>1.4/2</f>
        <v>0.7</v>
      </c>
      <c r="Q2136" s="74">
        <v>7.95</v>
      </c>
      <c r="R2136" s="50">
        <f>10/2</f>
        <v>5</v>
      </c>
      <c r="S2136" s="74">
        <v>65</v>
      </c>
      <c r="T2136" s="50">
        <v>0.14000000000000001</v>
      </c>
      <c r="U2136" s="131">
        <v>0.57999999999999996</v>
      </c>
      <c r="V2136" s="50">
        <v>0.19</v>
      </c>
      <c r="W2136" s="74">
        <v>8.0000000000000002E-3</v>
      </c>
      <c r="X2136" s="50">
        <v>2.5000000000000001E-2</v>
      </c>
      <c r="Y2136" s="74">
        <v>7.0000000000000001E-3</v>
      </c>
      <c r="Z2136" s="165">
        <v>1</v>
      </c>
      <c r="AA2136" s="271">
        <v>1</v>
      </c>
      <c r="AB2136" s="114">
        <v>24</v>
      </c>
      <c r="AC2136" s="50">
        <v>69</v>
      </c>
      <c r="AD2136" s="271">
        <v>0.9</v>
      </c>
    </row>
    <row r="2137" spans="1:30" ht="15" customHeight="1">
      <c r="A2137" s="41" t="s">
        <v>183</v>
      </c>
      <c r="B2137" s="402" t="s">
        <v>948</v>
      </c>
      <c r="C2137" s="113" t="s">
        <v>948</v>
      </c>
      <c r="D2137" s="393" t="s">
        <v>516</v>
      </c>
      <c r="E2137" s="394" t="s">
        <v>949</v>
      </c>
      <c r="G2137" s="405" t="s">
        <v>950</v>
      </c>
      <c r="H2137" s="74">
        <v>3273</v>
      </c>
      <c r="I2137" s="50" t="s">
        <v>1</v>
      </c>
      <c r="J2137" s="339" t="s">
        <v>510</v>
      </c>
      <c r="K2137" s="51">
        <v>41345</v>
      </c>
      <c r="L2137" s="173">
        <v>41341</v>
      </c>
      <c r="M2137" s="50">
        <f t="shared" si="121"/>
        <v>4</v>
      </c>
      <c r="N2137" s="50" t="s">
        <v>1</v>
      </c>
      <c r="O2137" s="74">
        <v>1.8</v>
      </c>
      <c r="P2137" s="50">
        <v>6.29</v>
      </c>
      <c r="Q2137" s="74">
        <v>9.49</v>
      </c>
      <c r="R2137" s="50">
        <v>34</v>
      </c>
      <c r="S2137" s="74">
        <v>180</v>
      </c>
      <c r="T2137" s="50">
        <v>0.19</v>
      </c>
      <c r="U2137" s="131">
        <v>0.56999999999999995</v>
      </c>
      <c r="V2137" s="50">
        <v>0.05</v>
      </c>
      <c r="W2137" s="74">
        <v>1.6E-2</v>
      </c>
      <c r="X2137" s="50">
        <v>7.4999999999999997E-2</v>
      </c>
      <c r="Y2137" s="74">
        <v>5.0000000000000001E-3</v>
      </c>
      <c r="Z2137" s="165">
        <v>1</v>
      </c>
      <c r="AA2137" s="271">
        <v>1</v>
      </c>
      <c r="AB2137" s="114">
        <v>40</v>
      </c>
      <c r="AC2137" s="50">
        <v>131</v>
      </c>
      <c r="AD2137" s="271">
        <v>1</v>
      </c>
    </row>
    <row r="2138" spans="1:30" ht="15" customHeight="1">
      <c r="A2138" s="41" t="s">
        <v>183</v>
      </c>
      <c r="B2138" s="402" t="s">
        <v>948</v>
      </c>
      <c r="C2138" s="113" t="s">
        <v>948</v>
      </c>
      <c r="D2138" s="393" t="s">
        <v>516</v>
      </c>
      <c r="E2138" s="394" t="s">
        <v>949</v>
      </c>
      <c r="G2138" s="405" t="s">
        <v>950</v>
      </c>
      <c r="H2138" s="74">
        <v>3273</v>
      </c>
      <c r="I2138" s="50" t="s">
        <v>1</v>
      </c>
      <c r="J2138" s="339" t="s">
        <v>460</v>
      </c>
      <c r="K2138" s="51">
        <v>41345</v>
      </c>
      <c r="L2138" s="173">
        <v>41341</v>
      </c>
      <c r="M2138" s="50">
        <f t="shared" si="121"/>
        <v>4</v>
      </c>
      <c r="N2138" s="50" t="s">
        <v>1</v>
      </c>
      <c r="O2138" s="74">
        <f>1.4/2</f>
        <v>0.7</v>
      </c>
      <c r="P2138" s="50">
        <v>6.29</v>
      </c>
      <c r="Q2138" s="74">
        <v>7.58</v>
      </c>
      <c r="R2138" s="50">
        <v>32</v>
      </c>
      <c r="S2138" s="74">
        <v>170</v>
      </c>
      <c r="T2138" s="50">
        <v>0.18</v>
      </c>
      <c r="U2138" s="131">
        <v>0.36</v>
      </c>
      <c r="V2138" s="50">
        <v>0.04</v>
      </c>
      <c r="W2138" s="74">
        <v>1.6E-2</v>
      </c>
      <c r="X2138" s="50">
        <v>4.8000000000000001E-2</v>
      </c>
      <c r="Y2138" s="74">
        <v>4.0000000000000001E-3</v>
      </c>
      <c r="Z2138" s="165">
        <v>1</v>
      </c>
      <c r="AA2138" s="271">
        <v>1</v>
      </c>
      <c r="AB2138" s="114">
        <v>12</v>
      </c>
      <c r="AC2138" s="50">
        <v>48</v>
      </c>
      <c r="AD2138" s="271">
        <v>0.95</v>
      </c>
    </row>
    <row r="2139" spans="1:30" ht="15" customHeight="1">
      <c r="A2139" s="41" t="s">
        <v>183</v>
      </c>
      <c r="B2139" s="402" t="s">
        <v>1452</v>
      </c>
      <c r="C2139" s="113" t="s">
        <v>1453</v>
      </c>
      <c r="D2139" s="393" t="s">
        <v>406</v>
      </c>
      <c r="E2139" s="394" t="s">
        <v>398</v>
      </c>
      <c r="G2139" s="405" t="s">
        <v>1454</v>
      </c>
      <c r="H2139" s="49">
        <v>5171</v>
      </c>
      <c r="I2139" s="50" t="s">
        <v>2</v>
      </c>
      <c r="J2139" s="76" t="s">
        <v>1455</v>
      </c>
      <c r="K2139" s="51">
        <v>41156</v>
      </c>
      <c r="L2139" s="173">
        <v>41139</v>
      </c>
      <c r="M2139" s="50">
        <f t="shared" si="121"/>
        <v>17</v>
      </c>
      <c r="N2139" s="50" t="s">
        <v>2</v>
      </c>
      <c r="O2139" s="74">
        <f>5/2</f>
        <v>2.5</v>
      </c>
      <c r="P2139" s="50">
        <v>5</v>
      </c>
      <c r="Q2139" s="74">
        <v>6.85</v>
      </c>
      <c r="R2139" s="50">
        <v>2.68</v>
      </c>
      <c r="S2139" s="74">
        <v>6</v>
      </c>
      <c r="T2139" s="50">
        <v>0.02</v>
      </c>
      <c r="U2139" s="131">
        <f>0.5/2</f>
        <v>0.25</v>
      </c>
      <c r="V2139" s="50">
        <v>0.52</v>
      </c>
      <c r="W2139" s="74">
        <f>0.002/2</f>
        <v>1E-3</v>
      </c>
      <c r="X2139" s="50">
        <f>0.02/2</f>
        <v>0.01</v>
      </c>
      <c r="Y2139" s="74">
        <f>0.001/2</f>
        <v>5.0000000000000001E-4</v>
      </c>
      <c r="Z2139" s="165"/>
    </row>
    <row r="2140" spans="1:30" ht="15" customHeight="1">
      <c r="A2140" s="41" t="s">
        <v>183</v>
      </c>
      <c r="B2140" s="402" t="s">
        <v>1452</v>
      </c>
      <c r="C2140" s="113" t="s">
        <v>1453</v>
      </c>
      <c r="D2140" s="393" t="s">
        <v>406</v>
      </c>
      <c r="E2140" s="394" t="s">
        <v>398</v>
      </c>
      <c r="G2140" s="405" t="s">
        <v>1454</v>
      </c>
      <c r="H2140" s="49">
        <v>5171</v>
      </c>
      <c r="I2140" s="50" t="s">
        <v>2</v>
      </c>
      <c r="J2140" s="76" t="s">
        <v>1455</v>
      </c>
      <c r="K2140" s="51">
        <v>41346</v>
      </c>
      <c r="L2140" s="173">
        <v>41339</v>
      </c>
      <c r="M2140" s="50">
        <f t="shared" si="121"/>
        <v>7</v>
      </c>
      <c r="N2140" s="50" t="s">
        <v>2</v>
      </c>
      <c r="O2140" s="74">
        <f>5/2</f>
        <v>2.5</v>
      </c>
      <c r="Q2140" s="74">
        <v>7.2</v>
      </c>
      <c r="R2140" s="50">
        <v>5.77</v>
      </c>
      <c r="S2140" s="74">
        <v>3</v>
      </c>
      <c r="T2140" s="50">
        <f>0.04/2</f>
        <v>0.02</v>
      </c>
      <c r="U2140" s="131">
        <v>0.67</v>
      </c>
      <c r="V2140" s="50">
        <v>1.75</v>
      </c>
      <c r="W2140" s="74">
        <v>3.0000000000000001E-3</v>
      </c>
      <c r="X2140" s="50">
        <v>0.05</v>
      </c>
      <c r="Y2140" s="74">
        <v>2E-3</v>
      </c>
      <c r="Z2140" s="165">
        <v>1</v>
      </c>
      <c r="AA2140" s="271">
        <v>1</v>
      </c>
      <c r="AB2140" s="114">
        <v>49.4</v>
      </c>
      <c r="AC2140" s="50">
        <v>629</v>
      </c>
      <c r="AD2140" s="271">
        <v>0.85</v>
      </c>
    </row>
    <row r="2141" spans="1:30" ht="15" customHeight="1">
      <c r="A2141" s="41" t="s">
        <v>183</v>
      </c>
      <c r="B2141" s="402" t="s">
        <v>1452</v>
      </c>
      <c r="C2141" s="113" t="s">
        <v>1453</v>
      </c>
      <c r="D2141" s="393" t="s">
        <v>406</v>
      </c>
      <c r="E2141" s="394" t="s">
        <v>398</v>
      </c>
      <c r="G2141" s="405" t="s">
        <v>1454</v>
      </c>
      <c r="H2141" s="49">
        <v>5171</v>
      </c>
      <c r="I2141" s="50" t="s">
        <v>2</v>
      </c>
      <c r="J2141" s="76" t="s">
        <v>1455</v>
      </c>
      <c r="K2141" s="51">
        <v>41540</v>
      </c>
      <c r="L2141" s="173">
        <v>41529</v>
      </c>
      <c r="M2141" s="50">
        <f t="shared" si="121"/>
        <v>11</v>
      </c>
      <c r="N2141" s="50" t="s">
        <v>2</v>
      </c>
      <c r="O2141" s="74">
        <f>5/2</f>
        <v>2.5</v>
      </c>
      <c r="Q2141" s="74">
        <v>7.19</v>
      </c>
      <c r="R2141" s="50">
        <v>14</v>
      </c>
      <c r="S2141" s="74">
        <v>4</v>
      </c>
      <c r="T2141" s="50">
        <v>7.0000000000000007E-2</v>
      </c>
      <c r="U2141" s="131">
        <v>2.19</v>
      </c>
      <c r="V2141" s="50">
        <v>0.83</v>
      </c>
      <c r="W2141" s="74">
        <v>3.0000000000000001E-3</v>
      </c>
      <c r="X2141" s="50">
        <f>0.02/2</f>
        <v>0.01</v>
      </c>
      <c r="Y2141" s="74">
        <f>0.001/2</f>
        <v>5.0000000000000001E-4</v>
      </c>
      <c r="Z2141" s="165"/>
    </row>
    <row r="2142" spans="1:30" ht="15" customHeight="1">
      <c r="A2142" s="41" t="s">
        <v>183</v>
      </c>
      <c r="B2142" s="402" t="s">
        <v>1220</v>
      </c>
      <c r="C2142" s="113" t="s">
        <v>1235</v>
      </c>
      <c r="D2142" s="393" t="s">
        <v>111</v>
      </c>
      <c r="E2142" s="394" t="s">
        <v>1237</v>
      </c>
      <c r="G2142" s="405" t="s">
        <v>1238</v>
      </c>
      <c r="H2142" s="74">
        <v>4215</v>
      </c>
      <c r="I2142" s="50" t="s">
        <v>2</v>
      </c>
      <c r="J2142" s="339" t="s">
        <v>1223</v>
      </c>
      <c r="K2142" s="51">
        <v>41508</v>
      </c>
      <c r="L2142" s="173">
        <v>41495</v>
      </c>
      <c r="M2142" s="50">
        <f t="shared" si="121"/>
        <v>13</v>
      </c>
      <c r="N2142" s="50" t="s">
        <v>2</v>
      </c>
      <c r="O2142" s="74">
        <f>1.5/2</f>
        <v>0.75</v>
      </c>
      <c r="P2142" s="50">
        <v>5.39</v>
      </c>
      <c r="Q2142" s="74">
        <v>5.79</v>
      </c>
      <c r="R2142" s="50">
        <v>127</v>
      </c>
      <c r="S2142" s="74">
        <v>79.400000000000006</v>
      </c>
      <c r="T2142" s="50">
        <v>0.38</v>
      </c>
      <c r="U2142" s="131">
        <v>4.2</v>
      </c>
      <c r="V2142" s="50">
        <v>1.3</v>
      </c>
      <c r="W2142" s="74">
        <v>6.6000000000000003E-2</v>
      </c>
      <c r="X2142" s="50">
        <v>0.4</v>
      </c>
      <c r="Y2142" s="74">
        <v>0.01</v>
      </c>
      <c r="Z2142" s="165">
        <v>1</v>
      </c>
      <c r="AA2142" s="271">
        <v>1</v>
      </c>
      <c r="AC2142" s="50">
        <v>62</v>
      </c>
      <c r="AD2142" s="271">
        <v>1</v>
      </c>
    </row>
    <row r="2143" spans="1:30" ht="15" customHeight="1">
      <c r="A2143" s="41" t="s">
        <v>183</v>
      </c>
      <c r="B2143" s="402" t="s">
        <v>1220</v>
      </c>
      <c r="C2143" s="113" t="s">
        <v>1235</v>
      </c>
      <c r="D2143" s="393" t="s">
        <v>111</v>
      </c>
      <c r="E2143" s="394" t="s">
        <v>1237</v>
      </c>
      <c r="G2143" s="405" t="s">
        <v>1238</v>
      </c>
      <c r="H2143" s="74">
        <v>4215</v>
      </c>
      <c r="I2143" s="50" t="s">
        <v>2</v>
      </c>
      <c r="J2143" s="339" t="s">
        <v>1224</v>
      </c>
      <c r="K2143" s="51">
        <v>41508</v>
      </c>
      <c r="L2143" s="173">
        <v>41495</v>
      </c>
      <c r="M2143" s="50">
        <f t="shared" si="121"/>
        <v>13</v>
      </c>
      <c r="N2143" s="50" t="s">
        <v>2</v>
      </c>
      <c r="O2143" s="74">
        <f>1.5/2</f>
        <v>0.75</v>
      </c>
      <c r="P2143" s="50">
        <v>5.39</v>
      </c>
      <c r="Q2143" s="74">
        <v>6.08</v>
      </c>
      <c r="R2143" s="50">
        <v>18.899999999999999</v>
      </c>
      <c r="S2143" s="74">
        <v>326</v>
      </c>
      <c r="T2143" s="50">
        <v>0.34</v>
      </c>
      <c r="U2143" s="131">
        <v>2.5</v>
      </c>
      <c r="V2143" s="50">
        <v>0.51</v>
      </c>
      <c r="W2143" s="74">
        <v>4.3999999999999997E-2</v>
      </c>
      <c r="X2143" s="50">
        <v>0.17</v>
      </c>
      <c r="Y2143" s="74">
        <v>3.5999999999999997E-2</v>
      </c>
      <c r="Z2143" s="165">
        <v>1</v>
      </c>
      <c r="AA2143" s="271">
        <v>1</v>
      </c>
      <c r="AC2143" s="50">
        <v>19</v>
      </c>
      <c r="AD2143" s="271">
        <v>1</v>
      </c>
    </row>
    <row r="2144" spans="1:30" ht="15" customHeight="1">
      <c r="A2144" s="41" t="s">
        <v>183</v>
      </c>
      <c r="B2144" s="402" t="s">
        <v>2142</v>
      </c>
      <c r="D2144" s="393" t="s">
        <v>117</v>
      </c>
      <c r="E2144" s="394" t="s">
        <v>2143</v>
      </c>
      <c r="G2144" s="405" t="s">
        <v>3615</v>
      </c>
      <c r="H2144" s="113">
        <v>3087</v>
      </c>
      <c r="I2144" s="49"/>
      <c r="J2144" s="48" t="s">
        <v>2102</v>
      </c>
      <c r="K2144" s="51">
        <v>41691</v>
      </c>
      <c r="L2144" s="173">
        <v>41689</v>
      </c>
      <c r="M2144" s="50">
        <f t="shared" si="121"/>
        <v>2</v>
      </c>
      <c r="N2144" s="50" t="s">
        <v>2</v>
      </c>
      <c r="O2144" s="74">
        <v>1.6</v>
      </c>
      <c r="P2144" s="50">
        <v>5</v>
      </c>
      <c r="Q2144" s="74">
        <v>7.22</v>
      </c>
      <c r="R2144" s="50">
        <v>20.5</v>
      </c>
      <c r="S2144" s="74">
        <v>6.5</v>
      </c>
      <c r="T2144" s="50">
        <v>0.08</v>
      </c>
      <c r="U2144" s="131">
        <v>1.78</v>
      </c>
      <c r="V2144" s="50">
        <v>0.74</v>
      </c>
      <c r="W2144" s="74">
        <f>0.01/2</f>
        <v>5.0000000000000001E-3</v>
      </c>
      <c r="X2144" s="50">
        <v>0.03</v>
      </c>
      <c r="Y2144" s="74">
        <f>0.02/2</f>
        <v>0.01</v>
      </c>
      <c r="Z2144" s="165"/>
    </row>
    <row r="2145" spans="1:31" ht="15" customHeight="1">
      <c r="A2145" s="41" t="s">
        <v>183</v>
      </c>
      <c r="B2145" s="402" t="s">
        <v>2244</v>
      </c>
      <c r="D2145" s="393" t="s">
        <v>827</v>
      </c>
      <c r="E2145" s="394" t="s">
        <v>4985</v>
      </c>
      <c r="G2145" s="405" t="s">
        <v>2245</v>
      </c>
      <c r="H2145" s="113">
        <v>3272</v>
      </c>
      <c r="I2145" s="49" t="s">
        <v>2</v>
      </c>
      <c r="J2145" s="48" t="s">
        <v>2246</v>
      </c>
      <c r="K2145" s="51">
        <v>41072</v>
      </c>
      <c r="L2145" s="173">
        <v>41066</v>
      </c>
      <c r="M2145" s="50">
        <f t="shared" si="121"/>
        <v>6</v>
      </c>
      <c r="N2145" s="50" t="s">
        <v>2</v>
      </c>
      <c r="O2145" s="74">
        <v>1.8</v>
      </c>
      <c r="P2145" s="50">
        <v>7</v>
      </c>
      <c r="Q2145" s="74">
        <v>8</v>
      </c>
      <c r="R2145" s="50">
        <v>68</v>
      </c>
      <c r="S2145" s="74">
        <v>90</v>
      </c>
      <c r="T2145" s="50">
        <v>0.1</v>
      </c>
      <c r="U2145" s="131">
        <v>1.1299999999999999</v>
      </c>
      <c r="V2145" s="50">
        <v>1.4</v>
      </c>
      <c r="W2145" s="74">
        <v>1.7999999999999999E-2</v>
      </c>
      <c r="X2145" s="50">
        <v>9.5000000000000001E-2</v>
      </c>
      <c r="Y2145" s="74">
        <f>0.002/2</f>
        <v>1E-3</v>
      </c>
      <c r="Z2145" s="165">
        <v>1</v>
      </c>
      <c r="AA2145" s="271">
        <v>1</v>
      </c>
      <c r="AB2145" s="114">
        <v>42</v>
      </c>
      <c r="AC2145" s="50">
        <v>119</v>
      </c>
      <c r="AD2145" s="271">
        <v>1</v>
      </c>
    </row>
    <row r="2146" spans="1:31" ht="15" customHeight="1">
      <c r="A2146" s="41" t="s">
        <v>183</v>
      </c>
      <c r="B2146" s="402" t="s">
        <v>2244</v>
      </c>
      <c r="D2146" s="393" t="s">
        <v>827</v>
      </c>
      <c r="E2146" s="394" t="s">
        <v>4985</v>
      </c>
      <c r="G2146" s="405" t="s">
        <v>2245</v>
      </c>
      <c r="H2146" s="74">
        <v>3272</v>
      </c>
      <c r="I2146" s="50" t="s">
        <v>2</v>
      </c>
      <c r="J2146" s="74" t="s">
        <v>2905</v>
      </c>
      <c r="K2146" s="51">
        <v>41495</v>
      </c>
      <c r="L2146" s="173">
        <v>41487</v>
      </c>
      <c r="M2146" s="50">
        <f t="shared" si="121"/>
        <v>8</v>
      </c>
      <c r="N2146" s="50" t="s">
        <v>2</v>
      </c>
      <c r="O2146" s="74">
        <v>1.8</v>
      </c>
      <c r="P2146" s="50">
        <v>7</v>
      </c>
      <c r="Q2146" s="74">
        <v>8.7799999999999994</v>
      </c>
      <c r="R2146" s="50">
        <v>28</v>
      </c>
      <c r="S2146" s="74">
        <v>96</v>
      </c>
      <c r="T2146" s="50">
        <v>0.16</v>
      </c>
      <c r="U2146" s="131">
        <v>0.52</v>
      </c>
      <c r="V2146" s="50">
        <v>0.17</v>
      </c>
      <c r="W2146" s="74">
        <v>1.2999999999999999E-2</v>
      </c>
      <c r="X2146" s="50">
        <v>0.05</v>
      </c>
      <c r="Y2146" s="74">
        <v>7.0000000000000001E-3</v>
      </c>
      <c r="Z2146" s="165"/>
    </row>
    <row r="2147" spans="1:31" ht="15" customHeight="1">
      <c r="A2147" s="41" t="s">
        <v>183</v>
      </c>
      <c r="B2147" s="402" t="s">
        <v>1419</v>
      </c>
      <c r="C2147" s="113" t="s">
        <v>1419</v>
      </c>
      <c r="D2147" s="393" t="s">
        <v>379</v>
      </c>
      <c r="E2147" s="394" t="s">
        <v>214</v>
      </c>
      <c r="F2147" s="402" t="s">
        <v>1420</v>
      </c>
      <c r="G2147" s="405" t="s">
        <v>1421</v>
      </c>
      <c r="H2147" s="49">
        <v>3471</v>
      </c>
      <c r="I2147" s="50" t="s">
        <v>1</v>
      </c>
      <c r="J2147" s="76" t="s">
        <v>1424</v>
      </c>
      <c r="K2147" s="51">
        <v>41529</v>
      </c>
      <c r="L2147" s="173">
        <v>41519</v>
      </c>
      <c r="M2147" s="50">
        <f t="shared" si="121"/>
        <v>10</v>
      </c>
      <c r="N2147" s="50" t="s">
        <v>2</v>
      </c>
      <c r="O2147" s="74">
        <v>0.7</v>
      </c>
      <c r="P2147" s="50">
        <v>6.04</v>
      </c>
      <c r="Q2147" s="74">
        <v>6.3</v>
      </c>
      <c r="R2147" s="50">
        <v>36</v>
      </c>
      <c r="S2147" s="74">
        <v>10</v>
      </c>
      <c r="T2147" s="50">
        <v>0.28000000000000003</v>
      </c>
      <c r="U2147" s="131">
        <v>1.88</v>
      </c>
      <c r="V2147" s="50">
        <v>0.84</v>
      </c>
      <c r="W2147" s="74">
        <v>9.5000000000000001E-2</v>
      </c>
      <c r="X2147" s="50">
        <v>0.46800000000000003</v>
      </c>
      <c r="Y2147" s="74">
        <v>1.9E-2</v>
      </c>
      <c r="Z2147" s="165"/>
    </row>
    <row r="2148" spans="1:31" ht="15" customHeight="1">
      <c r="A2148" s="41" t="s">
        <v>183</v>
      </c>
      <c r="B2148" s="402" t="s">
        <v>1419</v>
      </c>
      <c r="C2148" s="113" t="s">
        <v>1419</v>
      </c>
      <c r="D2148" s="393" t="s">
        <v>379</v>
      </c>
      <c r="E2148" s="394" t="s">
        <v>214</v>
      </c>
      <c r="F2148" s="402" t="s">
        <v>1423</v>
      </c>
      <c r="G2148" s="405" t="s">
        <v>1421</v>
      </c>
      <c r="H2148" s="49">
        <v>3471</v>
      </c>
      <c r="I2148" s="50" t="s">
        <v>1</v>
      </c>
      <c r="J2148" s="76" t="s">
        <v>5204</v>
      </c>
      <c r="K2148" s="51">
        <v>41529</v>
      </c>
      <c r="L2148" s="173">
        <v>41519</v>
      </c>
      <c r="M2148" s="50">
        <f t="shared" si="121"/>
        <v>10</v>
      </c>
      <c r="N2148" s="50" t="s">
        <v>2</v>
      </c>
      <c r="O2148" s="74">
        <f>1.4/2</f>
        <v>0.7</v>
      </c>
      <c r="P2148" s="50">
        <v>6.04</v>
      </c>
      <c r="Q2148" s="74">
        <v>6.1</v>
      </c>
      <c r="R2148" s="50">
        <v>17</v>
      </c>
      <c r="S2148" s="74">
        <v>130</v>
      </c>
      <c r="T2148" s="50">
        <v>0.16</v>
      </c>
      <c r="U2148" s="131">
        <v>3.11</v>
      </c>
      <c r="V2148" s="50">
        <v>0.72</v>
      </c>
      <c r="W2148" s="74">
        <v>0.04</v>
      </c>
      <c r="X2148" s="50">
        <v>0.14799999999999999</v>
      </c>
      <c r="Y2148" s="74">
        <v>8.9999999999999993E-3</v>
      </c>
      <c r="Z2148" s="165"/>
    </row>
    <row r="2149" spans="1:31" ht="15" customHeight="1">
      <c r="A2149" s="41" t="s">
        <v>183</v>
      </c>
      <c r="B2149" s="385" t="s">
        <v>4194</v>
      </c>
      <c r="C2149" s="18" t="s">
        <v>4195</v>
      </c>
      <c r="D2149" s="377" t="s">
        <v>684</v>
      </c>
      <c r="E2149" s="20" t="s">
        <v>112</v>
      </c>
      <c r="F2149" s="385"/>
      <c r="G2149" s="390" t="s">
        <v>4196</v>
      </c>
      <c r="H2149" s="6">
        <v>3271</v>
      </c>
      <c r="I2149" s="7" t="s">
        <v>1</v>
      </c>
      <c r="J2149" s="344" t="s">
        <v>74</v>
      </c>
      <c r="K2149" s="51">
        <v>41527</v>
      </c>
      <c r="L2149" s="173">
        <v>41519</v>
      </c>
      <c r="M2149" s="50">
        <f t="shared" si="121"/>
        <v>8</v>
      </c>
      <c r="N2149" s="50" t="s">
        <v>2</v>
      </c>
      <c r="O2149" s="74">
        <f>2/2</f>
        <v>1</v>
      </c>
      <c r="P2149" s="50">
        <v>6.5</v>
      </c>
      <c r="Q2149" s="74">
        <v>9.4</v>
      </c>
      <c r="R2149" s="50">
        <v>25</v>
      </c>
      <c r="S2149" s="74">
        <v>248</v>
      </c>
      <c r="T2149" s="50">
        <v>0.18</v>
      </c>
      <c r="U2149" s="131">
        <v>0.85</v>
      </c>
      <c r="V2149" s="50">
        <v>0.86</v>
      </c>
      <c r="W2149" s="74">
        <v>2.7E-2</v>
      </c>
      <c r="X2149" s="50">
        <v>0.10299999999999999</v>
      </c>
      <c r="Y2149" s="74">
        <f>0.03/2</f>
        <v>1.4999999999999999E-2</v>
      </c>
      <c r="Z2149" s="165">
        <v>1</v>
      </c>
      <c r="AA2149" s="271">
        <v>1</v>
      </c>
      <c r="AB2149" s="114">
        <v>77</v>
      </c>
      <c r="AC2149" s="50">
        <v>93</v>
      </c>
      <c r="AD2149" s="271">
        <v>1</v>
      </c>
      <c r="AE2149" s="50">
        <v>3600</v>
      </c>
    </row>
    <row r="2150" spans="1:31" ht="15" customHeight="1">
      <c r="A2150" s="41" t="s">
        <v>183</v>
      </c>
      <c r="B2150" s="385" t="s">
        <v>4194</v>
      </c>
      <c r="C2150" s="18" t="s">
        <v>4195</v>
      </c>
      <c r="D2150" s="377" t="s">
        <v>684</v>
      </c>
      <c r="E2150" s="20" t="s">
        <v>112</v>
      </c>
      <c r="F2150" s="385"/>
      <c r="G2150" s="390" t="s">
        <v>4196</v>
      </c>
      <c r="H2150" s="6">
        <v>3271</v>
      </c>
      <c r="I2150" s="7" t="s">
        <v>1</v>
      </c>
      <c r="J2150" s="344" t="s">
        <v>75</v>
      </c>
      <c r="K2150" s="51">
        <v>41527</v>
      </c>
      <c r="L2150" s="173">
        <v>41519</v>
      </c>
      <c r="M2150" s="50">
        <f t="shared" si="121"/>
        <v>8</v>
      </c>
      <c r="N2150" s="50" t="s">
        <v>2</v>
      </c>
      <c r="O2150" s="74">
        <v>2.4</v>
      </c>
      <c r="P2150" s="50">
        <v>6.5</v>
      </c>
      <c r="Q2150" s="74">
        <v>8.5</v>
      </c>
      <c r="R2150" s="50">
        <v>47</v>
      </c>
      <c r="S2150" s="74">
        <v>289</v>
      </c>
      <c r="T2150" s="50">
        <v>0.24</v>
      </c>
      <c r="U2150" s="131">
        <v>0.85</v>
      </c>
      <c r="V2150" s="50">
        <v>1.22</v>
      </c>
      <c r="W2150" s="74">
        <v>3.4000000000000002E-2</v>
      </c>
      <c r="X2150" s="50">
        <v>8.2000000000000003E-2</v>
      </c>
      <c r="Y2150" s="74">
        <f>0.03/2</f>
        <v>1.4999999999999999E-2</v>
      </c>
      <c r="Z2150" s="165">
        <v>1</v>
      </c>
      <c r="AA2150" s="271">
        <v>1</v>
      </c>
      <c r="AB2150" s="114">
        <v>88</v>
      </c>
      <c r="AC2150" s="50">
        <v>154</v>
      </c>
      <c r="AD2150" s="271">
        <v>1</v>
      </c>
      <c r="AE2150" s="50">
        <v>2500</v>
      </c>
    </row>
    <row r="2151" spans="1:31" ht="15" customHeight="1">
      <c r="A2151" s="41" t="s">
        <v>183</v>
      </c>
      <c r="B2151" s="402" t="s">
        <v>2675</v>
      </c>
      <c r="C2151" s="113" t="s">
        <v>2676</v>
      </c>
      <c r="D2151" s="393" t="s">
        <v>1759</v>
      </c>
      <c r="E2151" s="394" t="s">
        <v>95</v>
      </c>
      <c r="G2151" s="405" t="s">
        <v>2677</v>
      </c>
      <c r="H2151" s="74">
        <v>4952</v>
      </c>
      <c r="I2151" s="50" t="s">
        <v>2</v>
      </c>
      <c r="J2151" s="48" t="s">
        <v>2680</v>
      </c>
      <c r="K2151" s="51">
        <v>41513</v>
      </c>
      <c r="L2151" s="173"/>
      <c r="N2151" s="50" t="s">
        <v>2</v>
      </c>
      <c r="O2151" s="74">
        <f>5/2</f>
        <v>2.5</v>
      </c>
      <c r="P2151" s="50">
        <v>6.3</v>
      </c>
      <c r="Q2151" s="74">
        <v>6.82</v>
      </c>
      <c r="R2151" s="50">
        <v>16</v>
      </c>
      <c r="S2151" s="74">
        <f>5/2</f>
        <v>2.5</v>
      </c>
      <c r="T2151" s="50">
        <f>0.1/2</f>
        <v>0.05</v>
      </c>
      <c r="U2151" s="131">
        <f>1/2</f>
        <v>0.5</v>
      </c>
      <c r="V2151" s="50">
        <v>0.16</v>
      </c>
      <c r="W2151" s="74">
        <f>0.04/2</f>
        <v>0.02</v>
      </c>
      <c r="X2151" s="50">
        <v>0.03</v>
      </c>
      <c r="Y2151" s="74">
        <f>0.013/2</f>
        <v>6.4999999999999997E-3</v>
      </c>
      <c r="Z2151" s="165"/>
    </row>
    <row r="2152" spans="1:31" ht="15" customHeight="1">
      <c r="A2152" s="41" t="s">
        <v>183</v>
      </c>
      <c r="B2152" s="402" t="s">
        <v>2675</v>
      </c>
      <c r="C2152" s="113" t="s">
        <v>2676</v>
      </c>
      <c r="D2152" s="393" t="s">
        <v>1759</v>
      </c>
      <c r="E2152" s="394" t="s">
        <v>95</v>
      </c>
      <c r="G2152" s="405" t="s">
        <v>2677</v>
      </c>
      <c r="H2152" s="74">
        <v>4952</v>
      </c>
      <c r="I2152" s="50" t="s">
        <v>2</v>
      </c>
      <c r="J2152" s="48" t="s">
        <v>2678</v>
      </c>
      <c r="K2152" s="51">
        <v>41513</v>
      </c>
      <c r="L2152" s="173"/>
      <c r="N2152" s="50" t="s">
        <v>2</v>
      </c>
      <c r="O2152" s="74">
        <f>5/2</f>
        <v>2.5</v>
      </c>
      <c r="P2152" s="50">
        <v>6.3</v>
      </c>
      <c r="Q2152" s="74">
        <v>6.51</v>
      </c>
      <c r="R2152" s="50">
        <v>31</v>
      </c>
      <c r="S2152" s="74">
        <v>8</v>
      </c>
      <c r="T2152" s="50">
        <f>0.1/2</f>
        <v>0.05</v>
      </c>
      <c r="U2152" s="131">
        <f>1/2</f>
        <v>0.5</v>
      </c>
      <c r="V2152" s="50">
        <v>0.18</v>
      </c>
      <c r="W2152" s="74">
        <f>0.04/2</f>
        <v>0.02</v>
      </c>
      <c r="X2152" s="50">
        <v>4.9000000000000002E-2</v>
      </c>
      <c r="Y2152" s="74">
        <f>0.013/2</f>
        <v>6.4999999999999997E-3</v>
      </c>
      <c r="Z2152" s="165"/>
    </row>
    <row r="2153" spans="1:31" ht="15" customHeight="1">
      <c r="A2153" s="41" t="s">
        <v>183</v>
      </c>
      <c r="B2153" s="402" t="s">
        <v>2675</v>
      </c>
      <c r="C2153" s="113" t="s">
        <v>2676</v>
      </c>
      <c r="D2153" s="393" t="s">
        <v>1759</v>
      </c>
      <c r="E2153" s="394" t="s">
        <v>95</v>
      </c>
      <c r="G2153" s="405" t="s">
        <v>2677</v>
      </c>
      <c r="H2153" s="74">
        <v>4952</v>
      </c>
      <c r="I2153" s="50" t="s">
        <v>2</v>
      </c>
      <c r="J2153" s="48" t="s">
        <v>2679</v>
      </c>
      <c r="K2153" s="51">
        <v>41513</v>
      </c>
      <c r="L2153" s="173"/>
      <c r="N2153" s="50" t="s">
        <v>2</v>
      </c>
      <c r="O2153" s="74">
        <f>5/2</f>
        <v>2.5</v>
      </c>
      <c r="P2153" s="50">
        <v>6.3</v>
      </c>
      <c r="Q2153" s="74">
        <v>5.08</v>
      </c>
      <c r="R2153" s="50">
        <v>31</v>
      </c>
      <c r="S2153" s="74">
        <v>20</v>
      </c>
      <c r="T2153" s="50">
        <v>1.2</v>
      </c>
      <c r="U2153" s="131">
        <v>1.5</v>
      </c>
      <c r="V2153" s="50">
        <v>0.32</v>
      </c>
      <c r="W2153" s="74">
        <v>0.23</v>
      </c>
      <c r="X2153" s="50">
        <v>0.63</v>
      </c>
      <c r="Y2153" s="74">
        <v>2.1000000000000001E-2</v>
      </c>
      <c r="Z2153" s="165"/>
    </row>
    <row r="2154" spans="1:31" ht="15" customHeight="1">
      <c r="A2154" s="41" t="s">
        <v>183</v>
      </c>
      <c r="B2154" s="402" t="s">
        <v>5151</v>
      </c>
      <c r="D2154" s="393" t="s">
        <v>1683</v>
      </c>
      <c r="E2154" s="394" t="s">
        <v>5152</v>
      </c>
      <c r="G2154" s="405" t="s">
        <v>5153</v>
      </c>
      <c r="H2154" s="74">
        <v>2815</v>
      </c>
      <c r="J2154" s="339" t="s">
        <v>641</v>
      </c>
      <c r="K2154" s="51">
        <v>41600</v>
      </c>
      <c r="L2154" s="173">
        <v>41585</v>
      </c>
      <c r="M2154" s="50">
        <f t="shared" ref="M2154:M2189" si="122">K2154-L2154</f>
        <v>15</v>
      </c>
      <c r="N2154" s="50" t="s">
        <v>2</v>
      </c>
      <c r="O2154" s="74">
        <f>1/2</f>
        <v>0.5</v>
      </c>
      <c r="P2154" s="50">
        <v>6.45</v>
      </c>
      <c r="Q2154" s="74">
        <v>6.5</v>
      </c>
      <c r="R2154" s="50">
        <v>38.799999999999997</v>
      </c>
      <c r="S2154" s="74">
        <v>4.5</v>
      </c>
      <c r="T2154" s="50">
        <v>0.22</v>
      </c>
      <c r="U2154" s="131">
        <v>0.93</v>
      </c>
      <c r="V2154" s="50">
        <v>0.75</v>
      </c>
      <c r="W2154" s="74">
        <f>0.01/2</f>
        <v>5.0000000000000001E-3</v>
      </c>
      <c r="X2154" s="50">
        <v>0.09</v>
      </c>
      <c r="Y2154" s="74">
        <f>0.02/2</f>
        <v>0.01</v>
      </c>
      <c r="Z2154" s="165"/>
    </row>
    <row r="2155" spans="1:31" ht="15" customHeight="1">
      <c r="A2155" s="41" t="s">
        <v>183</v>
      </c>
      <c r="B2155" s="402" t="s">
        <v>2142</v>
      </c>
      <c r="D2155" s="393" t="s">
        <v>117</v>
      </c>
      <c r="E2155" s="394" t="s">
        <v>2143</v>
      </c>
      <c r="G2155" s="405" t="s">
        <v>3615</v>
      </c>
      <c r="H2155" s="113">
        <v>3087</v>
      </c>
      <c r="I2155" s="49"/>
      <c r="J2155" s="48" t="s">
        <v>2102</v>
      </c>
      <c r="K2155" s="51">
        <v>41499</v>
      </c>
      <c r="L2155" s="173">
        <v>41495</v>
      </c>
      <c r="M2155" s="50">
        <f t="shared" si="122"/>
        <v>4</v>
      </c>
      <c r="N2155" s="50" t="s">
        <v>2</v>
      </c>
      <c r="O2155" s="74">
        <v>1.1000000000000001</v>
      </c>
      <c r="P2155" s="50">
        <v>5</v>
      </c>
      <c r="Q2155" s="74">
        <v>6.65</v>
      </c>
      <c r="R2155" s="50">
        <v>33</v>
      </c>
      <c r="S2155" s="74">
        <v>5</v>
      </c>
      <c r="T2155" s="50">
        <v>0.06</v>
      </c>
      <c r="U2155" s="131">
        <v>2.4</v>
      </c>
      <c r="V2155" s="50">
        <v>0.47</v>
      </c>
      <c r="W2155" s="74">
        <f>0.01/2</f>
        <v>5.0000000000000001E-3</v>
      </c>
      <c r="X2155" s="50">
        <v>0.02</v>
      </c>
      <c r="Y2155" s="74">
        <f>0.02/2</f>
        <v>0.01</v>
      </c>
      <c r="Z2155" s="165">
        <v>1</v>
      </c>
      <c r="AA2155" s="271">
        <v>1</v>
      </c>
      <c r="AB2155" s="114">
        <v>5.31</v>
      </c>
      <c r="AC2155" s="50">
        <v>29.4</v>
      </c>
      <c r="AD2155" s="271">
        <v>1</v>
      </c>
    </row>
    <row r="2156" spans="1:31" ht="15" customHeight="1">
      <c r="A2156" s="41" t="s">
        <v>183</v>
      </c>
      <c r="B2156" s="402" t="s">
        <v>3198</v>
      </c>
      <c r="C2156" s="113" t="s">
        <v>3202</v>
      </c>
      <c r="D2156" s="393" t="s">
        <v>559</v>
      </c>
      <c r="E2156" s="394" t="s">
        <v>560</v>
      </c>
      <c r="G2156" s="405" t="s">
        <v>3203</v>
      </c>
      <c r="H2156" s="74">
        <v>4151</v>
      </c>
      <c r="I2156" s="50" t="s">
        <v>2</v>
      </c>
      <c r="J2156" s="339" t="s">
        <v>3144</v>
      </c>
      <c r="K2156" s="51">
        <v>41085</v>
      </c>
      <c r="L2156" s="173">
        <v>41083</v>
      </c>
      <c r="M2156" s="50">
        <f t="shared" si="122"/>
        <v>2</v>
      </c>
      <c r="N2156" s="50" t="s">
        <v>2</v>
      </c>
      <c r="O2156" s="74">
        <f>2/2</f>
        <v>1</v>
      </c>
      <c r="P2156" s="50">
        <v>5.2</v>
      </c>
      <c r="Q2156" s="74">
        <v>6</v>
      </c>
      <c r="R2156" s="50">
        <f>10/2</f>
        <v>5</v>
      </c>
      <c r="S2156" s="74">
        <v>15</v>
      </c>
      <c r="T2156" s="50">
        <f>0.05/2</f>
        <v>2.5000000000000001E-2</v>
      </c>
      <c r="U2156" s="131">
        <v>0.5</v>
      </c>
      <c r="V2156" s="50">
        <v>0.13</v>
      </c>
      <c r="W2156" s="74">
        <v>0.03</v>
      </c>
      <c r="X2156" s="50">
        <v>0.16</v>
      </c>
      <c r="Y2156" s="74">
        <f>0.03/2</f>
        <v>1.4999999999999999E-2</v>
      </c>
      <c r="Z2156" s="165">
        <v>1</v>
      </c>
      <c r="AA2156" s="271">
        <v>1</v>
      </c>
      <c r="AB2156" s="114">
        <v>5</v>
      </c>
      <c r="AC2156" s="50">
        <v>11</v>
      </c>
      <c r="AD2156" s="271">
        <v>0.85</v>
      </c>
    </row>
    <row r="2157" spans="1:31" ht="15" customHeight="1">
      <c r="A2157" s="41" t="s">
        <v>183</v>
      </c>
      <c r="B2157" s="402" t="s">
        <v>3198</v>
      </c>
      <c r="C2157" s="113" t="s">
        <v>3202</v>
      </c>
      <c r="D2157" s="393" t="s">
        <v>559</v>
      </c>
      <c r="E2157" s="394" t="s">
        <v>560</v>
      </c>
      <c r="G2157" s="405" t="s">
        <v>3203</v>
      </c>
      <c r="H2157" s="74">
        <v>4151</v>
      </c>
      <c r="I2157" s="50" t="s">
        <v>2</v>
      </c>
      <c r="J2157" s="339" t="s">
        <v>3144</v>
      </c>
      <c r="K2157" s="51">
        <v>41345</v>
      </c>
      <c r="L2157" s="173">
        <v>41339</v>
      </c>
      <c r="M2157" s="50">
        <f t="shared" si="122"/>
        <v>6</v>
      </c>
      <c r="N2157" s="50" t="s">
        <v>2</v>
      </c>
      <c r="O2157" s="74">
        <f>2/2</f>
        <v>1</v>
      </c>
      <c r="P2157" s="50">
        <v>6.3</v>
      </c>
      <c r="Q2157" s="74">
        <v>7</v>
      </c>
      <c r="R2157" s="50">
        <f>10/2</f>
        <v>5</v>
      </c>
      <c r="S2157" s="74">
        <v>612</v>
      </c>
      <c r="T2157" s="50">
        <v>0.61</v>
      </c>
      <c r="U2157" s="131">
        <v>0.25</v>
      </c>
      <c r="V2157" s="50">
        <f>0.1/2</f>
        <v>0.05</v>
      </c>
      <c r="W2157" s="74">
        <v>4.7E-2</v>
      </c>
      <c r="X2157" s="50">
        <v>0.14499999999999999</v>
      </c>
      <c r="Y2157" s="74">
        <v>3.1E-2</v>
      </c>
      <c r="Z2157" s="165">
        <v>1</v>
      </c>
      <c r="AA2157" s="271">
        <v>1</v>
      </c>
      <c r="AB2157" s="114">
        <v>36</v>
      </c>
      <c r="AC2157" s="50">
        <v>29</v>
      </c>
      <c r="AD2157" s="271">
        <v>1</v>
      </c>
    </row>
    <row r="2158" spans="1:31" ht="15" customHeight="1">
      <c r="A2158" s="41" t="s">
        <v>183</v>
      </c>
      <c r="B2158" s="402" t="s">
        <v>3198</v>
      </c>
      <c r="C2158" s="113" t="s">
        <v>3204</v>
      </c>
      <c r="D2158" s="393" t="s">
        <v>499</v>
      </c>
      <c r="E2158" s="394" t="s">
        <v>3205</v>
      </c>
      <c r="G2158" s="405" t="s">
        <v>3206</v>
      </c>
      <c r="H2158" s="74">
        <v>4151</v>
      </c>
      <c r="I2158" s="50" t="s">
        <v>2</v>
      </c>
      <c r="J2158" s="339" t="s">
        <v>3144</v>
      </c>
      <c r="K2158" s="51">
        <v>41579</v>
      </c>
      <c r="L2158" s="173">
        <v>41554</v>
      </c>
      <c r="M2158" s="50">
        <f t="shared" si="122"/>
        <v>25</v>
      </c>
      <c r="N2158" s="50" t="s">
        <v>2</v>
      </c>
      <c r="O2158" s="74">
        <v>2.2999999999999998</v>
      </c>
      <c r="P2158" s="50">
        <v>5.58</v>
      </c>
      <c r="Q2158" s="74">
        <v>5.37</v>
      </c>
      <c r="R2158" s="50">
        <v>111</v>
      </c>
      <c r="S2158" s="74">
        <v>9</v>
      </c>
      <c r="T2158" s="50">
        <v>0.47</v>
      </c>
      <c r="U2158" s="131">
        <v>2.98</v>
      </c>
      <c r="V2158" s="50">
        <v>0.27</v>
      </c>
      <c r="W2158" s="74">
        <v>0.01</v>
      </c>
      <c r="X2158" s="50">
        <v>0.12</v>
      </c>
      <c r="Y2158" s="74">
        <f>0.02/2</f>
        <v>0.01</v>
      </c>
      <c r="Z2158" s="165">
        <v>1</v>
      </c>
      <c r="AA2158" s="271">
        <v>1</v>
      </c>
      <c r="AB2158" s="114">
        <v>9.1999999999999993</v>
      </c>
      <c r="AC2158" s="50">
        <v>77.8</v>
      </c>
      <c r="AD2158" s="271">
        <v>1</v>
      </c>
    </row>
    <row r="2159" spans="1:31" ht="15" customHeight="1">
      <c r="A2159" s="41" t="s">
        <v>183</v>
      </c>
      <c r="B2159" s="402" t="s">
        <v>3198</v>
      </c>
      <c r="C2159" s="113" t="s">
        <v>3199</v>
      </c>
      <c r="D2159" s="393" t="s">
        <v>443</v>
      </c>
      <c r="E2159" s="394" t="s">
        <v>3200</v>
      </c>
      <c r="G2159" s="405" t="s">
        <v>3201</v>
      </c>
      <c r="H2159" s="74">
        <v>4151</v>
      </c>
      <c r="I2159" s="50" t="s">
        <v>2</v>
      </c>
      <c r="J2159" s="339" t="s">
        <v>3144</v>
      </c>
      <c r="K2159" s="51">
        <v>41508</v>
      </c>
      <c r="L2159" s="173">
        <v>41495</v>
      </c>
      <c r="M2159" s="50">
        <f t="shared" si="122"/>
        <v>13</v>
      </c>
      <c r="N2159" s="50" t="s">
        <v>2</v>
      </c>
      <c r="O2159" s="74">
        <f>2/2</f>
        <v>1</v>
      </c>
      <c r="P2159" s="50">
        <v>6.2</v>
      </c>
      <c r="Q2159" s="74">
        <v>7.7</v>
      </c>
      <c r="R2159" s="50">
        <v>39</v>
      </c>
      <c r="S2159" s="74">
        <v>126</v>
      </c>
      <c r="T2159" s="50">
        <v>0.26</v>
      </c>
      <c r="U2159" s="131">
        <v>1.22</v>
      </c>
      <c r="V2159" s="50">
        <v>1.67</v>
      </c>
      <c r="W2159" s="74">
        <v>2.5000000000000001E-2</v>
      </c>
      <c r="X2159" s="50">
        <v>7.6999999999999999E-2</v>
      </c>
      <c r="Y2159" s="74">
        <f>0.03/2</f>
        <v>1.4999999999999999E-2</v>
      </c>
      <c r="Z2159" s="165"/>
    </row>
    <row r="2160" spans="1:31" ht="15" customHeight="1">
      <c r="A2160" s="41" t="s">
        <v>183</v>
      </c>
      <c r="B2160" s="402" t="s">
        <v>3198</v>
      </c>
      <c r="C2160" s="113" t="s">
        <v>3199</v>
      </c>
      <c r="D2160" s="393" t="s">
        <v>443</v>
      </c>
      <c r="E2160" s="394" t="s">
        <v>3200</v>
      </c>
      <c r="G2160" s="405" t="s">
        <v>3201</v>
      </c>
      <c r="H2160" s="74">
        <v>4151</v>
      </c>
      <c r="I2160" s="50" t="s">
        <v>2</v>
      </c>
      <c r="J2160" s="339" t="s">
        <v>3144</v>
      </c>
      <c r="K2160" s="51">
        <v>41689</v>
      </c>
      <c r="L2160" s="173">
        <v>41653</v>
      </c>
      <c r="M2160" s="50">
        <f t="shared" si="122"/>
        <v>36</v>
      </c>
      <c r="N2160" s="50" t="s">
        <v>2</v>
      </c>
      <c r="S2160" s="74">
        <v>34</v>
      </c>
      <c r="Z2160" s="165"/>
    </row>
    <row r="2161" spans="1:79" ht="15" customHeight="1">
      <c r="A2161" s="41" t="s">
        <v>183</v>
      </c>
      <c r="B2161" s="402" t="s">
        <v>956</v>
      </c>
      <c r="C2161" s="113" t="s">
        <v>381</v>
      </c>
      <c r="D2161" s="393" t="s">
        <v>350</v>
      </c>
      <c r="E2161" s="394" t="s">
        <v>382</v>
      </c>
      <c r="G2161" s="405" t="s">
        <v>383</v>
      </c>
      <c r="H2161" s="74">
        <v>4151</v>
      </c>
      <c r="I2161" s="50" t="s">
        <v>2</v>
      </c>
      <c r="J2161" s="339" t="s">
        <v>81</v>
      </c>
      <c r="K2161" s="51">
        <v>41579</v>
      </c>
      <c r="L2161" s="173">
        <v>41554</v>
      </c>
      <c r="M2161" s="50">
        <f t="shared" si="122"/>
        <v>25</v>
      </c>
      <c r="N2161" s="50" t="s">
        <v>2</v>
      </c>
      <c r="O2161" s="74">
        <v>2.7</v>
      </c>
      <c r="P2161" s="50">
        <v>6.03</v>
      </c>
      <c r="Q2161" s="74">
        <v>7.46</v>
      </c>
      <c r="R2161" s="50">
        <v>133.5</v>
      </c>
      <c r="S2161" s="74">
        <v>265</v>
      </c>
      <c r="T2161" s="50">
        <v>0.86</v>
      </c>
      <c r="U2161" s="131">
        <v>3.72</v>
      </c>
      <c r="V2161" s="50">
        <v>4.5999999999999996</v>
      </c>
      <c r="W2161" s="74">
        <v>0.05</v>
      </c>
      <c r="X2161" s="50">
        <v>0.16</v>
      </c>
      <c r="Y2161" s="74">
        <v>0.02</v>
      </c>
      <c r="Z2161" s="165">
        <v>1</v>
      </c>
      <c r="AA2161" s="271">
        <v>1</v>
      </c>
      <c r="AB2161" s="114">
        <v>247</v>
      </c>
      <c r="AC2161" s="50">
        <v>2.67</v>
      </c>
      <c r="AD2161" s="271">
        <v>1</v>
      </c>
    </row>
    <row r="2162" spans="1:79" ht="15" customHeight="1">
      <c r="A2162" s="41" t="s">
        <v>183</v>
      </c>
      <c r="B2162" s="386" t="s">
        <v>956</v>
      </c>
      <c r="C2162" s="149" t="s">
        <v>1008</v>
      </c>
      <c r="D2162" s="392" t="s">
        <v>78</v>
      </c>
      <c r="E2162" s="258" t="s">
        <v>4467</v>
      </c>
      <c r="G2162" s="405" t="s">
        <v>555</v>
      </c>
      <c r="H2162" s="74">
        <v>4151</v>
      </c>
      <c r="I2162" s="50" t="s">
        <v>2</v>
      </c>
      <c r="J2162" s="339" t="s">
        <v>3144</v>
      </c>
      <c r="K2162" s="51">
        <v>41508</v>
      </c>
      <c r="L2162" s="173">
        <v>41499</v>
      </c>
      <c r="M2162" s="50">
        <f t="shared" si="122"/>
        <v>9</v>
      </c>
      <c r="N2162" s="50" t="s">
        <v>2</v>
      </c>
      <c r="O2162" s="74">
        <f>2/2</f>
        <v>1</v>
      </c>
      <c r="P2162" s="50">
        <v>6.4</v>
      </c>
      <c r="Q2162" s="74">
        <v>4.9000000000000004</v>
      </c>
      <c r="R2162" s="50">
        <v>10</v>
      </c>
      <c r="S2162" s="74">
        <v>5</v>
      </c>
      <c r="T2162" s="50">
        <v>0.24</v>
      </c>
      <c r="U2162" s="131">
        <v>0.65</v>
      </c>
      <c r="V2162" s="50">
        <v>0.5</v>
      </c>
      <c r="W2162" s="74">
        <v>2.1000000000000001E-2</v>
      </c>
      <c r="X2162" s="50">
        <v>5.8000000000000003E-2</v>
      </c>
      <c r="Y2162" s="74">
        <f>0.03/2</f>
        <v>1.4999999999999999E-2</v>
      </c>
      <c r="Z2162" s="165">
        <v>1</v>
      </c>
      <c r="AA2162" s="271">
        <v>1</v>
      </c>
      <c r="AB2162" s="114">
        <v>32</v>
      </c>
      <c r="AC2162" s="50">
        <v>173</v>
      </c>
      <c r="AD2162" s="271">
        <v>1</v>
      </c>
    </row>
    <row r="2163" spans="1:79" ht="15" customHeight="1">
      <c r="A2163" s="41" t="s">
        <v>183</v>
      </c>
      <c r="B2163" s="402" t="s">
        <v>1286</v>
      </c>
      <c r="C2163" s="113" t="s">
        <v>2218</v>
      </c>
      <c r="D2163" s="393" t="s">
        <v>1537</v>
      </c>
      <c r="E2163" s="394" t="s">
        <v>3722</v>
      </c>
      <c r="G2163" s="405" t="s">
        <v>2503</v>
      </c>
      <c r="H2163" s="74">
        <v>4151</v>
      </c>
      <c r="I2163" s="50" t="s">
        <v>2</v>
      </c>
      <c r="J2163" s="339" t="s">
        <v>3144</v>
      </c>
      <c r="K2163" s="51">
        <v>41579</v>
      </c>
      <c r="L2163" s="173">
        <v>41530</v>
      </c>
      <c r="M2163" s="50">
        <f t="shared" si="122"/>
        <v>49</v>
      </c>
      <c r="N2163" s="50" t="s">
        <v>2</v>
      </c>
      <c r="O2163" s="74">
        <v>14.9</v>
      </c>
      <c r="P2163" s="50">
        <v>5.38</v>
      </c>
      <c r="Q2163" s="74">
        <v>6.69</v>
      </c>
      <c r="R2163" s="50">
        <v>62.1</v>
      </c>
      <c r="S2163" s="74">
        <v>229</v>
      </c>
      <c r="T2163" s="50">
        <v>0.2</v>
      </c>
      <c r="U2163" s="131">
        <v>2.78</v>
      </c>
      <c r="V2163" s="50">
        <v>0.31</v>
      </c>
      <c r="W2163" s="74">
        <v>0.05</v>
      </c>
      <c r="X2163" s="50">
        <v>0.36</v>
      </c>
      <c r="Y2163" s="74">
        <v>0.04</v>
      </c>
      <c r="Z2163" s="165">
        <v>1</v>
      </c>
      <c r="AA2163" s="271">
        <v>1</v>
      </c>
      <c r="AB2163" s="114">
        <v>60.2</v>
      </c>
      <c r="AC2163" s="50">
        <v>190</v>
      </c>
      <c r="AD2163" s="271">
        <v>1</v>
      </c>
    </row>
    <row r="2164" spans="1:79" ht="15" customHeight="1">
      <c r="A2164" s="41" t="s">
        <v>183</v>
      </c>
      <c r="B2164" s="402" t="s">
        <v>956</v>
      </c>
      <c r="C2164" s="113" t="s">
        <v>3723</v>
      </c>
      <c r="D2164" s="393" t="s">
        <v>1896</v>
      </c>
      <c r="E2164" s="394" t="s">
        <v>2412</v>
      </c>
      <c r="G2164" s="405" t="s">
        <v>3724</v>
      </c>
      <c r="H2164" s="74">
        <v>4151</v>
      </c>
      <c r="I2164" s="50" t="s">
        <v>2</v>
      </c>
      <c r="J2164" s="339" t="s">
        <v>3144</v>
      </c>
      <c r="K2164" s="51">
        <v>41554</v>
      </c>
      <c r="L2164" s="173">
        <v>41535</v>
      </c>
      <c r="M2164" s="50">
        <f t="shared" si="122"/>
        <v>19</v>
      </c>
      <c r="N2164" s="50" t="s">
        <v>2</v>
      </c>
      <c r="O2164" s="74">
        <v>13</v>
      </c>
      <c r="P2164" s="50">
        <v>7.9</v>
      </c>
      <c r="Q2164" s="74">
        <v>7.7</v>
      </c>
      <c r="R2164" s="50">
        <v>51</v>
      </c>
      <c r="S2164" s="74">
        <v>70</v>
      </c>
      <c r="T2164" s="50">
        <v>0.16</v>
      </c>
      <c r="U2164" s="131">
        <v>2.88</v>
      </c>
      <c r="V2164" s="50">
        <v>0.18</v>
      </c>
      <c r="W2164" s="74">
        <v>1.6E-2</v>
      </c>
      <c r="X2164" s="50">
        <v>5.6000000000000001E-2</v>
      </c>
      <c r="Y2164" s="74">
        <f>0.03/2</f>
        <v>1.4999999999999999E-2</v>
      </c>
      <c r="Z2164" s="165">
        <v>1</v>
      </c>
      <c r="AA2164" s="271">
        <v>1</v>
      </c>
      <c r="AB2164" s="114">
        <v>20</v>
      </c>
      <c r="AC2164" s="50">
        <v>63</v>
      </c>
      <c r="AD2164" s="271">
        <v>0.55000000000000004</v>
      </c>
    </row>
    <row r="2165" spans="1:79" ht="15" customHeight="1">
      <c r="A2165" s="41" t="s">
        <v>183</v>
      </c>
      <c r="B2165" s="386" t="s">
        <v>956</v>
      </c>
      <c r="C2165" s="149" t="s">
        <v>999</v>
      </c>
      <c r="D2165" s="392" t="s">
        <v>195</v>
      </c>
      <c r="E2165" s="258" t="s">
        <v>196</v>
      </c>
      <c r="F2165" s="386"/>
      <c r="G2165" s="389" t="s">
        <v>197</v>
      </c>
      <c r="H2165" s="55">
        <v>4151</v>
      </c>
      <c r="I2165" s="54" t="s">
        <v>2</v>
      </c>
      <c r="J2165" s="61" t="s">
        <v>1125</v>
      </c>
      <c r="K2165" s="51">
        <v>41495</v>
      </c>
      <c r="L2165" s="173">
        <v>41490</v>
      </c>
      <c r="M2165" s="50">
        <f t="shared" si="122"/>
        <v>5</v>
      </c>
      <c r="N2165" s="50" t="s">
        <v>2</v>
      </c>
      <c r="O2165" s="74">
        <v>2.5</v>
      </c>
      <c r="P2165" s="50">
        <v>6.55</v>
      </c>
      <c r="Q2165" s="74">
        <v>4.5</v>
      </c>
      <c r="R2165" s="50">
        <v>13.8</v>
      </c>
      <c r="S2165" s="74">
        <f>1/2</f>
        <v>0.5</v>
      </c>
      <c r="T2165" s="50">
        <f>0.05/2</f>
        <v>2.5000000000000001E-2</v>
      </c>
      <c r="U2165" s="131">
        <v>0.93</v>
      </c>
      <c r="V2165" s="50">
        <v>0.55000000000000004</v>
      </c>
      <c r="W2165" s="74">
        <f>0.01/2</f>
        <v>5.0000000000000001E-3</v>
      </c>
      <c r="X2165" s="50">
        <v>0.21</v>
      </c>
      <c r="Y2165" s="74">
        <f>0.02/2</f>
        <v>0.01</v>
      </c>
      <c r="Z2165" s="165"/>
    </row>
    <row r="2166" spans="1:79" ht="15" customHeight="1">
      <c r="A2166" s="41" t="s">
        <v>183</v>
      </c>
      <c r="B2166" s="402" t="s">
        <v>956</v>
      </c>
      <c r="C2166" s="113" t="s">
        <v>4231</v>
      </c>
      <c r="D2166" s="393" t="s">
        <v>1830</v>
      </c>
      <c r="E2166" s="394" t="s">
        <v>3271</v>
      </c>
      <c r="G2166" s="405" t="s">
        <v>3272</v>
      </c>
      <c r="H2166" s="74">
        <v>4151</v>
      </c>
      <c r="I2166" s="50" t="s">
        <v>2</v>
      </c>
      <c r="J2166" s="339" t="s">
        <v>81</v>
      </c>
      <c r="K2166" s="51">
        <v>41579</v>
      </c>
      <c r="L2166" s="173">
        <v>41554</v>
      </c>
      <c r="M2166" s="50">
        <f t="shared" si="122"/>
        <v>25</v>
      </c>
      <c r="N2166" s="50" t="s">
        <v>2</v>
      </c>
      <c r="O2166" s="74">
        <f>1/2</f>
        <v>0.5</v>
      </c>
      <c r="P2166" s="50">
        <v>6.72</v>
      </c>
      <c r="Q2166" s="74">
        <v>6.8</v>
      </c>
      <c r="R2166" s="50">
        <v>41.6</v>
      </c>
      <c r="S2166" s="74">
        <v>29</v>
      </c>
      <c r="T2166" s="50">
        <v>0.18</v>
      </c>
      <c r="U2166" s="131">
        <v>0.8</v>
      </c>
      <c r="V2166" s="50">
        <f>0.2/2</f>
        <v>0.1</v>
      </c>
      <c r="W2166" s="74">
        <f>0.01/2</f>
        <v>5.0000000000000001E-3</v>
      </c>
      <c r="X2166" s="50">
        <v>4.08</v>
      </c>
      <c r="Y2166" s="74">
        <f>0.02/2</f>
        <v>0.01</v>
      </c>
      <c r="Z2166" s="165"/>
    </row>
    <row r="2167" spans="1:79" ht="15" customHeight="1">
      <c r="A2167" s="41" t="s">
        <v>183</v>
      </c>
      <c r="B2167" s="402" t="s">
        <v>956</v>
      </c>
      <c r="C2167" s="113" t="s">
        <v>1842</v>
      </c>
      <c r="D2167" s="393" t="s">
        <v>247</v>
      </c>
      <c r="E2167" s="394" t="s">
        <v>382</v>
      </c>
      <c r="G2167" s="405" t="s">
        <v>1808</v>
      </c>
      <c r="H2167" s="74">
        <v>4151</v>
      </c>
      <c r="I2167" s="50" t="s">
        <v>2</v>
      </c>
      <c r="J2167" s="339" t="s">
        <v>81</v>
      </c>
      <c r="K2167" s="51">
        <v>41579</v>
      </c>
      <c r="L2167" s="173">
        <v>41554</v>
      </c>
      <c r="M2167" s="50">
        <f t="shared" si="122"/>
        <v>25</v>
      </c>
      <c r="N2167" s="50" t="s">
        <v>2</v>
      </c>
      <c r="O2167" s="74">
        <v>1.6</v>
      </c>
      <c r="P2167" s="50">
        <v>5.22</v>
      </c>
      <c r="Q2167" s="74">
        <v>6.74</v>
      </c>
      <c r="R2167" s="50">
        <v>33</v>
      </c>
      <c r="S2167" s="74">
        <v>158</v>
      </c>
      <c r="T2167" s="50">
        <v>0.34</v>
      </c>
      <c r="U2167" s="131">
        <v>1.06</v>
      </c>
      <c r="V2167" s="50">
        <v>0.6</v>
      </c>
      <c r="W2167" s="74">
        <v>0.02</v>
      </c>
      <c r="X2167" s="50">
        <v>0.09</v>
      </c>
      <c r="Y2167" s="74">
        <f>0.02/2</f>
        <v>0.01</v>
      </c>
      <c r="Z2167" s="165"/>
    </row>
    <row r="2168" spans="1:79" ht="15" customHeight="1">
      <c r="A2168" s="41" t="s">
        <v>183</v>
      </c>
      <c r="B2168" s="402" t="s">
        <v>956</v>
      </c>
      <c r="C2168" s="113" t="s">
        <v>957</v>
      </c>
      <c r="D2168" s="393" t="s">
        <v>117</v>
      </c>
      <c r="E2168" s="394" t="s">
        <v>116</v>
      </c>
      <c r="G2168" s="405" t="s">
        <v>958</v>
      </c>
      <c r="H2168" s="74">
        <v>4151</v>
      </c>
      <c r="I2168" s="50" t="s">
        <v>2</v>
      </c>
      <c r="J2168" s="339" t="s">
        <v>1125</v>
      </c>
      <c r="K2168" s="51">
        <v>41579</v>
      </c>
      <c r="L2168" s="173">
        <v>41554</v>
      </c>
      <c r="M2168" s="50">
        <f t="shared" si="122"/>
        <v>25</v>
      </c>
      <c r="N2168" s="50" t="s">
        <v>2</v>
      </c>
      <c r="O2168" s="74">
        <v>2.7</v>
      </c>
      <c r="P2168" s="50">
        <v>6.37</v>
      </c>
      <c r="Q2168" s="74">
        <v>6.03</v>
      </c>
      <c r="R2168" s="50">
        <v>38.799999999999997</v>
      </c>
      <c r="S2168" s="74">
        <v>7.5</v>
      </c>
      <c r="T2168" s="50">
        <f>0.05/2</f>
        <v>2.5000000000000001E-2</v>
      </c>
      <c r="U2168" s="131">
        <v>1.22</v>
      </c>
      <c r="V2168" s="50">
        <f>0.2/2</f>
        <v>0.1</v>
      </c>
      <c r="W2168" s="74">
        <f>0.01/2</f>
        <v>5.0000000000000001E-3</v>
      </c>
      <c r="X2168" s="50">
        <v>0.05</v>
      </c>
      <c r="Y2168" s="74">
        <f>0.02/2</f>
        <v>0.01</v>
      </c>
      <c r="Z2168" s="165">
        <v>1</v>
      </c>
      <c r="AA2168" s="271">
        <v>1</v>
      </c>
      <c r="AB2168" s="114">
        <v>11.5</v>
      </c>
      <c r="AC2168" s="50">
        <v>203</v>
      </c>
      <c r="AD2168" s="271">
        <v>0.7</v>
      </c>
    </row>
    <row r="2169" spans="1:79" ht="15" customHeight="1">
      <c r="A2169" s="41" t="s">
        <v>183</v>
      </c>
      <c r="B2169" s="386" t="s">
        <v>956</v>
      </c>
      <c r="C2169" s="149" t="s">
        <v>1009</v>
      </c>
      <c r="D2169" s="392" t="s">
        <v>314</v>
      </c>
      <c r="E2169" s="258" t="s">
        <v>382</v>
      </c>
      <c r="F2169" s="386"/>
      <c r="G2169" s="389" t="s">
        <v>556</v>
      </c>
      <c r="H2169" s="55">
        <v>4151</v>
      </c>
      <c r="I2169" s="54" t="s">
        <v>2</v>
      </c>
      <c r="J2169" s="61" t="s">
        <v>557</v>
      </c>
      <c r="K2169" s="51">
        <v>41495</v>
      </c>
      <c r="L2169" s="173">
        <v>41490</v>
      </c>
      <c r="M2169" s="50">
        <f t="shared" si="122"/>
        <v>5</v>
      </c>
      <c r="N2169" s="50" t="s">
        <v>2</v>
      </c>
      <c r="O2169" s="74">
        <f>1/2</f>
        <v>0.5</v>
      </c>
      <c r="P2169" s="50">
        <v>6.73</v>
      </c>
      <c r="Q2169" s="74">
        <v>6.8</v>
      </c>
      <c r="R2169" s="50">
        <v>23.7</v>
      </c>
      <c r="S2169" s="74">
        <v>11</v>
      </c>
      <c r="T2169" s="50">
        <v>0.06</v>
      </c>
      <c r="U2169" s="131">
        <v>0.76</v>
      </c>
      <c r="V2169" s="50">
        <f>0.2/2</f>
        <v>0.1</v>
      </c>
      <c r="W2169" s="74">
        <f>0.01/2</f>
        <v>5.0000000000000001E-3</v>
      </c>
      <c r="X2169" s="50">
        <v>0.05</v>
      </c>
      <c r="Y2169" s="74">
        <f>0.02/2</f>
        <v>0.01</v>
      </c>
      <c r="Z2169" s="165">
        <v>1</v>
      </c>
      <c r="AA2169" s="271">
        <v>1</v>
      </c>
      <c r="AB2169" s="114">
        <v>4</v>
      </c>
      <c r="AC2169" s="50">
        <v>13.7</v>
      </c>
      <c r="AD2169" s="271">
        <v>1</v>
      </c>
    </row>
    <row r="2170" spans="1:79" ht="15" customHeight="1">
      <c r="A2170" s="41" t="s">
        <v>183</v>
      </c>
      <c r="B2170" s="402" t="s">
        <v>5219</v>
      </c>
      <c r="D2170" s="393" t="s">
        <v>156</v>
      </c>
      <c r="G2170" s="405" t="s">
        <v>5220</v>
      </c>
      <c r="H2170" s="74">
        <v>3449</v>
      </c>
      <c r="I2170" s="50" t="s">
        <v>2</v>
      </c>
      <c r="J2170" s="339" t="s">
        <v>5221</v>
      </c>
      <c r="K2170" s="51">
        <v>41030</v>
      </c>
      <c r="L2170" s="173">
        <v>41022</v>
      </c>
      <c r="M2170" s="50">
        <f t="shared" si="122"/>
        <v>8</v>
      </c>
      <c r="N2170" s="50" t="s">
        <v>2</v>
      </c>
      <c r="O2170" s="74">
        <v>27.4</v>
      </c>
      <c r="P2170" s="50">
        <v>5.3</v>
      </c>
      <c r="Q2170" s="74">
        <v>6.7</v>
      </c>
      <c r="R2170" s="50">
        <f>10/2</f>
        <v>5</v>
      </c>
      <c r="S2170" s="74">
        <f>12.5/2</f>
        <v>6.25</v>
      </c>
      <c r="T2170" s="50">
        <f>0.1/2</f>
        <v>0.05</v>
      </c>
      <c r="U2170" s="131">
        <f>1/2</f>
        <v>0.5</v>
      </c>
      <c r="V2170" s="50">
        <v>0.15</v>
      </c>
      <c r="W2170" s="74">
        <f>0.02/2</f>
        <v>0.01</v>
      </c>
      <c r="X2170" s="50">
        <f>0.05/2</f>
        <v>2.5000000000000001E-2</v>
      </c>
      <c r="Y2170" s="74">
        <v>1.2999999999999999E-2</v>
      </c>
      <c r="Z2170" s="165">
        <v>1</v>
      </c>
      <c r="AA2170" s="271">
        <v>1</v>
      </c>
      <c r="AB2170" s="114">
        <v>4</v>
      </c>
      <c r="AC2170" s="50">
        <v>19</v>
      </c>
      <c r="AD2170" s="271">
        <v>0.8</v>
      </c>
    </row>
    <row r="2171" spans="1:79" ht="15" customHeight="1">
      <c r="A2171" s="41" t="s">
        <v>183</v>
      </c>
      <c r="B2171" s="402" t="s">
        <v>5219</v>
      </c>
      <c r="D2171" s="393" t="s">
        <v>156</v>
      </c>
      <c r="G2171" s="405" t="s">
        <v>5220</v>
      </c>
      <c r="H2171" s="74">
        <v>3449</v>
      </c>
      <c r="I2171" s="50" t="s">
        <v>2</v>
      </c>
      <c r="J2171" s="339" t="s">
        <v>5222</v>
      </c>
      <c r="K2171" s="51">
        <v>41030</v>
      </c>
      <c r="L2171" s="173">
        <v>41022</v>
      </c>
      <c r="M2171" s="50">
        <f t="shared" si="122"/>
        <v>8</v>
      </c>
      <c r="N2171" s="50" t="s">
        <v>2</v>
      </c>
      <c r="O2171" s="74">
        <v>27.6</v>
      </c>
      <c r="P2171" s="50">
        <v>5.3</v>
      </c>
      <c r="Q2171" s="74">
        <v>6.4</v>
      </c>
      <c r="R2171" s="50">
        <v>46.9</v>
      </c>
      <c r="S2171" s="74">
        <v>30.5</v>
      </c>
      <c r="T2171" s="50">
        <f>0.1/2</f>
        <v>0.05</v>
      </c>
      <c r="U2171" s="131">
        <f>1/2</f>
        <v>0.5</v>
      </c>
      <c r="V2171" s="50">
        <v>0.06</v>
      </c>
      <c r="W2171" s="74">
        <f>0.02/2</f>
        <v>0.01</v>
      </c>
      <c r="X2171" s="50">
        <f>0.05/2</f>
        <v>2.5000000000000001E-2</v>
      </c>
      <c r="Y2171" s="74">
        <v>3.0000000000000001E-3</v>
      </c>
      <c r="Z2171" s="165">
        <v>1</v>
      </c>
      <c r="AA2171" s="271">
        <v>1</v>
      </c>
      <c r="AB2171" s="114">
        <v>4</v>
      </c>
      <c r="AC2171" s="50">
        <v>12</v>
      </c>
      <c r="AD2171" s="271">
        <v>1</v>
      </c>
    </row>
    <row r="2172" spans="1:79" ht="15" customHeight="1">
      <c r="A2172" s="41" t="s">
        <v>183</v>
      </c>
      <c r="B2172" s="402" t="s">
        <v>5219</v>
      </c>
      <c r="D2172" s="393" t="s">
        <v>156</v>
      </c>
      <c r="G2172" s="405" t="s">
        <v>5220</v>
      </c>
      <c r="H2172" s="74">
        <v>3449</v>
      </c>
      <c r="I2172" s="50" t="s">
        <v>2</v>
      </c>
      <c r="J2172" s="339" t="s">
        <v>5221</v>
      </c>
      <c r="K2172" s="51">
        <v>41508</v>
      </c>
      <c r="L2172" s="173">
        <v>41495</v>
      </c>
      <c r="M2172" s="50">
        <f t="shared" si="122"/>
        <v>13</v>
      </c>
      <c r="N2172" s="50" t="s">
        <v>2</v>
      </c>
      <c r="O2172" s="74">
        <v>26.3</v>
      </c>
      <c r="P2172" s="50">
        <v>5.4</v>
      </c>
      <c r="Q2172" s="74">
        <v>7.4</v>
      </c>
      <c r="R2172" s="50">
        <v>10.9</v>
      </c>
      <c r="S2172" s="74">
        <f>25/2</f>
        <v>12.5</v>
      </c>
      <c r="T2172" s="50">
        <f>0.1/2</f>
        <v>0.05</v>
      </c>
      <c r="U2172" s="131">
        <v>1.05</v>
      </c>
      <c r="V2172" s="50">
        <v>0.3</v>
      </c>
      <c r="W2172" s="74">
        <f>0.02/2</f>
        <v>0.01</v>
      </c>
      <c r="X2172" s="50">
        <v>0.05</v>
      </c>
      <c r="Y2172" s="74">
        <v>1E-3</v>
      </c>
      <c r="Z2172" s="165">
        <v>1</v>
      </c>
      <c r="AA2172" s="271">
        <v>1</v>
      </c>
      <c r="AB2172" s="114">
        <v>122</v>
      </c>
      <c r="AC2172" s="50">
        <v>301</v>
      </c>
      <c r="AD2172" s="271">
        <v>1</v>
      </c>
    </row>
    <row r="2173" spans="1:79" s="6" customFormat="1" ht="15" customHeight="1">
      <c r="A2173" s="41" t="s">
        <v>4668</v>
      </c>
      <c r="B2173" s="402" t="s">
        <v>2973</v>
      </c>
      <c r="C2173" s="113" t="s">
        <v>388</v>
      </c>
      <c r="D2173" s="393" t="s">
        <v>480</v>
      </c>
      <c r="E2173" s="394" t="s">
        <v>2329</v>
      </c>
      <c r="F2173" s="402"/>
      <c r="G2173" s="405" t="s">
        <v>2979</v>
      </c>
      <c r="H2173" s="74">
        <v>5093</v>
      </c>
      <c r="I2173" s="50" t="s">
        <v>1</v>
      </c>
      <c r="J2173" s="48" t="s">
        <v>5223</v>
      </c>
      <c r="K2173" s="51">
        <v>41527</v>
      </c>
      <c r="L2173" s="115">
        <v>41520</v>
      </c>
      <c r="M2173" s="50">
        <f t="shared" si="122"/>
        <v>7</v>
      </c>
      <c r="N2173" s="50" t="s">
        <v>2</v>
      </c>
      <c r="O2173" s="131">
        <v>16</v>
      </c>
      <c r="P2173" s="50">
        <v>8.4</v>
      </c>
      <c r="Q2173" s="74">
        <v>7.11</v>
      </c>
      <c r="R2173" s="50">
        <v>142.5</v>
      </c>
      <c r="S2173" s="74">
        <v>625</v>
      </c>
      <c r="T2173" s="50">
        <v>1.1299999999999999</v>
      </c>
      <c r="U2173" s="131">
        <v>7.6</v>
      </c>
      <c r="V2173" s="50">
        <v>1.48</v>
      </c>
      <c r="W2173" s="74">
        <v>0.16400000000000001</v>
      </c>
      <c r="X2173" s="50">
        <v>0.35599999999999998</v>
      </c>
      <c r="Y2173" s="74">
        <v>0.16300000000000001</v>
      </c>
      <c r="Z2173" s="271">
        <v>1</v>
      </c>
      <c r="AA2173" s="271">
        <v>1</v>
      </c>
      <c r="AB2173" s="114">
        <v>228</v>
      </c>
      <c r="AC2173" s="50">
        <v>560</v>
      </c>
      <c r="AD2173" s="271">
        <v>1</v>
      </c>
      <c r="AE2173" s="50"/>
      <c r="AF2173" s="49"/>
      <c r="AG2173" s="114"/>
      <c r="AH2173" s="114"/>
      <c r="AI2173" s="114"/>
      <c r="AJ2173" s="114"/>
      <c r="AK2173" s="114"/>
      <c r="AL2173" s="114"/>
      <c r="AM2173" s="114"/>
      <c r="AN2173" s="114"/>
      <c r="AO2173" s="114"/>
      <c r="AP2173" s="114"/>
      <c r="AQ2173" s="114"/>
      <c r="AR2173" s="114"/>
      <c r="AS2173" s="50"/>
      <c r="AT2173" s="74"/>
      <c r="AU2173" s="114"/>
      <c r="AV2173" s="114"/>
      <c r="AW2173" s="394"/>
      <c r="AX2173" s="385"/>
      <c r="AY2173" s="385"/>
      <c r="AZ2173" s="385"/>
      <c r="BA2173" s="385"/>
      <c r="BB2173" s="385"/>
      <c r="BC2173" s="385"/>
      <c r="BD2173" s="385"/>
      <c r="BE2173" s="385"/>
      <c r="BF2173" s="385"/>
      <c r="BG2173" s="385"/>
      <c r="BH2173" s="385"/>
      <c r="BI2173" s="385"/>
      <c r="BJ2173" s="385"/>
      <c r="BK2173" s="385"/>
      <c r="BL2173" s="385"/>
      <c r="BM2173" s="385"/>
      <c r="BN2173" s="385"/>
      <c r="BO2173" s="385"/>
      <c r="BP2173" s="385"/>
      <c r="BQ2173" s="385"/>
      <c r="BR2173" s="385"/>
      <c r="BS2173" s="385"/>
      <c r="BT2173" s="385"/>
      <c r="BU2173" s="385"/>
      <c r="BV2173" s="385"/>
      <c r="BW2173" s="385"/>
      <c r="BX2173" s="385"/>
      <c r="BY2173" s="385"/>
      <c r="BZ2173" s="385"/>
      <c r="CA2173" s="385"/>
    </row>
    <row r="2174" spans="1:79" s="6" customFormat="1" ht="15" customHeight="1">
      <c r="A2174" s="41" t="s">
        <v>4668</v>
      </c>
      <c r="B2174" s="402" t="s">
        <v>2973</v>
      </c>
      <c r="C2174" s="113" t="s">
        <v>388</v>
      </c>
      <c r="D2174" s="393" t="s">
        <v>480</v>
      </c>
      <c r="E2174" s="394" t="s">
        <v>2329</v>
      </c>
      <c r="F2174" s="402"/>
      <c r="G2174" s="405" t="s">
        <v>2979</v>
      </c>
      <c r="H2174" s="74">
        <v>5093</v>
      </c>
      <c r="I2174" s="50" t="s">
        <v>1</v>
      </c>
      <c r="J2174" s="48" t="s">
        <v>5224</v>
      </c>
      <c r="K2174" s="51">
        <v>41527</v>
      </c>
      <c r="L2174" s="115">
        <v>41520</v>
      </c>
      <c r="M2174" s="50">
        <f t="shared" si="122"/>
        <v>7</v>
      </c>
      <c r="N2174" s="50" t="s">
        <v>2</v>
      </c>
      <c r="O2174" s="131">
        <v>1.2</v>
      </c>
      <c r="P2174" s="50">
        <v>8.4</v>
      </c>
      <c r="Q2174" s="74">
        <v>7.56</v>
      </c>
      <c r="R2174" s="50">
        <v>844</v>
      </c>
      <c r="S2174" s="74">
        <v>307</v>
      </c>
      <c r="T2174" s="50">
        <v>0.39</v>
      </c>
      <c r="U2174" s="131">
        <v>2.8</v>
      </c>
      <c r="V2174" s="50">
        <v>1.43</v>
      </c>
      <c r="W2174" s="74">
        <v>4.1000000000000002E-2</v>
      </c>
      <c r="X2174" s="50">
        <v>0.48299999999999998</v>
      </c>
      <c r="Y2174" s="74">
        <v>6.2E-2</v>
      </c>
      <c r="Z2174" s="271">
        <v>1</v>
      </c>
      <c r="AA2174" s="271">
        <v>1</v>
      </c>
      <c r="AB2174" s="114">
        <v>35.14</v>
      </c>
      <c r="AC2174" s="50">
        <v>120</v>
      </c>
      <c r="AD2174" s="271">
        <v>1</v>
      </c>
      <c r="AE2174" s="50"/>
      <c r="AF2174" s="49"/>
      <c r="AG2174" s="114"/>
      <c r="AH2174" s="114"/>
      <c r="AI2174" s="114"/>
      <c r="AJ2174" s="114"/>
      <c r="AK2174" s="114"/>
      <c r="AL2174" s="114"/>
      <c r="AM2174" s="114"/>
      <c r="AN2174" s="114"/>
      <c r="AO2174" s="114"/>
      <c r="AP2174" s="114"/>
      <c r="AQ2174" s="114"/>
      <c r="AR2174" s="114"/>
      <c r="AS2174" s="50"/>
      <c r="AT2174" s="74"/>
      <c r="AU2174" s="114"/>
      <c r="AV2174" s="114"/>
      <c r="AW2174" s="394"/>
      <c r="AX2174" s="385"/>
      <c r="AY2174" s="385"/>
      <c r="AZ2174" s="385"/>
      <c r="BA2174" s="385"/>
      <c r="BB2174" s="385"/>
      <c r="BC2174" s="385"/>
      <c r="BD2174" s="385"/>
      <c r="BE2174" s="385"/>
      <c r="BF2174" s="385"/>
      <c r="BG2174" s="385"/>
      <c r="BH2174" s="385"/>
      <c r="BI2174" s="385"/>
      <c r="BJ2174" s="385"/>
      <c r="BK2174" s="385"/>
      <c r="BL2174" s="385"/>
      <c r="BM2174" s="385"/>
      <c r="BN2174" s="385"/>
      <c r="BO2174" s="385"/>
      <c r="BP2174" s="385"/>
      <c r="BQ2174" s="385"/>
      <c r="BR2174" s="385"/>
      <c r="BS2174" s="385"/>
      <c r="BT2174" s="385"/>
      <c r="BU2174" s="385"/>
      <c r="BV2174" s="385"/>
      <c r="BW2174" s="385"/>
      <c r="BX2174" s="385"/>
      <c r="BY2174" s="385"/>
      <c r="BZ2174" s="385"/>
      <c r="CA2174" s="385"/>
    </row>
    <row r="2175" spans="1:79" ht="15" customHeight="1">
      <c r="A2175" s="41" t="s">
        <v>183</v>
      </c>
      <c r="B2175" s="402" t="s">
        <v>5226</v>
      </c>
      <c r="D2175" s="393" t="s">
        <v>567</v>
      </c>
      <c r="E2175" s="394" t="s">
        <v>5227</v>
      </c>
      <c r="G2175" s="405" t="s">
        <v>5225</v>
      </c>
      <c r="H2175" s="74">
        <v>2051</v>
      </c>
      <c r="I2175" s="50" t="s">
        <v>2</v>
      </c>
      <c r="J2175" s="74" t="s">
        <v>5227</v>
      </c>
      <c r="K2175" s="51">
        <v>41131</v>
      </c>
      <c r="L2175" s="173">
        <v>41127</v>
      </c>
      <c r="M2175" s="50">
        <f t="shared" si="122"/>
        <v>4</v>
      </c>
      <c r="N2175" s="50" t="s">
        <v>2</v>
      </c>
      <c r="O2175" s="74">
        <v>24.4</v>
      </c>
      <c r="P2175" s="50">
        <v>6.9</v>
      </c>
      <c r="Q2175" s="74">
        <v>7.4</v>
      </c>
      <c r="R2175" s="50">
        <v>160</v>
      </c>
      <c r="S2175" s="74">
        <v>80</v>
      </c>
      <c r="T2175" s="50">
        <v>0.73</v>
      </c>
      <c r="U2175" s="131">
        <v>3.6</v>
      </c>
      <c r="V2175" s="50">
        <v>1.1399999999999999</v>
      </c>
      <c r="W2175" s="74">
        <v>2.7E-2</v>
      </c>
      <c r="X2175" s="50">
        <v>0.36899999999999999</v>
      </c>
      <c r="Y2175" s="74">
        <v>1.4999999999999999E-2</v>
      </c>
      <c r="Z2175" s="165">
        <v>1</v>
      </c>
      <c r="AA2175" s="271">
        <v>1</v>
      </c>
      <c r="AB2175" s="114">
        <v>154</v>
      </c>
      <c r="AC2175" s="50">
        <v>367</v>
      </c>
      <c r="AD2175" s="271">
        <v>1</v>
      </c>
    </row>
    <row r="2176" spans="1:79" ht="15" customHeight="1">
      <c r="A2176" s="41" t="s">
        <v>183</v>
      </c>
      <c r="B2176" s="402" t="s">
        <v>5226</v>
      </c>
      <c r="D2176" s="393" t="s">
        <v>567</v>
      </c>
      <c r="E2176" s="394" t="s">
        <v>5228</v>
      </c>
      <c r="G2176" s="405" t="s">
        <v>5225</v>
      </c>
      <c r="H2176" s="74">
        <v>2051</v>
      </c>
      <c r="I2176" s="50" t="s">
        <v>2</v>
      </c>
      <c r="J2176" s="74" t="s">
        <v>5228</v>
      </c>
      <c r="K2176" s="51">
        <v>41131</v>
      </c>
      <c r="L2176" s="173">
        <v>41127</v>
      </c>
      <c r="M2176" s="50">
        <f t="shared" si="122"/>
        <v>4</v>
      </c>
      <c r="N2176" s="50" t="s">
        <v>2</v>
      </c>
      <c r="O2176" s="74">
        <v>21.7</v>
      </c>
      <c r="P2176" s="50">
        <v>6.9</v>
      </c>
      <c r="Q2176" s="74">
        <v>7.3</v>
      </c>
      <c r="R2176" s="50">
        <v>52</v>
      </c>
      <c r="S2176" s="74">
        <v>22</v>
      </c>
      <c r="T2176" s="50">
        <v>0.32</v>
      </c>
      <c r="U2176" s="131">
        <v>2.8</v>
      </c>
      <c r="V2176" s="50">
        <v>1.9</v>
      </c>
      <c r="W2176" s="74">
        <v>8.0000000000000002E-3</v>
      </c>
      <c r="X2176" s="50">
        <v>6.0999999999999999E-2</v>
      </c>
      <c r="Y2176" s="74">
        <v>6.0000000000000001E-3</v>
      </c>
      <c r="Z2176" s="165">
        <v>1</v>
      </c>
      <c r="AA2176" s="271">
        <v>1</v>
      </c>
      <c r="AB2176" s="114">
        <v>84</v>
      </c>
      <c r="AC2176" s="50">
        <v>684</v>
      </c>
      <c r="AD2176" s="271">
        <v>1</v>
      </c>
    </row>
    <row r="2177" spans="1:30" ht="15" customHeight="1">
      <c r="A2177" s="41" t="s">
        <v>183</v>
      </c>
      <c r="B2177" s="402" t="s">
        <v>5226</v>
      </c>
      <c r="D2177" s="393" t="s">
        <v>567</v>
      </c>
      <c r="E2177" s="394" t="s">
        <v>5227</v>
      </c>
      <c r="G2177" s="405" t="s">
        <v>5225</v>
      </c>
      <c r="H2177" s="74">
        <v>2051</v>
      </c>
      <c r="I2177" s="50" t="s">
        <v>2</v>
      </c>
      <c r="J2177" s="74" t="s">
        <v>5227</v>
      </c>
      <c r="K2177" s="51">
        <v>41345</v>
      </c>
      <c r="L2177" s="173">
        <v>41341</v>
      </c>
      <c r="M2177" s="50">
        <f t="shared" si="122"/>
        <v>4</v>
      </c>
      <c r="N2177" s="50" t="s">
        <v>2</v>
      </c>
      <c r="O2177" s="74">
        <f>1/2</f>
        <v>0.5</v>
      </c>
      <c r="P2177" s="50">
        <v>6.8</v>
      </c>
      <c r="Q2177" s="74">
        <v>7.3</v>
      </c>
      <c r="R2177" s="50">
        <v>42</v>
      </c>
      <c r="S2177" s="74">
        <v>55</v>
      </c>
      <c r="T2177" s="50">
        <v>0.21</v>
      </c>
      <c r="U2177" s="131">
        <f>1/2</f>
        <v>0.5</v>
      </c>
      <c r="V2177" s="50">
        <v>2.1800000000000002</v>
      </c>
      <c r="W2177" s="74">
        <v>1.2999999999999999E-2</v>
      </c>
      <c r="X2177" s="50">
        <v>7.2999999999999995E-2</v>
      </c>
      <c r="Y2177" s="74">
        <v>8.0000000000000002E-3</v>
      </c>
      <c r="Z2177" s="165">
        <v>1</v>
      </c>
      <c r="AA2177" s="271">
        <v>1</v>
      </c>
      <c r="AB2177" s="114">
        <v>154</v>
      </c>
      <c r="AC2177" s="50">
        <v>1226</v>
      </c>
      <c r="AD2177" s="271">
        <v>1</v>
      </c>
    </row>
    <row r="2178" spans="1:30" ht="15" customHeight="1">
      <c r="A2178" s="41" t="s">
        <v>183</v>
      </c>
      <c r="B2178" s="402" t="s">
        <v>5226</v>
      </c>
      <c r="D2178" s="393" t="s">
        <v>567</v>
      </c>
      <c r="E2178" s="394" t="s">
        <v>5228</v>
      </c>
      <c r="G2178" s="405" t="s">
        <v>5225</v>
      </c>
      <c r="H2178" s="74">
        <v>2051</v>
      </c>
      <c r="I2178" s="50" t="s">
        <v>2</v>
      </c>
      <c r="J2178" s="74" t="s">
        <v>5228</v>
      </c>
      <c r="K2178" s="51">
        <v>41345</v>
      </c>
      <c r="L2178" s="173">
        <v>41341</v>
      </c>
      <c r="M2178" s="50">
        <f t="shared" si="122"/>
        <v>4</v>
      </c>
      <c r="N2178" s="50" t="s">
        <v>2</v>
      </c>
      <c r="O2178" s="74">
        <v>1.1000000000000001</v>
      </c>
      <c r="P2178" s="50">
        <v>6.8</v>
      </c>
      <c r="Q2178" s="74">
        <v>7.4</v>
      </c>
      <c r="R2178" s="50">
        <v>38</v>
      </c>
      <c r="S2178" s="74">
        <v>24.5</v>
      </c>
      <c r="T2178" s="50">
        <v>0.16</v>
      </c>
      <c r="U2178" s="131">
        <v>2</v>
      </c>
      <c r="V2178" s="50">
        <v>2.35</v>
      </c>
      <c r="W2178" s="74">
        <v>0.01</v>
      </c>
      <c r="X2178" s="50">
        <v>4.4999999999999998E-2</v>
      </c>
      <c r="Y2178" s="74">
        <v>6.0000000000000001E-3</v>
      </c>
      <c r="Z2178" s="165">
        <v>1</v>
      </c>
      <c r="AA2178" s="271">
        <v>1</v>
      </c>
      <c r="AB2178" s="114">
        <v>160</v>
      </c>
      <c r="AC2178" s="50">
        <v>1346</v>
      </c>
      <c r="AD2178" s="271">
        <v>1</v>
      </c>
    </row>
    <row r="2179" spans="1:30" ht="15" customHeight="1">
      <c r="A2179" s="41" t="s">
        <v>183</v>
      </c>
      <c r="B2179" s="402" t="s">
        <v>5226</v>
      </c>
      <c r="D2179" s="393" t="s">
        <v>567</v>
      </c>
      <c r="E2179" s="394" t="s">
        <v>5227</v>
      </c>
      <c r="G2179" s="405" t="s">
        <v>5225</v>
      </c>
      <c r="H2179" s="74">
        <v>2051</v>
      </c>
      <c r="I2179" s="50" t="s">
        <v>2</v>
      </c>
      <c r="J2179" s="74" t="s">
        <v>5227</v>
      </c>
      <c r="K2179" s="51">
        <v>41529</v>
      </c>
      <c r="L2179" s="173">
        <v>41513</v>
      </c>
      <c r="M2179" s="50">
        <f t="shared" si="122"/>
        <v>16</v>
      </c>
      <c r="N2179" s="50" t="s">
        <v>2</v>
      </c>
      <c r="O2179" s="74">
        <f>1/2</f>
        <v>0.5</v>
      </c>
      <c r="P2179" s="50">
        <v>6.4</v>
      </c>
      <c r="Q2179" s="74">
        <v>6.8</v>
      </c>
      <c r="R2179" s="50">
        <v>34</v>
      </c>
      <c r="S2179" s="74">
        <v>24.5</v>
      </c>
      <c r="T2179" s="50">
        <v>0.28999999999999998</v>
      </c>
      <c r="U2179" s="131">
        <v>1.4</v>
      </c>
      <c r="V2179" s="50">
        <v>0.62</v>
      </c>
      <c r="W2179" s="74">
        <v>1.2999999999999999E-2</v>
      </c>
      <c r="X2179" s="50">
        <v>6.3E-2</v>
      </c>
      <c r="Y2179" s="74">
        <f>0.005/2</f>
        <v>2.5000000000000001E-3</v>
      </c>
      <c r="Z2179" s="165">
        <v>1</v>
      </c>
      <c r="AA2179" s="271">
        <v>1</v>
      </c>
      <c r="AB2179" s="114">
        <v>40</v>
      </c>
      <c r="AC2179" s="50">
        <v>165</v>
      </c>
      <c r="AD2179" s="271">
        <v>1</v>
      </c>
    </row>
    <row r="2180" spans="1:30" ht="15" customHeight="1">
      <c r="A2180" s="41" t="s">
        <v>183</v>
      </c>
      <c r="B2180" s="402" t="s">
        <v>5226</v>
      </c>
      <c r="D2180" s="393" t="s">
        <v>567</v>
      </c>
      <c r="E2180" s="394" t="s">
        <v>5228</v>
      </c>
      <c r="G2180" s="405" t="s">
        <v>5225</v>
      </c>
      <c r="H2180" s="74">
        <v>2051</v>
      </c>
      <c r="I2180" s="50" t="s">
        <v>2</v>
      </c>
      <c r="J2180" s="74" t="s">
        <v>5228</v>
      </c>
      <c r="K2180" s="51">
        <v>41529</v>
      </c>
      <c r="L2180" s="173">
        <v>41513</v>
      </c>
      <c r="M2180" s="50">
        <f t="shared" si="122"/>
        <v>16</v>
      </c>
      <c r="N2180" s="50" t="s">
        <v>2</v>
      </c>
      <c r="O2180" s="74">
        <f>1/2</f>
        <v>0.5</v>
      </c>
      <c r="P2180" s="50">
        <v>6.4</v>
      </c>
      <c r="Q2180" s="74">
        <v>6.9</v>
      </c>
      <c r="R2180" s="50">
        <v>42</v>
      </c>
      <c r="S2180" s="74">
        <v>30</v>
      </c>
      <c r="T2180" s="50">
        <v>0.31</v>
      </c>
      <c r="U2180" s="131">
        <v>1.4</v>
      </c>
      <c r="V2180" s="50">
        <v>0.63</v>
      </c>
      <c r="W2180" s="74">
        <v>1.4999999999999999E-2</v>
      </c>
      <c r="X2180" s="50">
        <v>6.9000000000000006E-2</v>
      </c>
      <c r="Y2180" s="74">
        <f>0.005/2</f>
        <v>2.5000000000000001E-3</v>
      </c>
      <c r="Z2180" s="165">
        <v>1</v>
      </c>
      <c r="AA2180" s="271">
        <v>1</v>
      </c>
      <c r="AB2180" s="114">
        <v>42</v>
      </c>
      <c r="AC2180" s="50">
        <v>161</v>
      </c>
      <c r="AD2180" s="271">
        <v>1</v>
      </c>
    </row>
    <row r="2181" spans="1:30" ht="15" customHeight="1">
      <c r="A2181" s="41" t="s">
        <v>183</v>
      </c>
      <c r="B2181" s="402" t="s">
        <v>1286</v>
      </c>
      <c r="C2181" s="113" t="s">
        <v>1334</v>
      </c>
      <c r="D2181" s="393" t="s">
        <v>1569</v>
      </c>
      <c r="E2181" s="394" t="s">
        <v>1335</v>
      </c>
      <c r="G2181" s="405" t="s">
        <v>1336</v>
      </c>
      <c r="H2181" s="74">
        <v>4151</v>
      </c>
      <c r="I2181" s="50" t="s">
        <v>2</v>
      </c>
      <c r="J2181" s="339" t="s">
        <v>81</v>
      </c>
      <c r="K2181" s="51">
        <v>41030</v>
      </c>
      <c r="L2181" s="173">
        <v>41022</v>
      </c>
      <c r="M2181" s="50">
        <f t="shared" si="122"/>
        <v>8</v>
      </c>
      <c r="N2181" s="50" t="s">
        <v>2</v>
      </c>
      <c r="O2181" s="74">
        <v>1.6</v>
      </c>
      <c r="P2181" s="50">
        <v>6.45</v>
      </c>
      <c r="Q2181" s="74">
        <v>7.77</v>
      </c>
      <c r="R2181" s="50">
        <v>17.2</v>
      </c>
      <c r="S2181" s="74">
        <v>27.5</v>
      </c>
      <c r="T2181" s="50">
        <f>0.05/2</f>
        <v>2.5000000000000001E-2</v>
      </c>
      <c r="U2181" s="131">
        <v>0.97</v>
      </c>
      <c r="V2181" s="50">
        <v>0.21</v>
      </c>
      <c r="W2181" s="74">
        <f>0.01/2</f>
        <v>5.0000000000000001E-3</v>
      </c>
      <c r="X2181" s="50">
        <v>0.01</v>
      </c>
      <c r="Y2181" s="74">
        <f>0.02/2</f>
        <v>0.01</v>
      </c>
      <c r="Z2181" s="165"/>
    </row>
    <row r="2182" spans="1:30" ht="15" customHeight="1">
      <c r="A2182" s="41" t="s">
        <v>183</v>
      </c>
      <c r="B2182" s="402" t="s">
        <v>3198</v>
      </c>
      <c r="C2182" s="113" t="s">
        <v>3202</v>
      </c>
      <c r="D2182" s="393" t="s">
        <v>559</v>
      </c>
      <c r="E2182" s="394" t="s">
        <v>560</v>
      </c>
      <c r="G2182" s="405" t="s">
        <v>3203</v>
      </c>
      <c r="H2182" s="74">
        <v>4151</v>
      </c>
      <c r="I2182" s="50" t="s">
        <v>2</v>
      </c>
      <c r="J2182" s="339" t="s">
        <v>3144</v>
      </c>
      <c r="K2182" s="51">
        <v>41508</v>
      </c>
      <c r="L2182" s="173">
        <v>41495</v>
      </c>
      <c r="M2182" s="50">
        <f t="shared" si="122"/>
        <v>13</v>
      </c>
      <c r="N2182" s="50" t="s">
        <v>2</v>
      </c>
      <c r="O2182" s="74">
        <f>2/2</f>
        <v>1</v>
      </c>
      <c r="P2182" s="50">
        <v>6.5</v>
      </c>
      <c r="Q2182" s="74">
        <v>6.7</v>
      </c>
      <c r="R2182" s="50">
        <v>32</v>
      </c>
      <c r="S2182" s="74">
        <v>76</v>
      </c>
      <c r="T2182" s="50">
        <v>0.1</v>
      </c>
      <c r="U2182" s="131">
        <v>1.5</v>
      </c>
      <c r="V2182" s="50">
        <v>1.63</v>
      </c>
      <c r="W2182" s="74">
        <v>1.6E-2</v>
      </c>
      <c r="X2182" s="50">
        <v>5.1999999999999998E-2</v>
      </c>
      <c r="Y2182" s="74">
        <f>0.03/2</f>
        <v>1.4999999999999999E-2</v>
      </c>
      <c r="Z2182" s="165"/>
    </row>
    <row r="2183" spans="1:30" ht="15" customHeight="1">
      <c r="A2183" s="41" t="s">
        <v>183</v>
      </c>
      <c r="B2183" s="402" t="s">
        <v>3198</v>
      </c>
      <c r="C2183" s="113" t="s">
        <v>3202</v>
      </c>
      <c r="D2183" s="393" t="s">
        <v>559</v>
      </c>
      <c r="E2183" s="394" t="s">
        <v>560</v>
      </c>
      <c r="G2183" s="405" t="s">
        <v>3203</v>
      </c>
      <c r="H2183" s="74">
        <v>4151</v>
      </c>
      <c r="I2183" s="50" t="s">
        <v>2</v>
      </c>
      <c r="J2183" s="339" t="s">
        <v>3144</v>
      </c>
      <c r="K2183" s="51">
        <v>41689</v>
      </c>
      <c r="L2183" s="173">
        <v>41643</v>
      </c>
      <c r="M2183" s="50">
        <f t="shared" si="122"/>
        <v>46</v>
      </c>
      <c r="N2183" s="50" t="s">
        <v>2</v>
      </c>
      <c r="S2183" s="74">
        <v>104</v>
      </c>
      <c r="Z2183" s="165"/>
    </row>
    <row r="2184" spans="1:30" ht="15" customHeight="1">
      <c r="A2184" s="41" t="s">
        <v>183</v>
      </c>
      <c r="B2184" s="386" t="s">
        <v>956</v>
      </c>
      <c r="C2184" s="149" t="s">
        <v>378</v>
      </c>
      <c r="D2184" s="392" t="s">
        <v>379</v>
      </c>
      <c r="E2184" s="258" t="s">
        <v>214</v>
      </c>
      <c r="F2184" s="386"/>
      <c r="G2184" s="389" t="s">
        <v>380</v>
      </c>
      <c r="H2184" s="55">
        <v>4151</v>
      </c>
      <c r="I2184" s="54" t="s">
        <v>2</v>
      </c>
      <c r="J2184" s="61" t="s">
        <v>81</v>
      </c>
      <c r="K2184" s="51">
        <v>41110</v>
      </c>
      <c r="L2184" s="173">
        <v>41108</v>
      </c>
      <c r="M2184" s="50">
        <f t="shared" si="122"/>
        <v>2</v>
      </c>
      <c r="N2184" s="50" t="s">
        <v>2</v>
      </c>
      <c r="O2184" s="74">
        <f>2/2</f>
        <v>1</v>
      </c>
      <c r="P2184" s="50">
        <v>6.2</v>
      </c>
      <c r="Q2184" s="74">
        <v>7.4</v>
      </c>
      <c r="R2184" s="50">
        <v>14</v>
      </c>
      <c r="S2184" s="74">
        <v>4</v>
      </c>
      <c r="T2184" s="50">
        <f>0.05/2</f>
        <v>2.5000000000000001E-2</v>
      </c>
      <c r="U2184" s="131">
        <v>0.38</v>
      </c>
      <c r="V2184" s="50">
        <v>1.1100000000000001</v>
      </c>
      <c r="W2184" s="74">
        <f>0.01/2</f>
        <v>5.0000000000000001E-3</v>
      </c>
      <c r="X2184" s="50">
        <f>0.03/2</f>
        <v>1.4999999999999999E-2</v>
      </c>
      <c r="Y2184" s="74">
        <f>0.03/2</f>
        <v>1.4999999999999999E-2</v>
      </c>
      <c r="Z2184" s="165">
        <v>1</v>
      </c>
      <c r="AA2184" s="271">
        <v>1</v>
      </c>
      <c r="AB2184" s="114">
        <v>30</v>
      </c>
      <c r="AC2184" s="50">
        <v>141</v>
      </c>
      <c r="AD2184" s="271">
        <v>1</v>
      </c>
    </row>
    <row r="2185" spans="1:30" ht="15" customHeight="1">
      <c r="A2185" s="41" t="s">
        <v>183</v>
      </c>
      <c r="B2185" s="386" t="s">
        <v>956</v>
      </c>
      <c r="C2185" s="149" t="s">
        <v>378</v>
      </c>
      <c r="D2185" s="392" t="s">
        <v>379</v>
      </c>
      <c r="E2185" s="258" t="s">
        <v>214</v>
      </c>
      <c r="F2185" s="386"/>
      <c r="G2185" s="389" t="s">
        <v>380</v>
      </c>
      <c r="H2185" s="55">
        <v>4151</v>
      </c>
      <c r="I2185" s="54" t="s">
        <v>2</v>
      </c>
      <c r="J2185" s="61" t="s">
        <v>81</v>
      </c>
      <c r="K2185" s="51">
        <v>41345</v>
      </c>
      <c r="L2185" s="173">
        <v>41341</v>
      </c>
      <c r="M2185" s="50">
        <f t="shared" si="122"/>
        <v>4</v>
      </c>
      <c r="N2185" s="50" t="s">
        <v>2</v>
      </c>
      <c r="O2185" s="74">
        <f>2/2</f>
        <v>1</v>
      </c>
      <c r="P2185" s="50">
        <v>6.8</v>
      </c>
      <c r="Q2185" s="74">
        <v>7.1</v>
      </c>
      <c r="R2185" s="50">
        <f>10/2</f>
        <v>5</v>
      </c>
      <c r="S2185" s="74">
        <v>11</v>
      </c>
      <c r="T2185" s="50">
        <f>0.05/2</f>
        <v>2.5000000000000001E-2</v>
      </c>
      <c r="U2185" s="131">
        <v>0.35</v>
      </c>
      <c r="V2185" s="50">
        <v>1.61</v>
      </c>
      <c r="W2185" s="74">
        <f>0.01/2</f>
        <v>5.0000000000000001E-3</v>
      </c>
      <c r="X2185" s="50">
        <v>3.5999999999999997E-2</v>
      </c>
      <c r="Y2185" s="74">
        <f>0.03/2</f>
        <v>1.4999999999999999E-2</v>
      </c>
      <c r="Z2185" s="165"/>
    </row>
    <row r="2186" spans="1:30" ht="15" customHeight="1">
      <c r="A2186" s="41" t="s">
        <v>183</v>
      </c>
      <c r="B2186" s="402" t="s">
        <v>3198</v>
      </c>
      <c r="C2186" s="113" t="s">
        <v>3199</v>
      </c>
      <c r="D2186" s="393" t="s">
        <v>443</v>
      </c>
      <c r="E2186" s="394" t="s">
        <v>3200</v>
      </c>
      <c r="G2186" s="405" t="s">
        <v>3201</v>
      </c>
      <c r="H2186" s="74">
        <v>4151</v>
      </c>
      <c r="I2186" s="50" t="s">
        <v>2</v>
      </c>
      <c r="J2186" s="339" t="s">
        <v>3144</v>
      </c>
      <c r="K2186" s="51">
        <v>41136</v>
      </c>
      <c r="L2186" s="173">
        <v>41132</v>
      </c>
      <c r="M2186" s="50">
        <f t="shared" si="122"/>
        <v>4</v>
      </c>
      <c r="N2186" s="50" t="s">
        <v>2</v>
      </c>
      <c r="O2186" s="74">
        <f>2/2</f>
        <v>1</v>
      </c>
      <c r="P2186" s="50">
        <v>6.4</v>
      </c>
      <c r="Q2186" s="74">
        <v>6.6</v>
      </c>
      <c r="R2186" s="50">
        <v>19</v>
      </c>
      <c r="S2186" s="74">
        <v>343</v>
      </c>
      <c r="T2186" s="50">
        <v>0.35</v>
      </c>
      <c r="U2186" s="131">
        <v>1.0900000000000001</v>
      </c>
      <c r="V2186" s="50">
        <v>0.3</v>
      </c>
      <c r="W2186" s="74">
        <v>2.7E-2</v>
      </c>
      <c r="X2186" s="50">
        <v>0.08</v>
      </c>
      <c r="Y2186" s="74">
        <f>0.03/2</f>
        <v>1.4999999999999999E-2</v>
      </c>
      <c r="Z2186" s="165"/>
    </row>
    <row r="2187" spans="1:30" ht="15" customHeight="1">
      <c r="A2187" s="41" t="s">
        <v>183</v>
      </c>
      <c r="B2187" s="402" t="s">
        <v>1286</v>
      </c>
      <c r="C2187" s="113" t="s">
        <v>2220</v>
      </c>
      <c r="D2187" s="393" t="s">
        <v>735</v>
      </c>
      <c r="E2187" s="394" t="s">
        <v>888</v>
      </c>
      <c r="G2187" s="405" t="s">
        <v>2221</v>
      </c>
      <c r="H2187" s="74">
        <v>4151</v>
      </c>
      <c r="I2187" s="50" t="s">
        <v>2</v>
      </c>
      <c r="J2187" s="339" t="s">
        <v>1125</v>
      </c>
      <c r="K2187" s="51">
        <v>41495</v>
      </c>
      <c r="L2187" s="173">
        <v>41489</v>
      </c>
      <c r="M2187" s="50">
        <f t="shared" si="122"/>
        <v>6</v>
      </c>
      <c r="N2187" s="50" t="s">
        <v>2</v>
      </c>
      <c r="O2187" s="74">
        <f>2/2</f>
        <v>1</v>
      </c>
      <c r="P2187" s="50">
        <v>5</v>
      </c>
      <c r="Q2187" s="74">
        <v>6.7</v>
      </c>
      <c r="R2187" s="50">
        <v>22</v>
      </c>
      <c r="S2187" s="74">
        <v>16</v>
      </c>
      <c r="T2187" s="50">
        <v>0.13</v>
      </c>
      <c r="U2187" s="131">
        <v>0.94</v>
      </c>
      <c r="V2187" s="50">
        <v>1.02</v>
      </c>
      <c r="W2187" s="74">
        <v>1.0999999999999999E-2</v>
      </c>
      <c r="X2187" s="50">
        <v>7.9000000000000001E-2</v>
      </c>
      <c r="Y2187" s="74">
        <f>0.03/2</f>
        <v>1.4999999999999999E-2</v>
      </c>
      <c r="Z2187" s="165"/>
    </row>
    <row r="2188" spans="1:30" ht="15" customHeight="1">
      <c r="A2188" s="41" t="s">
        <v>183</v>
      </c>
      <c r="B2188" s="386" t="s">
        <v>956</v>
      </c>
      <c r="C2188" s="149" t="s">
        <v>4034</v>
      </c>
      <c r="D2188" s="392" t="s">
        <v>372</v>
      </c>
      <c r="E2188" s="258" t="s">
        <v>235</v>
      </c>
      <c r="F2188" s="386"/>
      <c r="G2188" s="389" t="s">
        <v>373</v>
      </c>
      <c r="H2188" s="55">
        <v>4151</v>
      </c>
      <c r="I2188" s="54" t="s">
        <v>2</v>
      </c>
      <c r="J2188" s="48" t="s">
        <v>1125</v>
      </c>
      <c r="K2188" s="51">
        <v>41605</v>
      </c>
      <c r="L2188" s="173">
        <v>41596</v>
      </c>
      <c r="M2188" s="50">
        <f t="shared" si="122"/>
        <v>9</v>
      </c>
      <c r="N2188" s="50" t="s">
        <v>2</v>
      </c>
      <c r="X2188" s="50">
        <v>0.09</v>
      </c>
      <c r="Z2188" s="165"/>
    </row>
    <row r="2189" spans="1:30" ht="15" customHeight="1">
      <c r="A2189" s="41" t="s">
        <v>183</v>
      </c>
      <c r="B2189" s="386" t="s">
        <v>956</v>
      </c>
      <c r="C2189" s="149" t="s">
        <v>1008</v>
      </c>
      <c r="D2189" s="392" t="s">
        <v>78</v>
      </c>
      <c r="E2189" s="258" t="s">
        <v>4467</v>
      </c>
      <c r="G2189" s="405" t="s">
        <v>555</v>
      </c>
      <c r="H2189" s="74">
        <v>4151</v>
      </c>
      <c r="I2189" s="50" t="s">
        <v>2</v>
      </c>
      <c r="J2189" s="339" t="s">
        <v>3144</v>
      </c>
      <c r="K2189" s="51">
        <v>41669</v>
      </c>
      <c r="L2189" s="173">
        <v>41650</v>
      </c>
      <c r="M2189" s="402">
        <f t="shared" si="122"/>
        <v>19</v>
      </c>
      <c r="N2189" s="50" t="s">
        <v>2</v>
      </c>
      <c r="S2189" s="74">
        <v>23</v>
      </c>
      <c r="Z2189" s="165"/>
    </row>
    <row r="2190" spans="1:30" ht="15" customHeight="1">
      <c r="A2190" s="41" t="s">
        <v>183</v>
      </c>
      <c r="B2190" s="402" t="s">
        <v>956</v>
      </c>
      <c r="C2190" s="149" t="s">
        <v>367</v>
      </c>
      <c r="D2190" s="392" t="s">
        <v>368</v>
      </c>
      <c r="E2190" s="258" t="s">
        <v>369</v>
      </c>
      <c r="F2190" s="386"/>
      <c r="G2190" s="389" t="s">
        <v>370</v>
      </c>
      <c r="H2190" s="55">
        <v>4151</v>
      </c>
      <c r="I2190" s="54" t="s">
        <v>2</v>
      </c>
      <c r="J2190" s="61" t="s">
        <v>3144</v>
      </c>
      <c r="K2190" s="51">
        <v>41631</v>
      </c>
      <c r="L2190" s="173">
        <v>41625</v>
      </c>
      <c r="M2190" s="50">
        <f t="shared" ref="M2190:M2207" si="123">K2190-L2190</f>
        <v>6</v>
      </c>
      <c r="N2190" s="50" t="s">
        <v>2</v>
      </c>
      <c r="X2190" s="50">
        <v>0.43</v>
      </c>
      <c r="Z2190" s="165"/>
    </row>
    <row r="2191" spans="1:30" ht="15" customHeight="1">
      <c r="A2191" s="41" t="s">
        <v>183</v>
      </c>
      <c r="B2191" s="402" t="s">
        <v>956</v>
      </c>
      <c r="C2191" s="113" t="s">
        <v>5229</v>
      </c>
      <c r="D2191" s="393" t="s">
        <v>1881</v>
      </c>
      <c r="G2191" s="405" t="s">
        <v>5230</v>
      </c>
      <c r="H2191" s="74">
        <v>4151</v>
      </c>
      <c r="I2191" s="50" t="s">
        <v>2</v>
      </c>
      <c r="J2191" s="339" t="s">
        <v>3144</v>
      </c>
      <c r="K2191" s="51">
        <v>41645</v>
      </c>
      <c r="L2191" s="173">
        <v>41637</v>
      </c>
      <c r="M2191" s="50">
        <f t="shared" si="123"/>
        <v>8</v>
      </c>
      <c r="N2191" s="50" t="s">
        <v>2</v>
      </c>
      <c r="O2191" s="74">
        <f>1/2</f>
        <v>0.5</v>
      </c>
      <c r="P2191" s="50">
        <v>7.13</v>
      </c>
      <c r="Q2191" s="74">
        <v>7.02</v>
      </c>
      <c r="R2191" s="50">
        <v>6.8</v>
      </c>
      <c r="S2191" s="74">
        <v>3.5</v>
      </c>
      <c r="T2191" s="50">
        <v>0.33</v>
      </c>
      <c r="U2191" s="131">
        <v>0.63</v>
      </c>
      <c r="V2191" s="50">
        <f>0.2/2</f>
        <v>0.1</v>
      </c>
      <c r="W2191" s="74">
        <f>0.01/2</f>
        <v>5.0000000000000001E-3</v>
      </c>
      <c r="X2191" s="50">
        <v>0.04</v>
      </c>
      <c r="Y2191" s="74">
        <f>0.02/2</f>
        <v>0.01</v>
      </c>
      <c r="Z2191" s="165">
        <v>1</v>
      </c>
      <c r="AA2191" s="271">
        <v>1</v>
      </c>
      <c r="AB2191" s="114">
        <v>9.98</v>
      </c>
      <c r="AC2191" s="50">
        <v>75</v>
      </c>
      <c r="AD2191" s="271">
        <v>0.85</v>
      </c>
    </row>
    <row r="2192" spans="1:30" ht="15" customHeight="1">
      <c r="A2192" s="41" t="s">
        <v>183</v>
      </c>
      <c r="B2192" s="402" t="s">
        <v>5231</v>
      </c>
      <c r="C2192" s="113" t="s">
        <v>5232</v>
      </c>
      <c r="D2192" s="393" t="s">
        <v>41</v>
      </c>
      <c r="E2192" s="394" t="s">
        <v>2286</v>
      </c>
      <c r="F2192" s="402" t="s">
        <v>961</v>
      </c>
      <c r="G2192" s="405" t="s">
        <v>2287</v>
      </c>
      <c r="H2192" s="74">
        <v>4225</v>
      </c>
      <c r="I2192" s="50" t="s">
        <v>2</v>
      </c>
      <c r="J2192" s="339" t="s">
        <v>1126</v>
      </c>
      <c r="K2192" s="51">
        <v>41499</v>
      </c>
      <c r="L2192" s="173">
        <v>41495</v>
      </c>
      <c r="M2192" s="50">
        <f t="shared" si="123"/>
        <v>4</v>
      </c>
      <c r="N2192" s="50" t="s">
        <v>2</v>
      </c>
      <c r="O2192" s="74">
        <f>1.7/2</f>
        <v>0.85</v>
      </c>
      <c r="P2192" s="50">
        <v>5.2</v>
      </c>
      <c r="Q2192" s="74">
        <v>6.9</v>
      </c>
      <c r="R2192" s="50">
        <v>23</v>
      </c>
      <c r="S2192" s="74">
        <v>3.8</v>
      </c>
      <c r="T2192" s="50">
        <v>6.0999999999999999E-2</v>
      </c>
      <c r="U2192" s="131">
        <v>1.8</v>
      </c>
      <c r="V2192" s="50">
        <v>0.76</v>
      </c>
      <c r="W2192" s="74">
        <v>5.0000000000000001E-3</v>
      </c>
      <c r="X2192" s="50">
        <v>0.33600000000000002</v>
      </c>
      <c r="Y2192" s="74">
        <f>0.005/2</f>
        <v>2.5000000000000001E-3</v>
      </c>
      <c r="Z2192" s="165">
        <v>0.93899999999999995</v>
      </c>
      <c r="AA2192" s="271">
        <v>0.61599999999999999</v>
      </c>
      <c r="AB2192" s="114">
        <v>10</v>
      </c>
      <c r="AC2192" s="50">
        <v>35</v>
      </c>
      <c r="AD2192" s="271">
        <v>0</v>
      </c>
    </row>
    <row r="2193" spans="1:33" ht="15" customHeight="1">
      <c r="A2193" s="41" t="s">
        <v>183</v>
      </c>
      <c r="B2193" s="402" t="s">
        <v>5233</v>
      </c>
      <c r="D2193" s="393" t="s">
        <v>200</v>
      </c>
      <c r="E2193" s="394" t="s">
        <v>214</v>
      </c>
      <c r="G2193" s="405" t="s">
        <v>5234</v>
      </c>
      <c r="H2193" s="74">
        <v>2875</v>
      </c>
      <c r="I2193" s="50" t="s">
        <v>1</v>
      </c>
      <c r="J2193" s="339" t="s">
        <v>5235</v>
      </c>
      <c r="K2193" s="51">
        <v>41539</v>
      </c>
      <c r="L2193" s="173">
        <v>41530</v>
      </c>
      <c r="M2193" s="50">
        <f t="shared" si="123"/>
        <v>9</v>
      </c>
      <c r="N2193" s="50" t="s">
        <v>2</v>
      </c>
      <c r="O2193" s="74">
        <f>2/2</f>
        <v>1</v>
      </c>
      <c r="P2193" s="50">
        <v>6.8</v>
      </c>
      <c r="Q2193" s="74">
        <v>6.8</v>
      </c>
      <c r="R2193" s="50">
        <v>14</v>
      </c>
      <c r="S2193" s="74">
        <v>3</v>
      </c>
      <c r="T2193" s="50">
        <f>0.05/2</f>
        <v>2.5000000000000001E-2</v>
      </c>
      <c r="U2193" s="131">
        <v>0.25</v>
      </c>
      <c r="V2193" s="50">
        <f>0.1/2</f>
        <v>0.05</v>
      </c>
      <c r="W2193" s="74">
        <f>0.01/2</f>
        <v>5.0000000000000001E-3</v>
      </c>
      <c r="X2193" s="50">
        <f>0.03/2</f>
        <v>1.4999999999999999E-2</v>
      </c>
      <c r="Y2193" s="74">
        <f>0.03/2</f>
        <v>1.4999999999999999E-2</v>
      </c>
      <c r="Z2193" s="165">
        <v>1</v>
      </c>
      <c r="AA2193" s="271">
        <v>1</v>
      </c>
      <c r="AB2193" s="114">
        <v>4</v>
      </c>
      <c r="AC2193" s="50">
        <v>12</v>
      </c>
      <c r="AD2193" s="271">
        <v>0.95</v>
      </c>
    </row>
    <row r="2194" spans="1:33" ht="15" customHeight="1">
      <c r="A2194" s="41" t="s">
        <v>183</v>
      </c>
      <c r="B2194" s="402" t="s">
        <v>5236</v>
      </c>
      <c r="D2194" s="393" t="s">
        <v>268</v>
      </c>
      <c r="E2194" s="394" t="s">
        <v>5237</v>
      </c>
      <c r="G2194" s="405" t="s">
        <v>5238</v>
      </c>
      <c r="H2194" s="74">
        <v>3471</v>
      </c>
      <c r="I2194" s="50" t="s">
        <v>2</v>
      </c>
      <c r="J2194" s="339" t="s">
        <v>249</v>
      </c>
      <c r="K2194" s="51">
        <v>41316</v>
      </c>
      <c r="L2194" s="173">
        <v>41305</v>
      </c>
      <c r="M2194" s="50">
        <f t="shared" si="123"/>
        <v>11</v>
      </c>
      <c r="N2194" s="50" t="s">
        <v>2</v>
      </c>
      <c r="O2194" s="74">
        <f>1.9/2</f>
        <v>0.95</v>
      </c>
      <c r="Q2194" s="74">
        <v>6.9</v>
      </c>
      <c r="R2194" s="50">
        <v>35</v>
      </c>
      <c r="S2194" s="74">
        <v>17.7</v>
      </c>
      <c r="T2194" s="50">
        <v>3.01</v>
      </c>
      <c r="U2194" s="131">
        <v>6</v>
      </c>
      <c r="V2194" s="50">
        <v>0.54</v>
      </c>
      <c r="W2194" s="74">
        <v>1.9E-2</v>
      </c>
      <c r="X2194" s="50">
        <v>2.4500000000000002</v>
      </c>
      <c r="Y2194" s="74">
        <v>4.0800000000000003E-2</v>
      </c>
      <c r="Z2194" s="165"/>
    </row>
    <row r="2195" spans="1:33" ht="15" customHeight="1">
      <c r="A2195" s="41" t="s">
        <v>183</v>
      </c>
      <c r="B2195" s="402" t="s">
        <v>5236</v>
      </c>
      <c r="D2195" s="393" t="s">
        <v>268</v>
      </c>
      <c r="E2195" s="394" t="s">
        <v>5237</v>
      </c>
      <c r="G2195" s="405" t="s">
        <v>5238</v>
      </c>
      <c r="H2195" s="74">
        <v>3471</v>
      </c>
      <c r="I2195" s="50" t="s">
        <v>2</v>
      </c>
      <c r="J2195" s="339" t="s">
        <v>249</v>
      </c>
      <c r="K2195" s="51">
        <v>41495</v>
      </c>
      <c r="L2195" s="173">
        <v>41488</v>
      </c>
      <c r="M2195" s="50">
        <f t="shared" si="123"/>
        <v>7</v>
      </c>
      <c r="N2195" s="50" t="s">
        <v>2</v>
      </c>
      <c r="O2195" s="74">
        <f>1.6/2</f>
        <v>0.8</v>
      </c>
      <c r="P2195" s="50">
        <v>6.5</v>
      </c>
      <c r="Q2195" s="74">
        <v>6.9</v>
      </c>
      <c r="R2195" s="50">
        <f>20/2</f>
        <v>10</v>
      </c>
      <c r="S2195" s="74">
        <v>3.6</v>
      </c>
      <c r="T2195" s="50">
        <v>1.67</v>
      </c>
      <c r="U2195" s="131">
        <v>2.1</v>
      </c>
      <c r="V2195" s="50">
        <v>0.54</v>
      </c>
      <c r="W2195" s="74">
        <v>8.9999999999999993E-3</v>
      </c>
      <c r="X2195" s="50">
        <v>0.52300000000000002</v>
      </c>
      <c r="Y2195" s="74">
        <v>6.4600000000000005E-2</v>
      </c>
      <c r="Z2195" s="165"/>
    </row>
    <row r="2196" spans="1:33" ht="15" customHeight="1">
      <c r="A2196" s="41" t="s">
        <v>183</v>
      </c>
      <c r="B2196" s="402" t="s">
        <v>4722</v>
      </c>
      <c r="D2196" s="393" t="s">
        <v>827</v>
      </c>
      <c r="E2196" s="394" t="s">
        <v>1413</v>
      </c>
      <c r="G2196" s="405" t="s">
        <v>1414</v>
      </c>
      <c r="H2196" s="74">
        <v>3069</v>
      </c>
      <c r="I2196" s="50" t="s">
        <v>2</v>
      </c>
      <c r="J2196" s="339" t="s">
        <v>4723</v>
      </c>
      <c r="K2196" s="51">
        <v>41527</v>
      </c>
      <c r="L2196" s="173">
        <v>41522</v>
      </c>
      <c r="M2196" s="50">
        <f t="shared" si="123"/>
        <v>5</v>
      </c>
      <c r="N2196" s="50" t="s">
        <v>2</v>
      </c>
      <c r="O2196" s="74">
        <f>1.1/2</f>
        <v>0.55000000000000004</v>
      </c>
      <c r="P2196" s="50">
        <v>6</v>
      </c>
      <c r="Q2196" s="74">
        <v>6.8</v>
      </c>
      <c r="R2196" s="50">
        <v>28</v>
      </c>
      <c r="S2196" s="74">
        <v>3.7</v>
      </c>
      <c r="T2196" s="50">
        <v>4.4999999999999998E-2</v>
      </c>
      <c r="U2196" s="131">
        <v>0.67</v>
      </c>
      <c r="V2196" s="50">
        <v>0.45</v>
      </c>
      <c r="W2196" s="74">
        <v>3.2000000000000002E-3</v>
      </c>
      <c r="X2196" s="50">
        <v>9.7000000000000003E-2</v>
      </c>
      <c r="Y2196" s="74">
        <f>0.002/2</f>
        <v>1E-3</v>
      </c>
      <c r="Z2196" s="165">
        <v>1</v>
      </c>
      <c r="AA2196" s="271">
        <v>1</v>
      </c>
      <c r="AB2196" s="114">
        <v>16</v>
      </c>
      <c r="AC2196" s="50">
        <v>96</v>
      </c>
      <c r="AD2196" s="271">
        <v>1</v>
      </c>
    </row>
    <row r="2197" spans="1:33" ht="15" customHeight="1">
      <c r="A2197" s="41" t="s">
        <v>183</v>
      </c>
      <c r="B2197" s="402" t="s">
        <v>4722</v>
      </c>
      <c r="D2197" s="393" t="s">
        <v>827</v>
      </c>
      <c r="E2197" s="394" t="s">
        <v>1413</v>
      </c>
      <c r="G2197" s="405" t="s">
        <v>1414</v>
      </c>
      <c r="H2197" s="74">
        <v>3069</v>
      </c>
      <c r="I2197" s="50" t="s">
        <v>2</v>
      </c>
      <c r="J2197" s="339" t="s">
        <v>4724</v>
      </c>
      <c r="K2197" s="51">
        <v>41527</v>
      </c>
      <c r="L2197" s="173">
        <v>41522</v>
      </c>
      <c r="M2197" s="50">
        <f t="shared" si="123"/>
        <v>5</v>
      </c>
      <c r="N2197" s="50" t="s">
        <v>2</v>
      </c>
      <c r="O2197" s="74">
        <f>1.3/2</f>
        <v>0.65</v>
      </c>
      <c r="P2197" s="50">
        <v>6</v>
      </c>
      <c r="Q2197" s="74">
        <v>7</v>
      </c>
      <c r="R2197" s="50">
        <v>38</v>
      </c>
      <c r="S2197" s="74">
        <v>3.5</v>
      </c>
      <c r="T2197" s="50">
        <v>3.9E-2</v>
      </c>
      <c r="U2197" s="131">
        <v>0.97</v>
      </c>
      <c r="V2197" s="50">
        <v>1.1000000000000001</v>
      </c>
      <c r="W2197" s="74">
        <v>3.2000000000000001E-2</v>
      </c>
      <c r="X2197" s="50">
        <v>0.14000000000000001</v>
      </c>
      <c r="Y2197" s="74">
        <v>9.1999999999999998E-3</v>
      </c>
      <c r="Z2197" s="165">
        <v>1</v>
      </c>
      <c r="AA2197" s="271">
        <v>0.61599999999999999</v>
      </c>
      <c r="AB2197" s="114">
        <v>16</v>
      </c>
      <c r="AC2197" s="50">
        <v>98</v>
      </c>
      <c r="AD2197" s="271">
        <v>0</v>
      </c>
    </row>
    <row r="2198" spans="1:33" ht="15" customHeight="1">
      <c r="A2198" s="41" t="s">
        <v>183</v>
      </c>
      <c r="B2198" s="402" t="s">
        <v>2125</v>
      </c>
      <c r="C2198" s="113" t="s">
        <v>2134</v>
      </c>
      <c r="D2198" s="393" t="s">
        <v>1881</v>
      </c>
      <c r="E2198" s="394" t="s">
        <v>512</v>
      </c>
      <c r="G2198" s="405" t="s">
        <v>3613</v>
      </c>
      <c r="H2198" s="113">
        <v>3724</v>
      </c>
      <c r="I2198" s="49" t="s">
        <v>2</v>
      </c>
      <c r="J2198" s="48" t="s">
        <v>2135</v>
      </c>
      <c r="K2198" s="51">
        <v>41478</v>
      </c>
      <c r="L2198" s="173">
        <v>41468</v>
      </c>
      <c r="M2198" s="50">
        <f t="shared" si="123"/>
        <v>10</v>
      </c>
      <c r="N2198" s="50" t="s">
        <v>2</v>
      </c>
      <c r="O2198" s="74">
        <f>1.8/2</f>
        <v>0.9</v>
      </c>
      <c r="P2198" s="50">
        <v>5.99</v>
      </c>
      <c r="Q2198" s="74">
        <v>5.67</v>
      </c>
      <c r="R2198" s="50">
        <f>20/2</f>
        <v>10</v>
      </c>
      <c r="S2198" s="74">
        <v>4.5</v>
      </c>
      <c r="T2198" s="50">
        <v>6.8000000000000005E-2</v>
      </c>
      <c r="U2198" s="131">
        <f>1/2</f>
        <v>0.5</v>
      </c>
      <c r="V2198" s="50">
        <f>0.46/2</f>
        <v>0.23</v>
      </c>
      <c r="W2198" s="74">
        <v>6.0000000000000001E-3</v>
      </c>
      <c r="X2198" s="50">
        <v>0.03</v>
      </c>
      <c r="Y2198" s="74">
        <f>0.005/2</f>
        <v>2.5000000000000001E-3</v>
      </c>
      <c r="Z2198" s="165">
        <v>1</v>
      </c>
      <c r="AA2198" s="271">
        <v>1</v>
      </c>
      <c r="AB2198" s="114">
        <v>2</v>
      </c>
      <c r="AC2198" s="50">
        <v>23</v>
      </c>
      <c r="AD2198" s="271">
        <v>1</v>
      </c>
    </row>
    <row r="2199" spans="1:33" ht="15" customHeight="1">
      <c r="A2199" s="41" t="s">
        <v>183</v>
      </c>
      <c r="B2199" s="402" t="s">
        <v>2125</v>
      </c>
      <c r="C2199" s="113" t="s">
        <v>2134</v>
      </c>
      <c r="D2199" s="393" t="s">
        <v>1881</v>
      </c>
      <c r="E2199" s="394" t="s">
        <v>512</v>
      </c>
      <c r="G2199" s="405" t="s">
        <v>3612</v>
      </c>
      <c r="H2199" s="74">
        <v>3724</v>
      </c>
      <c r="I2199" s="50" t="s">
        <v>2</v>
      </c>
      <c r="J2199" s="339" t="s">
        <v>2128</v>
      </c>
      <c r="K2199" s="51">
        <v>41478</v>
      </c>
      <c r="L2199" s="173">
        <v>41468</v>
      </c>
      <c r="M2199" s="50">
        <f t="shared" si="123"/>
        <v>10</v>
      </c>
      <c r="N2199" s="50" t="s">
        <v>2</v>
      </c>
      <c r="O2199" s="74">
        <f>1.8/2</f>
        <v>0.9</v>
      </c>
      <c r="P2199" s="50">
        <v>5.99</v>
      </c>
      <c r="Q2199" s="74">
        <v>5.97</v>
      </c>
      <c r="R2199" s="50">
        <v>33</v>
      </c>
      <c r="S2199" s="74">
        <v>20</v>
      </c>
      <c r="T2199" s="50">
        <v>6.4000000000000001E-2</v>
      </c>
      <c r="U2199" s="131">
        <f>1/2</f>
        <v>0.5</v>
      </c>
      <c r="V2199" s="50">
        <f>0.46/2</f>
        <v>0.23</v>
      </c>
      <c r="W2199" s="74">
        <v>2.9000000000000001E-2</v>
      </c>
      <c r="X2199" s="50">
        <v>5.8999999999999997E-2</v>
      </c>
      <c r="Y2199" s="74">
        <v>1.0699999999999999E-2</v>
      </c>
      <c r="Z2199" s="165">
        <v>1</v>
      </c>
      <c r="AA2199" s="271">
        <v>1</v>
      </c>
      <c r="AB2199" s="114">
        <v>2</v>
      </c>
      <c r="AC2199" s="50">
        <v>12</v>
      </c>
      <c r="AD2199" s="271">
        <v>1</v>
      </c>
    </row>
    <row r="2200" spans="1:33" ht="15" customHeight="1">
      <c r="A2200" s="41" t="s">
        <v>183</v>
      </c>
      <c r="B2200" s="402" t="s">
        <v>2125</v>
      </c>
      <c r="C2200" s="113" t="s">
        <v>2134</v>
      </c>
      <c r="D2200" s="393" t="s">
        <v>1881</v>
      </c>
      <c r="E2200" s="394" t="s">
        <v>512</v>
      </c>
      <c r="G2200" s="405" t="s">
        <v>3612</v>
      </c>
      <c r="H2200" s="74">
        <v>3724</v>
      </c>
      <c r="I2200" s="50" t="s">
        <v>2</v>
      </c>
      <c r="J2200" s="339" t="s">
        <v>2129</v>
      </c>
      <c r="K2200" s="51">
        <v>41478</v>
      </c>
      <c r="L2200" s="173">
        <v>41468</v>
      </c>
      <c r="M2200" s="50">
        <f t="shared" si="123"/>
        <v>10</v>
      </c>
      <c r="N2200" s="50" t="s">
        <v>2</v>
      </c>
      <c r="O2200" s="74">
        <f>1.7/2</f>
        <v>0.85</v>
      </c>
      <c r="P2200" s="50">
        <v>5.99</v>
      </c>
      <c r="Q2200" s="74">
        <v>5.85</v>
      </c>
      <c r="R2200" s="50">
        <f>20/2</f>
        <v>10</v>
      </c>
      <c r="S2200" s="74">
        <v>9.1999999999999993</v>
      </c>
      <c r="T2200" s="50">
        <v>3.2000000000000001E-2</v>
      </c>
      <c r="U2200" s="131">
        <f>1/2</f>
        <v>0.5</v>
      </c>
      <c r="V2200" s="50">
        <f>0.46/2</f>
        <v>0.23</v>
      </c>
      <c r="W2200" s="74">
        <v>7.0000000000000001E-3</v>
      </c>
      <c r="X2200" s="50">
        <v>7.0000000000000007E-2</v>
      </c>
      <c r="Y2200" s="74">
        <f>0.005/2</f>
        <v>2.5000000000000001E-3</v>
      </c>
      <c r="Z2200" s="165">
        <v>1</v>
      </c>
      <c r="AA2200" s="271">
        <v>0.745</v>
      </c>
      <c r="AB2200" s="114">
        <v>4</v>
      </c>
      <c r="AC2200" s="50">
        <v>20</v>
      </c>
      <c r="AD2200" s="271">
        <v>0.15</v>
      </c>
    </row>
    <row r="2201" spans="1:33" ht="15" customHeight="1">
      <c r="A2201" s="41" t="s">
        <v>183</v>
      </c>
      <c r="B2201" s="402" t="s">
        <v>2125</v>
      </c>
      <c r="C2201" s="113" t="s">
        <v>2134</v>
      </c>
      <c r="D2201" s="393" t="s">
        <v>1881</v>
      </c>
      <c r="E2201" s="394" t="s">
        <v>512</v>
      </c>
      <c r="G2201" s="405" t="s">
        <v>3612</v>
      </c>
      <c r="H2201" s="74">
        <v>3724</v>
      </c>
      <c r="I2201" s="50" t="s">
        <v>2</v>
      </c>
      <c r="J2201" s="48" t="s">
        <v>2130</v>
      </c>
      <c r="K2201" s="51">
        <v>41478</v>
      </c>
      <c r="L2201" s="173">
        <v>41468</v>
      </c>
      <c r="M2201" s="50">
        <f t="shared" si="123"/>
        <v>10</v>
      </c>
      <c r="N2201" s="50" t="s">
        <v>2</v>
      </c>
      <c r="O2201" s="74">
        <f>1.7/2</f>
        <v>0.85</v>
      </c>
      <c r="P2201" s="50">
        <v>5.99</v>
      </c>
      <c r="Q2201" s="74">
        <v>6.33</v>
      </c>
      <c r="R2201" s="50">
        <v>51</v>
      </c>
      <c r="S2201" s="74">
        <v>20</v>
      </c>
      <c r="T2201" s="50">
        <v>0.20899999999999999</v>
      </c>
      <c r="U2201" s="131">
        <v>2.2000000000000002</v>
      </c>
      <c r="V2201" s="50">
        <f>0.46/2</f>
        <v>0.23</v>
      </c>
      <c r="W2201" s="74">
        <v>1.4999999999999999E-2</v>
      </c>
      <c r="X2201" s="50">
        <v>5.3999999999999999E-2</v>
      </c>
      <c r="Y2201" s="74">
        <f>0.005/2</f>
        <v>2.5000000000000001E-3</v>
      </c>
      <c r="Z2201" s="165">
        <v>1</v>
      </c>
      <c r="AA2201" s="271">
        <v>1</v>
      </c>
      <c r="AB2201" s="114">
        <v>8</v>
      </c>
      <c r="AC2201" s="50">
        <v>44</v>
      </c>
      <c r="AD2201" s="271">
        <v>1</v>
      </c>
    </row>
    <row r="2202" spans="1:33" ht="15" customHeight="1">
      <c r="A2202" s="41" t="s">
        <v>183</v>
      </c>
      <c r="B2202" s="402" t="s">
        <v>2125</v>
      </c>
      <c r="C2202" s="113" t="s">
        <v>2134</v>
      </c>
      <c r="D2202" s="393" t="s">
        <v>1881</v>
      </c>
      <c r="E2202" s="394" t="s">
        <v>512</v>
      </c>
      <c r="G2202" s="405" t="s">
        <v>3612</v>
      </c>
      <c r="H2202" s="74">
        <v>3724</v>
      </c>
      <c r="I2202" s="50" t="s">
        <v>2</v>
      </c>
      <c r="J2202" s="48" t="s">
        <v>2131</v>
      </c>
      <c r="K2202" s="51">
        <v>41478</v>
      </c>
      <c r="L2202" s="173">
        <v>41468</v>
      </c>
      <c r="M2202" s="50">
        <f t="shared" si="123"/>
        <v>10</v>
      </c>
      <c r="N2202" s="50" t="s">
        <v>2</v>
      </c>
      <c r="O2202" s="74">
        <f>1.9/2</f>
        <v>0.95</v>
      </c>
      <c r="P2202" s="50">
        <v>5.99</v>
      </c>
      <c r="Q2202" s="74">
        <v>5.93</v>
      </c>
      <c r="R2202" s="50">
        <f>20/2</f>
        <v>10</v>
      </c>
      <c r="S2202" s="74">
        <v>6.8</v>
      </c>
      <c r="T2202" s="50">
        <v>3.9E-2</v>
      </c>
      <c r="U2202" s="131">
        <f>1/2</f>
        <v>0.5</v>
      </c>
      <c r="V2202" s="50">
        <f>0.46/2</f>
        <v>0.23</v>
      </c>
      <c r="W2202" s="74">
        <f>0.005/2</f>
        <v>2.5000000000000001E-3</v>
      </c>
      <c r="X2202" s="50">
        <v>1.0999999999999999E-2</v>
      </c>
      <c r="Y2202" s="74">
        <f>0.005/2</f>
        <v>2.5000000000000001E-3</v>
      </c>
      <c r="Z2202" s="165">
        <v>1</v>
      </c>
      <c r="AA2202" s="271">
        <v>1</v>
      </c>
      <c r="AB2202" s="114">
        <v>4</v>
      </c>
      <c r="AC2202" s="50">
        <v>6</v>
      </c>
      <c r="AD2202" s="271">
        <v>0.95</v>
      </c>
    </row>
    <row r="2203" spans="1:33" ht="15" customHeight="1">
      <c r="A2203" s="41" t="s">
        <v>183</v>
      </c>
      <c r="B2203" s="402" t="s">
        <v>2125</v>
      </c>
      <c r="C2203" s="113" t="s">
        <v>2134</v>
      </c>
      <c r="D2203" s="393" t="s">
        <v>1881</v>
      </c>
      <c r="E2203" s="394" t="s">
        <v>512</v>
      </c>
      <c r="G2203" s="405" t="s">
        <v>3612</v>
      </c>
      <c r="H2203" s="74">
        <v>3724</v>
      </c>
      <c r="I2203" s="50" t="s">
        <v>2</v>
      </c>
      <c r="J2203" s="48" t="s">
        <v>2133</v>
      </c>
      <c r="K2203" s="51">
        <v>41478</v>
      </c>
      <c r="L2203" s="173">
        <v>41468</v>
      </c>
      <c r="M2203" s="50">
        <f t="shared" si="123"/>
        <v>10</v>
      </c>
      <c r="N2203" s="50" t="s">
        <v>2</v>
      </c>
      <c r="O2203" s="74">
        <f>1.8/2</f>
        <v>0.9</v>
      </c>
      <c r="P2203" s="50">
        <v>5.99</v>
      </c>
      <c r="Q2203" s="74">
        <v>5.78</v>
      </c>
      <c r="R2203" s="50">
        <v>56</v>
      </c>
      <c r="S2203" s="74">
        <v>15</v>
      </c>
      <c r="T2203" s="50">
        <v>0.126</v>
      </c>
      <c r="U2203" s="131">
        <v>1.1000000000000001</v>
      </c>
      <c r="V2203" s="50">
        <v>0.55000000000000004</v>
      </c>
      <c r="W2203" s="74">
        <v>1.2E-2</v>
      </c>
      <c r="X2203" s="50">
        <v>8.4000000000000005E-2</v>
      </c>
      <c r="Y2203" s="74">
        <f>0.005/2</f>
        <v>2.5000000000000001E-3</v>
      </c>
      <c r="Z2203" s="165">
        <v>1</v>
      </c>
      <c r="AA2203" s="271">
        <v>1</v>
      </c>
      <c r="AB2203" s="114">
        <v>10</v>
      </c>
      <c r="AC2203" s="50">
        <v>258</v>
      </c>
      <c r="AD2203" s="271">
        <v>1</v>
      </c>
    </row>
    <row r="2204" spans="1:33" ht="15" customHeight="1">
      <c r="A2204" s="41" t="s">
        <v>183</v>
      </c>
      <c r="B2204" s="402" t="s">
        <v>4319</v>
      </c>
      <c r="C2204" s="113" t="s">
        <v>4320</v>
      </c>
      <c r="D2204" s="393" t="s">
        <v>1881</v>
      </c>
      <c r="E2204" s="394" t="s">
        <v>1546</v>
      </c>
      <c r="G2204" s="405" t="s">
        <v>3073</v>
      </c>
      <c r="H2204" s="74">
        <v>3724</v>
      </c>
      <c r="I2204" s="50" t="s">
        <v>2</v>
      </c>
      <c r="J2204" s="339" t="s">
        <v>4322</v>
      </c>
      <c r="K2204" s="51">
        <v>41478</v>
      </c>
      <c r="L2204" s="173">
        <v>41468</v>
      </c>
      <c r="M2204" s="50">
        <f t="shared" si="123"/>
        <v>10</v>
      </c>
      <c r="N2204" s="50" t="s">
        <v>2</v>
      </c>
      <c r="O2204" s="74">
        <f>1.8/2</f>
        <v>0.9</v>
      </c>
      <c r="P2204" s="50">
        <v>5.99</v>
      </c>
      <c r="Q2204" s="74">
        <v>6.49</v>
      </c>
      <c r="R2204" s="50">
        <f>20/2</f>
        <v>10</v>
      </c>
      <c r="S2204" s="74">
        <v>12.8</v>
      </c>
      <c r="T2204" s="50">
        <v>8.5999999999999993E-2</v>
      </c>
      <c r="U2204" s="131">
        <f>1/2</f>
        <v>0.5</v>
      </c>
      <c r="V2204" s="50">
        <f>0.46/2</f>
        <v>0.23</v>
      </c>
      <c r="W2204" s="74">
        <v>6.0000000000000001E-3</v>
      </c>
      <c r="X2204" s="50">
        <v>3.7999999999999999E-2</v>
      </c>
      <c r="Y2204" s="74">
        <v>5.5999999999999999E-3</v>
      </c>
      <c r="Z2204" s="165">
        <v>1</v>
      </c>
      <c r="AA2204" s="271">
        <v>1</v>
      </c>
      <c r="AB2204" s="114">
        <v>10</v>
      </c>
      <c r="AC2204" s="50">
        <v>95</v>
      </c>
      <c r="AD2204" s="271">
        <v>1</v>
      </c>
      <c r="AE2204" s="50">
        <v>2520</v>
      </c>
      <c r="AG2204" s="114">
        <f>0.2/2</f>
        <v>0.1</v>
      </c>
    </row>
    <row r="2205" spans="1:33" ht="15" customHeight="1">
      <c r="A2205" s="41" t="s">
        <v>183</v>
      </c>
      <c r="B2205" s="402" t="s">
        <v>2643</v>
      </c>
      <c r="D2205" s="393" t="s">
        <v>290</v>
      </c>
      <c r="E2205" s="394" t="s">
        <v>112</v>
      </c>
      <c r="G2205" s="405" t="s">
        <v>3995</v>
      </c>
      <c r="H2205" s="74">
        <v>4952</v>
      </c>
      <c r="I2205" s="50" t="s">
        <v>2</v>
      </c>
      <c r="J2205" s="339" t="s">
        <v>5244</v>
      </c>
      <c r="K2205" s="51">
        <v>41529</v>
      </c>
      <c r="L2205" s="173">
        <v>41519</v>
      </c>
      <c r="M2205" s="50">
        <f t="shared" si="123"/>
        <v>10</v>
      </c>
      <c r="N2205" s="50" t="s">
        <v>2</v>
      </c>
      <c r="O2205" s="74">
        <f>1.4/2</f>
        <v>0.7</v>
      </c>
      <c r="P2205" s="50">
        <v>4.5</v>
      </c>
      <c r="Q2205" s="74">
        <v>6.7</v>
      </c>
      <c r="R2205" s="50">
        <v>49</v>
      </c>
      <c r="S2205" s="74">
        <v>12</v>
      </c>
      <c r="T2205" s="50">
        <v>0.23</v>
      </c>
      <c r="U2205" s="131">
        <v>3.04</v>
      </c>
      <c r="V2205" s="50">
        <v>1.54</v>
      </c>
      <c r="W2205" s="74">
        <v>1.9E-2</v>
      </c>
      <c r="X2205" s="50">
        <v>5.8000000000000003E-2</v>
      </c>
      <c r="Y2205" s="74">
        <v>1.0999999999999999E-2</v>
      </c>
      <c r="Z2205" s="165"/>
      <c r="AE2205" s="50" t="s">
        <v>1020</v>
      </c>
    </row>
    <row r="2206" spans="1:33" ht="15" customHeight="1">
      <c r="A2206" s="41" t="s">
        <v>183</v>
      </c>
      <c r="B2206" s="402" t="s">
        <v>5245</v>
      </c>
      <c r="D2206" s="393" t="s">
        <v>1759</v>
      </c>
      <c r="E2206" s="394" t="s">
        <v>5246</v>
      </c>
      <c r="F2206" s="402" t="s">
        <v>2236</v>
      </c>
      <c r="G2206" s="405" t="s">
        <v>5247</v>
      </c>
      <c r="H2206" s="74">
        <v>4214</v>
      </c>
      <c r="I2206" s="50" t="s">
        <v>2</v>
      </c>
      <c r="J2206" s="339" t="s">
        <v>5248</v>
      </c>
      <c r="K2206" s="51">
        <v>40993</v>
      </c>
      <c r="L2206" s="173">
        <v>40985</v>
      </c>
      <c r="M2206" s="50">
        <f t="shared" si="123"/>
        <v>8</v>
      </c>
      <c r="N2206" s="50" t="s">
        <v>2</v>
      </c>
      <c r="O2206" s="74">
        <f>1/2</f>
        <v>0.5</v>
      </c>
      <c r="P2206" s="50">
        <v>5.62</v>
      </c>
      <c r="Q2206" s="74">
        <v>6.68</v>
      </c>
      <c r="R2206" s="50">
        <v>76.2</v>
      </c>
      <c r="S2206" s="74">
        <v>2</v>
      </c>
      <c r="T2206" s="50">
        <v>0.08</v>
      </c>
      <c r="U2206" s="131">
        <v>1.78</v>
      </c>
      <c r="V2206" s="50">
        <v>2.02</v>
      </c>
      <c r="W2206" s="74">
        <v>7.0000000000000001E-3</v>
      </c>
      <c r="X2206" s="50">
        <v>8.0000000000000002E-3</v>
      </c>
      <c r="Y2206" s="74">
        <f>0.002/2</f>
        <v>1E-3</v>
      </c>
      <c r="Z2206" s="165"/>
    </row>
    <row r="2207" spans="1:33" ht="15" customHeight="1">
      <c r="A2207" s="41" t="s">
        <v>183</v>
      </c>
      <c r="B2207" s="402" t="s">
        <v>5245</v>
      </c>
      <c r="D2207" s="393" t="s">
        <v>1759</v>
      </c>
      <c r="E2207" s="394" t="s">
        <v>5246</v>
      </c>
      <c r="F2207" s="402" t="s">
        <v>2236</v>
      </c>
      <c r="G2207" s="405" t="s">
        <v>5247</v>
      </c>
      <c r="H2207" s="74">
        <v>4214</v>
      </c>
      <c r="I2207" s="50" t="s">
        <v>2</v>
      </c>
      <c r="J2207" s="339" t="s">
        <v>5248</v>
      </c>
      <c r="K2207" s="51">
        <v>41529</v>
      </c>
      <c r="L2207" s="173">
        <v>41513</v>
      </c>
      <c r="M2207" s="402">
        <f t="shared" si="123"/>
        <v>16</v>
      </c>
      <c r="N2207" s="50" t="s">
        <v>2</v>
      </c>
      <c r="O2207" s="74">
        <f>1/2</f>
        <v>0.5</v>
      </c>
      <c r="P2207" s="50">
        <v>6.28</v>
      </c>
      <c r="Q2207" s="74">
        <v>7</v>
      </c>
      <c r="R2207" s="50">
        <v>15</v>
      </c>
      <c r="S2207" s="74">
        <v>8</v>
      </c>
      <c r="T2207" s="50">
        <v>0.06</v>
      </c>
      <c r="U2207" s="131">
        <v>0.43</v>
      </c>
      <c r="V2207" s="50">
        <f>0.1/2</f>
        <v>0.05</v>
      </c>
      <c r="W2207" s="74">
        <f>0.005/2</f>
        <v>2.5000000000000001E-3</v>
      </c>
      <c r="X2207" s="50">
        <v>1.2E-2</v>
      </c>
      <c r="Y2207" s="74">
        <f>0.002/2</f>
        <v>1E-3</v>
      </c>
      <c r="Z2207" s="165">
        <v>1</v>
      </c>
      <c r="AA2207" s="271">
        <v>1</v>
      </c>
      <c r="AB2207" s="114">
        <v>7.37</v>
      </c>
      <c r="AC2207" s="50">
        <v>26</v>
      </c>
      <c r="AD2207" s="271">
        <v>0.9</v>
      </c>
    </row>
    <row r="2208" spans="1:33" ht="15" customHeight="1">
      <c r="A2208" s="41" t="s">
        <v>183</v>
      </c>
      <c r="B2208" s="402" t="s">
        <v>5245</v>
      </c>
      <c r="D2208" s="393" t="s">
        <v>1759</v>
      </c>
      <c r="E2208" s="394" t="s">
        <v>5246</v>
      </c>
      <c r="F2208" s="402" t="s">
        <v>2236</v>
      </c>
      <c r="G2208" s="405" t="s">
        <v>5247</v>
      </c>
      <c r="H2208" s="74">
        <v>4214</v>
      </c>
      <c r="I2208" s="50" t="s">
        <v>2</v>
      </c>
      <c r="J2208" s="339" t="s">
        <v>5248</v>
      </c>
      <c r="K2208" s="51">
        <v>41345</v>
      </c>
      <c r="L2208" s="173">
        <v>41342</v>
      </c>
      <c r="M2208" s="50">
        <f t="shared" ref="M2208:M2251" si="124">K2208-L2208</f>
        <v>3</v>
      </c>
      <c r="N2208" s="50" t="s">
        <v>2</v>
      </c>
      <c r="O2208" s="74">
        <f>1/2</f>
        <v>0.5</v>
      </c>
      <c r="P2208" s="50">
        <v>6.31</v>
      </c>
      <c r="Q2208" s="74">
        <v>5.7</v>
      </c>
      <c r="R2208" s="50">
        <v>3.7</v>
      </c>
      <c r="S2208" s="74">
        <v>12</v>
      </c>
      <c r="T2208" s="50">
        <f>0.05/2</f>
        <v>2.5000000000000001E-2</v>
      </c>
      <c r="U2208" s="131">
        <v>0.52</v>
      </c>
      <c r="V2208" s="50">
        <v>0.14000000000000001</v>
      </c>
      <c r="W2208" s="74">
        <v>6.0000000000000001E-3</v>
      </c>
      <c r="X2208" s="50">
        <v>3.2000000000000001E-2</v>
      </c>
      <c r="Y2208" s="74">
        <v>3.0000000000000001E-3</v>
      </c>
      <c r="Z2208" s="165"/>
    </row>
    <row r="2209" spans="1:31" ht="15" customHeight="1">
      <c r="A2209" s="41" t="s">
        <v>183</v>
      </c>
      <c r="B2209" s="402" t="s">
        <v>5245</v>
      </c>
      <c r="D2209" s="393" t="s">
        <v>1759</v>
      </c>
      <c r="E2209" s="394" t="s">
        <v>5246</v>
      </c>
      <c r="F2209" s="402" t="s">
        <v>2236</v>
      </c>
      <c r="G2209" s="405" t="s">
        <v>5247</v>
      </c>
      <c r="H2209" s="74">
        <v>4214</v>
      </c>
      <c r="I2209" s="50" t="s">
        <v>2</v>
      </c>
      <c r="J2209" s="339" t="s">
        <v>5248</v>
      </c>
      <c r="K2209" s="51">
        <v>41529</v>
      </c>
      <c r="L2209" s="173">
        <v>41513</v>
      </c>
      <c r="M2209" s="50">
        <f t="shared" si="124"/>
        <v>16</v>
      </c>
      <c r="N2209" s="50" t="s">
        <v>2</v>
      </c>
      <c r="O2209" s="74">
        <f>1/2</f>
        <v>0.5</v>
      </c>
      <c r="P2209" s="50">
        <v>6.85</v>
      </c>
      <c r="Q2209" s="74">
        <v>7.39</v>
      </c>
      <c r="R2209" s="50">
        <f>1/2</f>
        <v>0.5</v>
      </c>
      <c r="S2209" s="74">
        <f>1/2</f>
        <v>0.5</v>
      </c>
      <c r="T2209" s="50">
        <f>0.05/2</f>
        <v>2.5000000000000001E-2</v>
      </c>
      <c r="U2209" s="131">
        <v>0.82</v>
      </c>
      <c r="V2209" s="50">
        <v>1.84</v>
      </c>
      <c r="W2209" s="74">
        <f>0.005/2</f>
        <v>2.5000000000000001E-3</v>
      </c>
      <c r="X2209" s="50">
        <v>8.0000000000000002E-3</v>
      </c>
      <c r="Y2209" s="74">
        <f>0.002/2</f>
        <v>1E-3</v>
      </c>
      <c r="Z2209" s="165">
        <v>1</v>
      </c>
      <c r="AA2209" s="271">
        <v>1</v>
      </c>
      <c r="AB2209" s="114">
        <v>4.28</v>
      </c>
      <c r="AC2209" s="50">
        <v>14</v>
      </c>
      <c r="AD2209" s="271">
        <v>1</v>
      </c>
    </row>
    <row r="2210" spans="1:31" ht="15" customHeight="1">
      <c r="A2210" s="41" t="s">
        <v>183</v>
      </c>
      <c r="B2210" s="402" t="s">
        <v>4316</v>
      </c>
      <c r="C2210" s="113" t="s">
        <v>4317</v>
      </c>
      <c r="D2210" s="393" t="s">
        <v>290</v>
      </c>
      <c r="E2210" s="394" t="s">
        <v>112</v>
      </c>
      <c r="G2210" s="405" t="s">
        <v>4318</v>
      </c>
      <c r="H2210" s="74">
        <v>3462</v>
      </c>
      <c r="I2210" s="50" t="s">
        <v>1</v>
      </c>
      <c r="J2210" s="339" t="s">
        <v>643</v>
      </c>
      <c r="K2210" s="51">
        <v>41529</v>
      </c>
      <c r="L2210" s="173">
        <v>41519</v>
      </c>
      <c r="M2210" s="50">
        <f t="shared" si="124"/>
        <v>10</v>
      </c>
      <c r="N2210" s="50" t="s">
        <v>2</v>
      </c>
      <c r="O2210" s="74">
        <f>0.5/2</f>
        <v>0.25</v>
      </c>
      <c r="P2210" s="50">
        <v>7.36</v>
      </c>
      <c r="Q2210" s="74">
        <v>7.36</v>
      </c>
      <c r="R2210" s="50">
        <v>100</v>
      </c>
      <c r="S2210" s="74">
        <v>75</v>
      </c>
      <c r="T2210" s="50">
        <v>0.17</v>
      </c>
      <c r="U2210" s="131">
        <v>1.83</v>
      </c>
      <c r="V2210" s="50">
        <v>1.29</v>
      </c>
      <c r="W2210" s="74">
        <v>1.9900000000000001E-2</v>
      </c>
      <c r="X2210" s="50">
        <v>0.29099999999999998</v>
      </c>
      <c r="Y2210" s="74">
        <f>0.003/2</f>
        <v>1.5E-3</v>
      </c>
      <c r="Z2210" s="165">
        <v>1</v>
      </c>
      <c r="AA2210" s="271">
        <v>1</v>
      </c>
      <c r="AB2210" s="114">
        <v>27.2</v>
      </c>
      <c r="AC2210" s="50">
        <v>143.30000000000001</v>
      </c>
      <c r="AD2210" s="271">
        <v>1</v>
      </c>
    </row>
    <row r="2211" spans="1:31" ht="15" customHeight="1">
      <c r="A2211" s="41" t="s">
        <v>183</v>
      </c>
      <c r="B2211" s="402" t="s">
        <v>2269</v>
      </c>
      <c r="D2211" s="393" t="s">
        <v>372</v>
      </c>
      <c r="E2211" s="394" t="s">
        <v>2270</v>
      </c>
      <c r="F2211" s="402" t="s">
        <v>2271</v>
      </c>
      <c r="G2211" s="405" t="s">
        <v>2272</v>
      </c>
      <c r="H2211" s="74">
        <v>3398</v>
      </c>
      <c r="I2211" s="50" t="s">
        <v>2</v>
      </c>
      <c r="J2211" s="339" t="s">
        <v>249</v>
      </c>
      <c r="K2211" s="51">
        <v>41513</v>
      </c>
      <c r="L2211" s="173">
        <v>41508</v>
      </c>
      <c r="M2211" s="50">
        <f t="shared" si="124"/>
        <v>5</v>
      </c>
      <c r="N2211" s="50" t="s">
        <v>2</v>
      </c>
      <c r="O2211" s="74">
        <v>5.26</v>
      </c>
      <c r="P2211" s="50">
        <v>7.48</v>
      </c>
      <c r="Q2211" s="74">
        <v>6.23</v>
      </c>
      <c r="R2211" s="50">
        <v>10.199999999999999</v>
      </c>
      <c r="S2211" s="74">
        <f>5/2</f>
        <v>2.5</v>
      </c>
      <c r="T2211" s="50">
        <f>0.05/2</f>
        <v>2.5000000000000001E-2</v>
      </c>
      <c r="U2211" s="131">
        <v>3.17</v>
      </c>
      <c r="V2211" s="50">
        <v>0.42</v>
      </c>
      <c r="W2211" s="74">
        <v>0.04</v>
      </c>
      <c r="X2211" s="50">
        <v>0.25</v>
      </c>
      <c r="Y2211" s="74">
        <f>0.004/2</f>
        <v>2E-3</v>
      </c>
      <c r="Z2211" s="165">
        <v>1</v>
      </c>
      <c r="AA2211" s="271">
        <v>0.90900000000000003</v>
      </c>
      <c r="AB2211" s="114">
        <v>8</v>
      </c>
      <c r="AC2211" s="50">
        <v>28.5</v>
      </c>
      <c r="AD2211" s="271">
        <v>0.4</v>
      </c>
    </row>
    <row r="2212" spans="1:31" ht="15" customHeight="1">
      <c r="A2212" s="41" t="s">
        <v>183</v>
      </c>
      <c r="B2212" s="402" t="s">
        <v>1264</v>
      </c>
      <c r="C2212" s="113" t="s">
        <v>1264</v>
      </c>
      <c r="D2212" s="393" t="s">
        <v>347</v>
      </c>
      <c r="E2212" s="394" t="s">
        <v>1265</v>
      </c>
      <c r="G2212" s="405" t="s">
        <v>1266</v>
      </c>
      <c r="H2212" s="49">
        <v>3471</v>
      </c>
      <c r="I2212" s="50" t="s">
        <v>1</v>
      </c>
      <c r="J2212" s="49" t="s">
        <v>74</v>
      </c>
      <c r="K2212" s="51">
        <v>41487</v>
      </c>
      <c r="L2212" s="173">
        <v>41481</v>
      </c>
      <c r="M2212" s="50">
        <f t="shared" si="124"/>
        <v>6</v>
      </c>
      <c r="N2212" s="50" t="s">
        <v>2</v>
      </c>
      <c r="O2212" s="74">
        <f>1.5/2</f>
        <v>0.75</v>
      </c>
      <c r="P2212" s="50">
        <v>4.8099999999999996</v>
      </c>
      <c r="Q2212" s="74">
        <v>4.9800000000000004</v>
      </c>
      <c r="R2212" s="50">
        <v>39</v>
      </c>
      <c r="S2212" s="74">
        <v>5.5</v>
      </c>
      <c r="T2212" s="50">
        <v>0.04</v>
      </c>
      <c r="U2212" s="131">
        <v>1.1499999999999999</v>
      </c>
      <c r="V2212" s="50">
        <v>0.82</v>
      </c>
      <c r="W2212" s="74">
        <v>0.01</v>
      </c>
      <c r="X2212" s="50">
        <v>0.104</v>
      </c>
      <c r="Y2212" s="74">
        <v>6.0000000000000001E-3</v>
      </c>
      <c r="Z2212" s="165"/>
    </row>
    <row r="2213" spans="1:31" ht="15" customHeight="1">
      <c r="A2213" s="41" t="s">
        <v>183</v>
      </c>
      <c r="B2213" s="402" t="s">
        <v>1264</v>
      </c>
      <c r="C2213" s="113" t="s">
        <v>1264</v>
      </c>
      <c r="D2213" s="393" t="s">
        <v>347</v>
      </c>
      <c r="E2213" s="394" t="s">
        <v>1265</v>
      </c>
      <c r="G2213" s="405" t="s">
        <v>1266</v>
      </c>
      <c r="H2213" s="49">
        <v>3471</v>
      </c>
      <c r="I2213" s="50" t="s">
        <v>1</v>
      </c>
      <c r="J2213" s="49" t="s">
        <v>75</v>
      </c>
      <c r="K2213" s="51">
        <v>41487</v>
      </c>
      <c r="L2213" s="173">
        <v>41481</v>
      </c>
      <c r="M2213" s="50">
        <f t="shared" si="124"/>
        <v>6</v>
      </c>
      <c r="N2213" s="50" t="s">
        <v>2</v>
      </c>
      <c r="O2213" s="74">
        <f>1.6/2</f>
        <v>0.8</v>
      </c>
      <c r="P2213" s="50">
        <v>4.8099999999999996</v>
      </c>
      <c r="Q2213" s="74">
        <v>3.88</v>
      </c>
      <c r="R2213" s="50">
        <v>1400</v>
      </c>
      <c r="S2213" s="74">
        <v>14</v>
      </c>
      <c r="T2213" s="50">
        <v>0.35</v>
      </c>
      <c r="U2213" s="131">
        <v>13.5</v>
      </c>
      <c r="V2213" s="50">
        <v>1.69</v>
      </c>
      <c r="W2213" s="74">
        <v>0.13300000000000001</v>
      </c>
      <c r="X2213" s="50">
        <v>0.35399999999999998</v>
      </c>
      <c r="Y2213" s="74">
        <v>8.3000000000000004E-2</v>
      </c>
      <c r="Z2213" s="165"/>
    </row>
    <row r="2214" spans="1:31" ht="15" customHeight="1">
      <c r="A2214" s="41" t="s">
        <v>183</v>
      </c>
      <c r="B2214" s="402" t="s">
        <v>4263</v>
      </c>
      <c r="D2214" s="393" t="s">
        <v>251</v>
      </c>
      <c r="E2214" s="394" t="s">
        <v>252</v>
      </c>
      <c r="F2214" s="402" t="s">
        <v>2816</v>
      </c>
      <c r="G2214" s="405" t="s">
        <v>4264</v>
      </c>
      <c r="H2214" s="74">
        <v>2023</v>
      </c>
      <c r="I2214" s="50" t="s">
        <v>1</v>
      </c>
      <c r="J2214" s="339" t="s">
        <v>2905</v>
      </c>
      <c r="K2214" s="51">
        <v>41529</v>
      </c>
      <c r="L2214" s="173">
        <v>41519</v>
      </c>
      <c r="M2214" s="50">
        <f t="shared" si="124"/>
        <v>10</v>
      </c>
      <c r="N2214" s="50" t="s">
        <v>2</v>
      </c>
      <c r="O2214" s="74">
        <f>5/2</f>
        <v>2.5</v>
      </c>
      <c r="P2214" s="50">
        <v>6.11</v>
      </c>
      <c r="Q2214" s="74">
        <v>6.22</v>
      </c>
      <c r="R2214" s="50">
        <v>29</v>
      </c>
      <c r="S2214" s="74">
        <v>22</v>
      </c>
      <c r="T2214" s="50">
        <v>0.13</v>
      </c>
      <c r="U2214" s="131">
        <f>1/2</f>
        <v>0.5</v>
      </c>
      <c r="V2214" s="50">
        <v>0.47</v>
      </c>
      <c r="W2214" s="74">
        <f>0.04/2</f>
        <v>0.02</v>
      </c>
      <c r="X2214" s="50">
        <v>2.4E-2</v>
      </c>
      <c r="Y2214" s="74">
        <f>0.013/2</f>
        <v>6.4999999999999997E-3</v>
      </c>
      <c r="Z2214" s="165">
        <v>1</v>
      </c>
      <c r="AA2214" s="271">
        <v>1</v>
      </c>
      <c r="AB2214" s="114">
        <v>8.1999999999999993</v>
      </c>
      <c r="AC2214" s="50">
        <v>45</v>
      </c>
      <c r="AD2214" s="271">
        <v>1</v>
      </c>
      <c r="AE2214" s="50">
        <v>1500</v>
      </c>
    </row>
    <row r="2215" spans="1:31" ht="15" customHeight="1">
      <c r="A2215" s="41" t="s">
        <v>183</v>
      </c>
      <c r="B2215" s="402" t="s">
        <v>4263</v>
      </c>
      <c r="D2215" s="393" t="s">
        <v>251</v>
      </c>
      <c r="E2215" s="394" t="s">
        <v>252</v>
      </c>
      <c r="F2215" s="402" t="s">
        <v>2816</v>
      </c>
      <c r="G2215" s="405" t="s">
        <v>4264</v>
      </c>
      <c r="H2215" s="74">
        <v>2023</v>
      </c>
      <c r="I2215" s="50" t="s">
        <v>1</v>
      </c>
      <c r="J2215" s="339" t="s">
        <v>6592</v>
      </c>
      <c r="K2215" s="51">
        <v>41529</v>
      </c>
      <c r="L2215" s="173">
        <v>41519</v>
      </c>
      <c r="M2215" s="50">
        <f t="shared" si="124"/>
        <v>10</v>
      </c>
      <c r="N2215" s="50" t="s">
        <v>2</v>
      </c>
      <c r="O2215" s="74">
        <f>5/2</f>
        <v>2.5</v>
      </c>
      <c r="P2215" s="50">
        <v>6.11</v>
      </c>
      <c r="Q2215" s="74">
        <v>5.19</v>
      </c>
      <c r="R2215" s="50">
        <v>16</v>
      </c>
      <c r="S2215" s="74">
        <v>8</v>
      </c>
      <c r="T2215" s="50">
        <f>0.1/2</f>
        <v>0.05</v>
      </c>
      <c r="U2215" s="131">
        <v>1.2</v>
      </c>
      <c r="V2215" s="50">
        <v>0.59</v>
      </c>
      <c r="W2215" s="74">
        <f>0.04/2</f>
        <v>0.02</v>
      </c>
      <c r="X2215" s="50">
        <v>2.5000000000000001E-2</v>
      </c>
      <c r="Y2215" s="74">
        <f>0.013/2</f>
        <v>6.4999999999999997E-3</v>
      </c>
      <c r="Z2215" s="165">
        <v>0.59399999999999997</v>
      </c>
      <c r="AA2215" s="271">
        <v>0.435</v>
      </c>
      <c r="AB2215" s="114">
        <v>2.1</v>
      </c>
      <c r="AC2215" s="50">
        <v>44</v>
      </c>
      <c r="AD2215" s="271">
        <v>0</v>
      </c>
      <c r="AE2215" s="50">
        <v>140</v>
      </c>
    </row>
    <row r="2216" spans="1:31" ht="15" customHeight="1">
      <c r="A2216" s="41" t="s">
        <v>183</v>
      </c>
      <c r="B2216" s="402" t="s">
        <v>4263</v>
      </c>
      <c r="D2216" s="393" t="s">
        <v>251</v>
      </c>
      <c r="E2216" s="394" t="s">
        <v>252</v>
      </c>
      <c r="F2216" s="402" t="s">
        <v>2816</v>
      </c>
      <c r="G2216" s="405" t="s">
        <v>4264</v>
      </c>
      <c r="H2216" s="74">
        <v>2023</v>
      </c>
      <c r="I2216" s="50" t="s">
        <v>1</v>
      </c>
      <c r="J2216" s="339" t="s">
        <v>2905</v>
      </c>
      <c r="K2216" s="51">
        <v>41529</v>
      </c>
      <c r="L2216" s="173">
        <v>41519</v>
      </c>
      <c r="M2216" s="50">
        <f t="shared" si="124"/>
        <v>10</v>
      </c>
      <c r="N2216" s="50" t="s">
        <v>2</v>
      </c>
      <c r="O2216" s="74">
        <f>5/2</f>
        <v>2.5</v>
      </c>
      <c r="P2216" s="50">
        <v>6.11</v>
      </c>
      <c r="Q2216" s="74">
        <v>6.15</v>
      </c>
      <c r="R2216" s="50">
        <v>29</v>
      </c>
      <c r="S2216" s="74">
        <v>18</v>
      </c>
      <c r="T2216" s="50">
        <f>0.1/2</f>
        <v>0.05</v>
      </c>
      <c r="U2216" s="131">
        <v>1.3</v>
      </c>
      <c r="V2216" s="50">
        <v>0.82</v>
      </c>
      <c r="W2216" s="74">
        <f>0.04/2</f>
        <v>0.02</v>
      </c>
      <c r="X2216" s="50">
        <v>9.2999999999999999E-2</v>
      </c>
      <c r="Y2216" s="74">
        <f>0.013/2</f>
        <v>6.4999999999999997E-3</v>
      </c>
      <c r="Z2216" s="165">
        <v>1</v>
      </c>
      <c r="AA2216" s="271">
        <v>1</v>
      </c>
      <c r="AB2216" s="114">
        <v>8.6999999999999993</v>
      </c>
      <c r="AC2216" s="50">
        <v>48</v>
      </c>
      <c r="AD2216" s="271">
        <v>1</v>
      </c>
      <c r="AE2216" s="50">
        <v>4800</v>
      </c>
    </row>
    <row r="2217" spans="1:31" ht="15" customHeight="1">
      <c r="A2217" s="41" t="s">
        <v>183</v>
      </c>
      <c r="B2217" s="386" t="s">
        <v>956</v>
      </c>
      <c r="C2217" s="149" t="s">
        <v>999</v>
      </c>
      <c r="D2217" s="392" t="s">
        <v>195</v>
      </c>
      <c r="E2217" s="258" t="s">
        <v>196</v>
      </c>
      <c r="F2217" s="386"/>
      <c r="G2217" s="389" t="s">
        <v>197</v>
      </c>
      <c r="H2217" s="55">
        <v>4151</v>
      </c>
      <c r="I2217" s="54" t="s">
        <v>2</v>
      </c>
      <c r="J2217" s="61" t="s">
        <v>1125</v>
      </c>
      <c r="K2217" s="51">
        <v>41345</v>
      </c>
      <c r="L2217" s="173">
        <v>41339</v>
      </c>
      <c r="M2217" s="50">
        <f t="shared" si="124"/>
        <v>6</v>
      </c>
      <c r="N2217" s="50" t="s">
        <v>2</v>
      </c>
      <c r="O2217" s="74">
        <v>2.6</v>
      </c>
      <c r="P2217" s="50">
        <v>6.84</v>
      </c>
      <c r="Q2217" s="74">
        <v>9.23</v>
      </c>
      <c r="R2217" s="50">
        <v>13.8</v>
      </c>
      <c r="S2217" s="74">
        <v>10</v>
      </c>
      <c r="T2217" s="50">
        <f>0.05/2</f>
        <v>2.5000000000000001E-2</v>
      </c>
      <c r="U2217" s="131">
        <v>1.26</v>
      </c>
      <c r="V2217" s="50">
        <v>0.24</v>
      </c>
      <c r="W2217" s="74">
        <v>0.01</v>
      </c>
      <c r="X2217" s="50">
        <v>0.08</v>
      </c>
      <c r="Y2217" s="74">
        <f>0.02/2</f>
        <v>0.01</v>
      </c>
      <c r="Z2217" s="165">
        <v>1</v>
      </c>
      <c r="AA2217" s="271">
        <v>1</v>
      </c>
      <c r="AC2217" s="50">
        <v>38.299999999999997</v>
      </c>
      <c r="AD2217" s="271">
        <v>0.6</v>
      </c>
    </row>
    <row r="2218" spans="1:31" ht="15" customHeight="1">
      <c r="A2218" s="41" t="s">
        <v>183</v>
      </c>
      <c r="B2218" s="386" t="s">
        <v>956</v>
      </c>
      <c r="C2218" s="149" t="s">
        <v>4034</v>
      </c>
      <c r="D2218" s="392" t="s">
        <v>372</v>
      </c>
      <c r="E2218" s="258" t="s">
        <v>235</v>
      </c>
      <c r="G2218" s="405" t="s">
        <v>373</v>
      </c>
      <c r="H2218" s="55">
        <v>4151</v>
      </c>
      <c r="I2218" s="54" t="s">
        <v>2</v>
      </c>
      <c r="J2218" s="48" t="s">
        <v>1125</v>
      </c>
      <c r="K2218" s="51">
        <v>41345</v>
      </c>
      <c r="L2218" s="173">
        <v>41339</v>
      </c>
      <c r="M2218" s="50">
        <f t="shared" si="124"/>
        <v>6</v>
      </c>
      <c r="N2218" s="50" t="s">
        <v>2</v>
      </c>
      <c r="O2218" s="74">
        <f>1/2</f>
        <v>0.5</v>
      </c>
      <c r="P2218" s="50">
        <v>5.6</v>
      </c>
      <c r="Q2218" s="74">
        <v>5.6</v>
      </c>
      <c r="R2218" s="50">
        <v>6.8</v>
      </c>
      <c r="S2218" s="74">
        <v>9.5</v>
      </c>
      <c r="T2218" s="50">
        <f>0.05/2</f>
        <v>2.5000000000000001E-2</v>
      </c>
      <c r="U2218" s="131">
        <v>0.61</v>
      </c>
      <c r="V2218" s="50">
        <f>0.2/2</f>
        <v>0.1</v>
      </c>
      <c r="W2218" s="74">
        <v>0.03</v>
      </c>
      <c r="X2218" s="50">
        <v>0.4</v>
      </c>
      <c r="Y2218" s="74">
        <f>0.02/2</f>
        <v>0.01</v>
      </c>
      <c r="Z2218" s="165">
        <v>0.86099999999999999</v>
      </c>
      <c r="AA2218" s="271">
        <v>0.74</v>
      </c>
    </row>
    <row r="2219" spans="1:31" ht="15" customHeight="1">
      <c r="A2219" s="41" t="s">
        <v>183</v>
      </c>
      <c r="B2219" s="386" t="s">
        <v>956</v>
      </c>
      <c r="C2219" s="149" t="s">
        <v>4034</v>
      </c>
      <c r="D2219" s="392" t="s">
        <v>372</v>
      </c>
      <c r="E2219" s="258" t="s">
        <v>235</v>
      </c>
      <c r="G2219" s="405" t="s">
        <v>373</v>
      </c>
      <c r="H2219" s="55">
        <v>4151</v>
      </c>
      <c r="I2219" s="54" t="s">
        <v>2</v>
      </c>
      <c r="J2219" s="48" t="s">
        <v>1125</v>
      </c>
      <c r="K2219" s="51">
        <v>41508</v>
      </c>
      <c r="L2219" s="173">
        <v>41495</v>
      </c>
      <c r="M2219" s="50">
        <f t="shared" si="124"/>
        <v>13</v>
      </c>
      <c r="N2219" s="50" t="s">
        <v>2</v>
      </c>
      <c r="O2219" s="74">
        <f>1/2</f>
        <v>0.5</v>
      </c>
      <c r="P2219" s="50">
        <v>5.45</v>
      </c>
      <c r="Q2219" s="74">
        <v>5.56</v>
      </c>
      <c r="R2219" s="50">
        <v>23.7</v>
      </c>
      <c r="S2219" s="74">
        <f>1/2</f>
        <v>0.5</v>
      </c>
      <c r="T2219" s="50">
        <v>0.56000000000000005</v>
      </c>
      <c r="U2219" s="131">
        <v>1.44</v>
      </c>
      <c r="V2219" s="50">
        <v>0.23</v>
      </c>
      <c r="W2219" s="74">
        <v>0.03</v>
      </c>
      <c r="X2219" s="50">
        <v>0.43</v>
      </c>
      <c r="Y2219" s="74">
        <v>2.5999999999999999E-2</v>
      </c>
      <c r="Z2219" s="165"/>
    </row>
    <row r="2220" spans="1:31" ht="15" customHeight="1">
      <c r="A2220" s="41" t="s">
        <v>183</v>
      </c>
      <c r="B2220" s="402" t="s">
        <v>956</v>
      </c>
      <c r="C2220" s="113" t="s">
        <v>5249</v>
      </c>
      <c r="D2220" s="393" t="s">
        <v>133</v>
      </c>
      <c r="E2220" s="394" t="s">
        <v>44</v>
      </c>
      <c r="G2220" s="405" t="s">
        <v>5250</v>
      </c>
      <c r="H2220" s="74">
        <v>4111</v>
      </c>
      <c r="I2220" s="50" t="s">
        <v>2</v>
      </c>
      <c r="J2220" s="339" t="s">
        <v>1125</v>
      </c>
      <c r="K2220" s="51">
        <v>41030</v>
      </c>
      <c r="L2220" s="173">
        <v>41022</v>
      </c>
      <c r="M2220" s="50">
        <f t="shared" si="124"/>
        <v>8</v>
      </c>
      <c r="N2220" s="50" t="s">
        <v>2</v>
      </c>
      <c r="O2220" s="74">
        <v>1.3</v>
      </c>
      <c r="P2220" s="50">
        <v>5.08</v>
      </c>
      <c r="Q2220" s="74">
        <v>6.72</v>
      </c>
      <c r="R2220" s="50">
        <f>2/2</f>
        <v>1</v>
      </c>
      <c r="S2220" s="74">
        <v>18</v>
      </c>
      <c r="T2220" s="50">
        <f>0.05/2</f>
        <v>2.5000000000000001E-2</v>
      </c>
      <c r="U2220" s="131">
        <v>0.51</v>
      </c>
      <c r="V2220" s="50">
        <v>0.46</v>
      </c>
      <c r="W2220" s="74">
        <f>0.01/2</f>
        <v>5.0000000000000001E-3</v>
      </c>
      <c r="X2220" s="50">
        <v>0.18</v>
      </c>
      <c r="Y2220" s="74">
        <f>0.02/2</f>
        <v>0.01</v>
      </c>
      <c r="Z2220" s="165">
        <v>1</v>
      </c>
      <c r="AA2220" s="271">
        <v>0.78800000000000003</v>
      </c>
      <c r="AB2220" s="114">
        <f>1/2</f>
        <v>0.5</v>
      </c>
      <c r="AC2220" s="50">
        <v>28.2</v>
      </c>
      <c r="AD2220" s="271">
        <v>0.25</v>
      </c>
    </row>
    <row r="2221" spans="1:31" ht="15" customHeight="1">
      <c r="A2221" s="41" t="s">
        <v>183</v>
      </c>
      <c r="B2221" s="402" t="s">
        <v>956</v>
      </c>
      <c r="C2221" s="113" t="s">
        <v>2218</v>
      </c>
      <c r="D2221" s="393" t="s">
        <v>1537</v>
      </c>
      <c r="E2221" s="394" t="s">
        <v>3722</v>
      </c>
      <c r="G2221" s="405" t="s">
        <v>2503</v>
      </c>
      <c r="H2221" s="74">
        <v>4151</v>
      </c>
      <c r="I2221" s="50" t="s">
        <v>2</v>
      </c>
      <c r="J2221" s="339" t="s">
        <v>3144</v>
      </c>
      <c r="K2221" s="51">
        <v>41192</v>
      </c>
      <c r="L2221" s="173">
        <v>41189</v>
      </c>
      <c r="M2221" s="50">
        <f t="shared" si="124"/>
        <v>3</v>
      </c>
      <c r="N2221" s="50" t="s">
        <v>2</v>
      </c>
      <c r="O2221" s="74">
        <v>3.6</v>
      </c>
      <c r="P2221" s="50">
        <v>6.5</v>
      </c>
      <c r="Q2221" s="74">
        <v>7.46</v>
      </c>
      <c r="R2221" s="50">
        <v>41.6</v>
      </c>
      <c r="S2221" s="74">
        <v>23.5</v>
      </c>
      <c r="T2221" s="50">
        <v>0.11</v>
      </c>
      <c r="U2221" s="131">
        <v>0.86</v>
      </c>
      <c r="V2221" s="50">
        <f>0.2/2</f>
        <v>0.1</v>
      </c>
      <c r="W2221" s="74">
        <f>0.01/2</f>
        <v>5.0000000000000001E-3</v>
      </c>
      <c r="X2221" s="50">
        <v>0.12</v>
      </c>
      <c r="Y2221" s="74">
        <f>0.02/2</f>
        <v>0.01</v>
      </c>
      <c r="Z2221" s="165"/>
    </row>
    <row r="2222" spans="1:31" ht="15" customHeight="1">
      <c r="A2222" s="41" t="s">
        <v>183</v>
      </c>
      <c r="B2222" s="402" t="s">
        <v>956</v>
      </c>
      <c r="C2222" s="113" t="s">
        <v>4468</v>
      </c>
      <c r="D2222" s="393" t="s">
        <v>1896</v>
      </c>
      <c r="E2222" s="394" t="s">
        <v>4469</v>
      </c>
      <c r="G2222" s="405" t="s">
        <v>4470</v>
      </c>
      <c r="H2222" s="74">
        <v>4151</v>
      </c>
      <c r="I2222" s="50" t="s">
        <v>2</v>
      </c>
      <c r="J2222" s="339" t="s">
        <v>3144</v>
      </c>
      <c r="K2222" s="51">
        <v>41180</v>
      </c>
      <c r="L2222" s="173">
        <v>41174</v>
      </c>
      <c r="M2222" s="50">
        <f t="shared" si="124"/>
        <v>6</v>
      </c>
      <c r="N2222" s="50" t="s">
        <v>2</v>
      </c>
      <c r="O2222" s="74">
        <v>2</v>
      </c>
      <c r="P2222" s="50">
        <v>6.3</v>
      </c>
      <c r="Q2222" s="74">
        <v>6.5</v>
      </c>
      <c r="R2222" s="50">
        <v>57</v>
      </c>
      <c r="S2222" s="74">
        <v>19</v>
      </c>
      <c r="T2222" s="50">
        <v>0.14000000000000001</v>
      </c>
      <c r="U2222" s="131">
        <v>1.6</v>
      </c>
      <c r="V2222" s="50">
        <v>1.05</v>
      </c>
      <c r="W2222" s="74">
        <v>4.1000000000000002E-2</v>
      </c>
      <c r="X2222" s="50">
        <v>0.31</v>
      </c>
      <c r="Y2222" s="74">
        <f>0.03/2</f>
        <v>1.4999999999999999E-2</v>
      </c>
      <c r="Z2222" s="165">
        <v>1</v>
      </c>
      <c r="AA2222" s="271">
        <v>1</v>
      </c>
      <c r="AB2222" s="114">
        <v>41</v>
      </c>
      <c r="AC2222" s="50">
        <v>73</v>
      </c>
      <c r="AD2222" s="271">
        <v>0.95</v>
      </c>
    </row>
    <row r="2223" spans="1:31" ht="15" customHeight="1">
      <c r="A2223" s="41" t="s">
        <v>183</v>
      </c>
      <c r="B2223" s="402" t="s">
        <v>956</v>
      </c>
      <c r="C2223" s="113" t="s">
        <v>3723</v>
      </c>
      <c r="D2223" s="393" t="s">
        <v>1896</v>
      </c>
      <c r="E2223" s="394" t="s">
        <v>2412</v>
      </c>
      <c r="G2223" s="405" t="s">
        <v>3724</v>
      </c>
      <c r="H2223" s="74">
        <v>4151</v>
      </c>
      <c r="I2223" s="50" t="s">
        <v>2</v>
      </c>
      <c r="J2223" s="339" t="s">
        <v>3144</v>
      </c>
      <c r="K2223" s="51">
        <v>41305</v>
      </c>
      <c r="L2223" s="173">
        <v>41302</v>
      </c>
      <c r="M2223" s="50">
        <f t="shared" si="124"/>
        <v>3</v>
      </c>
      <c r="N2223" s="50" t="s">
        <v>2</v>
      </c>
      <c r="O2223" s="74">
        <f>2/2</f>
        <v>1</v>
      </c>
      <c r="P2223" s="50">
        <v>7.6</v>
      </c>
      <c r="Q2223" s="74">
        <v>7.5</v>
      </c>
      <c r="R2223" s="50">
        <v>63</v>
      </c>
      <c r="S2223" s="74">
        <v>190</v>
      </c>
      <c r="T2223" s="50">
        <v>0.4</v>
      </c>
      <c r="U2223" s="131">
        <v>1.23</v>
      </c>
      <c r="V2223" s="50">
        <v>0.37</v>
      </c>
      <c r="W2223" s="74">
        <v>4.2000000000000003E-2</v>
      </c>
      <c r="X2223" s="50">
        <v>0.155</v>
      </c>
      <c r="Y2223" s="74">
        <f>0.03/2</f>
        <v>1.4999999999999999E-2</v>
      </c>
      <c r="Z2223" s="165">
        <v>1</v>
      </c>
      <c r="AA2223" s="271">
        <v>1</v>
      </c>
      <c r="AB2223" s="114">
        <v>56</v>
      </c>
      <c r="AC2223" s="50">
        <v>185</v>
      </c>
      <c r="AD2223" s="271">
        <v>0.6</v>
      </c>
    </row>
    <row r="2224" spans="1:31" ht="15" customHeight="1">
      <c r="A2224" s="41" t="s">
        <v>183</v>
      </c>
      <c r="B2224" s="402" t="s">
        <v>956</v>
      </c>
      <c r="C2224" s="113" t="s">
        <v>1842</v>
      </c>
      <c r="D2224" s="393" t="s">
        <v>247</v>
      </c>
      <c r="E2224" s="394" t="s">
        <v>382</v>
      </c>
      <c r="G2224" s="405" t="s">
        <v>1808</v>
      </c>
      <c r="H2224" s="74">
        <v>4151</v>
      </c>
      <c r="I2224" s="50" t="s">
        <v>2</v>
      </c>
      <c r="J2224" s="339" t="s">
        <v>81</v>
      </c>
      <c r="K2224" s="51">
        <v>41345</v>
      </c>
      <c r="L2224" s="173">
        <v>41339</v>
      </c>
      <c r="M2224" s="50">
        <f t="shared" si="124"/>
        <v>6</v>
      </c>
      <c r="N2224" s="50" t="s">
        <v>2</v>
      </c>
      <c r="O2224" s="74">
        <v>1.4</v>
      </c>
      <c r="P2224" s="50">
        <v>5.17</v>
      </c>
      <c r="Q2224" s="74">
        <v>6.92</v>
      </c>
      <c r="R2224" s="50">
        <v>30</v>
      </c>
      <c r="S2224" s="74">
        <v>816</v>
      </c>
      <c r="T2224" s="50">
        <v>0.94</v>
      </c>
      <c r="U2224" s="131">
        <v>1.77</v>
      </c>
      <c r="V2224" s="50">
        <f>0.2/2</f>
        <v>0.1</v>
      </c>
      <c r="W2224" s="74">
        <v>0.1</v>
      </c>
      <c r="X2224" s="50">
        <v>0.46</v>
      </c>
      <c r="Y2224" s="74">
        <v>0.12</v>
      </c>
      <c r="Z2224" s="165">
        <v>1</v>
      </c>
      <c r="AA2224" s="271">
        <v>1</v>
      </c>
      <c r="AB2224" s="114">
        <v>80.099999999999994</v>
      </c>
      <c r="AC2224" s="50">
        <v>188</v>
      </c>
      <c r="AD2224" s="271">
        <v>1</v>
      </c>
    </row>
    <row r="2225" spans="1:67" ht="15" customHeight="1">
      <c r="A2225" s="41" t="s">
        <v>183</v>
      </c>
      <c r="B2225" s="402" t="s">
        <v>956</v>
      </c>
      <c r="C2225" s="113" t="s">
        <v>1008</v>
      </c>
      <c r="D2225" s="393" t="s">
        <v>78</v>
      </c>
      <c r="E2225" s="394" t="s">
        <v>4467</v>
      </c>
      <c r="G2225" s="405" t="s">
        <v>555</v>
      </c>
      <c r="H2225" s="74">
        <v>4151</v>
      </c>
      <c r="I2225" s="50" t="s">
        <v>2</v>
      </c>
      <c r="J2225" s="339" t="s">
        <v>3144</v>
      </c>
      <c r="K2225" s="51">
        <v>41345</v>
      </c>
      <c r="L2225" s="173">
        <v>41339</v>
      </c>
      <c r="M2225" s="50">
        <f t="shared" si="124"/>
        <v>6</v>
      </c>
      <c r="N2225" s="50" t="s">
        <v>2</v>
      </c>
      <c r="O2225" s="74">
        <f>1/2</f>
        <v>0.5</v>
      </c>
      <c r="P2225" s="50">
        <v>5.5</v>
      </c>
      <c r="Q2225" s="74">
        <v>6.9</v>
      </c>
      <c r="R2225" s="50">
        <f>10/2</f>
        <v>5</v>
      </c>
      <c r="S2225" s="74">
        <v>131</v>
      </c>
      <c r="T2225" s="50">
        <v>0.17</v>
      </c>
      <c r="U2225" s="131">
        <v>0.86</v>
      </c>
      <c r="V2225" s="50">
        <v>0.18</v>
      </c>
      <c r="W2225" s="74">
        <v>4.5999999999999999E-2</v>
      </c>
      <c r="X2225" s="50">
        <v>8.8999999999999996E-2</v>
      </c>
      <c r="Y2225" s="74">
        <f>0.03/2</f>
        <v>1.4999999999999999E-2</v>
      </c>
      <c r="Z2225" s="165">
        <v>0.91700000000000004</v>
      </c>
      <c r="AA2225" s="271">
        <v>0.70699999999999996</v>
      </c>
      <c r="AB2225" s="114">
        <v>39</v>
      </c>
      <c r="AC2225" s="50">
        <v>29</v>
      </c>
      <c r="AD2225" s="271">
        <v>0</v>
      </c>
    </row>
    <row r="2226" spans="1:67" ht="15" customHeight="1">
      <c r="A2226" s="41" t="s">
        <v>183</v>
      </c>
      <c r="B2226" s="402" t="s">
        <v>956</v>
      </c>
      <c r="C2226" s="113" t="s">
        <v>999</v>
      </c>
      <c r="D2226" s="393" t="s">
        <v>195</v>
      </c>
      <c r="E2226" s="394" t="s">
        <v>196</v>
      </c>
      <c r="G2226" s="405" t="s">
        <v>197</v>
      </c>
      <c r="H2226" s="74">
        <v>4151</v>
      </c>
      <c r="I2226" s="50" t="s">
        <v>2</v>
      </c>
      <c r="J2226" s="339" t="s">
        <v>1125</v>
      </c>
      <c r="K2226" s="51">
        <v>41116</v>
      </c>
      <c r="L2226" s="173">
        <v>41113</v>
      </c>
      <c r="M2226" s="50">
        <f t="shared" si="124"/>
        <v>3</v>
      </c>
      <c r="N2226" s="50" t="s">
        <v>2</v>
      </c>
      <c r="O2226" s="74">
        <v>6.9</v>
      </c>
      <c r="P2226" s="50">
        <v>5.88</v>
      </c>
      <c r="Q2226" s="74">
        <v>6.14</v>
      </c>
      <c r="R2226" s="50">
        <v>52.3</v>
      </c>
      <c r="S2226" s="74">
        <v>12.5</v>
      </c>
      <c r="T2226" s="50">
        <f>0.05/2</f>
        <v>2.5000000000000001E-2</v>
      </c>
      <c r="U2226" s="131">
        <v>1.6</v>
      </c>
      <c r="V2226" s="50">
        <v>0.68</v>
      </c>
      <c r="W2226" s="74">
        <v>0.02</v>
      </c>
      <c r="X2226" s="50">
        <v>0.27</v>
      </c>
      <c r="Y2226" s="74">
        <f>0.02/2</f>
        <v>0.01</v>
      </c>
      <c r="Z2226" s="165">
        <v>1</v>
      </c>
      <c r="AA2226" s="271">
        <v>0.81799999999999995</v>
      </c>
      <c r="AB2226" s="114">
        <v>12.7</v>
      </c>
      <c r="AC2226" s="50">
        <v>20.5</v>
      </c>
      <c r="AD2226" s="271">
        <v>0.3</v>
      </c>
    </row>
    <row r="2227" spans="1:67" ht="15" customHeight="1">
      <c r="A2227" s="41" t="s">
        <v>183</v>
      </c>
      <c r="B2227" s="402" t="s">
        <v>956</v>
      </c>
      <c r="C2227" s="113" t="s">
        <v>957</v>
      </c>
      <c r="D2227" s="393" t="s">
        <v>117</v>
      </c>
      <c r="E2227" s="394" t="s">
        <v>116</v>
      </c>
      <c r="G2227" s="405" t="s">
        <v>958</v>
      </c>
      <c r="H2227" s="74">
        <v>4151</v>
      </c>
      <c r="I2227" s="50" t="s">
        <v>2</v>
      </c>
      <c r="J2227" s="339" t="s">
        <v>1125</v>
      </c>
      <c r="K2227" s="51">
        <v>41109</v>
      </c>
      <c r="L2227" s="173">
        <v>41105</v>
      </c>
      <c r="M2227" s="50">
        <f t="shared" si="124"/>
        <v>4</v>
      </c>
      <c r="N2227" s="50" t="s">
        <v>2</v>
      </c>
      <c r="O2227" s="74">
        <v>6.4</v>
      </c>
      <c r="P2227" s="50">
        <v>6.85</v>
      </c>
      <c r="Q2227" s="74">
        <v>6.73</v>
      </c>
      <c r="R2227" s="50">
        <v>20.5</v>
      </c>
      <c r="S2227" s="74">
        <f>1/2</f>
        <v>0.5</v>
      </c>
      <c r="T2227" s="50">
        <v>0.16</v>
      </c>
      <c r="U2227" s="131">
        <v>1.92</v>
      </c>
      <c r="V2227" s="50">
        <v>0.65</v>
      </c>
      <c r="W2227" s="74">
        <f>0.01/2</f>
        <v>5.0000000000000001E-3</v>
      </c>
      <c r="X2227" s="50">
        <v>0.3</v>
      </c>
      <c r="Y2227" s="74">
        <f>0.02/2</f>
        <v>0.01</v>
      </c>
      <c r="Z2227" s="165">
        <v>1</v>
      </c>
      <c r="AA2227" s="271">
        <v>1</v>
      </c>
      <c r="AB2227" s="114">
        <v>6.29</v>
      </c>
      <c r="AC2227" s="50">
        <v>44.6</v>
      </c>
      <c r="AD2227" s="271">
        <v>0.8</v>
      </c>
    </row>
    <row r="2228" spans="1:67" ht="15" customHeight="1">
      <c r="A2228" s="41" t="s">
        <v>183</v>
      </c>
      <c r="B2228" s="402" t="s">
        <v>956</v>
      </c>
      <c r="C2228" s="113" t="s">
        <v>957</v>
      </c>
      <c r="D2228" s="393" t="s">
        <v>117</v>
      </c>
      <c r="E2228" s="394" t="s">
        <v>116</v>
      </c>
      <c r="G2228" s="405" t="s">
        <v>958</v>
      </c>
      <c r="H2228" s="74">
        <v>4151</v>
      </c>
      <c r="I2228" s="50" t="s">
        <v>2</v>
      </c>
      <c r="J2228" s="339" t="s">
        <v>1125</v>
      </c>
      <c r="K2228" s="51">
        <v>41345</v>
      </c>
      <c r="L2228" s="173">
        <v>41339</v>
      </c>
      <c r="M2228" s="50">
        <f t="shared" si="124"/>
        <v>6</v>
      </c>
      <c r="N2228" s="50" t="s">
        <v>2</v>
      </c>
      <c r="O2228" s="74">
        <f>1/2</f>
        <v>0.5</v>
      </c>
      <c r="P2228" s="50">
        <v>5.97</v>
      </c>
      <c r="Q2228" s="74">
        <v>6.05</v>
      </c>
      <c r="R2228" s="50">
        <v>10.3</v>
      </c>
      <c r="S2228" s="74">
        <v>12.5</v>
      </c>
      <c r="T2228" s="50">
        <v>0.05</v>
      </c>
      <c r="U2228" s="131">
        <v>0.56000000000000005</v>
      </c>
      <c r="V2228" s="50">
        <f>0.2/2</f>
        <v>0.1</v>
      </c>
      <c r="W2228" s="74">
        <f>0.01/2</f>
        <v>5.0000000000000001E-3</v>
      </c>
      <c r="X2228" s="50">
        <v>0.04</v>
      </c>
      <c r="Y2228" s="74">
        <f>0.02/2</f>
        <v>0.01</v>
      </c>
      <c r="Z2228" s="165"/>
    </row>
    <row r="2229" spans="1:67" ht="15" customHeight="1">
      <c r="A2229" s="41" t="s">
        <v>183</v>
      </c>
      <c r="B2229" s="402" t="s">
        <v>956</v>
      </c>
      <c r="C2229" s="113" t="s">
        <v>367</v>
      </c>
      <c r="D2229" s="393" t="s">
        <v>368</v>
      </c>
      <c r="E2229" s="394" t="s">
        <v>369</v>
      </c>
      <c r="G2229" s="405" t="s">
        <v>370</v>
      </c>
      <c r="H2229" s="74">
        <v>4151</v>
      </c>
      <c r="I2229" s="50" t="s">
        <v>1</v>
      </c>
      <c r="J2229" s="339" t="s">
        <v>3144</v>
      </c>
      <c r="K2229" s="51">
        <v>41149</v>
      </c>
      <c r="L2229" s="173">
        <v>41139</v>
      </c>
      <c r="M2229" s="50">
        <f t="shared" si="124"/>
        <v>10</v>
      </c>
      <c r="N2229" s="50" t="s">
        <v>2</v>
      </c>
      <c r="O2229" s="74">
        <v>6.9</v>
      </c>
      <c r="P2229" s="50">
        <v>4.62</v>
      </c>
      <c r="Q2229" s="74">
        <v>7.79</v>
      </c>
      <c r="R2229" s="50">
        <v>54.8</v>
      </c>
      <c r="S2229" s="74">
        <v>153</v>
      </c>
      <c r="T2229" s="50">
        <v>0.45</v>
      </c>
      <c r="U2229" s="131">
        <v>1</v>
      </c>
      <c r="V2229" s="50">
        <v>0.86</v>
      </c>
      <c r="W2229" s="74">
        <v>0.04</v>
      </c>
      <c r="X2229" s="50">
        <v>0.06</v>
      </c>
      <c r="Y2229" s="74">
        <v>0.04</v>
      </c>
      <c r="Z2229" s="165"/>
    </row>
    <row r="2230" spans="1:67" ht="15" customHeight="1">
      <c r="A2230" s="41" t="s">
        <v>183</v>
      </c>
      <c r="B2230" s="402" t="s">
        <v>956</v>
      </c>
      <c r="C2230" s="113" t="s">
        <v>5249</v>
      </c>
      <c r="D2230" s="393" t="s">
        <v>133</v>
      </c>
      <c r="E2230" s="394" t="s">
        <v>44</v>
      </c>
      <c r="G2230" s="405" t="s">
        <v>5250</v>
      </c>
      <c r="H2230" s="74">
        <v>4111</v>
      </c>
      <c r="I2230" s="50" t="s">
        <v>2</v>
      </c>
      <c r="J2230" s="339" t="s">
        <v>1125</v>
      </c>
      <c r="K2230" s="51">
        <v>41495</v>
      </c>
      <c r="L2230" s="173">
        <v>41488</v>
      </c>
      <c r="M2230" s="50">
        <f t="shared" si="124"/>
        <v>7</v>
      </c>
      <c r="N2230" s="50" t="s">
        <v>2</v>
      </c>
      <c r="O2230" s="74">
        <v>1.8</v>
      </c>
      <c r="P2230" s="50">
        <v>5.0999999999999996</v>
      </c>
      <c r="Q2230" s="74">
        <v>6.12</v>
      </c>
      <c r="R2230" s="50">
        <v>10.3</v>
      </c>
      <c r="S2230" s="74">
        <v>3</v>
      </c>
      <c r="T2230" s="50">
        <f>0.05/2</f>
        <v>2.5000000000000001E-2</v>
      </c>
      <c r="U2230" s="131">
        <v>1.42</v>
      </c>
      <c r="V2230" s="50">
        <f>0.2/2</f>
        <v>0.1</v>
      </c>
      <c r="W2230" s="74">
        <f>0.01/2</f>
        <v>5.0000000000000001E-3</v>
      </c>
      <c r="X2230" s="50">
        <v>0.26</v>
      </c>
      <c r="Y2230" s="74">
        <f>0.02/2</f>
        <v>0.01</v>
      </c>
      <c r="Z2230" s="165"/>
    </row>
    <row r="2231" spans="1:67" ht="15" customHeight="1">
      <c r="A2231" s="41" t="s">
        <v>183</v>
      </c>
      <c r="B2231" s="402" t="s">
        <v>956</v>
      </c>
      <c r="C2231" s="113" t="s">
        <v>4468</v>
      </c>
      <c r="D2231" s="393" t="s">
        <v>1896</v>
      </c>
      <c r="E2231" s="394" t="s">
        <v>4469</v>
      </c>
      <c r="G2231" s="405" t="s">
        <v>4470</v>
      </c>
      <c r="H2231" s="74">
        <v>4151</v>
      </c>
      <c r="I2231" s="50" t="s">
        <v>2</v>
      </c>
      <c r="J2231" s="339" t="s">
        <v>3144</v>
      </c>
      <c r="K2231" s="51">
        <v>41403</v>
      </c>
      <c r="L2231" s="173">
        <v>41384</v>
      </c>
      <c r="M2231" s="50">
        <f t="shared" si="124"/>
        <v>19</v>
      </c>
      <c r="N2231" s="50" t="s">
        <v>2</v>
      </c>
      <c r="O2231" s="74">
        <v>2.4</v>
      </c>
      <c r="P2231" s="50">
        <v>7</v>
      </c>
      <c r="Q2231" s="74">
        <v>6.7</v>
      </c>
      <c r="R2231" s="50">
        <v>15</v>
      </c>
      <c r="S2231" s="74">
        <v>39</v>
      </c>
      <c r="T2231" s="50">
        <v>0.12</v>
      </c>
      <c r="U2231" s="131">
        <v>0.47</v>
      </c>
      <c r="V2231" s="50">
        <v>0.22</v>
      </c>
      <c r="W2231" s="74">
        <v>1.4999999999999999E-2</v>
      </c>
      <c r="X2231" s="50">
        <v>7.5999999999999998E-2</v>
      </c>
      <c r="Y2231" s="74">
        <f>0.03/2</f>
        <v>1.4999999999999999E-2</v>
      </c>
      <c r="Z2231" s="165">
        <v>1</v>
      </c>
      <c r="AA2231" s="271">
        <v>1</v>
      </c>
      <c r="AB2231" s="114">
        <v>8</v>
      </c>
      <c r="AC2231" s="50">
        <v>23</v>
      </c>
      <c r="AD2231" s="271">
        <v>1</v>
      </c>
    </row>
    <row r="2232" spans="1:67" ht="15" customHeight="1">
      <c r="A2232" s="41" t="s">
        <v>183</v>
      </c>
      <c r="B2232" s="402" t="s">
        <v>2491</v>
      </c>
      <c r="C2232" s="113" t="s">
        <v>2492</v>
      </c>
      <c r="D2232" s="393" t="s">
        <v>98</v>
      </c>
      <c r="E2232" s="394" t="s">
        <v>1546</v>
      </c>
      <c r="G2232" s="405" t="s">
        <v>2493</v>
      </c>
      <c r="H2232" s="113">
        <v>5171</v>
      </c>
      <c r="I2232" s="49" t="s">
        <v>1</v>
      </c>
      <c r="J2232" s="48" t="s">
        <v>2494</v>
      </c>
      <c r="K2232" s="51">
        <v>41614</v>
      </c>
      <c r="L2232" s="173">
        <v>41605</v>
      </c>
      <c r="M2232" s="50">
        <f t="shared" si="124"/>
        <v>9</v>
      </c>
      <c r="N2232" s="50" t="s">
        <v>2</v>
      </c>
      <c r="O2232" s="74">
        <f>1.4/2</f>
        <v>0.7</v>
      </c>
      <c r="P2232" s="50">
        <v>4.75</v>
      </c>
      <c r="Q2232" s="74">
        <v>7.22</v>
      </c>
      <c r="R2232" s="50">
        <v>35</v>
      </c>
      <c r="S2232" s="74">
        <v>21</v>
      </c>
      <c r="T2232" s="50">
        <v>0.04</v>
      </c>
      <c r="U2232" s="131">
        <v>0.53</v>
      </c>
      <c r="V2232" s="50">
        <v>0.38</v>
      </c>
      <c r="W2232" s="74">
        <f>0.005/2</f>
        <v>2.5000000000000001E-3</v>
      </c>
      <c r="X2232" s="50">
        <v>0.05</v>
      </c>
      <c r="Y2232" s="74">
        <v>2E-3</v>
      </c>
      <c r="Z2232" s="165"/>
    </row>
    <row r="2233" spans="1:67" ht="15" customHeight="1">
      <c r="A2233" s="41" t="s">
        <v>183</v>
      </c>
      <c r="B2233" s="402" t="s">
        <v>2491</v>
      </c>
      <c r="C2233" s="113" t="s">
        <v>5239</v>
      </c>
      <c r="D2233" s="393" t="s">
        <v>262</v>
      </c>
      <c r="E2233" s="394" t="s">
        <v>874</v>
      </c>
      <c r="G2233" s="405" t="s">
        <v>5240</v>
      </c>
      <c r="H2233" s="74">
        <v>5171</v>
      </c>
      <c r="I2233" s="50" t="s">
        <v>1</v>
      </c>
      <c r="J2233" s="339" t="s">
        <v>3251</v>
      </c>
      <c r="K2233" s="51">
        <v>41072</v>
      </c>
      <c r="L2233" s="173">
        <v>41062</v>
      </c>
      <c r="M2233" s="50">
        <f t="shared" si="124"/>
        <v>10</v>
      </c>
      <c r="N2233" s="50" t="s">
        <v>2</v>
      </c>
      <c r="O2233" s="74">
        <v>1.7</v>
      </c>
      <c r="P2233" s="50">
        <v>4.9000000000000004</v>
      </c>
      <c r="Q2233" s="74">
        <v>6.79</v>
      </c>
      <c r="R2233" s="50">
        <v>48</v>
      </c>
      <c r="S2233" s="74">
        <v>11</v>
      </c>
      <c r="T2233" s="50">
        <v>0.16</v>
      </c>
      <c r="U2233" s="131">
        <v>2.95</v>
      </c>
      <c r="V2233" s="50">
        <v>0.46</v>
      </c>
      <c r="W2233" s="74">
        <v>0.02</v>
      </c>
      <c r="X2233" s="50">
        <v>0.1</v>
      </c>
      <c r="Y2233" s="74">
        <f>0.002/2</f>
        <v>1E-3</v>
      </c>
      <c r="Z2233" s="165">
        <v>1</v>
      </c>
      <c r="AA2233" s="271">
        <v>1</v>
      </c>
      <c r="AB2233" s="114">
        <v>64</v>
      </c>
      <c r="AC2233" s="50">
        <v>662</v>
      </c>
      <c r="AD2233" s="271">
        <v>1</v>
      </c>
      <c r="AI2233" s="160" t="s">
        <v>5241</v>
      </c>
      <c r="AJ2233" s="114">
        <v>340</v>
      </c>
      <c r="AY2233" s="5">
        <f>10/2</f>
        <v>5</v>
      </c>
      <c r="AZ2233" s="5">
        <f>10/2</f>
        <v>5</v>
      </c>
      <c r="BA2233" s="5">
        <f>10/2</f>
        <v>5</v>
      </c>
      <c r="BB2233" s="5">
        <f>0.3/2</f>
        <v>0.15</v>
      </c>
      <c r="BC2233" s="5">
        <f>10/2</f>
        <v>5</v>
      </c>
      <c r="BD2233" s="5">
        <f>0.3/2</f>
        <v>0.15</v>
      </c>
      <c r="BE2233" s="5">
        <f>10/2</f>
        <v>5</v>
      </c>
      <c r="BF2233" s="5">
        <f>10/2</f>
        <v>5</v>
      </c>
      <c r="BG2233" s="5">
        <f>10/2</f>
        <v>5</v>
      </c>
      <c r="BH2233" s="5">
        <v>0.8</v>
      </c>
      <c r="BI2233" s="5">
        <f>4.8/2</f>
        <v>2.4</v>
      </c>
      <c r="BJ2233" s="5">
        <v>0.4</v>
      </c>
      <c r="BK2233" s="5">
        <f>0.3/2</f>
        <v>0.15</v>
      </c>
      <c r="BL2233" s="5">
        <f>0.2/2</f>
        <v>0.1</v>
      </c>
      <c r="BM2233" s="5">
        <f>0.5/2</f>
        <v>0.25</v>
      </c>
      <c r="BN2233" s="5">
        <f>0.5/2</f>
        <v>0.25</v>
      </c>
      <c r="BO2233" s="5">
        <f>10/2</f>
        <v>5</v>
      </c>
    </row>
    <row r="2234" spans="1:67" ht="15" customHeight="1">
      <c r="A2234" s="41" t="s">
        <v>183</v>
      </c>
      <c r="B2234" s="402" t="s">
        <v>2491</v>
      </c>
      <c r="C2234" s="113" t="s">
        <v>5239</v>
      </c>
      <c r="D2234" s="393" t="s">
        <v>262</v>
      </c>
      <c r="E2234" s="394" t="s">
        <v>874</v>
      </c>
      <c r="G2234" s="405" t="s">
        <v>5240</v>
      </c>
      <c r="H2234" s="74">
        <v>5171</v>
      </c>
      <c r="I2234" s="50" t="s">
        <v>1</v>
      </c>
      <c r="J2234" s="339" t="s">
        <v>3251</v>
      </c>
      <c r="K2234" s="51">
        <v>41345</v>
      </c>
      <c r="L2234" s="173">
        <v>41341</v>
      </c>
      <c r="M2234" s="50">
        <f t="shared" si="124"/>
        <v>4</v>
      </c>
      <c r="N2234" s="50" t="s">
        <v>2</v>
      </c>
      <c r="O2234" s="74">
        <f>2/2</f>
        <v>1</v>
      </c>
      <c r="P2234" s="50">
        <v>7.25</v>
      </c>
      <c r="Q2234" s="74">
        <v>7.32</v>
      </c>
      <c r="R2234" s="50">
        <v>16</v>
      </c>
      <c r="S2234" s="74">
        <v>15</v>
      </c>
      <c r="T2234" s="50">
        <v>0.08</v>
      </c>
      <c r="U2234" s="131">
        <v>0.77</v>
      </c>
      <c r="V2234" s="50">
        <v>0.25</v>
      </c>
      <c r="W2234" s="74">
        <v>1.2999999999999999E-2</v>
      </c>
      <c r="X2234" s="50">
        <f>0.03/2</f>
        <v>1.4999999999999999E-2</v>
      </c>
      <c r="Y2234" s="74">
        <f>0.03/2</f>
        <v>1.4999999999999999E-2</v>
      </c>
      <c r="Z2234" s="165">
        <v>1</v>
      </c>
      <c r="AA2234" s="271">
        <v>1</v>
      </c>
      <c r="AB2234" s="114">
        <v>18</v>
      </c>
      <c r="AC2234" s="50">
        <v>166</v>
      </c>
      <c r="AD2234" s="271">
        <v>1</v>
      </c>
      <c r="AI2234" s="114">
        <f>100/2</f>
        <v>50</v>
      </c>
      <c r="AJ2234" s="114">
        <v>1000</v>
      </c>
      <c r="AQ2234" s="114">
        <f>10/2</f>
        <v>5</v>
      </c>
    </row>
    <row r="2235" spans="1:67" ht="15" customHeight="1">
      <c r="A2235" s="41" t="s">
        <v>183</v>
      </c>
      <c r="B2235" s="402" t="s">
        <v>2491</v>
      </c>
      <c r="C2235" s="113" t="s">
        <v>5239</v>
      </c>
      <c r="D2235" s="393" t="s">
        <v>262</v>
      </c>
      <c r="E2235" s="394" t="s">
        <v>874</v>
      </c>
      <c r="G2235" s="405" t="s">
        <v>5240</v>
      </c>
      <c r="H2235" s="74">
        <v>5171</v>
      </c>
      <c r="I2235" s="50" t="s">
        <v>1</v>
      </c>
      <c r="J2235" s="339" t="s">
        <v>3251</v>
      </c>
      <c r="K2235" s="51">
        <v>41614</v>
      </c>
      <c r="L2235" s="173">
        <v>41605</v>
      </c>
      <c r="M2235" s="50">
        <f t="shared" si="124"/>
        <v>9</v>
      </c>
      <c r="N2235" s="50" t="s">
        <v>2</v>
      </c>
      <c r="O2235" s="74">
        <v>11</v>
      </c>
      <c r="P2235" s="50">
        <v>4.75</v>
      </c>
      <c r="Q2235" s="74">
        <v>6.48</v>
      </c>
      <c r="R2235" s="50">
        <v>130</v>
      </c>
      <c r="S2235" s="74">
        <v>12</v>
      </c>
      <c r="T2235" s="50">
        <v>0.06</v>
      </c>
      <c r="U2235" s="131">
        <v>0.71</v>
      </c>
      <c r="V2235" s="50">
        <v>0.18</v>
      </c>
      <c r="W2235" s="74">
        <v>7.0000000000000001E-3</v>
      </c>
      <c r="X2235" s="50">
        <v>0.16</v>
      </c>
      <c r="Y2235" s="74">
        <f>0.002/2</f>
        <v>1E-3</v>
      </c>
      <c r="Z2235" s="165"/>
    </row>
    <row r="2236" spans="1:67" ht="15" customHeight="1">
      <c r="A2236" s="41" t="s">
        <v>183</v>
      </c>
      <c r="B2236" s="402" t="s">
        <v>5231</v>
      </c>
      <c r="C2236" s="113" t="s">
        <v>2285</v>
      </c>
      <c r="D2236" s="393" t="s">
        <v>41</v>
      </c>
      <c r="E2236" s="394" t="s">
        <v>2286</v>
      </c>
      <c r="F2236" s="402" t="s">
        <v>961</v>
      </c>
      <c r="G2236" s="405" t="s">
        <v>2287</v>
      </c>
      <c r="H2236" s="113">
        <v>4225</v>
      </c>
      <c r="I2236" s="49" t="s">
        <v>2</v>
      </c>
      <c r="J2236" s="48" t="s">
        <v>1126</v>
      </c>
      <c r="K2236" s="51">
        <v>41170</v>
      </c>
      <c r="L2236" s="173">
        <v>41160</v>
      </c>
      <c r="M2236" s="50">
        <f t="shared" si="124"/>
        <v>10</v>
      </c>
      <c r="N2236" s="50" t="s">
        <v>2</v>
      </c>
      <c r="O2236" s="74">
        <f>1.8/2</f>
        <v>0.9</v>
      </c>
      <c r="P2236" s="50">
        <v>5</v>
      </c>
      <c r="Q2236" s="74">
        <v>6.1</v>
      </c>
      <c r="R2236" s="50">
        <v>34</v>
      </c>
      <c r="S2236" s="74">
        <v>7</v>
      </c>
      <c r="T2236" s="50">
        <v>8.6999999999999994E-2</v>
      </c>
      <c r="U2236" s="131">
        <v>1.8</v>
      </c>
      <c r="V2236" s="50">
        <v>1.31</v>
      </c>
      <c r="W2236" s="74">
        <f>0.005/2</f>
        <v>2.5000000000000001E-3</v>
      </c>
      <c r="X2236" s="50">
        <v>0.65700000000000003</v>
      </c>
      <c r="Y2236" s="74">
        <f>0.005/2</f>
        <v>2.5000000000000001E-3</v>
      </c>
      <c r="Z2236" s="165"/>
    </row>
    <row r="2237" spans="1:67" ht="15" customHeight="1">
      <c r="A2237" s="41" t="s">
        <v>183</v>
      </c>
      <c r="B2237" s="402" t="s">
        <v>4063</v>
      </c>
      <c r="C2237" s="113" t="s">
        <v>4064</v>
      </c>
      <c r="D2237" s="393" t="s">
        <v>1683</v>
      </c>
      <c r="E2237" s="394" t="s">
        <v>304</v>
      </c>
      <c r="F2237" s="402">
        <v>6000</v>
      </c>
      <c r="G2237" s="405" t="s">
        <v>4065</v>
      </c>
      <c r="H2237" s="113">
        <v>4952</v>
      </c>
      <c r="I2237" s="49" t="s">
        <v>2</v>
      </c>
      <c r="J2237" s="50" t="s">
        <v>641</v>
      </c>
      <c r="K2237" s="51">
        <v>41201</v>
      </c>
      <c r="L2237" s="115">
        <v>41192</v>
      </c>
      <c r="M2237" s="50">
        <f t="shared" si="124"/>
        <v>9</v>
      </c>
      <c r="N2237" s="50" t="s">
        <v>2</v>
      </c>
      <c r="O2237" s="131">
        <v>2.1</v>
      </c>
      <c r="P2237" s="117">
        <v>6</v>
      </c>
      <c r="Q2237" s="131">
        <v>6.3</v>
      </c>
      <c r="R2237" s="50">
        <v>10.3</v>
      </c>
      <c r="S2237" s="74">
        <v>5.5</v>
      </c>
      <c r="T2237" s="50">
        <v>0.05</v>
      </c>
      <c r="U2237" s="74">
        <v>0.51</v>
      </c>
      <c r="V2237" s="50">
        <v>0.1</v>
      </c>
      <c r="W2237" s="74">
        <v>5.0000000000000001E-3</v>
      </c>
      <c r="X2237" s="50">
        <v>0.03</v>
      </c>
      <c r="Y2237" s="74">
        <v>0.01</v>
      </c>
      <c r="Z2237" s="164">
        <v>1</v>
      </c>
      <c r="AA2237" s="165">
        <v>1</v>
      </c>
      <c r="AB2237" s="50">
        <v>1.24</v>
      </c>
      <c r="AC2237" s="74">
        <v>8.6999999999999993</v>
      </c>
      <c r="AD2237" s="271">
        <v>0.95</v>
      </c>
      <c r="AR2237" s="50">
        <v>0.97</v>
      </c>
      <c r="AS2237" s="113">
        <v>6.0000000000000001E-3</v>
      </c>
    </row>
    <row r="2238" spans="1:67" ht="15" customHeight="1">
      <c r="A2238" s="41" t="s">
        <v>183</v>
      </c>
      <c r="B2238" s="402" t="s">
        <v>4063</v>
      </c>
      <c r="C2238" s="113" t="s">
        <v>4064</v>
      </c>
      <c r="D2238" s="393" t="s">
        <v>1683</v>
      </c>
      <c r="E2238" s="394" t="s">
        <v>304</v>
      </c>
      <c r="F2238" s="402">
        <v>6000</v>
      </c>
      <c r="G2238" s="405" t="s">
        <v>4065</v>
      </c>
      <c r="H2238" s="113">
        <v>4952</v>
      </c>
      <c r="I2238" s="49" t="s">
        <v>2</v>
      </c>
      <c r="J2238" s="50" t="s">
        <v>641</v>
      </c>
      <c r="K2238" s="51">
        <v>41260</v>
      </c>
      <c r="L2238" s="115">
        <v>41253</v>
      </c>
      <c r="M2238" s="50">
        <f t="shared" si="124"/>
        <v>7</v>
      </c>
      <c r="N2238" s="50" t="s">
        <v>2</v>
      </c>
      <c r="O2238" s="131">
        <v>1.6</v>
      </c>
      <c r="P2238" s="117">
        <v>5.91</v>
      </c>
      <c r="Q2238" s="131">
        <v>5.91</v>
      </c>
      <c r="R2238" s="50">
        <v>13.8</v>
      </c>
      <c r="S2238" s="74">
        <v>15.5</v>
      </c>
      <c r="T2238" s="50">
        <v>0.12</v>
      </c>
      <c r="U2238" s="74">
        <v>0.79</v>
      </c>
      <c r="V2238" s="50">
        <v>0.1</v>
      </c>
      <c r="W2238" s="74">
        <v>5.0000000000000001E-3</v>
      </c>
      <c r="X2238" s="50">
        <v>0.06</v>
      </c>
      <c r="Y2238" s="74">
        <v>0.01</v>
      </c>
      <c r="Z2238" s="164"/>
      <c r="AA2238" s="165"/>
      <c r="AB2238" s="50"/>
      <c r="AC2238" s="74"/>
      <c r="AR2238" s="50">
        <v>0.6</v>
      </c>
      <c r="AS2238" s="113">
        <v>2.5000000000000001E-3</v>
      </c>
    </row>
    <row r="2239" spans="1:67" ht="15" customHeight="1">
      <c r="A2239" s="41" t="s">
        <v>183</v>
      </c>
      <c r="B2239" s="402" t="s">
        <v>4063</v>
      </c>
      <c r="C2239" s="113" t="s">
        <v>4064</v>
      </c>
      <c r="D2239" s="393" t="s">
        <v>1683</v>
      </c>
      <c r="E2239" s="394" t="s">
        <v>304</v>
      </c>
      <c r="F2239" s="402">
        <v>6000</v>
      </c>
      <c r="G2239" s="405" t="s">
        <v>4065</v>
      </c>
      <c r="H2239" s="113">
        <v>4952</v>
      </c>
      <c r="I2239" s="75" t="s">
        <v>2</v>
      </c>
      <c r="J2239" s="50" t="s">
        <v>641</v>
      </c>
      <c r="K2239" s="51">
        <v>41333</v>
      </c>
      <c r="L2239" s="115">
        <v>41322</v>
      </c>
      <c r="M2239" s="50">
        <f t="shared" si="124"/>
        <v>11</v>
      </c>
      <c r="N2239" s="50" t="s">
        <v>2</v>
      </c>
      <c r="O2239" s="74">
        <v>0.5</v>
      </c>
      <c r="P2239" s="50">
        <v>6.04</v>
      </c>
      <c r="Q2239" s="131">
        <v>5.98</v>
      </c>
      <c r="R2239" s="50">
        <v>1</v>
      </c>
      <c r="S2239" s="74">
        <v>0.5</v>
      </c>
      <c r="T2239" s="50">
        <v>0.05</v>
      </c>
      <c r="U2239" s="74">
        <v>0.24</v>
      </c>
      <c r="V2239" s="50">
        <v>0.1</v>
      </c>
      <c r="W2239" s="74">
        <v>0.02</v>
      </c>
      <c r="X2239" s="50">
        <v>0.06</v>
      </c>
      <c r="Y2239" s="74">
        <v>0.01</v>
      </c>
      <c r="Z2239" s="164">
        <v>0.79200000000000004</v>
      </c>
      <c r="AA2239" s="165">
        <v>0.72199999999999998</v>
      </c>
      <c r="AB2239" s="50">
        <v>0.5</v>
      </c>
      <c r="AC2239" s="74">
        <v>20.7</v>
      </c>
      <c r="AD2239" s="271">
        <v>0</v>
      </c>
      <c r="AR2239" s="50">
        <v>2.4</v>
      </c>
      <c r="AS2239" s="113">
        <v>2.5000000000000001E-3</v>
      </c>
    </row>
    <row r="2240" spans="1:67" ht="15" customHeight="1">
      <c r="A2240" s="41" t="s">
        <v>183</v>
      </c>
      <c r="B2240" s="402" t="s">
        <v>4063</v>
      </c>
      <c r="C2240" s="113" t="s">
        <v>4064</v>
      </c>
      <c r="D2240" s="393" t="s">
        <v>1683</v>
      </c>
      <c r="E2240" s="394" t="s">
        <v>304</v>
      </c>
      <c r="F2240" s="402">
        <v>6000</v>
      </c>
      <c r="G2240" s="405" t="s">
        <v>4065</v>
      </c>
      <c r="H2240" s="113">
        <v>4952</v>
      </c>
      <c r="I2240" s="49" t="s">
        <v>2</v>
      </c>
      <c r="J2240" s="50" t="s">
        <v>4599</v>
      </c>
      <c r="K2240" s="51">
        <v>41527</v>
      </c>
      <c r="L2240" s="115">
        <v>41519</v>
      </c>
      <c r="M2240" s="50">
        <f t="shared" si="124"/>
        <v>8</v>
      </c>
      <c r="N2240" s="50" t="s">
        <v>2</v>
      </c>
      <c r="O2240" s="74">
        <v>1.5</v>
      </c>
      <c r="P2240" s="50">
        <v>5.42</v>
      </c>
      <c r="Q2240" s="74">
        <v>5.61</v>
      </c>
      <c r="R2240" s="50">
        <v>26.9</v>
      </c>
      <c r="S2240" s="74">
        <v>24</v>
      </c>
      <c r="T2240" s="50">
        <v>7.0000000000000007E-2</v>
      </c>
      <c r="U2240" s="74">
        <v>1.48</v>
      </c>
      <c r="V2240" s="50">
        <v>0.32</v>
      </c>
      <c r="W2240" s="74">
        <v>5.0000000000000001E-3</v>
      </c>
      <c r="X2240" s="50">
        <v>7.0000000000000007E-2</v>
      </c>
      <c r="Y2240" s="74">
        <v>0.01</v>
      </c>
      <c r="Z2240" s="164"/>
      <c r="AA2240" s="165"/>
      <c r="AB2240" s="50"/>
      <c r="AC2240" s="74"/>
      <c r="AR2240" s="50">
        <v>1.08</v>
      </c>
      <c r="AS2240" s="50">
        <v>2.5000000000000001E-3</v>
      </c>
    </row>
    <row r="2241" spans="1:43" ht="15" customHeight="1">
      <c r="A2241" s="41" t="s">
        <v>183</v>
      </c>
      <c r="B2241" s="402" t="s">
        <v>4063</v>
      </c>
      <c r="C2241" s="113" t="s">
        <v>4064</v>
      </c>
      <c r="D2241" s="393" t="s">
        <v>1683</v>
      </c>
      <c r="E2241" s="394" t="s">
        <v>304</v>
      </c>
      <c r="F2241" s="402">
        <v>6000</v>
      </c>
      <c r="G2241" s="405" t="s">
        <v>4065</v>
      </c>
      <c r="H2241" s="74">
        <v>4952</v>
      </c>
      <c r="J2241" s="339" t="s">
        <v>641</v>
      </c>
      <c r="K2241" s="51">
        <v>41605</v>
      </c>
      <c r="L2241" s="173">
        <v>41585</v>
      </c>
      <c r="M2241" s="50">
        <f t="shared" si="124"/>
        <v>20</v>
      </c>
      <c r="N2241" s="50" t="s">
        <v>2</v>
      </c>
      <c r="O2241" s="74">
        <v>16</v>
      </c>
      <c r="P2241" s="50">
        <v>5.63</v>
      </c>
      <c r="Q2241" s="74">
        <v>5.78</v>
      </c>
      <c r="R2241" s="50">
        <v>6.8</v>
      </c>
      <c r="S2241" s="74">
        <f>1/2</f>
        <v>0.5</v>
      </c>
      <c r="T2241" s="50">
        <v>0.05</v>
      </c>
      <c r="U2241" s="131">
        <v>0.26</v>
      </c>
      <c r="V2241" s="50">
        <f>0.2/2</f>
        <v>0.1</v>
      </c>
      <c r="W2241" s="74">
        <f>0.01/2</f>
        <v>5.0000000000000001E-3</v>
      </c>
      <c r="X2241" s="50">
        <v>0.02</v>
      </c>
      <c r="Y2241" s="74">
        <f>0.02/2</f>
        <v>0.01</v>
      </c>
      <c r="Z2241"/>
      <c r="AA2241"/>
      <c r="AB2241"/>
      <c r="AC2241"/>
      <c r="AD2241"/>
      <c r="AE2241" s="5"/>
      <c r="AF2241"/>
    </row>
    <row r="2242" spans="1:43" ht="15" customHeight="1">
      <c r="A2242" s="41" t="s">
        <v>183</v>
      </c>
      <c r="B2242" s="402" t="s">
        <v>1351</v>
      </c>
      <c r="C2242" s="113" t="s">
        <v>1372</v>
      </c>
      <c r="D2242" s="393" t="s">
        <v>338</v>
      </c>
      <c r="E2242" s="394" t="s">
        <v>235</v>
      </c>
      <c r="G2242" s="405" t="s">
        <v>5252</v>
      </c>
      <c r="H2242" s="74">
        <v>4513</v>
      </c>
      <c r="I2242" s="50" t="s">
        <v>2</v>
      </c>
      <c r="J2242" s="339" t="s">
        <v>5253</v>
      </c>
      <c r="K2242" s="51">
        <v>41443</v>
      </c>
      <c r="L2242" s="173">
        <v>41439</v>
      </c>
      <c r="M2242" s="50">
        <f t="shared" si="124"/>
        <v>4</v>
      </c>
      <c r="N2242" s="50" t="s">
        <v>2</v>
      </c>
      <c r="O2242" s="74">
        <f>5/2</f>
        <v>2.5</v>
      </c>
      <c r="P2242" s="50">
        <v>5.5</v>
      </c>
      <c r="Q2242" s="74">
        <v>5.4</v>
      </c>
      <c r="R2242" s="50">
        <v>160</v>
      </c>
      <c r="S2242" s="74">
        <v>120</v>
      </c>
      <c r="T2242" s="50">
        <v>0.37</v>
      </c>
      <c r="U2242" s="131">
        <v>4</v>
      </c>
      <c r="V2242" s="50">
        <v>1.2</v>
      </c>
      <c r="W2242" s="74">
        <v>2.1000000000000001E-2</v>
      </c>
      <c r="X2242" s="50">
        <v>0.15</v>
      </c>
      <c r="Y2242" s="74">
        <f>0.01/2</f>
        <v>5.0000000000000001E-3</v>
      </c>
      <c r="Z2242" s="165"/>
    </row>
    <row r="2243" spans="1:43" ht="15" customHeight="1">
      <c r="A2243" s="41" t="s">
        <v>183</v>
      </c>
      <c r="B2243" s="402" t="s">
        <v>1351</v>
      </c>
      <c r="C2243" s="113" t="s">
        <v>1370</v>
      </c>
      <c r="D2243" s="393" t="s">
        <v>434</v>
      </c>
      <c r="E2243" s="394" t="s">
        <v>874</v>
      </c>
      <c r="G2243" s="405" t="s">
        <v>1371</v>
      </c>
      <c r="H2243" s="74">
        <v>4513</v>
      </c>
      <c r="I2243" s="50" t="s">
        <v>2</v>
      </c>
      <c r="J2243" s="339" t="s">
        <v>335</v>
      </c>
      <c r="K2243" s="51">
        <v>41539</v>
      </c>
      <c r="L2243" s="173">
        <v>41530</v>
      </c>
      <c r="M2243" s="50">
        <f t="shared" si="124"/>
        <v>9</v>
      </c>
      <c r="N2243" s="50" t="s">
        <v>2</v>
      </c>
      <c r="O2243" s="74">
        <f>6/2</f>
        <v>3</v>
      </c>
      <c r="P2243" s="50">
        <v>6.89</v>
      </c>
      <c r="Q2243" s="74">
        <v>5.7</v>
      </c>
      <c r="R2243" s="50">
        <v>74</v>
      </c>
      <c r="S2243" s="74">
        <v>32</v>
      </c>
      <c r="T2243" s="50">
        <v>0.15</v>
      </c>
      <c r="U2243" s="131">
        <v>0.95</v>
      </c>
      <c r="V2243" s="50">
        <v>0.68</v>
      </c>
      <c r="W2243" s="74">
        <v>2.1999999999999999E-2</v>
      </c>
      <c r="X2243" s="50">
        <v>0.11</v>
      </c>
      <c r="Y2243" s="74">
        <f>0.01/2</f>
        <v>5.0000000000000001E-3</v>
      </c>
      <c r="Z2243" s="165"/>
    </row>
    <row r="2244" spans="1:43" ht="15" customHeight="1">
      <c r="A2244" s="41" t="s">
        <v>183</v>
      </c>
      <c r="B2244" s="402" t="s">
        <v>1351</v>
      </c>
      <c r="C2244" s="113" t="s">
        <v>1365</v>
      </c>
      <c r="D2244" s="393" t="s">
        <v>735</v>
      </c>
      <c r="G2244" s="405" t="s">
        <v>1366</v>
      </c>
      <c r="H2244" s="74">
        <v>4513</v>
      </c>
      <c r="I2244" s="50" t="s">
        <v>2</v>
      </c>
      <c r="J2244" s="339" t="s">
        <v>1355</v>
      </c>
      <c r="K2244" s="51">
        <v>41529</v>
      </c>
      <c r="L2244" s="173">
        <v>41520</v>
      </c>
      <c r="M2244" s="50">
        <f t="shared" si="124"/>
        <v>9</v>
      </c>
      <c r="N2244" s="50" t="s">
        <v>2</v>
      </c>
      <c r="O2244" s="74">
        <f>6/2</f>
        <v>3</v>
      </c>
      <c r="P2244" s="50">
        <v>7.19</v>
      </c>
      <c r="Q2244" s="74">
        <v>4.5</v>
      </c>
      <c r="R2244" s="50">
        <f>10/2</f>
        <v>5</v>
      </c>
      <c r="S2244" s="74">
        <v>12</v>
      </c>
      <c r="T2244" s="50">
        <f>0.1/2</f>
        <v>0.05</v>
      </c>
      <c r="U2244" s="131">
        <v>0.15</v>
      </c>
      <c r="V2244" s="50">
        <f>0.1/2</f>
        <v>0.05</v>
      </c>
      <c r="W2244" s="74">
        <f>0.01/2</f>
        <v>5.0000000000000001E-3</v>
      </c>
      <c r="X2244" s="50">
        <v>2.9000000000000001E-2</v>
      </c>
      <c r="Y2244" s="74">
        <f>0.01/2</f>
        <v>5.0000000000000001E-3</v>
      </c>
      <c r="Z2244" s="165">
        <v>1</v>
      </c>
      <c r="AA2244" s="271">
        <v>1</v>
      </c>
      <c r="AC2244" s="50">
        <v>6</v>
      </c>
      <c r="AD2244" s="271">
        <v>1</v>
      </c>
    </row>
    <row r="2245" spans="1:43" ht="15" customHeight="1">
      <c r="A2245" s="74" t="s">
        <v>183</v>
      </c>
      <c r="B2245" s="402" t="s">
        <v>1351</v>
      </c>
      <c r="C2245" s="113" t="s">
        <v>3733</v>
      </c>
      <c r="D2245" s="393" t="s">
        <v>89</v>
      </c>
      <c r="E2245" s="394" t="s">
        <v>1363</v>
      </c>
      <c r="G2245" s="405" t="s">
        <v>1364</v>
      </c>
      <c r="H2245" s="74">
        <v>4513</v>
      </c>
      <c r="I2245" s="50" t="s">
        <v>1</v>
      </c>
      <c r="J2245" s="339" t="s">
        <v>3734</v>
      </c>
      <c r="K2245" s="51">
        <v>41529</v>
      </c>
      <c r="L2245" s="173">
        <v>41520</v>
      </c>
      <c r="M2245" s="50">
        <f t="shared" si="124"/>
        <v>9</v>
      </c>
      <c r="N2245" s="50" t="s">
        <v>2</v>
      </c>
      <c r="O2245" s="74">
        <f>5/2</f>
        <v>2.5</v>
      </c>
      <c r="P2245" s="50">
        <v>5</v>
      </c>
      <c r="Q2245" s="74">
        <v>6.2</v>
      </c>
      <c r="R2245" s="50">
        <v>85</v>
      </c>
      <c r="S2245" s="74">
        <v>54</v>
      </c>
      <c r="T2245" s="50">
        <v>0.28000000000000003</v>
      </c>
      <c r="U2245" s="131">
        <v>1.8</v>
      </c>
      <c r="V2245" s="50">
        <v>0.52</v>
      </c>
      <c r="W2245" s="74">
        <v>0.01</v>
      </c>
      <c r="X2245" s="50">
        <v>6.4000000000000001E-2</v>
      </c>
      <c r="Y2245" s="74">
        <f>0.01/2</f>
        <v>5.0000000000000001E-3</v>
      </c>
      <c r="Z2245" s="165"/>
    </row>
    <row r="2246" spans="1:43" ht="15" customHeight="1">
      <c r="A2246" s="41" t="s">
        <v>183</v>
      </c>
      <c r="B2246" s="402" t="s">
        <v>5128</v>
      </c>
      <c r="D2246" s="393" t="s">
        <v>350</v>
      </c>
      <c r="E2246" s="394" t="s">
        <v>467</v>
      </c>
      <c r="G2246" s="405" t="s">
        <v>5254</v>
      </c>
      <c r="H2246" s="74">
        <v>4215</v>
      </c>
      <c r="I2246" s="50" t="s">
        <v>2</v>
      </c>
      <c r="J2246" s="339" t="s">
        <v>510</v>
      </c>
      <c r="K2246" s="51">
        <v>41585</v>
      </c>
      <c r="L2246" s="173">
        <v>41578</v>
      </c>
      <c r="M2246" s="50">
        <f t="shared" si="124"/>
        <v>7</v>
      </c>
      <c r="N2246" s="50" t="s">
        <v>2</v>
      </c>
      <c r="O2246" s="74">
        <f>1.4/2</f>
        <v>0.7</v>
      </c>
      <c r="P2246" s="50">
        <v>5.54</v>
      </c>
      <c r="Q2246" s="74">
        <v>6.76</v>
      </c>
      <c r="R2246" s="50">
        <v>22</v>
      </c>
      <c r="S2246" s="74">
        <v>13</v>
      </c>
      <c r="T2246" s="50">
        <v>0.27</v>
      </c>
      <c r="U2246" s="131">
        <v>1.59</v>
      </c>
      <c r="V2246" s="50">
        <v>0.15</v>
      </c>
      <c r="W2246" s="74">
        <f>0.005/2</f>
        <v>2.5000000000000001E-3</v>
      </c>
      <c r="X2246" s="50">
        <v>2.1000000000000001E-2</v>
      </c>
      <c r="Y2246" s="74">
        <f>0.002/2</f>
        <v>1E-3</v>
      </c>
      <c r="Z2246" s="165"/>
    </row>
    <row r="2247" spans="1:43" ht="15" customHeight="1">
      <c r="A2247" s="41" t="s">
        <v>183</v>
      </c>
      <c r="B2247" s="402" t="s">
        <v>597</v>
      </c>
      <c r="C2247" s="113" t="s">
        <v>626</v>
      </c>
      <c r="D2247" s="393" t="s">
        <v>534</v>
      </c>
      <c r="E2247" s="394" t="s">
        <v>627</v>
      </c>
      <c r="G2247" s="405" t="s">
        <v>628</v>
      </c>
      <c r="H2247" s="49">
        <v>3273</v>
      </c>
      <c r="I2247" s="50" t="s">
        <v>1</v>
      </c>
      <c r="J2247" s="260" t="s">
        <v>366</v>
      </c>
      <c r="K2247" s="51">
        <v>41499</v>
      </c>
      <c r="L2247" s="173">
        <v>41495</v>
      </c>
      <c r="M2247" s="50">
        <f t="shared" si="124"/>
        <v>4</v>
      </c>
      <c r="N2247" s="50" t="s">
        <v>2</v>
      </c>
      <c r="O2247" s="74">
        <f>1/2</f>
        <v>0.5</v>
      </c>
      <c r="P2247" s="50">
        <v>5.5</v>
      </c>
      <c r="Q2247" s="74">
        <v>7.2</v>
      </c>
      <c r="R2247" s="50">
        <f>5/2</f>
        <v>2.5</v>
      </c>
      <c r="S2247" s="74">
        <v>2.2000000000000002</v>
      </c>
      <c r="T2247" s="50">
        <v>0.02</v>
      </c>
      <c r="U2247" s="131">
        <v>0.64</v>
      </c>
      <c r="V2247" s="50">
        <f>0.5/2</f>
        <v>0.25</v>
      </c>
      <c r="W2247" s="74">
        <f>0.005/2</f>
        <v>2.5000000000000001E-3</v>
      </c>
      <c r="X2247" s="50">
        <v>0.05</v>
      </c>
      <c r="Y2247" s="74">
        <v>1.2999999999999999E-2</v>
      </c>
      <c r="Z2247" s="165">
        <v>1</v>
      </c>
      <c r="AA2247" s="271">
        <v>1</v>
      </c>
      <c r="AB2247" s="114">
        <v>2</v>
      </c>
      <c r="AC2247" s="50">
        <v>9</v>
      </c>
      <c r="AD2247" s="271">
        <v>0.65</v>
      </c>
    </row>
    <row r="2248" spans="1:43" ht="15" customHeight="1">
      <c r="A2248" s="41" t="s">
        <v>183</v>
      </c>
      <c r="B2248" s="402" t="s">
        <v>597</v>
      </c>
      <c r="C2248" s="113" t="s">
        <v>626</v>
      </c>
      <c r="D2248" s="393" t="s">
        <v>534</v>
      </c>
      <c r="E2248" s="394" t="s">
        <v>627</v>
      </c>
      <c r="G2248" s="405" t="s">
        <v>628</v>
      </c>
      <c r="H2248" s="49">
        <v>3273</v>
      </c>
      <c r="I2248" s="50" t="s">
        <v>1</v>
      </c>
      <c r="J2248" s="260" t="s">
        <v>593</v>
      </c>
      <c r="K2248" s="51">
        <v>41499</v>
      </c>
      <c r="L2248" s="173">
        <v>41495</v>
      </c>
      <c r="M2248" s="50">
        <f t="shared" si="124"/>
        <v>4</v>
      </c>
      <c r="N2248" s="50" t="s">
        <v>2</v>
      </c>
      <c r="O2248" s="74">
        <f>1/2</f>
        <v>0.5</v>
      </c>
      <c r="P2248" s="50">
        <v>5.5</v>
      </c>
      <c r="Q2248" s="74">
        <v>7.6</v>
      </c>
      <c r="R2248" s="50">
        <v>91</v>
      </c>
      <c r="S2248" s="74">
        <v>133</v>
      </c>
      <c r="T2248" s="50">
        <v>0.12</v>
      </c>
      <c r="U2248" s="131">
        <v>1.5</v>
      </c>
      <c r="V2248" s="50">
        <f>0.5/2</f>
        <v>0.25</v>
      </c>
      <c r="W2248" s="74">
        <v>0.01</v>
      </c>
      <c r="X2248" s="50">
        <v>0.05</v>
      </c>
      <c r="Y2248" s="74">
        <v>1.4E-2</v>
      </c>
      <c r="Z2248" s="165">
        <v>1</v>
      </c>
      <c r="AA2248" s="271">
        <v>1</v>
      </c>
      <c r="AB2248" s="114">
        <v>106</v>
      </c>
      <c r="AC2248" s="50">
        <v>255</v>
      </c>
      <c r="AD2248" s="271">
        <v>1</v>
      </c>
    </row>
    <row r="2249" spans="1:43" ht="15" customHeight="1">
      <c r="A2249" s="41" t="s">
        <v>183</v>
      </c>
      <c r="B2249" s="402" t="s">
        <v>4851</v>
      </c>
      <c r="C2249" s="113" t="s">
        <v>3771</v>
      </c>
      <c r="D2249" s="393" t="s">
        <v>1160</v>
      </c>
      <c r="E2249" s="394" t="s">
        <v>4852</v>
      </c>
      <c r="F2249" s="402">
        <v>4703</v>
      </c>
      <c r="G2249" s="405" t="s">
        <v>3772</v>
      </c>
      <c r="H2249" s="74">
        <v>1429</v>
      </c>
      <c r="J2249" s="339" t="s">
        <v>366</v>
      </c>
      <c r="K2249" s="51">
        <v>41432</v>
      </c>
      <c r="L2249" s="173">
        <v>41428</v>
      </c>
      <c r="M2249" s="50">
        <f t="shared" si="124"/>
        <v>4</v>
      </c>
      <c r="N2249" s="50" t="s">
        <v>2</v>
      </c>
      <c r="O2249" s="74">
        <f>1.4/2</f>
        <v>0.7</v>
      </c>
      <c r="P2249" s="50">
        <v>6.5</v>
      </c>
      <c r="Q2249" s="74">
        <v>7.41</v>
      </c>
      <c r="R2249" s="50">
        <v>34</v>
      </c>
      <c r="S2249" s="74">
        <v>260</v>
      </c>
      <c r="T2249" s="50">
        <v>0.12</v>
      </c>
      <c r="U2249" s="131">
        <v>0.87</v>
      </c>
      <c r="V2249" s="50">
        <v>2.71</v>
      </c>
      <c r="W2249" s="74">
        <f>0.005/2</f>
        <v>2.5000000000000001E-3</v>
      </c>
      <c r="X2249" s="50">
        <v>1.4999999999999999E-2</v>
      </c>
      <c r="Y2249" s="74">
        <v>2E-3</v>
      </c>
      <c r="Z2249" s="165">
        <v>1</v>
      </c>
      <c r="AA2249" s="271">
        <v>1</v>
      </c>
      <c r="AB2249" s="114">
        <v>164</v>
      </c>
      <c r="AC2249" s="50">
        <v>646</v>
      </c>
      <c r="AD2249" s="271">
        <v>1</v>
      </c>
    </row>
    <row r="2250" spans="1:43" ht="15" customHeight="1">
      <c r="A2250" s="41" t="s">
        <v>183</v>
      </c>
      <c r="B2250" s="402" t="s">
        <v>5255</v>
      </c>
      <c r="C2250" s="113" t="s">
        <v>3267</v>
      </c>
      <c r="D2250" s="393" t="s">
        <v>434</v>
      </c>
      <c r="E2250" s="394" t="s">
        <v>304</v>
      </c>
      <c r="G2250" s="405" t="s">
        <v>3268</v>
      </c>
      <c r="H2250" s="74">
        <v>3823</v>
      </c>
      <c r="I2250" s="50" t="s">
        <v>1</v>
      </c>
      <c r="J2250" s="339" t="s">
        <v>3269</v>
      </c>
      <c r="K2250" s="51">
        <v>41499</v>
      </c>
      <c r="L2250" s="173">
        <v>41494</v>
      </c>
      <c r="M2250" s="50">
        <f t="shared" si="124"/>
        <v>5</v>
      </c>
      <c r="N2250" s="50" t="s">
        <v>2</v>
      </c>
      <c r="O2250" s="74">
        <f>1/2</f>
        <v>0.5</v>
      </c>
      <c r="P2250" s="50">
        <v>6</v>
      </c>
      <c r="Q2250" s="74">
        <v>6.33</v>
      </c>
      <c r="R2250" s="50">
        <v>7.5</v>
      </c>
      <c r="S2250" s="74">
        <f>1/2</f>
        <v>0.5</v>
      </c>
      <c r="T2250" s="50">
        <f>1/2</f>
        <v>0.5</v>
      </c>
      <c r="U2250" s="131">
        <v>0.86</v>
      </c>
      <c r="V2250" s="50">
        <v>0.53</v>
      </c>
      <c r="W2250" s="74">
        <v>6.0000000000000001E-3</v>
      </c>
      <c r="X2250" s="50">
        <v>5.6000000000000001E-2</v>
      </c>
      <c r="Y2250" s="74">
        <f>0.002/2</f>
        <v>1E-3</v>
      </c>
      <c r="Z2250" s="165"/>
      <c r="AI2250" s="114">
        <v>4</v>
      </c>
    </row>
    <row r="2251" spans="1:43" ht="15" customHeight="1">
      <c r="A2251" s="41" t="s">
        <v>183</v>
      </c>
      <c r="B2251" s="402" t="s">
        <v>1811</v>
      </c>
      <c r="C2251" s="113" t="s">
        <v>1811</v>
      </c>
      <c r="D2251" s="393" t="s">
        <v>41</v>
      </c>
      <c r="E2251" s="394" t="s">
        <v>1812</v>
      </c>
      <c r="G2251" s="405" t="s">
        <v>1909</v>
      </c>
      <c r="H2251" s="74">
        <v>3728</v>
      </c>
      <c r="I2251" s="50" t="s">
        <v>2</v>
      </c>
      <c r="J2251" s="339" t="s">
        <v>249</v>
      </c>
      <c r="K2251" s="51">
        <v>41527</v>
      </c>
      <c r="L2251" s="173">
        <v>41519</v>
      </c>
      <c r="M2251" s="50">
        <f t="shared" si="124"/>
        <v>8</v>
      </c>
      <c r="N2251" s="50" t="s">
        <v>2</v>
      </c>
      <c r="O2251" s="131">
        <f>1.4/2</f>
        <v>0.7</v>
      </c>
      <c r="P2251" s="50">
        <v>6.17</v>
      </c>
      <c r="Q2251" s="74">
        <v>6.11</v>
      </c>
      <c r="R2251" s="50">
        <v>84</v>
      </c>
      <c r="S2251" s="74">
        <v>36</v>
      </c>
      <c r="T2251" s="50">
        <v>0.15</v>
      </c>
      <c r="U2251" s="131">
        <v>4.46</v>
      </c>
      <c r="V2251" s="50">
        <v>1.02</v>
      </c>
      <c r="W2251" s="74">
        <v>1.0999999999999999E-2</v>
      </c>
      <c r="X2251" s="50">
        <v>0.21199999999999999</v>
      </c>
      <c r="Y2251" s="74">
        <v>4.0000000000000001E-3</v>
      </c>
      <c r="Z2251" s="165">
        <v>1</v>
      </c>
      <c r="AA2251" s="271">
        <v>0.85499999999999998</v>
      </c>
      <c r="AB2251" s="114">
        <v>8</v>
      </c>
      <c r="AC2251" s="50">
        <v>59</v>
      </c>
      <c r="AD2251" s="271">
        <v>0.3</v>
      </c>
    </row>
    <row r="2252" spans="1:43" ht="15" customHeight="1">
      <c r="A2252" s="41" t="s">
        <v>183</v>
      </c>
      <c r="B2252" s="402" t="s">
        <v>5092</v>
      </c>
      <c r="C2252" s="113" t="s">
        <v>1037</v>
      </c>
      <c r="D2252" s="393" t="s">
        <v>262</v>
      </c>
      <c r="E2252" s="394" t="s">
        <v>664</v>
      </c>
      <c r="G2252" s="405" t="s">
        <v>2697</v>
      </c>
      <c r="H2252" s="74">
        <v>9199</v>
      </c>
      <c r="I2252" s="50" t="s">
        <v>1</v>
      </c>
      <c r="J2252" s="339" t="s">
        <v>5093</v>
      </c>
      <c r="K2252" s="51">
        <v>41530</v>
      </c>
      <c r="L2252" s="173"/>
      <c r="N2252" s="50" t="s">
        <v>2</v>
      </c>
      <c r="O2252" s="74">
        <v>5.26</v>
      </c>
      <c r="P2252" s="50">
        <v>6.45</v>
      </c>
      <c r="Q2252" s="74">
        <v>6.71</v>
      </c>
      <c r="R2252" s="50">
        <v>63.7</v>
      </c>
      <c r="S2252" s="74">
        <f>5/2</f>
        <v>2.5</v>
      </c>
      <c r="T2252" s="50">
        <v>2.04</v>
      </c>
      <c r="U2252" s="131">
        <v>2.65</v>
      </c>
      <c r="V2252" s="50">
        <f>0.25/2</f>
        <v>0.125</v>
      </c>
      <c r="W2252" s="74">
        <v>0.03</v>
      </c>
      <c r="X2252" s="50">
        <v>0.11</v>
      </c>
      <c r="Y2252" s="74">
        <v>8.9999999999999993E-3</v>
      </c>
      <c r="Z2252" s="165">
        <v>1</v>
      </c>
      <c r="AA2252" s="271">
        <v>1</v>
      </c>
      <c r="AB2252" s="114">
        <v>136</v>
      </c>
      <c r="AC2252" s="50">
        <v>1423</v>
      </c>
      <c r="AD2252" s="271">
        <v>1</v>
      </c>
      <c r="AE2252" s="50" t="s">
        <v>5094</v>
      </c>
      <c r="AG2252" s="114">
        <f>0.22/2</f>
        <v>0.11</v>
      </c>
      <c r="AI2252" s="114" t="s">
        <v>5094</v>
      </c>
      <c r="AQ2252" s="114">
        <f>10/2</f>
        <v>5</v>
      </c>
    </row>
    <row r="2253" spans="1:43" ht="15" customHeight="1">
      <c r="A2253" s="41" t="s">
        <v>183</v>
      </c>
      <c r="B2253" s="402" t="s">
        <v>3235</v>
      </c>
      <c r="C2253" s="113" t="s">
        <v>5270</v>
      </c>
      <c r="D2253" s="393" t="s">
        <v>111</v>
      </c>
      <c r="E2253" s="394" t="s">
        <v>112</v>
      </c>
      <c r="G2253" s="405" t="s">
        <v>3236</v>
      </c>
      <c r="H2253" s="74">
        <v>3273</v>
      </c>
      <c r="I2253" s="50" t="s">
        <v>1</v>
      </c>
      <c r="J2253" s="339" t="s">
        <v>3144</v>
      </c>
      <c r="K2253" s="51">
        <v>41600</v>
      </c>
      <c r="L2253" s="173">
        <v>41596</v>
      </c>
      <c r="M2253" s="50">
        <f>K2253-L2253</f>
        <v>4</v>
      </c>
      <c r="N2253" s="50" t="s">
        <v>2</v>
      </c>
      <c r="R2253" s="50">
        <v>350</v>
      </c>
      <c r="S2253" s="74">
        <v>1800</v>
      </c>
      <c r="T2253" s="50">
        <v>1.7</v>
      </c>
      <c r="Z2253" s="165"/>
      <c r="AE2253" s="50">
        <v>384</v>
      </c>
    </row>
    <row r="2254" spans="1:43" ht="15" customHeight="1">
      <c r="A2254" s="41" t="s">
        <v>183</v>
      </c>
      <c r="B2254" s="402" t="s">
        <v>5109</v>
      </c>
      <c r="D2254" s="393" t="s">
        <v>268</v>
      </c>
      <c r="E2254" s="394" t="s">
        <v>269</v>
      </c>
      <c r="G2254" s="405" t="s">
        <v>5110</v>
      </c>
      <c r="H2254" s="74">
        <v>3272</v>
      </c>
      <c r="I2254" s="50" t="s">
        <v>1</v>
      </c>
      <c r="J2254" s="339" t="s">
        <v>700</v>
      </c>
      <c r="K2254" s="51">
        <v>41637</v>
      </c>
      <c r="L2254" s="173">
        <v>41631</v>
      </c>
      <c r="M2254" s="50">
        <f>K2254-L2254</f>
        <v>6</v>
      </c>
      <c r="N2254" s="50" t="s">
        <v>2</v>
      </c>
      <c r="O2254" s="74">
        <f>2.4/2</f>
        <v>1.2</v>
      </c>
      <c r="Q2254" s="74">
        <v>7.8</v>
      </c>
      <c r="R2254" s="50">
        <f>20/2</f>
        <v>10</v>
      </c>
      <c r="S2254" s="74">
        <v>3.2</v>
      </c>
      <c r="T2254" s="50">
        <v>2.7E-2</v>
      </c>
      <c r="U2254" s="131">
        <f>1.6/2</f>
        <v>0.8</v>
      </c>
      <c r="V2254" s="50">
        <v>0.47</v>
      </c>
      <c r="W2254" s="74">
        <f>0.005/2</f>
        <v>2.5000000000000001E-3</v>
      </c>
      <c r="X2254" s="50">
        <v>1.4999999999999999E-2</v>
      </c>
      <c r="Y2254" s="74">
        <f>0.005/2</f>
        <v>2.5000000000000001E-3</v>
      </c>
      <c r="Z2254" s="165"/>
      <c r="AE2254" s="50">
        <f>50/2</f>
        <v>25</v>
      </c>
    </row>
    <row r="2255" spans="1:43" ht="15" customHeight="1">
      <c r="A2255" s="41" t="s">
        <v>183</v>
      </c>
      <c r="B2255" s="402" t="s">
        <v>5106</v>
      </c>
      <c r="D2255" s="393" t="s">
        <v>200</v>
      </c>
      <c r="E2255" s="394" t="s">
        <v>214</v>
      </c>
      <c r="G2255" s="405" t="s">
        <v>5107</v>
      </c>
      <c r="H2255" s="74">
        <v>3272</v>
      </c>
      <c r="I2255" s="50" t="s">
        <v>1</v>
      </c>
      <c r="J2255" s="339" t="s">
        <v>5108</v>
      </c>
      <c r="K2255" s="51">
        <v>41637</v>
      </c>
      <c r="L2255" s="173">
        <v>41631</v>
      </c>
      <c r="M2255" s="50">
        <f>K2255-L2255</f>
        <v>6</v>
      </c>
      <c r="N2255" s="50" t="s">
        <v>2</v>
      </c>
      <c r="O2255" s="74">
        <f>2.2/2</f>
        <v>1.1000000000000001</v>
      </c>
      <c r="Q2255" s="74">
        <v>7.8</v>
      </c>
      <c r="R2255" s="50">
        <f>10/2</f>
        <v>5</v>
      </c>
      <c r="S2255" s="74">
        <v>5.2</v>
      </c>
      <c r="T2255" s="50">
        <v>3.1E-2</v>
      </c>
      <c r="U2255" s="131">
        <f>1.6/2</f>
        <v>0.8</v>
      </c>
      <c r="V2255" s="50">
        <v>0.47</v>
      </c>
      <c r="W2255" s="74">
        <f>0.005/2</f>
        <v>2.5000000000000001E-3</v>
      </c>
      <c r="X2255" s="50">
        <v>1.4E-2</v>
      </c>
      <c r="Y2255" s="74">
        <f>0.005/2</f>
        <v>2.5000000000000001E-3</v>
      </c>
      <c r="Z2255" s="165"/>
      <c r="AE2255" s="50">
        <f>50/2</f>
        <v>25</v>
      </c>
    </row>
    <row r="2256" spans="1:43" ht="15" customHeight="1">
      <c r="A2256" s="41" t="s">
        <v>183</v>
      </c>
      <c r="B2256" s="402" t="s">
        <v>4241</v>
      </c>
      <c r="D2256" s="393" t="s">
        <v>434</v>
      </c>
      <c r="E2256" s="394" t="s">
        <v>304</v>
      </c>
      <c r="G2256" s="405" t="s">
        <v>4240</v>
      </c>
      <c r="H2256" s="74">
        <v>8744</v>
      </c>
      <c r="I2256" s="50" t="s">
        <v>1</v>
      </c>
      <c r="J2256" s="339" t="s">
        <v>4557</v>
      </c>
      <c r="K2256" s="51">
        <v>41585</v>
      </c>
      <c r="L2256" s="173"/>
      <c r="N2256" s="50" t="s">
        <v>2</v>
      </c>
      <c r="Z2256" s="165"/>
      <c r="AI2256" s="114">
        <v>200</v>
      </c>
    </row>
    <row r="2257" spans="1:35" ht="15" customHeight="1">
      <c r="A2257" s="41" t="s">
        <v>183</v>
      </c>
      <c r="B2257" s="402" t="s">
        <v>4241</v>
      </c>
      <c r="D2257" s="393" t="s">
        <v>434</v>
      </c>
      <c r="E2257" s="394" t="s">
        <v>304</v>
      </c>
      <c r="G2257" s="405" t="s">
        <v>4240</v>
      </c>
      <c r="H2257" s="74">
        <v>8744</v>
      </c>
      <c r="I2257" s="50" t="s">
        <v>1</v>
      </c>
      <c r="J2257" s="339" t="s">
        <v>4558</v>
      </c>
      <c r="K2257" s="51">
        <v>41585</v>
      </c>
      <c r="L2257" s="173"/>
      <c r="N2257" s="50" t="s">
        <v>2</v>
      </c>
      <c r="Z2257" s="165"/>
      <c r="AI2257" s="114">
        <v>900</v>
      </c>
    </row>
    <row r="2258" spans="1:35" ht="15" customHeight="1">
      <c r="A2258" s="41" t="s">
        <v>183</v>
      </c>
      <c r="B2258" s="402" t="s">
        <v>4241</v>
      </c>
      <c r="D2258" s="393" t="s">
        <v>434</v>
      </c>
      <c r="E2258" s="394" t="s">
        <v>304</v>
      </c>
      <c r="G2258" s="405" t="s">
        <v>4240</v>
      </c>
      <c r="H2258" s="74">
        <v>8744</v>
      </c>
      <c r="I2258" s="50" t="s">
        <v>1</v>
      </c>
      <c r="J2258" s="339" t="s">
        <v>4559</v>
      </c>
      <c r="K2258" s="51">
        <v>41585</v>
      </c>
      <c r="L2258" s="173"/>
      <c r="N2258" s="50" t="s">
        <v>2</v>
      </c>
      <c r="Z2258" s="165"/>
      <c r="AI2258" s="114">
        <v>400</v>
      </c>
    </row>
    <row r="2259" spans="1:35" ht="15" customHeight="1">
      <c r="A2259" s="41" t="s">
        <v>183</v>
      </c>
      <c r="B2259" s="402" t="s">
        <v>4241</v>
      </c>
      <c r="D2259" s="393" t="s">
        <v>434</v>
      </c>
      <c r="E2259" s="394" t="s">
        <v>304</v>
      </c>
      <c r="G2259" s="405" t="s">
        <v>4240</v>
      </c>
      <c r="H2259" s="74">
        <v>8744</v>
      </c>
      <c r="I2259" s="50" t="s">
        <v>1</v>
      </c>
      <c r="J2259" s="339" t="s">
        <v>4560</v>
      </c>
      <c r="K2259" s="51">
        <v>41585</v>
      </c>
      <c r="L2259" s="173"/>
      <c r="N2259" s="50" t="s">
        <v>2</v>
      </c>
      <c r="Z2259" s="165"/>
      <c r="AI2259" s="114">
        <v>1200</v>
      </c>
    </row>
    <row r="2260" spans="1:35" ht="15" customHeight="1">
      <c r="A2260" s="74" t="s">
        <v>183</v>
      </c>
      <c r="B2260" s="402" t="s">
        <v>3235</v>
      </c>
      <c r="C2260" s="113" t="s">
        <v>4471</v>
      </c>
      <c r="D2260" s="393" t="s">
        <v>1748</v>
      </c>
      <c r="E2260" s="394" t="s">
        <v>3265</v>
      </c>
      <c r="G2260" s="405" t="s">
        <v>3266</v>
      </c>
      <c r="H2260" s="74">
        <v>3273</v>
      </c>
      <c r="I2260" s="50" t="s">
        <v>2</v>
      </c>
      <c r="J2260" s="339" t="s">
        <v>3144</v>
      </c>
      <c r="K2260" s="51">
        <v>41614</v>
      </c>
      <c r="L2260" s="173">
        <v>41605</v>
      </c>
      <c r="M2260" s="50">
        <f t="shared" ref="M2260:M2306" si="125">K2260-L2260</f>
        <v>9</v>
      </c>
      <c r="V2260" s="50">
        <v>0.15</v>
      </c>
      <c r="Z2260" s="165"/>
    </row>
    <row r="2261" spans="1:35" ht="15" customHeight="1">
      <c r="A2261" s="41" t="s">
        <v>183</v>
      </c>
      <c r="B2261" s="402" t="s">
        <v>1351</v>
      </c>
      <c r="C2261" s="113" t="s">
        <v>1365</v>
      </c>
      <c r="D2261" s="393" t="s">
        <v>735</v>
      </c>
      <c r="G2261" s="405" t="s">
        <v>1366</v>
      </c>
      <c r="H2261" s="74">
        <v>4513</v>
      </c>
      <c r="I2261" s="50" t="s">
        <v>2</v>
      </c>
      <c r="J2261" s="339" t="s">
        <v>1355</v>
      </c>
      <c r="K2261" s="51">
        <v>41072</v>
      </c>
      <c r="L2261" s="173">
        <v>41066</v>
      </c>
      <c r="M2261" s="50">
        <f t="shared" si="125"/>
        <v>6</v>
      </c>
      <c r="N2261" s="50" t="s">
        <v>2</v>
      </c>
      <c r="O2261" s="74">
        <v>5.6</v>
      </c>
      <c r="P2261" s="50">
        <v>6</v>
      </c>
      <c r="Q2261" s="74">
        <v>6</v>
      </c>
      <c r="R2261" s="50">
        <v>130</v>
      </c>
      <c r="S2261" s="74">
        <v>210</v>
      </c>
      <c r="T2261" s="50">
        <v>0.53</v>
      </c>
      <c r="U2261" s="131">
        <v>6.7</v>
      </c>
      <c r="V2261" s="50">
        <v>1.1000000000000001</v>
      </c>
      <c r="W2261" s="74">
        <v>0.09</v>
      </c>
      <c r="X2261" s="50">
        <v>0.75</v>
      </c>
      <c r="Y2261" s="74">
        <f>0.01/2</f>
        <v>5.0000000000000001E-3</v>
      </c>
      <c r="Z2261" s="165"/>
    </row>
    <row r="2262" spans="1:35" ht="15" customHeight="1">
      <c r="A2262" s="41" t="s">
        <v>183</v>
      </c>
      <c r="B2262" s="402" t="s">
        <v>1351</v>
      </c>
      <c r="C2262" s="113" t="s">
        <v>1372</v>
      </c>
      <c r="D2262" s="393" t="s">
        <v>338</v>
      </c>
      <c r="E2262" s="394" t="s">
        <v>235</v>
      </c>
      <c r="G2262" s="405" t="s">
        <v>5252</v>
      </c>
      <c r="H2262" s="74">
        <v>4513</v>
      </c>
      <c r="I2262" s="50" t="s">
        <v>2</v>
      </c>
      <c r="J2262" s="339" t="s">
        <v>1355</v>
      </c>
      <c r="K2262" s="51">
        <v>41072</v>
      </c>
      <c r="L2262" s="173">
        <v>41063</v>
      </c>
      <c r="M2262" s="50">
        <f t="shared" si="125"/>
        <v>9</v>
      </c>
      <c r="N2262" s="50" t="s">
        <v>2</v>
      </c>
      <c r="O2262" s="74">
        <f>5/2</f>
        <v>2.5</v>
      </c>
      <c r="P2262" s="50">
        <v>6</v>
      </c>
      <c r="Q2262" s="74">
        <v>6</v>
      </c>
      <c r="R2262" s="50">
        <v>250</v>
      </c>
      <c r="S2262" s="74">
        <v>280</v>
      </c>
      <c r="T2262" s="50">
        <v>1.1000000000000001</v>
      </c>
      <c r="U2262" s="131">
        <v>7.2</v>
      </c>
      <c r="V2262" s="50">
        <v>2.2999999999999998</v>
      </c>
      <c r="W2262" s="74">
        <v>3.1E-2</v>
      </c>
      <c r="X2262" s="50">
        <v>9.7000000000000003E-2</v>
      </c>
      <c r="Y2262" s="74">
        <f>0.01/2</f>
        <v>5.0000000000000001E-3</v>
      </c>
      <c r="Z2262" s="165"/>
    </row>
    <row r="2263" spans="1:35" ht="15" customHeight="1">
      <c r="A2263" s="41" t="s">
        <v>183</v>
      </c>
      <c r="B2263" s="402" t="s">
        <v>3098</v>
      </c>
      <c r="D2263" s="393" t="s">
        <v>2501</v>
      </c>
      <c r="E2263" s="394" t="s">
        <v>3099</v>
      </c>
      <c r="G2263" s="405" t="s">
        <v>3100</v>
      </c>
      <c r="H2263" s="338" t="s">
        <v>5256</v>
      </c>
      <c r="I2263" s="50" t="s">
        <v>2</v>
      </c>
      <c r="J2263" s="339" t="s">
        <v>3101</v>
      </c>
      <c r="K2263" s="51">
        <v>41527</v>
      </c>
      <c r="L2263" s="173">
        <v>41522</v>
      </c>
      <c r="M2263" s="50">
        <f t="shared" si="125"/>
        <v>5</v>
      </c>
      <c r="N2263" s="50" t="s">
        <v>2</v>
      </c>
      <c r="O2263" s="74">
        <f>1.2/2</f>
        <v>0.6</v>
      </c>
      <c r="P2263" s="50">
        <v>6</v>
      </c>
      <c r="Q2263" s="74">
        <v>6.4</v>
      </c>
      <c r="R2263" s="50">
        <v>40</v>
      </c>
      <c r="S2263" s="74">
        <v>9</v>
      </c>
      <c r="T2263" s="50">
        <v>0.12</v>
      </c>
      <c r="U2263" s="131">
        <v>1.2</v>
      </c>
      <c r="V2263" s="50">
        <v>0.96</v>
      </c>
      <c r="W2263" s="74">
        <v>9.9000000000000008E-3</v>
      </c>
      <c r="X2263" s="50">
        <v>1.4</v>
      </c>
      <c r="Y2263" s="74">
        <f>0.002/2</f>
        <v>1E-3</v>
      </c>
      <c r="Z2263" s="165">
        <v>0.87</v>
      </c>
      <c r="AA2263" s="271">
        <v>0.21</v>
      </c>
      <c r="AB2263" s="114">
        <v>16</v>
      </c>
      <c r="AC2263" s="50">
        <v>61</v>
      </c>
      <c r="AD2263" s="271">
        <v>0</v>
      </c>
    </row>
    <row r="2264" spans="1:35" ht="15" customHeight="1">
      <c r="A2264" s="41" t="s">
        <v>183</v>
      </c>
      <c r="B2264" s="402" t="s">
        <v>1351</v>
      </c>
      <c r="C2264" s="113" t="s">
        <v>1370</v>
      </c>
      <c r="D2264" s="393" t="s">
        <v>434</v>
      </c>
      <c r="E2264" s="394" t="s">
        <v>874</v>
      </c>
      <c r="G2264" s="405" t="s">
        <v>1371</v>
      </c>
      <c r="H2264" s="74">
        <v>4513</v>
      </c>
      <c r="J2264" s="339" t="s">
        <v>335</v>
      </c>
      <c r="K2264" s="51">
        <v>41136</v>
      </c>
      <c r="L2264" s="173">
        <v>41133</v>
      </c>
      <c r="M2264" s="50">
        <f t="shared" si="125"/>
        <v>3</v>
      </c>
      <c r="N2264" s="50" t="s">
        <v>2</v>
      </c>
      <c r="O2264" s="74">
        <f>5/2</f>
        <v>2.5</v>
      </c>
      <c r="P2264" s="50">
        <v>6</v>
      </c>
      <c r="Q2264" s="74">
        <v>6</v>
      </c>
      <c r="R2264" s="50">
        <v>99</v>
      </c>
      <c r="S2264" s="74">
        <v>190</v>
      </c>
      <c r="T2264" s="50">
        <v>0.4</v>
      </c>
      <c r="U2264" s="131">
        <v>3.2</v>
      </c>
      <c r="V2264" s="50">
        <v>1</v>
      </c>
      <c r="W2264" s="74">
        <v>0.05</v>
      </c>
      <c r="X2264" s="50">
        <v>0.19</v>
      </c>
      <c r="Y2264" s="74">
        <v>0.03</v>
      </c>
      <c r="Z2264" s="165">
        <v>1</v>
      </c>
      <c r="AA2264" s="271">
        <v>1</v>
      </c>
      <c r="AB2264" s="114">
        <v>24</v>
      </c>
      <c r="AC2264" s="50">
        <v>137</v>
      </c>
      <c r="AD2264" s="271">
        <v>1</v>
      </c>
    </row>
    <row r="2265" spans="1:35" ht="15" customHeight="1">
      <c r="A2265" s="41" t="s">
        <v>183</v>
      </c>
      <c r="B2265" s="402" t="s">
        <v>1351</v>
      </c>
      <c r="C2265" s="113" t="s">
        <v>1357</v>
      </c>
      <c r="D2265" s="393" t="s">
        <v>684</v>
      </c>
      <c r="E2265" s="394" t="s">
        <v>112</v>
      </c>
      <c r="G2265" s="405" t="s">
        <v>1358</v>
      </c>
      <c r="H2265" s="49">
        <v>4513</v>
      </c>
      <c r="I2265" s="50" t="s">
        <v>1</v>
      </c>
      <c r="J2265" s="76" t="s">
        <v>1356</v>
      </c>
      <c r="K2265" s="51">
        <v>41136</v>
      </c>
      <c r="L2265" s="173">
        <v>41131</v>
      </c>
      <c r="M2265" s="50">
        <f t="shared" si="125"/>
        <v>5</v>
      </c>
      <c r="N2265" s="50" t="s">
        <v>2</v>
      </c>
      <c r="O2265" s="74">
        <f>5/2</f>
        <v>2.5</v>
      </c>
      <c r="P2265" s="50">
        <v>6</v>
      </c>
      <c r="Q2265" s="74">
        <v>6</v>
      </c>
      <c r="R2265" s="50">
        <v>320</v>
      </c>
      <c r="S2265" s="74">
        <v>440</v>
      </c>
      <c r="T2265" s="50">
        <v>1.3</v>
      </c>
      <c r="U2265" s="131">
        <v>9.4</v>
      </c>
      <c r="V2265" s="50">
        <v>2.4</v>
      </c>
      <c r="W2265" s="74">
        <v>7.0000000000000007E-2</v>
      </c>
      <c r="X2265" s="50">
        <v>0.35</v>
      </c>
      <c r="Y2265" s="74">
        <v>0.1</v>
      </c>
      <c r="Z2265" s="165">
        <v>1</v>
      </c>
      <c r="AA2265" s="271">
        <v>1</v>
      </c>
      <c r="AB2265" s="114">
        <v>18</v>
      </c>
      <c r="AC2265" s="50">
        <v>148</v>
      </c>
      <c r="AD2265" s="271">
        <v>1</v>
      </c>
    </row>
    <row r="2266" spans="1:35" ht="15" customHeight="1">
      <c r="A2266" s="41" t="s">
        <v>183</v>
      </c>
      <c r="B2266" s="402" t="s">
        <v>1351</v>
      </c>
      <c r="C2266" s="113" t="s">
        <v>1357</v>
      </c>
      <c r="D2266" s="393" t="s">
        <v>684</v>
      </c>
      <c r="E2266" s="394" t="s">
        <v>112</v>
      </c>
      <c r="G2266" s="405" t="s">
        <v>1358</v>
      </c>
      <c r="H2266" s="49">
        <v>4513</v>
      </c>
      <c r="I2266" s="50" t="s">
        <v>1</v>
      </c>
      <c r="J2266" s="76" t="s">
        <v>1355</v>
      </c>
      <c r="K2266" s="51">
        <v>41136</v>
      </c>
      <c r="L2266" s="173">
        <v>41131</v>
      </c>
      <c r="M2266" s="50">
        <f t="shared" si="125"/>
        <v>5</v>
      </c>
      <c r="N2266" s="50" t="s">
        <v>2</v>
      </c>
      <c r="O2266" s="74">
        <f>5/2</f>
        <v>2.5</v>
      </c>
      <c r="P2266" s="50">
        <v>6</v>
      </c>
      <c r="Q2266" s="74">
        <v>6</v>
      </c>
      <c r="R2266" s="50">
        <v>180</v>
      </c>
      <c r="S2266" s="74">
        <v>200</v>
      </c>
      <c r="T2266" s="50">
        <v>0.77</v>
      </c>
      <c r="U2266" s="131">
        <v>4.8</v>
      </c>
      <c r="V2266" s="50">
        <v>1.4</v>
      </c>
      <c r="W2266" s="74">
        <v>9.4E-2</v>
      </c>
      <c r="X2266" s="50">
        <v>0.4</v>
      </c>
      <c r="Y2266" s="74">
        <v>6.7000000000000004E-2</v>
      </c>
      <c r="Z2266" s="165">
        <v>1</v>
      </c>
      <c r="AA2266" s="271">
        <v>1</v>
      </c>
    </row>
    <row r="2267" spans="1:35" ht="15" customHeight="1">
      <c r="A2267" s="41" t="s">
        <v>183</v>
      </c>
      <c r="B2267" s="402" t="s">
        <v>956</v>
      </c>
      <c r="C2267" s="113" t="s">
        <v>5249</v>
      </c>
      <c r="D2267" s="393" t="s">
        <v>133</v>
      </c>
      <c r="E2267" s="394" t="s">
        <v>44</v>
      </c>
      <c r="G2267" s="405" t="s">
        <v>5250</v>
      </c>
      <c r="H2267" s="74">
        <v>4111</v>
      </c>
      <c r="I2267" s="50" t="s">
        <v>2</v>
      </c>
      <c r="J2267" s="339" t="s">
        <v>1125</v>
      </c>
      <c r="K2267" s="51">
        <v>41113</v>
      </c>
      <c r="L2267" s="173">
        <v>41110</v>
      </c>
      <c r="M2267" s="50">
        <f t="shared" si="125"/>
        <v>3</v>
      </c>
      <c r="N2267" s="50" t="s">
        <v>2</v>
      </c>
      <c r="O2267" s="74">
        <v>7.6</v>
      </c>
      <c r="P2267" s="50">
        <v>5.88</v>
      </c>
      <c r="Q2267" s="74">
        <v>5.64</v>
      </c>
      <c r="R2267" s="50">
        <v>17.2</v>
      </c>
      <c r="S2267" s="74">
        <v>7</v>
      </c>
      <c r="T2267" s="50">
        <f>0.05/2</f>
        <v>2.5000000000000001E-2</v>
      </c>
      <c r="U2267" s="131">
        <v>1.54</v>
      </c>
      <c r="V2267" s="50">
        <v>0.31</v>
      </c>
      <c r="W2267" s="74">
        <f>0.01/2</f>
        <v>5.0000000000000001E-3</v>
      </c>
      <c r="X2267" s="50">
        <v>0.02</v>
      </c>
      <c r="Y2267" s="74">
        <f>0.02/2</f>
        <v>0.01</v>
      </c>
      <c r="Z2267" s="165">
        <v>0.75</v>
      </c>
      <c r="AA2267" s="271">
        <v>0.75</v>
      </c>
      <c r="AB2267" s="114">
        <f>1/2</f>
        <v>0.5</v>
      </c>
      <c r="AC2267" s="50">
        <v>17.3</v>
      </c>
      <c r="AD2267" s="271">
        <v>0</v>
      </c>
    </row>
    <row r="2268" spans="1:35" ht="15" customHeight="1">
      <c r="A2268" s="41" t="s">
        <v>183</v>
      </c>
      <c r="B2268" s="385" t="s">
        <v>956</v>
      </c>
      <c r="C2268" s="18" t="s">
        <v>4228</v>
      </c>
      <c r="D2268" s="377" t="s">
        <v>127</v>
      </c>
      <c r="E2268" s="20" t="s">
        <v>4229</v>
      </c>
      <c r="F2268" s="385"/>
      <c r="G2268" s="405" t="s">
        <v>4230</v>
      </c>
      <c r="H2268" s="74">
        <v>4151</v>
      </c>
      <c r="I2268" s="50" t="s">
        <v>2</v>
      </c>
      <c r="J2268" s="339" t="s">
        <v>81</v>
      </c>
      <c r="K2268" s="51">
        <v>40920</v>
      </c>
      <c r="L2268" s="173">
        <v>40904</v>
      </c>
      <c r="M2268" s="50">
        <f t="shared" si="125"/>
        <v>16</v>
      </c>
      <c r="N2268" s="50" t="s">
        <v>2</v>
      </c>
      <c r="O2268" s="74">
        <f>1/2</f>
        <v>0.5</v>
      </c>
      <c r="P2268" s="50">
        <v>5.46</v>
      </c>
      <c r="Q2268" s="74">
        <v>5.46</v>
      </c>
      <c r="R2268" s="50">
        <f>2/2</f>
        <v>1</v>
      </c>
      <c r="S2268" s="74">
        <v>2</v>
      </c>
      <c r="T2268" s="50">
        <f>0.05/2</f>
        <v>2.5000000000000001E-2</v>
      </c>
      <c r="U2268" s="131">
        <v>0.16</v>
      </c>
      <c r="V2268" s="50">
        <f>0.2/2</f>
        <v>0.1</v>
      </c>
      <c r="W2268" s="74">
        <f>0.01/2</f>
        <v>5.0000000000000001E-3</v>
      </c>
      <c r="X2268" s="50">
        <v>0.05</v>
      </c>
      <c r="Y2268" s="74">
        <f>0.02/2</f>
        <v>0.01</v>
      </c>
      <c r="Z2268" s="165"/>
    </row>
    <row r="2269" spans="1:35" ht="15" customHeight="1">
      <c r="A2269" s="41" t="s">
        <v>183</v>
      </c>
      <c r="B2269" s="385" t="s">
        <v>956</v>
      </c>
      <c r="C2269" s="18" t="s">
        <v>4228</v>
      </c>
      <c r="D2269" s="377" t="s">
        <v>127</v>
      </c>
      <c r="E2269" s="20" t="s">
        <v>4229</v>
      </c>
      <c r="F2269" s="385"/>
      <c r="G2269" s="405" t="s">
        <v>4230</v>
      </c>
      <c r="H2269" s="74">
        <v>4151</v>
      </c>
      <c r="I2269" s="50" t="s">
        <v>2</v>
      </c>
      <c r="J2269" s="339" t="s">
        <v>81</v>
      </c>
      <c r="K2269" s="51">
        <v>41122</v>
      </c>
      <c r="L2269" s="173">
        <v>41118</v>
      </c>
      <c r="M2269" s="50">
        <f t="shared" si="125"/>
        <v>4</v>
      </c>
      <c r="N2269" s="50" t="s">
        <v>2</v>
      </c>
      <c r="O2269" s="74">
        <v>1.5</v>
      </c>
      <c r="P2269" s="50">
        <v>7.03</v>
      </c>
      <c r="Q2269" s="74">
        <v>5.04</v>
      </c>
      <c r="R2269" s="50">
        <v>20.5</v>
      </c>
      <c r="S2269" s="74">
        <v>599</v>
      </c>
      <c r="T2269" s="50">
        <v>0.74</v>
      </c>
      <c r="U2269" s="131">
        <v>0.88</v>
      </c>
      <c r="V2269" s="50">
        <v>0.65</v>
      </c>
      <c r="W2269" s="74">
        <v>0.05</v>
      </c>
      <c r="X2269" s="50">
        <v>0.21</v>
      </c>
      <c r="Y2269" s="74">
        <v>0.08</v>
      </c>
      <c r="Z2269" s="165">
        <v>1</v>
      </c>
      <c r="AA2269" s="271">
        <v>0.89100000000000001</v>
      </c>
      <c r="AB2269" s="114">
        <v>6.39</v>
      </c>
      <c r="AC2269" s="50">
        <v>342</v>
      </c>
      <c r="AD2269" s="271">
        <v>1</v>
      </c>
    </row>
    <row r="2270" spans="1:35" ht="15" customHeight="1">
      <c r="A2270" s="41" t="s">
        <v>183</v>
      </c>
      <c r="B2270" s="402" t="s">
        <v>3198</v>
      </c>
      <c r="C2270" s="113" t="s">
        <v>3204</v>
      </c>
      <c r="D2270" s="393" t="s">
        <v>499</v>
      </c>
      <c r="E2270" s="394" t="s">
        <v>3205</v>
      </c>
      <c r="G2270" s="405" t="s">
        <v>3206</v>
      </c>
      <c r="H2270" s="74">
        <v>4151</v>
      </c>
      <c r="I2270" s="50" t="s">
        <v>2</v>
      </c>
      <c r="J2270" s="339" t="s">
        <v>3144</v>
      </c>
      <c r="K2270" s="51">
        <v>41157</v>
      </c>
      <c r="L2270" s="173">
        <v>41153</v>
      </c>
      <c r="M2270" s="50">
        <f t="shared" si="125"/>
        <v>4</v>
      </c>
      <c r="N2270" s="50" t="s">
        <v>2</v>
      </c>
      <c r="O2270" s="74">
        <v>3.6</v>
      </c>
      <c r="P2270" s="50">
        <v>4.22</v>
      </c>
      <c r="Q2270" s="74">
        <v>5.71</v>
      </c>
      <c r="R2270" s="50">
        <v>20.5</v>
      </c>
      <c r="S2270" s="74">
        <v>6</v>
      </c>
      <c r="T2270" s="50">
        <f>0.05/2</f>
        <v>2.5000000000000001E-2</v>
      </c>
      <c r="U2270" s="131">
        <v>0.55000000000000004</v>
      </c>
      <c r="V2270" s="50">
        <f>0.02/2</f>
        <v>0.01</v>
      </c>
      <c r="W2270" s="74">
        <f>0.01/2</f>
        <v>5.0000000000000001E-3</v>
      </c>
      <c r="X2270" s="50">
        <v>0.08</v>
      </c>
      <c r="Y2270" s="74">
        <f>0.02/2</f>
        <v>0.01</v>
      </c>
      <c r="Z2270" s="165">
        <v>1</v>
      </c>
      <c r="AA2270" s="271">
        <v>1</v>
      </c>
      <c r="AB2270" s="114">
        <v>1.26</v>
      </c>
      <c r="AC2270" s="50">
        <v>18.100000000000001</v>
      </c>
      <c r="AD2270" s="271">
        <v>0.95</v>
      </c>
    </row>
    <row r="2271" spans="1:35" ht="15" customHeight="1">
      <c r="A2271" s="41" t="s">
        <v>183</v>
      </c>
      <c r="B2271" s="402" t="s">
        <v>956</v>
      </c>
      <c r="C2271" s="113" t="s">
        <v>367</v>
      </c>
      <c r="D2271" s="393" t="s">
        <v>368</v>
      </c>
      <c r="E2271" s="394" t="s">
        <v>369</v>
      </c>
      <c r="G2271" s="405" t="s">
        <v>370</v>
      </c>
      <c r="H2271" s="74">
        <v>4151</v>
      </c>
      <c r="I2271" s="50" t="s">
        <v>2</v>
      </c>
      <c r="J2271" s="339" t="s">
        <v>3144</v>
      </c>
      <c r="K2271" s="51">
        <v>41579</v>
      </c>
      <c r="L2271" s="173">
        <v>41554</v>
      </c>
      <c r="M2271" s="50">
        <f t="shared" si="125"/>
        <v>25</v>
      </c>
      <c r="N2271" s="50" t="s">
        <v>2</v>
      </c>
      <c r="O2271" s="74">
        <f>1/2</f>
        <v>0.5</v>
      </c>
      <c r="P2271" s="50">
        <v>5.93</v>
      </c>
      <c r="Q2271" s="74">
        <v>2.7</v>
      </c>
      <c r="R2271" s="50">
        <v>13.8</v>
      </c>
      <c r="S2271" s="74">
        <v>19</v>
      </c>
      <c r="T2271" s="50">
        <f>0.05/2</f>
        <v>2.5000000000000001E-2</v>
      </c>
      <c r="U2271" s="131">
        <v>0.47</v>
      </c>
      <c r="V2271" s="50">
        <v>0.45</v>
      </c>
      <c r="W2271" s="74">
        <v>0.02</v>
      </c>
      <c r="X2271" s="50">
        <v>0.74</v>
      </c>
      <c r="Y2271" s="74">
        <f>0.02/2</f>
        <v>0.01</v>
      </c>
      <c r="Z2271" s="165"/>
    </row>
    <row r="2272" spans="1:35" ht="15" customHeight="1">
      <c r="A2272" s="41" t="s">
        <v>183</v>
      </c>
      <c r="B2272" s="402" t="s">
        <v>1351</v>
      </c>
      <c r="C2272" s="113" t="s">
        <v>1895</v>
      </c>
      <c r="D2272" s="393" t="s">
        <v>1896</v>
      </c>
      <c r="E2272" s="394" t="s">
        <v>1897</v>
      </c>
      <c r="G2272" s="405" t="s">
        <v>1369</v>
      </c>
      <c r="H2272" s="74">
        <v>4513</v>
      </c>
      <c r="I2272" s="50" t="s">
        <v>2</v>
      </c>
      <c r="J2272" s="339" t="s">
        <v>1355</v>
      </c>
      <c r="K2272" s="51">
        <v>41487</v>
      </c>
      <c r="L2272" s="173">
        <v>41483</v>
      </c>
      <c r="M2272" s="50">
        <f t="shared" si="125"/>
        <v>4</v>
      </c>
      <c r="N2272" s="50" t="s">
        <v>2</v>
      </c>
      <c r="O2272" s="74">
        <v>5.4</v>
      </c>
      <c r="P2272" s="50">
        <v>6.5</v>
      </c>
      <c r="Q2272" s="74">
        <v>6.9</v>
      </c>
      <c r="R2272" s="50">
        <v>530</v>
      </c>
      <c r="S2272" s="74">
        <v>33</v>
      </c>
      <c r="T2272" s="50">
        <v>0.34</v>
      </c>
      <c r="U2272" s="131">
        <v>6.4</v>
      </c>
      <c r="V2272" s="50">
        <v>3.9</v>
      </c>
      <c r="W2272" s="74">
        <v>0.15</v>
      </c>
      <c r="X2272" s="50">
        <v>0.21</v>
      </c>
      <c r="Y2272" s="74">
        <f>0.01/2</f>
        <v>5.0000000000000001E-3</v>
      </c>
      <c r="Z2272" s="165">
        <v>1</v>
      </c>
      <c r="AA2272" s="271">
        <v>1</v>
      </c>
      <c r="AB2272" s="114">
        <v>136</v>
      </c>
      <c r="AC2272" s="50">
        <v>381</v>
      </c>
      <c r="AD2272" s="271">
        <v>1</v>
      </c>
    </row>
    <row r="2273" spans="1:35" ht="15" customHeight="1">
      <c r="A2273" s="41" t="s">
        <v>183</v>
      </c>
      <c r="B2273" s="402" t="s">
        <v>1351</v>
      </c>
      <c r="C2273" s="113" t="s">
        <v>1357</v>
      </c>
      <c r="D2273" s="393" t="s">
        <v>684</v>
      </c>
      <c r="E2273" s="394" t="s">
        <v>112</v>
      </c>
      <c r="G2273" s="405" t="s">
        <v>1358</v>
      </c>
      <c r="H2273" s="49">
        <v>4513</v>
      </c>
      <c r="I2273" s="50" t="s">
        <v>1</v>
      </c>
      <c r="J2273" s="76" t="s">
        <v>1356</v>
      </c>
      <c r="K2273" s="51">
        <v>41487</v>
      </c>
      <c r="L2273" s="173">
        <v>41483</v>
      </c>
      <c r="M2273" s="50">
        <f t="shared" si="125"/>
        <v>4</v>
      </c>
      <c r="N2273" s="50" t="s">
        <v>2</v>
      </c>
      <c r="O2273" s="74">
        <f>5/2</f>
        <v>2.5</v>
      </c>
      <c r="P2273" s="50">
        <v>6</v>
      </c>
      <c r="Q2273" s="74">
        <v>5.8</v>
      </c>
      <c r="R2273" s="50">
        <v>100</v>
      </c>
      <c r="S2273" s="74">
        <v>23</v>
      </c>
      <c r="T2273" s="50">
        <v>0.2</v>
      </c>
      <c r="U2273" s="131">
        <v>2.4</v>
      </c>
      <c r="V2273" s="50">
        <v>1.5</v>
      </c>
      <c r="W2273" s="74">
        <v>4.2000000000000003E-2</v>
      </c>
      <c r="X2273" s="50">
        <v>0.14000000000000001</v>
      </c>
      <c r="Y2273" s="74">
        <f>0.01/2</f>
        <v>5.0000000000000001E-3</v>
      </c>
      <c r="Z2273" s="165"/>
    </row>
    <row r="2274" spans="1:35" ht="15" customHeight="1">
      <c r="A2274" s="41" t="s">
        <v>183</v>
      </c>
      <c r="B2274" s="402" t="s">
        <v>1351</v>
      </c>
      <c r="C2274" s="113" t="s">
        <v>1357</v>
      </c>
      <c r="D2274" s="393" t="s">
        <v>684</v>
      </c>
      <c r="E2274" s="394" t="s">
        <v>112</v>
      </c>
      <c r="G2274" s="405" t="s">
        <v>1358</v>
      </c>
      <c r="H2274" s="49">
        <v>4513</v>
      </c>
      <c r="I2274" s="50" t="s">
        <v>1</v>
      </c>
      <c r="J2274" s="76" t="s">
        <v>1355</v>
      </c>
      <c r="K2274" s="51">
        <v>41487</v>
      </c>
      <c r="L2274" s="173">
        <v>41483</v>
      </c>
      <c r="M2274" s="50">
        <f t="shared" si="125"/>
        <v>4</v>
      </c>
      <c r="N2274" s="50" t="s">
        <v>2</v>
      </c>
      <c r="O2274" s="74">
        <f>5/2</f>
        <v>2.5</v>
      </c>
      <c r="P2274" s="50">
        <v>6</v>
      </c>
      <c r="Q2274" s="74">
        <v>5.2</v>
      </c>
      <c r="R2274" s="50">
        <v>190</v>
      </c>
      <c r="S2274" s="74">
        <v>190</v>
      </c>
      <c r="T2274" s="50">
        <v>0.76</v>
      </c>
      <c r="U2274" s="131">
        <v>4.5999999999999996</v>
      </c>
      <c r="V2274" s="50">
        <v>1.8</v>
      </c>
      <c r="W2274" s="74">
        <v>9.7000000000000003E-2</v>
      </c>
      <c r="X2274" s="50">
        <v>0.64</v>
      </c>
      <c r="Y2274" s="74">
        <v>9.8000000000000004E-2</v>
      </c>
      <c r="Z2274" s="165"/>
    </row>
    <row r="2275" spans="1:35" ht="15" customHeight="1">
      <c r="A2275" s="41" t="s">
        <v>183</v>
      </c>
      <c r="B2275" s="402" t="s">
        <v>1351</v>
      </c>
      <c r="C2275" s="113" t="s">
        <v>1352</v>
      </c>
      <c r="D2275" s="393" t="s">
        <v>1537</v>
      </c>
      <c r="E2275" s="394" t="s">
        <v>1353</v>
      </c>
      <c r="G2275" s="405" t="s">
        <v>1354</v>
      </c>
      <c r="H2275" s="49">
        <v>4513</v>
      </c>
      <c r="I2275" s="50" t="s">
        <v>1</v>
      </c>
      <c r="J2275" s="76" t="s">
        <v>1356</v>
      </c>
      <c r="K2275" s="51">
        <v>41487</v>
      </c>
      <c r="L2275" s="173">
        <v>41483</v>
      </c>
      <c r="M2275" s="50">
        <f t="shared" si="125"/>
        <v>4</v>
      </c>
      <c r="N2275" s="50" t="s">
        <v>2</v>
      </c>
      <c r="O2275" s="74">
        <f>5/2</f>
        <v>2.5</v>
      </c>
      <c r="P2275" s="50">
        <v>6.5</v>
      </c>
      <c r="Q2275" s="74">
        <v>6.4</v>
      </c>
      <c r="R2275" s="50">
        <v>170</v>
      </c>
      <c r="S2275" s="74">
        <v>85</v>
      </c>
      <c r="T2275" s="50">
        <v>0.51</v>
      </c>
      <c r="U2275" s="131">
        <v>2.1</v>
      </c>
      <c r="V2275" s="50">
        <v>2.2000000000000002</v>
      </c>
      <c r="W2275" s="74">
        <v>0.04</v>
      </c>
      <c r="X2275" s="50">
        <v>0.52</v>
      </c>
      <c r="Y2275" s="74">
        <v>2.1000000000000001E-2</v>
      </c>
      <c r="Z2275" s="165">
        <v>1</v>
      </c>
      <c r="AA2275" s="271">
        <v>1</v>
      </c>
      <c r="AB2275" s="114">
        <v>40</v>
      </c>
      <c r="AC2275" s="50">
        <v>130</v>
      </c>
      <c r="AD2275" s="271">
        <v>1</v>
      </c>
      <c r="AI2275" s="160" t="s">
        <v>1535</v>
      </c>
    </row>
    <row r="2276" spans="1:35" ht="15" customHeight="1">
      <c r="A2276" s="41" t="s">
        <v>183</v>
      </c>
      <c r="B2276" s="402" t="s">
        <v>1351</v>
      </c>
      <c r="C2276" s="113" t="s">
        <v>1898</v>
      </c>
      <c r="D2276" s="393" t="s">
        <v>1537</v>
      </c>
      <c r="E2276" s="394" t="s">
        <v>1899</v>
      </c>
      <c r="G2276" s="405" t="s">
        <v>1354</v>
      </c>
      <c r="H2276" s="49">
        <v>4513</v>
      </c>
      <c r="I2276" s="50" t="s">
        <v>1</v>
      </c>
      <c r="J2276" s="76" t="s">
        <v>1355</v>
      </c>
      <c r="K2276" s="51">
        <v>41487</v>
      </c>
      <c r="L2276" s="173">
        <v>41483</v>
      </c>
      <c r="M2276" s="50">
        <f t="shared" si="125"/>
        <v>4</v>
      </c>
      <c r="N2276" s="50" t="s">
        <v>2</v>
      </c>
      <c r="O2276" s="74">
        <f>5/2</f>
        <v>2.5</v>
      </c>
      <c r="P2276" s="50">
        <v>6.5</v>
      </c>
      <c r="Q2276" s="74">
        <v>6.6</v>
      </c>
      <c r="R2276" s="50">
        <v>77</v>
      </c>
      <c r="S2276" s="74">
        <v>35</v>
      </c>
      <c r="T2276" s="50">
        <v>0.96</v>
      </c>
      <c r="U2276" s="131">
        <v>1.6</v>
      </c>
      <c r="V2276" s="50">
        <v>0.83</v>
      </c>
      <c r="W2276" s="74">
        <v>1.9E-2</v>
      </c>
      <c r="X2276" s="50">
        <v>0.11</v>
      </c>
      <c r="Y2276" s="74">
        <v>1.2E-2</v>
      </c>
      <c r="Z2276" s="165">
        <v>1</v>
      </c>
      <c r="AA2276" s="271">
        <v>1</v>
      </c>
      <c r="AB2276" s="114">
        <v>48</v>
      </c>
      <c r="AC2276" s="50">
        <v>140</v>
      </c>
      <c r="AD2276" s="271">
        <v>1</v>
      </c>
      <c r="AI2276" s="114" t="s">
        <v>1535</v>
      </c>
    </row>
    <row r="2277" spans="1:35" ht="15" customHeight="1">
      <c r="A2277" s="41" t="s">
        <v>183</v>
      </c>
      <c r="B2277" s="402" t="s">
        <v>1351</v>
      </c>
      <c r="C2277" s="113" t="s">
        <v>1359</v>
      </c>
      <c r="D2277" s="393" t="s">
        <v>192</v>
      </c>
      <c r="E2277" s="394" t="s">
        <v>1254</v>
      </c>
      <c r="G2277" s="405" t="s">
        <v>1360</v>
      </c>
      <c r="H2277" s="49">
        <v>4513</v>
      </c>
      <c r="I2277" s="50" t="s">
        <v>2</v>
      </c>
      <c r="J2277" s="76" t="s">
        <v>1361</v>
      </c>
      <c r="K2277" s="51">
        <v>41499</v>
      </c>
      <c r="L2277" s="173">
        <v>41495</v>
      </c>
      <c r="M2277" s="50">
        <f t="shared" si="125"/>
        <v>4</v>
      </c>
      <c r="N2277" s="50" t="s">
        <v>2</v>
      </c>
      <c r="O2277" s="74">
        <f>6/2</f>
        <v>3</v>
      </c>
      <c r="P2277" s="50">
        <v>6</v>
      </c>
      <c r="Q2277" s="74">
        <v>6</v>
      </c>
      <c r="R2277" s="50">
        <v>69</v>
      </c>
      <c r="S2277" s="74">
        <v>140</v>
      </c>
      <c r="T2277" s="50">
        <v>0.18</v>
      </c>
      <c r="U2277" s="131">
        <v>1.3</v>
      </c>
      <c r="V2277" s="50">
        <v>1.3</v>
      </c>
      <c r="W2277" s="74">
        <v>5.8000000000000003E-2</v>
      </c>
      <c r="X2277" s="50">
        <v>0.47</v>
      </c>
      <c r="Y2277" s="74">
        <v>1.2999999999999999E-2</v>
      </c>
      <c r="Z2277" s="165"/>
    </row>
    <row r="2278" spans="1:35" ht="15" customHeight="1">
      <c r="A2278" s="41" t="s">
        <v>183</v>
      </c>
      <c r="B2278" s="402" t="s">
        <v>1351</v>
      </c>
      <c r="C2278" s="113" t="s">
        <v>1359</v>
      </c>
      <c r="D2278" s="393" t="s">
        <v>192</v>
      </c>
      <c r="E2278" s="394" t="s">
        <v>1254</v>
      </c>
      <c r="G2278" s="405" t="s">
        <v>1360</v>
      </c>
      <c r="H2278" s="49">
        <v>4513</v>
      </c>
      <c r="I2278" s="50" t="s">
        <v>2</v>
      </c>
      <c r="J2278" s="76" t="s">
        <v>2118</v>
      </c>
      <c r="K2278" s="51">
        <v>41499</v>
      </c>
      <c r="L2278" s="173">
        <v>41495</v>
      </c>
      <c r="M2278" s="50">
        <f t="shared" si="125"/>
        <v>4</v>
      </c>
      <c r="N2278" s="50" t="s">
        <v>2</v>
      </c>
      <c r="O2278" s="74">
        <f>5/2</f>
        <v>2.5</v>
      </c>
      <c r="P2278" s="50">
        <v>6</v>
      </c>
      <c r="Q2278" s="74">
        <v>5.2</v>
      </c>
      <c r="R2278" s="50">
        <v>62</v>
      </c>
      <c r="S2278" s="74">
        <v>7.5</v>
      </c>
      <c r="T2278" s="50">
        <v>0.15</v>
      </c>
      <c r="U2278" s="131">
        <v>2.8</v>
      </c>
      <c r="V2278" s="50">
        <v>1.5</v>
      </c>
      <c r="W2278" s="74">
        <v>1.2999999999999999E-2</v>
      </c>
      <c r="X2278" s="50">
        <v>2.9000000000000001E-2</v>
      </c>
      <c r="Y2278" s="74">
        <f>0.01/2</f>
        <v>5.0000000000000001E-3</v>
      </c>
      <c r="Z2278" s="165"/>
    </row>
    <row r="2279" spans="1:35" ht="15" customHeight="1">
      <c r="A2279" s="41" t="s">
        <v>183</v>
      </c>
      <c r="B2279" s="402" t="s">
        <v>1351</v>
      </c>
      <c r="C2279" s="113" t="s">
        <v>1374</v>
      </c>
      <c r="D2279" s="393" t="s">
        <v>205</v>
      </c>
      <c r="E2279" s="394" t="s">
        <v>364</v>
      </c>
      <c r="G2279" s="405" t="s">
        <v>1375</v>
      </c>
      <c r="H2279" s="49">
        <v>4513</v>
      </c>
      <c r="I2279" s="50" t="s">
        <v>2</v>
      </c>
      <c r="J2279" s="76" t="s">
        <v>1376</v>
      </c>
      <c r="K2279" s="51">
        <v>41499</v>
      </c>
      <c r="L2279" s="173">
        <v>41495</v>
      </c>
      <c r="M2279" s="50">
        <f t="shared" si="125"/>
        <v>4</v>
      </c>
      <c r="N2279" s="50" t="s">
        <v>2</v>
      </c>
      <c r="O2279" s="74">
        <f>5/2</f>
        <v>2.5</v>
      </c>
      <c r="P2279" s="50">
        <v>6</v>
      </c>
      <c r="Q2279" s="74">
        <v>6.5</v>
      </c>
      <c r="R2279" s="50">
        <v>87</v>
      </c>
      <c r="S2279" s="74">
        <v>37</v>
      </c>
      <c r="T2279" s="50">
        <v>0.56999999999999995</v>
      </c>
      <c r="U2279" s="131">
        <v>8.5</v>
      </c>
      <c r="V2279" s="50">
        <v>0.8</v>
      </c>
      <c r="W2279" s="74">
        <v>1.6E-2</v>
      </c>
      <c r="X2279" s="50">
        <v>0.11</v>
      </c>
      <c r="Y2279" s="74">
        <f>0.01/2</f>
        <v>5.0000000000000001E-3</v>
      </c>
      <c r="Z2279" s="165"/>
    </row>
    <row r="2280" spans="1:35" ht="15" customHeight="1">
      <c r="A2280" s="41" t="s">
        <v>183</v>
      </c>
      <c r="B2280" s="402" t="s">
        <v>5257</v>
      </c>
      <c r="C2280" s="113" t="s">
        <v>5258</v>
      </c>
      <c r="D2280" s="393" t="s">
        <v>89</v>
      </c>
      <c r="E2280" s="394" t="s">
        <v>5259</v>
      </c>
      <c r="G2280" s="405" t="s">
        <v>5260</v>
      </c>
      <c r="H2280" s="74">
        <v>4953</v>
      </c>
      <c r="J2280" s="339" t="s">
        <v>130</v>
      </c>
      <c r="K2280" s="51">
        <v>41529</v>
      </c>
      <c r="L2280" s="173">
        <v>41520</v>
      </c>
      <c r="M2280" s="50">
        <f t="shared" si="125"/>
        <v>9</v>
      </c>
      <c r="N2280" s="50" t="s">
        <v>2</v>
      </c>
      <c r="O2280" s="74">
        <v>2.2999999999999998</v>
      </c>
      <c r="P2280" s="50">
        <v>6.77</v>
      </c>
      <c r="Q2280" s="74">
        <v>5.49</v>
      </c>
      <c r="R2280" s="50">
        <v>77</v>
      </c>
      <c r="S2280" s="74">
        <v>250</v>
      </c>
      <c r="T2280" s="50">
        <v>0.4</v>
      </c>
      <c r="U2280" s="131">
        <v>2.71</v>
      </c>
      <c r="V2280" s="50">
        <v>1.19</v>
      </c>
      <c r="W2280" s="74">
        <v>0.05</v>
      </c>
      <c r="X2280" s="50">
        <v>0.21</v>
      </c>
      <c r="Y2280" s="74">
        <v>1.6E-2</v>
      </c>
      <c r="Z2280" s="165">
        <v>1</v>
      </c>
      <c r="AA2280" s="271">
        <v>1</v>
      </c>
      <c r="AB2280" s="114">
        <v>18</v>
      </c>
      <c r="AC2280" s="50">
        <v>89</v>
      </c>
      <c r="AD2280" s="271">
        <v>1</v>
      </c>
      <c r="AE2280" s="50">
        <v>2450</v>
      </c>
    </row>
    <row r="2281" spans="1:35" ht="15" customHeight="1">
      <c r="A2281" s="41" t="s">
        <v>183</v>
      </c>
      <c r="B2281" s="402" t="s">
        <v>5257</v>
      </c>
      <c r="C2281" s="113" t="s">
        <v>5258</v>
      </c>
      <c r="D2281" s="393" t="s">
        <v>89</v>
      </c>
      <c r="E2281" s="394" t="s">
        <v>5259</v>
      </c>
      <c r="G2281" s="405" t="s">
        <v>5260</v>
      </c>
      <c r="H2281" s="74">
        <v>4953</v>
      </c>
      <c r="J2281" s="339" t="s">
        <v>456</v>
      </c>
      <c r="K2281" s="51">
        <v>41529</v>
      </c>
      <c r="L2281" s="173">
        <v>41520</v>
      </c>
      <c r="M2281" s="50">
        <f t="shared" si="125"/>
        <v>9</v>
      </c>
      <c r="N2281" s="50" t="s">
        <v>2</v>
      </c>
      <c r="O2281" s="74">
        <v>1.5</v>
      </c>
      <c r="P2281" s="50">
        <v>6.77</v>
      </c>
      <c r="Q2281" s="74">
        <v>6.97</v>
      </c>
      <c r="R2281" s="50">
        <v>62</v>
      </c>
      <c r="S2281" s="74">
        <v>650</v>
      </c>
      <c r="T2281" s="50">
        <v>1.22</v>
      </c>
      <c r="U2281" s="131">
        <v>6.26</v>
      </c>
      <c r="V2281" s="50">
        <v>1.66</v>
      </c>
      <c r="W2281" s="74">
        <v>0.32200000000000001</v>
      </c>
      <c r="X2281" s="50">
        <v>0.16</v>
      </c>
      <c r="Y2281" s="74">
        <v>2.1000000000000001E-2</v>
      </c>
      <c r="Z2281" s="165">
        <v>1</v>
      </c>
      <c r="AA2281" s="271">
        <v>0.71799999999999997</v>
      </c>
      <c r="AB2281" s="114">
        <v>12</v>
      </c>
      <c r="AC2281" s="50">
        <v>70</v>
      </c>
      <c r="AE2281" s="50">
        <v>24200</v>
      </c>
    </row>
    <row r="2282" spans="1:35" ht="15" customHeight="1">
      <c r="A2282" s="41" t="s">
        <v>183</v>
      </c>
      <c r="B2282" s="402" t="s">
        <v>5257</v>
      </c>
      <c r="C2282" s="113" t="s">
        <v>5258</v>
      </c>
      <c r="D2282" s="393" t="s">
        <v>89</v>
      </c>
      <c r="E2282" s="394" t="s">
        <v>5259</v>
      </c>
      <c r="G2282" s="405" t="s">
        <v>5260</v>
      </c>
      <c r="H2282" s="74">
        <v>4953</v>
      </c>
      <c r="J2282" s="339" t="s">
        <v>5261</v>
      </c>
      <c r="K2282" s="51">
        <v>41529</v>
      </c>
      <c r="L2282" s="173">
        <v>41520</v>
      </c>
      <c r="M2282" s="50">
        <f t="shared" si="125"/>
        <v>9</v>
      </c>
      <c r="N2282" s="50" t="s">
        <v>2</v>
      </c>
      <c r="O2282" s="74">
        <f>1.5/2</f>
        <v>0.75</v>
      </c>
      <c r="P2282" s="50">
        <v>6.77</v>
      </c>
      <c r="Q2282" s="74">
        <v>7.35</v>
      </c>
      <c r="R2282" s="50">
        <v>47</v>
      </c>
      <c r="S2282" s="74">
        <v>52</v>
      </c>
      <c r="T2282" s="50">
        <v>0.3</v>
      </c>
      <c r="U2282" s="131">
        <v>4.0999999999999996</v>
      </c>
      <c r="V2282" s="50">
        <v>1.33</v>
      </c>
      <c r="W2282" s="74">
        <v>2.8000000000000001E-2</v>
      </c>
      <c r="X2282" s="50">
        <v>9.9000000000000005E-2</v>
      </c>
      <c r="Y2282" s="74">
        <v>8.9999999999999993E-3</v>
      </c>
      <c r="Z2282" s="165">
        <v>1</v>
      </c>
      <c r="AA2282" s="271">
        <v>1</v>
      </c>
      <c r="AB2282" s="114">
        <v>22</v>
      </c>
      <c r="AC2282" s="50">
        <v>96</v>
      </c>
      <c r="AD2282" s="271">
        <v>1</v>
      </c>
      <c r="AE2282" s="50">
        <v>160</v>
      </c>
    </row>
    <row r="2283" spans="1:35" ht="15" customHeight="1">
      <c r="A2283" s="41" t="s">
        <v>183</v>
      </c>
      <c r="B2283" s="402" t="s">
        <v>5257</v>
      </c>
      <c r="C2283" s="113" t="s">
        <v>5258</v>
      </c>
      <c r="D2283" s="393" t="s">
        <v>89</v>
      </c>
      <c r="E2283" s="394" t="s">
        <v>5259</v>
      </c>
      <c r="G2283" s="405" t="s">
        <v>5260</v>
      </c>
      <c r="H2283" s="74">
        <v>4953</v>
      </c>
      <c r="J2283" s="339" t="s">
        <v>1277</v>
      </c>
      <c r="K2283" s="51">
        <v>41529</v>
      </c>
      <c r="L2283" s="173">
        <v>41520</v>
      </c>
      <c r="M2283" s="50">
        <f t="shared" si="125"/>
        <v>9</v>
      </c>
      <c r="N2283" s="50" t="s">
        <v>2</v>
      </c>
      <c r="O2283" s="74">
        <f>1.5/2</f>
        <v>0.75</v>
      </c>
      <c r="P2283" s="50">
        <v>6.77</v>
      </c>
      <c r="Q2283" s="74">
        <v>7.08</v>
      </c>
      <c r="R2283" s="50">
        <v>92</v>
      </c>
      <c r="S2283" s="74">
        <v>170</v>
      </c>
      <c r="T2283" s="50">
        <v>0.37</v>
      </c>
      <c r="U2283" s="131">
        <v>2.57</v>
      </c>
      <c r="V2283" s="50">
        <v>1.1599999999999999</v>
      </c>
      <c r="W2283" s="74">
        <v>4.7E-2</v>
      </c>
      <c r="X2283" s="50">
        <v>0.16900000000000001</v>
      </c>
      <c r="Y2283" s="74">
        <v>1.7000000000000001E-2</v>
      </c>
      <c r="Z2283" s="165">
        <v>1</v>
      </c>
      <c r="AA2283" s="271">
        <v>1</v>
      </c>
      <c r="AB2283" s="114">
        <v>20</v>
      </c>
      <c r="AC2283" s="50">
        <v>104</v>
      </c>
      <c r="AD2283" s="271">
        <v>1</v>
      </c>
      <c r="AE2283" s="50">
        <v>19860</v>
      </c>
    </row>
    <row r="2284" spans="1:35" ht="15" customHeight="1">
      <c r="A2284" s="357" t="s">
        <v>183</v>
      </c>
      <c r="B2284" s="402" t="s">
        <v>4276</v>
      </c>
      <c r="C2284" s="113" t="s">
        <v>3789</v>
      </c>
      <c r="D2284" s="393" t="s">
        <v>56</v>
      </c>
      <c r="E2284" s="394" t="s">
        <v>95</v>
      </c>
      <c r="G2284" s="405" t="s">
        <v>3790</v>
      </c>
      <c r="H2284" s="74">
        <v>4111</v>
      </c>
      <c r="I2284" s="50" t="s">
        <v>1</v>
      </c>
      <c r="J2284" s="339" t="s">
        <v>5262</v>
      </c>
      <c r="K2284" s="51">
        <v>41529</v>
      </c>
      <c r="L2284" s="173">
        <v>41518</v>
      </c>
      <c r="M2284" s="50">
        <f t="shared" si="125"/>
        <v>11</v>
      </c>
      <c r="N2284" s="50" t="s">
        <v>2</v>
      </c>
      <c r="O2284" s="74">
        <f>0.5/2</f>
        <v>0.25</v>
      </c>
      <c r="P2284" s="50">
        <v>6.95</v>
      </c>
      <c r="Q2284" s="74">
        <v>6.95</v>
      </c>
      <c r="R2284" s="50">
        <v>33</v>
      </c>
      <c r="S2284" s="74">
        <v>84</v>
      </c>
      <c r="T2284" s="50">
        <v>0.16</v>
      </c>
      <c r="U2284" s="131">
        <v>0.96199999999999997</v>
      </c>
      <c r="V2284" s="50">
        <v>0.46400000000000002</v>
      </c>
      <c r="W2284" s="74">
        <v>2.8199999999999999E-2</v>
      </c>
      <c r="X2284" s="50">
        <v>0.10100000000000001</v>
      </c>
      <c r="Y2284" s="74">
        <v>6.7499999999999999E-3</v>
      </c>
      <c r="Z2284" s="165">
        <v>1</v>
      </c>
      <c r="AA2284" s="271">
        <v>1</v>
      </c>
      <c r="AB2284" s="114">
        <v>8.4</v>
      </c>
      <c r="AC2284" s="50">
        <v>51.9</v>
      </c>
      <c r="AD2284" s="271">
        <v>0.95</v>
      </c>
    </row>
    <row r="2285" spans="1:35" ht="15" customHeight="1">
      <c r="A2285" s="357" t="s">
        <v>183</v>
      </c>
      <c r="B2285" s="402" t="s">
        <v>4276</v>
      </c>
      <c r="C2285" s="113" t="s">
        <v>3789</v>
      </c>
      <c r="D2285" s="393" t="s">
        <v>56</v>
      </c>
      <c r="E2285" s="394" t="s">
        <v>95</v>
      </c>
      <c r="G2285" s="405" t="s">
        <v>3790</v>
      </c>
      <c r="H2285" s="74">
        <v>4111</v>
      </c>
      <c r="I2285" s="50" t="s">
        <v>1</v>
      </c>
      <c r="J2285" s="339" t="s">
        <v>5263</v>
      </c>
      <c r="K2285" s="51">
        <v>41529</v>
      </c>
      <c r="L2285" s="173">
        <v>41518</v>
      </c>
      <c r="M2285" s="50">
        <f t="shared" si="125"/>
        <v>11</v>
      </c>
      <c r="N2285" s="50" t="s">
        <v>2</v>
      </c>
      <c r="O2285" s="74">
        <f>0.5/2</f>
        <v>0.25</v>
      </c>
      <c r="P2285" s="50">
        <v>6.81</v>
      </c>
      <c r="Q2285" s="74">
        <v>6.81</v>
      </c>
      <c r="R2285" s="50">
        <v>120</v>
      </c>
      <c r="S2285" s="74">
        <v>21.6</v>
      </c>
      <c r="T2285" s="50">
        <v>2.0299999999999998</v>
      </c>
      <c r="U2285" s="131">
        <v>0.8</v>
      </c>
      <c r="V2285" s="50">
        <v>0.72499999999999998</v>
      </c>
      <c r="W2285" s="74">
        <v>4.48E-2</v>
      </c>
      <c r="X2285" s="50">
        <v>8.5000000000000006E-2</v>
      </c>
      <c r="Y2285" s="74">
        <v>2.5700000000000001E-2</v>
      </c>
      <c r="Z2285" s="165">
        <v>1</v>
      </c>
      <c r="AA2285" s="271">
        <v>1</v>
      </c>
      <c r="AB2285" s="114">
        <v>166</v>
      </c>
      <c r="AC2285" s="50">
        <v>916</v>
      </c>
      <c r="AD2285" s="271">
        <v>1</v>
      </c>
    </row>
    <row r="2286" spans="1:35" ht="15" customHeight="1">
      <c r="A2286" s="74" t="s">
        <v>183</v>
      </c>
      <c r="B2286" s="402" t="s">
        <v>3781</v>
      </c>
      <c r="C2286" s="113" t="s">
        <v>3782</v>
      </c>
      <c r="D2286" s="393" t="s">
        <v>1896</v>
      </c>
      <c r="E2286" s="394" t="s">
        <v>3783</v>
      </c>
      <c r="G2286" s="405" t="s">
        <v>3784</v>
      </c>
      <c r="H2286" s="74">
        <v>4111</v>
      </c>
      <c r="I2286" s="50" t="s">
        <v>1</v>
      </c>
      <c r="J2286" s="339" t="s">
        <v>5264</v>
      </c>
      <c r="K2286" s="51">
        <v>41529</v>
      </c>
      <c r="L2286" s="173">
        <v>41518</v>
      </c>
      <c r="M2286" s="50">
        <f t="shared" si="125"/>
        <v>11</v>
      </c>
      <c r="N2286" s="50" t="s">
        <v>2</v>
      </c>
      <c r="O2286" s="74">
        <v>0.54100000000000004</v>
      </c>
      <c r="Q2286" s="74">
        <v>7.05</v>
      </c>
      <c r="R2286" s="50">
        <v>26</v>
      </c>
      <c r="S2286" s="74">
        <v>14.4</v>
      </c>
      <c r="T2286" s="50">
        <f>0.05/2</f>
        <v>2.5000000000000001E-2</v>
      </c>
      <c r="U2286" s="131">
        <v>0.64600000000000002</v>
      </c>
      <c r="V2286" s="50">
        <v>0.372</v>
      </c>
      <c r="W2286" s="74">
        <v>1.2699999999999999E-2</v>
      </c>
      <c r="X2286" s="50">
        <v>9.2700000000000005E-2</v>
      </c>
      <c r="Y2286" s="74">
        <v>7.0600000000000003E-3</v>
      </c>
      <c r="Z2286" s="165">
        <v>1</v>
      </c>
      <c r="AA2286" s="271">
        <v>1</v>
      </c>
      <c r="AB2286" s="114">
        <v>5.58</v>
      </c>
      <c r="AC2286" s="50">
        <v>42</v>
      </c>
      <c r="AD2286" s="271">
        <v>0.8</v>
      </c>
    </row>
    <row r="2287" spans="1:35" ht="15" customHeight="1">
      <c r="A2287" s="74" t="s">
        <v>183</v>
      </c>
      <c r="B2287" s="402" t="s">
        <v>3781</v>
      </c>
      <c r="C2287" s="113" t="s">
        <v>3782</v>
      </c>
      <c r="D2287" s="393" t="s">
        <v>1896</v>
      </c>
      <c r="E2287" s="394" t="s">
        <v>3783</v>
      </c>
      <c r="G2287" s="405" t="s">
        <v>3784</v>
      </c>
      <c r="H2287" s="74">
        <v>4111</v>
      </c>
      <c r="I2287" s="50" t="s">
        <v>1</v>
      </c>
      <c r="J2287" s="339" t="s">
        <v>5265</v>
      </c>
      <c r="K2287" s="51">
        <v>41529</v>
      </c>
      <c r="L2287" s="173">
        <v>41518</v>
      </c>
      <c r="M2287" s="50">
        <f t="shared" si="125"/>
        <v>11</v>
      </c>
      <c r="N2287" s="50" t="s">
        <v>2</v>
      </c>
      <c r="O2287" s="74">
        <v>1</v>
      </c>
      <c r="Q2287" s="74">
        <v>6.91</v>
      </c>
      <c r="R2287" s="50">
        <v>75</v>
      </c>
      <c r="S2287" s="74">
        <f>4/2</f>
        <v>2</v>
      </c>
      <c r="T2287" s="50">
        <f>0.05/2</f>
        <v>2.5000000000000001E-2</v>
      </c>
      <c r="U2287" s="131">
        <v>4.9800000000000004</v>
      </c>
      <c r="V2287" s="50">
        <v>0.36699999999999999</v>
      </c>
      <c r="W2287" s="74">
        <v>1.35E-2</v>
      </c>
      <c r="X2287" s="50">
        <v>0.221</v>
      </c>
      <c r="Y2287" s="74">
        <v>4.5199999999999997E-3</v>
      </c>
      <c r="Z2287" s="165">
        <v>1</v>
      </c>
      <c r="AA2287" s="271">
        <v>0.93899999999999995</v>
      </c>
      <c r="AB2287" s="114">
        <v>4.26</v>
      </c>
      <c r="AC2287" s="50">
        <v>27.3</v>
      </c>
      <c r="AD2287" s="271">
        <v>0.45</v>
      </c>
    </row>
    <row r="2288" spans="1:35" ht="15" customHeight="1">
      <c r="A2288" s="74" t="s">
        <v>183</v>
      </c>
      <c r="B2288" s="402" t="s">
        <v>3781</v>
      </c>
      <c r="C2288" s="113" t="s">
        <v>3782</v>
      </c>
      <c r="D2288" s="393" t="s">
        <v>1896</v>
      </c>
      <c r="E2288" s="394" t="s">
        <v>3783</v>
      </c>
      <c r="G2288" s="405" t="s">
        <v>3784</v>
      </c>
      <c r="H2288" s="74">
        <v>4111</v>
      </c>
      <c r="I2288" s="50" t="s">
        <v>1</v>
      </c>
      <c r="J2288" s="339" t="s">
        <v>5266</v>
      </c>
      <c r="K2288" s="51">
        <v>41529</v>
      </c>
      <c r="L2288" s="173">
        <v>41518</v>
      </c>
      <c r="M2288" s="50">
        <f t="shared" si="125"/>
        <v>11</v>
      </c>
      <c r="N2288" s="50" t="s">
        <v>2</v>
      </c>
      <c r="O2288" s="74">
        <v>1</v>
      </c>
      <c r="Q2288" s="74">
        <v>6.89</v>
      </c>
      <c r="R2288" s="50">
        <v>14</v>
      </c>
      <c r="S2288" s="74">
        <v>4</v>
      </c>
      <c r="T2288" s="50">
        <f>0.05/2</f>
        <v>2.5000000000000001E-2</v>
      </c>
      <c r="U2288" s="131">
        <v>0.44600000000000001</v>
      </c>
      <c r="V2288" s="50">
        <v>0.42299999999999999</v>
      </c>
      <c r="W2288" s="74">
        <v>1.23E-2</v>
      </c>
      <c r="X2288" s="50">
        <v>0.22800000000000001</v>
      </c>
      <c r="Y2288" s="74">
        <f>0.003/2</f>
        <v>1.5E-3</v>
      </c>
      <c r="Z2288" s="165">
        <v>1</v>
      </c>
      <c r="AA2288" s="271">
        <v>0.70699999999999996</v>
      </c>
      <c r="AB2288" s="114">
        <v>3.68</v>
      </c>
      <c r="AC2288" s="50">
        <v>40</v>
      </c>
      <c r="AD2288" s="271">
        <v>0</v>
      </c>
    </row>
    <row r="2289" spans="1:36" ht="15" customHeight="1">
      <c r="A2289" s="74" t="s">
        <v>183</v>
      </c>
      <c r="B2289" s="402" t="s">
        <v>3781</v>
      </c>
      <c r="C2289" s="113" t="s">
        <v>3782</v>
      </c>
      <c r="D2289" s="393" t="s">
        <v>1896</v>
      </c>
      <c r="E2289" s="394" t="s">
        <v>3783</v>
      </c>
      <c r="G2289" s="405" t="s">
        <v>3784</v>
      </c>
      <c r="H2289" s="74">
        <v>4111</v>
      </c>
      <c r="I2289" s="50" t="s">
        <v>1</v>
      </c>
      <c r="J2289" s="339" t="s">
        <v>5267</v>
      </c>
      <c r="K2289" s="51">
        <v>41529</v>
      </c>
      <c r="L2289" s="173">
        <v>41518</v>
      </c>
      <c r="M2289" s="50">
        <f t="shared" si="125"/>
        <v>11</v>
      </c>
      <c r="N2289" s="50" t="s">
        <v>2</v>
      </c>
      <c r="O2289" s="74">
        <f>0.5/2</f>
        <v>0.25</v>
      </c>
      <c r="Q2289" s="74">
        <v>6.42</v>
      </c>
      <c r="R2289" s="50">
        <v>11</v>
      </c>
      <c r="S2289" s="74">
        <f>4/2</f>
        <v>2</v>
      </c>
      <c r="T2289" s="50">
        <f>0.05/2</f>
        <v>2.5000000000000001E-2</v>
      </c>
      <c r="U2289" s="131">
        <v>0.56799999999999995</v>
      </c>
      <c r="V2289" s="50">
        <v>0.52500000000000002</v>
      </c>
      <c r="W2289" s="74">
        <v>4.5999999999999999E-3</v>
      </c>
      <c r="X2289" s="50">
        <v>0.14000000000000001</v>
      </c>
      <c r="Y2289" s="74">
        <f>0.003/2</f>
        <v>1.5E-3</v>
      </c>
      <c r="Z2289" s="165">
        <v>1</v>
      </c>
      <c r="AA2289" s="271">
        <v>0.65900000000000003</v>
      </c>
      <c r="AB2289" s="114">
        <v>1.2</v>
      </c>
      <c r="AC2289" s="50">
        <v>16.899999999999999</v>
      </c>
      <c r="AD2289" s="271">
        <v>0</v>
      </c>
    </row>
    <row r="2290" spans="1:36" ht="15" customHeight="1">
      <c r="A2290" s="41" t="s">
        <v>183</v>
      </c>
      <c r="B2290" s="402" t="s">
        <v>900</v>
      </c>
      <c r="C2290" s="113" t="s">
        <v>901</v>
      </c>
      <c r="D2290" s="393" t="s">
        <v>452</v>
      </c>
      <c r="E2290" s="394" t="s">
        <v>398</v>
      </c>
      <c r="G2290" s="405" t="s">
        <v>902</v>
      </c>
      <c r="H2290" s="74">
        <v>4491</v>
      </c>
      <c r="I2290" s="50" t="s">
        <v>2</v>
      </c>
      <c r="J2290" s="339" t="s">
        <v>366</v>
      </c>
      <c r="K2290" s="51">
        <v>41508</v>
      </c>
      <c r="L2290" s="173">
        <v>41498</v>
      </c>
      <c r="M2290" s="50">
        <f t="shared" si="125"/>
        <v>10</v>
      </c>
      <c r="N2290" s="50" t="s">
        <v>2</v>
      </c>
      <c r="O2290" s="74">
        <f>1/2</f>
        <v>0.5</v>
      </c>
      <c r="P2290" s="50">
        <v>6.56</v>
      </c>
      <c r="Q2290" s="74">
        <v>5.97</v>
      </c>
      <c r="R2290" s="50">
        <v>32.1</v>
      </c>
      <c r="S2290" s="74">
        <v>41</v>
      </c>
      <c r="T2290" s="50">
        <v>0.25</v>
      </c>
      <c r="U2290" s="131">
        <v>2.61</v>
      </c>
      <c r="V2290" s="50">
        <v>0.2</v>
      </c>
      <c r="W2290" s="74">
        <v>0.06</v>
      </c>
      <c r="X2290" s="50">
        <v>0.129</v>
      </c>
      <c r="Y2290" s="74">
        <v>1.2E-2</v>
      </c>
      <c r="Z2290" s="165"/>
      <c r="AJ2290" s="114">
        <v>43</v>
      </c>
    </row>
    <row r="2291" spans="1:36" ht="15" customHeight="1">
      <c r="A2291" s="41" t="s">
        <v>183</v>
      </c>
      <c r="B2291" s="402" t="s">
        <v>900</v>
      </c>
      <c r="C2291" s="113" t="s">
        <v>901</v>
      </c>
      <c r="D2291" s="393" t="s">
        <v>452</v>
      </c>
      <c r="E2291" s="394" t="s">
        <v>398</v>
      </c>
      <c r="G2291" s="405" t="s">
        <v>902</v>
      </c>
      <c r="H2291" s="74">
        <v>4491</v>
      </c>
      <c r="I2291" s="50" t="s">
        <v>2</v>
      </c>
      <c r="J2291" s="339" t="s">
        <v>903</v>
      </c>
      <c r="K2291" s="51">
        <v>41508</v>
      </c>
      <c r="L2291" s="173">
        <v>41498</v>
      </c>
      <c r="M2291" s="50">
        <f t="shared" si="125"/>
        <v>10</v>
      </c>
      <c r="N2291" s="77" t="s">
        <v>2</v>
      </c>
      <c r="O2291" s="74">
        <f>1/2</f>
        <v>0.5</v>
      </c>
      <c r="P2291" s="50">
        <v>6.56</v>
      </c>
      <c r="Q2291" s="74">
        <v>6.65</v>
      </c>
      <c r="R2291" s="50">
        <v>73.8</v>
      </c>
      <c r="S2291" s="74">
        <v>30</v>
      </c>
      <c r="T2291" s="50">
        <v>1.03</v>
      </c>
      <c r="U2291" s="131">
        <v>3.19</v>
      </c>
      <c r="V2291" s="50">
        <v>1.1499999999999999</v>
      </c>
      <c r="W2291" s="74">
        <v>0.13400000000000001</v>
      </c>
      <c r="X2291" s="50">
        <v>0.217</v>
      </c>
      <c r="Y2291" s="74">
        <v>1.0999999999999999E-2</v>
      </c>
      <c r="Z2291" s="165"/>
      <c r="AJ2291" s="114">
        <v>110</v>
      </c>
    </row>
    <row r="2292" spans="1:36" ht="15" customHeight="1">
      <c r="A2292" s="41" t="s">
        <v>183</v>
      </c>
      <c r="B2292" s="402" t="s">
        <v>900</v>
      </c>
      <c r="C2292" s="113" t="s">
        <v>901</v>
      </c>
      <c r="D2292" s="393" t="s">
        <v>452</v>
      </c>
      <c r="E2292" s="394" t="s">
        <v>398</v>
      </c>
      <c r="G2292" s="405" t="s">
        <v>902</v>
      </c>
      <c r="H2292" s="74">
        <v>4491</v>
      </c>
      <c r="I2292" s="50" t="s">
        <v>2</v>
      </c>
      <c r="J2292" s="339" t="s">
        <v>904</v>
      </c>
      <c r="K2292" s="51">
        <v>41508</v>
      </c>
      <c r="L2292" s="173">
        <v>41498</v>
      </c>
      <c r="M2292" s="50">
        <f t="shared" si="125"/>
        <v>10</v>
      </c>
      <c r="N2292" s="50" t="s">
        <v>2</v>
      </c>
      <c r="O2292" s="74">
        <f>1/2</f>
        <v>0.5</v>
      </c>
      <c r="P2292" s="50">
        <v>6.56</v>
      </c>
      <c r="Q2292" s="74">
        <v>6.04</v>
      </c>
      <c r="R2292" s="50">
        <v>618</v>
      </c>
      <c r="S2292" s="74">
        <v>130</v>
      </c>
      <c r="T2292" s="50">
        <v>7.63</v>
      </c>
      <c r="U2292" s="131">
        <v>75.900000000000006</v>
      </c>
      <c r="V2292" s="50">
        <v>0.2</v>
      </c>
      <c r="W2292" s="74">
        <v>0.20399999999999999</v>
      </c>
      <c r="X2292" s="50">
        <v>0.27400000000000002</v>
      </c>
      <c r="Y2292" s="74">
        <v>8.9999999999999993E-3</v>
      </c>
      <c r="Z2292" s="165"/>
      <c r="AJ2292" s="114">
        <v>26</v>
      </c>
    </row>
    <row r="2293" spans="1:36" ht="15" customHeight="1">
      <c r="A2293" s="41" t="s">
        <v>183</v>
      </c>
      <c r="B2293" s="402" t="s">
        <v>5268</v>
      </c>
      <c r="D2293" s="393" t="s">
        <v>133</v>
      </c>
      <c r="E2293" s="394" t="s">
        <v>5269</v>
      </c>
      <c r="G2293" s="405" t="s">
        <v>2207</v>
      </c>
      <c r="H2293" s="74">
        <v>4311</v>
      </c>
      <c r="I2293" s="50" t="s">
        <v>2</v>
      </c>
      <c r="J2293" s="339" t="s">
        <v>366</v>
      </c>
      <c r="K2293" s="51">
        <v>41487</v>
      </c>
      <c r="L2293" s="173">
        <v>41481</v>
      </c>
      <c r="M2293" s="50">
        <f t="shared" si="125"/>
        <v>6</v>
      </c>
      <c r="N2293" s="50" t="s">
        <v>2</v>
      </c>
      <c r="O2293" s="74">
        <f>1.4/2</f>
        <v>0.7</v>
      </c>
      <c r="P2293" s="50">
        <v>6</v>
      </c>
      <c r="Q2293" s="74">
        <v>6.8</v>
      </c>
      <c r="R2293" s="50">
        <v>95</v>
      </c>
      <c r="S2293" s="74">
        <v>11</v>
      </c>
      <c r="T2293" s="50">
        <v>0.13</v>
      </c>
      <c r="U2293" s="131">
        <v>6.92</v>
      </c>
      <c r="V2293" s="50">
        <v>1.58</v>
      </c>
      <c r="W2293" s="74">
        <v>2.7E-2</v>
      </c>
      <c r="X2293" s="50">
        <v>0.157</v>
      </c>
      <c r="Y2293" s="74">
        <v>3.0000000000000001E-3</v>
      </c>
      <c r="Z2293" s="165">
        <v>1</v>
      </c>
      <c r="AA2293" s="271">
        <v>1</v>
      </c>
      <c r="AB2293" s="114">
        <v>40</v>
      </c>
      <c r="AC2293" s="50">
        <v>191</v>
      </c>
      <c r="AD2293" s="271">
        <v>1</v>
      </c>
    </row>
    <row r="2294" spans="1:36" ht="15" customHeight="1">
      <c r="A2294" s="41" t="s">
        <v>183</v>
      </c>
      <c r="B2294" s="386" t="s">
        <v>956</v>
      </c>
      <c r="C2294" s="149" t="s">
        <v>1009</v>
      </c>
      <c r="D2294" s="392" t="s">
        <v>314</v>
      </c>
      <c r="E2294" s="258" t="s">
        <v>382</v>
      </c>
      <c r="F2294" s="386"/>
      <c r="G2294" s="389" t="s">
        <v>556</v>
      </c>
      <c r="H2294" s="55">
        <v>4151</v>
      </c>
      <c r="I2294" s="54" t="s">
        <v>2</v>
      </c>
      <c r="J2294" s="61" t="s">
        <v>557</v>
      </c>
      <c r="K2294" s="51">
        <v>41332</v>
      </c>
      <c r="L2294" s="173">
        <v>41316</v>
      </c>
      <c r="M2294" s="50">
        <f t="shared" si="125"/>
        <v>16</v>
      </c>
      <c r="N2294" s="50" t="s">
        <v>2</v>
      </c>
      <c r="O2294" s="74">
        <f>1/2</f>
        <v>0.5</v>
      </c>
      <c r="P2294" s="50">
        <v>6.89</v>
      </c>
      <c r="Q2294" s="74">
        <v>6.51</v>
      </c>
      <c r="R2294" s="50">
        <v>30</v>
      </c>
      <c r="S2294" s="74">
        <v>31</v>
      </c>
      <c r="T2294" s="50">
        <v>0.12</v>
      </c>
      <c r="U2294" s="131">
        <v>0.66</v>
      </c>
      <c r="V2294" s="50">
        <f>0.2/2</f>
        <v>0.1</v>
      </c>
      <c r="W2294" s="74">
        <v>0.01</v>
      </c>
      <c r="X2294" s="50">
        <v>0.05</v>
      </c>
      <c r="Y2294" s="74">
        <f>0.02/2</f>
        <v>0.01</v>
      </c>
      <c r="Z2294" s="165"/>
    </row>
    <row r="2295" spans="1:36" ht="15" customHeight="1">
      <c r="A2295" s="41" t="s">
        <v>183</v>
      </c>
      <c r="B2295" s="386" t="s">
        <v>956</v>
      </c>
      <c r="C2295" s="149" t="s">
        <v>1009</v>
      </c>
      <c r="D2295" s="392" t="s">
        <v>314</v>
      </c>
      <c r="E2295" s="258" t="s">
        <v>382</v>
      </c>
      <c r="F2295" s="386"/>
      <c r="G2295" s="389" t="s">
        <v>556</v>
      </c>
      <c r="H2295" s="55">
        <v>4151</v>
      </c>
      <c r="I2295" s="54" t="s">
        <v>2</v>
      </c>
      <c r="J2295" s="61" t="s">
        <v>557</v>
      </c>
      <c r="K2295" s="51">
        <v>41428</v>
      </c>
      <c r="L2295" s="173">
        <v>41423</v>
      </c>
      <c r="M2295" s="50">
        <f t="shared" si="125"/>
        <v>5</v>
      </c>
      <c r="N2295" s="50" t="s">
        <v>2</v>
      </c>
      <c r="O2295" s="74">
        <v>3</v>
      </c>
      <c r="P2295" s="50">
        <v>6.41</v>
      </c>
      <c r="Q2295" s="74">
        <v>6.42</v>
      </c>
      <c r="R2295" s="50">
        <v>17.2</v>
      </c>
      <c r="S2295" s="74">
        <v>25</v>
      </c>
      <c r="T2295" s="50">
        <f>0.05/2</f>
        <v>2.5000000000000001E-2</v>
      </c>
      <c r="U2295" s="131">
        <v>0.82</v>
      </c>
      <c r="V2295" s="50">
        <f>0.2/2</f>
        <v>0.1</v>
      </c>
      <c r="W2295" s="74">
        <v>0.01</v>
      </c>
      <c r="X2295" s="50">
        <v>0.02</v>
      </c>
      <c r="Y2295" s="74">
        <f>0.02/2</f>
        <v>0.01</v>
      </c>
      <c r="Z2295" s="165">
        <v>1</v>
      </c>
      <c r="AA2295" s="271">
        <v>1</v>
      </c>
      <c r="AB2295" s="114">
        <v>2.2999999999999998</v>
      </c>
      <c r="AC2295" s="50">
        <v>17.3</v>
      </c>
      <c r="AD2295" s="271">
        <v>1</v>
      </c>
    </row>
    <row r="2296" spans="1:36" ht="15" customHeight="1">
      <c r="A2296" s="41" t="s">
        <v>183</v>
      </c>
      <c r="B2296" s="402" t="s">
        <v>3198</v>
      </c>
      <c r="C2296" s="113" t="s">
        <v>3204</v>
      </c>
      <c r="D2296" s="393" t="s">
        <v>499</v>
      </c>
      <c r="E2296" s="394" t="s">
        <v>3205</v>
      </c>
      <c r="G2296" s="405" t="s">
        <v>3206</v>
      </c>
      <c r="H2296" s="74">
        <v>4151</v>
      </c>
      <c r="I2296" s="50" t="s">
        <v>2</v>
      </c>
      <c r="J2296" s="339" t="s">
        <v>3144</v>
      </c>
      <c r="K2296" s="51">
        <v>41345</v>
      </c>
      <c r="L2296" s="173">
        <v>41339</v>
      </c>
      <c r="M2296" s="50">
        <f t="shared" si="125"/>
        <v>6</v>
      </c>
      <c r="N2296" s="50" t="s">
        <v>2</v>
      </c>
      <c r="O2296" s="74">
        <v>13.2</v>
      </c>
      <c r="P2296" s="50">
        <v>6.25</v>
      </c>
      <c r="Q2296" s="74">
        <v>6.31</v>
      </c>
      <c r="R2296" s="50">
        <v>113.5</v>
      </c>
      <c r="S2296" s="74">
        <v>717</v>
      </c>
      <c r="T2296" s="50">
        <v>1.22</v>
      </c>
      <c r="U2296" s="131">
        <v>3.82</v>
      </c>
      <c r="V2296" s="50">
        <v>0.52</v>
      </c>
      <c r="W2296" s="74">
        <v>0.06</v>
      </c>
      <c r="X2296" s="50">
        <v>0.73</v>
      </c>
      <c r="Y2296" s="74">
        <v>0.05</v>
      </c>
      <c r="Z2296" s="165"/>
    </row>
    <row r="2297" spans="1:36" ht="15" customHeight="1">
      <c r="A2297" s="41" t="s">
        <v>183</v>
      </c>
      <c r="B2297" s="402" t="s">
        <v>956</v>
      </c>
      <c r="C2297" s="113" t="s">
        <v>4228</v>
      </c>
      <c r="D2297" s="393" t="s">
        <v>127</v>
      </c>
      <c r="E2297" s="394" t="s">
        <v>4229</v>
      </c>
      <c r="G2297" s="405" t="s">
        <v>4230</v>
      </c>
      <c r="H2297" s="74">
        <v>4151</v>
      </c>
      <c r="I2297" s="50" t="s">
        <v>2</v>
      </c>
      <c r="J2297" s="339" t="s">
        <v>81</v>
      </c>
      <c r="K2297" s="51">
        <v>41345</v>
      </c>
      <c r="L2297" s="173">
        <v>41341</v>
      </c>
      <c r="M2297" s="50">
        <f t="shared" si="125"/>
        <v>4</v>
      </c>
      <c r="N2297" s="50" t="s">
        <v>2</v>
      </c>
      <c r="O2297" s="74">
        <v>6</v>
      </c>
      <c r="P2297" s="50">
        <v>6.06</v>
      </c>
      <c r="Q2297" s="74">
        <v>7.42</v>
      </c>
      <c r="R2297" s="50">
        <v>38.799999999999997</v>
      </c>
      <c r="S2297" s="74">
        <v>251</v>
      </c>
      <c r="T2297" s="50">
        <v>0.47</v>
      </c>
      <c r="U2297" s="131">
        <v>1.78</v>
      </c>
      <c r="V2297" s="50">
        <v>1.1000000000000001</v>
      </c>
      <c r="W2297" s="74">
        <v>0.05</v>
      </c>
      <c r="X2297" s="50">
        <v>0.1</v>
      </c>
      <c r="Y2297" s="74">
        <v>0.03</v>
      </c>
      <c r="Z2297" s="165">
        <v>1</v>
      </c>
      <c r="AA2297" s="271">
        <v>1</v>
      </c>
      <c r="AB2297" s="114">
        <v>78.3</v>
      </c>
      <c r="AC2297" s="50">
        <v>2180</v>
      </c>
      <c r="AD2297" s="271">
        <v>0.8</v>
      </c>
    </row>
    <row r="2298" spans="1:36" ht="15" customHeight="1">
      <c r="A2298" s="41" t="s">
        <v>183</v>
      </c>
      <c r="B2298" s="402" t="s">
        <v>1351</v>
      </c>
      <c r="C2298" s="113" t="s">
        <v>1359</v>
      </c>
      <c r="D2298" s="393" t="s">
        <v>192</v>
      </c>
      <c r="E2298" s="394" t="s">
        <v>1254</v>
      </c>
      <c r="G2298" s="405" t="s">
        <v>1360</v>
      </c>
      <c r="H2298" s="49">
        <v>4513</v>
      </c>
      <c r="I2298" s="50" t="s">
        <v>2</v>
      </c>
      <c r="J2298" s="76" t="s">
        <v>335</v>
      </c>
      <c r="K2298" s="51">
        <v>41324</v>
      </c>
      <c r="L2298" s="173">
        <v>41316</v>
      </c>
      <c r="M2298" s="50">
        <f t="shared" si="125"/>
        <v>8</v>
      </c>
      <c r="N2298" s="50" t="s">
        <v>2</v>
      </c>
      <c r="O2298" s="74">
        <f>5/2</f>
        <v>2.5</v>
      </c>
      <c r="P2298" s="50">
        <v>5</v>
      </c>
      <c r="Q2298" s="74">
        <v>5.8</v>
      </c>
      <c r="R2298" s="50">
        <v>24</v>
      </c>
      <c r="S2298" s="74">
        <v>7</v>
      </c>
      <c r="T2298" s="50">
        <f>0.1/2</f>
        <v>0.05</v>
      </c>
      <c r="U2298" s="131">
        <v>0.7</v>
      </c>
      <c r="V2298" s="50">
        <v>0.45</v>
      </c>
      <c r="W2298" s="74">
        <f>0.01/2</f>
        <v>5.0000000000000001E-3</v>
      </c>
      <c r="X2298" s="50">
        <v>0.37</v>
      </c>
      <c r="Y2298" s="74">
        <f>0.01/2</f>
        <v>5.0000000000000001E-3</v>
      </c>
      <c r="Z2298" s="165">
        <v>1</v>
      </c>
      <c r="AA2298" s="271">
        <v>1</v>
      </c>
      <c r="AB2298" s="114">
        <v>32</v>
      </c>
      <c r="AC2298" s="50">
        <v>2560</v>
      </c>
      <c r="AD2298" s="271">
        <v>0.9</v>
      </c>
    </row>
    <row r="2299" spans="1:36" ht="15" customHeight="1">
      <c r="A2299" s="41" t="s">
        <v>183</v>
      </c>
      <c r="B2299" s="402" t="s">
        <v>1351</v>
      </c>
      <c r="C2299" s="113" t="s">
        <v>1359</v>
      </c>
      <c r="D2299" s="393" t="s">
        <v>192</v>
      </c>
      <c r="E2299" s="394" t="s">
        <v>1254</v>
      </c>
      <c r="G2299" s="405" t="s">
        <v>1360</v>
      </c>
      <c r="H2299" s="49">
        <v>4512</v>
      </c>
      <c r="I2299" s="50" t="s">
        <v>2</v>
      </c>
      <c r="J2299" s="76" t="s">
        <v>1361</v>
      </c>
      <c r="K2299" s="51">
        <v>41324</v>
      </c>
      <c r="L2299" s="173">
        <v>41316</v>
      </c>
      <c r="M2299" s="50">
        <f t="shared" si="125"/>
        <v>8</v>
      </c>
      <c r="N2299" s="50" t="s">
        <v>2</v>
      </c>
      <c r="O2299" s="74">
        <f>5/2</f>
        <v>2.5</v>
      </c>
      <c r="P2299" s="50">
        <v>5</v>
      </c>
      <c r="Q2299" s="74">
        <v>5.6</v>
      </c>
      <c r="R2299" s="50">
        <v>14</v>
      </c>
      <c r="S2299" s="74">
        <v>15</v>
      </c>
      <c r="T2299" s="50">
        <v>0.12</v>
      </c>
      <c r="U2299" s="131">
        <v>0.52</v>
      </c>
      <c r="V2299" s="50">
        <v>0.41</v>
      </c>
      <c r="W2299" s="74">
        <f>0.01/2</f>
        <v>5.0000000000000001E-3</v>
      </c>
      <c r="X2299" s="50">
        <v>0.51</v>
      </c>
      <c r="Y2299" s="74">
        <f>0.01/2</f>
        <v>5.0000000000000001E-3</v>
      </c>
      <c r="Z2299" s="165">
        <v>1</v>
      </c>
      <c r="AA2299" s="271">
        <v>1</v>
      </c>
      <c r="AB2299" s="114">
        <v>16</v>
      </c>
      <c r="AC2299" s="50">
        <v>1176</v>
      </c>
      <c r="AD2299" s="271">
        <v>0.85</v>
      </c>
    </row>
    <row r="2300" spans="1:36" ht="15" customHeight="1">
      <c r="A2300" s="41" t="s">
        <v>183</v>
      </c>
      <c r="B2300" s="402" t="s">
        <v>1351</v>
      </c>
      <c r="C2300" s="113" t="s">
        <v>1374</v>
      </c>
      <c r="D2300" s="393" t="s">
        <v>205</v>
      </c>
      <c r="E2300" s="394" t="s">
        <v>364</v>
      </c>
      <c r="G2300" s="405" t="s">
        <v>1375</v>
      </c>
      <c r="H2300" s="74">
        <v>4513</v>
      </c>
      <c r="I2300" s="50" t="s">
        <v>2</v>
      </c>
      <c r="J2300" s="339" t="s">
        <v>1376</v>
      </c>
      <c r="K2300" s="51">
        <v>41324</v>
      </c>
      <c r="L2300" s="173">
        <v>41316</v>
      </c>
      <c r="M2300" s="50">
        <f t="shared" si="125"/>
        <v>8</v>
      </c>
      <c r="N2300" s="50" t="s">
        <v>2</v>
      </c>
      <c r="O2300" s="74">
        <v>9</v>
      </c>
      <c r="P2300" s="50">
        <v>6</v>
      </c>
      <c r="Q2300" s="74">
        <v>6.8</v>
      </c>
      <c r="R2300" s="50">
        <v>420</v>
      </c>
      <c r="S2300" s="74">
        <v>1700</v>
      </c>
      <c r="T2300" s="50">
        <v>1.5</v>
      </c>
      <c r="U2300" s="131">
        <v>5.5</v>
      </c>
      <c r="V2300" s="50">
        <f>5/2</f>
        <v>2.5</v>
      </c>
      <c r="W2300" s="74">
        <v>5.0999999999999997E-2</v>
      </c>
      <c r="X2300" s="50">
        <v>0.28000000000000003</v>
      </c>
      <c r="Y2300" s="74">
        <v>0.27</v>
      </c>
      <c r="Z2300" s="165">
        <v>0.70699999999999996</v>
      </c>
      <c r="AA2300" s="271">
        <v>0.70699999999999996</v>
      </c>
      <c r="AB2300" s="114">
        <v>76</v>
      </c>
      <c r="AC2300" s="50">
        <v>9080</v>
      </c>
      <c r="AD2300" s="271">
        <v>0</v>
      </c>
    </row>
    <row r="2301" spans="1:36" ht="15" customHeight="1">
      <c r="A2301" s="41" t="s">
        <v>183</v>
      </c>
      <c r="B2301" s="402" t="s">
        <v>1351</v>
      </c>
      <c r="C2301" s="113" t="s">
        <v>1365</v>
      </c>
      <c r="D2301" s="393" t="s">
        <v>735</v>
      </c>
      <c r="G2301" s="405" t="s">
        <v>1366</v>
      </c>
      <c r="H2301" s="74">
        <v>4513</v>
      </c>
      <c r="I2301" s="50" t="s">
        <v>2</v>
      </c>
      <c r="J2301" s="339" t="s">
        <v>1355</v>
      </c>
      <c r="K2301" s="51">
        <v>41345</v>
      </c>
      <c r="L2301" s="173">
        <v>41341</v>
      </c>
      <c r="M2301" s="50">
        <f t="shared" si="125"/>
        <v>4</v>
      </c>
      <c r="N2301" s="50" t="s">
        <v>2</v>
      </c>
      <c r="O2301" s="74">
        <v>8.6</v>
      </c>
      <c r="P2301" s="50">
        <v>6</v>
      </c>
      <c r="Q2301" s="74">
        <v>5.3</v>
      </c>
      <c r="R2301" s="50">
        <v>300</v>
      </c>
      <c r="S2301" s="74">
        <v>430</v>
      </c>
      <c r="T2301" s="50">
        <v>0.9</v>
      </c>
      <c r="U2301" s="131">
        <v>6.4</v>
      </c>
      <c r="V2301" s="50">
        <f>5/2</f>
        <v>2.5</v>
      </c>
      <c r="W2301" s="74">
        <v>9.0999999999999998E-2</v>
      </c>
      <c r="X2301" s="50">
        <v>0.82</v>
      </c>
      <c r="Y2301" s="74">
        <f>0.05/2</f>
        <v>2.5000000000000001E-2</v>
      </c>
      <c r="Z2301" s="165"/>
    </row>
    <row r="2302" spans="1:36" ht="15" customHeight="1">
      <c r="A2302" s="41" t="s">
        <v>183</v>
      </c>
      <c r="B2302" s="402" t="s">
        <v>1351</v>
      </c>
      <c r="C2302" s="113" t="s">
        <v>3733</v>
      </c>
      <c r="D2302" s="393" t="s">
        <v>89</v>
      </c>
      <c r="E2302" s="394" t="s">
        <v>1363</v>
      </c>
      <c r="G2302" s="405" t="s">
        <v>1364</v>
      </c>
      <c r="H2302" s="74">
        <v>4513</v>
      </c>
      <c r="I2302" s="50" t="s">
        <v>1</v>
      </c>
      <c r="J2302" s="339" t="s">
        <v>3734</v>
      </c>
      <c r="K2302" s="51">
        <v>41332</v>
      </c>
      <c r="L2302" s="173">
        <v>41324</v>
      </c>
      <c r="M2302" s="50">
        <f t="shared" si="125"/>
        <v>8</v>
      </c>
      <c r="N2302" s="50" t="s">
        <v>2</v>
      </c>
      <c r="O2302" s="74">
        <f>6/2</f>
        <v>3</v>
      </c>
      <c r="P2302" s="50">
        <v>6</v>
      </c>
      <c r="Q2302" s="74">
        <v>6.7</v>
      </c>
      <c r="R2302" s="50">
        <v>39</v>
      </c>
      <c r="S2302" s="74">
        <v>6</v>
      </c>
      <c r="T2302" s="50">
        <f>0.1/2</f>
        <v>0.05</v>
      </c>
      <c r="U2302" s="131">
        <v>0.24</v>
      </c>
      <c r="V2302" s="50">
        <f>0.1/2</f>
        <v>0.05</v>
      </c>
      <c r="W2302" s="74">
        <f>0.01/2</f>
        <v>5.0000000000000001E-3</v>
      </c>
      <c r="X2302" s="50">
        <v>3.3000000000000002E-2</v>
      </c>
      <c r="Y2302" s="74">
        <f>0.01/2</f>
        <v>5.0000000000000001E-3</v>
      </c>
      <c r="Z2302" s="165">
        <v>1</v>
      </c>
      <c r="AA2302" s="271">
        <v>1</v>
      </c>
      <c r="AB2302" s="114">
        <v>8</v>
      </c>
      <c r="AC2302" s="50">
        <v>118</v>
      </c>
      <c r="AD2302" s="271">
        <v>1</v>
      </c>
      <c r="AE2302" s="50">
        <f>10/2</f>
        <v>5</v>
      </c>
      <c r="AF2302" s="49">
        <v>8160</v>
      </c>
    </row>
    <row r="2303" spans="1:36" ht="15" customHeight="1">
      <c r="A2303" s="41" t="s">
        <v>183</v>
      </c>
      <c r="B2303" s="402" t="s">
        <v>1351</v>
      </c>
      <c r="C2303" s="113" t="s">
        <v>1352</v>
      </c>
      <c r="D2303" s="393" t="s">
        <v>1537</v>
      </c>
      <c r="E2303" s="394" t="s">
        <v>1353</v>
      </c>
      <c r="G2303" s="405" t="s">
        <v>1354</v>
      </c>
      <c r="H2303" s="49">
        <v>4513</v>
      </c>
      <c r="I2303" s="50" t="s">
        <v>1</v>
      </c>
      <c r="J2303" s="76" t="s">
        <v>1355</v>
      </c>
      <c r="K2303" s="51">
        <v>41331</v>
      </c>
      <c r="L2303" s="173">
        <v>41328</v>
      </c>
      <c r="M2303" s="50">
        <f t="shared" si="125"/>
        <v>3</v>
      </c>
      <c r="N2303" s="50" t="s">
        <v>2</v>
      </c>
      <c r="O2303" s="74">
        <f>6/2</f>
        <v>3</v>
      </c>
      <c r="P2303" s="50">
        <v>6.5</v>
      </c>
      <c r="Q2303" s="74">
        <v>7.3</v>
      </c>
      <c r="R2303" s="50">
        <v>120</v>
      </c>
      <c r="S2303" s="74">
        <v>98</v>
      </c>
      <c r="T2303" s="50">
        <v>0.44</v>
      </c>
      <c r="U2303" s="131">
        <v>2.6</v>
      </c>
      <c r="V2303" s="50">
        <f>0.5/2</f>
        <v>0.25</v>
      </c>
      <c r="W2303" s="74">
        <v>3.3000000000000002E-2</v>
      </c>
      <c r="X2303" s="50">
        <v>0.28999999999999998</v>
      </c>
      <c r="Y2303" s="74">
        <v>3.4000000000000002E-2</v>
      </c>
      <c r="Z2303" s="165"/>
    </row>
    <row r="2304" spans="1:36" ht="15" customHeight="1">
      <c r="A2304" s="41" t="s">
        <v>183</v>
      </c>
      <c r="B2304" s="402" t="s">
        <v>1351</v>
      </c>
      <c r="C2304" s="113" t="s">
        <v>1898</v>
      </c>
      <c r="D2304" s="393" t="s">
        <v>1537</v>
      </c>
      <c r="E2304" s="394" t="s">
        <v>1899</v>
      </c>
      <c r="G2304" s="405" t="s">
        <v>1354</v>
      </c>
      <c r="H2304" s="49">
        <v>4513</v>
      </c>
      <c r="I2304" s="50" t="s">
        <v>1</v>
      </c>
      <c r="J2304" s="76" t="s">
        <v>1356</v>
      </c>
      <c r="K2304" s="51">
        <v>41331</v>
      </c>
      <c r="L2304" s="173">
        <v>41328</v>
      </c>
      <c r="M2304" s="50">
        <f t="shared" si="125"/>
        <v>3</v>
      </c>
      <c r="N2304" s="50" t="s">
        <v>2</v>
      </c>
      <c r="O2304" s="74">
        <v>6.8</v>
      </c>
      <c r="P2304" s="50">
        <v>6.5</v>
      </c>
      <c r="Q2304" s="74">
        <v>6.8</v>
      </c>
      <c r="R2304" s="50">
        <v>73</v>
      </c>
      <c r="S2304" s="74">
        <v>21</v>
      </c>
      <c r="T2304" s="50">
        <f>0.1/2</f>
        <v>0.05</v>
      </c>
      <c r="U2304" s="131">
        <v>1.2</v>
      </c>
      <c r="V2304" s="50">
        <v>0.59</v>
      </c>
      <c r="W2304" s="74">
        <v>2.5999999999999999E-2</v>
      </c>
      <c r="X2304" s="50">
        <v>0.28999999999999998</v>
      </c>
      <c r="Y2304" s="74">
        <v>1.4999999999999999E-2</v>
      </c>
      <c r="Z2304" s="165"/>
    </row>
    <row r="2305" spans="1:30" ht="15" customHeight="1">
      <c r="A2305" s="41" t="s">
        <v>183</v>
      </c>
      <c r="B2305" s="402" t="s">
        <v>1351</v>
      </c>
      <c r="C2305" s="113" t="s">
        <v>1357</v>
      </c>
      <c r="D2305" s="393" t="s">
        <v>684</v>
      </c>
      <c r="E2305" s="394" t="s">
        <v>112</v>
      </c>
      <c r="G2305" s="405" t="s">
        <v>1358</v>
      </c>
      <c r="H2305" s="49">
        <v>4513</v>
      </c>
      <c r="I2305" s="50" t="s">
        <v>1</v>
      </c>
      <c r="J2305" s="76" t="s">
        <v>1355</v>
      </c>
      <c r="K2305" s="51">
        <v>41345</v>
      </c>
      <c r="L2305" s="173">
        <v>41341</v>
      </c>
      <c r="M2305" s="50">
        <f t="shared" si="125"/>
        <v>4</v>
      </c>
      <c r="N2305" s="50" t="s">
        <v>2</v>
      </c>
      <c r="O2305" s="74">
        <f>7/2</f>
        <v>3.5</v>
      </c>
      <c r="P2305" s="50">
        <v>5</v>
      </c>
      <c r="Q2305" s="74">
        <v>4.8</v>
      </c>
      <c r="R2305" s="50">
        <v>71</v>
      </c>
      <c r="S2305" s="74">
        <v>110</v>
      </c>
      <c r="T2305" s="50">
        <v>0.25</v>
      </c>
      <c r="U2305" s="131">
        <v>1.9</v>
      </c>
      <c r="V2305" s="50">
        <v>0.18</v>
      </c>
      <c r="W2305" s="74">
        <v>2.5000000000000001E-2</v>
      </c>
      <c r="X2305" s="50">
        <v>0.18</v>
      </c>
      <c r="Y2305" s="74">
        <v>2.1999999999999999E-2</v>
      </c>
      <c r="Z2305" s="165">
        <v>1</v>
      </c>
      <c r="AA2305" s="271">
        <v>1</v>
      </c>
      <c r="AB2305" s="114">
        <v>28</v>
      </c>
      <c r="AC2305" s="50">
        <v>2152</v>
      </c>
      <c r="AD2305" s="271">
        <v>1</v>
      </c>
    </row>
    <row r="2306" spans="1:30" ht="15" customHeight="1">
      <c r="A2306" s="41" t="s">
        <v>183</v>
      </c>
      <c r="B2306" s="402" t="s">
        <v>1351</v>
      </c>
      <c r="C2306" s="113" t="s">
        <v>1357</v>
      </c>
      <c r="D2306" s="393" t="s">
        <v>684</v>
      </c>
      <c r="E2306" s="394" t="s">
        <v>112</v>
      </c>
      <c r="G2306" s="405" t="s">
        <v>1358</v>
      </c>
      <c r="H2306" s="49">
        <v>4513</v>
      </c>
      <c r="I2306" s="50" t="s">
        <v>1</v>
      </c>
      <c r="J2306" s="76" t="s">
        <v>1356</v>
      </c>
      <c r="K2306" s="51">
        <v>41345</v>
      </c>
      <c r="L2306" s="173">
        <v>41341</v>
      </c>
      <c r="M2306" s="50">
        <f t="shared" si="125"/>
        <v>4</v>
      </c>
      <c r="N2306" s="50" t="s">
        <v>2</v>
      </c>
      <c r="O2306" s="74">
        <v>13</v>
      </c>
      <c r="P2306" s="50">
        <v>5</v>
      </c>
      <c r="Q2306" s="74">
        <v>4.5999999999999996</v>
      </c>
      <c r="R2306" s="50">
        <v>57</v>
      </c>
      <c r="S2306" s="74">
        <v>63</v>
      </c>
      <c r="T2306" s="50">
        <v>0.13</v>
      </c>
      <c r="U2306" s="131">
        <v>0.82</v>
      </c>
      <c r="V2306" s="50">
        <f>0.5/2</f>
        <v>0.25</v>
      </c>
      <c r="W2306" s="74">
        <v>2.5000000000000001E-2</v>
      </c>
      <c r="X2306" s="50">
        <v>8.1000000000000003E-2</v>
      </c>
      <c r="Y2306" s="74">
        <f>0.01/2</f>
        <v>5.0000000000000001E-3</v>
      </c>
      <c r="Z2306" s="165">
        <v>1</v>
      </c>
      <c r="AA2306" s="271">
        <v>1</v>
      </c>
      <c r="AB2306" s="114">
        <v>48</v>
      </c>
      <c r="AC2306" s="50">
        <v>1088</v>
      </c>
      <c r="AD2306" s="271">
        <v>1</v>
      </c>
    </row>
    <row r="2307" spans="1:30" ht="15" customHeight="1">
      <c r="A2307" s="41" t="s">
        <v>183</v>
      </c>
      <c r="B2307" s="402" t="s">
        <v>1351</v>
      </c>
      <c r="C2307" s="113" t="s">
        <v>1895</v>
      </c>
      <c r="D2307" s="393" t="s">
        <v>1896</v>
      </c>
      <c r="E2307" s="394" t="s">
        <v>1897</v>
      </c>
      <c r="G2307" s="405" t="s">
        <v>1369</v>
      </c>
      <c r="H2307" s="74">
        <v>4513</v>
      </c>
      <c r="I2307" s="50" t="s">
        <v>2</v>
      </c>
      <c r="J2307" s="339" t="s">
        <v>1355</v>
      </c>
      <c r="K2307" s="51">
        <v>41331</v>
      </c>
      <c r="L2307" s="173">
        <v>41328</v>
      </c>
      <c r="M2307" s="50">
        <f>K2307-L2307</f>
        <v>3</v>
      </c>
      <c r="N2307" s="50" t="s">
        <v>2</v>
      </c>
      <c r="O2307" s="74">
        <v>6.2</v>
      </c>
      <c r="P2307" s="50">
        <v>6.5</v>
      </c>
      <c r="Q2307" s="74">
        <v>6.7</v>
      </c>
      <c r="R2307" s="50">
        <v>45</v>
      </c>
      <c r="S2307" s="74">
        <v>37</v>
      </c>
      <c r="T2307" s="50">
        <f>0.1/2</f>
        <v>0.05</v>
      </c>
      <c r="U2307" s="131">
        <v>0.53</v>
      </c>
      <c r="V2307" s="50">
        <v>0.17</v>
      </c>
      <c r="W2307" s="74">
        <v>0.03</v>
      </c>
      <c r="X2307" s="50">
        <v>0.17</v>
      </c>
      <c r="Y2307" s="74">
        <f>0.01/2</f>
        <v>5.0000000000000001E-3</v>
      </c>
      <c r="Z2307" s="165"/>
    </row>
    <row r="2308" spans="1:30" ht="15" customHeight="1">
      <c r="A2308" s="41" t="s">
        <v>183</v>
      </c>
      <c r="B2308" s="402" t="s">
        <v>1351</v>
      </c>
      <c r="C2308" s="113" t="s">
        <v>1370</v>
      </c>
      <c r="D2308" s="393" t="s">
        <v>434</v>
      </c>
      <c r="E2308" s="394" t="s">
        <v>874</v>
      </c>
      <c r="G2308" s="405" t="s">
        <v>1371</v>
      </c>
      <c r="H2308" s="74">
        <v>4513</v>
      </c>
      <c r="I2308" s="50" t="s">
        <v>2</v>
      </c>
      <c r="J2308" s="339" t="s">
        <v>335</v>
      </c>
      <c r="K2308" s="51">
        <v>41331</v>
      </c>
      <c r="L2308" s="173">
        <v>41693</v>
      </c>
      <c r="M2308" s="50">
        <v>13</v>
      </c>
      <c r="N2308" s="50" t="s">
        <v>2</v>
      </c>
      <c r="O2308" s="74">
        <f>6/2</f>
        <v>3</v>
      </c>
      <c r="P2308" s="50">
        <v>6.5</v>
      </c>
      <c r="Q2308" s="74">
        <v>6.7</v>
      </c>
      <c r="R2308" s="50">
        <v>120</v>
      </c>
      <c r="S2308" s="74">
        <v>100</v>
      </c>
      <c r="T2308" s="50">
        <v>0.16</v>
      </c>
      <c r="U2308" s="131">
        <v>1.4</v>
      </c>
      <c r="V2308" s="50">
        <v>0.5</v>
      </c>
      <c r="W2308" s="74">
        <v>3.7999999999999999E-2</v>
      </c>
      <c r="X2308" s="50">
        <v>0.23</v>
      </c>
      <c r="Y2308" s="74">
        <v>2.3E-2</v>
      </c>
      <c r="Z2308" s="165">
        <v>1</v>
      </c>
      <c r="AA2308" s="271">
        <v>1</v>
      </c>
      <c r="AB2308" s="114">
        <v>4</v>
      </c>
      <c r="AC2308" s="50">
        <v>245</v>
      </c>
      <c r="AD2308" s="271">
        <v>1</v>
      </c>
    </row>
    <row r="2309" spans="1:30" ht="15" customHeight="1">
      <c r="A2309" s="41" t="s">
        <v>183</v>
      </c>
      <c r="B2309" s="402" t="s">
        <v>1351</v>
      </c>
      <c r="C2309" s="113" t="s">
        <v>1372</v>
      </c>
      <c r="D2309" s="393" t="s">
        <v>338</v>
      </c>
      <c r="E2309" s="394" t="s">
        <v>235</v>
      </c>
      <c r="G2309" s="405" t="s">
        <v>5252</v>
      </c>
      <c r="H2309" s="74">
        <v>4513</v>
      </c>
      <c r="I2309" s="50" t="s">
        <v>2</v>
      </c>
      <c r="J2309" s="339" t="s">
        <v>1373</v>
      </c>
      <c r="K2309" s="51">
        <v>41331</v>
      </c>
      <c r="L2309" s="173">
        <v>41324</v>
      </c>
      <c r="M2309" s="50">
        <f t="shared" ref="M2309:M2320" si="126">K2309-L2309</f>
        <v>7</v>
      </c>
      <c r="N2309" s="50" t="s">
        <v>2</v>
      </c>
      <c r="O2309" s="74">
        <v>9.1</v>
      </c>
      <c r="P2309" s="50">
        <v>6</v>
      </c>
      <c r="Q2309" s="74">
        <v>6.1</v>
      </c>
      <c r="R2309" s="50">
        <v>140</v>
      </c>
      <c r="S2309" s="74">
        <v>140</v>
      </c>
      <c r="T2309" s="50">
        <v>0.18</v>
      </c>
      <c r="U2309" s="131">
        <v>1.5</v>
      </c>
      <c r="V2309" s="50">
        <v>0.72</v>
      </c>
      <c r="W2309" s="74">
        <v>3.9E-2</v>
      </c>
      <c r="X2309" s="50">
        <v>0.12</v>
      </c>
      <c r="Y2309" s="74">
        <f>0.01/2</f>
        <v>5.0000000000000001E-3</v>
      </c>
      <c r="Z2309" s="165">
        <v>1</v>
      </c>
      <c r="AA2309" s="271">
        <v>1</v>
      </c>
      <c r="AB2309" s="114">
        <v>4</v>
      </c>
      <c r="AC2309" s="50">
        <v>183</v>
      </c>
      <c r="AD2309" s="271">
        <v>1</v>
      </c>
    </row>
    <row r="2310" spans="1:30" ht="15" customHeight="1">
      <c r="A2310" s="41" t="s">
        <v>183</v>
      </c>
      <c r="B2310" s="402" t="s">
        <v>1967</v>
      </c>
      <c r="D2310" s="393" t="s">
        <v>188</v>
      </c>
      <c r="E2310" s="394" t="s">
        <v>1968</v>
      </c>
      <c r="G2310" s="405" t="s">
        <v>1969</v>
      </c>
      <c r="H2310" s="74">
        <v>2891</v>
      </c>
      <c r="I2310" s="50" t="s">
        <v>2</v>
      </c>
      <c r="J2310" s="339" t="s">
        <v>1125</v>
      </c>
      <c r="K2310" s="51">
        <v>41345</v>
      </c>
      <c r="L2310" s="173">
        <v>41341</v>
      </c>
      <c r="M2310" s="50">
        <f t="shared" si="126"/>
        <v>4</v>
      </c>
      <c r="N2310" s="50" t="s">
        <v>2</v>
      </c>
      <c r="O2310" s="74">
        <f>2/2</f>
        <v>1</v>
      </c>
      <c r="P2310" s="50">
        <v>5</v>
      </c>
      <c r="Q2310" s="74">
        <v>6.8</v>
      </c>
      <c r="R2310" s="50">
        <v>17</v>
      </c>
      <c r="S2310" s="74">
        <v>27</v>
      </c>
      <c r="T2310" s="50">
        <v>0.05</v>
      </c>
      <c r="U2310" s="131">
        <v>0.59</v>
      </c>
      <c r="V2310" s="50">
        <v>0.71</v>
      </c>
      <c r="W2310" s="74">
        <f>0.01/2</f>
        <v>5.0000000000000001E-3</v>
      </c>
      <c r="X2310" s="50">
        <f>0.03/2</f>
        <v>1.4999999999999999E-2</v>
      </c>
      <c r="Y2310" s="74">
        <f>0.03/2</f>
        <v>1.4999999999999999E-2</v>
      </c>
      <c r="Z2310" s="165">
        <v>1</v>
      </c>
      <c r="AA2310" s="271">
        <v>1</v>
      </c>
      <c r="AB2310" s="114">
        <v>54</v>
      </c>
      <c r="AC2310" s="50">
        <v>584</v>
      </c>
      <c r="AD2310" s="271">
        <v>1</v>
      </c>
    </row>
    <row r="2311" spans="1:30" ht="15" customHeight="1">
      <c r="A2311" s="41" t="s">
        <v>183</v>
      </c>
      <c r="B2311" s="402" t="s">
        <v>1967</v>
      </c>
      <c r="D2311" s="393" t="s">
        <v>188</v>
      </c>
      <c r="E2311" s="394" t="s">
        <v>1968</v>
      </c>
      <c r="G2311" s="405" t="s">
        <v>1969</v>
      </c>
      <c r="H2311" s="74">
        <v>2891</v>
      </c>
      <c r="I2311" s="50" t="s">
        <v>2</v>
      </c>
      <c r="J2311" s="339" t="s">
        <v>1126</v>
      </c>
      <c r="K2311" s="51">
        <v>41345</v>
      </c>
      <c r="L2311" s="173">
        <v>41341</v>
      </c>
      <c r="M2311" s="50">
        <f t="shared" si="126"/>
        <v>4</v>
      </c>
      <c r="N2311" s="50" t="s">
        <v>2</v>
      </c>
      <c r="O2311" s="74">
        <f>2/2</f>
        <v>1</v>
      </c>
      <c r="P2311" s="50">
        <v>5</v>
      </c>
      <c r="Q2311" s="74">
        <v>6.3</v>
      </c>
      <c r="R2311" s="50">
        <f>10/5</f>
        <v>2</v>
      </c>
      <c r="S2311" s="74">
        <v>5</v>
      </c>
      <c r="T2311" s="50">
        <f>0.05/2</f>
        <v>2.5000000000000001E-2</v>
      </c>
      <c r="U2311" s="131">
        <v>0.28999999999999998</v>
      </c>
      <c r="V2311" s="50">
        <v>2.83</v>
      </c>
      <c r="W2311" s="74">
        <f>0.01/2</f>
        <v>5.0000000000000001E-3</v>
      </c>
      <c r="X2311" s="50">
        <v>0.04</v>
      </c>
      <c r="Y2311" s="74">
        <f>0.03/2</f>
        <v>1.4999999999999999E-2</v>
      </c>
      <c r="Z2311" s="165">
        <v>1</v>
      </c>
      <c r="AA2311" s="271">
        <v>1</v>
      </c>
      <c r="AB2311" s="114">
        <v>64</v>
      </c>
      <c r="AC2311" s="50">
        <v>187</v>
      </c>
      <c r="AD2311" s="271">
        <v>1</v>
      </c>
    </row>
    <row r="2312" spans="1:30" ht="15" customHeight="1">
      <c r="A2312" s="41" t="s">
        <v>183</v>
      </c>
      <c r="B2312" s="402" t="s">
        <v>5122</v>
      </c>
      <c r="D2312" s="393" t="s">
        <v>350</v>
      </c>
      <c r="E2312" s="394" t="s">
        <v>1329</v>
      </c>
      <c r="G2312" s="405" t="s">
        <v>5123</v>
      </c>
      <c r="H2312" s="74">
        <v>4953</v>
      </c>
      <c r="I2312" s="50" t="s">
        <v>2</v>
      </c>
      <c r="J2312" s="339" t="s">
        <v>1007</v>
      </c>
      <c r="K2312" s="51">
        <v>41305</v>
      </c>
      <c r="L2312" s="173">
        <v>41302</v>
      </c>
      <c r="M2312" s="50">
        <f t="shared" si="126"/>
        <v>3</v>
      </c>
      <c r="N2312" s="50" t="s">
        <v>2</v>
      </c>
      <c r="O2312" s="74">
        <f>1.4/2</f>
        <v>0.7</v>
      </c>
      <c r="Q2312" s="74">
        <v>5.88</v>
      </c>
      <c r="R2312" s="50">
        <v>15</v>
      </c>
      <c r="S2312" s="74">
        <v>15</v>
      </c>
      <c r="T2312" s="50">
        <v>0.12</v>
      </c>
      <c r="U2312" s="131">
        <v>0.64</v>
      </c>
      <c r="V2312" s="50">
        <v>0.14000000000000001</v>
      </c>
      <c r="W2312" s="74">
        <f>0.008</f>
        <v>8.0000000000000002E-3</v>
      </c>
      <c r="X2312" s="50">
        <v>0.14499999999999999</v>
      </c>
      <c r="Y2312" s="74">
        <f>0.002/2</f>
        <v>1E-3</v>
      </c>
      <c r="Z2312" s="165">
        <v>1</v>
      </c>
      <c r="AA2312" s="271">
        <v>0.79400000000000004</v>
      </c>
      <c r="AB2312" s="114">
        <v>10</v>
      </c>
      <c r="AC2312" s="50">
        <v>64</v>
      </c>
      <c r="AD2312" s="271">
        <v>0.25</v>
      </c>
    </row>
    <row r="2313" spans="1:30" ht="15" customHeight="1">
      <c r="A2313" s="41" t="s">
        <v>183</v>
      </c>
      <c r="B2313" s="402" t="s">
        <v>5122</v>
      </c>
      <c r="D2313" s="393" t="s">
        <v>350</v>
      </c>
      <c r="E2313" s="394" t="s">
        <v>1329</v>
      </c>
      <c r="G2313" s="405" t="s">
        <v>5123</v>
      </c>
      <c r="H2313" s="74">
        <v>4953</v>
      </c>
      <c r="I2313" s="50" t="s">
        <v>2</v>
      </c>
      <c r="J2313" s="339" t="s">
        <v>5280</v>
      </c>
      <c r="K2313" s="51">
        <v>41305</v>
      </c>
      <c r="L2313" s="173">
        <v>41302</v>
      </c>
      <c r="M2313" s="50">
        <f t="shared" si="126"/>
        <v>3</v>
      </c>
      <c r="N2313" s="50" t="s">
        <v>2</v>
      </c>
      <c r="O2313" s="74">
        <v>3.9</v>
      </c>
      <c r="Q2313" s="74">
        <v>7.29</v>
      </c>
      <c r="R2313" s="50">
        <v>32</v>
      </c>
      <c r="S2313" s="74">
        <v>180</v>
      </c>
      <c r="T2313" s="50">
        <v>0.31</v>
      </c>
      <c r="U2313" s="131">
        <v>0.92</v>
      </c>
      <c r="V2313" s="50">
        <v>0.1</v>
      </c>
      <c r="W2313" s="74">
        <v>2.3E-2</v>
      </c>
      <c r="X2313" s="50">
        <v>8.3000000000000004E-2</v>
      </c>
      <c r="Y2313" s="74">
        <v>1.4999999999999999E-2</v>
      </c>
      <c r="Z2313" s="165">
        <v>1</v>
      </c>
      <c r="AA2313" s="271">
        <v>1</v>
      </c>
      <c r="AB2313" s="114">
        <v>8</v>
      </c>
      <c r="AC2313" s="50">
        <v>117</v>
      </c>
      <c r="AD2313" s="271">
        <v>1</v>
      </c>
    </row>
    <row r="2314" spans="1:30" ht="15" customHeight="1">
      <c r="A2314" s="41" t="s">
        <v>183</v>
      </c>
      <c r="B2314" s="402" t="s">
        <v>5122</v>
      </c>
      <c r="D2314" s="393" t="s">
        <v>350</v>
      </c>
      <c r="E2314" s="394" t="s">
        <v>1329</v>
      </c>
      <c r="G2314" s="405" t="s">
        <v>5123</v>
      </c>
      <c r="H2314" s="74">
        <v>4953</v>
      </c>
      <c r="I2314" s="50" t="s">
        <v>2</v>
      </c>
      <c r="J2314" s="339" t="s">
        <v>5281</v>
      </c>
      <c r="K2314" s="51">
        <v>41305</v>
      </c>
      <c r="L2314" s="173">
        <v>41302</v>
      </c>
      <c r="M2314" s="50">
        <f t="shared" si="126"/>
        <v>3</v>
      </c>
      <c r="N2314" s="50" t="s">
        <v>2</v>
      </c>
      <c r="O2314" s="74">
        <v>6.5</v>
      </c>
      <c r="Q2314" s="74">
        <v>7.23</v>
      </c>
      <c r="R2314" s="50">
        <v>49</v>
      </c>
      <c r="S2314" s="74">
        <v>260</v>
      </c>
      <c r="T2314" s="50">
        <v>0.4</v>
      </c>
      <c r="U2314" s="131">
        <v>6.94</v>
      </c>
      <c r="V2314" s="50">
        <v>0.14000000000000001</v>
      </c>
      <c r="W2314" s="74">
        <v>4.2999999999999997E-2</v>
      </c>
      <c r="X2314" s="50">
        <v>0.17199999999999999</v>
      </c>
      <c r="Y2314" s="74">
        <v>2.8000000000000001E-2</v>
      </c>
      <c r="Z2314" s="165">
        <v>1</v>
      </c>
      <c r="AA2314" s="271">
        <v>1</v>
      </c>
      <c r="AB2314" s="114">
        <v>24</v>
      </c>
      <c r="AC2314" s="50">
        <v>348</v>
      </c>
      <c r="AD2314" s="271">
        <v>1</v>
      </c>
    </row>
    <row r="2315" spans="1:30" ht="15" customHeight="1">
      <c r="A2315" s="41" t="s">
        <v>183</v>
      </c>
      <c r="B2315" s="402" t="s">
        <v>5282</v>
      </c>
      <c r="D2315" s="393" t="s">
        <v>1490</v>
      </c>
      <c r="E2315" s="394" t="s">
        <v>5174</v>
      </c>
      <c r="G2315" s="405" t="s">
        <v>5283</v>
      </c>
      <c r="H2315" s="74">
        <v>3272</v>
      </c>
      <c r="J2315" s="339" t="s">
        <v>5284</v>
      </c>
      <c r="K2315" s="51">
        <v>41533</v>
      </c>
      <c r="L2315" s="173">
        <v>41529</v>
      </c>
      <c r="M2315" s="50">
        <f t="shared" si="126"/>
        <v>4</v>
      </c>
      <c r="N2315" s="50" t="s">
        <v>2</v>
      </c>
      <c r="O2315" s="74">
        <f>1.1/2</f>
        <v>0.55000000000000004</v>
      </c>
      <c r="P2315" s="50">
        <v>6</v>
      </c>
      <c r="Q2315" s="74">
        <v>7</v>
      </c>
      <c r="R2315" s="50">
        <v>34</v>
      </c>
      <c r="S2315" s="74">
        <v>9.1999999999999993</v>
      </c>
      <c r="T2315" s="50">
        <v>0.15</v>
      </c>
      <c r="U2315" s="131">
        <v>0.75</v>
      </c>
      <c r="V2315" s="50">
        <v>0.12</v>
      </c>
      <c r="W2315" s="74">
        <f>0.002/2</f>
        <v>1E-3</v>
      </c>
      <c r="X2315" s="50">
        <v>4.3E-3</v>
      </c>
      <c r="Y2315" s="74">
        <f>0.002/2</f>
        <v>1E-3</v>
      </c>
      <c r="Z2315" s="165">
        <v>1</v>
      </c>
      <c r="AA2315" s="271">
        <v>1</v>
      </c>
      <c r="AB2315" s="114">
        <v>38</v>
      </c>
      <c r="AC2315" s="50">
        <v>149</v>
      </c>
      <c r="AD2315" s="271">
        <v>1</v>
      </c>
    </row>
    <row r="2316" spans="1:30" ht="15" customHeight="1">
      <c r="A2316" s="41" t="s">
        <v>183</v>
      </c>
      <c r="B2316" s="402" t="s">
        <v>5129</v>
      </c>
      <c r="D2316" s="393" t="s">
        <v>1484</v>
      </c>
      <c r="E2316" s="394" t="s">
        <v>235</v>
      </c>
      <c r="G2316" s="405" t="s">
        <v>5130</v>
      </c>
      <c r="H2316" s="74">
        <v>3399</v>
      </c>
      <c r="I2316" s="50" t="s">
        <v>2</v>
      </c>
      <c r="J2316" s="339" t="s">
        <v>2238</v>
      </c>
      <c r="K2316" s="51">
        <v>41554</v>
      </c>
      <c r="L2316" s="173">
        <v>41551</v>
      </c>
      <c r="M2316" s="50">
        <f t="shared" si="126"/>
        <v>3</v>
      </c>
      <c r="N2316" s="77" t="s">
        <v>2</v>
      </c>
      <c r="O2316" s="74">
        <f>1/2</f>
        <v>0.5</v>
      </c>
      <c r="P2316" s="50">
        <v>5.51</v>
      </c>
      <c r="Q2316" s="74">
        <v>6.73</v>
      </c>
      <c r="R2316" s="50">
        <f>2/2</f>
        <v>1</v>
      </c>
      <c r="S2316" s="74">
        <v>3.5</v>
      </c>
      <c r="T2316" s="50">
        <f>0.05/2</f>
        <v>2.5000000000000001E-2</v>
      </c>
      <c r="U2316" s="131">
        <v>0.27</v>
      </c>
      <c r="V2316" s="50">
        <f>0.2/2</f>
        <v>0.1</v>
      </c>
      <c r="W2316" s="74">
        <v>0.02</v>
      </c>
      <c r="X2316" s="50">
        <v>0.02</v>
      </c>
      <c r="Y2316" s="74">
        <f>0.02/2</f>
        <v>0.01</v>
      </c>
      <c r="Z2316" s="165"/>
    </row>
    <row r="2317" spans="1:30" ht="15" customHeight="1">
      <c r="A2317" s="41" t="s">
        <v>183</v>
      </c>
      <c r="B2317" s="402" t="s">
        <v>102</v>
      </c>
      <c r="D2317" s="393" t="s">
        <v>103</v>
      </c>
      <c r="E2317" s="394" t="s">
        <v>104</v>
      </c>
      <c r="G2317" s="405" t="s">
        <v>105</v>
      </c>
      <c r="H2317" s="113">
        <v>4952</v>
      </c>
      <c r="I2317" s="49" t="s">
        <v>2</v>
      </c>
      <c r="J2317" s="48" t="s">
        <v>2010</v>
      </c>
      <c r="K2317" s="51">
        <v>41529</v>
      </c>
      <c r="L2317" s="173">
        <v>41520</v>
      </c>
      <c r="M2317" s="50">
        <f t="shared" si="126"/>
        <v>9</v>
      </c>
      <c r="N2317" s="50" t="s">
        <v>2</v>
      </c>
      <c r="O2317" s="74">
        <f>2/2</f>
        <v>1</v>
      </c>
      <c r="P2317" s="50">
        <v>5</v>
      </c>
      <c r="Q2317" s="74">
        <v>6.8</v>
      </c>
      <c r="R2317" s="50">
        <v>26</v>
      </c>
      <c r="S2317" s="74">
        <v>3.2</v>
      </c>
      <c r="T2317" s="50">
        <v>0.85</v>
      </c>
      <c r="U2317" s="131">
        <v>1.32</v>
      </c>
      <c r="V2317" s="50">
        <v>0.37</v>
      </c>
      <c r="W2317" s="74">
        <f>0.01/2</f>
        <v>5.0000000000000001E-3</v>
      </c>
      <c r="X2317" s="50">
        <f>0.03/2</f>
        <v>1.4999999999999999E-2</v>
      </c>
      <c r="Y2317" s="74">
        <f>0.03/2</f>
        <v>1.4999999999999999E-2</v>
      </c>
      <c r="Z2317" s="165"/>
    </row>
    <row r="2318" spans="1:30" ht="15" customHeight="1">
      <c r="A2318" s="41" t="s">
        <v>183</v>
      </c>
      <c r="B2318" s="402" t="s">
        <v>102</v>
      </c>
      <c r="D2318" s="393" t="s">
        <v>103</v>
      </c>
      <c r="E2318" s="394" t="s">
        <v>104</v>
      </c>
      <c r="G2318" s="405" t="s">
        <v>105</v>
      </c>
      <c r="H2318" s="113">
        <v>4952</v>
      </c>
      <c r="I2318" s="49" t="s">
        <v>2</v>
      </c>
      <c r="J2318" s="48" t="s">
        <v>2011</v>
      </c>
      <c r="K2318" s="51">
        <v>41529</v>
      </c>
      <c r="L2318" s="173">
        <v>41520</v>
      </c>
      <c r="M2318" s="50">
        <f t="shared" si="126"/>
        <v>9</v>
      </c>
      <c r="N2318" s="50" t="s">
        <v>2</v>
      </c>
      <c r="O2318" s="74">
        <f>2/2</f>
        <v>1</v>
      </c>
      <c r="P2318" s="50">
        <v>5</v>
      </c>
      <c r="Q2318" s="74">
        <v>7.44</v>
      </c>
      <c r="R2318" s="50">
        <v>24</v>
      </c>
      <c r="S2318" s="74">
        <v>85</v>
      </c>
      <c r="T2318" s="50">
        <v>0.49</v>
      </c>
      <c r="U2318" s="131">
        <v>1.37</v>
      </c>
      <c r="V2318" s="50">
        <v>0.42</v>
      </c>
      <c r="W2318" s="74">
        <v>3.3000000000000002E-2</v>
      </c>
      <c r="X2318" s="50">
        <v>9.2999999999999999E-2</v>
      </c>
      <c r="Y2318" s="74">
        <f>0.03/2</f>
        <v>1.4999999999999999E-2</v>
      </c>
      <c r="Z2318" s="165"/>
    </row>
    <row r="2319" spans="1:30" ht="15" customHeight="1">
      <c r="A2319" s="41" t="s">
        <v>183</v>
      </c>
      <c r="B2319" s="402" t="s">
        <v>102</v>
      </c>
      <c r="D2319" s="393" t="s">
        <v>103</v>
      </c>
      <c r="E2319" s="394" t="s">
        <v>104</v>
      </c>
      <c r="G2319" s="405" t="s">
        <v>105</v>
      </c>
      <c r="H2319" s="113">
        <v>4952</v>
      </c>
      <c r="I2319" s="49" t="s">
        <v>2</v>
      </c>
      <c r="J2319" s="48" t="s">
        <v>2012</v>
      </c>
      <c r="K2319" s="51">
        <v>41529</v>
      </c>
      <c r="L2319" s="173">
        <v>41520</v>
      </c>
      <c r="M2319" s="50">
        <f t="shared" si="126"/>
        <v>9</v>
      </c>
      <c r="N2319" s="50" t="s">
        <v>2</v>
      </c>
      <c r="O2319" s="74">
        <f>2/2</f>
        <v>1</v>
      </c>
      <c r="P2319" s="50">
        <v>5</v>
      </c>
      <c r="Q2319" s="74">
        <v>6.66</v>
      </c>
      <c r="R2319" s="50">
        <f>10/2</f>
        <v>5</v>
      </c>
      <c r="S2319" s="74">
        <v>1.8</v>
      </c>
      <c r="T2319" s="50">
        <f>0.05/2</f>
        <v>2.5000000000000001E-2</v>
      </c>
      <c r="U2319" s="131">
        <v>0.46</v>
      </c>
      <c r="V2319" s="50">
        <v>0.36</v>
      </c>
      <c r="W2319" s="74">
        <f>0.01/2</f>
        <v>5.0000000000000001E-3</v>
      </c>
      <c r="X2319" s="50">
        <v>8.2000000000000003E-2</v>
      </c>
      <c r="Y2319" s="74">
        <f>0.03/2</f>
        <v>1.4999999999999999E-2</v>
      </c>
      <c r="Z2319" s="165"/>
    </row>
    <row r="2320" spans="1:30" ht="15" customHeight="1">
      <c r="A2320" s="41" t="s">
        <v>183</v>
      </c>
      <c r="B2320" s="402" t="s">
        <v>102</v>
      </c>
      <c r="D2320" s="393" t="s">
        <v>103</v>
      </c>
      <c r="E2320" s="394" t="s">
        <v>104</v>
      </c>
      <c r="G2320" s="405" t="s">
        <v>105</v>
      </c>
      <c r="H2320" s="74">
        <v>4952</v>
      </c>
      <c r="I2320" s="50" t="s">
        <v>2</v>
      </c>
      <c r="J2320" s="61" t="s">
        <v>109</v>
      </c>
      <c r="K2320" s="51">
        <v>41529</v>
      </c>
      <c r="L2320" s="173">
        <v>41520</v>
      </c>
      <c r="M2320" s="50">
        <f t="shared" si="126"/>
        <v>9</v>
      </c>
      <c r="N2320" s="50" t="s">
        <v>2</v>
      </c>
      <c r="O2320" s="74">
        <f>2/2</f>
        <v>1</v>
      </c>
      <c r="P2320" s="50">
        <v>5</v>
      </c>
      <c r="Q2320" s="74">
        <v>8.17</v>
      </c>
      <c r="R2320" s="50">
        <f>10/2</f>
        <v>5</v>
      </c>
      <c r="S2320" s="74">
        <v>146</v>
      </c>
      <c r="T2320" s="50">
        <v>0.22</v>
      </c>
      <c r="U2320" s="131">
        <v>0.57999999999999996</v>
      </c>
      <c r="V2320" s="50">
        <v>2.2599999999999998</v>
      </c>
      <c r="W2320" s="74">
        <v>2.4E-2</v>
      </c>
      <c r="X2320" s="50">
        <v>8.5999999999999993E-2</v>
      </c>
      <c r="Y2320" s="74">
        <f>0.03/2</f>
        <v>1.4999999999999999E-2</v>
      </c>
      <c r="Z2320" s="165"/>
    </row>
    <row r="2321" spans="1:31" ht="15" customHeight="1">
      <c r="A2321" s="41" t="s">
        <v>183</v>
      </c>
      <c r="B2321" s="386" t="s">
        <v>546</v>
      </c>
      <c r="C2321" s="149" t="s">
        <v>547</v>
      </c>
      <c r="D2321" s="392" t="s">
        <v>548</v>
      </c>
      <c r="E2321" s="258" t="s">
        <v>549</v>
      </c>
      <c r="F2321" s="386"/>
      <c r="G2321" s="389" t="s">
        <v>550</v>
      </c>
      <c r="H2321" s="55">
        <v>4953</v>
      </c>
      <c r="I2321" s="54" t="s">
        <v>2</v>
      </c>
      <c r="J2321" s="61" t="s">
        <v>552</v>
      </c>
      <c r="K2321" s="51">
        <v>41487</v>
      </c>
      <c r="L2321" s="173"/>
      <c r="N2321" s="50" t="s">
        <v>2</v>
      </c>
      <c r="O2321" s="74">
        <f>1.6/2</f>
        <v>0.8</v>
      </c>
      <c r="P2321" s="50">
        <v>6.9</v>
      </c>
      <c r="Q2321" s="74">
        <v>7.4</v>
      </c>
      <c r="R2321" s="50">
        <f>20/2</f>
        <v>10</v>
      </c>
      <c r="S2321" s="74">
        <v>2.4</v>
      </c>
      <c r="T2321" s="50">
        <v>1.7000000000000001E-2</v>
      </c>
      <c r="U2321" s="131">
        <v>3.5</v>
      </c>
      <c r="V2321" s="50">
        <v>0.89</v>
      </c>
      <c r="W2321" s="74">
        <f>0.005/2</f>
        <v>2.5000000000000001E-3</v>
      </c>
      <c r="X2321" s="50">
        <f>0.01/2</f>
        <v>5.0000000000000001E-3</v>
      </c>
      <c r="Y2321" s="74">
        <f>0.005/2</f>
        <v>2.5000000000000001E-3</v>
      </c>
      <c r="Z2321" s="165">
        <v>1</v>
      </c>
      <c r="AA2321" s="271">
        <v>1</v>
      </c>
      <c r="AB2321" s="114">
        <v>56</v>
      </c>
      <c r="AC2321" s="50">
        <v>265</v>
      </c>
      <c r="AD2321" s="271">
        <v>1</v>
      </c>
    </row>
    <row r="2322" spans="1:31" ht="15" customHeight="1">
      <c r="A2322" s="41" t="s">
        <v>183</v>
      </c>
      <c r="B2322" s="386" t="s">
        <v>546</v>
      </c>
      <c r="C2322" s="149" t="s">
        <v>547</v>
      </c>
      <c r="D2322" s="392" t="s">
        <v>548</v>
      </c>
      <c r="E2322" s="258" t="s">
        <v>549</v>
      </c>
      <c r="F2322" s="386"/>
      <c r="G2322" s="389" t="s">
        <v>550</v>
      </c>
      <c r="H2322" s="55">
        <v>4953</v>
      </c>
      <c r="I2322" s="54" t="s">
        <v>2</v>
      </c>
      <c r="J2322" s="61" t="s">
        <v>553</v>
      </c>
      <c r="K2322" s="51">
        <v>41487</v>
      </c>
      <c r="L2322" s="173"/>
      <c r="N2322" s="50" t="s">
        <v>2</v>
      </c>
      <c r="O2322" s="74">
        <f>1.6/2</f>
        <v>0.8</v>
      </c>
      <c r="P2322" s="50">
        <v>6.9</v>
      </c>
      <c r="Q2322" s="74">
        <v>7.1</v>
      </c>
      <c r="R2322" s="50">
        <v>26</v>
      </c>
      <c r="S2322" s="74">
        <v>3</v>
      </c>
      <c r="T2322" s="50">
        <v>0.124</v>
      </c>
      <c r="U2322" s="131">
        <f>1/2</f>
        <v>0.5</v>
      </c>
      <c r="V2322" s="50">
        <f>0.46/2</f>
        <v>0.23</v>
      </c>
      <c r="W2322" s="74">
        <f>0.005/2</f>
        <v>2.5000000000000001E-3</v>
      </c>
      <c r="X2322" s="50">
        <v>6.5000000000000002E-2</v>
      </c>
      <c r="Y2322" s="74">
        <f>0.005/2</f>
        <v>2.5000000000000001E-3</v>
      </c>
      <c r="Z2322" s="165">
        <v>1</v>
      </c>
      <c r="AA2322" s="271">
        <v>1</v>
      </c>
      <c r="AB2322" s="114">
        <v>16</v>
      </c>
      <c r="AC2322" s="50">
        <v>75</v>
      </c>
      <c r="AD2322" s="271">
        <v>1</v>
      </c>
    </row>
    <row r="2323" spans="1:31" ht="15" customHeight="1">
      <c r="A2323" s="41" t="s">
        <v>183</v>
      </c>
      <c r="B2323" s="386" t="s">
        <v>546</v>
      </c>
      <c r="C2323" s="149" t="s">
        <v>547</v>
      </c>
      <c r="D2323" s="392" t="s">
        <v>548</v>
      </c>
      <c r="E2323" s="258" t="s">
        <v>549</v>
      </c>
      <c r="F2323" s="386"/>
      <c r="G2323" s="389" t="s">
        <v>550</v>
      </c>
      <c r="H2323" s="55">
        <v>4953</v>
      </c>
      <c r="I2323" s="54" t="s">
        <v>2</v>
      </c>
      <c r="J2323" s="61" t="s">
        <v>551</v>
      </c>
      <c r="K2323" s="51">
        <v>41487</v>
      </c>
      <c r="L2323" s="173"/>
      <c r="N2323" s="50" t="s">
        <v>2</v>
      </c>
      <c r="O2323" s="74">
        <f>1.6/2</f>
        <v>0.8</v>
      </c>
      <c r="P2323" s="77">
        <v>6.9</v>
      </c>
      <c r="Q2323" s="74">
        <v>6.9</v>
      </c>
      <c r="R2323" s="50">
        <v>35</v>
      </c>
      <c r="S2323" s="74">
        <v>2.8</v>
      </c>
      <c r="T2323" s="50">
        <v>0.13500000000000001</v>
      </c>
      <c r="U2323" s="131">
        <v>1.5</v>
      </c>
      <c r="V2323" s="50">
        <f>0.46/2</f>
        <v>0.23</v>
      </c>
      <c r="W2323" s="74">
        <f>0.005/2</f>
        <v>2.5000000000000001E-3</v>
      </c>
      <c r="X2323" s="50">
        <v>2.1000000000000001E-2</v>
      </c>
      <c r="Y2323" s="84">
        <f>0.005/2</f>
        <v>2.5000000000000001E-3</v>
      </c>
      <c r="Z2323" s="165">
        <v>1</v>
      </c>
      <c r="AA2323" s="271">
        <v>1</v>
      </c>
      <c r="AB2323" s="114">
        <v>12</v>
      </c>
      <c r="AC2323" s="50">
        <v>54</v>
      </c>
      <c r="AD2323" s="271">
        <v>1</v>
      </c>
    </row>
    <row r="2324" spans="1:31" ht="15" customHeight="1">
      <c r="A2324" s="41" t="s">
        <v>183</v>
      </c>
      <c r="B2324" s="386" t="s">
        <v>362</v>
      </c>
      <c r="C2324" s="149" t="s">
        <v>363</v>
      </c>
      <c r="D2324" s="392" t="s">
        <v>205</v>
      </c>
      <c r="E2324" s="258" t="s">
        <v>364</v>
      </c>
      <c r="F2324" s="386"/>
      <c r="G2324" s="389" t="s">
        <v>365</v>
      </c>
      <c r="H2324" s="55">
        <v>4952</v>
      </c>
      <c r="I2324" s="54" t="s">
        <v>2</v>
      </c>
      <c r="J2324" s="55" t="s">
        <v>366</v>
      </c>
      <c r="K2324" s="51">
        <v>41264</v>
      </c>
      <c r="L2324" s="173">
        <v>41261</v>
      </c>
      <c r="M2324" s="50">
        <f t="shared" ref="M2324:M2355" si="127">K2324-L2324</f>
        <v>3</v>
      </c>
      <c r="N2324" s="50" t="s">
        <v>2</v>
      </c>
      <c r="O2324" s="74">
        <v>4.97</v>
      </c>
      <c r="P2324" s="50">
        <v>5.3</v>
      </c>
      <c r="Q2324" s="74">
        <v>8.16</v>
      </c>
      <c r="R2324" s="50">
        <v>16</v>
      </c>
      <c r="S2324" s="74">
        <v>3.5</v>
      </c>
      <c r="T2324" s="50">
        <f>0.05/2</f>
        <v>2.5000000000000001E-2</v>
      </c>
      <c r="U2324" s="131">
        <v>1.1100000000000001</v>
      </c>
      <c r="V2324" s="50">
        <v>3.37</v>
      </c>
      <c r="W2324" s="74">
        <v>1.0699999999999999E-2</v>
      </c>
      <c r="X2324" s="50">
        <v>2.2599999999999999E-2</v>
      </c>
      <c r="Y2324" s="74">
        <f>0.003/2</f>
        <v>1.5E-3</v>
      </c>
      <c r="Z2324" s="165">
        <v>1</v>
      </c>
      <c r="AA2324" s="271">
        <v>1</v>
      </c>
      <c r="AB2324" s="114">
        <v>100</v>
      </c>
      <c r="AC2324" s="50">
        <v>258</v>
      </c>
      <c r="AD2324" s="271">
        <v>1</v>
      </c>
    </row>
    <row r="2325" spans="1:31" ht="15" customHeight="1">
      <c r="A2325" s="41" t="s">
        <v>183</v>
      </c>
      <c r="B2325" s="386" t="s">
        <v>362</v>
      </c>
      <c r="C2325" s="149" t="s">
        <v>363</v>
      </c>
      <c r="D2325" s="392" t="s">
        <v>205</v>
      </c>
      <c r="E2325" s="258" t="s">
        <v>364</v>
      </c>
      <c r="F2325" s="386"/>
      <c r="G2325" s="389" t="s">
        <v>365</v>
      </c>
      <c r="H2325" s="55">
        <v>4952</v>
      </c>
      <c r="I2325" s="54" t="s">
        <v>2</v>
      </c>
      <c r="J2325" s="55" t="s">
        <v>366</v>
      </c>
      <c r="K2325" s="51">
        <v>41604</v>
      </c>
      <c r="L2325" s="173">
        <v>41600</v>
      </c>
      <c r="M2325" s="50">
        <f t="shared" si="127"/>
        <v>4</v>
      </c>
      <c r="N2325" s="50" t="s">
        <v>2</v>
      </c>
      <c r="P2325" s="50">
        <v>4.5999999999999996</v>
      </c>
      <c r="Q2325" s="74">
        <v>7.9</v>
      </c>
      <c r="S2325" s="74">
        <f>4/2</f>
        <v>2</v>
      </c>
      <c r="V2325" s="50">
        <v>2.59</v>
      </c>
      <c r="Z2325" s="165"/>
    </row>
    <row r="2326" spans="1:31" ht="15" customHeight="1">
      <c r="A2326" s="41" t="s">
        <v>183</v>
      </c>
      <c r="B2326" s="402" t="s">
        <v>2647</v>
      </c>
      <c r="C2326" s="113" t="s">
        <v>2648</v>
      </c>
      <c r="D2326" s="393" t="s">
        <v>1896</v>
      </c>
      <c r="E2326" s="394" t="s">
        <v>1538</v>
      </c>
      <c r="G2326" s="405" t="s">
        <v>2649</v>
      </c>
      <c r="H2326" s="74">
        <v>4952</v>
      </c>
      <c r="I2326" s="50" t="s">
        <v>1</v>
      </c>
      <c r="J2326" s="48" t="s">
        <v>460</v>
      </c>
      <c r="K2326" s="51">
        <v>41345</v>
      </c>
      <c r="L2326" s="173">
        <v>41341</v>
      </c>
      <c r="M2326" s="50">
        <f t="shared" si="127"/>
        <v>4</v>
      </c>
      <c r="N2326" s="50" t="s">
        <v>2</v>
      </c>
      <c r="O2326" s="74">
        <f>1.9/2</f>
        <v>0.95</v>
      </c>
      <c r="P2326" s="50">
        <v>6.78</v>
      </c>
      <c r="Q2326" s="74">
        <v>7.06</v>
      </c>
      <c r="R2326" s="50">
        <v>115</v>
      </c>
      <c r="S2326" s="74">
        <v>24.6</v>
      </c>
      <c r="T2326" s="50">
        <v>0.18</v>
      </c>
      <c r="U2326" s="131">
        <v>2.59</v>
      </c>
      <c r="V2326" s="50">
        <v>0.68</v>
      </c>
      <c r="W2326" s="74">
        <v>2.8000000000000001E-2</v>
      </c>
      <c r="X2326" s="50">
        <v>0.13700000000000001</v>
      </c>
      <c r="Y2326" s="74">
        <v>1.4999999999999999E-2</v>
      </c>
      <c r="Z2326" s="165">
        <v>0.70699999999999996</v>
      </c>
      <c r="AA2326" s="271">
        <v>0.70699999999999996</v>
      </c>
      <c r="AB2326" s="114">
        <v>58</v>
      </c>
      <c r="AC2326" s="50">
        <v>7570</v>
      </c>
      <c r="AD2326" s="271">
        <v>0</v>
      </c>
    </row>
    <row r="2327" spans="1:31" ht="15" customHeight="1">
      <c r="A2327" s="41" t="s">
        <v>183</v>
      </c>
      <c r="B2327" s="402" t="s">
        <v>5286</v>
      </c>
      <c r="C2327" s="113" t="s">
        <v>5287</v>
      </c>
      <c r="D2327" s="393" t="s">
        <v>2913</v>
      </c>
      <c r="E2327" s="394" t="s">
        <v>535</v>
      </c>
      <c r="F2327" s="402" t="s">
        <v>3841</v>
      </c>
      <c r="G2327" s="405" t="s">
        <v>5285</v>
      </c>
      <c r="H2327" s="74">
        <v>3499</v>
      </c>
      <c r="I2327" s="50" t="s">
        <v>1</v>
      </c>
      <c r="J2327" s="339" t="s">
        <v>5288</v>
      </c>
      <c r="K2327" s="51">
        <v>40996</v>
      </c>
      <c r="L2327" s="173">
        <v>40992</v>
      </c>
      <c r="M2327" s="50">
        <f t="shared" si="127"/>
        <v>4</v>
      </c>
      <c r="N2327" s="50" t="s">
        <v>2</v>
      </c>
      <c r="O2327" s="74">
        <v>4.8</v>
      </c>
      <c r="P2327" s="50">
        <v>6.9</v>
      </c>
      <c r="Q2327" s="74">
        <v>7.04</v>
      </c>
      <c r="R2327" s="50">
        <v>162</v>
      </c>
      <c r="S2327" s="74">
        <v>400</v>
      </c>
      <c r="T2327" s="50">
        <v>1.45</v>
      </c>
      <c r="U2327" s="131">
        <v>2.66</v>
      </c>
      <c r="V2327" s="50">
        <f>5/2</f>
        <v>2.5</v>
      </c>
      <c r="W2327" s="74">
        <v>6.9199999999999998E-2</v>
      </c>
      <c r="X2327" s="50">
        <v>0.32</v>
      </c>
      <c r="Y2327" s="74">
        <v>2.5399999999999999E-2</v>
      </c>
      <c r="Z2327" s="165">
        <v>1</v>
      </c>
      <c r="AA2327" s="271">
        <v>1</v>
      </c>
      <c r="AB2327" s="114">
        <v>10</v>
      </c>
      <c r="AC2327" s="50">
        <v>74</v>
      </c>
      <c r="AD2327" s="271">
        <v>1</v>
      </c>
      <c r="AE2327" s="50">
        <v>4</v>
      </c>
    </row>
    <row r="2328" spans="1:31" ht="15" customHeight="1">
      <c r="A2328" s="41" t="s">
        <v>183</v>
      </c>
      <c r="B2328" s="402" t="s">
        <v>5286</v>
      </c>
      <c r="C2328" s="113" t="s">
        <v>5287</v>
      </c>
      <c r="D2328" s="393" t="s">
        <v>2913</v>
      </c>
      <c r="E2328" s="394" t="s">
        <v>535</v>
      </c>
      <c r="F2328" s="402" t="s">
        <v>3841</v>
      </c>
      <c r="G2328" s="405" t="s">
        <v>5285</v>
      </c>
      <c r="H2328" s="74">
        <v>3499</v>
      </c>
      <c r="I2328" s="50" t="s">
        <v>1</v>
      </c>
      <c r="J2328" s="339" t="s">
        <v>5289</v>
      </c>
      <c r="K2328" s="51">
        <v>41149</v>
      </c>
      <c r="L2328" s="173">
        <v>41143</v>
      </c>
      <c r="M2328" s="50">
        <f t="shared" si="127"/>
        <v>6</v>
      </c>
      <c r="N2328" s="50" t="s">
        <v>2</v>
      </c>
      <c r="O2328" s="74">
        <f>1/2</f>
        <v>0.5</v>
      </c>
      <c r="Q2328" s="74">
        <v>5.96</v>
      </c>
      <c r="R2328" s="50">
        <v>18.100000000000001</v>
      </c>
      <c r="S2328" s="74">
        <v>16</v>
      </c>
      <c r="T2328" s="50">
        <v>4.4699999999999997E-2</v>
      </c>
      <c r="U2328" s="131">
        <v>0.42</v>
      </c>
      <c r="V2328" s="50">
        <f>0.1/2</f>
        <v>0.05</v>
      </c>
      <c r="W2328" s="74">
        <f>0.005/2</f>
        <v>2.5000000000000001E-3</v>
      </c>
      <c r="X2328" s="50">
        <v>1.7600000000000001E-2</v>
      </c>
      <c r="Y2328" s="74">
        <f>0.0075/2</f>
        <v>3.7499999999999999E-3</v>
      </c>
      <c r="Z2328" s="165">
        <v>1</v>
      </c>
      <c r="AA2328" s="271">
        <v>1</v>
      </c>
      <c r="AB2328" s="114">
        <v>2</v>
      </c>
      <c r="AC2328" s="50">
        <v>2</v>
      </c>
      <c r="AD2328" s="271">
        <v>0.85</v>
      </c>
      <c r="AE2328" s="50">
        <v>620</v>
      </c>
    </row>
    <row r="2329" spans="1:31" ht="15" customHeight="1">
      <c r="A2329" s="41" t="s">
        <v>183</v>
      </c>
      <c r="B2329" s="402" t="s">
        <v>5286</v>
      </c>
      <c r="C2329" s="113" t="s">
        <v>5287</v>
      </c>
      <c r="D2329" s="393" t="s">
        <v>2913</v>
      </c>
      <c r="E2329" s="394" t="s">
        <v>535</v>
      </c>
      <c r="F2329" s="402" t="s">
        <v>3841</v>
      </c>
      <c r="G2329" s="405" t="s">
        <v>5285</v>
      </c>
      <c r="H2329" s="74">
        <v>3499</v>
      </c>
      <c r="I2329" s="50" t="s">
        <v>1</v>
      </c>
      <c r="J2329" s="339" t="s">
        <v>5289</v>
      </c>
      <c r="K2329" s="51">
        <v>41417</v>
      </c>
      <c r="L2329" s="173">
        <v>41412</v>
      </c>
      <c r="M2329" s="50">
        <f t="shared" si="127"/>
        <v>5</v>
      </c>
      <c r="N2329" s="50" t="s">
        <v>2</v>
      </c>
      <c r="O2329" s="74">
        <f>1/2</f>
        <v>0.5</v>
      </c>
      <c r="P2329" s="50">
        <v>7.6</v>
      </c>
      <c r="Q2329" s="74">
        <v>7.8</v>
      </c>
      <c r="R2329" s="50">
        <v>49</v>
      </c>
      <c r="S2329" s="74">
        <v>145</v>
      </c>
      <c r="T2329" s="50">
        <v>1.4</v>
      </c>
      <c r="U2329" s="131">
        <v>0.8</v>
      </c>
      <c r="V2329" s="50">
        <v>0.66</v>
      </c>
      <c r="W2329" s="74">
        <v>2.3400000000000001E-2</v>
      </c>
      <c r="X2329" s="50">
        <v>1.51</v>
      </c>
      <c r="Y2329" s="74">
        <v>7.6E-3</v>
      </c>
      <c r="Z2329" s="165"/>
      <c r="AE2329" s="50">
        <v>28</v>
      </c>
    </row>
    <row r="2330" spans="1:31" ht="15" customHeight="1">
      <c r="A2330" s="41" t="s">
        <v>183</v>
      </c>
      <c r="B2330" s="402" t="s">
        <v>2707</v>
      </c>
      <c r="C2330" s="113" t="s">
        <v>1332</v>
      </c>
      <c r="D2330" s="393" t="s">
        <v>379</v>
      </c>
      <c r="E2330" s="394" t="s">
        <v>3350</v>
      </c>
      <c r="G2330" s="405" t="s">
        <v>2925</v>
      </c>
      <c r="H2330" s="113">
        <v>4953</v>
      </c>
      <c r="I2330" s="49" t="s">
        <v>2</v>
      </c>
      <c r="J2330" s="48" t="s">
        <v>3553</v>
      </c>
      <c r="K2330" s="51">
        <v>41579</v>
      </c>
      <c r="L2330" s="173">
        <v>41554</v>
      </c>
      <c r="M2330" s="50">
        <f t="shared" si="127"/>
        <v>25</v>
      </c>
      <c r="N2330" s="50" t="s">
        <v>2</v>
      </c>
      <c r="O2330" s="74">
        <f>1.4/2</f>
        <v>0.7</v>
      </c>
      <c r="P2330" s="50">
        <v>6</v>
      </c>
      <c r="Q2330" s="74">
        <v>7.07</v>
      </c>
      <c r="R2330" s="50">
        <v>37</v>
      </c>
      <c r="S2330" s="74">
        <v>13</v>
      </c>
      <c r="T2330" s="50">
        <v>0.11</v>
      </c>
      <c r="U2330" s="131">
        <v>1.3</v>
      </c>
      <c r="V2330" s="50">
        <v>0.63</v>
      </c>
      <c r="W2330" s="74">
        <v>1.2E-2</v>
      </c>
      <c r="X2330" s="50">
        <v>0.20300000000000001</v>
      </c>
      <c r="Y2330" s="74">
        <v>6.0000000000000001E-3</v>
      </c>
      <c r="Z2330" s="165"/>
    </row>
    <row r="2331" spans="1:31" ht="15" customHeight="1">
      <c r="A2331" s="41" t="s">
        <v>183</v>
      </c>
      <c r="B2331" s="402" t="s">
        <v>2986</v>
      </c>
      <c r="C2331" s="113" t="s">
        <v>1332</v>
      </c>
      <c r="D2331" s="393" t="s">
        <v>684</v>
      </c>
      <c r="E2331" s="394" t="s">
        <v>2987</v>
      </c>
      <c r="F2331" s="402" t="s">
        <v>2667</v>
      </c>
      <c r="G2331" s="405" t="s">
        <v>2988</v>
      </c>
      <c r="H2331" s="74">
        <v>9199</v>
      </c>
      <c r="I2331" s="50" t="s">
        <v>2</v>
      </c>
      <c r="J2331" s="48" t="s">
        <v>3019</v>
      </c>
      <c r="K2331" s="51">
        <v>41600</v>
      </c>
      <c r="L2331" s="115">
        <v>41596</v>
      </c>
      <c r="M2331" s="50">
        <f t="shared" si="127"/>
        <v>4</v>
      </c>
      <c r="N2331" s="50" t="s">
        <v>2</v>
      </c>
      <c r="O2331" s="74">
        <f>2/2</f>
        <v>1</v>
      </c>
      <c r="P2331" s="50">
        <v>6.1</v>
      </c>
      <c r="Q2331" s="74">
        <v>6.1</v>
      </c>
      <c r="R2331" s="50">
        <v>83</v>
      </c>
      <c r="S2331" s="74">
        <v>26</v>
      </c>
      <c r="T2331" s="50">
        <v>1.67</v>
      </c>
      <c r="U2331" s="131">
        <v>2.0699999999999998</v>
      </c>
      <c r="V2331" s="50">
        <f>0.1/2</f>
        <v>0.05</v>
      </c>
      <c r="W2331" s="74">
        <f>0.01/2</f>
        <v>5.0000000000000001E-3</v>
      </c>
      <c r="X2331" s="50">
        <f>0.03/2</f>
        <v>1.4999999999999999E-2</v>
      </c>
      <c r="Y2331" s="74">
        <f>0.03/2</f>
        <v>1.4999999999999999E-2</v>
      </c>
      <c r="Z2331" s="165">
        <v>1</v>
      </c>
      <c r="AA2331" s="271">
        <v>1</v>
      </c>
      <c r="AB2331" s="114">
        <v>31</v>
      </c>
      <c r="AD2331" s="271">
        <v>1</v>
      </c>
    </row>
    <row r="2332" spans="1:31" ht="15" customHeight="1">
      <c r="A2332" s="41" t="s">
        <v>183</v>
      </c>
      <c r="B2332" s="402" t="s">
        <v>3695</v>
      </c>
      <c r="D2332" s="393" t="s">
        <v>861</v>
      </c>
      <c r="E2332" s="394" t="s">
        <v>862</v>
      </c>
      <c r="G2332" s="405" t="s">
        <v>1025</v>
      </c>
      <c r="H2332" s="74">
        <v>3672</v>
      </c>
      <c r="I2332" s="50" t="s">
        <v>2</v>
      </c>
      <c r="J2332" s="339" t="s">
        <v>863</v>
      </c>
      <c r="K2332" s="51">
        <v>41402</v>
      </c>
      <c r="L2332" s="173">
        <v>41384</v>
      </c>
      <c r="M2332" s="50">
        <f t="shared" si="127"/>
        <v>18</v>
      </c>
      <c r="N2332" s="50" t="s">
        <v>2</v>
      </c>
      <c r="O2332" s="74">
        <f>1.5/2</f>
        <v>0.75</v>
      </c>
      <c r="P2332" s="50">
        <v>5.95</v>
      </c>
      <c r="Q2332" s="74">
        <v>7.56</v>
      </c>
      <c r="R2332" s="50">
        <v>105</v>
      </c>
      <c r="S2332" s="74">
        <v>110</v>
      </c>
      <c r="T2332" s="50">
        <v>0.35</v>
      </c>
      <c r="U2332" s="131">
        <v>1.51</v>
      </c>
      <c r="V2332" s="50">
        <v>0.09</v>
      </c>
      <c r="W2332" s="74">
        <v>0.11600000000000001</v>
      </c>
      <c r="X2332" s="50">
        <v>5.8000000000000003E-2</v>
      </c>
      <c r="Y2332" s="74">
        <v>8.9999999999999993E-3</v>
      </c>
      <c r="Z2332" s="165">
        <v>1</v>
      </c>
      <c r="AA2332" s="271">
        <v>0.497</v>
      </c>
      <c r="AB2332" s="114">
        <v>20</v>
      </c>
      <c r="AC2332" s="50">
        <v>110</v>
      </c>
      <c r="AD2332" s="271">
        <v>0</v>
      </c>
    </row>
    <row r="2333" spans="1:31" ht="15" customHeight="1">
      <c r="A2333" s="41" t="s">
        <v>183</v>
      </c>
      <c r="B2333" s="402" t="s">
        <v>3695</v>
      </c>
      <c r="D2333" s="393" t="s">
        <v>861</v>
      </c>
      <c r="E2333" s="394" t="s">
        <v>862</v>
      </c>
      <c r="G2333" s="405" t="s">
        <v>1025</v>
      </c>
      <c r="H2333" s="74">
        <v>3672</v>
      </c>
      <c r="I2333" s="50" t="s">
        <v>2</v>
      </c>
      <c r="J2333" s="339" t="s">
        <v>864</v>
      </c>
      <c r="K2333" s="51">
        <v>41402</v>
      </c>
      <c r="L2333" s="173">
        <v>41384</v>
      </c>
      <c r="M2333" s="50">
        <f t="shared" si="127"/>
        <v>18</v>
      </c>
      <c r="N2333" s="50" t="s">
        <v>2</v>
      </c>
      <c r="O2333" s="74">
        <f>1.5/2</f>
        <v>0.75</v>
      </c>
      <c r="P2333" s="50">
        <v>5.95</v>
      </c>
      <c r="Q2333" s="74">
        <v>6.96</v>
      </c>
      <c r="R2333" s="50">
        <v>51</v>
      </c>
      <c r="S2333" s="74">
        <v>61</v>
      </c>
      <c r="T2333" s="50">
        <v>0.2</v>
      </c>
      <c r="U2333" s="131">
        <v>1.38</v>
      </c>
      <c r="V2333" s="50">
        <v>0.2</v>
      </c>
      <c r="W2333" s="74">
        <v>4.9000000000000002E-2</v>
      </c>
      <c r="X2333" s="50">
        <v>0.14399999999999999</v>
      </c>
      <c r="Y2333" s="74">
        <v>1.2E-2</v>
      </c>
      <c r="Z2333" s="165">
        <v>1</v>
      </c>
      <c r="AA2333" s="271">
        <v>0.82</v>
      </c>
      <c r="AB2333" s="114">
        <v>8</v>
      </c>
      <c r="AC2333" s="50">
        <v>26</v>
      </c>
      <c r="AD2333" s="271">
        <v>0.3</v>
      </c>
    </row>
    <row r="2334" spans="1:31" ht="15" customHeight="1">
      <c r="A2334" s="41" t="s">
        <v>183</v>
      </c>
      <c r="B2334" s="402" t="s">
        <v>3695</v>
      </c>
      <c r="D2334" s="393" t="s">
        <v>861</v>
      </c>
      <c r="E2334" s="394" t="s">
        <v>862</v>
      </c>
      <c r="G2334" s="405" t="s">
        <v>1025</v>
      </c>
      <c r="H2334" s="74">
        <v>3672</v>
      </c>
      <c r="I2334" s="50" t="s">
        <v>2</v>
      </c>
      <c r="J2334" s="339" t="s">
        <v>865</v>
      </c>
      <c r="K2334" s="51">
        <v>41402</v>
      </c>
      <c r="L2334" s="173">
        <v>41384</v>
      </c>
      <c r="M2334" s="50">
        <f t="shared" si="127"/>
        <v>18</v>
      </c>
      <c r="N2334" s="50" t="s">
        <v>2</v>
      </c>
      <c r="O2334" s="74">
        <f>1.5/2</f>
        <v>0.75</v>
      </c>
      <c r="P2334" s="50">
        <v>5.95</v>
      </c>
      <c r="Q2334" s="74">
        <v>7.41</v>
      </c>
      <c r="R2334" s="50">
        <v>49</v>
      </c>
      <c r="S2334" s="74">
        <f>5/2</f>
        <v>2.5</v>
      </c>
      <c r="T2334" s="50">
        <v>0.14000000000000001</v>
      </c>
      <c r="U2334" s="131">
        <v>1.43</v>
      </c>
      <c r="V2334" s="50">
        <v>0.3</v>
      </c>
      <c r="W2334" s="74">
        <v>6.3E-2</v>
      </c>
      <c r="X2334" s="50">
        <v>0.33400000000000002</v>
      </c>
      <c r="Y2334" s="74">
        <v>3.0000000000000001E-3</v>
      </c>
      <c r="Z2334" s="165">
        <v>0.70699999999999996</v>
      </c>
      <c r="AA2334" s="271">
        <v>0.39200000000000002</v>
      </c>
      <c r="AB2334" s="114">
        <v>8</v>
      </c>
      <c r="AC2334" s="50">
        <v>35</v>
      </c>
      <c r="AD2334" s="271">
        <v>0</v>
      </c>
    </row>
    <row r="2335" spans="1:31" ht="15" customHeight="1">
      <c r="A2335" s="41" t="s">
        <v>183</v>
      </c>
      <c r="B2335" s="402" t="s">
        <v>3695</v>
      </c>
      <c r="D2335" s="393" t="s">
        <v>861</v>
      </c>
      <c r="E2335" s="394" t="s">
        <v>862</v>
      </c>
      <c r="G2335" s="405" t="s">
        <v>1025</v>
      </c>
      <c r="H2335" s="74">
        <v>3672</v>
      </c>
      <c r="I2335" s="50" t="s">
        <v>2</v>
      </c>
      <c r="J2335" s="339" t="s">
        <v>866</v>
      </c>
      <c r="K2335" s="51">
        <v>41402</v>
      </c>
      <c r="L2335" s="173">
        <v>41384</v>
      </c>
      <c r="M2335" s="50">
        <f t="shared" si="127"/>
        <v>18</v>
      </c>
      <c r="N2335" s="50" t="s">
        <v>2</v>
      </c>
      <c r="O2335" s="74">
        <v>5.5</v>
      </c>
      <c r="P2335" s="50">
        <v>5.95</v>
      </c>
      <c r="Q2335" s="74">
        <v>6.84</v>
      </c>
      <c r="R2335" s="50">
        <v>127</v>
      </c>
      <c r="S2335" s="74">
        <v>850</v>
      </c>
      <c r="T2335" s="50">
        <v>1.22</v>
      </c>
      <c r="U2335" s="131">
        <v>3.14</v>
      </c>
      <c r="V2335" s="50">
        <v>0.23</v>
      </c>
      <c r="W2335" s="74">
        <v>2.4</v>
      </c>
      <c r="X2335" s="50">
        <v>1.54</v>
      </c>
      <c r="Y2335" s="74">
        <v>8.7999999999999995E-2</v>
      </c>
      <c r="Z2335" s="165">
        <v>0.70099999999999996</v>
      </c>
      <c r="AA2335" s="271">
        <v>0.39200000000000002</v>
      </c>
      <c r="AB2335" s="114">
        <v>122</v>
      </c>
      <c r="AC2335" s="50">
        <v>598</v>
      </c>
      <c r="AD2335" s="271">
        <v>0</v>
      </c>
    </row>
    <row r="2336" spans="1:31" ht="15" customHeight="1">
      <c r="A2336" s="41" t="s">
        <v>183</v>
      </c>
      <c r="B2336" s="402" t="s">
        <v>3695</v>
      </c>
      <c r="D2336" s="393" t="s">
        <v>861</v>
      </c>
      <c r="E2336" s="394" t="s">
        <v>862</v>
      </c>
      <c r="G2336" s="405" t="s">
        <v>1025</v>
      </c>
      <c r="H2336" s="74">
        <v>3672</v>
      </c>
      <c r="I2336" s="50" t="s">
        <v>2</v>
      </c>
      <c r="J2336" s="339" t="s">
        <v>867</v>
      </c>
      <c r="K2336" s="51">
        <v>41402</v>
      </c>
      <c r="L2336" s="173">
        <v>41384</v>
      </c>
      <c r="M2336" s="50">
        <f t="shared" si="127"/>
        <v>18</v>
      </c>
      <c r="N2336" s="50" t="s">
        <v>2</v>
      </c>
      <c r="O2336" s="74">
        <f>1.6/2</f>
        <v>0.8</v>
      </c>
      <c r="P2336" s="50">
        <v>5.95</v>
      </c>
      <c r="Q2336" s="74">
        <v>7.08</v>
      </c>
      <c r="R2336" s="50">
        <v>133</v>
      </c>
      <c r="S2336" s="74">
        <v>59</v>
      </c>
      <c r="T2336" s="50">
        <v>0.27</v>
      </c>
      <c r="U2336" s="131">
        <v>2.52</v>
      </c>
      <c r="V2336" s="50">
        <v>0.7</v>
      </c>
      <c r="W2336" s="74">
        <v>0.38900000000000001</v>
      </c>
      <c r="X2336" s="50">
        <v>0.19700000000000001</v>
      </c>
      <c r="Y2336" s="74">
        <v>1.2999999999999999E-2</v>
      </c>
      <c r="Z2336" s="165">
        <v>0.57399999999999995</v>
      </c>
      <c r="AA2336" s="271">
        <v>0.16500000000000001</v>
      </c>
      <c r="AB2336" s="114">
        <v>52</v>
      </c>
      <c r="AC2336" s="50">
        <v>228</v>
      </c>
      <c r="AD2336" s="271">
        <v>0</v>
      </c>
    </row>
    <row r="2337" spans="1:40" ht="15" customHeight="1">
      <c r="A2337" s="41" t="s">
        <v>183</v>
      </c>
      <c r="B2337" s="402" t="s">
        <v>3695</v>
      </c>
      <c r="D2337" s="393" t="s">
        <v>861</v>
      </c>
      <c r="E2337" s="394" t="s">
        <v>862</v>
      </c>
      <c r="G2337" s="405" t="s">
        <v>1025</v>
      </c>
      <c r="H2337" s="74">
        <v>3672</v>
      </c>
      <c r="I2337" s="50" t="s">
        <v>2</v>
      </c>
      <c r="J2337" s="339" t="s">
        <v>863</v>
      </c>
      <c r="K2337" s="51">
        <v>41579</v>
      </c>
      <c r="L2337" s="173">
        <v>41567</v>
      </c>
      <c r="M2337" s="50">
        <f t="shared" si="127"/>
        <v>12</v>
      </c>
      <c r="N2337" s="50" t="s">
        <v>2</v>
      </c>
      <c r="O2337" s="74">
        <f>1.4/2</f>
        <v>0.7</v>
      </c>
      <c r="P2337" s="50">
        <v>4.6500000000000004</v>
      </c>
      <c r="Q2337" s="74">
        <v>6.47</v>
      </c>
      <c r="R2337" s="50">
        <v>30</v>
      </c>
      <c r="S2337" s="74">
        <v>12</v>
      </c>
      <c r="T2337" s="50">
        <v>0.31</v>
      </c>
      <c r="U2337" s="131">
        <v>1.51</v>
      </c>
      <c r="V2337" s="50">
        <v>0.16</v>
      </c>
      <c r="W2337" s="74">
        <v>2.1999999999999999E-2</v>
      </c>
      <c r="X2337" s="50">
        <v>4.2999999999999997E-2</v>
      </c>
      <c r="Y2337" s="74">
        <f>0.002/2</f>
        <v>1E-3</v>
      </c>
      <c r="Z2337" s="165"/>
    </row>
    <row r="2338" spans="1:40" ht="15" customHeight="1">
      <c r="A2338" s="41" t="s">
        <v>183</v>
      </c>
      <c r="B2338" s="402" t="s">
        <v>3695</v>
      </c>
      <c r="D2338" s="393" t="s">
        <v>861</v>
      </c>
      <c r="E2338" s="394" t="s">
        <v>862</v>
      </c>
      <c r="G2338" s="405" t="s">
        <v>1025</v>
      </c>
      <c r="H2338" s="74">
        <v>3672</v>
      </c>
      <c r="I2338" s="50" t="s">
        <v>2</v>
      </c>
      <c r="J2338" s="339" t="s">
        <v>864</v>
      </c>
      <c r="K2338" s="51">
        <v>41579</v>
      </c>
      <c r="L2338" s="173">
        <v>41567</v>
      </c>
      <c r="M2338" s="50">
        <f t="shared" si="127"/>
        <v>12</v>
      </c>
      <c r="N2338" s="50" t="s">
        <v>2</v>
      </c>
      <c r="O2338" s="74">
        <f>1.4/2</f>
        <v>0.7</v>
      </c>
      <c r="P2338" s="50">
        <v>4.6500000000000004</v>
      </c>
      <c r="Q2338" s="74">
        <v>6.49</v>
      </c>
      <c r="R2338" s="50">
        <v>46</v>
      </c>
      <c r="S2338" s="74">
        <v>330</v>
      </c>
      <c r="T2338" s="50">
        <v>0.61</v>
      </c>
      <c r="U2338" s="131">
        <v>6.5</v>
      </c>
      <c r="V2338" s="50">
        <v>0.42</v>
      </c>
      <c r="W2338" s="74">
        <v>0.499</v>
      </c>
      <c r="X2338" s="50">
        <v>0.23499999999999999</v>
      </c>
      <c r="Y2338" s="74">
        <v>4.5999999999999999E-2</v>
      </c>
      <c r="Z2338" s="165"/>
    </row>
    <row r="2339" spans="1:40" ht="15" customHeight="1">
      <c r="A2339" s="41" t="s">
        <v>183</v>
      </c>
      <c r="B2339" s="402" t="s">
        <v>3695</v>
      </c>
      <c r="D2339" s="393" t="s">
        <v>861</v>
      </c>
      <c r="E2339" s="394" t="s">
        <v>862</v>
      </c>
      <c r="G2339" s="405" t="s">
        <v>1025</v>
      </c>
      <c r="H2339" s="74">
        <v>3672</v>
      </c>
      <c r="I2339" s="50" t="s">
        <v>2</v>
      </c>
      <c r="J2339" s="339" t="s">
        <v>865</v>
      </c>
      <c r="K2339" s="51">
        <v>41579</v>
      </c>
      <c r="L2339" s="173">
        <v>41567</v>
      </c>
      <c r="M2339" s="50">
        <f t="shared" si="127"/>
        <v>12</v>
      </c>
      <c r="N2339" s="50" t="s">
        <v>2</v>
      </c>
      <c r="O2339" s="74">
        <v>2.7</v>
      </c>
      <c r="P2339" s="50">
        <v>4.6500000000000004</v>
      </c>
      <c r="Q2339" s="74">
        <v>6.33</v>
      </c>
      <c r="R2339" s="50">
        <v>61</v>
      </c>
      <c r="S2339" s="74">
        <v>30</v>
      </c>
      <c r="T2339" s="50">
        <v>0.89</v>
      </c>
      <c r="U2339" s="131">
        <v>2.64</v>
      </c>
      <c r="V2339" s="50">
        <v>0.15</v>
      </c>
      <c r="W2339" s="74">
        <v>8.5000000000000006E-2</v>
      </c>
      <c r="X2339" s="50">
        <v>7.0999999999999994E-2</v>
      </c>
      <c r="Y2339" s="74">
        <f>0.002/2</f>
        <v>1E-3</v>
      </c>
      <c r="Z2339" s="165"/>
    </row>
    <row r="2340" spans="1:40" ht="15" customHeight="1">
      <c r="A2340" s="41" t="s">
        <v>183</v>
      </c>
      <c r="B2340" s="402" t="s">
        <v>3695</v>
      </c>
      <c r="D2340" s="393" t="s">
        <v>861</v>
      </c>
      <c r="E2340" s="394" t="s">
        <v>862</v>
      </c>
      <c r="G2340" s="405" t="s">
        <v>1025</v>
      </c>
      <c r="H2340" s="74">
        <v>3672</v>
      </c>
      <c r="I2340" s="50" t="s">
        <v>2</v>
      </c>
      <c r="J2340" s="339" t="s">
        <v>866</v>
      </c>
      <c r="K2340" s="51">
        <v>41579</v>
      </c>
      <c r="L2340" s="173">
        <v>41567</v>
      </c>
      <c r="M2340" s="50">
        <f t="shared" si="127"/>
        <v>12</v>
      </c>
      <c r="N2340" s="50" t="s">
        <v>2</v>
      </c>
      <c r="O2340" s="74">
        <v>1.8</v>
      </c>
      <c r="P2340" s="50">
        <v>4.6500000000000004</v>
      </c>
      <c r="Q2340" s="74">
        <v>6.38</v>
      </c>
      <c r="R2340" s="50">
        <v>65</v>
      </c>
      <c r="S2340" s="74">
        <v>62</v>
      </c>
      <c r="T2340" s="50">
        <v>0.25</v>
      </c>
      <c r="U2340" s="131">
        <v>3.38</v>
      </c>
      <c r="V2340" s="50">
        <v>0.32</v>
      </c>
      <c r="W2340" s="74">
        <v>0.19400000000000001</v>
      </c>
      <c r="X2340" s="50">
        <v>0.34699999999999998</v>
      </c>
      <c r="Y2340" s="74">
        <v>6.0000000000000001E-3</v>
      </c>
      <c r="Z2340" s="165"/>
    </row>
    <row r="2341" spans="1:40" ht="15" customHeight="1">
      <c r="A2341" s="41" t="s">
        <v>183</v>
      </c>
      <c r="B2341" s="402" t="s">
        <v>3695</v>
      </c>
      <c r="D2341" s="393" t="s">
        <v>861</v>
      </c>
      <c r="E2341" s="394" t="s">
        <v>862</v>
      </c>
      <c r="G2341" s="405" t="s">
        <v>1025</v>
      </c>
      <c r="H2341" s="74">
        <v>3672</v>
      </c>
      <c r="I2341" s="50" t="s">
        <v>2</v>
      </c>
      <c r="J2341" s="339" t="s">
        <v>867</v>
      </c>
      <c r="K2341" s="51">
        <v>41579</v>
      </c>
      <c r="L2341" s="173">
        <v>41567</v>
      </c>
      <c r="M2341" s="50">
        <f t="shared" si="127"/>
        <v>12</v>
      </c>
      <c r="N2341" s="50" t="s">
        <v>2</v>
      </c>
      <c r="O2341" s="74">
        <f>1.4/2</f>
        <v>0.7</v>
      </c>
      <c r="P2341" s="50">
        <v>4.6500000000000004</v>
      </c>
      <c r="Q2341" s="74">
        <v>6.72</v>
      </c>
      <c r="R2341" s="50">
        <v>22</v>
      </c>
      <c r="S2341" s="74">
        <f>5/2</f>
        <v>2.5</v>
      </c>
      <c r="T2341" s="50">
        <v>0.17</v>
      </c>
      <c r="U2341" s="131">
        <v>0.63</v>
      </c>
      <c r="V2341" s="50">
        <v>0.17</v>
      </c>
      <c r="W2341" s="74">
        <v>1.7000000000000001E-2</v>
      </c>
      <c r="X2341" s="50">
        <v>0.16900000000000001</v>
      </c>
      <c r="Y2341" s="74">
        <f>0.002/2</f>
        <v>1E-3</v>
      </c>
      <c r="Z2341" s="165"/>
    </row>
    <row r="2342" spans="1:40" ht="15" customHeight="1">
      <c r="A2342" s="41" t="s">
        <v>183</v>
      </c>
      <c r="B2342" s="402" t="s">
        <v>3695</v>
      </c>
      <c r="C2342" s="113" t="s">
        <v>3695</v>
      </c>
      <c r="D2342" s="393" t="s">
        <v>861</v>
      </c>
      <c r="E2342" s="394" t="s">
        <v>862</v>
      </c>
      <c r="F2342" s="401"/>
      <c r="G2342" s="405" t="s">
        <v>868</v>
      </c>
      <c r="H2342" s="113">
        <v>3672</v>
      </c>
      <c r="I2342" s="50" t="s">
        <v>2</v>
      </c>
      <c r="J2342" s="48" t="s">
        <v>869</v>
      </c>
      <c r="K2342" s="51">
        <v>41402</v>
      </c>
      <c r="L2342" s="173">
        <v>41384</v>
      </c>
      <c r="M2342" s="50">
        <f t="shared" si="127"/>
        <v>18</v>
      </c>
      <c r="N2342" s="50" t="s">
        <v>2</v>
      </c>
      <c r="O2342" s="74">
        <f>1.6/2</f>
        <v>0.8</v>
      </c>
      <c r="P2342" s="50">
        <v>5.95</v>
      </c>
      <c r="Q2342" s="74">
        <v>7.29</v>
      </c>
      <c r="R2342" s="50">
        <v>200</v>
      </c>
      <c r="S2342" s="74">
        <v>430</v>
      </c>
      <c r="T2342" s="50">
        <v>1.1299999999999999</v>
      </c>
      <c r="U2342" s="131">
        <v>7.98</v>
      </c>
      <c r="V2342" s="50">
        <v>0.96</v>
      </c>
      <c r="W2342" s="74">
        <v>0.27300000000000002</v>
      </c>
      <c r="X2342" s="50">
        <v>2.2000000000000002</v>
      </c>
      <c r="Y2342" s="74">
        <v>0.126</v>
      </c>
      <c r="Z2342" s="165">
        <v>1</v>
      </c>
      <c r="AA2342" s="271">
        <v>1</v>
      </c>
      <c r="AB2342" s="114">
        <v>76</v>
      </c>
      <c r="AC2342" s="50">
        <v>785</v>
      </c>
      <c r="AD2342" s="271">
        <v>1</v>
      </c>
    </row>
    <row r="2343" spans="1:40" ht="15" customHeight="1">
      <c r="A2343" s="41" t="s">
        <v>183</v>
      </c>
      <c r="B2343" s="402" t="s">
        <v>3695</v>
      </c>
      <c r="C2343" s="113" t="s">
        <v>3695</v>
      </c>
      <c r="D2343" s="393" t="s">
        <v>861</v>
      </c>
      <c r="E2343" s="394" t="s">
        <v>862</v>
      </c>
      <c r="F2343" s="401"/>
      <c r="G2343" s="405" t="s">
        <v>868</v>
      </c>
      <c r="H2343" s="113">
        <v>3672</v>
      </c>
      <c r="I2343" s="50" t="s">
        <v>2</v>
      </c>
      <c r="J2343" s="48" t="s">
        <v>870</v>
      </c>
      <c r="K2343" s="51">
        <v>41402</v>
      </c>
      <c r="L2343" s="173">
        <v>41384</v>
      </c>
      <c r="M2343" s="50">
        <f t="shared" si="127"/>
        <v>18</v>
      </c>
      <c r="N2343" s="50" t="s">
        <v>2</v>
      </c>
      <c r="O2343" s="74">
        <v>6.6</v>
      </c>
      <c r="P2343" s="50">
        <v>5.95</v>
      </c>
      <c r="Q2343" s="74">
        <v>6.98</v>
      </c>
      <c r="R2343" s="50">
        <v>327</v>
      </c>
      <c r="S2343" s="74">
        <v>390</v>
      </c>
      <c r="T2343" s="50">
        <v>0.87</v>
      </c>
      <c r="U2343" s="131">
        <v>7.45</v>
      </c>
      <c r="V2343" s="50">
        <v>0.5</v>
      </c>
      <c r="W2343" s="74">
        <v>0.30499999999999999</v>
      </c>
      <c r="X2343" s="50">
        <v>1.87</v>
      </c>
      <c r="Y2343" s="74">
        <v>0.17399999999999999</v>
      </c>
      <c r="Z2343" s="165">
        <v>1</v>
      </c>
      <c r="AA2343" s="271">
        <v>1</v>
      </c>
      <c r="AB2343" s="114">
        <v>30</v>
      </c>
      <c r="AC2343" s="50">
        <v>200</v>
      </c>
      <c r="AD2343" s="271">
        <v>0.95</v>
      </c>
    </row>
    <row r="2344" spans="1:40" ht="15" customHeight="1">
      <c r="A2344" s="41" t="s">
        <v>183</v>
      </c>
      <c r="B2344" s="402" t="s">
        <v>3695</v>
      </c>
      <c r="C2344" s="113" t="s">
        <v>3695</v>
      </c>
      <c r="D2344" s="393" t="s">
        <v>861</v>
      </c>
      <c r="E2344" s="394" t="s">
        <v>862</v>
      </c>
      <c r="F2344" s="401"/>
      <c r="G2344" s="405" t="s">
        <v>868</v>
      </c>
      <c r="H2344" s="113">
        <v>3672</v>
      </c>
      <c r="I2344" s="50" t="s">
        <v>2</v>
      </c>
      <c r="J2344" s="48" t="s">
        <v>871</v>
      </c>
      <c r="K2344" s="51">
        <v>41402</v>
      </c>
      <c r="L2344" s="173">
        <v>41384</v>
      </c>
      <c r="M2344" s="50">
        <f t="shared" si="127"/>
        <v>18</v>
      </c>
      <c r="N2344" s="50" t="s">
        <v>2</v>
      </c>
      <c r="O2344" s="74">
        <f>1.4/2</f>
        <v>0.7</v>
      </c>
      <c r="P2344" s="50">
        <v>5.95</v>
      </c>
      <c r="Q2344" s="74">
        <v>7.26</v>
      </c>
      <c r="R2344" s="50">
        <v>325</v>
      </c>
      <c r="S2344" s="74">
        <v>900</v>
      </c>
      <c r="T2344" s="50">
        <v>1.07</v>
      </c>
      <c r="U2344" s="131">
        <v>7.9</v>
      </c>
      <c r="V2344" s="50">
        <v>0.49</v>
      </c>
      <c r="W2344" s="74">
        <v>0.33700000000000002</v>
      </c>
      <c r="X2344" s="50">
        <v>0.59299999999999997</v>
      </c>
      <c r="Y2344" s="74">
        <v>8.1000000000000003E-2</v>
      </c>
      <c r="Z2344" s="165">
        <v>0.89100000000000001</v>
      </c>
      <c r="AA2344" s="271">
        <v>0.308</v>
      </c>
      <c r="AB2344" s="114">
        <v>30</v>
      </c>
      <c r="AC2344" s="50">
        <v>105</v>
      </c>
      <c r="AD2344" s="271">
        <v>0.05</v>
      </c>
    </row>
    <row r="2345" spans="1:40" ht="15" customHeight="1">
      <c r="A2345" s="41" t="s">
        <v>183</v>
      </c>
      <c r="B2345" s="402" t="s">
        <v>3695</v>
      </c>
      <c r="C2345" s="113" t="s">
        <v>3695</v>
      </c>
      <c r="D2345" s="393" t="s">
        <v>861</v>
      </c>
      <c r="E2345" s="394" t="s">
        <v>862</v>
      </c>
      <c r="F2345" s="401"/>
      <c r="G2345" s="405" t="s">
        <v>868</v>
      </c>
      <c r="H2345" s="113">
        <v>3672</v>
      </c>
      <c r="I2345" s="50" t="s">
        <v>2</v>
      </c>
      <c r="J2345" s="48" t="s">
        <v>872</v>
      </c>
      <c r="K2345" s="51">
        <v>41402</v>
      </c>
      <c r="L2345" s="173">
        <v>41384</v>
      </c>
      <c r="M2345" s="50">
        <f t="shared" si="127"/>
        <v>18</v>
      </c>
      <c r="N2345" s="50" t="s">
        <v>2</v>
      </c>
      <c r="O2345" s="74">
        <f>1.5/2</f>
        <v>0.75</v>
      </c>
      <c r="P2345" s="50">
        <v>5.95</v>
      </c>
      <c r="Q2345" s="74">
        <v>6.82</v>
      </c>
      <c r="R2345" s="50">
        <v>189</v>
      </c>
      <c r="S2345" s="74">
        <v>240</v>
      </c>
      <c r="T2345" s="50">
        <v>0.66</v>
      </c>
      <c r="U2345" s="131">
        <v>4.6900000000000004</v>
      </c>
      <c r="V2345" s="50">
        <v>0.46</v>
      </c>
      <c r="W2345" s="74">
        <v>7.2999999999999995E-2</v>
      </c>
      <c r="X2345" s="50">
        <v>0.48599999999999999</v>
      </c>
      <c r="Y2345" s="74">
        <v>5.3999999999999999E-2</v>
      </c>
      <c r="Z2345" s="165">
        <v>1</v>
      </c>
      <c r="AA2345" s="271">
        <v>0.89100000000000001</v>
      </c>
      <c r="AB2345" s="114">
        <v>22</v>
      </c>
      <c r="AC2345" s="50">
        <v>77</v>
      </c>
      <c r="AD2345" s="271">
        <v>0.4</v>
      </c>
    </row>
    <row r="2346" spans="1:40" ht="15" customHeight="1">
      <c r="A2346" s="41" t="s">
        <v>183</v>
      </c>
      <c r="B2346" s="402" t="s">
        <v>3695</v>
      </c>
      <c r="C2346" s="113" t="s">
        <v>3695</v>
      </c>
      <c r="D2346" s="393" t="s">
        <v>861</v>
      </c>
      <c r="E2346" s="394" t="s">
        <v>862</v>
      </c>
      <c r="F2346" s="401"/>
      <c r="G2346" s="405" t="s">
        <v>868</v>
      </c>
      <c r="H2346" s="113">
        <v>3672</v>
      </c>
      <c r="I2346" s="50" t="s">
        <v>2</v>
      </c>
      <c r="J2346" s="48" t="s">
        <v>869</v>
      </c>
      <c r="K2346" s="51">
        <v>41579</v>
      </c>
      <c r="L2346" s="173">
        <v>41567</v>
      </c>
      <c r="M2346" s="50">
        <f t="shared" si="127"/>
        <v>12</v>
      </c>
      <c r="N2346" s="50" t="s">
        <v>2</v>
      </c>
      <c r="O2346" s="74">
        <f>1.4/2</f>
        <v>0.7</v>
      </c>
      <c r="P2346" s="50">
        <v>4.6500000000000004</v>
      </c>
      <c r="Q2346" s="74">
        <v>7.22</v>
      </c>
      <c r="R2346" s="50">
        <v>37</v>
      </c>
      <c r="S2346" s="74">
        <v>30</v>
      </c>
      <c r="T2346" s="50">
        <v>0.21</v>
      </c>
      <c r="U2346" s="131">
        <v>2.5499999999999998</v>
      </c>
      <c r="V2346" s="50">
        <v>0.28999999999999998</v>
      </c>
      <c r="W2346" s="74">
        <v>5.3999999999999999E-2</v>
      </c>
      <c r="X2346" s="50">
        <v>0.748</v>
      </c>
      <c r="Y2346" s="74">
        <v>0.01</v>
      </c>
      <c r="Z2346" s="165"/>
    </row>
    <row r="2347" spans="1:40" ht="15" customHeight="1">
      <c r="A2347" s="41" t="s">
        <v>183</v>
      </c>
      <c r="B2347" s="402" t="s">
        <v>3695</v>
      </c>
      <c r="C2347" s="113" t="s">
        <v>3695</v>
      </c>
      <c r="D2347" s="393" t="s">
        <v>861</v>
      </c>
      <c r="E2347" s="394" t="s">
        <v>862</v>
      </c>
      <c r="F2347" s="401"/>
      <c r="G2347" s="405" t="s">
        <v>868</v>
      </c>
      <c r="H2347" s="113">
        <v>3672</v>
      </c>
      <c r="I2347" s="50" t="s">
        <v>2</v>
      </c>
      <c r="J2347" s="48" t="s">
        <v>870</v>
      </c>
      <c r="K2347" s="51">
        <v>41579</v>
      </c>
      <c r="L2347" s="173">
        <v>41567</v>
      </c>
      <c r="M2347" s="50">
        <f t="shared" si="127"/>
        <v>12</v>
      </c>
      <c r="N2347" s="50" t="s">
        <v>2</v>
      </c>
      <c r="O2347" s="74">
        <v>2</v>
      </c>
      <c r="P2347" s="50">
        <v>4.6500000000000004</v>
      </c>
      <c r="Q2347" s="74">
        <v>7.12</v>
      </c>
      <c r="R2347" s="50">
        <v>65</v>
      </c>
      <c r="S2347" s="74">
        <v>49</v>
      </c>
      <c r="T2347" s="50">
        <v>0.12</v>
      </c>
      <c r="U2347" s="131">
        <v>1.01</v>
      </c>
      <c r="V2347" s="50">
        <v>0.12</v>
      </c>
      <c r="W2347" s="74">
        <v>7.0000000000000007E-2</v>
      </c>
      <c r="X2347" s="50">
        <v>0.33600000000000002</v>
      </c>
      <c r="Y2347" s="74">
        <v>3.4000000000000002E-2</v>
      </c>
      <c r="Z2347" s="165"/>
    </row>
    <row r="2348" spans="1:40" ht="15" customHeight="1">
      <c r="A2348" s="41" t="s">
        <v>183</v>
      </c>
      <c r="B2348" s="402" t="s">
        <v>3695</v>
      </c>
      <c r="C2348" s="113" t="s">
        <v>3695</v>
      </c>
      <c r="D2348" s="393" t="s">
        <v>861</v>
      </c>
      <c r="E2348" s="394" t="s">
        <v>862</v>
      </c>
      <c r="F2348" s="401"/>
      <c r="G2348" s="405" t="s">
        <v>868</v>
      </c>
      <c r="H2348" s="113">
        <v>3672</v>
      </c>
      <c r="I2348" s="50" t="s">
        <v>2</v>
      </c>
      <c r="J2348" s="48" t="s">
        <v>871</v>
      </c>
      <c r="K2348" s="51">
        <v>41579</v>
      </c>
      <c r="L2348" s="173">
        <v>41567</v>
      </c>
      <c r="M2348" s="50">
        <f t="shared" si="127"/>
        <v>12</v>
      </c>
      <c r="N2348" s="50" t="s">
        <v>2</v>
      </c>
      <c r="O2348" s="74">
        <v>2.2000000000000002</v>
      </c>
      <c r="P2348" s="50">
        <v>4.6500000000000004</v>
      </c>
      <c r="Q2348" s="74">
        <v>6.78</v>
      </c>
      <c r="R2348" s="50">
        <v>78</v>
      </c>
      <c r="S2348" s="74">
        <v>110</v>
      </c>
      <c r="T2348" s="50">
        <v>0.18</v>
      </c>
      <c r="U2348" s="131">
        <v>1.92</v>
      </c>
      <c r="V2348" s="50">
        <v>0.35</v>
      </c>
      <c r="W2348" s="74">
        <v>9.2999999999999999E-2</v>
      </c>
      <c r="X2348" s="50">
        <v>0.253</v>
      </c>
      <c r="Y2348" s="74">
        <v>2.5999999999999999E-2</v>
      </c>
      <c r="Z2348" s="165"/>
    </row>
    <row r="2349" spans="1:40" ht="15" customHeight="1">
      <c r="A2349" s="41" t="s">
        <v>183</v>
      </c>
      <c r="B2349" s="402" t="s">
        <v>3695</v>
      </c>
      <c r="C2349" s="113" t="s">
        <v>3695</v>
      </c>
      <c r="D2349" s="393" t="s">
        <v>861</v>
      </c>
      <c r="E2349" s="394" t="s">
        <v>862</v>
      </c>
      <c r="F2349" s="401"/>
      <c r="G2349" s="405" t="s">
        <v>868</v>
      </c>
      <c r="H2349" s="113">
        <v>3672</v>
      </c>
      <c r="I2349" s="50" t="s">
        <v>2</v>
      </c>
      <c r="J2349" s="48" t="s">
        <v>872</v>
      </c>
      <c r="K2349" s="51">
        <v>41579</v>
      </c>
      <c r="L2349" s="173">
        <v>41567</v>
      </c>
      <c r="M2349" s="50">
        <f t="shared" si="127"/>
        <v>12</v>
      </c>
      <c r="N2349" s="50" t="s">
        <v>2</v>
      </c>
      <c r="O2349" s="74">
        <f>1.4/2</f>
        <v>0.7</v>
      </c>
      <c r="P2349" s="50">
        <v>4.6500000000000004</v>
      </c>
      <c r="Q2349" s="74">
        <v>6.47</v>
      </c>
      <c r="R2349" s="50">
        <v>32</v>
      </c>
      <c r="S2349" s="74">
        <v>6</v>
      </c>
      <c r="T2349" s="50">
        <v>0.12</v>
      </c>
      <c r="U2349" s="131">
        <v>2.4</v>
      </c>
      <c r="V2349" s="50">
        <v>0.55000000000000004</v>
      </c>
      <c r="W2349" s="74">
        <v>4.1000000000000002E-2</v>
      </c>
      <c r="X2349" s="50">
        <v>0.2</v>
      </c>
      <c r="Y2349" s="74">
        <v>3.0000000000000001E-3</v>
      </c>
      <c r="Z2349" s="165"/>
    </row>
    <row r="2350" spans="1:40" ht="15" customHeight="1">
      <c r="A2350" s="41" t="s">
        <v>183</v>
      </c>
      <c r="B2350" s="385" t="s">
        <v>4293</v>
      </c>
      <c r="C2350" s="18" t="s">
        <v>4293</v>
      </c>
      <c r="D2350" s="377" t="s">
        <v>372</v>
      </c>
      <c r="E2350" s="20" t="s">
        <v>2258</v>
      </c>
      <c r="F2350" s="385"/>
      <c r="G2350" s="390" t="s">
        <v>2259</v>
      </c>
      <c r="H2350" s="6">
        <v>3471</v>
      </c>
      <c r="I2350" s="7" t="s">
        <v>2</v>
      </c>
      <c r="J2350" s="344" t="s">
        <v>3144</v>
      </c>
      <c r="K2350" s="51">
        <v>41345</v>
      </c>
      <c r="L2350" s="173">
        <v>41341</v>
      </c>
      <c r="M2350" s="50">
        <f t="shared" si="127"/>
        <v>4</v>
      </c>
      <c r="N2350" s="50" t="s">
        <v>1</v>
      </c>
      <c r="O2350" s="74">
        <f t="shared" ref="O2350:O2357" si="128">2/2</f>
        <v>1</v>
      </c>
      <c r="P2350" s="50">
        <v>6.9</v>
      </c>
      <c r="Q2350" s="74">
        <v>6.5</v>
      </c>
      <c r="R2350" s="50">
        <f>10/2</f>
        <v>5</v>
      </c>
      <c r="S2350" s="74">
        <v>90</v>
      </c>
      <c r="T2350" s="50">
        <v>0.13</v>
      </c>
      <c r="U2350" s="131">
        <v>0.54</v>
      </c>
      <c r="V2350" s="50">
        <v>0.28999999999999998</v>
      </c>
      <c r="W2350" s="74">
        <v>6.0999999999999999E-2</v>
      </c>
      <c r="X2350" s="50">
        <v>0.104</v>
      </c>
      <c r="Y2350" s="74">
        <f t="shared" ref="Y2350:Y2355" si="129">0.03/2</f>
        <v>1.4999999999999999E-2</v>
      </c>
      <c r="Z2350" s="165">
        <v>0.70699999999999996</v>
      </c>
      <c r="AA2350" s="271">
        <v>0.70699999999999996</v>
      </c>
      <c r="AB2350" s="114">
        <v>22</v>
      </c>
      <c r="AC2350" s="50">
        <v>315</v>
      </c>
      <c r="AD2350" s="271">
        <v>0</v>
      </c>
      <c r="AE2350" s="50">
        <v>300</v>
      </c>
      <c r="AN2350" s="114">
        <v>4.96</v>
      </c>
    </row>
    <row r="2351" spans="1:40" ht="15" customHeight="1">
      <c r="A2351" s="41" t="s">
        <v>183</v>
      </c>
      <c r="B2351" s="385" t="s">
        <v>4293</v>
      </c>
      <c r="C2351" s="18" t="s">
        <v>4293</v>
      </c>
      <c r="D2351" s="377" t="s">
        <v>372</v>
      </c>
      <c r="E2351" s="20" t="s">
        <v>2258</v>
      </c>
      <c r="F2351" s="385"/>
      <c r="G2351" s="390" t="s">
        <v>2259</v>
      </c>
      <c r="H2351" s="6">
        <v>3471</v>
      </c>
      <c r="I2351" s="7" t="s">
        <v>2</v>
      </c>
      <c r="J2351" s="344" t="s">
        <v>3145</v>
      </c>
      <c r="K2351" s="51">
        <v>41345</v>
      </c>
      <c r="L2351" s="173">
        <v>41341</v>
      </c>
      <c r="M2351" s="50">
        <f t="shared" si="127"/>
        <v>4</v>
      </c>
      <c r="N2351" s="50" t="s">
        <v>1</v>
      </c>
      <c r="O2351" s="74">
        <f t="shared" si="128"/>
        <v>1</v>
      </c>
      <c r="P2351" s="50">
        <v>6.9</v>
      </c>
      <c r="Q2351" s="74">
        <v>5.2</v>
      </c>
      <c r="R2351" s="50">
        <f>10/2</f>
        <v>5</v>
      </c>
      <c r="S2351" s="74">
        <f>1/2</f>
        <v>0.5</v>
      </c>
      <c r="T2351" s="50">
        <f>0.05/2</f>
        <v>2.5000000000000001E-2</v>
      </c>
      <c r="U2351" s="131">
        <v>0.33</v>
      </c>
      <c r="V2351" s="50">
        <v>0.12</v>
      </c>
      <c r="W2351" s="74">
        <v>2.3E-2</v>
      </c>
      <c r="X2351" s="50">
        <f>0.03/2</f>
        <v>1.4999999999999999E-2</v>
      </c>
      <c r="Y2351" s="74">
        <f t="shared" si="129"/>
        <v>1.4999999999999999E-2</v>
      </c>
      <c r="Z2351" s="165">
        <v>0.35399999999999998</v>
      </c>
      <c r="AA2351" s="271">
        <v>0.35399999999999998</v>
      </c>
      <c r="AB2351" s="114">
        <f>2/2</f>
        <v>1</v>
      </c>
      <c r="AC2351" s="50">
        <v>12</v>
      </c>
      <c r="AD2351" s="271">
        <v>0</v>
      </c>
      <c r="AE2351" s="50">
        <f>50/2</f>
        <v>25</v>
      </c>
      <c r="AN2351" s="114">
        <v>0.14000000000000001</v>
      </c>
    </row>
    <row r="2352" spans="1:40" ht="15" customHeight="1">
      <c r="A2352" s="41" t="s">
        <v>183</v>
      </c>
      <c r="B2352" s="385" t="s">
        <v>4293</v>
      </c>
      <c r="C2352" s="18" t="s">
        <v>4293</v>
      </c>
      <c r="D2352" s="377" t="s">
        <v>372</v>
      </c>
      <c r="E2352" s="20" t="s">
        <v>2258</v>
      </c>
      <c r="F2352" s="385"/>
      <c r="G2352" s="390" t="s">
        <v>2259</v>
      </c>
      <c r="H2352" s="6">
        <v>3471</v>
      </c>
      <c r="I2352" s="7" t="s">
        <v>2</v>
      </c>
      <c r="J2352" s="344" t="s">
        <v>3144</v>
      </c>
      <c r="K2352" s="51">
        <v>41578</v>
      </c>
      <c r="L2352" s="173">
        <v>41539</v>
      </c>
      <c r="M2352" s="50">
        <f t="shared" si="127"/>
        <v>39</v>
      </c>
      <c r="N2352" s="50" t="s">
        <v>2</v>
      </c>
      <c r="O2352" s="74">
        <f t="shared" si="128"/>
        <v>1</v>
      </c>
      <c r="P2352" s="50">
        <v>6.8</v>
      </c>
      <c r="Q2352" s="74">
        <v>5.4</v>
      </c>
      <c r="R2352" s="50">
        <v>24</v>
      </c>
      <c r="S2352" s="74">
        <v>8</v>
      </c>
      <c r="T2352" s="50">
        <v>0.18</v>
      </c>
      <c r="U2352" s="131">
        <v>1.89</v>
      </c>
      <c r="V2352" s="50">
        <v>0.93</v>
      </c>
      <c r="W2352" s="74">
        <v>0.20100000000000001</v>
      </c>
      <c r="X2352" s="50">
        <v>0.11700000000000001</v>
      </c>
      <c r="Y2352" s="74">
        <f t="shared" si="129"/>
        <v>1.4999999999999999E-2</v>
      </c>
      <c r="Z2352" s="165"/>
    </row>
    <row r="2353" spans="1:30" ht="15" customHeight="1">
      <c r="A2353" s="41" t="s">
        <v>183</v>
      </c>
      <c r="B2353" s="385" t="s">
        <v>4293</v>
      </c>
      <c r="C2353" s="18" t="s">
        <v>4293</v>
      </c>
      <c r="D2353" s="377" t="s">
        <v>372</v>
      </c>
      <c r="E2353" s="20" t="s">
        <v>2258</v>
      </c>
      <c r="F2353" s="385"/>
      <c r="G2353" s="390" t="s">
        <v>2259</v>
      </c>
      <c r="H2353" s="6">
        <v>3471</v>
      </c>
      <c r="I2353" s="7" t="s">
        <v>2</v>
      </c>
      <c r="J2353" s="344" t="s">
        <v>3145</v>
      </c>
      <c r="K2353" s="51">
        <v>41578</v>
      </c>
      <c r="L2353" s="173">
        <v>41539</v>
      </c>
      <c r="M2353" s="50">
        <f t="shared" si="127"/>
        <v>39</v>
      </c>
      <c r="N2353" s="50" t="s">
        <v>2</v>
      </c>
      <c r="O2353" s="74">
        <f t="shared" si="128"/>
        <v>1</v>
      </c>
      <c r="P2353" s="50">
        <v>6.8</v>
      </c>
      <c r="Q2353" s="74">
        <v>5.4</v>
      </c>
      <c r="R2353" s="50">
        <v>39</v>
      </c>
      <c r="S2353" s="74">
        <v>7</v>
      </c>
      <c r="T2353" s="50">
        <v>0.15</v>
      </c>
      <c r="U2353" s="131">
        <v>2.71</v>
      </c>
      <c r="V2353" s="50">
        <v>0.68</v>
      </c>
      <c r="W2353" s="74">
        <v>3.1E-2</v>
      </c>
      <c r="X2353" s="50">
        <v>0.17699999999999999</v>
      </c>
      <c r="Y2353" s="74">
        <f t="shared" si="129"/>
        <v>1.4999999999999999E-2</v>
      </c>
      <c r="Z2353" s="165"/>
    </row>
    <row r="2354" spans="1:30" ht="15" customHeight="1">
      <c r="A2354" s="41" t="s">
        <v>183</v>
      </c>
      <c r="B2354" s="402" t="s">
        <v>442</v>
      </c>
      <c r="C2354" s="113" t="s">
        <v>442</v>
      </c>
      <c r="D2354" s="393" t="s">
        <v>443</v>
      </c>
      <c r="E2354" s="394" t="s">
        <v>1852</v>
      </c>
      <c r="G2354" s="405" t="s">
        <v>444</v>
      </c>
      <c r="H2354" s="49">
        <v>2689</v>
      </c>
      <c r="I2354" s="50" t="s">
        <v>2</v>
      </c>
      <c r="J2354" s="76" t="s">
        <v>249</v>
      </c>
      <c r="K2354" s="51">
        <v>41554</v>
      </c>
      <c r="L2354" s="173">
        <v>41538</v>
      </c>
      <c r="M2354" s="50">
        <f t="shared" si="127"/>
        <v>16</v>
      </c>
      <c r="N2354" s="50" t="s">
        <v>2</v>
      </c>
      <c r="O2354" s="74">
        <f t="shared" si="128"/>
        <v>1</v>
      </c>
      <c r="P2354" s="50">
        <v>7</v>
      </c>
      <c r="Q2354" s="74">
        <v>7.5</v>
      </c>
      <c r="R2354" s="50">
        <v>33</v>
      </c>
      <c r="S2354" s="74">
        <v>10</v>
      </c>
      <c r="T2354" s="50">
        <f>0.05/2</f>
        <v>2.5000000000000001E-2</v>
      </c>
      <c r="U2354" s="131">
        <v>6.69</v>
      </c>
      <c r="V2354" s="50">
        <v>0.47</v>
      </c>
      <c r="W2354" s="74">
        <f>0.01/2</f>
        <v>5.0000000000000001E-3</v>
      </c>
      <c r="X2354" s="50">
        <v>6.3E-2</v>
      </c>
      <c r="Y2354" s="74">
        <f t="shared" si="129"/>
        <v>1.4999999999999999E-2</v>
      </c>
      <c r="Z2354" s="165"/>
    </row>
    <row r="2355" spans="1:30" ht="15" customHeight="1">
      <c r="A2355" s="41" t="s">
        <v>183</v>
      </c>
      <c r="B2355" s="402" t="s">
        <v>442</v>
      </c>
      <c r="C2355" s="113" t="s">
        <v>442</v>
      </c>
      <c r="D2355" s="393" t="s">
        <v>443</v>
      </c>
      <c r="E2355" s="394" t="s">
        <v>1852</v>
      </c>
      <c r="G2355" s="405" t="s">
        <v>444</v>
      </c>
      <c r="H2355" s="49">
        <v>2689</v>
      </c>
      <c r="I2355" s="50" t="s">
        <v>2</v>
      </c>
      <c r="J2355" s="76" t="s">
        <v>445</v>
      </c>
      <c r="K2355" s="51">
        <v>41554</v>
      </c>
      <c r="L2355" s="173">
        <v>41538</v>
      </c>
      <c r="M2355" s="50">
        <f t="shared" si="127"/>
        <v>16</v>
      </c>
      <c r="N2355" s="50" t="s">
        <v>2</v>
      </c>
      <c r="O2355" s="74">
        <f t="shared" si="128"/>
        <v>1</v>
      </c>
      <c r="P2355" s="50">
        <v>7.5</v>
      </c>
      <c r="Q2355" s="74">
        <v>6.3</v>
      </c>
      <c r="R2355" s="50">
        <v>13</v>
      </c>
      <c r="S2355" s="74">
        <v>6</v>
      </c>
      <c r="T2355" s="50">
        <f>0.05/2</f>
        <v>2.5000000000000001E-2</v>
      </c>
      <c r="U2355" s="131">
        <v>1.04</v>
      </c>
      <c r="V2355" s="50">
        <v>0.27</v>
      </c>
      <c r="W2355" s="74">
        <f>0.01/2</f>
        <v>5.0000000000000001E-3</v>
      </c>
      <c r="X2355" s="50">
        <v>9.2999999999999999E-2</v>
      </c>
      <c r="Y2355" s="74">
        <f t="shared" si="129"/>
        <v>1.4999999999999999E-2</v>
      </c>
      <c r="Z2355" s="165"/>
    </row>
    <row r="2356" spans="1:30" ht="15" customHeight="1">
      <c r="A2356" s="41" t="s">
        <v>183</v>
      </c>
      <c r="B2356" s="402" t="s">
        <v>5296</v>
      </c>
      <c r="D2356" s="393" t="s">
        <v>5297</v>
      </c>
      <c r="G2356" s="405" t="s">
        <v>5295</v>
      </c>
      <c r="H2356" s="74">
        <v>3315</v>
      </c>
      <c r="I2356" s="50" t="s">
        <v>2</v>
      </c>
      <c r="J2356" s="339" t="s">
        <v>5321</v>
      </c>
      <c r="K2356" s="51">
        <v>40843</v>
      </c>
      <c r="L2356" s="173"/>
      <c r="N2356" s="50" t="s">
        <v>2</v>
      </c>
      <c r="O2356" s="74">
        <f t="shared" si="128"/>
        <v>1</v>
      </c>
      <c r="P2356" s="50">
        <v>5.57</v>
      </c>
      <c r="Q2356" s="74">
        <v>5.0999999999999996</v>
      </c>
      <c r="R2356" s="50">
        <v>12</v>
      </c>
      <c r="S2356" s="74">
        <v>2</v>
      </c>
      <c r="T2356" s="50">
        <v>0.02</v>
      </c>
      <c r="U2356" s="131">
        <f t="shared" ref="U2356:U2361" si="130">0.5/2</f>
        <v>0.25</v>
      </c>
      <c r="V2356" s="50">
        <v>0.2</v>
      </c>
      <c r="W2356" s="74">
        <v>1.4999999999999999E-2</v>
      </c>
      <c r="X2356" s="50">
        <v>0.08</v>
      </c>
      <c r="Y2356" s="74">
        <v>2.5000000000000001E-3</v>
      </c>
      <c r="Z2356" s="165">
        <v>0.35399999999999998</v>
      </c>
      <c r="AA2356" s="271">
        <v>0.27700000000000002</v>
      </c>
      <c r="AB2356" s="114">
        <v>0</v>
      </c>
      <c r="AC2356" s="50">
        <v>10</v>
      </c>
      <c r="AD2356" s="271">
        <v>0</v>
      </c>
    </row>
    <row r="2357" spans="1:30" ht="15" customHeight="1">
      <c r="A2357" s="41" t="s">
        <v>183</v>
      </c>
      <c r="B2357" s="402" t="s">
        <v>5296</v>
      </c>
      <c r="D2357" s="393" t="s">
        <v>5297</v>
      </c>
      <c r="G2357" s="405" t="s">
        <v>5295</v>
      </c>
      <c r="H2357" s="74">
        <v>3315</v>
      </c>
      <c r="I2357" s="50" t="s">
        <v>2</v>
      </c>
      <c r="J2357" s="339" t="s">
        <v>2100</v>
      </c>
      <c r="K2357" s="51">
        <v>40843</v>
      </c>
      <c r="L2357" s="173"/>
      <c r="N2357" s="50" t="s">
        <v>2</v>
      </c>
      <c r="O2357" s="74">
        <f t="shared" si="128"/>
        <v>1</v>
      </c>
      <c r="P2357" s="50">
        <v>5.57</v>
      </c>
      <c r="Q2357" s="74">
        <v>5.9</v>
      </c>
      <c r="R2357" s="50">
        <v>19</v>
      </c>
      <c r="S2357" s="74">
        <v>7</v>
      </c>
      <c r="T2357" s="50">
        <v>1.2999999999999999E-2</v>
      </c>
      <c r="U2357" s="131">
        <f t="shared" si="130"/>
        <v>0.25</v>
      </c>
      <c r="V2357" s="50">
        <v>0.45</v>
      </c>
      <c r="W2357" s="74">
        <v>1.2999999999999999E-2</v>
      </c>
      <c r="X2357" s="50">
        <v>9.8000000000000004E-2</v>
      </c>
      <c r="Y2357" s="74">
        <v>4.7999999999999996E-3</v>
      </c>
      <c r="Z2357" s="165">
        <v>0.70699999999999996</v>
      </c>
      <c r="AA2357" s="271">
        <v>0.70699999999999996</v>
      </c>
      <c r="AB2357" s="114">
        <v>10</v>
      </c>
      <c r="AC2357" s="50">
        <v>29</v>
      </c>
      <c r="AD2357" s="271">
        <v>0</v>
      </c>
    </row>
    <row r="2358" spans="1:30" ht="15" customHeight="1">
      <c r="A2358" s="41" t="s">
        <v>183</v>
      </c>
      <c r="B2358" s="402" t="s">
        <v>5296</v>
      </c>
      <c r="D2358" s="393" t="s">
        <v>5297</v>
      </c>
      <c r="G2358" s="405" t="s">
        <v>5295</v>
      </c>
      <c r="H2358" s="74">
        <v>3315</v>
      </c>
      <c r="I2358" s="50" t="s">
        <v>2</v>
      </c>
      <c r="J2358" s="339" t="s">
        <v>5321</v>
      </c>
      <c r="K2358" s="51">
        <v>41192</v>
      </c>
      <c r="L2358" s="173"/>
      <c r="N2358" s="50" t="s">
        <v>2</v>
      </c>
      <c r="O2358" s="74">
        <f>1/2</f>
        <v>0.5</v>
      </c>
      <c r="P2358" s="50">
        <v>5.5</v>
      </c>
      <c r="Q2358" s="74">
        <v>6.1</v>
      </c>
      <c r="R2358" s="50">
        <v>12</v>
      </c>
      <c r="S2358" s="74">
        <v>7</v>
      </c>
      <c r="T2358" s="50">
        <v>1.4E-2</v>
      </c>
      <c r="U2358" s="131">
        <f t="shared" si="130"/>
        <v>0.25</v>
      </c>
      <c r="V2358" s="50">
        <v>0.13</v>
      </c>
      <c r="W2358" s="74">
        <v>4.7000000000000002E-3</v>
      </c>
      <c r="X2358" s="50">
        <v>0.55000000000000004</v>
      </c>
      <c r="Y2358" s="74">
        <v>2E-3</v>
      </c>
      <c r="Z2358" s="165">
        <v>0.70699999999999996</v>
      </c>
      <c r="AA2358" s="271">
        <v>0.308</v>
      </c>
      <c r="AB2358" s="114">
        <v>8</v>
      </c>
      <c r="AC2358" s="50">
        <v>107</v>
      </c>
      <c r="AD2358" s="271">
        <v>0</v>
      </c>
    </row>
    <row r="2359" spans="1:30" ht="15" customHeight="1">
      <c r="A2359" s="41" t="s">
        <v>183</v>
      </c>
      <c r="B2359" s="402" t="s">
        <v>5296</v>
      </c>
      <c r="D2359" s="393" t="s">
        <v>5297</v>
      </c>
      <c r="G2359" s="405" t="s">
        <v>5295</v>
      </c>
      <c r="H2359" s="74">
        <v>3315</v>
      </c>
      <c r="I2359" s="50" t="s">
        <v>2</v>
      </c>
      <c r="J2359" s="339" t="s">
        <v>2100</v>
      </c>
      <c r="K2359" s="51">
        <v>41192</v>
      </c>
      <c r="L2359" s="173"/>
      <c r="N2359" s="50" t="s">
        <v>2</v>
      </c>
      <c r="O2359" s="74">
        <v>2.2000000000000002</v>
      </c>
      <c r="P2359" s="50">
        <v>5.5</v>
      </c>
      <c r="Q2359" s="74">
        <v>5.6</v>
      </c>
      <c r="R2359" s="50">
        <v>24</v>
      </c>
      <c r="S2359" s="74">
        <v>2</v>
      </c>
      <c r="T2359" s="50">
        <v>9.6000000000000002E-2</v>
      </c>
      <c r="U2359" s="131">
        <f t="shared" si="130"/>
        <v>0.25</v>
      </c>
      <c r="V2359" s="50">
        <v>0.25</v>
      </c>
      <c r="W2359" s="74">
        <v>4.2000000000000003E-2</v>
      </c>
      <c r="X2359" s="50">
        <v>3.3</v>
      </c>
      <c r="Y2359" s="74">
        <f>0.002/2</f>
        <v>1E-3</v>
      </c>
      <c r="Z2359" s="165">
        <v>6.6600000000000006E-2</v>
      </c>
      <c r="AA2359" s="271">
        <v>6.25E-2</v>
      </c>
      <c r="AB2359" s="114">
        <v>10</v>
      </c>
      <c r="AC2359" s="50">
        <v>43</v>
      </c>
      <c r="AD2359" s="271">
        <v>0</v>
      </c>
    </row>
    <row r="2360" spans="1:30" ht="15" customHeight="1">
      <c r="A2360" s="41" t="s">
        <v>183</v>
      </c>
      <c r="B2360" s="402" t="s">
        <v>5296</v>
      </c>
      <c r="D2360" s="393" t="s">
        <v>5297</v>
      </c>
      <c r="G2360" s="405" t="s">
        <v>5295</v>
      </c>
      <c r="H2360" s="74">
        <v>3315</v>
      </c>
      <c r="I2360" s="50" t="s">
        <v>2</v>
      </c>
      <c r="J2360" s="339" t="s">
        <v>2100</v>
      </c>
      <c r="K2360" s="51">
        <v>41332</v>
      </c>
      <c r="L2360" s="173"/>
      <c r="N2360" s="50" t="s">
        <v>2</v>
      </c>
      <c r="O2360" s="74">
        <f>2/2</f>
        <v>1</v>
      </c>
      <c r="P2360" s="50">
        <v>5</v>
      </c>
      <c r="Q2360" s="74">
        <v>6</v>
      </c>
      <c r="R2360" s="50">
        <v>15</v>
      </c>
      <c r="S2360" s="74">
        <v>2</v>
      </c>
      <c r="T2360" s="50">
        <v>5.0999999999999997E-2</v>
      </c>
      <c r="U2360" s="131">
        <f t="shared" si="130"/>
        <v>0.25</v>
      </c>
      <c r="V2360" s="50">
        <v>0.14000000000000001</v>
      </c>
      <c r="W2360" s="74">
        <v>2.1000000000000001E-2</v>
      </c>
      <c r="X2360" s="50">
        <v>0.15</v>
      </c>
      <c r="Y2360" s="74">
        <v>4.0000000000000001E-3</v>
      </c>
      <c r="Z2360" s="165">
        <v>0.59499999999999997</v>
      </c>
      <c r="AA2360" s="271">
        <v>0.46700000000000003</v>
      </c>
      <c r="AB2360" s="114">
        <v>6</v>
      </c>
      <c r="AC2360" s="50">
        <v>44</v>
      </c>
      <c r="AD2360" s="271">
        <v>0</v>
      </c>
    </row>
    <row r="2361" spans="1:30" ht="15" customHeight="1">
      <c r="A2361" s="41" t="s">
        <v>183</v>
      </c>
      <c r="B2361" s="402" t="s">
        <v>5296</v>
      </c>
      <c r="D2361" s="393" t="s">
        <v>5297</v>
      </c>
      <c r="G2361" s="405" t="s">
        <v>5295</v>
      </c>
      <c r="H2361" s="74">
        <v>3315</v>
      </c>
      <c r="I2361" s="50" t="s">
        <v>2</v>
      </c>
      <c r="J2361" s="339" t="s">
        <v>5329</v>
      </c>
      <c r="K2361" s="51">
        <v>41332</v>
      </c>
      <c r="L2361" s="173"/>
      <c r="N2361" s="50" t="s">
        <v>2</v>
      </c>
      <c r="O2361" s="74">
        <f>2/2</f>
        <v>1</v>
      </c>
      <c r="P2361" s="50">
        <v>5</v>
      </c>
      <c r="Q2361" s="74">
        <v>4.5</v>
      </c>
      <c r="R2361" s="50">
        <v>14</v>
      </c>
      <c r="S2361" s="74">
        <f>2/2</f>
        <v>1</v>
      </c>
      <c r="T2361" s="50">
        <f>0.01/2</f>
        <v>5.0000000000000001E-3</v>
      </c>
      <c r="U2361" s="131">
        <f t="shared" si="130"/>
        <v>0.25</v>
      </c>
      <c r="V2361" s="50">
        <v>6.3E-2</v>
      </c>
      <c r="W2361" s="74">
        <v>1.2E-2</v>
      </c>
      <c r="X2361" s="50">
        <v>0.23</v>
      </c>
      <c r="Y2361" s="74">
        <f>0.002/2</f>
        <v>1E-3</v>
      </c>
      <c r="Z2361" s="165">
        <v>0.59499999999999997</v>
      </c>
      <c r="AA2361" s="271">
        <v>0.46700000000000003</v>
      </c>
    </row>
    <row r="2362" spans="1:30" ht="15" customHeight="1">
      <c r="A2362" s="41" t="s">
        <v>183</v>
      </c>
      <c r="B2362" s="402" t="s">
        <v>5296</v>
      </c>
      <c r="D2362" s="393" t="s">
        <v>5297</v>
      </c>
      <c r="G2362" s="405" t="s">
        <v>5295</v>
      </c>
      <c r="H2362" s="74">
        <v>3315</v>
      </c>
      <c r="I2362" s="50" t="s">
        <v>2</v>
      </c>
      <c r="J2362" s="339" t="s">
        <v>2100</v>
      </c>
      <c r="K2362" s="51">
        <v>41585</v>
      </c>
      <c r="L2362" s="173"/>
      <c r="N2362" s="50" t="s">
        <v>2</v>
      </c>
      <c r="W2362" s="74">
        <v>1.7999999999999999E-2</v>
      </c>
      <c r="X2362" s="50">
        <v>0.13</v>
      </c>
      <c r="Y2362" s="74">
        <f>0.002/2</f>
        <v>1E-3</v>
      </c>
      <c r="Z2362" s="165"/>
    </row>
    <row r="2363" spans="1:30" ht="15" customHeight="1">
      <c r="A2363" s="41" t="s">
        <v>183</v>
      </c>
      <c r="B2363" s="402" t="s">
        <v>5296</v>
      </c>
      <c r="D2363" s="393" t="s">
        <v>5297</v>
      </c>
      <c r="G2363" s="405" t="s">
        <v>5295</v>
      </c>
      <c r="H2363" s="74">
        <v>3315</v>
      </c>
      <c r="I2363" s="50" t="s">
        <v>2</v>
      </c>
      <c r="J2363" s="339" t="s">
        <v>5329</v>
      </c>
      <c r="K2363" s="51">
        <v>41585</v>
      </c>
      <c r="L2363" s="173"/>
      <c r="N2363" s="50" t="s">
        <v>2</v>
      </c>
      <c r="W2363" s="74">
        <v>1.2E-2</v>
      </c>
      <c r="X2363" s="50">
        <v>0.17</v>
      </c>
      <c r="Y2363" s="74">
        <f>0.002/2</f>
        <v>1E-3</v>
      </c>
      <c r="Z2363" s="165"/>
    </row>
    <row r="2364" spans="1:30" ht="15" customHeight="1">
      <c r="A2364" s="41" t="s">
        <v>183</v>
      </c>
      <c r="B2364" s="402" t="s">
        <v>4730</v>
      </c>
      <c r="C2364" s="113" t="s">
        <v>5298</v>
      </c>
      <c r="D2364" s="393" t="s">
        <v>4743</v>
      </c>
      <c r="E2364" s="394" t="s">
        <v>4732</v>
      </c>
      <c r="G2364" s="405" t="s">
        <v>4733</v>
      </c>
      <c r="H2364" s="74">
        <v>2421</v>
      </c>
      <c r="I2364" s="50" t="s">
        <v>2</v>
      </c>
      <c r="J2364" s="339" t="s">
        <v>1943</v>
      </c>
      <c r="K2364" s="51">
        <v>41555</v>
      </c>
      <c r="L2364" s="173">
        <v>41554</v>
      </c>
      <c r="M2364" s="50">
        <f>K2364-L2364</f>
        <v>1</v>
      </c>
      <c r="N2364" s="50" t="s">
        <v>2</v>
      </c>
      <c r="O2364" s="74">
        <f>3.1/2</f>
        <v>1.55</v>
      </c>
      <c r="P2364" s="50">
        <v>5.8</v>
      </c>
      <c r="Q2364" s="74">
        <v>5.74</v>
      </c>
      <c r="R2364" s="50">
        <v>13</v>
      </c>
      <c r="S2364" s="74">
        <f>5/2</f>
        <v>2.5</v>
      </c>
      <c r="T2364" s="50">
        <v>0.03</v>
      </c>
      <c r="U2364" s="131">
        <v>0.38</v>
      </c>
      <c r="V2364" s="50">
        <f>0.01/2</f>
        <v>5.0000000000000001E-3</v>
      </c>
      <c r="W2364" s="74">
        <f>0.005/2</f>
        <v>2.5000000000000001E-3</v>
      </c>
      <c r="X2364" s="50">
        <v>7.0000000000000001E-3</v>
      </c>
      <c r="Y2364" s="74">
        <f>0.002/2</f>
        <v>1E-3</v>
      </c>
      <c r="Z2364" s="165">
        <v>1</v>
      </c>
      <c r="AA2364" s="271">
        <v>1</v>
      </c>
      <c r="AB2364" s="114">
        <v>20</v>
      </c>
      <c r="AC2364" s="50">
        <v>105</v>
      </c>
      <c r="AD2364" s="271">
        <v>0.5</v>
      </c>
    </row>
    <row r="2365" spans="1:30" ht="15" customHeight="1">
      <c r="A2365" s="41" t="s">
        <v>183</v>
      </c>
      <c r="B2365" s="402" t="s">
        <v>4730</v>
      </c>
      <c r="C2365" s="113" t="s">
        <v>5298</v>
      </c>
      <c r="D2365" s="393" t="s">
        <v>4743</v>
      </c>
      <c r="E2365" s="394" t="s">
        <v>4732</v>
      </c>
      <c r="G2365" s="405" t="s">
        <v>4733</v>
      </c>
      <c r="H2365" s="74">
        <v>2421</v>
      </c>
      <c r="I2365" s="50" t="s">
        <v>2</v>
      </c>
      <c r="J2365" s="339" t="s">
        <v>1943</v>
      </c>
      <c r="K2365" s="51">
        <v>41597</v>
      </c>
      <c r="L2365" s="173">
        <v>41595</v>
      </c>
      <c r="M2365" s="50">
        <f>K2365-L2365</f>
        <v>2</v>
      </c>
      <c r="N2365" s="50" t="s">
        <v>2</v>
      </c>
      <c r="O2365" s="74">
        <f>2.2/2</f>
        <v>1.1000000000000001</v>
      </c>
      <c r="P2365" s="50">
        <v>2.9</v>
      </c>
      <c r="Q2365" s="74">
        <v>5.91</v>
      </c>
      <c r="R2365" s="50">
        <v>32</v>
      </c>
      <c r="S2365" s="74">
        <f>5/2</f>
        <v>2.5</v>
      </c>
      <c r="T2365" s="50">
        <v>0.04</v>
      </c>
      <c r="U2365" s="131">
        <v>1.49</v>
      </c>
      <c r="V2365" s="50">
        <f>0.01/2</f>
        <v>5.0000000000000001E-3</v>
      </c>
      <c r="W2365" s="74">
        <v>1E-3</v>
      </c>
      <c r="X2365" s="50">
        <v>5.0000000000000001E-3</v>
      </c>
      <c r="Y2365" s="74">
        <f>0.002/2</f>
        <v>1E-3</v>
      </c>
      <c r="Z2365" s="165"/>
    </row>
    <row r="2366" spans="1:30" ht="15" customHeight="1">
      <c r="A2366" s="41" t="s">
        <v>183</v>
      </c>
      <c r="B2366" s="402" t="s">
        <v>693</v>
      </c>
      <c r="C2366" s="113" t="s">
        <v>1894</v>
      </c>
      <c r="D2366" s="393" t="s">
        <v>262</v>
      </c>
      <c r="E2366" s="394" t="s">
        <v>694</v>
      </c>
      <c r="G2366" s="405" t="s">
        <v>695</v>
      </c>
      <c r="H2366" s="74">
        <v>3471</v>
      </c>
      <c r="I2366" s="50" t="s">
        <v>2</v>
      </c>
      <c r="J2366" s="339" t="s">
        <v>696</v>
      </c>
      <c r="K2366" s="51">
        <v>41579</v>
      </c>
      <c r="L2366" s="173">
        <v>41564</v>
      </c>
      <c r="M2366" s="50">
        <f>K2366-L2366</f>
        <v>15</v>
      </c>
      <c r="N2366" s="50" t="s">
        <v>2</v>
      </c>
      <c r="O2366" s="74">
        <v>3.2</v>
      </c>
      <c r="Q2366" s="74">
        <v>6.99</v>
      </c>
      <c r="R2366" s="50">
        <v>35.299999999999997</v>
      </c>
      <c r="S2366" s="74">
        <f>1/2</f>
        <v>0.5</v>
      </c>
      <c r="T2366" s="50">
        <v>0.08</v>
      </c>
      <c r="U2366" s="131">
        <v>1.7</v>
      </c>
      <c r="V2366" s="50">
        <v>0.8</v>
      </c>
      <c r="W2366" s="74">
        <v>0.19900000000000001</v>
      </c>
      <c r="X2366" s="50">
        <v>9.0999999999999998E-2</v>
      </c>
      <c r="Y2366" s="74">
        <v>1.4E-2</v>
      </c>
      <c r="Z2366" s="165">
        <v>6.25E-2</v>
      </c>
      <c r="AA2366" s="271">
        <v>6.25E-2</v>
      </c>
      <c r="AB2366" s="114">
        <v>21.2</v>
      </c>
      <c r="AC2366" s="50">
        <v>75</v>
      </c>
      <c r="AD2366" s="271">
        <v>0</v>
      </c>
    </row>
    <row r="2367" spans="1:30" ht="15" customHeight="1">
      <c r="A2367" s="41" t="s">
        <v>183</v>
      </c>
      <c r="B2367" s="402" t="s">
        <v>5300</v>
      </c>
      <c r="D2367" s="393" t="s">
        <v>117</v>
      </c>
      <c r="G2367" s="405" t="s">
        <v>5299</v>
      </c>
      <c r="H2367" s="74" t="s">
        <v>5301</v>
      </c>
      <c r="I2367" s="50" t="s">
        <v>1</v>
      </c>
      <c r="J2367" s="339" t="s">
        <v>1126</v>
      </c>
      <c r="K2367" s="51">
        <v>41170</v>
      </c>
      <c r="L2367" s="173"/>
      <c r="N2367" s="50" t="s">
        <v>2</v>
      </c>
      <c r="O2367" s="74">
        <f t="shared" ref="O2367:O2372" si="131">2/2</f>
        <v>1</v>
      </c>
      <c r="Q2367" s="74">
        <v>6.5</v>
      </c>
      <c r="R2367" s="50">
        <v>41</v>
      </c>
      <c r="S2367" s="74">
        <v>40</v>
      </c>
      <c r="T2367" s="50">
        <v>0.18</v>
      </c>
      <c r="U2367" s="131">
        <v>1.24</v>
      </c>
      <c r="V2367" s="50">
        <v>0.61</v>
      </c>
      <c r="W2367" s="74">
        <v>0.26600000000000001</v>
      </c>
      <c r="X2367" s="50">
        <v>0.27300000000000002</v>
      </c>
      <c r="Y2367" s="74">
        <f>0.03/2</f>
        <v>1.4999999999999999E-2</v>
      </c>
      <c r="Z2367" s="165">
        <v>0.85599999999999998</v>
      </c>
      <c r="AA2367" s="271">
        <v>0.66</v>
      </c>
      <c r="AB2367" s="114">
        <v>9</v>
      </c>
      <c r="AC2367" s="50">
        <v>46</v>
      </c>
      <c r="AD2367" s="271">
        <v>0</v>
      </c>
    </row>
    <row r="2368" spans="1:30" ht="15" customHeight="1">
      <c r="A2368" s="41" t="s">
        <v>183</v>
      </c>
      <c r="B2368" s="402" t="s">
        <v>5300</v>
      </c>
      <c r="D2368" s="393" t="s">
        <v>117</v>
      </c>
      <c r="G2368" s="405" t="s">
        <v>5299</v>
      </c>
      <c r="H2368" s="74" t="s">
        <v>5301</v>
      </c>
      <c r="I2368" s="50" t="s">
        <v>1</v>
      </c>
      <c r="J2368" s="339" t="s">
        <v>1125</v>
      </c>
      <c r="K2368" s="51">
        <v>41170</v>
      </c>
      <c r="L2368" s="173"/>
      <c r="N2368" s="50" t="s">
        <v>2</v>
      </c>
      <c r="O2368" s="74">
        <f t="shared" si="131"/>
        <v>1</v>
      </c>
      <c r="Q2368" s="74">
        <v>4.2</v>
      </c>
      <c r="R2368" s="50">
        <v>18</v>
      </c>
      <c r="S2368" s="74">
        <v>40</v>
      </c>
      <c r="T2368" s="50">
        <v>7.0000000000000007E-2</v>
      </c>
      <c r="U2368" s="131">
        <v>1.06</v>
      </c>
      <c r="V2368" s="50">
        <v>1.69</v>
      </c>
      <c r="W2368" s="74">
        <v>0.16200000000000001</v>
      </c>
      <c r="X2368" s="50">
        <v>0.436</v>
      </c>
      <c r="Y2368" s="74">
        <v>0.03</v>
      </c>
      <c r="Z2368" s="165">
        <v>0.25900000000000001</v>
      </c>
      <c r="AA2368" s="271">
        <v>0.17699999999999999</v>
      </c>
      <c r="AB2368" s="114">
        <v>14</v>
      </c>
      <c r="AC2368" s="50">
        <v>41</v>
      </c>
      <c r="AD2368" s="271">
        <v>0</v>
      </c>
    </row>
    <row r="2369" spans="1:30" ht="15" customHeight="1">
      <c r="A2369" s="41" t="s">
        <v>183</v>
      </c>
      <c r="B2369" s="402" t="s">
        <v>5300</v>
      </c>
      <c r="D2369" s="393" t="s">
        <v>117</v>
      </c>
      <c r="G2369" s="405" t="s">
        <v>5299</v>
      </c>
      <c r="H2369" s="74" t="s">
        <v>5301</v>
      </c>
      <c r="I2369" s="50" t="s">
        <v>1</v>
      </c>
      <c r="J2369" s="339" t="s">
        <v>1125</v>
      </c>
      <c r="K2369" s="51">
        <v>41417</v>
      </c>
      <c r="L2369" s="173"/>
      <c r="N2369" s="50" t="s">
        <v>2</v>
      </c>
      <c r="O2369" s="74">
        <f t="shared" si="131"/>
        <v>1</v>
      </c>
      <c r="Q2369" s="74">
        <v>8</v>
      </c>
      <c r="R2369" s="50">
        <v>60</v>
      </c>
      <c r="S2369" s="74">
        <v>579</v>
      </c>
      <c r="T2369" s="50">
        <v>0.62</v>
      </c>
      <c r="U2369" s="131">
        <v>1.89</v>
      </c>
      <c r="V2369" s="50">
        <v>0.11</v>
      </c>
      <c r="W2369" s="74">
        <v>0.188</v>
      </c>
      <c r="X2369" s="50">
        <v>0.161</v>
      </c>
      <c r="Y2369" s="74">
        <f>0.03/2</f>
        <v>1.4999999999999999E-2</v>
      </c>
      <c r="Z2369" s="165">
        <v>1</v>
      </c>
      <c r="AA2369" s="271">
        <v>1</v>
      </c>
      <c r="AB2369" s="114">
        <v>236</v>
      </c>
      <c r="AC2369" s="50">
        <v>24</v>
      </c>
      <c r="AD2369" s="271">
        <v>1</v>
      </c>
    </row>
    <row r="2370" spans="1:30" ht="15" customHeight="1">
      <c r="A2370" s="41" t="s">
        <v>183</v>
      </c>
      <c r="B2370" s="402" t="s">
        <v>5300</v>
      </c>
      <c r="D2370" s="393" t="s">
        <v>117</v>
      </c>
      <c r="G2370" s="405" t="s">
        <v>5299</v>
      </c>
      <c r="H2370" s="74" t="s">
        <v>5301</v>
      </c>
      <c r="I2370" s="50" t="s">
        <v>1</v>
      </c>
      <c r="J2370" s="339" t="s">
        <v>1126</v>
      </c>
      <c r="K2370" s="51">
        <v>41417</v>
      </c>
      <c r="L2370" s="173"/>
      <c r="N2370" s="50" t="s">
        <v>2</v>
      </c>
      <c r="O2370" s="74">
        <f t="shared" si="131"/>
        <v>1</v>
      </c>
      <c r="Q2370" s="74">
        <v>7.3</v>
      </c>
      <c r="R2370" s="50">
        <v>101</v>
      </c>
      <c r="S2370" s="74">
        <v>685</v>
      </c>
      <c r="T2370" s="50">
        <v>0.43</v>
      </c>
      <c r="U2370" s="131">
        <v>1.88</v>
      </c>
      <c r="V2370" s="50">
        <v>0.24</v>
      </c>
      <c r="W2370" s="74">
        <v>0.43099999999999999</v>
      </c>
      <c r="X2370" s="50">
        <v>0.57199999999999995</v>
      </c>
      <c r="Y2370" s="74">
        <v>0.06</v>
      </c>
      <c r="Z2370" s="165">
        <v>1</v>
      </c>
      <c r="AA2370" s="271">
        <v>1</v>
      </c>
      <c r="AB2370" s="114">
        <v>113</v>
      </c>
      <c r="AC2370" s="50">
        <v>21</v>
      </c>
      <c r="AD2370" s="271">
        <v>1</v>
      </c>
    </row>
    <row r="2371" spans="1:30" ht="15" customHeight="1">
      <c r="A2371" s="41" t="s">
        <v>183</v>
      </c>
      <c r="B2371" s="402" t="s">
        <v>5300</v>
      </c>
      <c r="D2371" s="393" t="s">
        <v>117</v>
      </c>
      <c r="G2371" s="405" t="s">
        <v>5299</v>
      </c>
      <c r="H2371" s="74" t="s">
        <v>5301</v>
      </c>
      <c r="I2371" s="50" t="s">
        <v>1</v>
      </c>
      <c r="J2371" s="339" t="s">
        <v>1125</v>
      </c>
      <c r="K2371" s="51">
        <v>41579</v>
      </c>
      <c r="L2371" s="173"/>
      <c r="N2371" s="50" t="s">
        <v>2</v>
      </c>
      <c r="O2371" s="74">
        <f t="shared" si="131"/>
        <v>1</v>
      </c>
      <c r="Q2371" s="74">
        <v>6.6</v>
      </c>
      <c r="R2371" s="50">
        <f>10/2</f>
        <v>5</v>
      </c>
      <c r="S2371" s="74">
        <v>18</v>
      </c>
      <c r="T2371" s="50">
        <v>0.08</v>
      </c>
      <c r="U2371" s="131">
        <v>0.92</v>
      </c>
      <c r="V2371" s="50">
        <v>0.3</v>
      </c>
      <c r="W2371" s="74">
        <v>0.14000000000000001</v>
      </c>
      <c r="X2371" s="50">
        <v>0.25900000000000001</v>
      </c>
      <c r="Y2371" s="74">
        <f>0.03/2</f>
        <v>1.4999999999999999E-2</v>
      </c>
      <c r="Z2371" s="165">
        <v>0.48299999999999998</v>
      </c>
      <c r="AA2371" s="271">
        <v>0.25900000000000001</v>
      </c>
      <c r="AB2371" s="114">
        <v>5</v>
      </c>
      <c r="AC2371" s="50">
        <v>20</v>
      </c>
      <c r="AD2371" s="271">
        <v>0</v>
      </c>
    </row>
    <row r="2372" spans="1:30" ht="15" customHeight="1">
      <c r="A2372" s="41" t="s">
        <v>183</v>
      </c>
      <c r="B2372" s="402" t="s">
        <v>5300</v>
      </c>
      <c r="D2372" s="393" t="s">
        <v>117</v>
      </c>
      <c r="G2372" s="405" t="s">
        <v>5299</v>
      </c>
      <c r="H2372" s="74" t="s">
        <v>5301</v>
      </c>
      <c r="I2372" s="50" t="s">
        <v>1</v>
      </c>
      <c r="J2372" s="339" t="s">
        <v>1126</v>
      </c>
      <c r="K2372" s="51">
        <v>41579</v>
      </c>
      <c r="L2372" s="173"/>
      <c r="N2372" s="50" t="s">
        <v>2</v>
      </c>
      <c r="O2372" s="74">
        <f t="shared" si="131"/>
        <v>1</v>
      </c>
      <c r="Q2372" s="74">
        <v>6.9</v>
      </c>
      <c r="R2372" s="50">
        <v>20</v>
      </c>
      <c r="S2372" s="74">
        <v>52</v>
      </c>
      <c r="T2372" s="50">
        <v>0.13</v>
      </c>
      <c r="U2372" s="131">
        <v>0.74</v>
      </c>
      <c r="V2372" s="50">
        <v>0.25</v>
      </c>
      <c r="W2372" s="74">
        <v>0.18099999999999999</v>
      </c>
      <c r="X2372" s="50">
        <v>0.19400000000000001</v>
      </c>
      <c r="Y2372" s="74">
        <f>0.03/2</f>
        <v>1.4999999999999999E-2</v>
      </c>
      <c r="Z2372" s="165">
        <v>1</v>
      </c>
      <c r="AA2372" s="271">
        <v>0.74299999999999999</v>
      </c>
      <c r="AB2372" s="114">
        <v>8</v>
      </c>
      <c r="AC2372" s="50">
        <v>29</v>
      </c>
      <c r="AD2372" s="271">
        <v>0.2</v>
      </c>
    </row>
    <row r="2373" spans="1:30" ht="15" customHeight="1">
      <c r="A2373" s="41" t="s">
        <v>183</v>
      </c>
      <c r="B2373" s="402" t="s">
        <v>5306</v>
      </c>
      <c r="C2373" s="113" t="s">
        <v>5302</v>
      </c>
      <c r="D2373" s="393" t="s">
        <v>303</v>
      </c>
      <c r="E2373" s="394" t="s">
        <v>5303</v>
      </c>
      <c r="G2373" s="405" t="s">
        <v>5304</v>
      </c>
      <c r="H2373" s="74">
        <v>36791</v>
      </c>
      <c r="I2373" s="50" t="s">
        <v>2</v>
      </c>
      <c r="J2373" s="339" t="s">
        <v>5305</v>
      </c>
      <c r="K2373" s="51">
        <v>41184</v>
      </c>
      <c r="L2373" s="173">
        <v>41181</v>
      </c>
      <c r="M2373" s="50">
        <f>K2373-L2373</f>
        <v>3</v>
      </c>
      <c r="N2373" s="50" t="s">
        <v>2</v>
      </c>
      <c r="O2373" s="74">
        <f>5/2</f>
        <v>2.5</v>
      </c>
      <c r="P2373" s="50">
        <v>5.78</v>
      </c>
      <c r="Q2373" s="74">
        <v>5.65</v>
      </c>
      <c r="R2373" s="50">
        <v>29</v>
      </c>
      <c r="S2373" s="74">
        <v>15</v>
      </c>
      <c r="T2373" s="50">
        <v>0.17</v>
      </c>
      <c r="U2373" s="131">
        <v>1.2</v>
      </c>
      <c r="V2373" s="50">
        <v>0.45</v>
      </c>
      <c r="W2373" s="74">
        <f>0.04/2</f>
        <v>0.02</v>
      </c>
      <c r="X2373" s="50">
        <v>0.73</v>
      </c>
      <c r="Y2373" s="74">
        <f>0.013/2</f>
        <v>6.4999999999999997E-3</v>
      </c>
      <c r="Z2373" s="165">
        <v>0.73499999999999999</v>
      </c>
      <c r="AA2373" s="271">
        <v>0.29399999999999998</v>
      </c>
      <c r="AB2373" s="114">
        <v>6.4</v>
      </c>
      <c r="AC2373" s="50">
        <v>25</v>
      </c>
      <c r="AD2373" s="271">
        <v>0</v>
      </c>
    </row>
    <row r="2374" spans="1:30" ht="15" customHeight="1">
      <c r="A2374" s="41" t="s">
        <v>183</v>
      </c>
      <c r="B2374" s="402" t="s">
        <v>5306</v>
      </c>
      <c r="C2374" s="113" t="s">
        <v>5302</v>
      </c>
      <c r="D2374" s="393" t="s">
        <v>303</v>
      </c>
      <c r="E2374" s="394" t="s">
        <v>5303</v>
      </c>
      <c r="G2374" s="405" t="s">
        <v>5304</v>
      </c>
      <c r="H2374" s="74">
        <v>36791</v>
      </c>
      <c r="I2374" s="50" t="s">
        <v>2</v>
      </c>
      <c r="J2374" s="339" t="s">
        <v>5307</v>
      </c>
      <c r="K2374" s="51">
        <v>41184</v>
      </c>
      <c r="L2374" s="173">
        <v>41181</v>
      </c>
      <c r="M2374" s="50">
        <f>K2374-L2374</f>
        <v>3</v>
      </c>
      <c r="N2374" s="50" t="s">
        <v>2</v>
      </c>
      <c r="O2374" s="74">
        <f>5/2</f>
        <v>2.5</v>
      </c>
      <c r="P2374" s="50">
        <v>5.78</v>
      </c>
      <c r="Q2374" s="74">
        <v>6.46</v>
      </c>
      <c r="R2374" s="50">
        <f>5/2</f>
        <v>2.5</v>
      </c>
      <c r="S2374" s="74">
        <v>25</v>
      </c>
      <c r="T2374" s="50">
        <f>0.1/2</f>
        <v>0.05</v>
      </c>
      <c r="U2374" s="131">
        <f>1/2</f>
        <v>0.5</v>
      </c>
      <c r="V2374" s="50">
        <v>0.23</v>
      </c>
      <c r="W2374" s="74">
        <f>0.04/2</f>
        <v>0.02</v>
      </c>
      <c r="X2374" s="50">
        <v>0.19</v>
      </c>
      <c r="Y2374" s="74">
        <f>0.013/2</f>
        <v>6.4999999999999997E-3</v>
      </c>
      <c r="Z2374" s="165">
        <v>1</v>
      </c>
      <c r="AA2374" s="271">
        <v>0.77100000000000002</v>
      </c>
      <c r="AB2374" s="114">
        <v>12</v>
      </c>
      <c r="AC2374" s="50">
        <v>29</v>
      </c>
      <c r="AD2374" s="271">
        <v>0.2</v>
      </c>
    </row>
    <row r="2375" spans="1:30" ht="15" customHeight="1">
      <c r="A2375" s="41" t="s">
        <v>183</v>
      </c>
      <c r="B2375" s="402" t="s">
        <v>5306</v>
      </c>
      <c r="C2375" s="113" t="s">
        <v>5302</v>
      </c>
      <c r="D2375" s="393" t="s">
        <v>303</v>
      </c>
      <c r="E2375" s="394" t="s">
        <v>5303</v>
      </c>
      <c r="G2375" s="405" t="s">
        <v>5304</v>
      </c>
      <c r="H2375" s="74">
        <v>36791</v>
      </c>
      <c r="I2375" s="50" t="s">
        <v>2</v>
      </c>
      <c r="J2375" s="339" t="s">
        <v>5309</v>
      </c>
      <c r="K2375" s="51">
        <v>41579</v>
      </c>
      <c r="L2375" s="173"/>
      <c r="M2375" s="50">
        <v>20</v>
      </c>
      <c r="N2375" s="50" t="s">
        <v>2</v>
      </c>
      <c r="O2375" s="74">
        <f>5/2</f>
        <v>2.5</v>
      </c>
      <c r="Q2375" s="74">
        <v>6.62</v>
      </c>
      <c r="R2375" s="50">
        <v>69</v>
      </c>
      <c r="S2375" s="74">
        <v>19</v>
      </c>
      <c r="T2375" s="50">
        <f>0.1/2</f>
        <v>0.05</v>
      </c>
      <c r="U2375" s="131">
        <v>2.2000000000000002</v>
      </c>
      <c r="V2375" s="50">
        <v>0.61</v>
      </c>
      <c r="W2375" s="74">
        <f>0.04/2</f>
        <v>0.02</v>
      </c>
      <c r="X2375" s="50">
        <v>4.1000000000000002E-2</v>
      </c>
      <c r="Y2375" s="74">
        <f>0.01/2</f>
        <v>5.0000000000000001E-3</v>
      </c>
      <c r="Z2375" s="165">
        <v>1</v>
      </c>
      <c r="AA2375" s="271">
        <v>1</v>
      </c>
      <c r="AB2375" s="114">
        <v>11</v>
      </c>
      <c r="AC2375" s="50">
        <v>67</v>
      </c>
      <c r="AD2375" s="271">
        <v>0.6</v>
      </c>
    </row>
    <row r="2376" spans="1:30" ht="15" customHeight="1">
      <c r="A2376" s="41" t="s">
        <v>183</v>
      </c>
      <c r="B2376" s="402" t="s">
        <v>5306</v>
      </c>
      <c r="C2376" s="113" t="s">
        <v>5302</v>
      </c>
      <c r="D2376" s="393" t="s">
        <v>303</v>
      </c>
      <c r="E2376" s="394" t="s">
        <v>5303</v>
      </c>
      <c r="G2376" s="405" t="s">
        <v>5304</v>
      </c>
      <c r="H2376" s="74">
        <v>36791</v>
      </c>
      <c r="I2376" s="50" t="s">
        <v>2</v>
      </c>
      <c r="J2376" s="339" t="s">
        <v>5308</v>
      </c>
      <c r="K2376" s="51">
        <v>41579</v>
      </c>
      <c r="L2376" s="173"/>
      <c r="M2376" s="50">
        <v>20</v>
      </c>
      <c r="N2376" s="50" t="s">
        <v>2</v>
      </c>
      <c r="O2376" s="74">
        <v>5</v>
      </c>
      <c r="P2376" s="50">
        <v>9.0500000000000007</v>
      </c>
      <c r="Q2376" s="74">
        <v>9.0299999999999994</v>
      </c>
      <c r="R2376" s="50">
        <v>400</v>
      </c>
      <c r="S2376" s="74">
        <v>150</v>
      </c>
      <c r="T2376" s="50">
        <v>0.49</v>
      </c>
      <c r="U2376" s="131">
        <v>3.7</v>
      </c>
      <c r="V2376" s="50">
        <v>1</v>
      </c>
      <c r="W2376" s="74">
        <v>0.17</v>
      </c>
      <c r="X2376" s="50">
        <v>0.21</v>
      </c>
      <c r="Y2376" s="74">
        <v>0.02</v>
      </c>
      <c r="Z2376" s="165">
        <v>1</v>
      </c>
      <c r="AA2376" s="271">
        <v>1</v>
      </c>
      <c r="AB2376" s="114">
        <v>200</v>
      </c>
      <c r="AC2376" s="50">
        <v>425</v>
      </c>
      <c r="AD2376" s="271">
        <v>1</v>
      </c>
    </row>
    <row r="2377" spans="1:30" ht="15" customHeight="1">
      <c r="A2377" s="41" t="s">
        <v>183</v>
      </c>
      <c r="B2377" s="402" t="s">
        <v>956</v>
      </c>
      <c r="C2377" s="113" t="s">
        <v>367</v>
      </c>
      <c r="D2377" s="393" t="s">
        <v>368</v>
      </c>
      <c r="E2377" s="394" t="s">
        <v>369</v>
      </c>
      <c r="G2377" s="405" t="s">
        <v>370</v>
      </c>
      <c r="H2377" s="74">
        <v>4151</v>
      </c>
      <c r="I2377" s="50" t="s">
        <v>2</v>
      </c>
      <c r="J2377" s="339" t="s">
        <v>3144</v>
      </c>
      <c r="K2377" s="51">
        <v>41432</v>
      </c>
      <c r="L2377" s="173">
        <v>41419</v>
      </c>
      <c r="M2377" s="50">
        <f t="shared" ref="M2377:M2385" si="132">K2377-L2377</f>
        <v>13</v>
      </c>
      <c r="N2377" s="50" t="s">
        <v>2</v>
      </c>
      <c r="O2377" s="74">
        <f>1/2</f>
        <v>0.5</v>
      </c>
      <c r="P2377" s="50">
        <v>6.96</v>
      </c>
      <c r="Q2377" s="74">
        <v>6.98</v>
      </c>
      <c r="R2377" s="50">
        <v>17.2</v>
      </c>
      <c r="S2377" s="74">
        <f>1/2</f>
        <v>0.5</v>
      </c>
      <c r="T2377" s="50">
        <f>0.05/2</f>
        <v>2.5000000000000001E-2</v>
      </c>
      <c r="U2377" s="131">
        <v>0.15</v>
      </c>
      <c r="V2377" s="50">
        <v>0.27</v>
      </c>
      <c r="W2377" s="74">
        <f>0.01/2</f>
        <v>5.0000000000000001E-3</v>
      </c>
      <c r="X2377" s="50">
        <v>0.16</v>
      </c>
      <c r="Y2377" s="74">
        <f>0.02/2</f>
        <v>0.01</v>
      </c>
      <c r="Z2377" s="165"/>
    </row>
    <row r="2378" spans="1:30" ht="15" customHeight="1">
      <c r="A2378" s="41" t="s">
        <v>183</v>
      </c>
      <c r="B2378" s="402" t="s">
        <v>2511</v>
      </c>
      <c r="D2378" s="393" t="s">
        <v>534</v>
      </c>
      <c r="E2378" s="394" t="s">
        <v>304</v>
      </c>
      <c r="F2378" s="85"/>
      <c r="G2378" s="405" t="s">
        <v>2512</v>
      </c>
      <c r="H2378" s="74"/>
      <c r="I2378" s="50" t="s">
        <v>1</v>
      </c>
      <c r="J2378" s="48" t="s">
        <v>2513</v>
      </c>
      <c r="K2378" s="51">
        <v>41332</v>
      </c>
      <c r="L2378" s="173">
        <v>41324</v>
      </c>
      <c r="M2378" s="50">
        <f t="shared" si="132"/>
        <v>8</v>
      </c>
      <c r="N2378" s="50" t="s">
        <v>2</v>
      </c>
      <c r="O2378" s="74">
        <v>2.2000000000000002</v>
      </c>
      <c r="P2378" s="50">
        <v>6.5</v>
      </c>
      <c r="Q2378" s="74">
        <v>7.8</v>
      </c>
      <c r="R2378" s="50">
        <v>10</v>
      </c>
      <c r="S2378" s="74">
        <v>3</v>
      </c>
      <c r="T2378" s="50">
        <f>0.01/2</f>
        <v>5.0000000000000001E-3</v>
      </c>
      <c r="U2378" s="131">
        <f>0.05/2</f>
        <v>2.5000000000000001E-2</v>
      </c>
      <c r="V2378" s="50">
        <v>0.39</v>
      </c>
      <c r="W2378" s="74">
        <f>0.005/2</f>
        <v>2.5000000000000001E-3</v>
      </c>
      <c r="X2378" s="50">
        <f>0.01/2</f>
        <v>5.0000000000000001E-3</v>
      </c>
      <c r="Y2378" s="74">
        <f>0.005/2</f>
        <v>2.5000000000000001E-3</v>
      </c>
      <c r="Z2378" s="165">
        <v>1</v>
      </c>
      <c r="AA2378" s="271">
        <v>1</v>
      </c>
      <c r="AB2378" s="114">
        <v>85</v>
      </c>
      <c r="AC2378" s="50">
        <v>285</v>
      </c>
      <c r="AD2378" s="271">
        <v>1</v>
      </c>
    </row>
    <row r="2379" spans="1:30" ht="15" customHeight="1">
      <c r="A2379" s="41" t="s">
        <v>183</v>
      </c>
      <c r="B2379" s="402" t="s">
        <v>2511</v>
      </c>
      <c r="D2379" s="393" t="s">
        <v>534</v>
      </c>
      <c r="E2379" s="394" t="s">
        <v>304</v>
      </c>
      <c r="F2379" s="85"/>
      <c r="G2379" s="405" t="s">
        <v>2512</v>
      </c>
      <c r="H2379" s="74"/>
      <c r="I2379" s="50" t="s">
        <v>1</v>
      </c>
      <c r="J2379" s="48" t="s">
        <v>2514</v>
      </c>
      <c r="K2379" s="51">
        <v>41332</v>
      </c>
      <c r="L2379" s="173">
        <v>41324</v>
      </c>
      <c r="M2379" s="50">
        <f t="shared" si="132"/>
        <v>8</v>
      </c>
      <c r="N2379" s="50" t="s">
        <v>2</v>
      </c>
      <c r="O2379" s="74">
        <v>2.8</v>
      </c>
      <c r="P2379" s="50">
        <v>6.5</v>
      </c>
      <c r="Q2379" s="74">
        <v>7.5</v>
      </c>
      <c r="R2379" s="50">
        <v>12</v>
      </c>
      <c r="S2379" s="74">
        <v>4</v>
      </c>
      <c r="T2379" s="50">
        <f>0.01/2</f>
        <v>5.0000000000000001E-3</v>
      </c>
      <c r="U2379" s="131">
        <f>0.05/2</f>
        <v>2.5000000000000001E-2</v>
      </c>
      <c r="V2379" s="50">
        <v>0.22</v>
      </c>
      <c r="W2379" s="74">
        <f>0.005/2</f>
        <v>2.5000000000000001E-3</v>
      </c>
      <c r="X2379" s="50">
        <v>0.01</v>
      </c>
      <c r="Y2379" s="74">
        <f>0.005/2</f>
        <v>2.5000000000000001E-3</v>
      </c>
      <c r="Z2379" s="165">
        <v>1</v>
      </c>
      <c r="AA2379" s="271">
        <v>1</v>
      </c>
      <c r="AB2379" s="114">
        <v>22</v>
      </c>
      <c r="AC2379" s="50">
        <v>63</v>
      </c>
      <c r="AD2379" s="271">
        <v>1</v>
      </c>
    </row>
    <row r="2380" spans="1:30" ht="15" customHeight="1">
      <c r="A2380" s="41" t="s">
        <v>183</v>
      </c>
      <c r="B2380" s="402" t="s">
        <v>2511</v>
      </c>
      <c r="D2380" s="393" t="s">
        <v>534</v>
      </c>
      <c r="E2380" s="394" t="s">
        <v>304</v>
      </c>
      <c r="F2380" s="85"/>
      <c r="G2380" s="405" t="s">
        <v>2512</v>
      </c>
      <c r="H2380" s="74"/>
      <c r="I2380" s="50" t="s">
        <v>1</v>
      </c>
      <c r="J2380" s="48" t="s">
        <v>2515</v>
      </c>
      <c r="K2380" s="51">
        <v>41332</v>
      </c>
      <c r="L2380" s="173">
        <v>41324</v>
      </c>
      <c r="M2380" s="50">
        <f t="shared" si="132"/>
        <v>8</v>
      </c>
      <c r="N2380" s="50" t="s">
        <v>2</v>
      </c>
      <c r="O2380" s="74">
        <v>2.8</v>
      </c>
      <c r="P2380" s="50">
        <v>6.5</v>
      </c>
      <c r="Q2380" s="74">
        <v>7.9</v>
      </c>
      <c r="R2380" s="50">
        <v>21</v>
      </c>
      <c r="S2380" s="74">
        <v>8</v>
      </c>
      <c r="T2380" s="50">
        <f>0.01/2</f>
        <v>5.0000000000000001E-3</v>
      </c>
      <c r="U2380" s="131">
        <f>0.05/2</f>
        <v>2.5000000000000001E-2</v>
      </c>
      <c r="V2380" s="50">
        <v>0.26</v>
      </c>
      <c r="W2380" s="74">
        <f>0.005/2</f>
        <v>2.5000000000000001E-3</v>
      </c>
      <c r="X2380" s="50">
        <v>0.02</v>
      </c>
      <c r="Y2380" s="74">
        <f>0.005/2</f>
        <v>2.5000000000000001E-3</v>
      </c>
      <c r="Z2380" s="165">
        <v>1</v>
      </c>
      <c r="AA2380" s="271">
        <v>1</v>
      </c>
      <c r="AB2380" s="114">
        <v>68</v>
      </c>
      <c r="AC2380" s="50">
        <v>226</v>
      </c>
      <c r="AD2380" s="271">
        <v>1</v>
      </c>
    </row>
    <row r="2381" spans="1:30" ht="15" customHeight="1">
      <c r="A2381" s="41" t="s">
        <v>183</v>
      </c>
      <c r="B2381" s="402" t="s">
        <v>4316</v>
      </c>
      <c r="C2381" s="113" t="s">
        <v>4317</v>
      </c>
      <c r="D2381" s="393" t="s">
        <v>290</v>
      </c>
      <c r="E2381" s="394" t="s">
        <v>112</v>
      </c>
      <c r="G2381" s="405" t="s">
        <v>4318</v>
      </c>
      <c r="H2381" s="74">
        <v>3462</v>
      </c>
      <c r="I2381" s="50" t="s">
        <v>1</v>
      </c>
      <c r="J2381" s="339" t="s">
        <v>643</v>
      </c>
      <c r="K2381" s="51">
        <v>41710</v>
      </c>
      <c r="L2381" s="173">
        <v>41691</v>
      </c>
      <c r="M2381" s="50">
        <f t="shared" si="132"/>
        <v>19</v>
      </c>
      <c r="N2381" s="50" t="s">
        <v>2</v>
      </c>
      <c r="O2381" s="74">
        <f>1.4/2</f>
        <v>0.7</v>
      </c>
      <c r="P2381" s="50">
        <v>7.27</v>
      </c>
      <c r="Q2381" s="74">
        <v>7.56</v>
      </c>
      <c r="R2381" s="50">
        <v>16</v>
      </c>
      <c r="S2381" s="74">
        <v>18</v>
      </c>
      <c r="T2381" s="50">
        <v>0.03</v>
      </c>
      <c r="U2381" s="131">
        <v>0.56000000000000005</v>
      </c>
      <c r="V2381" s="50">
        <v>0.48</v>
      </c>
      <c r="W2381" s="74">
        <f>0.005/2</f>
        <v>2.5000000000000001E-3</v>
      </c>
      <c r="X2381" s="50">
        <v>7.6999999999999999E-2</v>
      </c>
      <c r="Y2381" s="74">
        <v>3.0000000000000001E-3</v>
      </c>
      <c r="Z2381" s="165"/>
    </row>
    <row r="2382" spans="1:30" ht="15" customHeight="1">
      <c r="A2382" s="41" t="s">
        <v>183</v>
      </c>
      <c r="B2382" s="402" t="s">
        <v>4063</v>
      </c>
      <c r="C2382" s="113" t="s">
        <v>4064</v>
      </c>
      <c r="D2382" s="393" t="s">
        <v>1683</v>
      </c>
      <c r="E2382" s="394" t="s">
        <v>304</v>
      </c>
      <c r="F2382" s="402">
        <v>6000</v>
      </c>
      <c r="G2382" s="405" t="s">
        <v>4065</v>
      </c>
      <c r="H2382" s="74">
        <v>4952</v>
      </c>
      <c r="J2382" s="339" t="s">
        <v>641</v>
      </c>
      <c r="K2382" s="51">
        <v>41717</v>
      </c>
      <c r="L2382" s="173">
        <v>41710</v>
      </c>
      <c r="M2382" s="50">
        <f t="shared" si="132"/>
        <v>7</v>
      </c>
      <c r="N2382" s="50" t="s">
        <v>2</v>
      </c>
      <c r="O2382" s="74">
        <v>3.2</v>
      </c>
      <c r="P2382" s="50">
        <v>6</v>
      </c>
      <c r="Q2382" s="74">
        <v>6.62</v>
      </c>
      <c r="R2382" s="50">
        <f>2/2</f>
        <v>1</v>
      </c>
      <c r="S2382" s="74">
        <v>3.5</v>
      </c>
      <c r="T2382" s="50">
        <v>0.17</v>
      </c>
      <c r="U2382" s="131">
        <v>0.81</v>
      </c>
      <c r="V2382" s="50">
        <v>0.22</v>
      </c>
      <c r="W2382" s="74">
        <f>0.01/2</f>
        <v>5.0000000000000001E-3</v>
      </c>
      <c r="X2382" s="50">
        <v>0.1</v>
      </c>
      <c r="Y2382" s="74">
        <f>0.02/2</f>
        <v>0.01</v>
      </c>
      <c r="Z2382" s="165">
        <v>1</v>
      </c>
      <c r="AA2382" s="271">
        <v>0.76900000000000002</v>
      </c>
      <c r="AB2382" s="114">
        <v>10</v>
      </c>
      <c r="AC2382" s="50">
        <v>4.0999999999999996</v>
      </c>
      <c r="AD2382" s="271">
        <v>0.1</v>
      </c>
    </row>
    <row r="2383" spans="1:30" ht="15" customHeight="1">
      <c r="A2383" s="41" t="s">
        <v>183</v>
      </c>
      <c r="B2383" s="402" t="s">
        <v>3685</v>
      </c>
      <c r="C2383" s="113" t="s">
        <v>3686</v>
      </c>
      <c r="D2383" s="393" t="s">
        <v>1505</v>
      </c>
      <c r="F2383" s="401" t="s">
        <v>3687</v>
      </c>
      <c r="G2383" s="405" t="s">
        <v>3688</v>
      </c>
      <c r="H2383" s="74">
        <v>4212</v>
      </c>
      <c r="I2383" s="50" t="s">
        <v>2</v>
      </c>
      <c r="J2383" s="339" t="s">
        <v>510</v>
      </c>
      <c r="K2383" s="51">
        <v>41585</v>
      </c>
      <c r="L2383" s="173">
        <v>41539</v>
      </c>
      <c r="M2383" s="50">
        <f t="shared" si="132"/>
        <v>46</v>
      </c>
      <c r="N2383" s="50" t="s">
        <v>2</v>
      </c>
      <c r="P2383" s="50">
        <v>6.5</v>
      </c>
      <c r="R2383" s="50">
        <v>50</v>
      </c>
      <c r="Z2383" s="165"/>
    </row>
    <row r="2384" spans="1:30" ht="15" customHeight="1">
      <c r="A2384" s="41" t="s">
        <v>183</v>
      </c>
      <c r="B2384" s="402" t="s">
        <v>4216</v>
      </c>
      <c r="C2384" s="113" t="s">
        <v>4217</v>
      </c>
      <c r="D2384" s="393" t="s">
        <v>3090</v>
      </c>
      <c r="E2384" s="394" t="s">
        <v>4218</v>
      </c>
      <c r="F2384" s="402" t="s">
        <v>4591</v>
      </c>
      <c r="G2384" s="405" t="s">
        <v>4220</v>
      </c>
      <c r="H2384" s="74">
        <v>4212</v>
      </c>
      <c r="I2384" s="50" t="s">
        <v>2</v>
      </c>
      <c r="J2384" s="339" t="s">
        <v>510</v>
      </c>
      <c r="K2384" s="51">
        <v>41715</v>
      </c>
      <c r="L2384" s="173">
        <v>41691</v>
      </c>
      <c r="M2384" s="50">
        <f t="shared" si="132"/>
        <v>24</v>
      </c>
      <c r="N2384" s="50" t="s">
        <v>2</v>
      </c>
      <c r="O2384" s="74">
        <v>65</v>
      </c>
      <c r="P2384" s="50">
        <v>6.5</v>
      </c>
      <c r="Q2384" s="74">
        <v>7.13</v>
      </c>
      <c r="R2384" s="50">
        <v>19</v>
      </c>
      <c r="S2384" s="74">
        <v>700</v>
      </c>
      <c r="T2384" s="50">
        <v>1.1200000000000001</v>
      </c>
      <c r="U2384" s="131">
        <v>2.2200000000000002</v>
      </c>
      <c r="V2384" s="50">
        <v>0.09</v>
      </c>
      <c r="W2384" s="74">
        <v>0.127</v>
      </c>
      <c r="X2384" s="50">
        <v>0.51400000000000001</v>
      </c>
      <c r="Y2384" s="74">
        <v>6.3E-2</v>
      </c>
      <c r="Z2384" s="165"/>
    </row>
    <row r="2385" spans="1:31" ht="15" customHeight="1">
      <c r="A2385" s="41" t="s">
        <v>183</v>
      </c>
      <c r="B2385" s="402" t="s">
        <v>5310</v>
      </c>
      <c r="D2385" s="393" t="s">
        <v>308</v>
      </c>
      <c r="F2385" s="402" t="s">
        <v>5311</v>
      </c>
      <c r="G2385" s="405" t="s">
        <v>5312</v>
      </c>
      <c r="H2385" s="74">
        <v>3272</v>
      </c>
      <c r="I2385" s="50" t="s">
        <v>2</v>
      </c>
      <c r="J2385" s="339" t="s">
        <v>510</v>
      </c>
      <c r="K2385" s="51">
        <v>41631</v>
      </c>
      <c r="L2385" s="173">
        <v>41625</v>
      </c>
      <c r="M2385" s="50">
        <f t="shared" si="132"/>
        <v>6</v>
      </c>
      <c r="N2385" s="50" t="s">
        <v>2</v>
      </c>
      <c r="O2385" s="74">
        <v>1.7</v>
      </c>
      <c r="P2385" s="50">
        <v>6.5</v>
      </c>
      <c r="Q2385" s="74">
        <v>9.23</v>
      </c>
      <c r="R2385" s="50">
        <v>200</v>
      </c>
      <c r="S2385" s="74">
        <v>260</v>
      </c>
      <c r="T2385" s="50">
        <v>0.37</v>
      </c>
      <c r="U2385" s="131">
        <v>1.18</v>
      </c>
      <c r="V2385" s="50">
        <v>7.0000000000000007E-2</v>
      </c>
      <c r="W2385" s="74">
        <v>1.4999999999999999E-2</v>
      </c>
      <c r="X2385" s="50">
        <v>0.06</v>
      </c>
      <c r="Y2385" s="74">
        <v>6.0000000000000001E-3</v>
      </c>
      <c r="Z2385" s="165"/>
    </row>
    <row r="2386" spans="1:31" ht="15" customHeight="1">
      <c r="A2386" s="41" t="s">
        <v>183</v>
      </c>
      <c r="B2386" s="402" t="s">
        <v>5314</v>
      </c>
      <c r="D2386" s="393" t="s">
        <v>5316</v>
      </c>
      <c r="G2386" s="405" t="s">
        <v>5315</v>
      </c>
      <c r="H2386" s="74"/>
      <c r="J2386" s="339"/>
      <c r="K2386" s="51">
        <v>41022</v>
      </c>
      <c r="L2386" s="173"/>
      <c r="N2386" s="50" t="s">
        <v>2</v>
      </c>
      <c r="O2386" s="74">
        <f>1/2</f>
        <v>0.5</v>
      </c>
      <c r="Q2386" s="74">
        <v>6.2</v>
      </c>
      <c r="R2386" s="50">
        <f>1/2</f>
        <v>0.5</v>
      </c>
      <c r="S2386" s="74">
        <f>1/2</f>
        <v>0.5</v>
      </c>
      <c r="T2386" s="50">
        <v>1.4999999999999999E-2</v>
      </c>
      <c r="U2386" s="131">
        <f>0.5/2</f>
        <v>0.25</v>
      </c>
      <c r="V2386" s="50">
        <v>0.81</v>
      </c>
      <c r="W2386" s="74">
        <v>0.1</v>
      </c>
      <c r="X2386" s="50">
        <v>5.2999999999999999E-2</v>
      </c>
      <c r="Y2386" s="74">
        <f>0.002/2</f>
        <v>1E-3</v>
      </c>
      <c r="Z2386" s="165">
        <v>1</v>
      </c>
      <c r="AA2386" s="271">
        <v>1</v>
      </c>
      <c r="AB2386" s="114">
        <v>22</v>
      </c>
      <c r="AC2386" s="50">
        <v>54</v>
      </c>
      <c r="AD2386" s="271">
        <v>1</v>
      </c>
    </row>
    <row r="2387" spans="1:31" ht="15" customHeight="1">
      <c r="A2387" s="41" t="s">
        <v>183</v>
      </c>
      <c r="B2387" s="402" t="s">
        <v>5314</v>
      </c>
      <c r="D2387" s="393" t="s">
        <v>5316</v>
      </c>
      <c r="G2387" s="405" t="s">
        <v>5315</v>
      </c>
      <c r="H2387" s="74"/>
      <c r="J2387" s="339"/>
      <c r="K2387" s="51">
        <v>41268</v>
      </c>
      <c r="L2387" s="173"/>
      <c r="N2387" s="50" t="s">
        <v>2</v>
      </c>
      <c r="O2387" s="74">
        <f>2/2</f>
        <v>1</v>
      </c>
      <c r="P2387" s="50">
        <v>5.5</v>
      </c>
      <c r="Q2387" s="74">
        <v>7</v>
      </c>
      <c r="R2387" s="50">
        <v>13</v>
      </c>
      <c r="S2387" s="74">
        <f>2/2</f>
        <v>1</v>
      </c>
      <c r="T2387" s="50">
        <v>2.5999999999999999E-2</v>
      </c>
      <c r="U2387" s="131">
        <f>0.5/2</f>
        <v>0.25</v>
      </c>
      <c r="V2387" s="50">
        <v>0.47</v>
      </c>
      <c r="W2387" s="74">
        <f>0.002/2</f>
        <v>1E-3</v>
      </c>
      <c r="X2387" s="50">
        <v>3.3999999999999998E-3</v>
      </c>
      <c r="Y2387" s="74">
        <v>1.4999999999999999E-2</v>
      </c>
      <c r="Z2387" s="165">
        <v>1</v>
      </c>
      <c r="AA2387" s="271">
        <v>1</v>
      </c>
      <c r="AB2387" s="114">
        <v>20</v>
      </c>
      <c r="AC2387" s="50">
        <v>57</v>
      </c>
      <c r="AD2387" s="271">
        <v>1</v>
      </c>
    </row>
    <row r="2388" spans="1:31" ht="15" customHeight="1">
      <c r="A2388" s="41" t="s">
        <v>183</v>
      </c>
      <c r="B2388" s="402" t="s">
        <v>5314</v>
      </c>
      <c r="D2388" s="393" t="s">
        <v>5316</v>
      </c>
      <c r="G2388" s="405" t="s">
        <v>5315</v>
      </c>
      <c r="H2388" s="74"/>
      <c r="J2388" s="339"/>
      <c r="K2388" s="51">
        <v>41527</v>
      </c>
      <c r="L2388" s="173"/>
      <c r="N2388" s="50" t="s">
        <v>2</v>
      </c>
      <c r="O2388" s="74">
        <f>1/2</f>
        <v>0.5</v>
      </c>
      <c r="P2388" s="50">
        <v>6</v>
      </c>
      <c r="Q2388" s="74">
        <v>6.4</v>
      </c>
      <c r="R2388" s="50">
        <v>26</v>
      </c>
      <c r="S2388" s="74">
        <v>3</v>
      </c>
      <c r="T2388" s="50">
        <v>3.1E-2</v>
      </c>
      <c r="U2388" s="131">
        <f>0.5/2</f>
        <v>0.25</v>
      </c>
      <c r="V2388" s="50">
        <f>0.05/2</f>
        <v>2.5000000000000001E-2</v>
      </c>
      <c r="W2388" s="74">
        <f>0.002/2</f>
        <v>1E-3</v>
      </c>
      <c r="X2388" s="50">
        <v>2.4E-2</v>
      </c>
      <c r="Y2388" s="74">
        <f>0.002/2</f>
        <v>1E-3</v>
      </c>
      <c r="Z2388" s="165">
        <v>1</v>
      </c>
      <c r="AA2388" s="271">
        <v>1</v>
      </c>
      <c r="AB2388" s="114">
        <v>18</v>
      </c>
      <c r="AC2388" s="50">
        <v>56</v>
      </c>
      <c r="AD2388" s="271">
        <v>1</v>
      </c>
    </row>
    <row r="2389" spans="1:31" ht="15" customHeight="1">
      <c r="A2389" s="41" t="s">
        <v>183</v>
      </c>
      <c r="B2389" s="402" t="s">
        <v>5314</v>
      </c>
      <c r="D2389" s="393" t="s">
        <v>5316</v>
      </c>
      <c r="G2389" s="405" t="s">
        <v>5315</v>
      </c>
      <c r="H2389" s="74"/>
      <c r="J2389" s="339"/>
      <c r="K2389" s="51">
        <v>41708</v>
      </c>
      <c r="L2389" s="173"/>
      <c r="N2389" s="50" t="s">
        <v>2</v>
      </c>
      <c r="O2389" s="74">
        <v>1.2</v>
      </c>
      <c r="P2389" s="50">
        <v>5</v>
      </c>
      <c r="Q2389" s="74">
        <v>5.3</v>
      </c>
      <c r="R2389" s="50">
        <v>33</v>
      </c>
      <c r="S2389" s="74">
        <v>4</v>
      </c>
      <c r="T2389" s="50">
        <v>0.02</v>
      </c>
      <c r="U2389" s="131">
        <v>0.51</v>
      </c>
      <c r="V2389" s="50">
        <v>0.13</v>
      </c>
      <c r="W2389" s="74">
        <f>0.002/2</f>
        <v>1E-3</v>
      </c>
      <c r="X2389" s="50">
        <v>0.12</v>
      </c>
      <c r="Y2389" s="74">
        <f>0.002/2</f>
        <v>1E-3</v>
      </c>
      <c r="Z2389" s="165">
        <v>1</v>
      </c>
      <c r="AA2389" s="271">
        <v>0.93899999999999995</v>
      </c>
      <c r="AB2389" s="114">
        <v>2</v>
      </c>
      <c r="AC2389" s="50">
        <v>14</v>
      </c>
      <c r="AD2389" s="271">
        <v>0.45</v>
      </c>
    </row>
    <row r="2390" spans="1:31" ht="15" customHeight="1">
      <c r="A2390" s="41" t="s">
        <v>183</v>
      </c>
      <c r="B2390" s="402" t="s">
        <v>3969</v>
      </c>
      <c r="D2390" s="393" t="s">
        <v>89</v>
      </c>
      <c r="G2390" s="405" t="s">
        <v>3968</v>
      </c>
      <c r="H2390" s="74">
        <v>2869</v>
      </c>
      <c r="I2390" s="50" t="s">
        <v>2</v>
      </c>
      <c r="J2390" s="339" t="s">
        <v>3970</v>
      </c>
      <c r="K2390" s="51">
        <v>41710</v>
      </c>
      <c r="L2390" s="173"/>
      <c r="N2390" s="50" t="s">
        <v>2</v>
      </c>
      <c r="O2390" s="74">
        <f>5.4/2</f>
        <v>2.7</v>
      </c>
      <c r="P2390" s="50">
        <v>5.5</v>
      </c>
      <c r="Q2390" s="74">
        <v>7.7</v>
      </c>
      <c r="R2390" s="50">
        <v>18</v>
      </c>
      <c r="S2390" s="74">
        <v>6.4</v>
      </c>
      <c r="T2390" s="50">
        <f>0.1/2</f>
        <v>0.05</v>
      </c>
      <c r="U2390" s="131">
        <f>1/2</f>
        <v>0.5</v>
      </c>
      <c r="V2390" s="50">
        <v>0.78</v>
      </c>
      <c r="W2390" s="74">
        <f>0.025/2</f>
        <v>1.2500000000000001E-2</v>
      </c>
      <c r="X2390" s="50">
        <v>4.5999999999999999E-2</v>
      </c>
      <c r="Y2390" s="74">
        <f>0.005/2</f>
        <v>2.5000000000000001E-3</v>
      </c>
      <c r="Z2390" s="165"/>
    </row>
    <row r="2391" spans="1:31" ht="15" customHeight="1">
      <c r="A2391" s="41" t="s">
        <v>183</v>
      </c>
      <c r="B2391" s="402" t="s">
        <v>2283</v>
      </c>
      <c r="D2391" s="393" t="s">
        <v>303</v>
      </c>
      <c r="G2391" s="405" t="s">
        <v>2284</v>
      </c>
      <c r="H2391" s="113">
        <v>325510</v>
      </c>
      <c r="I2391" s="50" t="s">
        <v>2</v>
      </c>
      <c r="J2391" s="339"/>
      <c r="K2391" s="51">
        <v>41710</v>
      </c>
      <c r="L2391" s="173"/>
      <c r="N2391" s="50" t="s">
        <v>2</v>
      </c>
      <c r="P2391" s="50">
        <v>5.14</v>
      </c>
      <c r="R2391" s="50">
        <v>118</v>
      </c>
      <c r="T2391" s="50">
        <v>0.64</v>
      </c>
      <c r="U2391" s="131">
        <v>0.48</v>
      </c>
      <c r="V2391" s="50">
        <v>2</v>
      </c>
      <c r="W2391" s="74">
        <v>0.1</v>
      </c>
      <c r="X2391" s="50">
        <v>0.33</v>
      </c>
      <c r="Z2391" s="165">
        <v>1</v>
      </c>
      <c r="AA2391" s="271">
        <v>1</v>
      </c>
      <c r="AB2391" s="114">
        <v>15</v>
      </c>
      <c r="AC2391" s="50">
        <v>192</v>
      </c>
      <c r="AD2391" s="271">
        <v>1</v>
      </c>
    </row>
    <row r="2392" spans="1:31" ht="15" customHeight="1">
      <c r="A2392" s="41" t="s">
        <v>183</v>
      </c>
      <c r="B2392" s="402" t="s">
        <v>2096</v>
      </c>
      <c r="C2392" s="113" t="s">
        <v>1236</v>
      </c>
      <c r="D2392" s="393" t="s">
        <v>111</v>
      </c>
      <c r="E2392" s="394" t="s">
        <v>112</v>
      </c>
      <c r="G2392" s="405" t="s">
        <v>3602</v>
      </c>
      <c r="H2392" s="113">
        <v>3316</v>
      </c>
      <c r="I2392" s="49" t="s">
        <v>1</v>
      </c>
      <c r="J2392" s="48" t="s">
        <v>96</v>
      </c>
      <c r="K2392" s="51">
        <v>41737</v>
      </c>
      <c r="L2392" s="173">
        <v>41729</v>
      </c>
      <c r="M2392" s="50">
        <f>K2392-L2392</f>
        <v>8</v>
      </c>
      <c r="N2392" s="50" t="s">
        <v>2</v>
      </c>
      <c r="V2392" s="50">
        <v>0.25</v>
      </c>
      <c r="Z2392" s="165"/>
    </row>
    <row r="2393" spans="1:31" ht="15" customHeight="1">
      <c r="A2393" s="41" t="s">
        <v>183</v>
      </c>
      <c r="B2393" s="402" t="s">
        <v>2096</v>
      </c>
      <c r="C2393" s="113" t="s">
        <v>1236</v>
      </c>
      <c r="D2393" s="393" t="s">
        <v>111</v>
      </c>
      <c r="E2393" s="394" t="s">
        <v>112</v>
      </c>
      <c r="G2393" s="405" t="s">
        <v>3602</v>
      </c>
      <c r="H2393" s="113">
        <v>3316</v>
      </c>
      <c r="I2393" s="49" t="s">
        <v>1</v>
      </c>
      <c r="J2393" s="48" t="s">
        <v>690</v>
      </c>
      <c r="K2393" s="51">
        <v>41737</v>
      </c>
      <c r="L2393" s="173">
        <v>41729</v>
      </c>
      <c r="M2393" s="50">
        <f>K2393-L2393</f>
        <v>8</v>
      </c>
      <c r="N2393" s="50" t="s">
        <v>2</v>
      </c>
      <c r="V2393" s="50">
        <v>0.2</v>
      </c>
      <c r="Z2393" s="165"/>
    </row>
    <row r="2394" spans="1:31" ht="15" customHeight="1">
      <c r="A2394" s="41" t="s">
        <v>183</v>
      </c>
      <c r="B2394" s="402" t="s">
        <v>2096</v>
      </c>
      <c r="D2394" s="393" t="s">
        <v>372</v>
      </c>
      <c r="E2394" s="394" t="s">
        <v>235</v>
      </c>
      <c r="G2394" s="405" t="s">
        <v>3624</v>
      </c>
      <c r="H2394" s="74">
        <v>3316</v>
      </c>
      <c r="I2394" s="50" t="s">
        <v>1</v>
      </c>
      <c r="J2394" s="339" t="s">
        <v>255</v>
      </c>
      <c r="K2394" s="51">
        <v>41710</v>
      </c>
      <c r="L2394" s="173">
        <v>41692</v>
      </c>
      <c r="M2394" s="50">
        <f>K2394-L2394</f>
        <v>18</v>
      </c>
      <c r="N2394" s="50" t="s">
        <v>2</v>
      </c>
      <c r="X2394" s="50">
        <v>0.78800000000000003</v>
      </c>
      <c r="Z2394" s="165"/>
      <c r="AE2394" s="50">
        <v>0</v>
      </c>
    </row>
    <row r="2395" spans="1:31" ht="15" customHeight="1">
      <c r="A2395" s="41" t="s">
        <v>183</v>
      </c>
      <c r="B2395" s="402" t="s">
        <v>1940</v>
      </c>
      <c r="D2395" s="393" t="s">
        <v>1837</v>
      </c>
      <c r="E2395" s="394" t="s">
        <v>1941</v>
      </c>
      <c r="F2395" s="402" t="s">
        <v>112</v>
      </c>
      <c r="G2395" s="405" t="s">
        <v>1942</v>
      </c>
      <c r="H2395" s="113">
        <v>3812</v>
      </c>
      <c r="I2395" s="49" t="s">
        <v>2</v>
      </c>
      <c r="J2395" s="230" t="s">
        <v>1943</v>
      </c>
      <c r="K2395" s="51">
        <v>41508</v>
      </c>
      <c r="L2395" s="173">
        <v>41495</v>
      </c>
      <c r="M2395" s="50">
        <f>K2395-L2395</f>
        <v>13</v>
      </c>
      <c r="N2395" s="50" t="s">
        <v>2</v>
      </c>
      <c r="O2395" s="74">
        <f>2/2</f>
        <v>1</v>
      </c>
      <c r="P2395" s="50">
        <v>4.5999999999999996</v>
      </c>
      <c r="Q2395" s="74">
        <v>7</v>
      </c>
      <c r="R2395" s="50">
        <v>48</v>
      </c>
      <c r="S2395" s="74">
        <v>91</v>
      </c>
      <c r="T2395" s="50">
        <v>0.24</v>
      </c>
      <c r="U2395" s="131">
        <v>4.4800000000000004</v>
      </c>
      <c r="V2395" s="50">
        <v>1.44</v>
      </c>
      <c r="W2395" s="74">
        <v>1.7000000000000001E-2</v>
      </c>
      <c r="X2395" s="50">
        <v>9.1999999999999998E-2</v>
      </c>
      <c r="Y2395" s="74">
        <f>0.03/2</f>
        <v>1.4999999999999999E-2</v>
      </c>
      <c r="Z2395" s="165"/>
    </row>
    <row r="2396" spans="1:31" ht="15" customHeight="1">
      <c r="A2396" s="41" t="s">
        <v>183</v>
      </c>
      <c r="B2396" s="402" t="s">
        <v>1940</v>
      </c>
      <c r="D2396" s="393" t="s">
        <v>1837</v>
      </c>
      <c r="E2396" s="394" t="s">
        <v>1941</v>
      </c>
      <c r="F2396" s="402" t="s">
        <v>112</v>
      </c>
      <c r="G2396" s="405" t="s">
        <v>1942</v>
      </c>
      <c r="H2396" s="74">
        <v>3812</v>
      </c>
      <c r="I2396" s="50" t="s">
        <v>2</v>
      </c>
      <c r="J2396" s="339" t="s">
        <v>425</v>
      </c>
      <c r="K2396" s="51">
        <v>41508</v>
      </c>
      <c r="L2396" s="173">
        <v>41495</v>
      </c>
      <c r="M2396" s="50">
        <f>K2396-L2396</f>
        <v>13</v>
      </c>
      <c r="N2396" s="50" t="s">
        <v>2</v>
      </c>
      <c r="O2396" s="74">
        <f>2/2</f>
        <v>1</v>
      </c>
      <c r="P2396" s="50">
        <v>4.5999999999999996</v>
      </c>
      <c r="Q2396" s="74">
        <v>4.5999999999999996</v>
      </c>
      <c r="R2396" s="50">
        <v>25</v>
      </c>
      <c r="S2396" s="74">
        <v>6</v>
      </c>
      <c r="T2396" s="50">
        <f>0.05/2</f>
        <v>2.5000000000000001E-2</v>
      </c>
      <c r="U2396" s="131">
        <v>0.9</v>
      </c>
      <c r="V2396" s="50">
        <v>0.4</v>
      </c>
      <c r="W2396" s="74">
        <v>3.7999999999999999E-2</v>
      </c>
      <c r="X2396" s="50">
        <v>0.44500000000000001</v>
      </c>
      <c r="Y2396" s="74">
        <f>0.03/2</f>
        <v>1.4999999999999999E-2</v>
      </c>
      <c r="Z2396" s="165"/>
    </row>
    <row r="2397" spans="1:31" ht="15" customHeight="1">
      <c r="A2397" s="41" t="s">
        <v>183</v>
      </c>
      <c r="B2397" s="402" t="s">
        <v>1940</v>
      </c>
      <c r="D2397" s="393" t="s">
        <v>1837</v>
      </c>
      <c r="E2397" s="394" t="s">
        <v>1941</v>
      </c>
      <c r="F2397" s="402" t="s">
        <v>112</v>
      </c>
      <c r="G2397" s="405" t="s">
        <v>1942</v>
      </c>
      <c r="H2397" s="113">
        <v>3812</v>
      </c>
      <c r="I2397" s="49" t="s">
        <v>2</v>
      </c>
      <c r="J2397" s="230" t="s">
        <v>1943</v>
      </c>
      <c r="K2397" s="51">
        <v>41710</v>
      </c>
      <c r="L2397" s="173">
        <v>41691</v>
      </c>
      <c r="M2397" s="402">
        <f t="shared" ref="M2397:M2398" si="133">K2397-L2397</f>
        <v>19</v>
      </c>
      <c r="N2397" s="50" t="s">
        <v>2</v>
      </c>
      <c r="X2397" s="50">
        <v>1.7999999999999999E-2</v>
      </c>
      <c r="Z2397" s="165"/>
    </row>
    <row r="2398" spans="1:31" ht="15" customHeight="1">
      <c r="A2398" s="41" t="s">
        <v>183</v>
      </c>
      <c r="B2398" s="402" t="s">
        <v>1940</v>
      </c>
      <c r="D2398" s="393" t="s">
        <v>1837</v>
      </c>
      <c r="E2398" s="394" t="s">
        <v>1941</v>
      </c>
      <c r="F2398" s="402" t="s">
        <v>112</v>
      </c>
      <c r="G2398" s="405" t="s">
        <v>1942</v>
      </c>
      <c r="H2398" s="74">
        <v>3812</v>
      </c>
      <c r="I2398" s="50" t="s">
        <v>2</v>
      </c>
      <c r="J2398" s="339" t="s">
        <v>425</v>
      </c>
      <c r="K2398" s="51">
        <v>41710</v>
      </c>
      <c r="L2398" s="173">
        <v>41691</v>
      </c>
      <c r="M2398" s="402">
        <f t="shared" si="133"/>
        <v>19</v>
      </c>
      <c r="N2398" s="50" t="s">
        <v>2</v>
      </c>
      <c r="Q2398" s="74">
        <v>5.6</v>
      </c>
      <c r="X2398" s="50">
        <v>2.0499999999999998</v>
      </c>
      <c r="Z2398" s="165"/>
    </row>
    <row r="2399" spans="1:31" ht="15" customHeight="1">
      <c r="A2399" s="41" t="s">
        <v>183</v>
      </c>
      <c r="B2399" s="402" t="s">
        <v>1892</v>
      </c>
      <c r="C2399" s="113" t="s">
        <v>1893</v>
      </c>
      <c r="D2399" s="393" t="s">
        <v>251</v>
      </c>
      <c r="E2399" s="394" t="s">
        <v>252</v>
      </c>
      <c r="F2399" s="402">
        <v>4402</v>
      </c>
      <c r="G2399" s="405" t="s">
        <v>1348</v>
      </c>
      <c r="H2399" s="49">
        <v>3432</v>
      </c>
      <c r="I2399" s="50" t="s">
        <v>2</v>
      </c>
      <c r="J2399" s="76" t="s">
        <v>1350</v>
      </c>
      <c r="K2399" s="51">
        <v>41726</v>
      </c>
      <c r="L2399" s="173">
        <v>41718</v>
      </c>
      <c r="M2399" s="50">
        <f t="shared" ref="M2399:M2407" si="134">K2399-L2399</f>
        <v>8</v>
      </c>
      <c r="N2399" s="50" t="s">
        <v>1</v>
      </c>
      <c r="P2399" s="50">
        <v>5</v>
      </c>
      <c r="Q2399" s="74">
        <v>7.09</v>
      </c>
      <c r="W2399" s="74">
        <v>0.156</v>
      </c>
      <c r="X2399" s="50">
        <v>0.35499999999999998</v>
      </c>
      <c r="Z2399" s="165"/>
    </row>
    <row r="2400" spans="1:31" ht="15" customHeight="1">
      <c r="A2400" s="41" t="s">
        <v>183</v>
      </c>
      <c r="B2400" s="402" t="s">
        <v>1892</v>
      </c>
      <c r="C2400" s="113" t="s">
        <v>1893</v>
      </c>
      <c r="D2400" s="393" t="s">
        <v>251</v>
      </c>
      <c r="E2400" s="394" t="s">
        <v>252</v>
      </c>
      <c r="F2400" s="402">
        <v>4402</v>
      </c>
      <c r="G2400" s="405" t="s">
        <v>1348</v>
      </c>
      <c r="H2400" s="49">
        <v>3432</v>
      </c>
      <c r="I2400" s="50" t="s">
        <v>2</v>
      </c>
      <c r="J2400" s="76" t="s">
        <v>1349</v>
      </c>
      <c r="K2400" s="51">
        <v>41726</v>
      </c>
      <c r="L2400" s="173">
        <v>41718</v>
      </c>
      <c r="M2400" s="50">
        <f t="shared" si="134"/>
        <v>8</v>
      </c>
      <c r="N2400" s="50" t="s">
        <v>1</v>
      </c>
      <c r="P2400" s="50">
        <v>5</v>
      </c>
      <c r="Q2400" s="74">
        <v>7.02</v>
      </c>
      <c r="W2400" s="74">
        <v>5.3999999999999999E-2</v>
      </c>
      <c r="X2400" s="50">
        <v>0.14299999999999999</v>
      </c>
      <c r="Z2400" s="165"/>
    </row>
    <row r="2401" spans="1:79" ht="15" customHeight="1">
      <c r="A2401" s="41" t="s">
        <v>183</v>
      </c>
      <c r="B2401" s="402" t="s">
        <v>2202</v>
      </c>
      <c r="C2401" s="113" t="s">
        <v>2203</v>
      </c>
      <c r="D2401" s="393" t="s">
        <v>192</v>
      </c>
      <c r="E2401" s="394" t="s">
        <v>2204</v>
      </c>
      <c r="G2401" s="405" t="s">
        <v>2205</v>
      </c>
      <c r="H2401" s="74">
        <v>4213</v>
      </c>
      <c r="I2401" s="50" t="s">
        <v>1</v>
      </c>
      <c r="J2401" s="339" t="s">
        <v>1125</v>
      </c>
      <c r="K2401" s="51">
        <v>41499</v>
      </c>
      <c r="L2401" s="173">
        <v>41495</v>
      </c>
      <c r="M2401" s="50">
        <f t="shared" si="134"/>
        <v>4</v>
      </c>
      <c r="N2401" s="50" t="s">
        <v>2</v>
      </c>
      <c r="O2401" s="74">
        <v>0.8</v>
      </c>
      <c r="P2401" s="50">
        <v>6</v>
      </c>
      <c r="Q2401" s="74">
        <v>6</v>
      </c>
      <c r="R2401" s="50">
        <v>53</v>
      </c>
      <c r="S2401" s="74">
        <v>8.4</v>
      </c>
      <c r="T2401" s="50">
        <f>0.05/2</f>
        <v>2.5000000000000001E-2</v>
      </c>
      <c r="U2401" s="131">
        <v>0.52800000000000002</v>
      </c>
      <c r="V2401" s="50">
        <v>0.95</v>
      </c>
      <c r="W2401" s="74">
        <v>8.0300000000000007E-3</v>
      </c>
      <c r="X2401" s="50">
        <v>5.04E-2</v>
      </c>
      <c r="Y2401" s="74">
        <v>3.0599999999999998E-3</v>
      </c>
      <c r="Z2401" s="165">
        <v>1</v>
      </c>
      <c r="AA2401" s="271">
        <v>1</v>
      </c>
      <c r="AB2401" s="114">
        <v>10.7</v>
      </c>
      <c r="AC2401" s="50">
        <v>134.69999999999999</v>
      </c>
      <c r="AD2401" s="271">
        <v>0.85</v>
      </c>
    </row>
    <row r="2402" spans="1:79" ht="15" customHeight="1">
      <c r="A2402" s="41" t="s">
        <v>183</v>
      </c>
      <c r="B2402" s="402" t="s">
        <v>2202</v>
      </c>
      <c r="C2402" s="113" t="s">
        <v>2203</v>
      </c>
      <c r="D2402" s="393" t="s">
        <v>192</v>
      </c>
      <c r="E2402" s="394" t="s">
        <v>2204</v>
      </c>
      <c r="G2402" s="405" t="s">
        <v>2205</v>
      </c>
      <c r="H2402" s="74">
        <v>4213</v>
      </c>
      <c r="I2402" s="50" t="s">
        <v>1</v>
      </c>
      <c r="J2402" s="339" t="s">
        <v>1125</v>
      </c>
      <c r="K2402" s="51">
        <v>41585</v>
      </c>
      <c r="L2402" s="173">
        <v>41554</v>
      </c>
      <c r="M2402" s="50">
        <f t="shared" si="134"/>
        <v>31</v>
      </c>
      <c r="N2402" s="50" t="s">
        <v>2</v>
      </c>
      <c r="O2402" s="74">
        <f>0.5/2</f>
        <v>0.25</v>
      </c>
      <c r="P2402" s="50">
        <v>6.8</v>
      </c>
      <c r="Q2402" s="74">
        <v>7.39</v>
      </c>
      <c r="R2402" s="50">
        <v>82</v>
      </c>
      <c r="S2402" s="74">
        <v>18</v>
      </c>
      <c r="T2402" s="50">
        <v>0.47199999999999998</v>
      </c>
      <c r="U2402" s="131">
        <v>2.2599999999999998</v>
      </c>
      <c r="V2402" s="50">
        <v>0.85199999999999998</v>
      </c>
      <c r="W2402" s="74">
        <v>1.44E-2</v>
      </c>
      <c r="X2402" s="50">
        <v>0.11700000000000001</v>
      </c>
      <c r="Y2402" s="74">
        <v>5.6600000000000001E-3</v>
      </c>
      <c r="Z2402" s="165">
        <v>1</v>
      </c>
      <c r="AA2402" s="271">
        <v>1</v>
      </c>
      <c r="AB2402" s="114">
        <v>18</v>
      </c>
      <c r="AC2402" s="50">
        <v>147</v>
      </c>
      <c r="AD2402" s="271">
        <v>0.95</v>
      </c>
    </row>
    <row r="2403" spans="1:79" ht="15" customHeight="1">
      <c r="A2403" s="41" t="s">
        <v>183</v>
      </c>
      <c r="B2403" s="402" t="s">
        <v>1303</v>
      </c>
      <c r="C2403" s="113" t="s">
        <v>1304</v>
      </c>
      <c r="D2403" s="393" t="s">
        <v>910</v>
      </c>
      <c r="E2403" s="394" t="s">
        <v>1305</v>
      </c>
      <c r="F2403" s="402">
        <v>4600</v>
      </c>
      <c r="G2403" s="405" t="s">
        <v>1306</v>
      </c>
      <c r="H2403" s="49">
        <v>4173</v>
      </c>
      <c r="I2403" s="50" t="s">
        <v>2</v>
      </c>
      <c r="J2403" s="76" t="s">
        <v>510</v>
      </c>
      <c r="K2403" s="51">
        <v>41226</v>
      </c>
      <c r="L2403" s="173">
        <v>41220</v>
      </c>
      <c r="M2403" s="50">
        <f t="shared" si="134"/>
        <v>6</v>
      </c>
      <c r="N2403" s="50" t="s">
        <v>2</v>
      </c>
      <c r="O2403" s="74">
        <v>5.2</v>
      </c>
      <c r="P2403" s="50">
        <v>7.62</v>
      </c>
      <c r="Q2403" s="74">
        <v>6.86</v>
      </c>
      <c r="R2403" s="50">
        <v>130</v>
      </c>
      <c r="S2403" s="74">
        <v>110</v>
      </c>
      <c r="T2403" s="50">
        <v>0.19</v>
      </c>
      <c r="U2403" s="131">
        <f>1/2</f>
        <v>0.5</v>
      </c>
      <c r="V2403" s="50">
        <v>0.45</v>
      </c>
      <c r="W2403" s="74">
        <v>4.1000000000000002E-2</v>
      </c>
      <c r="X2403" s="50">
        <v>0.14000000000000001</v>
      </c>
      <c r="Y2403" s="74">
        <f>0.013/2</f>
        <v>6.4999999999999997E-3</v>
      </c>
      <c r="Z2403" s="165"/>
    </row>
    <row r="2404" spans="1:79" ht="15" customHeight="1">
      <c r="A2404" s="41" t="s">
        <v>183</v>
      </c>
      <c r="B2404" s="402" t="s">
        <v>1303</v>
      </c>
      <c r="C2404" s="113" t="s">
        <v>1304</v>
      </c>
      <c r="D2404" s="393" t="s">
        <v>910</v>
      </c>
      <c r="E2404" s="394" t="s">
        <v>1305</v>
      </c>
      <c r="F2404" s="402">
        <v>4600</v>
      </c>
      <c r="G2404" s="405" t="s">
        <v>1306</v>
      </c>
      <c r="H2404" s="49">
        <v>4173</v>
      </c>
      <c r="I2404" s="50" t="s">
        <v>2</v>
      </c>
      <c r="J2404" s="76" t="s">
        <v>510</v>
      </c>
      <c r="K2404" s="51">
        <v>41530</v>
      </c>
      <c r="L2404" s="173">
        <v>41519</v>
      </c>
      <c r="M2404" s="50">
        <f t="shared" si="134"/>
        <v>11</v>
      </c>
      <c r="N2404" s="50" t="s">
        <v>2</v>
      </c>
      <c r="O2404" s="74">
        <f>5/2</f>
        <v>2.5</v>
      </c>
      <c r="P2404" s="50">
        <v>8.1199999999999992</v>
      </c>
      <c r="Q2404" s="74">
        <v>6.97</v>
      </c>
      <c r="R2404" s="50">
        <v>67</v>
      </c>
      <c r="S2404" s="74">
        <v>14</v>
      </c>
      <c r="T2404" s="50">
        <f>0.1/2</f>
        <v>0.05</v>
      </c>
      <c r="U2404" s="131">
        <f>1/2</f>
        <v>0.5</v>
      </c>
      <c r="V2404" s="50">
        <v>0.46</v>
      </c>
      <c r="W2404" s="74">
        <f>0.04/2</f>
        <v>0.02</v>
      </c>
      <c r="X2404" s="50">
        <v>5.3999999999999999E-2</v>
      </c>
      <c r="Y2404" s="74">
        <f>0.013/2</f>
        <v>6.4999999999999997E-3</v>
      </c>
      <c r="Z2404" s="165">
        <v>1</v>
      </c>
      <c r="AA2404" s="271">
        <v>1</v>
      </c>
      <c r="AB2404" s="114">
        <v>27</v>
      </c>
      <c r="AC2404" s="50">
        <v>115</v>
      </c>
      <c r="AD2404" s="271">
        <v>0.9</v>
      </c>
    </row>
    <row r="2405" spans="1:79" ht="15" customHeight="1">
      <c r="A2405" s="41" t="s">
        <v>183</v>
      </c>
      <c r="B2405" s="402" t="s">
        <v>1303</v>
      </c>
      <c r="C2405" s="113" t="s">
        <v>1304</v>
      </c>
      <c r="D2405" s="393" t="s">
        <v>910</v>
      </c>
      <c r="E2405" s="394" t="s">
        <v>1305</v>
      </c>
      <c r="F2405" s="402">
        <v>4600</v>
      </c>
      <c r="G2405" s="405" t="s">
        <v>1306</v>
      </c>
      <c r="H2405" s="49">
        <v>4173</v>
      </c>
      <c r="I2405" s="50" t="s">
        <v>2</v>
      </c>
      <c r="J2405" s="76" t="s">
        <v>510</v>
      </c>
      <c r="K2405" s="51">
        <v>41085</v>
      </c>
      <c r="L2405" s="173">
        <v>41081</v>
      </c>
      <c r="M2405" s="50">
        <f t="shared" si="134"/>
        <v>4</v>
      </c>
      <c r="N2405" s="50" t="s">
        <v>2</v>
      </c>
      <c r="O2405" s="74">
        <f>5/2</f>
        <v>2.5</v>
      </c>
      <c r="P2405" s="50">
        <v>6.02</v>
      </c>
      <c r="Q2405" s="74">
        <v>6.72</v>
      </c>
      <c r="R2405" s="50">
        <v>100</v>
      </c>
      <c r="S2405" s="74">
        <v>100</v>
      </c>
      <c r="T2405" s="50">
        <v>0.17</v>
      </c>
      <c r="U2405" s="131">
        <f>1/2</f>
        <v>0.5</v>
      </c>
      <c r="V2405" s="50">
        <v>0.42</v>
      </c>
      <c r="W2405" s="74">
        <f>0.04/2</f>
        <v>0.02</v>
      </c>
      <c r="X2405" s="50">
        <v>0.11</v>
      </c>
      <c r="Y2405" s="74">
        <f>0.013/2</f>
        <v>6.4999999999999997E-3</v>
      </c>
      <c r="Z2405" s="165">
        <v>1</v>
      </c>
      <c r="AA2405" s="271">
        <v>1</v>
      </c>
      <c r="AB2405" s="114">
        <v>32</v>
      </c>
      <c r="AC2405" s="50">
        <v>1218</v>
      </c>
      <c r="AD2405" s="271">
        <v>0.9</v>
      </c>
    </row>
    <row r="2406" spans="1:79" ht="15" customHeight="1">
      <c r="A2406" s="41" t="s">
        <v>183</v>
      </c>
      <c r="B2406" s="402" t="s">
        <v>956</v>
      </c>
      <c r="C2406" s="113" t="s">
        <v>381</v>
      </c>
      <c r="D2406" s="393" t="s">
        <v>350</v>
      </c>
      <c r="E2406" s="394" t="s">
        <v>382</v>
      </c>
      <c r="G2406" s="405" t="s">
        <v>383</v>
      </c>
      <c r="H2406" s="74">
        <v>4151</v>
      </c>
      <c r="I2406" s="50" t="s">
        <v>2</v>
      </c>
      <c r="J2406" s="339" t="s">
        <v>81</v>
      </c>
      <c r="K2406" s="51">
        <v>41727</v>
      </c>
      <c r="L2406" s="173">
        <v>41718</v>
      </c>
      <c r="M2406" s="50">
        <f t="shared" si="134"/>
        <v>9</v>
      </c>
      <c r="N2406" s="50" t="s">
        <v>2</v>
      </c>
      <c r="R2406" s="50">
        <v>18.600000000000001</v>
      </c>
      <c r="S2406" s="74">
        <v>15</v>
      </c>
      <c r="V2406" s="50">
        <v>0.32</v>
      </c>
      <c r="Z2406" s="165"/>
    </row>
    <row r="2407" spans="1:79" ht="15" customHeight="1">
      <c r="A2407" s="41" t="s">
        <v>183</v>
      </c>
      <c r="B2407" s="402" t="s">
        <v>3697</v>
      </c>
      <c r="C2407" s="113" t="s">
        <v>3697</v>
      </c>
      <c r="D2407" s="393" t="s">
        <v>372</v>
      </c>
      <c r="E2407" s="394" t="s">
        <v>235</v>
      </c>
      <c r="F2407" s="401"/>
      <c r="G2407" s="405" t="s">
        <v>3698</v>
      </c>
      <c r="H2407" s="113">
        <v>4111</v>
      </c>
      <c r="I2407" s="49"/>
      <c r="J2407" s="48" t="s">
        <v>510</v>
      </c>
      <c r="K2407" s="51">
        <v>41113</v>
      </c>
      <c r="L2407" s="173">
        <v>41110</v>
      </c>
      <c r="M2407" s="50">
        <f t="shared" si="134"/>
        <v>3</v>
      </c>
      <c r="N2407" s="50" t="s">
        <v>2</v>
      </c>
      <c r="O2407" s="74">
        <v>7.7</v>
      </c>
      <c r="P2407" s="50">
        <v>6.84</v>
      </c>
      <c r="Q2407" s="74">
        <v>6.96</v>
      </c>
      <c r="R2407" s="50">
        <v>62.1</v>
      </c>
      <c r="S2407" s="74">
        <v>122</v>
      </c>
      <c r="T2407" s="50">
        <v>0.2</v>
      </c>
      <c r="U2407" s="131">
        <v>1.33</v>
      </c>
      <c r="V2407" s="50">
        <v>0.22</v>
      </c>
      <c r="W2407" s="74">
        <v>0.08</v>
      </c>
      <c r="X2407" s="50">
        <v>0.19</v>
      </c>
      <c r="Y2407" s="74">
        <v>0.03</v>
      </c>
      <c r="Z2407" s="165"/>
    </row>
    <row r="2408" spans="1:79" s="384" customFormat="1" ht="15" customHeight="1">
      <c r="A2408" s="41" t="s">
        <v>183</v>
      </c>
      <c r="B2408" s="402" t="s">
        <v>3697</v>
      </c>
      <c r="C2408" s="113" t="s">
        <v>3697</v>
      </c>
      <c r="D2408" s="393" t="s">
        <v>372</v>
      </c>
      <c r="E2408" s="394" t="s">
        <v>235</v>
      </c>
      <c r="F2408" s="401"/>
      <c r="G2408" s="405" t="s">
        <v>3698</v>
      </c>
      <c r="H2408" s="113">
        <v>4111</v>
      </c>
      <c r="I2408" s="391"/>
      <c r="J2408" s="401" t="s">
        <v>510</v>
      </c>
      <c r="K2408" s="403">
        <v>41184</v>
      </c>
      <c r="L2408" s="379">
        <v>41180</v>
      </c>
      <c r="M2408" s="402">
        <v>4</v>
      </c>
      <c r="N2408" s="402" t="s">
        <v>2</v>
      </c>
      <c r="O2408" s="404">
        <v>9.1</v>
      </c>
      <c r="P2408" s="402">
        <v>6.99</v>
      </c>
      <c r="Q2408" s="404">
        <v>6.72</v>
      </c>
      <c r="R2408" s="402">
        <v>49.7</v>
      </c>
      <c r="S2408" s="404">
        <v>59.5</v>
      </c>
      <c r="T2408" s="402">
        <v>0.28000000000000003</v>
      </c>
      <c r="U2408" s="395">
        <v>0.4</v>
      </c>
      <c r="V2408" s="402">
        <v>0.3</v>
      </c>
      <c r="W2408" s="404">
        <v>0.06</v>
      </c>
      <c r="X2408" s="402">
        <v>0.27</v>
      </c>
      <c r="Y2408" s="404">
        <f>0.02/2</f>
        <v>0.01</v>
      </c>
      <c r="Z2408" s="349">
        <v>1</v>
      </c>
      <c r="AA2408" s="349">
        <v>1</v>
      </c>
      <c r="AB2408" s="394">
        <v>13.5</v>
      </c>
      <c r="AC2408" s="402">
        <v>813</v>
      </c>
      <c r="AD2408" s="399">
        <v>1</v>
      </c>
      <c r="AE2408" s="402"/>
      <c r="AF2408" s="113"/>
      <c r="AG2408" s="402"/>
      <c r="AH2408" s="402"/>
      <c r="AI2408" s="402"/>
      <c r="AJ2408" s="402"/>
      <c r="AK2408" s="402"/>
      <c r="AL2408" s="402"/>
      <c r="AM2408" s="402"/>
      <c r="AN2408" s="402"/>
      <c r="AO2408" s="391"/>
      <c r="AP2408" s="391"/>
      <c r="AQ2408" s="391"/>
      <c r="AR2408" s="391"/>
      <c r="AS2408" s="391"/>
      <c r="AT2408" s="391"/>
      <c r="AU2408" s="113"/>
      <c r="AV2408" s="391"/>
      <c r="AW2408" s="394"/>
      <c r="AX2408" s="385"/>
      <c r="AY2408" s="385"/>
      <c r="AZ2408" s="385"/>
      <c r="BA2408" s="385"/>
      <c r="BB2408" s="385"/>
      <c r="BC2408" s="385"/>
      <c r="BD2408" s="385"/>
      <c r="BE2408" s="385"/>
      <c r="BF2408" s="385"/>
      <c r="BG2408" s="385"/>
      <c r="BH2408" s="385"/>
      <c r="BI2408" s="385"/>
      <c r="BJ2408" s="385"/>
      <c r="BK2408" s="385"/>
      <c r="BL2408" s="385"/>
      <c r="BM2408" s="385"/>
      <c r="BN2408" s="385"/>
      <c r="BO2408" s="385"/>
      <c r="BP2408" s="385"/>
      <c r="BQ2408" s="385"/>
      <c r="BR2408" s="385"/>
      <c r="BS2408" s="385"/>
      <c r="BT2408" s="385"/>
      <c r="BU2408" s="385"/>
      <c r="BV2408" s="385"/>
      <c r="BW2408" s="385"/>
      <c r="BX2408" s="385"/>
      <c r="BY2408" s="385"/>
      <c r="BZ2408" s="385"/>
      <c r="CA2408" s="385"/>
    </row>
    <row r="2409" spans="1:79" ht="15" customHeight="1">
      <c r="A2409" s="41" t="s">
        <v>183</v>
      </c>
      <c r="B2409" s="402" t="s">
        <v>3697</v>
      </c>
      <c r="C2409" s="113" t="s">
        <v>3697</v>
      </c>
      <c r="D2409" s="393" t="s">
        <v>372</v>
      </c>
      <c r="E2409" s="394" t="s">
        <v>235</v>
      </c>
      <c r="F2409" s="401"/>
      <c r="G2409" s="405" t="s">
        <v>3698</v>
      </c>
      <c r="H2409" s="74">
        <v>4111</v>
      </c>
      <c r="J2409" s="339" t="s">
        <v>510</v>
      </c>
      <c r="K2409" s="51">
        <v>41499</v>
      </c>
      <c r="L2409" s="173">
        <v>41495</v>
      </c>
      <c r="M2409" s="50">
        <f t="shared" ref="M2409:M2415" si="135">K2409-L2409</f>
        <v>4</v>
      </c>
      <c r="N2409" s="50" t="s">
        <v>2</v>
      </c>
      <c r="O2409" s="74">
        <v>2.8</v>
      </c>
      <c r="P2409" s="50">
        <v>4.91</v>
      </c>
      <c r="Q2409" s="74">
        <v>6.92</v>
      </c>
      <c r="R2409" s="50">
        <v>99.1</v>
      </c>
      <c r="S2409" s="74">
        <v>69</v>
      </c>
      <c r="T2409" s="50">
        <v>0.19</v>
      </c>
      <c r="U2409" s="131">
        <v>2.72</v>
      </c>
      <c r="V2409" s="50">
        <v>1.2</v>
      </c>
      <c r="W2409" s="74">
        <v>0.08</v>
      </c>
      <c r="X2409" s="50">
        <v>0.17</v>
      </c>
      <c r="Y2409" s="74">
        <v>0.02</v>
      </c>
      <c r="Z2409" s="165"/>
    </row>
    <row r="2410" spans="1:79" ht="15" customHeight="1">
      <c r="A2410" s="41" t="s">
        <v>183</v>
      </c>
      <c r="B2410" s="402" t="s">
        <v>3697</v>
      </c>
      <c r="C2410" s="113" t="s">
        <v>3697</v>
      </c>
      <c r="D2410" s="393" t="s">
        <v>372</v>
      </c>
      <c r="E2410" s="394" t="s">
        <v>235</v>
      </c>
      <c r="F2410" s="401"/>
      <c r="G2410" s="405" t="s">
        <v>3698</v>
      </c>
      <c r="H2410" s="74">
        <v>4111</v>
      </c>
      <c r="J2410" s="339" t="s">
        <v>510</v>
      </c>
      <c r="K2410" s="51">
        <v>41727</v>
      </c>
      <c r="L2410" s="173">
        <v>41717</v>
      </c>
      <c r="M2410" s="50">
        <f t="shared" si="135"/>
        <v>10</v>
      </c>
      <c r="N2410" s="50" t="s">
        <v>2</v>
      </c>
      <c r="O2410" s="74">
        <v>5.3</v>
      </c>
      <c r="P2410" s="50">
        <v>6.26</v>
      </c>
      <c r="Q2410" s="74">
        <v>7.05</v>
      </c>
      <c r="R2410" s="50">
        <v>66.900000000000006</v>
      </c>
      <c r="S2410" s="74">
        <v>47</v>
      </c>
      <c r="T2410" s="50">
        <v>0.16</v>
      </c>
      <c r="U2410" s="131">
        <v>1.05</v>
      </c>
      <c r="V2410" s="50">
        <v>0.36</v>
      </c>
      <c r="W2410" s="74">
        <v>0.04</v>
      </c>
      <c r="X2410" s="50">
        <v>0.08</v>
      </c>
      <c r="Y2410" s="74">
        <f>0.02/2</f>
        <v>0.01</v>
      </c>
      <c r="Z2410" s="165"/>
    </row>
    <row r="2411" spans="1:79" ht="15" customHeight="1">
      <c r="A2411" s="41" t="s">
        <v>183</v>
      </c>
      <c r="B2411" s="402" t="s">
        <v>5310</v>
      </c>
      <c r="D2411" s="393" t="s">
        <v>308</v>
      </c>
      <c r="F2411" s="402" t="s">
        <v>5311</v>
      </c>
      <c r="G2411" s="405" t="s">
        <v>5312</v>
      </c>
      <c r="H2411" s="74">
        <v>3272</v>
      </c>
      <c r="I2411" s="50" t="s">
        <v>2</v>
      </c>
      <c r="J2411" s="339" t="s">
        <v>510</v>
      </c>
      <c r="K2411" s="51">
        <v>41037</v>
      </c>
      <c r="L2411" s="173">
        <v>41032</v>
      </c>
      <c r="M2411" s="50">
        <f t="shared" si="135"/>
        <v>5</v>
      </c>
      <c r="N2411" s="50" t="s">
        <v>2</v>
      </c>
      <c r="O2411" s="74">
        <f>1.4/2</f>
        <v>0.7</v>
      </c>
      <c r="P2411" s="50">
        <v>6.5</v>
      </c>
      <c r="Q2411" s="74">
        <v>7.97</v>
      </c>
      <c r="R2411" s="50">
        <v>99</v>
      </c>
      <c r="S2411" s="74">
        <v>7</v>
      </c>
      <c r="T2411" s="50">
        <v>7.0000000000000007E-2</v>
      </c>
      <c r="U2411" s="131">
        <v>1.55</v>
      </c>
      <c r="V2411" s="50">
        <v>0.05</v>
      </c>
      <c r="W2411" s="74">
        <f>0.005/2</f>
        <v>2.5000000000000001E-3</v>
      </c>
      <c r="X2411" s="50">
        <v>4.0000000000000001E-3</v>
      </c>
      <c r="Y2411" s="74">
        <f>0.002/2</f>
        <v>1E-3</v>
      </c>
      <c r="Z2411" s="165"/>
    </row>
    <row r="2412" spans="1:79" ht="15" customHeight="1">
      <c r="A2412" s="41" t="s">
        <v>183</v>
      </c>
      <c r="B2412" s="402" t="s">
        <v>4569</v>
      </c>
      <c r="D2412" s="393" t="s">
        <v>41</v>
      </c>
      <c r="E2412" s="394" t="s">
        <v>4570</v>
      </c>
      <c r="F2412" s="402">
        <v>4404</v>
      </c>
      <c r="G2412" s="405" t="s">
        <v>4571</v>
      </c>
      <c r="H2412" s="74">
        <v>3827</v>
      </c>
      <c r="I2412" s="50" t="s">
        <v>2</v>
      </c>
      <c r="J2412" s="339" t="s">
        <v>81</v>
      </c>
      <c r="K2412" s="51">
        <v>41653</v>
      </c>
      <c r="L2412" s="173">
        <v>41650</v>
      </c>
      <c r="M2412" s="50">
        <f t="shared" si="135"/>
        <v>3</v>
      </c>
      <c r="N2412" s="50" t="s">
        <v>2</v>
      </c>
      <c r="O2412" s="74">
        <f>1.4/2</f>
        <v>0.7</v>
      </c>
      <c r="P2412" s="50">
        <v>6.5</v>
      </c>
      <c r="Q2412" s="74">
        <v>7.28</v>
      </c>
      <c r="R2412" s="50">
        <v>32</v>
      </c>
      <c r="S2412" s="74">
        <v>12</v>
      </c>
      <c r="T2412" s="50">
        <v>0.05</v>
      </c>
      <c r="U2412" s="131">
        <v>0.71</v>
      </c>
      <c r="V2412" s="50">
        <v>0.4</v>
      </c>
      <c r="W2412" s="74">
        <v>1.0999999999999999E-2</v>
      </c>
      <c r="X2412" s="50">
        <v>0.20599999999999999</v>
      </c>
      <c r="Y2412" s="74">
        <v>4.0000000000000001E-3</v>
      </c>
      <c r="Z2412" s="165"/>
    </row>
    <row r="2413" spans="1:79" ht="15" customHeight="1">
      <c r="A2413" s="41" t="s">
        <v>183</v>
      </c>
      <c r="B2413" s="402" t="s">
        <v>5318</v>
      </c>
      <c r="D2413" s="393" t="s">
        <v>1550</v>
      </c>
      <c r="F2413" s="401" t="s">
        <v>5319</v>
      </c>
      <c r="G2413" s="405" t="s">
        <v>5313</v>
      </c>
      <c r="H2413" s="74">
        <v>4212</v>
      </c>
      <c r="I2413" s="50" t="s">
        <v>2</v>
      </c>
      <c r="J2413" s="339" t="s">
        <v>510</v>
      </c>
      <c r="K2413" s="51">
        <v>41530</v>
      </c>
      <c r="L2413" s="173">
        <v>41520</v>
      </c>
      <c r="M2413" s="50">
        <f t="shared" si="135"/>
        <v>10</v>
      </c>
      <c r="N2413" s="50" t="s">
        <v>2</v>
      </c>
      <c r="O2413" s="74">
        <f>1.4/2</f>
        <v>0.7</v>
      </c>
      <c r="P2413" s="50">
        <v>6.5</v>
      </c>
      <c r="Q2413" s="74">
        <v>6.52</v>
      </c>
      <c r="R2413" s="50">
        <v>47</v>
      </c>
      <c r="S2413" s="74">
        <v>68</v>
      </c>
      <c r="T2413" s="50">
        <v>0.36</v>
      </c>
      <c r="U2413" s="131">
        <v>2.8</v>
      </c>
      <c r="V2413" s="50">
        <v>1.1299999999999999</v>
      </c>
      <c r="W2413" s="74">
        <v>0.04</v>
      </c>
      <c r="X2413" s="50">
        <v>0.14499999999999999</v>
      </c>
      <c r="Y2413" s="74">
        <v>1.0999999999999999E-2</v>
      </c>
      <c r="Z2413" s="165">
        <v>1</v>
      </c>
      <c r="AA2413" s="271">
        <v>1</v>
      </c>
      <c r="AB2413" s="114">
        <v>50</v>
      </c>
      <c r="AC2413" s="50">
        <v>201</v>
      </c>
      <c r="AD2413" s="271">
        <v>1</v>
      </c>
    </row>
    <row r="2414" spans="1:79" ht="15" customHeight="1">
      <c r="A2414" s="41" t="s">
        <v>183</v>
      </c>
      <c r="B2414" s="402" t="s">
        <v>5318</v>
      </c>
      <c r="D2414" s="393" t="s">
        <v>1550</v>
      </c>
      <c r="F2414" s="401" t="s">
        <v>5319</v>
      </c>
      <c r="G2414" s="405" t="s">
        <v>5313</v>
      </c>
      <c r="H2414" s="74">
        <v>4212</v>
      </c>
      <c r="I2414" s="50" t="s">
        <v>2</v>
      </c>
      <c r="J2414" s="339" t="s">
        <v>510</v>
      </c>
      <c r="K2414" s="51">
        <v>41605</v>
      </c>
      <c r="L2414" s="173">
        <v>41596</v>
      </c>
      <c r="M2414" s="50">
        <f t="shared" si="135"/>
        <v>9</v>
      </c>
      <c r="N2414" s="50" t="s">
        <v>2</v>
      </c>
      <c r="O2414" s="74">
        <f>1.4/2</f>
        <v>0.7</v>
      </c>
      <c r="P2414" s="50">
        <v>6.5</v>
      </c>
      <c r="Q2414" s="74">
        <v>6.72</v>
      </c>
      <c r="R2414" s="50">
        <v>28</v>
      </c>
      <c r="S2414" s="74">
        <v>73</v>
      </c>
      <c r="T2414" s="50">
        <v>0.22</v>
      </c>
      <c r="U2414" s="131">
        <v>1.38</v>
      </c>
      <c r="V2414" s="50">
        <v>0.19</v>
      </c>
      <c r="W2414" s="74">
        <v>1.7000000000000001E-2</v>
      </c>
      <c r="X2414" s="50">
        <v>7.0000000000000007E-2</v>
      </c>
      <c r="Y2414" s="74">
        <v>2.1000000000000001E-2</v>
      </c>
      <c r="Z2414" s="165"/>
    </row>
    <row r="2415" spans="1:79" ht="15" customHeight="1">
      <c r="A2415" s="41" t="s">
        <v>183</v>
      </c>
      <c r="B2415" s="402" t="s">
        <v>4213</v>
      </c>
      <c r="C2415" s="113" t="s">
        <v>4214</v>
      </c>
      <c r="F2415" s="402" t="s">
        <v>3336</v>
      </c>
      <c r="G2415" s="405" t="s">
        <v>4215</v>
      </c>
      <c r="H2415" s="74">
        <v>4212</v>
      </c>
      <c r="I2415" s="50" t="s">
        <v>2</v>
      </c>
      <c r="J2415" s="339" t="s">
        <v>366</v>
      </c>
      <c r="K2415" s="51">
        <v>41585</v>
      </c>
      <c r="L2415" s="173">
        <v>41539</v>
      </c>
      <c r="M2415" s="50">
        <f t="shared" si="135"/>
        <v>46</v>
      </c>
      <c r="N2415" s="50" t="s">
        <v>2</v>
      </c>
      <c r="O2415" s="74">
        <v>4.9000000000000004</v>
      </c>
      <c r="P2415" s="50">
        <v>6.5</v>
      </c>
      <c r="R2415" s="50">
        <v>52</v>
      </c>
      <c r="S2415" s="74">
        <v>77</v>
      </c>
      <c r="T2415" s="50">
        <v>0.59</v>
      </c>
      <c r="X2415" s="50">
        <v>0.44400000000000001</v>
      </c>
      <c r="Z2415" s="165"/>
    </row>
    <row r="2416" spans="1:79" ht="15" customHeight="1">
      <c r="A2416" s="41" t="s">
        <v>183</v>
      </c>
      <c r="B2416" s="402" t="s">
        <v>3685</v>
      </c>
      <c r="C2416" s="113" t="s">
        <v>3689</v>
      </c>
      <c r="D2416" s="393" t="s">
        <v>1505</v>
      </c>
      <c r="F2416" s="401" t="s">
        <v>3687</v>
      </c>
      <c r="G2416" s="405" t="s">
        <v>3690</v>
      </c>
      <c r="H2416" s="74">
        <v>4214</v>
      </c>
      <c r="I2416" s="50" t="s">
        <v>2</v>
      </c>
      <c r="J2416" s="339" t="s">
        <v>510</v>
      </c>
      <c r="K2416" s="51">
        <v>41332</v>
      </c>
      <c r="L2416" s="173"/>
      <c r="N2416" s="50" t="s">
        <v>2</v>
      </c>
      <c r="O2416" s="74">
        <v>1.6</v>
      </c>
      <c r="P2416" s="50">
        <v>7.73</v>
      </c>
      <c r="Q2416" s="74">
        <v>7.48</v>
      </c>
      <c r="R2416" s="50">
        <v>30</v>
      </c>
      <c r="S2416" s="74">
        <v>20</v>
      </c>
      <c r="T2416" s="50">
        <v>0.09</v>
      </c>
      <c r="U2416" s="131">
        <v>0.94</v>
      </c>
      <c r="V2416" s="50">
        <v>0.22</v>
      </c>
      <c r="W2416" s="74">
        <v>6.0000000000000001E-3</v>
      </c>
      <c r="X2416" s="50">
        <v>6.8000000000000005E-2</v>
      </c>
      <c r="Y2416" s="74">
        <v>8.0000000000000002E-3</v>
      </c>
      <c r="Z2416" s="165"/>
    </row>
    <row r="2417" spans="1:46" ht="15" customHeight="1">
      <c r="A2417" s="41" t="s">
        <v>183</v>
      </c>
      <c r="B2417" s="402" t="s">
        <v>4216</v>
      </c>
      <c r="C2417" s="113" t="s">
        <v>4217</v>
      </c>
      <c r="D2417" s="393" t="s">
        <v>3090</v>
      </c>
      <c r="E2417" s="394" t="s">
        <v>4218</v>
      </c>
      <c r="F2417" s="402" t="s">
        <v>4591</v>
      </c>
      <c r="G2417" s="405" t="s">
        <v>4220</v>
      </c>
      <c r="H2417" s="74">
        <v>4212</v>
      </c>
      <c r="I2417" s="50" t="s">
        <v>2</v>
      </c>
      <c r="J2417" s="339" t="s">
        <v>510</v>
      </c>
      <c r="K2417" s="51">
        <v>41226</v>
      </c>
      <c r="L2417" s="173">
        <v>41220</v>
      </c>
      <c r="M2417" s="50">
        <f>K2417-L2417</f>
        <v>6</v>
      </c>
      <c r="N2417" s="50" t="s">
        <v>2</v>
      </c>
      <c r="O2417" s="74">
        <v>2.8</v>
      </c>
      <c r="P2417" s="50">
        <v>6.5</v>
      </c>
      <c r="Q2417" s="74">
        <v>7.3</v>
      </c>
      <c r="R2417" s="50">
        <v>77</v>
      </c>
      <c r="S2417" s="74">
        <v>150</v>
      </c>
      <c r="T2417" s="50">
        <v>0.32</v>
      </c>
      <c r="U2417" s="131">
        <v>0.99</v>
      </c>
      <c r="V2417" s="50">
        <v>0.25</v>
      </c>
      <c r="W2417" s="74">
        <v>4.4999999999999998E-2</v>
      </c>
      <c r="X2417" s="50">
        <v>0.249</v>
      </c>
      <c r="Y2417" s="74">
        <v>3.3000000000000002E-2</v>
      </c>
      <c r="Z2417" s="165">
        <v>1</v>
      </c>
      <c r="AA2417" s="271">
        <v>1</v>
      </c>
      <c r="AB2417" s="114">
        <v>6</v>
      </c>
      <c r="AC2417" s="50">
        <v>21</v>
      </c>
      <c r="AD2417" s="271">
        <v>1</v>
      </c>
    </row>
    <row r="2418" spans="1:46" ht="15" customHeight="1">
      <c r="A2418" s="41" t="s">
        <v>183</v>
      </c>
      <c r="B2418" s="402" t="s">
        <v>4216</v>
      </c>
      <c r="C2418" s="113" t="s">
        <v>4217</v>
      </c>
      <c r="D2418" s="393" t="s">
        <v>3090</v>
      </c>
      <c r="E2418" s="394" t="s">
        <v>4218</v>
      </c>
      <c r="F2418" s="402" t="s">
        <v>4591</v>
      </c>
      <c r="G2418" s="405" t="s">
        <v>4220</v>
      </c>
      <c r="H2418" s="74">
        <v>4212</v>
      </c>
      <c r="I2418" s="50" t="s">
        <v>2</v>
      </c>
      <c r="J2418" s="339" t="s">
        <v>510</v>
      </c>
      <c r="K2418" s="51">
        <v>41332</v>
      </c>
      <c r="L2418" s="173">
        <v>41329</v>
      </c>
      <c r="M2418" s="50">
        <f>K2418-L2418</f>
        <v>3</v>
      </c>
      <c r="N2418" s="50" t="s">
        <v>2</v>
      </c>
      <c r="O2418" s="74">
        <f>1.4/2</f>
        <v>0.7</v>
      </c>
      <c r="P2418" s="50">
        <v>7.73</v>
      </c>
      <c r="Q2418" s="74">
        <v>7.12</v>
      </c>
      <c r="R2418" s="50">
        <f>10/2</f>
        <v>5</v>
      </c>
      <c r="S2418" s="74">
        <v>26</v>
      </c>
      <c r="T2418" s="50">
        <v>0.1</v>
      </c>
      <c r="U2418" s="131">
        <v>0.41</v>
      </c>
      <c r="V2418" s="50">
        <v>0.03</v>
      </c>
      <c r="W2418" s="74">
        <v>8.9999999999999993E-3</v>
      </c>
      <c r="X2418" s="50">
        <v>6.2E-2</v>
      </c>
      <c r="Y2418" s="74">
        <v>7.0000000000000001E-3</v>
      </c>
      <c r="Z2418" s="165">
        <v>1</v>
      </c>
      <c r="AA2418" s="271">
        <v>1</v>
      </c>
      <c r="AB2418" s="114">
        <v>6</v>
      </c>
      <c r="AC2418" s="50">
        <v>21</v>
      </c>
      <c r="AD2418" s="271">
        <v>1</v>
      </c>
    </row>
    <row r="2419" spans="1:46" ht="15" customHeight="1">
      <c r="A2419" s="41" t="s">
        <v>183</v>
      </c>
      <c r="B2419" s="402" t="s">
        <v>3685</v>
      </c>
      <c r="C2419" s="113" t="s">
        <v>3686</v>
      </c>
      <c r="D2419" s="393" t="s">
        <v>1505</v>
      </c>
      <c r="F2419" s="401" t="s">
        <v>3687</v>
      </c>
      <c r="G2419" s="405" t="s">
        <v>3688</v>
      </c>
      <c r="H2419" s="74">
        <v>4212</v>
      </c>
      <c r="I2419" s="50" t="s">
        <v>2</v>
      </c>
      <c r="J2419" s="339" t="s">
        <v>510</v>
      </c>
      <c r="K2419" s="51">
        <v>41332</v>
      </c>
      <c r="L2419" s="173">
        <v>41329</v>
      </c>
      <c r="M2419" s="50">
        <f>K2419-L2419</f>
        <v>3</v>
      </c>
      <c r="N2419" s="50" t="s">
        <v>2</v>
      </c>
      <c r="O2419" s="74">
        <v>6.4</v>
      </c>
      <c r="P2419" s="50">
        <v>7.73</v>
      </c>
      <c r="Q2419" s="74">
        <v>7.96</v>
      </c>
      <c r="R2419" s="50">
        <v>116</v>
      </c>
      <c r="S2419" s="74">
        <v>180</v>
      </c>
      <c r="T2419" s="50">
        <v>0.27</v>
      </c>
      <c r="U2419" s="131">
        <v>1.02</v>
      </c>
      <c r="V2419" s="50">
        <f>0.01/2</f>
        <v>5.0000000000000001E-3</v>
      </c>
      <c r="W2419" s="74">
        <v>2.8000000000000001E-2</v>
      </c>
      <c r="X2419" s="50">
        <v>0.16200000000000001</v>
      </c>
      <c r="Y2419" s="74">
        <v>2.4E-2</v>
      </c>
      <c r="Z2419" s="165">
        <v>1</v>
      </c>
      <c r="AA2419" s="271">
        <v>1</v>
      </c>
      <c r="AB2419" s="114">
        <v>48</v>
      </c>
      <c r="AC2419" s="50">
        <v>134</v>
      </c>
      <c r="AD2419" s="271">
        <v>1</v>
      </c>
    </row>
    <row r="2420" spans="1:46" ht="15" customHeight="1">
      <c r="A2420" s="41" t="s">
        <v>183</v>
      </c>
      <c r="B2420" s="402" t="s">
        <v>3685</v>
      </c>
      <c r="C2420" s="113" t="s">
        <v>3686</v>
      </c>
      <c r="D2420" s="393" t="s">
        <v>1505</v>
      </c>
      <c r="F2420" s="401" t="s">
        <v>3687</v>
      </c>
      <c r="G2420" s="405" t="s">
        <v>3688</v>
      </c>
      <c r="H2420" s="74">
        <v>4212</v>
      </c>
      <c r="I2420" s="50" t="s">
        <v>2</v>
      </c>
      <c r="J2420" s="339" t="s">
        <v>510</v>
      </c>
      <c r="K2420" s="51">
        <v>41201</v>
      </c>
      <c r="L2420" s="173">
        <v>41197</v>
      </c>
      <c r="M2420" s="50">
        <f>K2420-L2420</f>
        <v>4</v>
      </c>
      <c r="N2420" s="50" t="s">
        <v>2</v>
      </c>
      <c r="O2420" s="74">
        <v>1.9</v>
      </c>
      <c r="P2420" s="50">
        <v>6.5</v>
      </c>
      <c r="Q2420" s="74">
        <v>7.76</v>
      </c>
      <c r="R2420" s="50">
        <v>61</v>
      </c>
      <c r="S2420" s="74">
        <v>7.5</v>
      </c>
      <c r="T2420" s="50">
        <v>0.6</v>
      </c>
      <c r="U2420" s="131">
        <v>1.1200000000000001</v>
      </c>
      <c r="V2420" s="50">
        <v>0.13</v>
      </c>
      <c r="W2420" s="74">
        <v>1.4999999999999999E-2</v>
      </c>
      <c r="X2420" s="50">
        <v>0.158</v>
      </c>
      <c r="Y2420" s="74">
        <v>6.0000000000000001E-3</v>
      </c>
      <c r="Z2420" s="165"/>
    </row>
    <row r="2421" spans="1:46" ht="15" customHeight="1">
      <c r="A2421" s="41" t="s">
        <v>183</v>
      </c>
      <c r="B2421" s="402" t="s">
        <v>3685</v>
      </c>
      <c r="C2421" s="113" t="s">
        <v>3689</v>
      </c>
      <c r="D2421" s="393" t="s">
        <v>1505</v>
      </c>
      <c r="F2421" s="401" t="s">
        <v>3687</v>
      </c>
      <c r="G2421" s="405" t="s">
        <v>3690</v>
      </c>
      <c r="H2421" s="74">
        <v>4214</v>
      </c>
      <c r="I2421" s="50" t="s">
        <v>2</v>
      </c>
      <c r="J2421" s="339" t="s">
        <v>510</v>
      </c>
      <c r="K2421" s="51">
        <v>41432</v>
      </c>
      <c r="L2421" s="173">
        <v>41428</v>
      </c>
      <c r="M2421" s="50">
        <f>K2421-L2421</f>
        <v>4</v>
      </c>
      <c r="N2421" s="50" t="s">
        <v>2</v>
      </c>
      <c r="O2421" s="74">
        <f>1.4/2</f>
        <v>0.7</v>
      </c>
      <c r="P2421" s="50">
        <v>6.5</v>
      </c>
      <c r="Q2421" s="74">
        <v>7.5</v>
      </c>
      <c r="R2421" s="50">
        <v>36</v>
      </c>
      <c r="S2421" s="74">
        <v>110</v>
      </c>
      <c r="T2421" s="50">
        <v>0.06</v>
      </c>
      <c r="U2421" s="131">
        <v>0.88</v>
      </c>
      <c r="V2421" s="50">
        <v>0.08</v>
      </c>
      <c r="W2421" s="74">
        <v>7.0000000000000001E-3</v>
      </c>
      <c r="X2421" s="50">
        <v>3.7999999999999999E-2</v>
      </c>
      <c r="Y2421" s="74">
        <f>0.002/2</f>
        <v>1E-3</v>
      </c>
      <c r="Z2421" s="165"/>
    </row>
    <row r="2422" spans="1:46" ht="15" customHeight="1">
      <c r="A2422" s="41" t="s">
        <v>183</v>
      </c>
      <c r="B2422" s="402" t="s">
        <v>4458</v>
      </c>
      <c r="C2422" s="113" t="s">
        <v>4459</v>
      </c>
      <c r="D2422" s="393" t="s">
        <v>684</v>
      </c>
      <c r="E2422" s="394" t="s">
        <v>112</v>
      </c>
      <c r="G2422" s="405" t="s">
        <v>4460</v>
      </c>
      <c r="H2422" s="74">
        <v>4212</v>
      </c>
      <c r="I2422" s="50" t="s">
        <v>1</v>
      </c>
      <c r="J2422" s="339" t="s">
        <v>81</v>
      </c>
      <c r="K2422" s="51">
        <v>41403</v>
      </c>
      <c r="L2422" s="173"/>
      <c r="N2422" s="50" t="s">
        <v>2</v>
      </c>
      <c r="O2422" s="74">
        <f>5/2</f>
        <v>2.5</v>
      </c>
      <c r="Q2422" s="74">
        <v>6.35</v>
      </c>
      <c r="R2422" s="50">
        <v>150</v>
      </c>
      <c r="S2422" s="74">
        <v>11</v>
      </c>
      <c r="T2422" s="50">
        <v>0.08</v>
      </c>
      <c r="U2422" s="131">
        <v>4.5999999999999996</v>
      </c>
      <c r="V2422" s="50">
        <v>0.85</v>
      </c>
      <c r="W2422" s="74">
        <v>0.13</v>
      </c>
      <c r="X2422" s="50">
        <v>1.3</v>
      </c>
      <c r="Y2422" s="74">
        <v>2.1999999999999999E-2</v>
      </c>
      <c r="Z2422" s="165">
        <v>0.97699999999999998</v>
      </c>
      <c r="AA2422" s="271">
        <v>0.70699999999999996</v>
      </c>
      <c r="AC2422" s="50">
        <v>132</v>
      </c>
      <c r="AD2422" s="271">
        <v>0.3</v>
      </c>
    </row>
    <row r="2423" spans="1:46" ht="15" customHeight="1">
      <c r="A2423" s="41" t="s">
        <v>183</v>
      </c>
      <c r="B2423" s="385" t="s">
        <v>4348</v>
      </c>
      <c r="C2423" s="18" t="s">
        <v>4349</v>
      </c>
      <c r="D2423" s="377" t="s">
        <v>379</v>
      </c>
      <c r="E2423" s="20" t="s">
        <v>214</v>
      </c>
      <c r="F2423" s="385">
        <v>4315</v>
      </c>
      <c r="G2423" s="390" t="s">
        <v>4350</v>
      </c>
      <c r="H2423" s="6">
        <v>2653</v>
      </c>
      <c r="I2423" s="7" t="s">
        <v>1</v>
      </c>
      <c r="J2423" s="344" t="s">
        <v>4351</v>
      </c>
      <c r="K2423" s="51">
        <v>41324</v>
      </c>
      <c r="L2423" s="173">
        <v>41316</v>
      </c>
      <c r="M2423" s="50">
        <f>K2423-L2423</f>
        <v>8</v>
      </c>
      <c r="N2423" s="50" t="s">
        <v>1</v>
      </c>
      <c r="O2423" s="74">
        <f>1.7/2</f>
        <v>0.85</v>
      </c>
      <c r="P2423" s="50">
        <v>4.7</v>
      </c>
      <c r="Q2423" s="74">
        <v>7.6</v>
      </c>
      <c r="R2423" s="50">
        <v>100</v>
      </c>
      <c r="S2423" s="74">
        <v>56</v>
      </c>
      <c r="T2423" s="50">
        <v>0.12</v>
      </c>
      <c r="U2423" s="131">
        <v>3.7</v>
      </c>
      <c r="V2423" s="50">
        <v>0.5</v>
      </c>
      <c r="W2423" s="74">
        <v>1.9E-2</v>
      </c>
      <c r="X2423" s="50">
        <v>0.106</v>
      </c>
      <c r="Y2423" s="74">
        <v>5.4999999999999997E-3</v>
      </c>
      <c r="Z2423" s="165"/>
    </row>
    <row r="2424" spans="1:46" ht="15" customHeight="1">
      <c r="A2424" s="41" t="s">
        <v>183</v>
      </c>
      <c r="B2424" s="402" t="s">
        <v>5326</v>
      </c>
      <c r="D2424" s="393" t="s">
        <v>111</v>
      </c>
      <c r="G2424" s="405" t="s">
        <v>4074</v>
      </c>
      <c r="H2424" s="74">
        <v>4953</v>
      </c>
      <c r="I2424" s="50" t="s">
        <v>2</v>
      </c>
      <c r="J2424" s="339" t="s">
        <v>5327</v>
      </c>
      <c r="K2424" s="51">
        <v>41304</v>
      </c>
      <c r="L2424" s="173">
        <v>41289</v>
      </c>
      <c r="M2424" s="50">
        <f>K2424-L2424</f>
        <v>15</v>
      </c>
      <c r="N2424" s="50" t="s">
        <v>1</v>
      </c>
      <c r="O2424" s="74">
        <v>2.5</v>
      </c>
      <c r="P2424" s="50">
        <v>6.9</v>
      </c>
      <c r="Q2424" s="74">
        <v>6.7</v>
      </c>
      <c r="R2424" s="50">
        <f>10/2</f>
        <v>5</v>
      </c>
      <c r="S2424" s="74">
        <v>25</v>
      </c>
      <c r="T2424" s="50">
        <v>0.08</v>
      </c>
      <c r="U2424" s="131">
        <v>0.63</v>
      </c>
      <c r="V2424" s="50">
        <v>0.15</v>
      </c>
      <c r="W2424" s="74">
        <v>1.7000000000000001E-2</v>
      </c>
      <c r="X2424" s="50">
        <v>8.7999999999999995E-2</v>
      </c>
      <c r="Y2424" s="74">
        <f>0.03/2</f>
        <v>1.4999999999999999E-2</v>
      </c>
      <c r="Z2424" s="165">
        <v>1</v>
      </c>
      <c r="AA2424" s="271">
        <v>1</v>
      </c>
      <c r="AB2424" s="114">
        <v>9</v>
      </c>
      <c r="AC2424" s="50">
        <v>44</v>
      </c>
      <c r="AD2424" s="271">
        <v>0.6</v>
      </c>
    </row>
    <row r="2425" spans="1:46" ht="15" customHeight="1">
      <c r="A2425" s="41" t="s">
        <v>183</v>
      </c>
      <c r="B2425" s="402" t="s">
        <v>4458</v>
      </c>
      <c r="C2425" s="113" t="s">
        <v>4459</v>
      </c>
      <c r="D2425" s="393" t="s">
        <v>684</v>
      </c>
      <c r="E2425" s="394" t="s">
        <v>112</v>
      </c>
      <c r="G2425" s="405" t="s">
        <v>4460</v>
      </c>
      <c r="H2425" s="74">
        <v>4212</v>
      </c>
      <c r="I2425" s="50" t="s">
        <v>1</v>
      </c>
      <c r="J2425" s="339" t="s">
        <v>81</v>
      </c>
      <c r="K2425" s="51">
        <v>41653</v>
      </c>
      <c r="L2425" s="173"/>
      <c r="N2425" s="50" t="s">
        <v>2</v>
      </c>
      <c r="O2425" s="74">
        <v>2.6</v>
      </c>
      <c r="Q2425" s="74">
        <v>6.84</v>
      </c>
      <c r="R2425" s="50">
        <f>10/2</f>
        <v>5</v>
      </c>
      <c r="S2425" s="74">
        <v>34</v>
      </c>
      <c r="T2425" s="50">
        <v>8.4000000000000005E-2</v>
      </c>
      <c r="U2425" s="131">
        <v>0.82</v>
      </c>
      <c r="V2425" s="50">
        <v>0.1</v>
      </c>
      <c r="W2425" s="74">
        <v>1.2999999999999999E-2</v>
      </c>
      <c r="X2425" s="50">
        <v>6.7000000000000004E-2</v>
      </c>
      <c r="Y2425" s="74">
        <v>1.2999999999999999E-2</v>
      </c>
      <c r="Z2425" s="165"/>
    </row>
    <row r="2426" spans="1:46" ht="15" customHeight="1">
      <c r="A2426" s="41" t="s">
        <v>183</v>
      </c>
      <c r="B2426" s="402" t="s">
        <v>4328</v>
      </c>
      <c r="C2426" s="113" t="s">
        <v>4328</v>
      </c>
      <c r="D2426" s="393" t="s">
        <v>372</v>
      </c>
      <c r="E2426" s="394" t="s">
        <v>235</v>
      </c>
      <c r="G2426" s="405" t="s">
        <v>4329</v>
      </c>
      <c r="H2426" s="74"/>
      <c r="J2426" s="339" t="s">
        <v>641</v>
      </c>
      <c r="K2426" s="51">
        <v>41728</v>
      </c>
      <c r="L2426" s="173">
        <v>41717</v>
      </c>
      <c r="M2426" s="50">
        <f>K2426-L2426</f>
        <v>11</v>
      </c>
      <c r="N2426" s="50" t="s">
        <v>2</v>
      </c>
      <c r="O2426" s="74">
        <f>1/2</f>
        <v>0.5</v>
      </c>
      <c r="P2426" s="50">
        <v>6.51</v>
      </c>
      <c r="Q2426" s="74">
        <v>7.5</v>
      </c>
      <c r="R2426" s="50">
        <v>18.600000000000001</v>
      </c>
      <c r="S2426" s="74">
        <v>7</v>
      </c>
      <c r="T2426" s="50">
        <v>0.08</v>
      </c>
      <c r="U2426" s="131">
        <v>1.42</v>
      </c>
      <c r="V2426" s="50">
        <v>0.51</v>
      </c>
      <c r="W2426" s="74">
        <v>0.04</v>
      </c>
      <c r="X2426" s="50">
        <v>0.09</v>
      </c>
      <c r="Y2426" s="74">
        <f>0.02/2</f>
        <v>0.01</v>
      </c>
      <c r="Z2426" s="165">
        <v>0.5</v>
      </c>
      <c r="AA2426" s="271">
        <v>0.31</v>
      </c>
      <c r="AB2426" s="114">
        <v>2.6</v>
      </c>
      <c r="AC2426" s="50">
        <v>36.799999999999997</v>
      </c>
      <c r="AD2426" s="271">
        <v>0</v>
      </c>
    </row>
    <row r="2427" spans="1:46" ht="15" customHeight="1">
      <c r="A2427" s="41" t="s">
        <v>183</v>
      </c>
      <c r="B2427" s="386" t="s">
        <v>913</v>
      </c>
      <c r="C2427" s="149" t="s">
        <v>913</v>
      </c>
      <c r="D2427" s="392" t="s">
        <v>89</v>
      </c>
      <c r="E2427" s="258" t="s">
        <v>914</v>
      </c>
      <c r="F2427" s="386"/>
      <c r="G2427" s="389" t="s">
        <v>915</v>
      </c>
      <c r="H2427" s="55">
        <v>2869</v>
      </c>
      <c r="I2427" s="54" t="s">
        <v>2</v>
      </c>
      <c r="J2427" s="61" t="s">
        <v>917</v>
      </c>
      <c r="K2427" s="51">
        <v>41402</v>
      </c>
      <c r="L2427" s="173">
        <v>41387</v>
      </c>
      <c r="M2427" s="50">
        <f>K2426-L2426</f>
        <v>11</v>
      </c>
      <c r="N2427" s="50" t="s">
        <v>2</v>
      </c>
      <c r="O2427" s="74">
        <v>2.5</v>
      </c>
      <c r="P2427" s="50">
        <v>5</v>
      </c>
      <c r="Q2427" s="74">
        <v>6.23</v>
      </c>
      <c r="R2427" s="50">
        <v>340</v>
      </c>
      <c r="S2427" s="74">
        <v>132</v>
      </c>
      <c r="T2427" s="50">
        <v>1.1200000000000001</v>
      </c>
      <c r="U2427" s="131">
        <v>5.6</v>
      </c>
      <c r="V2427" s="50">
        <v>1.1100000000000001</v>
      </c>
      <c r="W2427" s="74">
        <v>0.1</v>
      </c>
      <c r="X2427" s="50">
        <v>0.2</v>
      </c>
      <c r="Y2427" s="74">
        <f>0.05/2</f>
        <v>2.5000000000000001E-2</v>
      </c>
      <c r="Z2427" s="165">
        <v>1</v>
      </c>
      <c r="AA2427" s="271">
        <v>1</v>
      </c>
      <c r="AB2427" s="114">
        <v>351</v>
      </c>
      <c r="AC2427" s="50">
        <v>835</v>
      </c>
      <c r="AD2427" s="271">
        <v>1</v>
      </c>
    </row>
    <row r="2428" spans="1:46" ht="15" customHeight="1">
      <c r="A2428" s="41" t="s">
        <v>183</v>
      </c>
      <c r="B2428" s="386" t="s">
        <v>913</v>
      </c>
      <c r="C2428" s="149" t="s">
        <v>913</v>
      </c>
      <c r="D2428" s="392" t="s">
        <v>89</v>
      </c>
      <c r="E2428" s="258" t="s">
        <v>914</v>
      </c>
      <c r="F2428" s="386"/>
      <c r="G2428" s="389" t="s">
        <v>915</v>
      </c>
      <c r="H2428" s="55">
        <v>2869</v>
      </c>
      <c r="I2428" s="54" t="s">
        <v>2</v>
      </c>
      <c r="J2428" s="61" t="s">
        <v>916</v>
      </c>
      <c r="K2428" s="51">
        <v>41402</v>
      </c>
      <c r="L2428" s="173">
        <v>41387</v>
      </c>
      <c r="M2428" s="50">
        <f>K2428-L2428</f>
        <v>15</v>
      </c>
      <c r="N2428" s="50" t="s">
        <v>2</v>
      </c>
      <c r="O2428" s="74">
        <f>1/2</f>
        <v>0.5</v>
      </c>
      <c r="P2428" s="50">
        <v>5</v>
      </c>
      <c r="Q2428" s="74">
        <v>5.46</v>
      </c>
      <c r="R2428" s="50">
        <v>259</v>
      </c>
      <c r="S2428" s="74">
        <v>78</v>
      </c>
      <c r="T2428" s="50">
        <v>1.2</v>
      </c>
      <c r="U2428" s="131">
        <v>10.199999999999999</v>
      </c>
      <c r="V2428" s="50">
        <v>2.14</v>
      </c>
      <c r="W2428" s="74">
        <v>0.12</v>
      </c>
      <c r="X2428" s="50">
        <v>2.35</v>
      </c>
      <c r="Y2428" s="74">
        <f>0.05/2</f>
        <v>2.5000000000000001E-2</v>
      </c>
      <c r="Z2428" s="165">
        <v>1</v>
      </c>
      <c r="AA2428" s="271">
        <v>0.435</v>
      </c>
      <c r="AB2428" s="114">
        <v>46</v>
      </c>
      <c r="AC2428" s="50">
        <v>142</v>
      </c>
      <c r="AD2428" s="271">
        <v>0</v>
      </c>
    </row>
    <row r="2429" spans="1:46" ht="15" customHeight="1">
      <c r="A2429" s="41" t="s">
        <v>183</v>
      </c>
      <c r="B2429" s="402" t="s">
        <v>1910</v>
      </c>
      <c r="C2429" s="113" t="s">
        <v>4347</v>
      </c>
      <c r="D2429" s="393" t="s">
        <v>56</v>
      </c>
      <c r="E2429" s="394" t="s">
        <v>2211</v>
      </c>
      <c r="G2429" s="405" t="s">
        <v>2212</v>
      </c>
      <c r="H2429" s="74">
        <v>4151</v>
      </c>
      <c r="I2429" s="50" t="s">
        <v>1</v>
      </c>
      <c r="J2429" s="339" t="s">
        <v>510</v>
      </c>
      <c r="K2429" s="51">
        <v>41727</v>
      </c>
      <c r="L2429" s="173">
        <v>41718</v>
      </c>
      <c r="M2429" s="50">
        <f>K2429-L2429</f>
        <v>9</v>
      </c>
      <c r="N2429" s="50" t="s">
        <v>2</v>
      </c>
      <c r="O2429" s="74">
        <v>26</v>
      </c>
      <c r="P2429" s="50">
        <v>5.93</v>
      </c>
      <c r="R2429" s="50">
        <v>62</v>
      </c>
      <c r="S2429" s="74">
        <v>500</v>
      </c>
      <c r="T2429" s="50">
        <v>0.45</v>
      </c>
      <c r="W2429" s="74">
        <v>6.3E-2</v>
      </c>
      <c r="X2429" s="50">
        <v>0.18</v>
      </c>
      <c r="Z2429" s="165"/>
    </row>
    <row r="2430" spans="1:46" ht="15" customHeight="1">
      <c r="A2430" s="41" t="s">
        <v>183</v>
      </c>
      <c r="B2430" s="402" t="s">
        <v>1910</v>
      </c>
      <c r="C2430" s="113" t="s">
        <v>4561</v>
      </c>
      <c r="D2430" s="393" t="s">
        <v>2274</v>
      </c>
      <c r="E2430" s="394" t="s">
        <v>2275</v>
      </c>
      <c r="G2430" s="405" t="s">
        <v>4437</v>
      </c>
      <c r="H2430" s="74">
        <v>4151</v>
      </c>
      <c r="I2430" s="50" t="s">
        <v>2</v>
      </c>
      <c r="J2430" s="339" t="s">
        <v>543</v>
      </c>
      <c r="K2430" s="51">
        <v>41727</v>
      </c>
      <c r="L2430" s="173">
        <v>41718</v>
      </c>
      <c r="M2430" s="50">
        <f>K2430-L2430</f>
        <v>9</v>
      </c>
      <c r="N2430" s="50" t="s">
        <v>2</v>
      </c>
      <c r="R2430" s="50">
        <v>36</v>
      </c>
      <c r="S2430" s="74">
        <v>52</v>
      </c>
      <c r="X2430" s="50">
        <v>0.105</v>
      </c>
      <c r="Z2430" s="165"/>
    </row>
    <row r="2431" spans="1:46" ht="15" customHeight="1">
      <c r="A2431" s="41" t="s">
        <v>183</v>
      </c>
      <c r="B2431" s="402" t="s">
        <v>5296</v>
      </c>
      <c r="D2431" s="393" t="s">
        <v>5297</v>
      </c>
      <c r="G2431" s="405" t="s">
        <v>5295</v>
      </c>
      <c r="H2431" s="74">
        <v>3315</v>
      </c>
      <c r="I2431" s="50" t="s">
        <v>2</v>
      </c>
      <c r="J2431" s="339" t="s">
        <v>5329</v>
      </c>
      <c r="K2431" s="51">
        <v>41744</v>
      </c>
      <c r="L2431" s="173"/>
      <c r="N2431" s="50" t="s">
        <v>2</v>
      </c>
      <c r="W2431" s="74">
        <v>3.4000000000000002E-2</v>
      </c>
      <c r="X2431" s="50">
        <v>0.73</v>
      </c>
      <c r="Y2431" s="74">
        <f>0.002/2</f>
        <v>1E-3</v>
      </c>
      <c r="Z2431" s="165"/>
      <c r="AT2431" s="74">
        <f>0.0002/2</f>
        <v>1E-4</v>
      </c>
    </row>
    <row r="2432" spans="1:46" ht="15" customHeight="1">
      <c r="A2432" s="41" t="s">
        <v>183</v>
      </c>
      <c r="B2432" s="402" t="s">
        <v>5296</v>
      </c>
      <c r="G2432" s="405" t="s">
        <v>5295</v>
      </c>
      <c r="H2432" s="74">
        <v>3315</v>
      </c>
      <c r="I2432" s="50" t="s">
        <v>2</v>
      </c>
      <c r="J2432" s="339" t="s">
        <v>2100</v>
      </c>
      <c r="K2432" s="51">
        <v>41744</v>
      </c>
      <c r="L2432" s="173"/>
      <c r="N2432" s="50" t="s">
        <v>2</v>
      </c>
      <c r="W2432" s="74">
        <v>2.9000000000000001E-2</v>
      </c>
      <c r="X2432" s="50">
        <v>0.17</v>
      </c>
      <c r="Y2432" s="74">
        <f>0.002/2</f>
        <v>1E-3</v>
      </c>
      <c r="Z2432" s="165"/>
      <c r="AT2432" s="74">
        <f>0.0002/2</f>
        <v>1E-4</v>
      </c>
    </row>
    <row r="2433" spans="1:43" ht="15" customHeight="1">
      <c r="A2433" s="41" t="s">
        <v>183</v>
      </c>
      <c r="B2433" s="402" t="s">
        <v>5122</v>
      </c>
      <c r="D2433" s="393" t="s">
        <v>350</v>
      </c>
      <c r="E2433" s="394" t="s">
        <v>1329</v>
      </c>
      <c r="G2433" s="405" t="s">
        <v>5123</v>
      </c>
      <c r="H2433" s="74">
        <v>4953</v>
      </c>
      <c r="I2433" s="50" t="s">
        <v>2</v>
      </c>
      <c r="J2433" s="339" t="s">
        <v>1007</v>
      </c>
      <c r="K2433" s="51">
        <v>41726</v>
      </c>
      <c r="L2433" s="173">
        <v>41718</v>
      </c>
      <c r="M2433" s="50">
        <f t="shared" ref="M2433:M2442" si="136">K2433-L2433</f>
        <v>8</v>
      </c>
      <c r="N2433" s="50" t="s">
        <v>2</v>
      </c>
      <c r="O2433" s="74">
        <v>3.7</v>
      </c>
      <c r="P2433" s="50">
        <v>6.1</v>
      </c>
      <c r="Q2433" s="74">
        <v>6.9</v>
      </c>
      <c r="R2433" s="50">
        <v>79</v>
      </c>
      <c r="S2433" s="74">
        <v>320</v>
      </c>
      <c r="T2433" s="50">
        <v>0.56000000000000005</v>
      </c>
      <c r="U2433" s="131">
        <v>3.41</v>
      </c>
      <c r="V2433" s="50">
        <v>3.29</v>
      </c>
      <c r="W2433" s="74">
        <v>5.3999999999999999E-2</v>
      </c>
      <c r="X2433" s="50">
        <v>0.20300000000000001</v>
      </c>
      <c r="Y2433" s="74">
        <v>1.7999999999999999E-2</v>
      </c>
      <c r="Z2433" s="165">
        <v>1</v>
      </c>
      <c r="AA2433" s="271">
        <v>1</v>
      </c>
      <c r="AB2433" s="114">
        <v>72</v>
      </c>
      <c r="AC2433" s="50">
        <v>654</v>
      </c>
      <c r="AD2433" s="271">
        <v>1</v>
      </c>
    </row>
    <row r="2434" spans="1:43" ht="15" customHeight="1">
      <c r="A2434" s="41" t="s">
        <v>183</v>
      </c>
      <c r="B2434" s="402" t="s">
        <v>5122</v>
      </c>
      <c r="D2434" s="393" t="s">
        <v>350</v>
      </c>
      <c r="E2434" s="394" t="s">
        <v>1329</v>
      </c>
      <c r="G2434" s="405" t="s">
        <v>5123</v>
      </c>
      <c r="H2434" s="74">
        <v>4953</v>
      </c>
      <c r="I2434" s="50" t="s">
        <v>2</v>
      </c>
      <c r="J2434" s="339" t="s">
        <v>5280</v>
      </c>
      <c r="K2434" s="51">
        <v>41726</v>
      </c>
      <c r="L2434" s="173">
        <v>41718</v>
      </c>
      <c r="M2434" s="50">
        <f t="shared" si="136"/>
        <v>8</v>
      </c>
      <c r="N2434" s="50" t="s">
        <v>2</v>
      </c>
      <c r="O2434" s="74">
        <v>3.8</v>
      </c>
      <c r="Q2434" s="74">
        <v>6.89</v>
      </c>
      <c r="R2434" s="50">
        <v>98</v>
      </c>
      <c r="S2434" s="74">
        <v>270</v>
      </c>
      <c r="T2434" s="50">
        <v>0.39</v>
      </c>
      <c r="U2434" s="131">
        <v>2.85</v>
      </c>
      <c r="V2434" s="50">
        <v>2.04</v>
      </c>
      <c r="W2434" s="74">
        <v>4.1000000000000002E-2</v>
      </c>
      <c r="X2434" s="50">
        <v>0.14099999999999999</v>
      </c>
      <c r="Y2434" s="74">
        <v>1.4999999999999999E-2</v>
      </c>
      <c r="Z2434" s="165">
        <v>1</v>
      </c>
      <c r="AA2434" s="271">
        <v>1</v>
      </c>
      <c r="AB2434" s="114">
        <v>58</v>
      </c>
      <c r="AC2434" s="50">
        <v>663</v>
      </c>
      <c r="AD2434" s="271">
        <v>1</v>
      </c>
    </row>
    <row r="2435" spans="1:43" ht="15" customHeight="1">
      <c r="A2435" s="41" t="s">
        <v>183</v>
      </c>
      <c r="B2435" s="402" t="s">
        <v>5122</v>
      </c>
      <c r="D2435" s="393" t="s">
        <v>350</v>
      </c>
      <c r="E2435" s="394" t="s">
        <v>1329</v>
      </c>
      <c r="G2435" s="405" t="s">
        <v>5123</v>
      </c>
      <c r="H2435" s="74">
        <v>4953</v>
      </c>
      <c r="I2435" s="50" t="s">
        <v>2</v>
      </c>
      <c r="J2435" s="339" t="s">
        <v>5281</v>
      </c>
      <c r="K2435" s="51">
        <v>41726</v>
      </c>
      <c r="L2435" s="173">
        <v>41718</v>
      </c>
      <c r="M2435" s="50">
        <f t="shared" si="136"/>
        <v>8</v>
      </c>
      <c r="N2435" s="50" t="s">
        <v>2</v>
      </c>
      <c r="O2435" s="74">
        <v>2.4</v>
      </c>
      <c r="Q2435" s="74">
        <v>7.77</v>
      </c>
      <c r="R2435" s="50">
        <v>27</v>
      </c>
      <c r="S2435" s="74">
        <v>52</v>
      </c>
      <c r="T2435" s="50">
        <v>0.11</v>
      </c>
      <c r="U2435" s="131">
        <v>1.23</v>
      </c>
      <c r="V2435" s="50">
        <v>0.43</v>
      </c>
      <c r="W2435" s="74">
        <v>1.2E-2</v>
      </c>
      <c r="X2435" s="50">
        <v>5.8999999999999997E-2</v>
      </c>
      <c r="Y2435" s="74">
        <v>7.0000000000000001E-3</v>
      </c>
      <c r="Z2435" s="165">
        <v>1</v>
      </c>
      <c r="AA2435" s="271">
        <v>1</v>
      </c>
      <c r="AB2435" s="114">
        <v>60</v>
      </c>
      <c r="AC2435" s="50">
        <v>379</v>
      </c>
      <c r="AD2435" s="271">
        <v>0.7</v>
      </c>
    </row>
    <row r="2436" spans="1:43" ht="15" customHeight="1">
      <c r="A2436" s="41" t="s">
        <v>183</v>
      </c>
      <c r="B2436" s="402" t="s">
        <v>1430</v>
      </c>
      <c r="C2436" s="113" t="s">
        <v>1431</v>
      </c>
      <c r="D2436" s="393" t="s">
        <v>262</v>
      </c>
      <c r="E2436" s="394" t="s">
        <v>1432</v>
      </c>
      <c r="G2436" s="405" t="s">
        <v>1433</v>
      </c>
      <c r="H2436" s="49">
        <v>4959</v>
      </c>
      <c r="I2436" s="50" t="s">
        <v>2</v>
      </c>
      <c r="J2436" s="76" t="s">
        <v>1434</v>
      </c>
      <c r="K2436" s="51">
        <v>41653</v>
      </c>
      <c r="L2436" s="173">
        <v>41637</v>
      </c>
      <c r="M2436" s="50">
        <f t="shared" si="136"/>
        <v>16</v>
      </c>
      <c r="N2436" s="50" t="s">
        <v>2</v>
      </c>
      <c r="O2436" s="74">
        <f>5/2</f>
        <v>2.5</v>
      </c>
      <c r="P2436" s="50">
        <v>6.89</v>
      </c>
      <c r="Q2436" s="74">
        <v>6.52</v>
      </c>
      <c r="R2436" s="50">
        <v>5.9</v>
      </c>
      <c r="S2436" s="74">
        <f>5/2</f>
        <v>2.5</v>
      </c>
      <c r="T2436" s="50">
        <f>0.1/2</f>
        <v>0.05</v>
      </c>
      <c r="U2436" s="131">
        <f>1/2</f>
        <v>0.5</v>
      </c>
      <c r="V2436" s="50">
        <v>0.71</v>
      </c>
      <c r="W2436" s="74">
        <f>0.04/2</f>
        <v>0.02</v>
      </c>
      <c r="X2436" s="50">
        <v>9.4E-2</v>
      </c>
      <c r="Y2436" s="74">
        <f>0.013/2</f>
        <v>6.4999999999999997E-3</v>
      </c>
      <c r="Z2436" s="165">
        <v>1</v>
      </c>
      <c r="AA2436" s="271">
        <v>0.73499999999999999</v>
      </c>
      <c r="AC2436" s="50">
        <v>52</v>
      </c>
      <c r="AD2436" s="271">
        <v>0.05</v>
      </c>
    </row>
    <row r="2437" spans="1:43" ht="15" customHeight="1">
      <c r="A2437" s="41" t="s">
        <v>183</v>
      </c>
      <c r="B2437" s="402" t="s">
        <v>1425</v>
      </c>
      <c r="C2437" s="113" t="s">
        <v>1426</v>
      </c>
      <c r="D2437" s="393" t="s">
        <v>2375</v>
      </c>
      <c r="E2437" s="394" t="s">
        <v>1427</v>
      </c>
      <c r="G2437" s="405" t="s">
        <v>1428</v>
      </c>
      <c r="H2437" s="74">
        <v>3442</v>
      </c>
      <c r="I2437" s="50" t="s">
        <v>2</v>
      </c>
      <c r="J2437" s="339" t="s">
        <v>1429</v>
      </c>
      <c r="K2437" s="51">
        <v>41653</v>
      </c>
      <c r="L2437" s="173">
        <v>41637</v>
      </c>
      <c r="M2437" s="50">
        <f t="shared" si="136"/>
        <v>16</v>
      </c>
      <c r="N2437" s="50" t="s">
        <v>2</v>
      </c>
      <c r="O2437" s="74">
        <f>5/2</f>
        <v>2.5</v>
      </c>
      <c r="P2437" s="50">
        <v>5.35</v>
      </c>
      <c r="Q2437" s="74">
        <v>5.05</v>
      </c>
      <c r="R2437" s="50">
        <f>5/2</f>
        <v>2.5</v>
      </c>
      <c r="S2437" s="74">
        <f>5/2</f>
        <v>2.5</v>
      </c>
      <c r="T2437" s="50">
        <f>0.1/2</f>
        <v>0.05</v>
      </c>
      <c r="U2437" s="131">
        <f>1/2</f>
        <v>0.5</v>
      </c>
      <c r="V2437" s="50">
        <v>0.33</v>
      </c>
      <c r="W2437" s="74">
        <f>0.04/2</f>
        <v>0.02</v>
      </c>
      <c r="X2437" s="50">
        <v>3.5999999999999997E-2</v>
      </c>
      <c r="Y2437" s="74">
        <f>0.013/2</f>
        <v>6.4999999999999997E-3</v>
      </c>
      <c r="Z2437" s="165">
        <v>0.75800000000000001</v>
      </c>
      <c r="AA2437" s="271">
        <v>0.66</v>
      </c>
    </row>
    <row r="2438" spans="1:43" ht="15" customHeight="1">
      <c r="A2438" s="41" t="s">
        <v>183</v>
      </c>
      <c r="B2438" s="402" t="s">
        <v>5330</v>
      </c>
      <c r="D2438" s="393" t="s">
        <v>2375</v>
      </c>
      <c r="E2438" s="394" t="s">
        <v>5331</v>
      </c>
      <c r="G2438" s="405" t="s">
        <v>5332</v>
      </c>
      <c r="H2438" s="74">
        <v>3398</v>
      </c>
      <c r="J2438" s="339" t="s">
        <v>1030</v>
      </c>
      <c r="K2438" s="51">
        <v>41710</v>
      </c>
      <c r="L2438" s="173">
        <v>41706</v>
      </c>
      <c r="M2438" s="50">
        <f t="shared" si="136"/>
        <v>4</v>
      </c>
      <c r="N2438" s="50" t="s">
        <v>2</v>
      </c>
      <c r="O2438" s="74">
        <v>3</v>
      </c>
      <c r="P2438" s="50">
        <v>6.13</v>
      </c>
      <c r="Q2438" s="74">
        <v>7.5</v>
      </c>
      <c r="R2438" s="50">
        <v>91.8</v>
      </c>
      <c r="S2438" s="74">
        <v>208</v>
      </c>
      <c r="T2438" s="50">
        <v>0.52</v>
      </c>
      <c r="U2438" s="131">
        <v>7.76</v>
      </c>
      <c r="V2438" s="50">
        <v>1.8</v>
      </c>
      <c r="W2438" s="74">
        <v>0.04</v>
      </c>
      <c r="X2438" s="50">
        <v>0.25</v>
      </c>
      <c r="Y2438" s="74">
        <v>0.02</v>
      </c>
      <c r="Z2438" s="165">
        <v>1</v>
      </c>
      <c r="AA2438" s="271">
        <v>1</v>
      </c>
      <c r="AB2438" s="114">
        <v>46.8</v>
      </c>
      <c r="AC2438" s="50">
        <v>408</v>
      </c>
      <c r="AD2438" s="271">
        <v>0.95</v>
      </c>
    </row>
    <row r="2439" spans="1:43" ht="15" customHeight="1">
      <c r="A2439" s="41" t="s">
        <v>183</v>
      </c>
      <c r="B2439" s="402" t="s">
        <v>2288</v>
      </c>
      <c r="C2439" s="113" t="s">
        <v>2288</v>
      </c>
      <c r="D2439" s="393" t="s">
        <v>2379</v>
      </c>
      <c r="E2439" s="394" t="s">
        <v>5333</v>
      </c>
      <c r="G2439" s="405" t="s">
        <v>2290</v>
      </c>
      <c r="H2439" s="74">
        <v>3841</v>
      </c>
      <c r="I2439" s="50" t="s">
        <v>2</v>
      </c>
      <c r="J2439" s="344" t="s">
        <v>4315</v>
      </c>
      <c r="K2439" s="51">
        <v>41710</v>
      </c>
      <c r="L2439" s="173">
        <v>41707</v>
      </c>
      <c r="M2439" s="50">
        <f t="shared" si="136"/>
        <v>3</v>
      </c>
      <c r="N2439" s="50" t="s">
        <v>1</v>
      </c>
      <c r="X2439" s="50">
        <v>8.5999999999999993E-2</v>
      </c>
      <c r="Z2439" s="165"/>
    </row>
    <row r="2440" spans="1:43" ht="15" customHeight="1">
      <c r="A2440" s="41" t="s">
        <v>183</v>
      </c>
      <c r="B2440" s="402" t="s">
        <v>5334</v>
      </c>
      <c r="D2440" s="393" t="s">
        <v>213</v>
      </c>
      <c r="E2440" s="394" t="s">
        <v>5335</v>
      </c>
      <c r="G2440" s="405" t="s">
        <v>5336</v>
      </c>
      <c r="H2440" s="74">
        <v>3564</v>
      </c>
      <c r="J2440" s="344" t="s">
        <v>255</v>
      </c>
      <c r="K2440" s="51">
        <v>41710</v>
      </c>
      <c r="L2440" s="173">
        <v>41706</v>
      </c>
      <c r="M2440" s="50">
        <f t="shared" si="136"/>
        <v>4</v>
      </c>
      <c r="N2440" s="50" t="s">
        <v>2</v>
      </c>
      <c r="O2440" s="74">
        <v>1.1000000000000001</v>
      </c>
      <c r="P2440" s="50">
        <v>6.05</v>
      </c>
      <c r="Q2440" s="74">
        <v>5.24</v>
      </c>
      <c r="R2440" s="50">
        <v>47</v>
      </c>
      <c r="S2440" s="74">
        <v>33.5</v>
      </c>
      <c r="T2440" s="50">
        <v>0.6</v>
      </c>
      <c r="U2440" s="131">
        <v>3</v>
      </c>
      <c r="V2440" s="50">
        <v>1.3</v>
      </c>
      <c r="W2440" s="74">
        <f>0.01/2</f>
        <v>5.0000000000000001E-3</v>
      </c>
      <c r="X2440" s="50">
        <v>1.37</v>
      </c>
      <c r="Y2440" s="74">
        <f>0.02/2</f>
        <v>0.01</v>
      </c>
      <c r="Z2440" s="165"/>
    </row>
    <row r="2441" spans="1:43" ht="15" customHeight="1">
      <c r="A2441" s="41" t="s">
        <v>4668</v>
      </c>
      <c r="B2441" s="402" t="s">
        <v>4722</v>
      </c>
      <c r="D2441" s="393" t="s">
        <v>827</v>
      </c>
      <c r="E2441" s="394" t="s">
        <v>1413</v>
      </c>
      <c r="G2441" s="405" t="s">
        <v>1414</v>
      </c>
      <c r="H2441" s="74">
        <v>3069</v>
      </c>
      <c r="I2441" s="50" t="s">
        <v>2</v>
      </c>
      <c r="J2441" s="339" t="s">
        <v>4723</v>
      </c>
      <c r="K2441" s="51">
        <v>41689</v>
      </c>
      <c r="L2441" s="173">
        <v>41672</v>
      </c>
      <c r="M2441" s="50">
        <f t="shared" si="136"/>
        <v>17</v>
      </c>
      <c r="N2441" s="50" t="s">
        <v>2</v>
      </c>
      <c r="O2441" s="74">
        <f>3.3/2</f>
        <v>1.65</v>
      </c>
      <c r="P2441" s="50">
        <v>6</v>
      </c>
      <c r="Q2441" s="74">
        <v>6.4</v>
      </c>
      <c r="R2441" s="50">
        <v>43</v>
      </c>
      <c r="S2441" s="74">
        <v>220</v>
      </c>
      <c r="T2441" s="50">
        <v>0.42</v>
      </c>
      <c r="U2441" s="131">
        <v>0.92</v>
      </c>
      <c r="V2441" s="50">
        <v>0.36</v>
      </c>
      <c r="W2441" s="74">
        <v>2.3E-2</v>
      </c>
      <c r="X2441" s="50">
        <v>0.14000000000000001</v>
      </c>
      <c r="Y2441" s="74">
        <v>1.0999999999999999E-2</v>
      </c>
      <c r="Z2441" s="165"/>
    </row>
    <row r="2442" spans="1:43" ht="15" customHeight="1">
      <c r="A2442" s="41" t="s">
        <v>183</v>
      </c>
      <c r="B2442" s="402" t="s">
        <v>4722</v>
      </c>
      <c r="D2442" s="393" t="s">
        <v>827</v>
      </c>
      <c r="E2442" s="394" t="s">
        <v>1413</v>
      </c>
      <c r="G2442" s="405" t="s">
        <v>1414</v>
      </c>
      <c r="H2442" s="74">
        <v>3069</v>
      </c>
      <c r="I2442" s="50" t="s">
        <v>2</v>
      </c>
      <c r="J2442" s="339" t="s">
        <v>4724</v>
      </c>
      <c r="K2442" s="51">
        <v>41689</v>
      </c>
      <c r="L2442" s="173">
        <v>41672</v>
      </c>
      <c r="M2442" s="50">
        <f t="shared" si="136"/>
        <v>17</v>
      </c>
      <c r="N2442" s="50" t="s">
        <v>2</v>
      </c>
      <c r="O2442" s="74">
        <v>2.1</v>
      </c>
      <c r="P2442" s="50">
        <v>6</v>
      </c>
      <c r="Q2442" s="74">
        <v>6.8</v>
      </c>
      <c r="R2442" s="50">
        <v>11</v>
      </c>
      <c r="S2442" s="74">
        <v>2</v>
      </c>
      <c r="T2442" s="50">
        <v>0.03</v>
      </c>
      <c r="U2442" s="131">
        <v>0.51</v>
      </c>
      <c r="V2442" s="50">
        <v>0.65</v>
      </c>
      <c r="W2442" s="74">
        <v>1.6E-2</v>
      </c>
      <c r="X2442" s="50">
        <v>4.8000000000000001E-2</v>
      </c>
      <c r="Y2442" s="74">
        <v>4.1999999999999997E-3</v>
      </c>
      <c r="Z2442" s="165"/>
    </row>
    <row r="2443" spans="1:43" ht="15" customHeight="1">
      <c r="A2443" s="41" t="s">
        <v>183</v>
      </c>
      <c r="B2443" s="402" t="s">
        <v>5092</v>
      </c>
      <c r="C2443" s="113" t="s">
        <v>1037</v>
      </c>
      <c r="D2443" s="393" t="s">
        <v>262</v>
      </c>
      <c r="E2443" s="394" t="s">
        <v>664</v>
      </c>
      <c r="G2443" s="405" t="s">
        <v>2697</v>
      </c>
      <c r="H2443" s="74">
        <v>9199</v>
      </c>
      <c r="I2443" s="50" t="s">
        <v>1</v>
      </c>
      <c r="J2443" s="339" t="s">
        <v>5093</v>
      </c>
      <c r="K2443" s="51">
        <v>41631</v>
      </c>
      <c r="L2443" s="173"/>
      <c r="N2443" s="50" t="s">
        <v>2</v>
      </c>
      <c r="O2443" s="74">
        <v>5.26</v>
      </c>
      <c r="P2443" s="50">
        <v>4.99</v>
      </c>
      <c r="Q2443" s="74">
        <v>7.06</v>
      </c>
      <c r="R2443" s="50">
        <v>49</v>
      </c>
      <c r="S2443" s="74">
        <v>14</v>
      </c>
      <c r="T2443" s="50">
        <v>2.7</v>
      </c>
      <c r="U2443" s="131">
        <v>1.89</v>
      </c>
      <c r="V2443" s="50">
        <v>1.92</v>
      </c>
      <c r="W2443" s="74">
        <v>2.9000000000000001E-2</v>
      </c>
      <c r="X2443" s="50">
        <v>0.09</v>
      </c>
      <c r="Y2443" s="74">
        <v>0.01</v>
      </c>
      <c r="Z2443" s="165"/>
      <c r="AE2443" s="50" t="s">
        <v>5337</v>
      </c>
      <c r="AG2443" s="114">
        <f>0.74/2</f>
        <v>0.37</v>
      </c>
      <c r="AI2443" s="50" t="s">
        <v>5337</v>
      </c>
      <c r="AQ2443" s="114">
        <f>10/2</f>
        <v>5</v>
      </c>
    </row>
    <row r="2444" spans="1:43" ht="15" customHeight="1">
      <c r="A2444" s="41" t="s">
        <v>183</v>
      </c>
      <c r="B2444" s="402" t="s">
        <v>3969</v>
      </c>
      <c r="D2444" s="393" t="s">
        <v>89</v>
      </c>
      <c r="G2444" s="405" t="s">
        <v>3968</v>
      </c>
      <c r="H2444" s="74">
        <v>2869</v>
      </c>
      <c r="I2444" s="50" t="s">
        <v>2</v>
      </c>
      <c r="J2444" s="339" t="s">
        <v>3970</v>
      </c>
      <c r="K2444" s="51">
        <v>41689</v>
      </c>
      <c r="L2444" s="173"/>
      <c r="N2444" s="50" t="s">
        <v>1</v>
      </c>
      <c r="O2444" s="74">
        <f>5.8/2</f>
        <v>2.9</v>
      </c>
      <c r="P2444" s="50">
        <v>4.8</v>
      </c>
      <c r="Q2444" s="74">
        <v>8.17</v>
      </c>
      <c r="R2444" s="50">
        <v>55</v>
      </c>
      <c r="S2444" s="74">
        <v>89</v>
      </c>
      <c r="T2444" s="50">
        <v>0.2</v>
      </c>
      <c r="U2444" s="131">
        <v>2.2999999999999998</v>
      </c>
      <c r="V2444" s="50">
        <v>0.87</v>
      </c>
      <c r="W2444" s="74">
        <f>0.05/2</f>
        <v>2.5000000000000001E-2</v>
      </c>
      <c r="X2444" s="50">
        <v>5.7000000000000002E-2</v>
      </c>
      <c r="Y2444" s="74">
        <f>0.005/2</f>
        <v>2.5000000000000001E-3</v>
      </c>
      <c r="Z2444" s="165"/>
    </row>
    <row r="2445" spans="1:43" ht="15" customHeight="1">
      <c r="A2445" s="41" t="s">
        <v>183</v>
      </c>
      <c r="B2445" s="402" t="s">
        <v>5338</v>
      </c>
      <c r="D2445" s="393" t="s">
        <v>350</v>
      </c>
      <c r="E2445" s="394" t="s">
        <v>5339</v>
      </c>
      <c r="G2445" s="405" t="s">
        <v>5340</v>
      </c>
      <c r="H2445" s="74">
        <v>3398</v>
      </c>
      <c r="I2445" s="50" t="s">
        <v>2</v>
      </c>
      <c r="J2445" s="339" t="s">
        <v>5341</v>
      </c>
      <c r="K2445" s="51">
        <v>41324</v>
      </c>
      <c r="L2445" s="173">
        <v>41316</v>
      </c>
      <c r="M2445" s="50">
        <f t="shared" ref="M2445:M2450" si="137">K2445-L2445</f>
        <v>8</v>
      </c>
      <c r="N2445" s="50" t="s">
        <v>2</v>
      </c>
      <c r="O2445" s="74">
        <f>2/2</f>
        <v>1</v>
      </c>
      <c r="P2445" s="50">
        <v>5</v>
      </c>
      <c r="Q2445" s="74">
        <v>6.7</v>
      </c>
      <c r="R2445" s="50">
        <v>25</v>
      </c>
      <c r="S2445" s="74">
        <v>35</v>
      </c>
      <c r="T2445" s="50">
        <v>0.1</v>
      </c>
      <c r="U2445" s="131">
        <v>0.71</v>
      </c>
      <c r="V2445" s="50">
        <v>0.92</v>
      </c>
      <c r="W2445" s="74">
        <v>2.3E-2</v>
      </c>
      <c r="X2445" s="50">
        <v>1.38</v>
      </c>
      <c r="Y2445" s="74">
        <f>0.03/2</f>
        <v>1.4999999999999999E-2</v>
      </c>
      <c r="Z2445" s="165">
        <v>1</v>
      </c>
      <c r="AA2445" s="271">
        <v>0.5</v>
      </c>
    </row>
    <row r="2446" spans="1:43" ht="15" customHeight="1">
      <c r="A2446" s="41" t="s">
        <v>183</v>
      </c>
      <c r="B2446" s="402" t="s">
        <v>5338</v>
      </c>
      <c r="D2446" s="393" t="s">
        <v>350</v>
      </c>
      <c r="E2446" s="394" t="s">
        <v>5339</v>
      </c>
      <c r="G2446" s="405" t="s">
        <v>5340</v>
      </c>
      <c r="H2446" s="74">
        <v>3398</v>
      </c>
      <c r="I2446" s="50" t="s">
        <v>2</v>
      </c>
      <c r="J2446" s="339" t="s">
        <v>5341</v>
      </c>
      <c r="K2446" s="51">
        <v>41533</v>
      </c>
      <c r="L2446" s="173">
        <v>41529</v>
      </c>
      <c r="M2446" s="50">
        <f t="shared" si="137"/>
        <v>4</v>
      </c>
      <c r="N2446" s="50" t="s">
        <v>2</v>
      </c>
      <c r="O2446" s="74">
        <f>2/2</f>
        <v>1</v>
      </c>
      <c r="P2446" s="50">
        <v>8</v>
      </c>
      <c r="Q2446" s="74">
        <v>5.9</v>
      </c>
      <c r="R2446" s="50">
        <v>27</v>
      </c>
      <c r="S2446" s="74">
        <v>5</v>
      </c>
      <c r="T2446" s="50">
        <f>0.05/2</f>
        <v>2.5000000000000001E-2</v>
      </c>
      <c r="U2446" s="131">
        <v>0.92</v>
      </c>
      <c r="V2446" s="50">
        <v>0.98</v>
      </c>
      <c r="W2446" s="74">
        <v>1.2E-2</v>
      </c>
      <c r="X2446" s="50">
        <v>0.14199999999999999</v>
      </c>
      <c r="Y2446" s="74">
        <f>0.03/2</f>
        <v>1.4999999999999999E-2</v>
      </c>
      <c r="Z2446" s="165">
        <v>1</v>
      </c>
      <c r="AA2446" s="271">
        <v>0.76200000000000001</v>
      </c>
      <c r="AB2446" s="114">
        <v>4</v>
      </c>
      <c r="AC2446" s="50">
        <v>36</v>
      </c>
      <c r="AD2446" s="271">
        <v>0.05</v>
      </c>
    </row>
    <row r="2447" spans="1:43" ht="15" customHeight="1">
      <c r="A2447" s="41" t="s">
        <v>183</v>
      </c>
      <c r="B2447" s="402" t="s">
        <v>1393</v>
      </c>
      <c r="C2447" s="113" t="s">
        <v>1394</v>
      </c>
      <c r="D2447" s="393" t="s">
        <v>372</v>
      </c>
      <c r="E2447" s="394" t="s">
        <v>235</v>
      </c>
      <c r="F2447" s="402" t="s">
        <v>1250</v>
      </c>
      <c r="G2447" s="405" t="s">
        <v>1395</v>
      </c>
      <c r="H2447" s="49">
        <v>4311</v>
      </c>
      <c r="J2447" s="76" t="s">
        <v>255</v>
      </c>
      <c r="K2447" s="51">
        <v>41487</v>
      </c>
      <c r="L2447" s="173">
        <v>41478</v>
      </c>
      <c r="M2447" s="50">
        <f t="shared" si="137"/>
        <v>9</v>
      </c>
      <c r="N2447" s="50" t="s">
        <v>2</v>
      </c>
      <c r="O2447" s="74">
        <f>1.4/2</f>
        <v>0.7</v>
      </c>
      <c r="P2447" s="50">
        <v>6.3</v>
      </c>
      <c r="Q2447" s="74">
        <v>7.38</v>
      </c>
      <c r="R2447" s="50">
        <v>89</v>
      </c>
      <c r="S2447" s="74">
        <v>27</v>
      </c>
      <c r="T2447" s="50">
        <v>0.31</v>
      </c>
      <c r="U2447" s="131">
        <v>2.35</v>
      </c>
      <c r="V2447" s="50">
        <v>1.27</v>
      </c>
      <c r="W2447" s="74">
        <v>1.7000000000000001E-2</v>
      </c>
      <c r="X2447" s="50">
        <v>0.127</v>
      </c>
      <c r="Y2447" s="74">
        <v>0.01</v>
      </c>
      <c r="Z2447" s="165"/>
    </row>
    <row r="2448" spans="1:43" ht="15" customHeight="1">
      <c r="A2448" s="41" t="s">
        <v>183</v>
      </c>
      <c r="B2448" s="402" t="s">
        <v>1393</v>
      </c>
      <c r="C2448" s="113" t="s">
        <v>1394</v>
      </c>
      <c r="D2448" s="393" t="s">
        <v>372</v>
      </c>
      <c r="E2448" s="394" t="s">
        <v>235</v>
      </c>
      <c r="F2448" s="402" t="s">
        <v>1250</v>
      </c>
      <c r="G2448" s="405" t="s">
        <v>1395</v>
      </c>
      <c r="H2448" s="49">
        <v>4311</v>
      </c>
      <c r="J2448" s="76" t="s">
        <v>96</v>
      </c>
      <c r="K2448" s="51">
        <v>41487</v>
      </c>
      <c r="L2448" s="173">
        <v>41478</v>
      </c>
      <c r="M2448" s="50">
        <f t="shared" si="137"/>
        <v>9</v>
      </c>
      <c r="N2448" s="50" t="s">
        <v>2</v>
      </c>
      <c r="O2448" s="74">
        <f>1.4/2</f>
        <v>0.7</v>
      </c>
      <c r="P2448" s="50">
        <v>6.3</v>
      </c>
      <c r="Q2448" s="74">
        <v>6.97</v>
      </c>
      <c r="R2448" s="50">
        <v>60</v>
      </c>
      <c r="S2448" s="74">
        <v>12</v>
      </c>
      <c r="T2448" s="50">
        <v>0.11</v>
      </c>
      <c r="U2448" s="131">
        <v>1.25</v>
      </c>
      <c r="V2448" s="50">
        <v>1.38</v>
      </c>
      <c r="W2448" s="74">
        <v>0.03</v>
      </c>
      <c r="X2448" s="50">
        <v>0.2</v>
      </c>
      <c r="Y2448" s="74">
        <v>5.8000000000000003E-2</v>
      </c>
      <c r="Z2448" s="165"/>
    </row>
    <row r="2449" spans="1:77" ht="15" customHeight="1">
      <c r="A2449" s="41" t="s">
        <v>183</v>
      </c>
      <c r="B2449" s="402" t="s">
        <v>2495</v>
      </c>
      <c r="C2449" s="113" t="s">
        <v>2495</v>
      </c>
      <c r="D2449" s="393" t="s">
        <v>41</v>
      </c>
      <c r="E2449" s="394" t="s">
        <v>2496</v>
      </c>
      <c r="G2449" s="405" t="s">
        <v>2497</v>
      </c>
      <c r="H2449" s="74">
        <v>3454</v>
      </c>
      <c r="I2449" s="50" t="s">
        <v>2</v>
      </c>
      <c r="J2449" s="339" t="s">
        <v>2498</v>
      </c>
      <c r="K2449" s="51">
        <v>41585</v>
      </c>
      <c r="L2449" s="173">
        <v>41579</v>
      </c>
      <c r="M2449" s="50">
        <f t="shared" si="137"/>
        <v>6</v>
      </c>
      <c r="N2449" s="50" t="s">
        <v>2</v>
      </c>
      <c r="X2449" s="50">
        <v>0.40500000000000003</v>
      </c>
      <c r="Z2449" s="165"/>
    </row>
    <row r="2450" spans="1:77" ht="15" customHeight="1">
      <c r="A2450" s="41" t="s">
        <v>183</v>
      </c>
      <c r="B2450" s="402" t="s">
        <v>2495</v>
      </c>
      <c r="C2450" s="113" t="s">
        <v>2495</v>
      </c>
      <c r="D2450" s="393" t="s">
        <v>41</v>
      </c>
      <c r="E2450" s="394" t="s">
        <v>2496</v>
      </c>
      <c r="G2450" s="405" t="s">
        <v>2497</v>
      </c>
      <c r="H2450" s="74">
        <v>3454</v>
      </c>
      <c r="I2450" s="50" t="s">
        <v>2</v>
      </c>
      <c r="J2450" s="339" t="s">
        <v>5342</v>
      </c>
      <c r="K2450" s="51">
        <v>41585</v>
      </c>
      <c r="L2450" s="173">
        <v>41579</v>
      </c>
      <c r="M2450" s="50">
        <f t="shared" si="137"/>
        <v>6</v>
      </c>
      <c r="N2450" s="50" t="s">
        <v>2</v>
      </c>
      <c r="R2450" s="50">
        <v>58</v>
      </c>
      <c r="Z2450" s="165"/>
    </row>
    <row r="2451" spans="1:77" ht="15" customHeight="1">
      <c r="A2451" s="41" t="s">
        <v>183</v>
      </c>
      <c r="B2451" s="402" t="s">
        <v>289</v>
      </c>
      <c r="C2451" s="113" t="s">
        <v>289</v>
      </c>
      <c r="D2451" s="393" t="s">
        <v>290</v>
      </c>
      <c r="E2451" s="394" t="s">
        <v>112</v>
      </c>
      <c r="G2451" s="405" t="s">
        <v>291</v>
      </c>
      <c r="H2451" s="74">
        <v>3356</v>
      </c>
      <c r="I2451" s="50" t="s">
        <v>2</v>
      </c>
      <c r="J2451" s="339" t="s">
        <v>292</v>
      </c>
      <c r="K2451" s="51">
        <v>41691</v>
      </c>
      <c r="L2451" s="173"/>
      <c r="N2451" s="50" t="s">
        <v>2</v>
      </c>
      <c r="Y2451" s="74">
        <v>3.5000000000000003E-2</v>
      </c>
      <c r="Z2451" s="165"/>
    </row>
    <row r="2452" spans="1:77" ht="15" customHeight="1">
      <c r="A2452" s="41" t="s">
        <v>183</v>
      </c>
      <c r="B2452" s="402" t="s">
        <v>5343</v>
      </c>
      <c r="C2452" s="113" t="s">
        <v>3846</v>
      </c>
      <c r="D2452" s="393" t="s">
        <v>406</v>
      </c>
      <c r="E2452" s="394" t="s">
        <v>5344</v>
      </c>
      <c r="G2452" s="405" t="s">
        <v>5345</v>
      </c>
      <c r="H2452" s="74">
        <v>3724</v>
      </c>
      <c r="I2452" s="50" t="s">
        <v>2</v>
      </c>
      <c r="J2452" s="76" t="s">
        <v>96</v>
      </c>
      <c r="K2452" s="51">
        <v>41614</v>
      </c>
      <c r="L2452" s="173">
        <v>41609</v>
      </c>
      <c r="M2452" s="50">
        <f t="shared" ref="M2452:M2469" si="138">K2452-L2452</f>
        <v>5</v>
      </c>
      <c r="N2452" s="50" t="s">
        <v>2</v>
      </c>
      <c r="R2452" s="50">
        <v>15</v>
      </c>
      <c r="S2452" s="74">
        <v>6</v>
      </c>
      <c r="Z2452" s="165"/>
    </row>
    <row r="2453" spans="1:77" ht="15" customHeight="1">
      <c r="A2453" s="41" t="s">
        <v>183</v>
      </c>
      <c r="B2453" s="402" t="s">
        <v>5343</v>
      </c>
      <c r="C2453" s="113" t="s">
        <v>3846</v>
      </c>
      <c r="D2453" s="393" t="s">
        <v>406</v>
      </c>
      <c r="E2453" s="394" t="s">
        <v>5344</v>
      </c>
      <c r="G2453" s="405" t="s">
        <v>5345</v>
      </c>
      <c r="H2453" s="74">
        <v>3724</v>
      </c>
      <c r="I2453" s="50" t="s">
        <v>2</v>
      </c>
      <c r="J2453" s="76" t="s">
        <v>690</v>
      </c>
      <c r="K2453" s="51">
        <v>41614</v>
      </c>
      <c r="L2453" s="173">
        <v>41609</v>
      </c>
      <c r="M2453" s="50">
        <f t="shared" si="138"/>
        <v>5</v>
      </c>
      <c r="N2453" s="50" t="s">
        <v>2</v>
      </c>
      <c r="U2453" s="131">
        <v>6.6</v>
      </c>
      <c r="W2453" s="74">
        <v>0.02</v>
      </c>
      <c r="Z2453" s="165"/>
    </row>
    <row r="2454" spans="1:77" ht="15" customHeight="1">
      <c r="A2454" s="41" t="s">
        <v>183</v>
      </c>
      <c r="B2454" s="402" t="s">
        <v>5343</v>
      </c>
      <c r="C2454" s="113" t="s">
        <v>3846</v>
      </c>
      <c r="D2454" s="393" t="s">
        <v>406</v>
      </c>
      <c r="E2454" s="394" t="s">
        <v>5344</v>
      </c>
      <c r="G2454" s="405" t="s">
        <v>5345</v>
      </c>
      <c r="H2454" s="74">
        <v>3724</v>
      </c>
      <c r="I2454" s="50" t="s">
        <v>2</v>
      </c>
      <c r="J2454" s="76" t="s">
        <v>1867</v>
      </c>
      <c r="K2454" s="51">
        <v>41614</v>
      </c>
      <c r="L2454" s="173">
        <v>41609</v>
      </c>
      <c r="M2454" s="50">
        <f t="shared" si="138"/>
        <v>5</v>
      </c>
      <c r="N2454" s="50" t="s">
        <v>2</v>
      </c>
      <c r="R2454" s="50">
        <v>18.7</v>
      </c>
      <c r="U2454" s="131">
        <v>4.8</v>
      </c>
      <c r="Z2454" s="165"/>
    </row>
    <row r="2455" spans="1:77" ht="15" customHeight="1">
      <c r="A2455" s="41" t="s">
        <v>183</v>
      </c>
      <c r="B2455" s="402" t="s">
        <v>5343</v>
      </c>
      <c r="C2455" s="113" t="s">
        <v>3846</v>
      </c>
      <c r="D2455" s="393" t="s">
        <v>406</v>
      </c>
      <c r="E2455" s="394" t="s">
        <v>5344</v>
      </c>
      <c r="G2455" s="405" t="s">
        <v>5345</v>
      </c>
      <c r="H2455" s="74">
        <v>3724</v>
      </c>
      <c r="I2455" s="50" t="s">
        <v>2</v>
      </c>
      <c r="J2455" s="76" t="s">
        <v>5346</v>
      </c>
      <c r="K2455" s="51">
        <v>41614</v>
      </c>
      <c r="L2455" s="173">
        <v>41609</v>
      </c>
      <c r="M2455" s="50">
        <f t="shared" si="138"/>
        <v>5</v>
      </c>
      <c r="N2455" s="50" t="s">
        <v>2</v>
      </c>
      <c r="V2455" s="50">
        <v>0.12</v>
      </c>
      <c r="X2455" s="50">
        <v>0.154</v>
      </c>
      <c r="Z2455" s="165"/>
    </row>
    <row r="2456" spans="1:77" ht="15" customHeight="1">
      <c r="A2456" s="41" t="s">
        <v>183</v>
      </c>
      <c r="B2456" s="402" t="s">
        <v>5343</v>
      </c>
      <c r="C2456" s="113" t="s">
        <v>3846</v>
      </c>
      <c r="D2456" s="393" t="s">
        <v>406</v>
      </c>
      <c r="E2456" s="394" t="s">
        <v>5344</v>
      </c>
      <c r="G2456" s="405" t="s">
        <v>5345</v>
      </c>
      <c r="H2456" s="74">
        <v>3724</v>
      </c>
      <c r="I2456" s="50" t="s">
        <v>2</v>
      </c>
      <c r="J2456" s="76" t="s">
        <v>2097</v>
      </c>
      <c r="K2456" s="51">
        <v>41614</v>
      </c>
      <c r="L2456" s="173">
        <v>41609</v>
      </c>
      <c r="M2456" s="50">
        <f t="shared" si="138"/>
        <v>5</v>
      </c>
      <c r="N2456" s="50" t="s">
        <v>2</v>
      </c>
      <c r="R2456" s="50">
        <v>38.4</v>
      </c>
      <c r="Z2456" s="165"/>
    </row>
    <row r="2457" spans="1:77" ht="15" customHeight="1">
      <c r="A2457" s="41" t="s">
        <v>183</v>
      </c>
      <c r="B2457" s="402" t="s">
        <v>3725</v>
      </c>
      <c r="C2457" s="113" t="s">
        <v>3726</v>
      </c>
      <c r="D2457" s="393" t="s">
        <v>684</v>
      </c>
      <c r="E2457" s="394" t="s">
        <v>2115</v>
      </c>
      <c r="G2457" s="405" t="s">
        <v>3607</v>
      </c>
      <c r="H2457" s="74">
        <v>4111</v>
      </c>
      <c r="I2457" s="50" t="s">
        <v>2</v>
      </c>
      <c r="J2457" s="76" t="s">
        <v>510</v>
      </c>
      <c r="K2457" s="51">
        <v>41689</v>
      </c>
      <c r="L2457" s="173">
        <v>41653</v>
      </c>
      <c r="M2457" s="50">
        <f t="shared" si="138"/>
        <v>36</v>
      </c>
      <c r="N2457" s="50" t="s">
        <v>1</v>
      </c>
      <c r="S2457" s="74">
        <v>1200</v>
      </c>
      <c r="X2457" s="50">
        <v>2.91</v>
      </c>
      <c r="Z2457" s="165"/>
    </row>
    <row r="2458" spans="1:77" ht="15" customHeight="1">
      <c r="A2458" s="41" t="s">
        <v>183</v>
      </c>
      <c r="B2458" s="402" t="s">
        <v>3918</v>
      </c>
      <c r="C2458" s="113" t="s">
        <v>5347</v>
      </c>
      <c r="D2458" s="393" t="s">
        <v>735</v>
      </c>
      <c r="E2458" s="394" t="s">
        <v>1293</v>
      </c>
      <c r="G2458" s="405" t="s">
        <v>3919</v>
      </c>
      <c r="H2458" s="74">
        <v>3351</v>
      </c>
      <c r="I2458" s="50" t="s">
        <v>2</v>
      </c>
      <c r="J2458" s="339" t="s">
        <v>173</v>
      </c>
      <c r="K2458" s="51">
        <v>41689</v>
      </c>
      <c r="L2458" s="173">
        <v>41685</v>
      </c>
      <c r="M2458" s="50">
        <f t="shared" si="138"/>
        <v>4</v>
      </c>
      <c r="N2458" s="50" t="s">
        <v>1</v>
      </c>
      <c r="O2458" s="74">
        <v>8.98</v>
      </c>
      <c r="P2458" s="50">
        <v>7.2</v>
      </c>
      <c r="Q2458" s="74">
        <v>6.9</v>
      </c>
      <c r="R2458" s="50">
        <v>92.6</v>
      </c>
      <c r="S2458" s="74">
        <v>212</v>
      </c>
      <c r="T2458" s="50">
        <v>0.61099999999999999</v>
      </c>
      <c r="U2458" s="131">
        <v>1.19</v>
      </c>
      <c r="V2458" s="50">
        <v>0.53</v>
      </c>
      <c r="W2458" s="74">
        <v>12</v>
      </c>
      <c r="X2458" s="50">
        <v>0.71599999999999997</v>
      </c>
      <c r="Y2458" s="74">
        <v>5.0799999999999998E-2</v>
      </c>
      <c r="Z2458" s="165">
        <v>6.25E-2</v>
      </c>
      <c r="AA2458" s="271">
        <v>6.25E-2</v>
      </c>
      <c r="AB2458" s="114">
        <v>124</v>
      </c>
      <c r="AC2458" s="50">
        <v>4570</v>
      </c>
      <c r="AD2458" s="271">
        <v>0</v>
      </c>
    </row>
    <row r="2459" spans="1:77" ht="15" customHeight="1">
      <c r="A2459" s="41" t="s">
        <v>183</v>
      </c>
      <c r="B2459" s="402" t="s">
        <v>3918</v>
      </c>
      <c r="C2459" s="113" t="s">
        <v>5347</v>
      </c>
      <c r="D2459" s="393" t="s">
        <v>735</v>
      </c>
      <c r="E2459" s="394" t="s">
        <v>1293</v>
      </c>
      <c r="G2459" s="405" t="s">
        <v>3919</v>
      </c>
      <c r="H2459" s="74">
        <v>3351</v>
      </c>
      <c r="I2459" s="50" t="s">
        <v>2</v>
      </c>
      <c r="J2459" s="339" t="s">
        <v>3920</v>
      </c>
      <c r="K2459" s="51">
        <v>41690</v>
      </c>
      <c r="L2459" s="173">
        <v>41685</v>
      </c>
      <c r="M2459" s="50">
        <f t="shared" si="138"/>
        <v>5</v>
      </c>
      <c r="N2459" s="50" t="s">
        <v>1</v>
      </c>
      <c r="O2459" s="74">
        <v>1.19</v>
      </c>
      <c r="P2459" s="50">
        <v>7</v>
      </c>
      <c r="Q2459" s="74">
        <v>6.5</v>
      </c>
      <c r="R2459" s="50">
        <v>11.5</v>
      </c>
      <c r="S2459" s="74">
        <v>11</v>
      </c>
      <c r="T2459" s="50">
        <v>5.2699999999999997E-2</v>
      </c>
      <c r="U2459" s="131">
        <v>0.77</v>
      </c>
      <c r="V2459" s="50">
        <v>0.40799999999999997</v>
      </c>
      <c r="W2459" s="74">
        <v>0.626</v>
      </c>
      <c r="X2459" s="50">
        <v>0.46700000000000003</v>
      </c>
      <c r="Y2459" s="74">
        <f>0.075/2</f>
        <v>3.7499999999999999E-2</v>
      </c>
      <c r="Z2459" s="165">
        <v>6.25E-2</v>
      </c>
      <c r="AA2459" s="271">
        <v>6.25E-2</v>
      </c>
      <c r="AB2459" s="114">
        <v>72</v>
      </c>
      <c r="AC2459" s="50">
        <v>6810</v>
      </c>
      <c r="AD2459" s="271">
        <v>0</v>
      </c>
    </row>
    <row r="2460" spans="1:77" ht="15" customHeight="1">
      <c r="A2460" s="41" t="s">
        <v>183</v>
      </c>
      <c r="B2460" s="402" t="s">
        <v>3918</v>
      </c>
      <c r="C2460" s="113" t="s">
        <v>5347</v>
      </c>
      <c r="D2460" s="393" t="s">
        <v>735</v>
      </c>
      <c r="E2460" s="394" t="s">
        <v>1293</v>
      </c>
      <c r="G2460" s="405" t="s">
        <v>3919</v>
      </c>
      <c r="H2460" s="74">
        <v>3351</v>
      </c>
      <c r="I2460" s="50" t="s">
        <v>2</v>
      </c>
      <c r="J2460" s="339" t="s">
        <v>176</v>
      </c>
      <c r="K2460" s="51">
        <v>41605</v>
      </c>
      <c r="L2460" s="173">
        <v>41600</v>
      </c>
      <c r="M2460" s="50">
        <f t="shared" si="138"/>
        <v>5</v>
      </c>
      <c r="N2460" s="50" t="s">
        <v>1</v>
      </c>
      <c r="O2460" s="74">
        <f>1/2</f>
        <v>0.5</v>
      </c>
      <c r="P2460" s="50">
        <v>6.3</v>
      </c>
      <c r="Q2460" s="74">
        <v>6.9</v>
      </c>
      <c r="R2460" s="50">
        <f>5/2</f>
        <v>2.5</v>
      </c>
      <c r="S2460" s="74">
        <v>8</v>
      </c>
      <c r="T2460" s="50">
        <v>3.6400000000000002E-2</v>
      </c>
      <c r="U2460" s="131">
        <v>0.21</v>
      </c>
      <c r="V2460" s="50">
        <f>0.1/2</f>
        <v>0.05</v>
      </c>
      <c r="W2460" s="74">
        <v>6.5799999999999997E-2</v>
      </c>
      <c r="X2460" s="50">
        <v>2.9499999999999998E-2</v>
      </c>
      <c r="Y2460" s="74">
        <v>1.64E-3</v>
      </c>
      <c r="Z2460" s="165">
        <v>6.25E-2</v>
      </c>
      <c r="AA2460" s="271">
        <v>6.25E-2</v>
      </c>
      <c r="AB2460" s="114">
        <v>4</v>
      </c>
      <c r="AC2460" s="50">
        <v>55</v>
      </c>
      <c r="AD2460" s="271">
        <v>0</v>
      </c>
    </row>
    <row r="2461" spans="1:77" ht="15" customHeight="1">
      <c r="A2461" s="41" t="s">
        <v>183</v>
      </c>
      <c r="B2461" s="402" t="s">
        <v>4944</v>
      </c>
      <c r="D2461" s="393" t="s">
        <v>1537</v>
      </c>
      <c r="E2461" s="394" t="s">
        <v>4945</v>
      </c>
      <c r="G2461" s="405" t="s">
        <v>4946</v>
      </c>
      <c r="H2461" s="74">
        <v>2869</v>
      </c>
      <c r="I2461" s="50" t="s">
        <v>1</v>
      </c>
      <c r="J2461" s="339" t="s">
        <v>4280</v>
      </c>
      <c r="K2461" s="51">
        <v>41529</v>
      </c>
      <c r="L2461" s="173">
        <v>41512</v>
      </c>
      <c r="M2461" s="50">
        <f t="shared" si="138"/>
        <v>17</v>
      </c>
      <c r="N2461" s="50" t="s">
        <v>2</v>
      </c>
      <c r="O2461" s="74">
        <f>1/2</f>
        <v>0.5</v>
      </c>
      <c r="P2461" s="50">
        <v>5.89</v>
      </c>
      <c r="Q2461" s="74">
        <v>5.25</v>
      </c>
      <c r="R2461" s="50">
        <v>39</v>
      </c>
      <c r="S2461" s="74">
        <v>24</v>
      </c>
      <c r="T2461" s="50">
        <v>0.49</v>
      </c>
      <c r="U2461" s="131">
        <v>6.16</v>
      </c>
      <c r="V2461" s="50">
        <v>0.49</v>
      </c>
      <c r="W2461" s="74">
        <f>0.01/2</f>
        <v>5.0000000000000001E-3</v>
      </c>
      <c r="X2461" s="50">
        <v>4.41E-2</v>
      </c>
      <c r="Y2461" s="74">
        <f>0.01/2</f>
        <v>5.0000000000000001E-3</v>
      </c>
      <c r="Z2461" s="165">
        <v>0.63700000000000001</v>
      </c>
      <c r="AA2461" s="271">
        <v>0.63700000000000001</v>
      </c>
      <c r="AB2461" s="114">
        <v>113</v>
      </c>
      <c r="AC2461" s="50">
        <v>263</v>
      </c>
      <c r="AD2461" s="271">
        <v>0</v>
      </c>
      <c r="AE2461" s="77" t="s">
        <v>5348</v>
      </c>
      <c r="BY2461" s="5">
        <v>14.65</v>
      </c>
    </row>
    <row r="2462" spans="1:77" ht="15" customHeight="1">
      <c r="A2462" s="41" t="s">
        <v>183</v>
      </c>
      <c r="B2462" s="402" t="s">
        <v>4944</v>
      </c>
      <c r="D2462" s="393" t="s">
        <v>1537</v>
      </c>
      <c r="E2462" s="394" t="s">
        <v>4945</v>
      </c>
      <c r="G2462" s="405" t="s">
        <v>4946</v>
      </c>
      <c r="H2462" s="84">
        <v>2869</v>
      </c>
      <c r="I2462" s="50" t="s">
        <v>1</v>
      </c>
      <c r="J2462" s="339" t="s">
        <v>4947</v>
      </c>
      <c r="K2462" s="51">
        <v>41529</v>
      </c>
      <c r="L2462" s="173">
        <v>41512</v>
      </c>
      <c r="M2462" s="50">
        <f t="shared" si="138"/>
        <v>17</v>
      </c>
      <c r="N2462" s="50" t="s">
        <v>2</v>
      </c>
      <c r="O2462" s="74">
        <f>1/2</f>
        <v>0.5</v>
      </c>
      <c r="P2462" s="50">
        <v>5.89</v>
      </c>
      <c r="Q2462" s="74">
        <v>5.86</v>
      </c>
      <c r="R2462" s="50">
        <v>46</v>
      </c>
      <c r="S2462" s="74">
        <v>4</v>
      </c>
      <c r="T2462" s="50">
        <v>0.39</v>
      </c>
      <c r="U2462" s="131">
        <v>3.08</v>
      </c>
      <c r="V2462" s="50">
        <v>0.68</v>
      </c>
      <c r="W2462" s="74">
        <v>2.1600000000000001E-2</v>
      </c>
      <c r="X2462" s="50">
        <v>0.35160000000000002</v>
      </c>
      <c r="Y2462" s="74">
        <f>0.01/2</f>
        <v>5.0000000000000001E-3</v>
      </c>
      <c r="Z2462" s="165">
        <v>1</v>
      </c>
      <c r="AA2462" s="271">
        <v>0.45100000000000001</v>
      </c>
      <c r="AB2462" s="114">
        <v>50</v>
      </c>
      <c r="AC2462" s="50">
        <v>49</v>
      </c>
      <c r="AD2462" s="271">
        <v>0</v>
      </c>
      <c r="AE2462" s="50">
        <v>2300</v>
      </c>
      <c r="BY2462" s="5">
        <v>11.97</v>
      </c>
    </row>
    <row r="2463" spans="1:77" ht="15" customHeight="1">
      <c r="A2463" s="41" t="s">
        <v>183</v>
      </c>
      <c r="B2463" s="402" t="s">
        <v>4944</v>
      </c>
      <c r="D2463" s="393" t="s">
        <v>1537</v>
      </c>
      <c r="E2463" s="394" t="s">
        <v>4945</v>
      </c>
      <c r="G2463" s="405" t="s">
        <v>4946</v>
      </c>
      <c r="H2463" s="74">
        <v>2869</v>
      </c>
      <c r="I2463" s="50" t="s">
        <v>1</v>
      </c>
      <c r="J2463" s="339" t="s">
        <v>4948</v>
      </c>
      <c r="K2463" s="51">
        <v>41529</v>
      </c>
      <c r="L2463" s="173">
        <v>41512</v>
      </c>
      <c r="M2463" s="50">
        <f t="shared" si="138"/>
        <v>17</v>
      </c>
      <c r="N2463" s="50" t="s">
        <v>2</v>
      </c>
      <c r="O2463" s="74">
        <v>1.8</v>
      </c>
      <c r="P2463" s="50">
        <v>5.89</v>
      </c>
      <c r="Q2463" s="74">
        <v>6.45</v>
      </c>
      <c r="R2463" s="50">
        <v>217</v>
      </c>
      <c r="S2463" s="74">
        <v>164</v>
      </c>
      <c r="T2463" s="50">
        <v>0.66</v>
      </c>
      <c r="U2463" s="131">
        <v>6.72</v>
      </c>
      <c r="V2463" s="50">
        <v>0.9</v>
      </c>
      <c r="W2463" s="74">
        <v>8.1000000000000003E-2</v>
      </c>
      <c r="X2463" s="50">
        <v>0.52</v>
      </c>
      <c r="Y2463" s="74">
        <v>4.2999999999999997E-2</v>
      </c>
      <c r="Z2463" s="165">
        <v>1</v>
      </c>
      <c r="AA2463" s="271">
        <v>1</v>
      </c>
      <c r="AB2463" s="114">
        <v>448</v>
      </c>
      <c r="AC2463" s="50">
        <v>475</v>
      </c>
      <c r="AD2463" s="271">
        <v>1</v>
      </c>
      <c r="AE2463" s="50">
        <v>1300</v>
      </c>
      <c r="BY2463" s="5">
        <v>85.5</v>
      </c>
    </row>
    <row r="2464" spans="1:77" ht="15" customHeight="1">
      <c r="A2464" s="41" t="s">
        <v>183</v>
      </c>
      <c r="B2464" s="402" t="s">
        <v>4944</v>
      </c>
      <c r="D2464" s="393" t="s">
        <v>1537</v>
      </c>
      <c r="E2464" s="394" t="s">
        <v>4945</v>
      </c>
      <c r="G2464" s="405" t="s">
        <v>4946</v>
      </c>
      <c r="H2464" s="74">
        <v>2869</v>
      </c>
      <c r="I2464" s="50" t="s">
        <v>1</v>
      </c>
      <c r="J2464" s="339" t="s">
        <v>4949</v>
      </c>
      <c r="K2464" s="51">
        <v>41529</v>
      </c>
      <c r="L2464" s="173">
        <v>41512</v>
      </c>
      <c r="M2464" s="50">
        <f t="shared" si="138"/>
        <v>17</v>
      </c>
      <c r="N2464" s="50" t="s">
        <v>2</v>
      </c>
      <c r="O2464" s="74">
        <f>1/2</f>
        <v>0.5</v>
      </c>
      <c r="P2464" s="50">
        <v>5.89</v>
      </c>
      <c r="Q2464" s="74">
        <v>6.84</v>
      </c>
      <c r="R2464" s="50">
        <v>79</v>
      </c>
      <c r="S2464" s="74">
        <v>103</v>
      </c>
      <c r="T2464" s="50">
        <v>0.36</v>
      </c>
      <c r="U2464" s="131">
        <v>5.32</v>
      </c>
      <c r="V2464" s="50">
        <v>1.02</v>
      </c>
      <c r="W2464" s="74">
        <v>6.2E-2</v>
      </c>
      <c r="X2464" s="50">
        <v>0.41199999999999998</v>
      </c>
      <c r="Y2464" s="74">
        <v>2.7E-2</v>
      </c>
      <c r="Z2464" s="165">
        <v>1</v>
      </c>
      <c r="AA2464" s="271">
        <v>1</v>
      </c>
      <c r="AB2464" s="114">
        <v>130</v>
      </c>
      <c r="AC2464" s="50">
        <v>136</v>
      </c>
      <c r="AD2464" s="271">
        <v>0.8</v>
      </c>
      <c r="AE2464" s="50">
        <v>900</v>
      </c>
      <c r="BY2464" s="5">
        <v>20.72</v>
      </c>
    </row>
    <row r="2465" spans="1:30" ht="15" customHeight="1">
      <c r="A2465" s="41" t="s">
        <v>183</v>
      </c>
      <c r="B2465" s="402" t="s">
        <v>2511</v>
      </c>
      <c r="D2465" s="393" t="s">
        <v>534</v>
      </c>
      <c r="E2465" s="394" t="s">
        <v>304</v>
      </c>
      <c r="F2465" s="85"/>
      <c r="G2465" s="405" t="s">
        <v>2512</v>
      </c>
      <c r="H2465" s="74"/>
      <c r="I2465" s="50" t="s">
        <v>1</v>
      </c>
      <c r="J2465" s="48" t="s">
        <v>2514</v>
      </c>
      <c r="K2465" s="51">
        <v>41579</v>
      </c>
      <c r="L2465" s="173">
        <v>41554</v>
      </c>
      <c r="M2465" s="50">
        <f t="shared" si="138"/>
        <v>25</v>
      </c>
      <c r="N2465" s="50" t="s">
        <v>2</v>
      </c>
      <c r="O2465" s="74">
        <f>0.5/2</f>
        <v>0.25</v>
      </c>
      <c r="P2465" s="50">
        <v>6.4</v>
      </c>
      <c r="Q2465" s="74">
        <v>7.5</v>
      </c>
      <c r="R2465" s="50">
        <v>11</v>
      </c>
      <c r="S2465" s="74">
        <f>1/2</f>
        <v>0.5</v>
      </c>
      <c r="T2465" s="50">
        <f>0.01/2</f>
        <v>5.0000000000000001E-3</v>
      </c>
      <c r="U2465" s="131">
        <v>7.0000000000000007E-2</v>
      </c>
      <c r="V2465" s="50">
        <f>0.05/2</f>
        <v>2.5000000000000001E-2</v>
      </c>
      <c r="W2465" s="74">
        <v>0.02</v>
      </c>
      <c r="X2465" s="50">
        <v>0.02</v>
      </c>
      <c r="Y2465" s="74">
        <f>0.005/2</f>
        <v>2.5000000000000001E-3</v>
      </c>
      <c r="Z2465" s="165"/>
    </row>
    <row r="2466" spans="1:30" ht="15" customHeight="1">
      <c r="A2466" s="41" t="s">
        <v>183</v>
      </c>
      <c r="B2466" s="402" t="s">
        <v>2511</v>
      </c>
      <c r="D2466" s="393" t="s">
        <v>534</v>
      </c>
      <c r="E2466" s="394" t="s">
        <v>304</v>
      </c>
      <c r="F2466" s="85"/>
      <c r="G2466" s="405" t="s">
        <v>2512</v>
      </c>
      <c r="H2466" s="74"/>
      <c r="I2466" s="50" t="s">
        <v>1</v>
      </c>
      <c r="J2466" s="48" t="s">
        <v>2513</v>
      </c>
      <c r="K2466" s="51">
        <v>41579</v>
      </c>
      <c r="L2466" s="173">
        <v>41554</v>
      </c>
      <c r="M2466" s="50">
        <f t="shared" si="138"/>
        <v>25</v>
      </c>
      <c r="N2466" s="50" t="s">
        <v>2</v>
      </c>
      <c r="O2466" s="74">
        <f>0.5/2</f>
        <v>0.25</v>
      </c>
      <c r="P2466" s="50">
        <v>6.4</v>
      </c>
      <c r="Q2466" s="74">
        <v>7.3</v>
      </c>
      <c r="R2466" s="50">
        <v>14</v>
      </c>
      <c r="S2466" s="74">
        <v>11</v>
      </c>
      <c r="T2466" s="50">
        <f>0.01/2</f>
        <v>5.0000000000000001E-3</v>
      </c>
      <c r="U2466" s="131">
        <v>0.26</v>
      </c>
      <c r="V2466" s="50">
        <v>0.28999999999999998</v>
      </c>
      <c r="W2466" s="74">
        <v>0.02</v>
      </c>
      <c r="X2466" s="50">
        <v>0.01</v>
      </c>
      <c r="Y2466" s="74">
        <f>0.005/2</f>
        <v>2.5000000000000001E-3</v>
      </c>
      <c r="Z2466" s="165"/>
    </row>
    <row r="2467" spans="1:30" ht="15" customHeight="1">
      <c r="A2467" s="41" t="s">
        <v>183</v>
      </c>
      <c r="B2467" s="402" t="s">
        <v>2511</v>
      </c>
      <c r="D2467" s="393" t="s">
        <v>534</v>
      </c>
      <c r="E2467" s="394" t="s">
        <v>304</v>
      </c>
      <c r="F2467" s="85"/>
      <c r="G2467" s="405" t="s">
        <v>2512</v>
      </c>
      <c r="H2467" s="74"/>
      <c r="I2467" s="50" t="s">
        <v>1</v>
      </c>
      <c r="J2467" s="48" t="s">
        <v>2515</v>
      </c>
      <c r="K2467" s="51">
        <v>41579</v>
      </c>
      <c r="L2467" s="173">
        <v>41554</v>
      </c>
      <c r="M2467" s="50">
        <f t="shared" si="138"/>
        <v>25</v>
      </c>
      <c r="N2467" s="50" t="s">
        <v>2</v>
      </c>
      <c r="O2467" s="74">
        <f>0.5/2</f>
        <v>0.25</v>
      </c>
      <c r="P2467" s="50">
        <v>6.4</v>
      </c>
      <c r="Q2467" s="74">
        <v>7.1</v>
      </c>
      <c r="R2467" s="50">
        <v>7</v>
      </c>
      <c r="S2467" s="74">
        <v>44</v>
      </c>
      <c r="T2467" s="50">
        <f>0.01/2</f>
        <v>5.0000000000000001E-3</v>
      </c>
      <c r="U2467" s="131">
        <v>0.38</v>
      </c>
      <c r="V2467" s="50">
        <f>0.05/2</f>
        <v>2.5000000000000001E-2</v>
      </c>
      <c r="W2467" s="74">
        <v>0.02</v>
      </c>
      <c r="X2467" s="50">
        <v>0.02</v>
      </c>
      <c r="Y2467" s="74">
        <f>0.005/2</f>
        <v>2.5000000000000001E-3</v>
      </c>
      <c r="Z2467" s="165"/>
    </row>
    <row r="2468" spans="1:30" ht="15" customHeight="1">
      <c r="A2468" s="41" t="s">
        <v>183</v>
      </c>
      <c r="B2468" s="402" t="s">
        <v>1286</v>
      </c>
      <c r="C2468" s="113" t="s">
        <v>3721</v>
      </c>
      <c r="D2468" s="393" t="s">
        <v>286</v>
      </c>
      <c r="E2468" s="394" t="s">
        <v>287</v>
      </c>
      <c r="F2468" s="401"/>
      <c r="G2468" s="405" t="s">
        <v>288</v>
      </c>
      <c r="H2468" s="113">
        <v>4151</v>
      </c>
      <c r="I2468" s="49" t="s">
        <v>2</v>
      </c>
      <c r="J2468" s="48" t="s">
        <v>3144</v>
      </c>
      <c r="K2468" s="51">
        <v>41432</v>
      </c>
      <c r="L2468" s="173">
        <v>41428</v>
      </c>
      <c r="M2468" s="50">
        <f t="shared" si="138"/>
        <v>4</v>
      </c>
      <c r="N2468" s="50" t="s">
        <v>2</v>
      </c>
      <c r="O2468" s="74">
        <v>1.7</v>
      </c>
      <c r="P2468" s="50">
        <v>5.94</v>
      </c>
      <c r="Q2468" s="74">
        <v>6.72</v>
      </c>
      <c r="R2468" s="50">
        <v>57.3</v>
      </c>
      <c r="S2468" s="74">
        <v>77</v>
      </c>
      <c r="T2468" s="50">
        <v>0.68</v>
      </c>
      <c r="U2468" s="131">
        <v>1.1599999999999999</v>
      </c>
      <c r="V2468" s="50">
        <f>0.2/2</f>
        <v>0.1</v>
      </c>
      <c r="W2468" s="74">
        <f>0.01/2</f>
        <v>5.0000000000000001E-3</v>
      </c>
      <c r="X2468" s="50">
        <f>0.01/2</f>
        <v>5.0000000000000001E-3</v>
      </c>
      <c r="Y2468" s="74">
        <f>0.02/2</f>
        <v>0.01</v>
      </c>
      <c r="Z2468" s="165"/>
    </row>
    <row r="2469" spans="1:30" ht="15" customHeight="1">
      <c r="A2469" s="41" t="s">
        <v>183</v>
      </c>
      <c r="B2469" s="402" t="s">
        <v>1286</v>
      </c>
      <c r="C2469" s="113" t="s">
        <v>3721</v>
      </c>
      <c r="D2469" s="393" t="s">
        <v>286</v>
      </c>
      <c r="E2469" s="394" t="s">
        <v>287</v>
      </c>
      <c r="F2469" s="401"/>
      <c r="G2469" s="405" t="s">
        <v>288</v>
      </c>
      <c r="H2469" s="113">
        <v>4151</v>
      </c>
      <c r="I2469" s="49" t="s">
        <v>2</v>
      </c>
      <c r="J2469" s="48" t="s">
        <v>3144</v>
      </c>
      <c r="K2469" s="51">
        <v>41744</v>
      </c>
      <c r="L2469" s="173">
        <v>41738</v>
      </c>
      <c r="M2469" s="50">
        <f t="shared" si="138"/>
        <v>6</v>
      </c>
      <c r="N2469" s="50" t="s">
        <v>2</v>
      </c>
      <c r="O2469" s="74">
        <v>1.2</v>
      </c>
      <c r="P2469" s="50">
        <v>6.04</v>
      </c>
      <c r="Q2469" s="74">
        <v>6.48</v>
      </c>
      <c r="R2469" s="50">
        <v>25</v>
      </c>
      <c r="S2469" s="74">
        <v>15.5</v>
      </c>
      <c r="T2469" s="50">
        <v>0.08</v>
      </c>
      <c r="U2469" s="131">
        <v>0.57999999999999996</v>
      </c>
      <c r="V2469" s="50">
        <f>0.2/2</f>
        <v>0.1</v>
      </c>
      <c r="W2469" s="74">
        <f>0.01/2</f>
        <v>5.0000000000000001E-3</v>
      </c>
      <c r="X2469" s="50">
        <v>0.05</v>
      </c>
      <c r="Y2469" s="74">
        <f>0.02/2</f>
        <v>0.01</v>
      </c>
      <c r="Z2469" s="165">
        <v>1</v>
      </c>
      <c r="AA2469" s="271">
        <v>1</v>
      </c>
      <c r="AB2469" s="114">
        <v>1.6</v>
      </c>
      <c r="AC2469" s="50">
        <v>28.4</v>
      </c>
      <c r="AD2469" s="271">
        <v>1</v>
      </c>
    </row>
    <row r="2470" spans="1:30" ht="15" customHeight="1">
      <c r="A2470" s="41" t="s">
        <v>183</v>
      </c>
      <c r="B2470" s="402" t="s">
        <v>5351</v>
      </c>
      <c r="D2470" s="393" t="s">
        <v>434</v>
      </c>
      <c r="G2470" s="405" t="s">
        <v>5350</v>
      </c>
      <c r="H2470" s="74"/>
      <c r="J2470" s="339"/>
      <c r="K2470" s="51">
        <v>41148</v>
      </c>
      <c r="L2470" s="173"/>
      <c r="N2470" s="50" t="s">
        <v>2</v>
      </c>
      <c r="O2470" s="74">
        <f>1/2</f>
        <v>0.5</v>
      </c>
      <c r="P2470" s="50">
        <v>4.08</v>
      </c>
      <c r="Q2470" s="74">
        <v>4.08</v>
      </c>
      <c r="R2470" s="50">
        <v>108</v>
      </c>
      <c r="S2470" s="74">
        <v>2</v>
      </c>
      <c r="T2470" s="50">
        <v>0.11</v>
      </c>
      <c r="U2470" s="131">
        <v>6.09</v>
      </c>
      <c r="V2470" s="50">
        <v>0.57999999999999996</v>
      </c>
      <c r="W2470" s="74">
        <f>0.05/2</f>
        <v>2.5000000000000001E-2</v>
      </c>
      <c r="X2470" s="50">
        <v>0.18</v>
      </c>
      <c r="Y2470" s="74">
        <f>0.05/2</f>
        <v>2.5000000000000001E-2</v>
      </c>
      <c r="Z2470" s="165">
        <v>1</v>
      </c>
      <c r="AA2470" s="271">
        <v>0.70699999999999996</v>
      </c>
      <c r="AB2470" s="114">
        <f>1/2</f>
        <v>0.5</v>
      </c>
      <c r="AC2470" s="50">
        <v>54</v>
      </c>
      <c r="AD2470" s="271">
        <v>0</v>
      </c>
    </row>
    <row r="2471" spans="1:30" ht="15" customHeight="1">
      <c r="A2471" s="41" t="s">
        <v>183</v>
      </c>
      <c r="B2471" s="402" t="s">
        <v>5351</v>
      </c>
      <c r="D2471" s="393" t="s">
        <v>434</v>
      </c>
      <c r="G2471" s="405" t="s">
        <v>5350</v>
      </c>
      <c r="H2471" s="74">
        <v>2869</v>
      </c>
      <c r="I2471" s="50" t="s">
        <v>2</v>
      </c>
      <c r="J2471" s="339"/>
      <c r="K2471" s="51">
        <v>41478</v>
      </c>
      <c r="L2471" s="173">
        <v>41468</v>
      </c>
      <c r="M2471" s="50">
        <f>K2471-L2471</f>
        <v>10</v>
      </c>
      <c r="N2471" s="50" t="s">
        <v>2</v>
      </c>
      <c r="O2471" s="74">
        <f>1/2</f>
        <v>0.5</v>
      </c>
      <c r="P2471" s="50">
        <v>4.4000000000000004</v>
      </c>
      <c r="Q2471" s="74">
        <v>4.3</v>
      </c>
      <c r="R2471" s="50">
        <v>19</v>
      </c>
      <c r="S2471" s="74">
        <v>4</v>
      </c>
      <c r="T2471" s="50">
        <v>0.27</v>
      </c>
      <c r="U2471" s="131">
        <v>1.68</v>
      </c>
      <c r="V2471" s="50">
        <v>0.62</v>
      </c>
      <c r="W2471" s="74">
        <v>0.26</v>
      </c>
      <c r="X2471" s="50">
        <v>0.26</v>
      </c>
      <c r="Y2471" s="74">
        <f>0.05/2</f>
        <v>2.5000000000000001E-2</v>
      </c>
      <c r="Z2471" s="165">
        <v>0.89100000000000001</v>
      </c>
      <c r="AA2471" s="271">
        <v>0.70699999999999996</v>
      </c>
      <c r="AB2471" s="114">
        <v>1.4</v>
      </c>
      <c r="AC2471" s="50">
        <v>36</v>
      </c>
      <c r="AD2471" s="271">
        <v>0</v>
      </c>
    </row>
    <row r="2472" spans="1:30" ht="15" customHeight="1">
      <c r="A2472" s="41" t="s">
        <v>183</v>
      </c>
      <c r="B2472" s="402" t="s">
        <v>5351</v>
      </c>
      <c r="D2472" s="393" t="s">
        <v>434</v>
      </c>
      <c r="G2472" s="405" t="s">
        <v>5350</v>
      </c>
      <c r="H2472" s="74">
        <v>2869</v>
      </c>
      <c r="I2472" s="50" t="s">
        <v>2</v>
      </c>
      <c r="J2472" s="339"/>
      <c r="K2472" s="51">
        <v>41710</v>
      </c>
      <c r="L2472" s="173"/>
      <c r="N2472" s="50" t="s">
        <v>2</v>
      </c>
      <c r="O2472" s="74">
        <f>1/2</f>
        <v>0.5</v>
      </c>
      <c r="P2472" s="50">
        <v>6.1</v>
      </c>
      <c r="Q2472" s="74">
        <v>6.11</v>
      </c>
      <c r="R2472" s="50">
        <v>28</v>
      </c>
      <c r="S2472" s="74">
        <v>1</v>
      </c>
      <c r="T2472" s="50">
        <f>0.1/2</f>
        <v>0.05</v>
      </c>
      <c r="U2472" s="131">
        <v>1.74</v>
      </c>
      <c r="V2472" s="50">
        <v>0.37</v>
      </c>
      <c r="W2472" s="74">
        <v>0.06</v>
      </c>
      <c r="X2472" s="50">
        <v>0.21</v>
      </c>
      <c r="Y2472" s="74">
        <f>0.05/2</f>
        <v>2.5000000000000001E-2</v>
      </c>
      <c r="Z2472" s="165">
        <v>1</v>
      </c>
      <c r="AA2472" s="271">
        <v>1</v>
      </c>
      <c r="AB2472" s="114">
        <v>9</v>
      </c>
      <c r="AC2472" s="50">
        <v>49</v>
      </c>
      <c r="AD2472" s="271">
        <v>1</v>
      </c>
    </row>
    <row r="2473" spans="1:30" ht="15" customHeight="1">
      <c r="A2473" s="41" t="s">
        <v>183</v>
      </c>
      <c r="B2473" s="402" t="s">
        <v>2319</v>
      </c>
      <c r="D2473" s="393" t="s">
        <v>1881</v>
      </c>
      <c r="E2473" s="394" t="s">
        <v>49</v>
      </c>
      <c r="F2473" s="402">
        <v>4500</v>
      </c>
      <c r="G2473" s="405" t="s">
        <v>2320</v>
      </c>
      <c r="H2473" s="74">
        <v>2621</v>
      </c>
      <c r="I2473" s="50" t="s">
        <v>1</v>
      </c>
      <c r="J2473" s="339" t="s">
        <v>5352</v>
      </c>
      <c r="K2473" s="51">
        <v>41171</v>
      </c>
      <c r="L2473" s="173">
        <v>41169</v>
      </c>
      <c r="M2473" s="50">
        <f>K2473-L2473</f>
        <v>2</v>
      </c>
      <c r="N2473" s="50" t="s">
        <v>2</v>
      </c>
      <c r="O2473" s="74">
        <f>1.4/2</f>
        <v>0.7</v>
      </c>
      <c r="P2473" s="50">
        <v>6.1</v>
      </c>
      <c r="Q2473" s="74">
        <v>7.72</v>
      </c>
      <c r="R2473" s="50">
        <v>22</v>
      </c>
      <c r="S2473" s="74">
        <v>7.5</v>
      </c>
      <c r="T2473" s="50">
        <v>0.83</v>
      </c>
      <c r="U2473" s="131">
        <v>1.37</v>
      </c>
      <c r="V2473" s="50">
        <v>0.87</v>
      </c>
      <c r="W2473" s="74">
        <v>5.0000000000000001E-3</v>
      </c>
      <c r="X2473" s="50">
        <v>0.13800000000000001</v>
      </c>
      <c r="Y2473" s="74">
        <f>0.002/2</f>
        <v>1E-3</v>
      </c>
      <c r="Z2473" s="165">
        <v>1</v>
      </c>
      <c r="AA2473" s="271">
        <v>1</v>
      </c>
      <c r="AB2473" s="114">
        <v>82</v>
      </c>
      <c r="AC2473" s="50">
        <v>333</v>
      </c>
      <c r="AD2473" s="271">
        <v>1</v>
      </c>
    </row>
    <row r="2474" spans="1:30" ht="15" customHeight="1">
      <c r="A2474" s="41" t="s">
        <v>183</v>
      </c>
      <c r="B2474" s="402" t="s">
        <v>2319</v>
      </c>
      <c r="D2474" s="393" t="s">
        <v>1881</v>
      </c>
      <c r="E2474" s="394" t="s">
        <v>49</v>
      </c>
      <c r="F2474" s="402">
        <v>4500</v>
      </c>
      <c r="G2474" s="405" t="s">
        <v>2320</v>
      </c>
      <c r="H2474" s="74">
        <v>2621</v>
      </c>
      <c r="I2474" s="50" t="s">
        <v>1</v>
      </c>
      <c r="J2474" s="339" t="s">
        <v>5352</v>
      </c>
      <c r="K2474" s="51">
        <v>41352</v>
      </c>
      <c r="L2474" s="173">
        <v>41351</v>
      </c>
      <c r="M2474" s="50">
        <f>K2474-L2474</f>
        <v>1</v>
      </c>
      <c r="N2474" s="50" t="s">
        <v>2</v>
      </c>
      <c r="O2474" s="74">
        <v>4.9000000000000004</v>
      </c>
      <c r="P2474" s="50">
        <v>7.3</v>
      </c>
      <c r="Q2474" s="74">
        <v>7.62</v>
      </c>
      <c r="R2474" s="50">
        <v>72</v>
      </c>
      <c r="S2474" s="74">
        <v>130</v>
      </c>
      <c r="T2474" s="50">
        <v>0.24</v>
      </c>
      <c r="U2474" s="131">
        <v>1.45</v>
      </c>
      <c r="V2474" s="50">
        <v>0.55000000000000004</v>
      </c>
      <c r="W2474" s="74">
        <v>0.02</v>
      </c>
      <c r="X2474" s="50">
        <v>0.2</v>
      </c>
      <c r="Y2474" s="74">
        <v>1.0999999999999999E-2</v>
      </c>
      <c r="Z2474" s="165"/>
    </row>
    <row r="2475" spans="1:30" ht="15" customHeight="1">
      <c r="A2475" s="41" t="s">
        <v>183</v>
      </c>
      <c r="B2475" s="402" t="s">
        <v>2319</v>
      </c>
      <c r="D2475" s="393" t="s">
        <v>1881</v>
      </c>
      <c r="E2475" s="394" t="s">
        <v>49</v>
      </c>
      <c r="F2475" s="402">
        <v>4500</v>
      </c>
      <c r="G2475" s="405" t="s">
        <v>2320</v>
      </c>
      <c r="H2475" s="74">
        <v>2621</v>
      </c>
      <c r="I2475" s="50" t="s">
        <v>1</v>
      </c>
      <c r="J2475" s="339" t="s">
        <v>5352</v>
      </c>
      <c r="K2475" s="51">
        <v>41733</v>
      </c>
      <c r="L2475" s="173">
        <v>41729</v>
      </c>
      <c r="M2475" s="50">
        <f>K2475-L2475</f>
        <v>4</v>
      </c>
      <c r="N2475" s="50" t="s">
        <v>2</v>
      </c>
      <c r="Z2475" s="165">
        <v>1</v>
      </c>
      <c r="AA2475" s="271">
        <v>1</v>
      </c>
      <c r="AB2475" s="114">
        <v>208</v>
      </c>
      <c r="AC2475" s="50">
        <v>723</v>
      </c>
      <c r="AD2475" s="271">
        <v>0.85</v>
      </c>
    </row>
    <row r="2476" spans="1:30" ht="15" customHeight="1">
      <c r="A2476" s="41" t="s">
        <v>183</v>
      </c>
      <c r="B2476" s="402" t="s">
        <v>5032</v>
      </c>
      <c r="C2476" s="113" t="s">
        <v>5077</v>
      </c>
      <c r="D2476" s="393" t="s">
        <v>2913</v>
      </c>
      <c r="E2476" s="394" t="s">
        <v>5033</v>
      </c>
      <c r="G2476" s="405" t="s">
        <v>5034</v>
      </c>
      <c r="H2476" s="74">
        <v>3724</v>
      </c>
      <c r="I2476" s="50" t="s">
        <v>2</v>
      </c>
      <c r="J2476" s="339" t="s">
        <v>5045</v>
      </c>
      <c r="K2476" s="51">
        <v>41726</v>
      </c>
      <c r="L2476" s="173"/>
      <c r="N2476" s="50" t="s">
        <v>2</v>
      </c>
      <c r="R2476" s="50">
        <f>10/2</f>
        <v>5</v>
      </c>
      <c r="Z2476" s="165"/>
    </row>
    <row r="2477" spans="1:30" ht="15" customHeight="1">
      <c r="A2477" s="41" t="s">
        <v>183</v>
      </c>
      <c r="B2477" s="402" t="s">
        <v>5151</v>
      </c>
      <c r="D2477" s="393" t="s">
        <v>1683</v>
      </c>
      <c r="E2477" s="394" t="s">
        <v>5152</v>
      </c>
      <c r="G2477" s="405" t="s">
        <v>5153</v>
      </c>
      <c r="H2477" s="74">
        <v>2815</v>
      </c>
      <c r="J2477" s="339" t="s">
        <v>641</v>
      </c>
      <c r="K2477" s="51">
        <v>41744</v>
      </c>
      <c r="L2477" s="173">
        <v>41738</v>
      </c>
      <c r="M2477" s="50">
        <f t="shared" ref="M2477:M2486" si="139">K2477-L2477</f>
        <v>6</v>
      </c>
      <c r="N2477" s="50" t="s">
        <v>2</v>
      </c>
      <c r="O2477" s="74">
        <f>1/2</f>
        <v>0.5</v>
      </c>
      <c r="P2477" s="50">
        <v>5.98</v>
      </c>
      <c r="Q2477" s="74">
        <v>6.06</v>
      </c>
      <c r="R2477" s="50">
        <v>10.199999999999999</v>
      </c>
      <c r="S2477" s="74">
        <v>12</v>
      </c>
      <c r="T2477" s="50">
        <v>0.08</v>
      </c>
      <c r="U2477" s="131">
        <v>1.1599999999999999</v>
      </c>
      <c r="V2477" s="50">
        <f>0.2/2</f>
        <v>0.1</v>
      </c>
      <c r="W2477" s="74">
        <f>0.01/2</f>
        <v>5.0000000000000001E-3</v>
      </c>
      <c r="X2477" s="50">
        <f>0.01/2</f>
        <v>5.0000000000000001E-3</v>
      </c>
      <c r="Y2477" s="74">
        <f>0.02/2</f>
        <v>0.01</v>
      </c>
      <c r="Z2477" s="165">
        <v>1</v>
      </c>
      <c r="AA2477" s="271">
        <v>1</v>
      </c>
      <c r="AB2477" s="114">
        <f>1/2</f>
        <v>0.5</v>
      </c>
      <c r="AC2477" s="50">
        <v>32.9</v>
      </c>
      <c r="AD2477" s="271">
        <v>1</v>
      </c>
    </row>
    <row r="2478" spans="1:30" ht="15" customHeight="1">
      <c r="A2478" s="41" t="s">
        <v>183</v>
      </c>
      <c r="B2478" s="402" t="s">
        <v>1970</v>
      </c>
      <c r="D2478" s="393" t="s">
        <v>111</v>
      </c>
      <c r="E2478" s="394" t="s">
        <v>112</v>
      </c>
      <c r="G2478" s="405" t="s">
        <v>4024</v>
      </c>
      <c r="H2478" s="74">
        <v>5093</v>
      </c>
      <c r="I2478" s="50" t="s">
        <v>2</v>
      </c>
      <c r="J2478" s="339" t="s">
        <v>4025</v>
      </c>
      <c r="K2478" s="51">
        <v>41417</v>
      </c>
      <c r="L2478" s="173">
        <v>41413</v>
      </c>
      <c r="M2478" s="50">
        <f t="shared" si="139"/>
        <v>4</v>
      </c>
      <c r="N2478" s="50" t="s">
        <v>2</v>
      </c>
      <c r="O2478" s="74">
        <f>2/2</f>
        <v>1</v>
      </c>
      <c r="P2478" s="50">
        <v>6.2</v>
      </c>
      <c r="Q2478" s="74">
        <v>6.7</v>
      </c>
      <c r="R2478" s="50">
        <v>61</v>
      </c>
      <c r="S2478" s="74">
        <v>36</v>
      </c>
      <c r="T2478" s="50">
        <v>0.16</v>
      </c>
      <c r="U2478" s="131">
        <v>1.65</v>
      </c>
      <c r="V2478" s="50">
        <v>0.71</v>
      </c>
      <c r="W2478" s="74">
        <v>3.9E-2</v>
      </c>
      <c r="X2478" s="50">
        <v>0.107</v>
      </c>
      <c r="Y2478" s="74">
        <f>0.03/2</f>
        <v>1.4999999999999999E-2</v>
      </c>
      <c r="Z2478" s="165"/>
    </row>
    <row r="2479" spans="1:30" ht="15" customHeight="1">
      <c r="A2479" s="41" t="s">
        <v>183</v>
      </c>
      <c r="B2479" s="402" t="s">
        <v>1970</v>
      </c>
      <c r="D2479" s="393" t="s">
        <v>111</v>
      </c>
      <c r="E2479" s="394" t="s">
        <v>112</v>
      </c>
      <c r="G2479" s="405" t="s">
        <v>4024</v>
      </c>
      <c r="H2479" s="74">
        <v>5093</v>
      </c>
      <c r="I2479" s="50" t="s">
        <v>2</v>
      </c>
      <c r="J2479" s="339" t="s">
        <v>4025</v>
      </c>
      <c r="K2479" s="51">
        <v>41727</v>
      </c>
      <c r="L2479" s="173">
        <v>41718</v>
      </c>
      <c r="M2479" s="50">
        <f t="shared" si="139"/>
        <v>9</v>
      </c>
      <c r="N2479" s="50" t="s">
        <v>2</v>
      </c>
      <c r="U2479" s="131">
        <v>0.6</v>
      </c>
      <c r="Z2479" s="165"/>
    </row>
    <row r="2480" spans="1:30" ht="15" customHeight="1">
      <c r="A2480" s="41" t="s">
        <v>183</v>
      </c>
      <c r="B2480" s="402" t="s">
        <v>2495</v>
      </c>
      <c r="C2480" s="113" t="s">
        <v>2495</v>
      </c>
      <c r="D2480" s="393" t="s">
        <v>41</v>
      </c>
      <c r="E2480" s="394" t="s">
        <v>2496</v>
      </c>
      <c r="G2480" s="405" t="s">
        <v>2497</v>
      </c>
      <c r="H2480" s="74">
        <v>3454</v>
      </c>
      <c r="I2480" s="50" t="s">
        <v>2</v>
      </c>
      <c r="J2480" s="339" t="s">
        <v>2498</v>
      </c>
      <c r="K2480" s="51">
        <v>41345</v>
      </c>
      <c r="L2480" s="173">
        <v>41341</v>
      </c>
      <c r="M2480" s="50">
        <f t="shared" si="139"/>
        <v>4</v>
      </c>
      <c r="N2480" s="50" t="s">
        <v>2</v>
      </c>
      <c r="O2480" s="74">
        <f>1.7/2</f>
        <v>0.85</v>
      </c>
      <c r="P2480" s="50">
        <v>6.4</v>
      </c>
      <c r="Q2480" s="74">
        <v>7</v>
      </c>
      <c r="R2480" s="50">
        <v>41</v>
      </c>
      <c r="S2480" s="74">
        <v>87.3</v>
      </c>
      <c r="T2480" s="50">
        <v>7.5999999999999998E-2</v>
      </c>
      <c r="U2480" s="131">
        <v>2.5</v>
      </c>
      <c r="V2480" s="50">
        <v>0.74</v>
      </c>
      <c r="W2480" s="74">
        <v>7.0000000000000001E-3</v>
      </c>
      <c r="X2480" s="50">
        <v>0.63900000000000001</v>
      </c>
      <c r="Y2480" s="74">
        <v>6.1999999999999998E-3</v>
      </c>
      <c r="Z2480" s="165"/>
    </row>
    <row r="2481" spans="1:49" ht="15" customHeight="1">
      <c r="A2481" s="41" t="s">
        <v>183</v>
      </c>
      <c r="B2481" s="402" t="s">
        <v>2495</v>
      </c>
      <c r="C2481" s="113" t="s">
        <v>2495</v>
      </c>
      <c r="D2481" s="393" t="s">
        <v>41</v>
      </c>
      <c r="E2481" s="394" t="s">
        <v>2496</v>
      </c>
      <c r="G2481" s="405" t="s">
        <v>2497</v>
      </c>
      <c r="H2481" s="74">
        <v>3454</v>
      </c>
      <c r="I2481" s="50" t="s">
        <v>2</v>
      </c>
      <c r="J2481" s="339" t="s">
        <v>5342</v>
      </c>
      <c r="K2481" s="51">
        <v>41345</v>
      </c>
      <c r="L2481" s="173">
        <v>41341</v>
      </c>
      <c r="M2481" s="50">
        <f t="shared" si="139"/>
        <v>4</v>
      </c>
      <c r="N2481" s="50" t="s">
        <v>2</v>
      </c>
      <c r="O2481" s="74">
        <f>1.8/2</f>
        <v>0.9</v>
      </c>
      <c r="P2481" s="50">
        <v>6.4</v>
      </c>
      <c r="Q2481" s="74">
        <v>8</v>
      </c>
      <c r="R2481" s="50">
        <v>430</v>
      </c>
      <c r="S2481" s="74">
        <v>84.8</v>
      </c>
      <c r="T2481" s="50">
        <v>0.17199999999999999</v>
      </c>
      <c r="U2481" s="131">
        <v>3.3</v>
      </c>
      <c r="V2481" s="50">
        <v>1.65</v>
      </c>
      <c r="W2481" s="74">
        <v>0.02</v>
      </c>
      <c r="X2481" s="50">
        <v>0.221</v>
      </c>
      <c r="Y2481" s="74">
        <f>0.005/2</f>
        <v>2.5000000000000001E-3</v>
      </c>
      <c r="Z2481" s="165"/>
    </row>
    <row r="2482" spans="1:49" ht="15" customHeight="1">
      <c r="A2482" s="41" t="s">
        <v>183</v>
      </c>
      <c r="B2482" s="402" t="s">
        <v>2495</v>
      </c>
      <c r="C2482" s="113" t="s">
        <v>2495</v>
      </c>
      <c r="D2482" s="393" t="s">
        <v>41</v>
      </c>
      <c r="E2482" s="394" t="s">
        <v>2496</v>
      </c>
      <c r="G2482" s="405" t="s">
        <v>2497</v>
      </c>
      <c r="H2482" s="74">
        <v>3454</v>
      </c>
      <c r="I2482" s="50" t="s">
        <v>2</v>
      </c>
      <c r="J2482" s="339" t="s">
        <v>2498</v>
      </c>
      <c r="K2482" s="51">
        <v>41487</v>
      </c>
      <c r="L2482" s="173">
        <v>41481</v>
      </c>
      <c r="M2482" s="50">
        <f t="shared" si="139"/>
        <v>6</v>
      </c>
      <c r="N2482" s="50" t="s">
        <v>2</v>
      </c>
      <c r="O2482" s="74">
        <f>1.7/2</f>
        <v>0.85</v>
      </c>
      <c r="P2482" s="50">
        <v>6.3</v>
      </c>
      <c r="Q2482" s="74">
        <v>6.1</v>
      </c>
      <c r="R2482" s="50">
        <v>21</v>
      </c>
      <c r="S2482" s="74">
        <v>35</v>
      </c>
      <c r="T2482" s="50">
        <v>7.6999999999999999E-2</v>
      </c>
      <c r="U2482" s="131">
        <v>1.1000000000000001</v>
      </c>
      <c r="V2482" s="50">
        <v>0.51</v>
      </c>
      <c r="W2482" s="74">
        <f>0.005/2</f>
        <v>2.5000000000000001E-3</v>
      </c>
      <c r="X2482" s="50">
        <v>0.308</v>
      </c>
      <c r="Y2482" s="74">
        <f>0.005/2</f>
        <v>2.5000000000000001E-3</v>
      </c>
      <c r="Z2482" s="165">
        <v>0.93899999999999995</v>
      </c>
      <c r="AA2482" s="271">
        <v>0.752</v>
      </c>
      <c r="AB2482" s="114">
        <v>8</v>
      </c>
      <c r="AC2482" s="50">
        <v>14</v>
      </c>
      <c r="AD2482" s="271">
        <v>0.15</v>
      </c>
    </row>
    <row r="2483" spans="1:49" ht="15" customHeight="1">
      <c r="A2483" s="41" t="s">
        <v>183</v>
      </c>
      <c r="B2483" s="402" t="s">
        <v>2495</v>
      </c>
      <c r="C2483" s="113" t="s">
        <v>2495</v>
      </c>
      <c r="D2483" s="393" t="s">
        <v>41</v>
      </c>
      <c r="E2483" s="394" t="s">
        <v>2496</v>
      </c>
      <c r="G2483" s="405" t="s">
        <v>2497</v>
      </c>
      <c r="H2483" s="74">
        <v>3454</v>
      </c>
      <c r="I2483" s="50" t="s">
        <v>2</v>
      </c>
      <c r="J2483" s="339" t="s">
        <v>5342</v>
      </c>
      <c r="K2483" s="51">
        <v>41487</v>
      </c>
      <c r="L2483" s="173">
        <v>41481</v>
      </c>
      <c r="M2483" s="50">
        <f t="shared" si="139"/>
        <v>6</v>
      </c>
      <c r="N2483" s="50" t="s">
        <v>2</v>
      </c>
      <c r="O2483" s="74">
        <f>1.6/2</f>
        <v>0.8</v>
      </c>
      <c r="P2483" s="50">
        <v>6.3</v>
      </c>
      <c r="Q2483" s="74">
        <v>6.2</v>
      </c>
      <c r="R2483" s="50">
        <v>51</v>
      </c>
      <c r="S2483" s="74">
        <v>21</v>
      </c>
      <c r="T2483" s="50">
        <v>0.10199999999999999</v>
      </c>
      <c r="U2483" s="131">
        <v>1.2</v>
      </c>
      <c r="V2483" s="50">
        <v>0.72</v>
      </c>
      <c r="W2483" s="74">
        <v>8.0000000000000002E-3</v>
      </c>
      <c r="X2483" s="50">
        <v>3.3000000000000002E-2</v>
      </c>
      <c r="Y2483" s="74">
        <f>0.005/2</f>
        <v>2.5000000000000001E-3</v>
      </c>
      <c r="Z2483" s="165">
        <v>1</v>
      </c>
      <c r="AA2483" s="271">
        <v>1</v>
      </c>
      <c r="AB2483" s="114">
        <v>14</v>
      </c>
      <c r="AC2483" s="50">
        <v>54</v>
      </c>
      <c r="AD2483" s="271">
        <v>1</v>
      </c>
    </row>
    <row r="2484" spans="1:49" ht="15" customHeight="1">
      <c r="A2484" s="41" t="s">
        <v>183</v>
      </c>
      <c r="B2484" s="402" t="s">
        <v>1957</v>
      </c>
      <c r="D2484" s="393" t="s">
        <v>308</v>
      </c>
      <c r="E2484" s="394" t="s">
        <v>467</v>
      </c>
      <c r="G2484" s="405" t="s">
        <v>1958</v>
      </c>
      <c r="H2484" s="74">
        <v>3496</v>
      </c>
      <c r="I2484" s="50" t="s">
        <v>2</v>
      </c>
      <c r="J2484" s="339" t="s">
        <v>254</v>
      </c>
      <c r="K2484" s="51">
        <v>41402</v>
      </c>
      <c r="L2484" s="173">
        <v>41389</v>
      </c>
      <c r="M2484" s="50">
        <f t="shared" si="139"/>
        <v>13</v>
      </c>
      <c r="N2484" s="50" t="s">
        <v>2</v>
      </c>
      <c r="O2484" s="74">
        <f>1.4/2</f>
        <v>0.7</v>
      </c>
      <c r="P2484" s="50">
        <v>4.8</v>
      </c>
      <c r="Q2484" s="74">
        <v>5.96</v>
      </c>
      <c r="R2484" s="50">
        <v>34</v>
      </c>
      <c r="S2484" s="74">
        <f>5/2</f>
        <v>2.5</v>
      </c>
      <c r="T2484" s="50">
        <v>0.1</v>
      </c>
      <c r="U2484" s="131">
        <v>1.29</v>
      </c>
      <c r="V2484" s="50">
        <v>0.36</v>
      </c>
      <c r="W2484" s="74">
        <v>3.7999999999999999E-2</v>
      </c>
      <c r="X2484" s="50">
        <v>0.38</v>
      </c>
      <c r="Y2484" s="74">
        <f>0.002/2</f>
        <v>1E-3</v>
      </c>
      <c r="Z2484" s="165"/>
    </row>
    <row r="2485" spans="1:49" ht="15" customHeight="1">
      <c r="A2485" s="41" t="s">
        <v>183</v>
      </c>
      <c r="B2485" s="402" t="s">
        <v>575</v>
      </c>
      <c r="D2485" s="393" t="s">
        <v>56</v>
      </c>
      <c r="E2485" s="394" t="s">
        <v>95</v>
      </c>
      <c r="G2485" s="405" t="s">
        <v>301</v>
      </c>
      <c r="H2485" s="74">
        <v>5171</v>
      </c>
      <c r="I2485" s="50" t="s">
        <v>1</v>
      </c>
      <c r="J2485" s="339" t="s">
        <v>114</v>
      </c>
      <c r="K2485" s="51">
        <v>41775</v>
      </c>
      <c r="L2485" s="173">
        <v>41770</v>
      </c>
      <c r="M2485" s="50">
        <f t="shared" si="139"/>
        <v>5</v>
      </c>
      <c r="N2485" s="50" t="s">
        <v>2</v>
      </c>
      <c r="V2485" s="50">
        <f>0.1/2</f>
        <v>0.05</v>
      </c>
      <c r="Z2485" s="165"/>
    </row>
    <row r="2486" spans="1:49" ht="15" customHeight="1">
      <c r="A2486" s="41" t="s">
        <v>183</v>
      </c>
      <c r="B2486" s="402" t="s">
        <v>2622</v>
      </c>
      <c r="C2486" s="113" t="s">
        <v>2653</v>
      </c>
      <c r="D2486" s="393" t="s">
        <v>209</v>
      </c>
      <c r="E2486" s="394" t="s">
        <v>2874</v>
      </c>
      <c r="F2486" s="402" t="s">
        <v>2667</v>
      </c>
      <c r="G2486" s="76" t="s">
        <v>2655</v>
      </c>
      <c r="H2486" s="50"/>
      <c r="I2486" s="49"/>
      <c r="J2486" s="50" t="s">
        <v>2656</v>
      </c>
      <c r="K2486" s="51">
        <v>41264</v>
      </c>
      <c r="L2486" s="115">
        <v>41261</v>
      </c>
      <c r="M2486" s="50">
        <f t="shared" si="139"/>
        <v>3</v>
      </c>
      <c r="N2486" s="50" t="s">
        <v>2</v>
      </c>
      <c r="O2486" s="131">
        <f>1/2</f>
        <v>0.5</v>
      </c>
      <c r="P2486" s="117"/>
      <c r="Q2486" s="131">
        <v>7.32</v>
      </c>
      <c r="R2486" s="50">
        <v>25</v>
      </c>
      <c r="S2486" s="74">
        <v>17</v>
      </c>
      <c r="T2486" s="50">
        <v>0.39200000000000002</v>
      </c>
      <c r="U2486" s="74">
        <v>0.84</v>
      </c>
      <c r="V2486" s="50">
        <v>0.55000000000000004</v>
      </c>
      <c r="W2486" s="74">
        <v>6.1999999999999998E-3</v>
      </c>
      <c r="X2486" s="50">
        <v>2.06E-2</v>
      </c>
      <c r="Y2486" s="74">
        <f>0.0075/2</f>
        <v>3.7499999999999999E-3</v>
      </c>
      <c r="Z2486" s="164"/>
      <c r="AA2486" s="165"/>
      <c r="AB2486" s="50"/>
      <c r="AC2486" s="74"/>
      <c r="AD2486" s="164"/>
      <c r="AF2486" s="113"/>
      <c r="AG2486" s="54"/>
      <c r="AH2486" s="54"/>
      <c r="AI2486" s="113"/>
      <c r="AJ2486" s="50"/>
      <c r="AK2486" s="74"/>
      <c r="AL2486" s="74"/>
      <c r="AM2486" s="74"/>
      <c r="AN2486" s="74"/>
      <c r="AO2486" s="74"/>
      <c r="AP2486" s="74"/>
      <c r="AQ2486" s="74"/>
      <c r="AR2486" s="74"/>
      <c r="AS2486" s="74"/>
      <c r="AU2486" s="74"/>
      <c r="AV2486"/>
      <c r="AW2486"/>
    </row>
    <row r="2487" spans="1:49" ht="15" customHeight="1">
      <c r="A2487" s="41" t="s">
        <v>183</v>
      </c>
      <c r="B2487" s="402" t="s">
        <v>2622</v>
      </c>
      <c r="C2487" s="113" t="s">
        <v>2653</v>
      </c>
      <c r="D2487" s="393" t="s">
        <v>209</v>
      </c>
      <c r="E2487" s="394" t="s">
        <v>2874</v>
      </c>
      <c r="G2487" s="405" t="s">
        <v>2655</v>
      </c>
      <c r="H2487" s="74"/>
      <c r="J2487" s="339" t="s">
        <v>2656</v>
      </c>
      <c r="K2487" s="51">
        <v>41690</v>
      </c>
      <c r="L2487" s="173"/>
      <c r="N2487" s="50" t="s">
        <v>2</v>
      </c>
      <c r="O2487" s="74">
        <f>1.4/2</f>
        <v>0.7</v>
      </c>
      <c r="P2487" s="50">
        <v>7.56</v>
      </c>
      <c r="Q2487" s="74">
        <v>7.45</v>
      </c>
      <c r="R2487" s="50">
        <v>12</v>
      </c>
      <c r="S2487" s="74">
        <f>5/2</f>
        <v>2.5</v>
      </c>
      <c r="T2487" s="50">
        <v>0.05</v>
      </c>
      <c r="U2487" s="131">
        <v>0.6</v>
      </c>
      <c r="V2487" s="50">
        <f>0.01/2</f>
        <v>5.0000000000000001E-3</v>
      </c>
      <c r="W2487" s="74">
        <v>7.0000000000000001E-3</v>
      </c>
      <c r="X2487" s="50">
        <v>0.01</v>
      </c>
      <c r="Y2487" s="74">
        <f>0.002/2</f>
        <v>1E-3</v>
      </c>
      <c r="Z2487" s="165"/>
    </row>
    <row r="2488" spans="1:49" ht="15" customHeight="1">
      <c r="A2488" s="41" t="s">
        <v>183</v>
      </c>
      <c r="B2488" s="402" t="s">
        <v>4251</v>
      </c>
      <c r="D2488" s="393" t="s">
        <v>1759</v>
      </c>
      <c r="G2488" s="405" t="s">
        <v>4252</v>
      </c>
      <c r="H2488" s="74"/>
      <c r="I2488" s="50" t="s">
        <v>2</v>
      </c>
      <c r="J2488" s="339" t="s">
        <v>4030</v>
      </c>
      <c r="K2488" s="51">
        <v>41726</v>
      </c>
      <c r="L2488" s="173">
        <v>41722</v>
      </c>
      <c r="M2488" s="50">
        <f t="shared" ref="M2488:M2513" si="140">K2488-L2488</f>
        <v>4</v>
      </c>
      <c r="N2488" s="50" t="s">
        <v>2</v>
      </c>
      <c r="O2488" s="74">
        <f>5/2</f>
        <v>2.5</v>
      </c>
      <c r="P2488" s="50">
        <v>6.76</v>
      </c>
      <c r="Q2488" s="74">
        <v>6.8</v>
      </c>
      <c r="R2488" s="50">
        <v>441</v>
      </c>
      <c r="S2488" s="74">
        <v>68</v>
      </c>
      <c r="T2488" s="50">
        <v>0.72</v>
      </c>
      <c r="U2488" s="131">
        <v>5.5</v>
      </c>
      <c r="V2488" s="50">
        <v>1.69</v>
      </c>
      <c r="W2488" s="74">
        <v>4.1000000000000002E-2</v>
      </c>
      <c r="X2488" s="50">
        <v>0.86</v>
      </c>
      <c r="Y2488" s="74">
        <v>6.0000000000000001E-3</v>
      </c>
      <c r="Z2488" s="165">
        <v>0.70699999999999996</v>
      </c>
      <c r="AA2488" s="271">
        <v>0.63700000000000001</v>
      </c>
      <c r="AC2488" s="50">
        <v>992</v>
      </c>
      <c r="AD2488" s="271">
        <v>0</v>
      </c>
    </row>
    <row r="2489" spans="1:49" ht="15" customHeight="1">
      <c r="A2489" s="41" t="s">
        <v>183</v>
      </c>
      <c r="B2489" s="402" t="s">
        <v>4281</v>
      </c>
      <c r="C2489" s="113" t="s">
        <v>490</v>
      </c>
      <c r="D2489" s="393" t="s">
        <v>480</v>
      </c>
      <c r="E2489" s="394" t="s">
        <v>44</v>
      </c>
      <c r="G2489" s="405" t="s">
        <v>491</v>
      </c>
      <c r="H2489" s="74">
        <v>3724</v>
      </c>
      <c r="I2489" s="50" t="s">
        <v>1</v>
      </c>
      <c r="J2489" s="339" t="s">
        <v>1999</v>
      </c>
      <c r="K2489" s="51">
        <v>41529</v>
      </c>
      <c r="L2489" s="173">
        <v>41520</v>
      </c>
      <c r="M2489" s="50">
        <f t="shared" si="140"/>
        <v>9</v>
      </c>
      <c r="N2489" s="50" t="s">
        <v>2</v>
      </c>
      <c r="O2489" s="74">
        <f>1.7/2</f>
        <v>0.85</v>
      </c>
      <c r="P2489" s="50">
        <v>5.67</v>
      </c>
      <c r="Q2489" s="74">
        <v>5.28</v>
      </c>
      <c r="R2489" s="50">
        <v>30</v>
      </c>
      <c r="S2489" s="74">
        <v>17</v>
      </c>
      <c r="T2489" s="50">
        <v>0.59899999999999998</v>
      </c>
      <c r="U2489" s="131">
        <v>2.2000000000000002</v>
      </c>
      <c r="V2489" s="50">
        <f>0.46/2</f>
        <v>0.23</v>
      </c>
      <c r="W2489" s="74">
        <f>0.005/2</f>
        <v>2.5000000000000001E-3</v>
      </c>
      <c r="X2489" s="50">
        <v>6.7000000000000004E-2</v>
      </c>
      <c r="Y2489" s="74">
        <f>0.005/2</f>
        <v>2.5000000000000001E-3</v>
      </c>
      <c r="Z2489" s="165"/>
    </row>
    <row r="2490" spans="1:49" ht="15" customHeight="1">
      <c r="A2490" s="41" t="s">
        <v>183</v>
      </c>
      <c r="B2490" s="402" t="s">
        <v>4281</v>
      </c>
      <c r="C2490" s="113" t="s">
        <v>490</v>
      </c>
      <c r="D2490" s="393" t="s">
        <v>480</v>
      </c>
      <c r="E2490" s="394" t="s">
        <v>44</v>
      </c>
      <c r="G2490" s="405" t="s">
        <v>491</v>
      </c>
      <c r="H2490" s="74">
        <v>3724</v>
      </c>
      <c r="I2490" s="50" t="s">
        <v>1</v>
      </c>
      <c r="J2490" s="339" t="s">
        <v>445</v>
      </c>
      <c r="K2490" s="51">
        <v>41529</v>
      </c>
      <c r="L2490" s="173">
        <v>41520</v>
      </c>
      <c r="M2490" s="50">
        <f t="shared" si="140"/>
        <v>9</v>
      </c>
      <c r="N2490" s="50" t="s">
        <v>2</v>
      </c>
      <c r="O2490" s="74">
        <f>1.7/2</f>
        <v>0.85</v>
      </c>
      <c r="P2490" s="50">
        <v>5.67</v>
      </c>
      <c r="Q2490" s="74">
        <v>6.15</v>
      </c>
      <c r="R2490" s="50">
        <f>20/2</f>
        <v>10</v>
      </c>
      <c r="S2490" s="74">
        <v>8</v>
      </c>
      <c r="T2490" s="50">
        <v>8.3000000000000004E-2</v>
      </c>
      <c r="U2490" s="131">
        <f>1/2</f>
        <v>0.5</v>
      </c>
      <c r="V2490" s="50">
        <f>0.46/2</f>
        <v>0.23</v>
      </c>
      <c r="W2490" s="74">
        <f>0.005/2</f>
        <v>2.5000000000000001E-3</v>
      </c>
      <c r="X2490" s="50">
        <v>0.02</v>
      </c>
      <c r="Y2490" s="74">
        <f>0.005/2</f>
        <v>2.5000000000000001E-3</v>
      </c>
      <c r="Z2490" s="165"/>
      <c r="AE2490" s="50">
        <f>50/2</f>
        <v>25</v>
      </c>
    </row>
    <row r="2491" spans="1:49" ht="15" customHeight="1">
      <c r="A2491" s="41" t="s">
        <v>183</v>
      </c>
      <c r="B2491" s="402" t="s">
        <v>4281</v>
      </c>
      <c r="C2491" s="113" t="s">
        <v>490</v>
      </c>
      <c r="D2491" s="393" t="s">
        <v>480</v>
      </c>
      <c r="E2491" s="394" t="s">
        <v>44</v>
      </c>
      <c r="G2491" s="405" t="s">
        <v>491</v>
      </c>
      <c r="H2491" s="74">
        <v>3724</v>
      </c>
      <c r="I2491" s="50" t="s">
        <v>1</v>
      </c>
      <c r="J2491" s="339" t="s">
        <v>249</v>
      </c>
      <c r="K2491" s="51">
        <v>41508</v>
      </c>
      <c r="L2491" s="173">
        <v>41495</v>
      </c>
      <c r="M2491" s="50">
        <f t="shared" si="140"/>
        <v>13</v>
      </c>
      <c r="N2491" s="50" t="s">
        <v>2</v>
      </c>
      <c r="O2491" s="74">
        <f>1.6/2</f>
        <v>0.8</v>
      </c>
      <c r="P2491" s="50">
        <v>6.69</v>
      </c>
      <c r="Q2491" s="74">
        <v>8.02</v>
      </c>
      <c r="R2491" s="50">
        <f>20/2</f>
        <v>10</v>
      </c>
      <c r="S2491" s="74">
        <v>7.6</v>
      </c>
      <c r="T2491" s="50">
        <v>6.8000000000000005E-2</v>
      </c>
      <c r="U2491" s="131">
        <v>1.3</v>
      </c>
      <c r="V2491" s="50">
        <v>0.56999999999999995</v>
      </c>
      <c r="W2491" s="74">
        <f>0.005/2</f>
        <v>2.5000000000000001E-3</v>
      </c>
      <c r="X2491" s="50">
        <f>0.01/2</f>
        <v>5.0000000000000001E-3</v>
      </c>
      <c r="Y2491" s="74">
        <f>0.005/2</f>
        <v>2.5000000000000001E-3</v>
      </c>
      <c r="Z2491" s="165"/>
    </row>
    <row r="2492" spans="1:49" ht="15" customHeight="1">
      <c r="A2492" s="41" t="s">
        <v>183</v>
      </c>
      <c r="B2492" s="402" t="s">
        <v>4281</v>
      </c>
      <c r="C2492" s="113" t="s">
        <v>490</v>
      </c>
      <c r="D2492" s="393" t="s">
        <v>480</v>
      </c>
      <c r="E2492" s="394" t="s">
        <v>44</v>
      </c>
      <c r="G2492" s="405" t="s">
        <v>491</v>
      </c>
      <c r="H2492" s="74">
        <v>3724</v>
      </c>
      <c r="I2492" s="50" t="s">
        <v>1</v>
      </c>
      <c r="J2492" s="339" t="s">
        <v>492</v>
      </c>
      <c r="K2492" s="51">
        <v>41508</v>
      </c>
      <c r="L2492" s="173">
        <v>41495</v>
      </c>
      <c r="M2492" s="50">
        <f t="shared" si="140"/>
        <v>13</v>
      </c>
      <c r="N2492" s="50" t="s">
        <v>2</v>
      </c>
      <c r="O2492" s="74">
        <f>1.8/2</f>
        <v>0.9</v>
      </c>
      <c r="P2492" s="50">
        <v>6.69</v>
      </c>
      <c r="Q2492" s="74">
        <v>5.49</v>
      </c>
      <c r="R2492" s="50">
        <v>28</v>
      </c>
      <c r="S2492" s="74">
        <v>2.2000000000000002</v>
      </c>
      <c r="T2492" s="50">
        <v>5.3999999999999999E-2</v>
      </c>
      <c r="U2492" s="131">
        <v>1.6</v>
      </c>
      <c r="V2492" s="50">
        <v>0.51</v>
      </c>
      <c r="W2492" s="74">
        <v>2.4E-2</v>
      </c>
      <c r="X2492" s="50">
        <v>5.3999999999999999E-2</v>
      </c>
      <c r="Y2492" s="74">
        <v>2.52E-2</v>
      </c>
      <c r="Z2492" s="165"/>
    </row>
    <row r="2493" spans="1:49" ht="15" customHeight="1">
      <c r="A2493" s="41" t="s">
        <v>183</v>
      </c>
      <c r="B2493" s="402" t="s">
        <v>4281</v>
      </c>
      <c r="C2493" s="113" t="s">
        <v>490</v>
      </c>
      <c r="D2493" s="393" t="s">
        <v>480</v>
      </c>
      <c r="E2493" s="394" t="s">
        <v>44</v>
      </c>
      <c r="G2493" s="405" t="s">
        <v>491</v>
      </c>
      <c r="H2493" s="74">
        <v>3724</v>
      </c>
      <c r="I2493" s="50" t="s">
        <v>1</v>
      </c>
      <c r="J2493" s="339" t="s">
        <v>493</v>
      </c>
      <c r="K2493" s="51">
        <v>41508</v>
      </c>
      <c r="L2493" s="173">
        <v>41495</v>
      </c>
      <c r="M2493" s="50">
        <f t="shared" si="140"/>
        <v>13</v>
      </c>
      <c r="N2493" s="50" t="s">
        <v>2</v>
      </c>
      <c r="O2493" s="74">
        <f>1.7/2</f>
        <v>0.85</v>
      </c>
      <c r="P2493" s="50">
        <v>6.69</v>
      </c>
      <c r="Q2493" s="74">
        <v>5.97</v>
      </c>
      <c r="R2493" s="50">
        <v>65</v>
      </c>
      <c r="S2493" s="74">
        <v>22.3</v>
      </c>
      <c r="T2493" s="50">
        <v>0.314</v>
      </c>
      <c r="U2493" s="131">
        <v>2.2999999999999998</v>
      </c>
      <c r="V2493" s="50">
        <v>1.49</v>
      </c>
      <c r="W2493" s="74">
        <v>8.9999999999999993E-3</v>
      </c>
      <c r="X2493" s="50">
        <v>4.4999999999999998E-2</v>
      </c>
      <c r="Y2493" s="74">
        <f>0.005/2</f>
        <v>2.5000000000000001E-3</v>
      </c>
      <c r="Z2493" s="165"/>
    </row>
    <row r="2494" spans="1:49" ht="15" customHeight="1">
      <c r="A2494" s="41" t="s">
        <v>183</v>
      </c>
      <c r="B2494" s="402" t="s">
        <v>4281</v>
      </c>
      <c r="C2494" s="113" t="s">
        <v>490</v>
      </c>
      <c r="D2494" s="393" t="s">
        <v>480</v>
      </c>
      <c r="E2494" s="394" t="s">
        <v>44</v>
      </c>
      <c r="G2494" s="405" t="s">
        <v>491</v>
      </c>
      <c r="H2494" s="74">
        <v>3724</v>
      </c>
      <c r="I2494" s="50" t="s">
        <v>1</v>
      </c>
      <c r="J2494" s="339" t="s">
        <v>494</v>
      </c>
      <c r="K2494" s="51">
        <v>41508</v>
      </c>
      <c r="L2494" s="173">
        <v>41495</v>
      </c>
      <c r="M2494" s="50">
        <f t="shared" si="140"/>
        <v>13</v>
      </c>
      <c r="N2494" s="50" t="s">
        <v>2</v>
      </c>
      <c r="O2494" s="74">
        <f>1.8/2</f>
        <v>0.9</v>
      </c>
      <c r="P2494" s="50">
        <v>6.69</v>
      </c>
      <c r="Q2494" s="74">
        <v>5.54</v>
      </c>
      <c r="R2494" s="50">
        <v>42</v>
      </c>
      <c r="S2494" s="74">
        <v>6.6</v>
      </c>
      <c r="T2494" s="50">
        <v>0.17</v>
      </c>
      <c r="U2494" s="131">
        <v>1.8</v>
      </c>
      <c r="V2494" s="50">
        <f>0.46/2</f>
        <v>0.23</v>
      </c>
      <c r="W2494" s="74">
        <v>8.0000000000000002E-3</v>
      </c>
      <c r="X2494" s="50">
        <v>1.4999999999999999E-2</v>
      </c>
      <c r="Y2494" s="74">
        <f>0.005/2</f>
        <v>2.5000000000000001E-3</v>
      </c>
      <c r="Z2494" s="165"/>
    </row>
    <row r="2495" spans="1:49" ht="15" customHeight="1">
      <c r="A2495" s="41" t="s">
        <v>183</v>
      </c>
      <c r="B2495" s="402" t="s">
        <v>4281</v>
      </c>
      <c r="C2495" s="113" t="s">
        <v>490</v>
      </c>
      <c r="D2495" s="393" t="s">
        <v>480</v>
      </c>
      <c r="E2495" s="394" t="s">
        <v>44</v>
      </c>
      <c r="G2495" s="405" t="s">
        <v>491</v>
      </c>
      <c r="H2495" s="74">
        <v>3724</v>
      </c>
      <c r="I2495" s="50" t="s">
        <v>1</v>
      </c>
      <c r="J2495" s="339" t="s">
        <v>495</v>
      </c>
      <c r="K2495" s="51">
        <v>41508</v>
      </c>
      <c r="L2495" s="173">
        <v>41495</v>
      </c>
      <c r="M2495" s="50">
        <f t="shared" si="140"/>
        <v>13</v>
      </c>
      <c r="N2495" s="50" t="s">
        <v>2</v>
      </c>
      <c r="O2495" s="74">
        <f>1.6/2</f>
        <v>0.8</v>
      </c>
      <c r="P2495" s="50">
        <v>6.69</v>
      </c>
      <c r="Q2495" s="74">
        <v>6.5</v>
      </c>
      <c r="R2495" s="50">
        <f>20/2</f>
        <v>10</v>
      </c>
      <c r="S2495" s="74">
        <v>2.6</v>
      </c>
      <c r="T2495" s="50">
        <v>3.5000000000000003E-2</v>
      </c>
      <c r="U2495" s="131">
        <f>1/2</f>
        <v>0.5</v>
      </c>
      <c r="V2495" s="50">
        <f>0.46/2</f>
        <v>0.23</v>
      </c>
      <c r="W2495" s="74">
        <f>0.005/2</f>
        <v>2.5000000000000001E-3</v>
      </c>
      <c r="X2495" s="50">
        <v>1.2999999999999999E-2</v>
      </c>
      <c r="Y2495" s="74">
        <f>0.005/2</f>
        <v>2.5000000000000001E-3</v>
      </c>
      <c r="Z2495" s="165"/>
    </row>
    <row r="2496" spans="1:49" ht="15" customHeight="1">
      <c r="A2496" s="41" t="s">
        <v>183</v>
      </c>
      <c r="B2496" s="402" t="s">
        <v>4281</v>
      </c>
      <c r="C2496" s="113" t="s">
        <v>490</v>
      </c>
      <c r="D2496" s="393" t="s">
        <v>480</v>
      </c>
      <c r="E2496" s="394" t="s">
        <v>44</v>
      </c>
      <c r="G2496" s="405" t="s">
        <v>491</v>
      </c>
      <c r="H2496" s="74">
        <v>3724</v>
      </c>
      <c r="I2496" s="50" t="s">
        <v>1</v>
      </c>
      <c r="J2496" s="339" t="s">
        <v>496</v>
      </c>
      <c r="K2496" s="51">
        <v>41508</v>
      </c>
      <c r="L2496" s="173">
        <v>41495</v>
      </c>
      <c r="M2496" s="50">
        <f t="shared" si="140"/>
        <v>13</v>
      </c>
      <c r="N2496" s="50" t="s">
        <v>2</v>
      </c>
      <c r="O2496" s="74">
        <f t="shared" ref="O2496:O2501" si="141">1.7/2</f>
        <v>0.85</v>
      </c>
      <c r="P2496" s="50">
        <v>6.69</v>
      </c>
      <c r="Q2496" s="74">
        <v>5.96</v>
      </c>
      <c r="R2496" s="50">
        <v>37</v>
      </c>
      <c r="S2496" s="74">
        <v>5</v>
      </c>
      <c r="T2496" s="50">
        <v>5.7000000000000002E-2</v>
      </c>
      <c r="U2496" s="131">
        <v>2.1</v>
      </c>
      <c r="V2496" s="50">
        <v>0.49</v>
      </c>
      <c r="W2496" s="74">
        <v>1.7999999999999999E-2</v>
      </c>
      <c r="X2496" s="50">
        <v>7.4999999999999997E-2</v>
      </c>
      <c r="Y2496" s="74">
        <v>6.7000000000000002E-3</v>
      </c>
      <c r="Z2496" s="165"/>
    </row>
    <row r="2497" spans="1:31" ht="15" customHeight="1">
      <c r="A2497" s="41" t="s">
        <v>183</v>
      </c>
      <c r="B2497" s="402" t="s">
        <v>4281</v>
      </c>
      <c r="C2497" s="113" t="s">
        <v>490</v>
      </c>
      <c r="D2497" s="393" t="s">
        <v>480</v>
      </c>
      <c r="E2497" s="394" t="s">
        <v>44</v>
      </c>
      <c r="G2497" s="405" t="s">
        <v>491</v>
      </c>
      <c r="H2497" s="74">
        <v>3724</v>
      </c>
      <c r="I2497" s="50" t="s">
        <v>1</v>
      </c>
      <c r="J2497" s="339" t="s">
        <v>249</v>
      </c>
      <c r="K2497" s="51">
        <v>41332</v>
      </c>
      <c r="L2497" s="173">
        <v>41328</v>
      </c>
      <c r="M2497" s="50">
        <f t="shared" si="140"/>
        <v>4</v>
      </c>
      <c r="N2497" s="50" t="s">
        <v>1</v>
      </c>
      <c r="O2497" s="74">
        <f t="shared" si="141"/>
        <v>0.85</v>
      </c>
      <c r="P2497" s="50">
        <v>5.49</v>
      </c>
      <c r="Q2497" s="74">
        <v>7.4</v>
      </c>
      <c r="R2497" s="50">
        <f t="shared" ref="R2497:R2504" si="142">20/2</f>
        <v>10</v>
      </c>
      <c r="S2497" s="74">
        <v>1.4</v>
      </c>
      <c r="T2497" s="50">
        <v>0.09</v>
      </c>
      <c r="U2497" s="131">
        <v>1.1000000000000001</v>
      </c>
      <c r="V2497" s="50">
        <v>0.79</v>
      </c>
      <c r="W2497" s="74">
        <f t="shared" ref="W2497:W2504" si="143">0.005/2</f>
        <v>2.5000000000000001E-3</v>
      </c>
      <c r="X2497" s="50">
        <v>1.4999999999999999E-2</v>
      </c>
      <c r="Y2497" s="74">
        <f t="shared" ref="Y2497:Y2504" si="144">0.005/2</f>
        <v>2.5000000000000001E-3</v>
      </c>
      <c r="Z2497" s="165">
        <v>1</v>
      </c>
      <c r="AA2497" s="271">
        <v>1</v>
      </c>
      <c r="AB2497" s="114">
        <v>64</v>
      </c>
      <c r="AC2497" s="50">
        <v>292</v>
      </c>
      <c r="AD2497" s="271">
        <v>1</v>
      </c>
      <c r="AE2497" s="50">
        <f t="shared" ref="AE2497:AE2504" si="145">50/2</f>
        <v>25</v>
      </c>
    </row>
    <row r="2498" spans="1:31" ht="15" customHeight="1">
      <c r="A2498" s="41" t="s">
        <v>183</v>
      </c>
      <c r="B2498" s="402" t="s">
        <v>4281</v>
      </c>
      <c r="C2498" s="113" t="s">
        <v>490</v>
      </c>
      <c r="D2498" s="393" t="s">
        <v>480</v>
      </c>
      <c r="E2498" s="394" t="s">
        <v>44</v>
      </c>
      <c r="G2498" s="405" t="s">
        <v>491</v>
      </c>
      <c r="H2498" s="74">
        <v>3724</v>
      </c>
      <c r="I2498" s="50" t="s">
        <v>1</v>
      </c>
      <c r="J2498" s="339" t="s">
        <v>445</v>
      </c>
      <c r="K2498" s="51">
        <v>41332</v>
      </c>
      <c r="L2498" s="173">
        <v>41328</v>
      </c>
      <c r="M2498" s="50">
        <f t="shared" si="140"/>
        <v>4</v>
      </c>
      <c r="N2498" s="50" t="s">
        <v>1</v>
      </c>
      <c r="O2498" s="74">
        <f t="shared" si="141"/>
        <v>0.85</v>
      </c>
      <c r="P2498" s="50">
        <v>5.49</v>
      </c>
      <c r="Q2498" s="74">
        <v>5.87</v>
      </c>
      <c r="R2498" s="50">
        <f t="shared" si="142"/>
        <v>10</v>
      </c>
      <c r="S2498" s="74">
        <v>4</v>
      </c>
      <c r="T2498" s="50">
        <v>2.1999999999999999E-2</v>
      </c>
      <c r="U2498" s="131">
        <v>1.1000000000000001</v>
      </c>
      <c r="V2498" s="50">
        <f>0.46/2</f>
        <v>0.23</v>
      </c>
      <c r="W2498" s="74">
        <f t="shared" si="143"/>
        <v>2.5000000000000001E-3</v>
      </c>
      <c r="X2498" s="50">
        <v>2.3E-2</v>
      </c>
      <c r="Y2498" s="74">
        <f t="shared" si="144"/>
        <v>2.5000000000000001E-3</v>
      </c>
      <c r="Z2498" s="165">
        <v>1</v>
      </c>
      <c r="AA2498" s="271">
        <v>1</v>
      </c>
      <c r="AB2498" s="114">
        <v>6</v>
      </c>
      <c r="AC2498" s="50">
        <v>301</v>
      </c>
      <c r="AD2498" s="271">
        <v>1</v>
      </c>
      <c r="AE2498" s="50">
        <f t="shared" si="145"/>
        <v>25</v>
      </c>
    </row>
    <row r="2499" spans="1:31" ht="15" customHeight="1">
      <c r="A2499" s="41" t="s">
        <v>183</v>
      </c>
      <c r="B2499" s="402" t="s">
        <v>4281</v>
      </c>
      <c r="C2499" s="113" t="s">
        <v>490</v>
      </c>
      <c r="D2499" s="393" t="s">
        <v>480</v>
      </c>
      <c r="E2499" s="394" t="s">
        <v>44</v>
      </c>
      <c r="G2499" s="405" t="s">
        <v>491</v>
      </c>
      <c r="H2499" s="74">
        <v>3724</v>
      </c>
      <c r="I2499" s="50" t="s">
        <v>1</v>
      </c>
      <c r="J2499" s="339" t="s">
        <v>492</v>
      </c>
      <c r="K2499" s="51">
        <v>41332</v>
      </c>
      <c r="L2499" s="173">
        <v>41328</v>
      </c>
      <c r="M2499" s="50">
        <f t="shared" si="140"/>
        <v>4</v>
      </c>
      <c r="N2499" s="50" t="s">
        <v>1</v>
      </c>
      <c r="O2499" s="74">
        <f t="shared" si="141"/>
        <v>0.85</v>
      </c>
      <c r="P2499" s="50">
        <v>5.49</v>
      </c>
      <c r="Q2499" s="74">
        <v>6.05</v>
      </c>
      <c r="R2499" s="50">
        <f t="shared" si="142"/>
        <v>10</v>
      </c>
      <c r="S2499" s="74">
        <v>3.8</v>
      </c>
      <c r="T2499" s="50">
        <v>1.9E-2</v>
      </c>
      <c r="U2499" s="131">
        <v>1</v>
      </c>
      <c r="V2499" s="50">
        <f>0.46/2</f>
        <v>0.23</v>
      </c>
      <c r="W2499" s="74">
        <f t="shared" si="143"/>
        <v>2.5000000000000001E-3</v>
      </c>
      <c r="X2499" s="50">
        <v>2.9000000000000001E-2</v>
      </c>
      <c r="Y2499" s="74">
        <f t="shared" si="144"/>
        <v>2.5000000000000001E-3</v>
      </c>
      <c r="Z2499" s="165">
        <v>1</v>
      </c>
      <c r="AA2499" s="271">
        <v>1</v>
      </c>
      <c r="AB2499" s="114">
        <v>8</v>
      </c>
      <c r="AC2499" s="50">
        <v>173</v>
      </c>
      <c r="AD2499" s="271">
        <v>1</v>
      </c>
      <c r="AE2499" s="50">
        <f t="shared" si="145"/>
        <v>25</v>
      </c>
    </row>
    <row r="2500" spans="1:31" ht="15" customHeight="1">
      <c r="A2500" s="41" t="s">
        <v>183</v>
      </c>
      <c r="B2500" s="402" t="s">
        <v>4281</v>
      </c>
      <c r="C2500" s="113" t="s">
        <v>490</v>
      </c>
      <c r="D2500" s="393" t="s">
        <v>480</v>
      </c>
      <c r="E2500" s="394" t="s">
        <v>44</v>
      </c>
      <c r="G2500" s="405" t="s">
        <v>491</v>
      </c>
      <c r="H2500" s="74">
        <v>3724</v>
      </c>
      <c r="I2500" s="50" t="s">
        <v>1</v>
      </c>
      <c r="J2500" s="339" t="s">
        <v>493</v>
      </c>
      <c r="K2500" s="51">
        <v>41332</v>
      </c>
      <c r="L2500" s="173">
        <v>41328</v>
      </c>
      <c r="M2500" s="50">
        <f t="shared" si="140"/>
        <v>4</v>
      </c>
      <c r="N2500" s="50" t="s">
        <v>1</v>
      </c>
      <c r="O2500" s="74">
        <f t="shared" si="141"/>
        <v>0.85</v>
      </c>
      <c r="P2500" s="50">
        <v>5.49</v>
      </c>
      <c r="Q2500" s="74">
        <v>6.14</v>
      </c>
      <c r="R2500" s="50">
        <f t="shared" si="142"/>
        <v>10</v>
      </c>
      <c r="S2500" s="74">
        <v>5.4</v>
      </c>
      <c r="T2500" s="50">
        <v>4.1000000000000002E-2</v>
      </c>
      <c r="U2500" s="131">
        <v>1.1000000000000001</v>
      </c>
      <c r="V2500" s="50">
        <v>1.1000000000000001</v>
      </c>
      <c r="W2500" s="74">
        <f t="shared" si="143"/>
        <v>2.5000000000000001E-3</v>
      </c>
      <c r="X2500" s="50">
        <v>3.1E-2</v>
      </c>
      <c r="Y2500" s="74">
        <f t="shared" si="144"/>
        <v>2.5000000000000001E-3</v>
      </c>
      <c r="Z2500" s="165">
        <v>1</v>
      </c>
      <c r="AA2500" s="271">
        <v>1</v>
      </c>
      <c r="AB2500" s="114">
        <v>24</v>
      </c>
      <c r="AC2500" s="50">
        <v>430</v>
      </c>
      <c r="AD2500" s="271">
        <v>1</v>
      </c>
      <c r="AE2500" s="50">
        <f t="shared" si="145"/>
        <v>25</v>
      </c>
    </row>
    <row r="2501" spans="1:31" ht="15" customHeight="1">
      <c r="A2501" s="41" t="s">
        <v>183</v>
      </c>
      <c r="B2501" s="402" t="s">
        <v>4281</v>
      </c>
      <c r="C2501" s="113" t="s">
        <v>490</v>
      </c>
      <c r="D2501" s="393" t="s">
        <v>480</v>
      </c>
      <c r="E2501" s="394" t="s">
        <v>44</v>
      </c>
      <c r="G2501" s="405" t="s">
        <v>491</v>
      </c>
      <c r="H2501" s="74">
        <v>3724</v>
      </c>
      <c r="I2501" s="50" t="s">
        <v>1</v>
      </c>
      <c r="J2501" s="339" t="s">
        <v>494</v>
      </c>
      <c r="K2501" s="51">
        <v>41332</v>
      </c>
      <c r="L2501" s="173"/>
      <c r="N2501" s="50" t="s">
        <v>1</v>
      </c>
      <c r="O2501" s="74">
        <f t="shared" si="141"/>
        <v>0.85</v>
      </c>
      <c r="P2501" s="50">
        <v>5.49</v>
      </c>
      <c r="Q2501" s="74">
        <v>7.53</v>
      </c>
      <c r="R2501" s="50">
        <f t="shared" si="142"/>
        <v>10</v>
      </c>
      <c r="S2501" s="74">
        <v>2</v>
      </c>
      <c r="T2501" s="50">
        <v>3.1E-2</v>
      </c>
      <c r="U2501" s="131">
        <f>1/2</f>
        <v>0.5</v>
      </c>
      <c r="V2501" s="50">
        <f>0.46/2</f>
        <v>0.23</v>
      </c>
      <c r="W2501" s="74">
        <f t="shared" si="143"/>
        <v>2.5000000000000001E-3</v>
      </c>
      <c r="X2501" s="50">
        <v>0.01</v>
      </c>
      <c r="Y2501" s="74">
        <f t="shared" si="144"/>
        <v>2.5000000000000001E-3</v>
      </c>
      <c r="Z2501" s="165">
        <v>1</v>
      </c>
      <c r="AA2501" s="271">
        <v>1</v>
      </c>
      <c r="AB2501" s="114">
        <v>2</v>
      </c>
      <c r="AC2501" s="50">
        <v>56</v>
      </c>
      <c r="AD2501" s="271">
        <v>1</v>
      </c>
      <c r="AE2501" s="50">
        <f t="shared" si="145"/>
        <v>25</v>
      </c>
    </row>
    <row r="2502" spans="1:31" ht="15" customHeight="1">
      <c r="A2502" s="41" t="s">
        <v>183</v>
      </c>
      <c r="B2502" s="402" t="s">
        <v>4281</v>
      </c>
      <c r="C2502" s="113" t="s">
        <v>490</v>
      </c>
      <c r="D2502" s="393" t="s">
        <v>480</v>
      </c>
      <c r="E2502" s="394" t="s">
        <v>44</v>
      </c>
      <c r="G2502" s="405" t="s">
        <v>491</v>
      </c>
      <c r="H2502" s="74">
        <v>3724</v>
      </c>
      <c r="I2502" s="50" t="s">
        <v>1</v>
      </c>
      <c r="J2502" s="339" t="s">
        <v>495</v>
      </c>
      <c r="K2502" s="51">
        <v>41332</v>
      </c>
      <c r="L2502" s="173">
        <v>41328</v>
      </c>
      <c r="M2502" s="50">
        <f t="shared" si="140"/>
        <v>4</v>
      </c>
      <c r="N2502" s="50" t="s">
        <v>1</v>
      </c>
      <c r="O2502" s="74">
        <f>1.6/2</f>
        <v>0.8</v>
      </c>
      <c r="P2502" s="50">
        <v>5.49</v>
      </c>
      <c r="Q2502" s="74">
        <v>6.06</v>
      </c>
      <c r="R2502" s="50">
        <f t="shared" si="142"/>
        <v>10</v>
      </c>
      <c r="S2502" s="74">
        <v>3</v>
      </c>
      <c r="T2502" s="50">
        <v>1.4E-2</v>
      </c>
      <c r="U2502" s="131">
        <v>1.1000000000000001</v>
      </c>
      <c r="V2502" s="50">
        <f>0.46/2</f>
        <v>0.23</v>
      </c>
      <c r="W2502" s="74">
        <f t="shared" si="143"/>
        <v>2.5000000000000001E-3</v>
      </c>
      <c r="X2502" s="50">
        <v>0.02</v>
      </c>
      <c r="Y2502" s="74">
        <f t="shared" si="144"/>
        <v>2.5000000000000001E-3</v>
      </c>
      <c r="Z2502" s="165">
        <v>1</v>
      </c>
      <c r="AA2502" s="271">
        <v>1</v>
      </c>
      <c r="AB2502" s="114">
        <v>18</v>
      </c>
      <c r="AC2502" s="50">
        <v>336</v>
      </c>
      <c r="AD2502" s="271">
        <v>1</v>
      </c>
      <c r="AE2502" s="50">
        <f t="shared" si="145"/>
        <v>25</v>
      </c>
    </row>
    <row r="2503" spans="1:31" ht="15" customHeight="1">
      <c r="A2503" s="41" t="s">
        <v>183</v>
      </c>
      <c r="B2503" s="402" t="s">
        <v>4281</v>
      </c>
      <c r="C2503" s="113" t="s">
        <v>490</v>
      </c>
      <c r="D2503" s="393" t="s">
        <v>480</v>
      </c>
      <c r="E2503" s="394" t="s">
        <v>44</v>
      </c>
      <c r="G2503" s="405" t="s">
        <v>491</v>
      </c>
      <c r="H2503" s="74">
        <v>3724</v>
      </c>
      <c r="I2503" s="50" t="s">
        <v>1</v>
      </c>
      <c r="J2503" s="339" t="s">
        <v>496</v>
      </c>
      <c r="K2503" s="51">
        <v>41332</v>
      </c>
      <c r="L2503" s="173">
        <v>41328</v>
      </c>
      <c r="M2503" s="50">
        <f t="shared" si="140"/>
        <v>4</v>
      </c>
      <c r="N2503" s="50" t="s">
        <v>1</v>
      </c>
      <c r="O2503" s="74">
        <f>1.6/2</f>
        <v>0.8</v>
      </c>
      <c r="P2503" s="50">
        <v>5.49</v>
      </c>
      <c r="Q2503" s="74">
        <v>5.48</v>
      </c>
      <c r="R2503" s="50">
        <f t="shared" si="142"/>
        <v>10</v>
      </c>
      <c r="S2503" s="74">
        <v>12.8</v>
      </c>
      <c r="T2503" s="50">
        <v>2.5000000000000001E-2</v>
      </c>
      <c r="U2503" s="131">
        <f>1/2</f>
        <v>0.5</v>
      </c>
      <c r="V2503" s="50">
        <f>0.46/2</f>
        <v>0.23</v>
      </c>
      <c r="W2503" s="74">
        <f t="shared" si="143"/>
        <v>2.5000000000000001E-3</v>
      </c>
      <c r="X2503" s="50">
        <v>0.02</v>
      </c>
      <c r="Y2503" s="74">
        <f t="shared" si="144"/>
        <v>2.5000000000000001E-3</v>
      </c>
      <c r="Z2503" s="165">
        <v>1</v>
      </c>
      <c r="AA2503" s="271">
        <v>0.752</v>
      </c>
      <c r="AB2503" s="114">
        <v>8</v>
      </c>
      <c r="AC2503" s="50">
        <v>152</v>
      </c>
      <c r="AD2503" s="271">
        <v>0.15</v>
      </c>
      <c r="AE2503" s="50">
        <f t="shared" si="145"/>
        <v>25</v>
      </c>
    </row>
    <row r="2504" spans="1:31" ht="15" customHeight="1">
      <c r="A2504" s="41" t="s">
        <v>183</v>
      </c>
      <c r="B2504" s="402" t="s">
        <v>4281</v>
      </c>
      <c r="C2504" s="113" t="s">
        <v>490</v>
      </c>
      <c r="D2504" s="393" t="s">
        <v>480</v>
      </c>
      <c r="E2504" s="394" t="s">
        <v>44</v>
      </c>
      <c r="G2504" s="405" t="s">
        <v>491</v>
      </c>
      <c r="H2504" s="74">
        <v>3724</v>
      </c>
      <c r="I2504" s="50" t="s">
        <v>1</v>
      </c>
      <c r="J2504" s="339" t="s">
        <v>497</v>
      </c>
      <c r="K2504" s="51">
        <v>41332</v>
      </c>
      <c r="L2504" s="173">
        <v>41328</v>
      </c>
      <c r="M2504" s="50">
        <f t="shared" si="140"/>
        <v>4</v>
      </c>
      <c r="N2504" s="50" t="s">
        <v>1</v>
      </c>
      <c r="O2504" s="74">
        <f>1.7/2</f>
        <v>0.85</v>
      </c>
      <c r="P2504" s="50">
        <v>5.49</v>
      </c>
      <c r="Q2504" s="74">
        <v>7.34</v>
      </c>
      <c r="R2504" s="50">
        <f t="shared" si="142"/>
        <v>10</v>
      </c>
      <c r="S2504" s="74">
        <f>1/2</f>
        <v>0.5</v>
      </c>
      <c r="T2504" s="50">
        <v>2.5999999999999999E-2</v>
      </c>
      <c r="U2504" s="131">
        <f>1/2</f>
        <v>0.5</v>
      </c>
      <c r="V2504" s="50">
        <f>0.46/2</f>
        <v>0.23</v>
      </c>
      <c r="W2504" s="74">
        <f t="shared" si="143"/>
        <v>2.5000000000000001E-3</v>
      </c>
      <c r="X2504" s="50">
        <v>0.03</v>
      </c>
      <c r="Y2504" s="74">
        <f t="shared" si="144"/>
        <v>2.5000000000000001E-3</v>
      </c>
      <c r="Z2504" s="165">
        <v>1</v>
      </c>
      <c r="AA2504" s="271">
        <v>1</v>
      </c>
      <c r="AB2504" s="114">
        <v>2</v>
      </c>
      <c r="AC2504" s="50">
        <v>265</v>
      </c>
      <c r="AD2504" s="271">
        <v>0.9</v>
      </c>
      <c r="AE2504" s="50">
        <f t="shared" si="145"/>
        <v>25</v>
      </c>
    </row>
    <row r="2505" spans="1:31" ht="15" customHeight="1">
      <c r="A2505" s="41" t="s">
        <v>183</v>
      </c>
      <c r="B2505" s="402" t="s">
        <v>5353</v>
      </c>
      <c r="C2505" s="113" t="s">
        <v>5353</v>
      </c>
      <c r="D2505" s="393" t="s">
        <v>290</v>
      </c>
      <c r="E2505" s="394" t="s">
        <v>4247</v>
      </c>
      <c r="F2505" s="402" t="s">
        <v>467</v>
      </c>
      <c r="G2505" s="405" t="s">
        <v>5354</v>
      </c>
      <c r="H2505" s="74">
        <v>5014</v>
      </c>
      <c r="I2505" s="50" t="s">
        <v>2</v>
      </c>
      <c r="J2505" s="339" t="s">
        <v>641</v>
      </c>
      <c r="K2505" s="51">
        <v>41529</v>
      </c>
      <c r="L2505" s="173">
        <v>41519</v>
      </c>
      <c r="M2505" s="50">
        <f t="shared" si="140"/>
        <v>10</v>
      </c>
      <c r="N2505" s="50" t="s">
        <v>2</v>
      </c>
      <c r="O2505" s="74">
        <f>0.5/2</f>
        <v>0.25</v>
      </c>
      <c r="P2505" s="50">
        <v>7.55</v>
      </c>
      <c r="Q2505" s="74">
        <v>7.55</v>
      </c>
      <c r="R2505" s="50">
        <v>100</v>
      </c>
      <c r="S2505" s="74">
        <v>121</v>
      </c>
      <c r="T2505" s="50">
        <v>0.28100000000000003</v>
      </c>
      <c r="U2505" s="131">
        <v>1.0900000000000001</v>
      </c>
      <c r="V2505" s="50">
        <v>1.1399999999999999</v>
      </c>
      <c r="W2505" s="74">
        <v>3.4000000000000002E-2</v>
      </c>
      <c r="X2505" s="50">
        <v>9.9199999999999997E-2</v>
      </c>
      <c r="Y2505" s="74">
        <v>5.5100000000000003E-2</v>
      </c>
      <c r="Z2505" s="165">
        <v>1</v>
      </c>
      <c r="AA2505" s="271">
        <v>1</v>
      </c>
      <c r="AB2505" s="114">
        <v>38.200000000000003</v>
      </c>
      <c r="AC2505" s="50">
        <v>112.9</v>
      </c>
      <c r="AD2505" s="271">
        <v>1</v>
      </c>
    </row>
    <row r="2506" spans="1:31" ht="15" customHeight="1">
      <c r="A2506" s="74" t="s">
        <v>5328</v>
      </c>
      <c r="B2506" s="409" t="s">
        <v>5609</v>
      </c>
      <c r="C2506" s="409" t="s">
        <v>5609</v>
      </c>
      <c r="D2506" s="393" t="s">
        <v>1881</v>
      </c>
      <c r="E2506" s="394" t="s">
        <v>5355</v>
      </c>
      <c r="G2506" s="405" t="s">
        <v>5356</v>
      </c>
      <c r="H2506" s="74">
        <v>2086</v>
      </c>
      <c r="I2506" s="50" t="s">
        <v>2</v>
      </c>
      <c r="J2506" s="339" t="s">
        <v>586</v>
      </c>
      <c r="K2506" s="51">
        <v>41553</v>
      </c>
      <c r="L2506" s="173">
        <v>41539</v>
      </c>
      <c r="M2506" s="50">
        <f t="shared" si="140"/>
        <v>14</v>
      </c>
      <c r="N2506" s="50" t="s">
        <v>2</v>
      </c>
      <c r="O2506" s="74">
        <f>2/2</f>
        <v>1</v>
      </c>
      <c r="P2506" s="50">
        <v>6.7</v>
      </c>
      <c r="Q2506" s="74">
        <v>7.1</v>
      </c>
      <c r="R2506" s="50">
        <v>11</v>
      </c>
      <c r="S2506" s="74">
        <v>1</v>
      </c>
      <c r="T2506" s="50">
        <v>0.05</v>
      </c>
      <c r="U2506" s="131">
        <v>0.82</v>
      </c>
      <c r="V2506" s="50">
        <v>0.38</v>
      </c>
      <c r="W2506" s="74">
        <f>0.01/2</f>
        <v>5.0000000000000001E-3</v>
      </c>
      <c r="X2506" s="50">
        <f>0.075/2</f>
        <v>3.7499999999999999E-2</v>
      </c>
      <c r="Y2506" s="74">
        <f>0.03/2</f>
        <v>1.4999999999999999E-2</v>
      </c>
      <c r="Z2506" s="165">
        <v>1</v>
      </c>
      <c r="AA2506" s="271">
        <v>1</v>
      </c>
      <c r="AB2506" s="114">
        <v>15</v>
      </c>
      <c r="AC2506" s="50">
        <v>73</v>
      </c>
      <c r="AD2506" s="271">
        <v>1</v>
      </c>
    </row>
    <row r="2507" spans="1:31" ht="15" customHeight="1">
      <c r="A2507" s="41" t="s">
        <v>183</v>
      </c>
      <c r="B2507" s="402" t="s">
        <v>3180</v>
      </c>
      <c r="C2507" s="113" t="s">
        <v>5357</v>
      </c>
      <c r="D2507" s="393" t="s">
        <v>1129</v>
      </c>
      <c r="E2507" s="394" t="s">
        <v>398</v>
      </c>
      <c r="G2507" s="405" t="s">
        <v>3181</v>
      </c>
      <c r="H2507" s="74">
        <v>4593</v>
      </c>
      <c r="I2507" s="50" t="s">
        <v>1</v>
      </c>
      <c r="J2507" s="339" t="s">
        <v>1376</v>
      </c>
      <c r="K2507" s="51">
        <v>41142</v>
      </c>
      <c r="L2507" s="173">
        <v>41135</v>
      </c>
      <c r="M2507" s="50">
        <f t="shared" si="140"/>
        <v>7</v>
      </c>
      <c r="N2507" s="50" t="s">
        <v>2</v>
      </c>
      <c r="O2507" s="74">
        <f>1/2</f>
        <v>0.5</v>
      </c>
      <c r="Q2507" s="74">
        <v>6.5</v>
      </c>
      <c r="R2507" s="50">
        <v>69</v>
      </c>
      <c r="S2507" s="74">
        <v>10</v>
      </c>
      <c r="T2507" s="50">
        <v>0.39</v>
      </c>
      <c r="U2507" s="131">
        <v>3.5</v>
      </c>
      <c r="V2507" s="50">
        <f>0.05/2</f>
        <v>2.5000000000000001E-2</v>
      </c>
      <c r="W2507" s="74">
        <v>0.02</v>
      </c>
      <c r="X2507" s="50">
        <v>7.6999999999999999E-2</v>
      </c>
      <c r="Y2507" s="74">
        <v>1.4E-2</v>
      </c>
      <c r="Z2507" s="165">
        <v>1</v>
      </c>
      <c r="AA2507" s="271">
        <v>1</v>
      </c>
      <c r="AB2507" s="114">
        <v>62</v>
      </c>
      <c r="AC2507" s="50">
        <v>213</v>
      </c>
      <c r="AD2507" s="271">
        <v>0.95</v>
      </c>
    </row>
    <row r="2508" spans="1:31" ht="15" customHeight="1">
      <c r="A2508" s="74" t="s">
        <v>5328</v>
      </c>
      <c r="B2508" s="402" t="s">
        <v>5609</v>
      </c>
      <c r="C2508" s="409" t="s">
        <v>5609</v>
      </c>
      <c r="D2508" s="393" t="s">
        <v>1881</v>
      </c>
      <c r="E2508" s="394" t="s">
        <v>5355</v>
      </c>
      <c r="G2508" s="405" t="s">
        <v>5356</v>
      </c>
      <c r="H2508" s="74">
        <v>2086</v>
      </c>
      <c r="I2508" s="50" t="s">
        <v>2</v>
      </c>
      <c r="J2508" s="339" t="s">
        <v>586</v>
      </c>
      <c r="K2508" s="51">
        <v>41170</v>
      </c>
      <c r="L2508" s="173">
        <v>41167</v>
      </c>
      <c r="M2508" s="50">
        <f t="shared" si="140"/>
        <v>3</v>
      </c>
      <c r="N2508" s="50" t="s">
        <v>2</v>
      </c>
      <c r="O2508" s="74">
        <f>2/2</f>
        <v>1</v>
      </c>
      <c r="P2508" s="50">
        <v>7.7</v>
      </c>
      <c r="Q2508" s="74">
        <v>7.6</v>
      </c>
      <c r="R2508" s="50">
        <v>41</v>
      </c>
      <c r="S2508" s="74">
        <v>3</v>
      </c>
      <c r="T2508" s="50">
        <v>0.05</v>
      </c>
      <c r="U2508" s="131">
        <v>0.78</v>
      </c>
      <c r="V2508" s="50">
        <v>0.96</v>
      </c>
      <c r="W2508" s="74">
        <f>0.01/2</f>
        <v>5.0000000000000001E-3</v>
      </c>
      <c r="X2508" s="50">
        <f>0.03/2</f>
        <v>1.4999999999999999E-2</v>
      </c>
      <c r="Y2508" s="74">
        <f>0.03/2</f>
        <v>1.4999999999999999E-2</v>
      </c>
      <c r="Z2508" s="165">
        <v>1</v>
      </c>
      <c r="AA2508" s="271">
        <v>1</v>
      </c>
      <c r="AB2508" s="114">
        <v>151</v>
      </c>
      <c r="AC2508" s="50">
        <v>870</v>
      </c>
      <c r="AD2508" s="271">
        <v>1</v>
      </c>
    </row>
    <row r="2509" spans="1:31" ht="15" customHeight="1">
      <c r="A2509" s="41" t="s">
        <v>183</v>
      </c>
      <c r="B2509" s="402" t="s">
        <v>4866</v>
      </c>
      <c r="C2509" s="113" t="s">
        <v>4866</v>
      </c>
      <c r="D2509" s="393" t="s">
        <v>1484</v>
      </c>
      <c r="E2509" s="394" t="s">
        <v>235</v>
      </c>
      <c r="G2509" s="405" t="s">
        <v>3683</v>
      </c>
      <c r="H2509" s="74">
        <v>3231</v>
      </c>
      <c r="J2509" s="339" t="s">
        <v>4867</v>
      </c>
      <c r="K2509" s="51">
        <v>41149</v>
      </c>
      <c r="L2509" s="173">
        <v>41139</v>
      </c>
      <c r="M2509" s="50">
        <f t="shared" si="140"/>
        <v>10</v>
      </c>
      <c r="N2509" s="50" t="s">
        <v>2</v>
      </c>
      <c r="O2509" s="74">
        <v>5</v>
      </c>
      <c r="P2509" s="50">
        <v>3.8</v>
      </c>
      <c r="Q2509" s="74">
        <v>5.3</v>
      </c>
      <c r="R2509" s="50">
        <v>43</v>
      </c>
      <c r="S2509" s="74">
        <v>164</v>
      </c>
      <c r="T2509" s="50">
        <v>0.09</v>
      </c>
      <c r="U2509" s="131">
        <v>1.73</v>
      </c>
      <c r="V2509" s="50">
        <v>0.44</v>
      </c>
      <c r="W2509" s="74">
        <v>1.7000000000000001E-2</v>
      </c>
      <c r="X2509" s="50">
        <v>0.12</v>
      </c>
      <c r="Y2509" s="74">
        <f>0.03/2</f>
        <v>1.4999999999999999E-2</v>
      </c>
      <c r="Z2509" s="165">
        <v>1</v>
      </c>
      <c r="AA2509" s="271">
        <v>1</v>
      </c>
      <c r="AB2509" s="114">
        <v>4</v>
      </c>
      <c r="AC2509" s="50">
        <v>20</v>
      </c>
      <c r="AD2509" s="271">
        <v>0.85</v>
      </c>
      <c r="AE2509" s="50" t="s">
        <v>143</v>
      </c>
    </row>
    <row r="2510" spans="1:31" ht="15" customHeight="1">
      <c r="A2510" s="74" t="s">
        <v>4668</v>
      </c>
      <c r="B2510" s="402" t="s">
        <v>3282</v>
      </c>
      <c r="C2510" s="113" t="s">
        <v>3282</v>
      </c>
      <c r="D2510" s="393" t="s">
        <v>213</v>
      </c>
      <c r="E2510" s="394" t="s">
        <v>671</v>
      </c>
      <c r="F2510" s="402" t="s">
        <v>3258</v>
      </c>
      <c r="G2510" s="405" t="s">
        <v>3259</v>
      </c>
      <c r="H2510" s="74">
        <v>3829</v>
      </c>
      <c r="I2510" s="50" t="s">
        <v>2</v>
      </c>
      <c r="J2510" s="339" t="s">
        <v>700</v>
      </c>
      <c r="K2510" s="51">
        <v>41136</v>
      </c>
      <c r="L2510" s="173">
        <v>41131</v>
      </c>
      <c r="M2510" s="50">
        <f t="shared" si="140"/>
        <v>5</v>
      </c>
      <c r="N2510" s="50" t="s">
        <v>2</v>
      </c>
      <c r="O2510" s="74">
        <f>1.7/2</f>
        <v>0.85</v>
      </c>
      <c r="P2510" s="50">
        <v>7.67</v>
      </c>
      <c r="Q2510" s="74">
        <v>7.25</v>
      </c>
      <c r="R2510" s="50">
        <v>25</v>
      </c>
      <c r="S2510" s="74">
        <v>73.7</v>
      </c>
      <c r="T2510" s="50">
        <v>0.14000000000000001</v>
      </c>
      <c r="U2510" s="131">
        <v>1.3</v>
      </c>
      <c r="V2510" s="50">
        <f>0.46/2</f>
        <v>0.23</v>
      </c>
      <c r="W2510" s="74">
        <f>0.005/2</f>
        <v>2.5000000000000001E-3</v>
      </c>
      <c r="X2510" s="50">
        <v>2.4E-2</v>
      </c>
      <c r="Y2510" s="74">
        <v>5.1999999999999998E-3</v>
      </c>
      <c r="Z2510" s="165">
        <v>1</v>
      </c>
      <c r="AA2510" s="271">
        <v>1</v>
      </c>
      <c r="AB2510" s="114">
        <v>4</v>
      </c>
      <c r="AC2510" s="50">
        <v>13</v>
      </c>
      <c r="AD2510" s="271">
        <v>0.95</v>
      </c>
    </row>
    <row r="2511" spans="1:31" ht="15" customHeight="1">
      <c r="A2511" s="74" t="s">
        <v>183</v>
      </c>
      <c r="B2511" s="402" t="s">
        <v>2269</v>
      </c>
      <c r="C2511" s="113" t="s">
        <v>2269</v>
      </c>
      <c r="D2511" s="393" t="s">
        <v>372</v>
      </c>
      <c r="E2511" s="394" t="s">
        <v>2270</v>
      </c>
      <c r="G2511" s="405" t="s">
        <v>2272</v>
      </c>
      <c r="H2511" s="74">
        <v>3398</v>
      </c>
      <c r="I2511" s="50" t="s">
        <v>2</v>
      </c>
      <c r="J2511" s="339" t="s">
        <v>249</v>
      </c>
      <c r="K2511" s="51">
        <v>41021</v>
      </c>
      <c r="L2511" s="173">
        <v>41000</v>
      </c>
      <c r="M2511" s="50">
        <f t="shared" si="140"/>
        <v>21</v>
      </c>
      <c r="N2511" s="50" t="s">
        <v>2</v>
      </c>
      <c r="O2511" s="74">
        <v>5.26</v>
      </c>
      <c r="P2511" s="50">
        <v>6.9</v>
      </c>
      <c r="Q2511" s="74">
        <v>6.55</v>
      </c>
      <c r="R2511" s="50">
        <v>286</v>
      </c>
      <c r="S2511" s="74">
        <v>38</v>
      </c>
      <c r="T2511" s="50">
        <v>0.79</v>
      </c>
      <c r="U2511" s="131">
        <v>0.71</v>
      </c>
      <c r="V2511" s="50">
        <v>0.72</v>
      </c>
      <c r="W2511" s="74">
        <v>0.06</v>
      </c>
      <c r="X2511" s="50">
        <v>0.03</v>
      </c>
      <c r="Y2511" s="74">
        <v>0.04</v>
      </c>
      <c r="Z2511" s="165">
        <v>1</v>
      </c>
      <c r="AA2511" s="271">
        <v>0.29799999999999999</v>
      </c>
      <c r="AB2511" s="114">
        <v>10</v>
      </c>
      <c r="AC2511" s="50">
        <v>42</v>
      </c>
      <c r="AD2511" s="271">
        <v>1.5E-3</v>
      </c>
    </row>
    <row r="2512" spans="1:31" ht="15" customHeight="1">
      <c r="A2512" s="41" t="s">
        <v>183</v>
      </c>
      <c r="B2512" s="402" t="s">
        <v>3696</v>
      </c>
      <c r="C2512" s="113" t="s">
        <v>3696</v>
      </c>
      <c r="D2512" s="393" t="s">
        <v>257</v>
      </c>
      <c r="G2512" s="405" t="s">
        <v>2215</v>
      </c>
      <c r="H2512" s="74">
        <v>3419</v>
      </c>
      <c r="I2512" s="50" t="s">
        <v>2</v>
      </c>
      <c r="J2512" s="48" t="s">
        <v>3739</v>
      </c>
      <c r="K2512" s="51">
        <v>41374</v>
      </c>
      <c r="L2512" s="173">
        <v>41364</v>
      </c>
      <c r="M2512" s="50">
        <f t="shared" si="140"/>
        <v>10</v>
      </c>
      <c r="N2512" s="50" t="s">
        <v>2</v>
      </c>
      <c r="O2512" s="74">
        <v>21.5</v>
      </c>
      <c r="P2512" s="50">
        <v>5.4</v>
      </c>
      <c r="Q2512" s="74">
        <v>7</v>
      </c>
      <c r="R2512" s="50">
        <v>120.5</v>
      </c>
      <c r="S2512" s="74">
        <v>70</v>
      </c>
      <c r="T2512" s="50">
        <f>0.1/2</f>
        <v>0.05</v>
      </c>
      <c r="U2512" s="131">
        <v>1.19</v>
      </c>
      <c r="V2512" s="50">
        <v>1.1000000000000001</v>
      </c>
      <c r="W2512" s="74">
        <v>0.06</v>
      </c>
      <c r="X2512" s="50">
        <f>0.05/2</f>
        <v>2.5000000000000001E-2</v>
      </c>
      <c r="Y2512" s="74">
        <v>5.0000000000000001E-3</v>
      </c>
      <c r="Z2512" s="165">
        <v>1</v>
      </c>
      <c r="AA2512" s="271">
        <v>1</v>
      </c>
      <c r="AB2512" s="114">
        <v>20</v>
      </c>
      <c r="AC2512" s="50">
        <v>244</v>
      </c>
      <c r="AD2512" s="271">
        <v>1</v>
      </c>
    </row>
    <row r="2513" spans="1:31" ht="15" customHeight="1">
      <c r="A2513" s="41" t="s">
        <v>183</v>
      </c>
      <c r="B2513" s="402" t="s">
        <v>3696</v>
      </c>
      <c r="C2513" s="113" t="s">
        <v>3696</v>
      </c>
      <c r="D2513" s="393" t="s">
        <v>257</v>
      </c>
      <c r="G2513" s="405" t="s">
        <v>2215</v>
      </c>
      <c r="H2513" s="74"/>
      <c r="I2513" s="50" t="s">
        <v>2</v>
      </c>
      <c r="J2513" s="48" t="s">
        <v>3738</v>
      </c>
      <c r="K2513" s="51">
        <v>41374</v>
      </c>
      <c r="L2513" s="173">
        <v>41364</v>
      </c>
      <c r="M2513" s="50">
        <f t="shared" si="140"/>
        <v>10</v>
      </c>
      <c r="N2513" s="50" t="s">
        <v>2</v>
      </c>
      <c r="O2513" s="74">
        <v>24.7</v>
      </c>
      <c r="P2513" s="50">
        <v>5.4</v>
      </c>
      <c r="Q2513" s="74">
        <v>5.7</v>
      </c>
      <c r="R2513" s="50">
        <v>124.1</v>
      </c>
      <c r="S2513" s="74">
        <f>25/2</f>
        <v>12.5</v>
      </c>
      <c r="T2513" s="50">
        <f>0.1/2</f>
        <v>0.05</v>
      </c>
      <c r="U2513" s="131">
        <v>0.95</v>
      </c>
      <c r="V2513" s="50">
        <v>0.7</v>
      </c>
      <c r="W2513" s="74">
        <v>0.08</v>
      </c>
      <c r="X2513" s="50">
        <f>0.05/2</f>
        <v>2.5000000000000001E-2</v>
      </c>
      <c r="Y2513" s="74">
        <f>0.001/2</f>
        <v>5.0000000000000001E-4</v>
      </c>
      <c r="Z2513" s="165">
        <v>1</v>
      </c>
      <c r="AA2513" s="271">
        <v>0.82033999999999996</v>
      </c>
      <c r="AB2513" s="114">
        <v>4</v>
      </c>
      <c r="AC2513" s="50">
        <v>14</v>
      </c>
      <c r="AD2513" s="271">
        <v>0.3</v>
      </c>
    </row>
    <row r="2514" spans="1:31" ht="15" customHeight="1">
      <c r="A2514" s="41" t="s">
        <v>183</v>
      </c>
      <c r="B2514" s="386" t="s">
        <v>316</v>
      </c>
      <c r="C2514" s="149" t="s">
        <v>316</v>
      </c>
      <c r="D2514" s="392" t="s">
        <v>205</v>
      </c>
      <c r="E2514" s="258" t="s">
        <v>317</v>
      </c>
      <c r="F2514" s="386"/>
      <c r="G2514" s="389" t="s">
        <v>318</v>
      </c>
      <c r="H2514" s="54">
        <v>3519</v>
      </c>
      <c r="J2514" s="339" t="s">
        <v>2526</v>
      </c>
      <c r="K2514" s="51">
        <v>41264</v>
      </c>
      <c r="L2514" s="173"/>
      <c r="N2514" s="50" t="s">
        <v>2</v>
      </c>
      <c r="O2514" s="74">
        <v>1.4</v>
      </c>
      <c r="Q2514" s="74">
        <v>6.25</v>
      </c>
      <c r="R2514" s="50">
        <f>10/2</f>
        <v>5</v>
      </c>
      <c r="S2514" s="74">
        <v>24</v>
      </c>
      <c r="T2514" s="50">
        <v>0.08</v>
      </c>
      <c r="U2514" s="131">
        <v>0.27</v>
      </c>
      <c r="V2514" s="50">
        <v>0.05</v>
      </c>
      <c r="W2514" s="74">
        <v>1.6E-2</v>
      </c>
      <c r="X2514" s="50">
        <v>6.3E-2</v>
      </c>
      <c r="Y2514" s="74">
        <v>1.4999999999999999E-2</v>
      </c>
      <c r="Z2514" s="165">
        <v>1</v>
      </c>
      <c r="AA2514" s="271">
        <v>1</v>
      </c>
      <c r="AB2514" s="114">
        <v>2</v>
      </c>
      <c r="AC2514" s="50">
        <v>8</v>
      </c>
      <c r="AD2514" s="271">
        <v>0.85</v>
      </c>
    </row>
    <row r="2515" spans="1:31" ht="15" customHeight="1">
      <c r="A2515" s="41" t="s">
        <v>183</v>
      </c>
      <c r="B2515" s="386" t="s">
        <v>316</v>
      </c>
      <c r="C2515" s="149" t="s">
        <v>316</v>
      </c>
      <c r="D2515" s="392" t="s">
        <v>205</v>
      </c>
      <c r="E2515" s="258" t="s">
        <v>317</v>
      </c>
      <c r="F2515" s="386"/>
      <c r="G2515" s="389" t="s">
        <v>318</v>
      </c>
      <c r="H2515" s="54">
        <v>3519</v>
      </c>
      <c r="J2515" s="339" t="s">
        <v>2525</v>
      </c>
      <c r="K2515" s="51">
        <v>41264</v>
      </c>
      <c r="L2515" s="173"/>
      <c r="N2515" s="50" t="s">
        <v>2</v>
      </c>
      <c r="O2515" s="74">
        <f>1.4/2</f>
        <v>0.7</v>
      </c>
      <c r="Q2515" s="74">
        <v>6.01</v>
      </c>
      <c r="R2515" s="50">
        <f>10/2</f>
        <v>5</v>
      </c>
      <c r="S2515" s="74">
        <v>8.5</v>
      </c>
      <c r="T2515" s="50">
        <v>0.02</v>
      </c>
      <c r="U2515" s="131">
        <v>0.28999999999999998</v>
      </c>
      <c r="V2515" s="50">
        <v>0.11</v>
      </c>
      <c r="W2515" s="74">
        <f>0.005/2</f>
        <v>2.5000000000000001E-3</v>
      </c>
      <c r="X2515" s="50">
        <v>5.5E-2</v>
      </c>
      <c r="Y2515" s="74">
        <v>4.0000000000000001E-3</v>
      </c>
      <c r="Z2515" s="165">
        <v>1</v>
      </c>
      <c r="AA2515" s="271">
        <v>1</v>
      </c>
      <c r="AB2515" s="114">
        <f>2/2</f>
        <v>1</v>
      </c>
      <c r="AC2515" s="50">
        <v>9</v>
      </c>
      <c r="AD2515" s="271">
        <v>0.55000000000000004</v>
      </c>
    </row>
    <row r="2516" spans="1:31" ht="15" customHeight="1">
      <c r="A2516" s="41" t="s">
        <v>183</v>
      </c>
      <c r="B2516" s="386" t="s">
        <v>316</v>
      </c>
      <c r="C2516" s="149" t="s">
        <v>316</v>
      </c>
      <c r="D2516" s="393" t="s">
        <v>205</v>
      </c>
      <c r="E2516" s="258" t="s">
        <v>317</v>
      </c>
      <c r="G2516" s="405" t="s">
        <v>318</v>
      </c>
      <c r="H2516" s="74">
        <v>3519</v>
      </c>
      <c r="J2516" s="339" t="s">
        <v>425</v>
      </c>
      <c r="K2516" s="51">
        <v>41264</v>
      </c>
      <c r="L2516" s="173"/>
      <c r="N2516" s="50" t="s">
        <v>2</v>
      </c>
      <c r="O2516" s="74">
        <f>1.4/2</f>
        <v>0.7</v>
      </c>
      <c r="Q2516" s="74">
        <v>6.95</v>
      </c>
      <c r="R2516" s="50">
        <f>10/2</f>
        <v>5</v>
      </c>
      <c r="S2516" s="74">
        <v>12</v>
      </c>
      <c r="T2516" s="50">
        <v>0.03</v>
      </c>
      <c r="U2516" s="131">
        <v>0.5</v>
      </c>
      <c r="V2516" s="50">
        <v>0.04</v>
      </c>
      <c r="W2516" s="74">
        <f>0.005/2</f>
        <v>2.5000000000000001E-3</v>
      </c>
      <c r="X2516" s="50">
        <v>5.2999999999999999E-2</v>
      </c>
      <c r="Y2516" s="74">
        <v>3.0000000000000001E-3</v>
      </c>
      <c r="Z2516" s="165">
        <v>1</v>
      </c>
      <c r="AA2516" s="271">
        <v>1</v>
      </c>
      <c r="AB2516" s="114">
        <v>6</v>
      </c>
      <c r="AC2516" s="50">
        <v>24</v>
      </c>
      <c r="AD2516" s="271">
        <v>0.95</v>
      </c>
    </row>
    <row r="2517" spans="1:31" ht="15" customHeight="1">
      <c r="A2517" s="41" t="s">
        <v>183</v>
      </c>
      <c r="B2517" s="402" t="s">
        <v>4316</v>
      </c>
      <c r="C2517" s="113" t="s">
        <v>4317</v>
      </c>
      <c r="D2517" s="393" t="s">
        <v>290</v>
      </c>
      <c r="E2517" s="394" t="s">
        <v>112</v>
      </c>
      <c r="G2517" s="405" t="s">
        <v>4318</v>
      </c>
      <c r="H2517" s="74">
        <v>3462</v>
      </c>
      <c r="I2517" s="50" t="s">
        <v>1</v>
      </c>
      <c r="J2517" s="339" t="s">
        <v>643</v>
      </c>
      <c r="K2517" s="51">
        <v>41352</v>
      </c>
      <c r="L2517" s="173">
        <v>41345</v>
      </c>
      <c r="M2517" s="50">
        <f>K2517-L2517</f>
        <v>7</v>
      </c>
      <c r="N2517" s="50" t="s">
        <v>2</v>
      </c>
      <c r="O2517" s="74">
        <v>1.8</v>
      </c>
      <c r="P2517" s="50">
        <v>5.93</v>
      </c>
      <c r="Q2517" s="74">
        <v>7.82</v>
      </c>
      <c r="R2517" s="50">
        <v>34</v>
      </c>
      <c r="S2517" s="74">
        <v>170</v>
      </c>
      <c r="T2517" s="50">
        <v>0.25</v>
      </c>
      <c r="U2517" s="131">
        <v>0.62</v>
      </c>
      <c r="V2517" s="50">
        <v>0.28999999999999998</v>
      </c>
      <c r="W2517" s="74">
        <v>2.5999999999999999E-2</v>
      </c>
      <c r="X2517" s="50">
        <v>0.214</v>
      </c>
      <c r="Y2517" s="74">
        <v>0.01</v>
      </c>
      <c r="Z2517" s="165"/>
    </row>
    <row r="2518" spans="1:31" ht="15" customHeight="1">
      <c r="A2518" s="41" t="s">
        <v>183</v>
      </c>
      <c r="B2518" s="402" t="s">
        <v>4866</v>
      </c>
      <c r="C2518" s="113" t="s">
        <v>4866</v>
      </c>
      <c r="D2518" s="393" t="s">
        <v>1484</v>
      </c>
      <c r="E2518" s="394" t="s">
        <v>235</v>
      </c>
      <c r="G2518" s="405" t="s">
        <v>3683</v>
      </c>
      <c r="H2518" s="74">
        <v>3231</v>
      </c>
      <c r="I2518" s="50" t="s">
        <v>1</v>
      </c>
      <c r="J2518" s="339" t="s">
        <v>4867</v>
      </c>
      <c r="K2518" s="51">
        <v>41352</v>
      </c>
      <c r="L2518" s="173">
        <v>41332</v>
      </c>
      <c r="M2518" s="50">
        <f>K2518-L2518</f>
        <v>20</v>
      </c>
      <c r="N2518" s="50" t="s">
        <v>2</v>
      </c>
      <c r="O2518" s="74">
        <f>2/2</f>
        <v>1</v>
      </c>
      <c r="P2518" s="50">
        <v>6.3</v>
      </c>
      <c r="Q2518" s="74">
        <v>6.6</v>
      </c>
      <c r="R2518" s="50">
        <v>11</v>
      </c>
      <c r="S2518" s="74">
        <v>24</v>
      </c>
      <c r="T2518" s="50">
        <v>0.09</v>
      </c>
      <c r="U2518" s="131">
        <v>0.66</v>
      </c>
      <c r="V2518" s="50">
        <v>0.15</v>
      </c>
      <c r="W2518" s="74">
        <v>2.7E-2</v>
      </c>
      <c r="X2518" s="50">
        <v>4.5999999999999999E-2</v>
      </c>
      <c r="Y2518" s="74">
        <f>0.03/2</f>
        <v>1.4999999999999999E-2</v>
      </c>
      <c r="Z2518" s="165">
        <v>1</v>
      </c>
      <c r="AA2518" s="271">
        <v>1</v>
      </c>
      <c r="AB2518" s="114">
        <v>4</v>
      </c>
      <c r="AC2518" s="50">
        <v>1327</v>
      </c>
      <c r="AD2518" s="271">
        <v>0.6</v>
      </c>
      <c r="AE2518" s="50">
        <f>100/2</f>
        <v>50</v>
      </c>
    </row>
    <row r="2519" spans="1:31" ht="15" customHeight="1">
      <c r="A2519" s="41" t="s">
        <v>183</v>
      </c>
      <c r="B2519" s="386" t="s">
        <v>316</v>
      </c>
      <c r="C2519" s="149" t="s">
        <v>316</v>
      </c>
      <c r="D2519" s="393" t="s">
        <v>205</v>
      </c>
      <c r="E2519" s="258" t="s">
        <v>317</v>
      </c>
      <c r="G2519" s="405" t="s">
        <v>318</v>
      </c>
      <c r="H2519" s="74">
        <v>3519</v>
      </c>
      <c r="J2519" s="339" t="s">
        <v>425</v>
      </c>
      <c r="K2519" s="51">
        <v>41345</v>
      </c>
      <c r="L2519" s="173">
        <v>41341</v>
      </c>
      <c r="M2519" s="50">
        <f>K2519-L2519</f>
        <v>4</v>
      </c>
      <c r="N2519" s="50" t="s">
        <v>2</v>
      </c>
      <c r="O2519" s="74">
        <f>1.4/2</f>
        <v>0.7</v>
      </c>
      <c r="Q2519" s="74">
        <v>7.86</v>
      </c>
      <c r="R2519" s="50">
        <f>10/2</f>
        <v>5</v>
      </c>
      <c r="S2519" s="74">
        <f>5/2</f>
        <v>2.5</v>
      </c>
      <c r="T2519" s="50">
        <v>0.04</v>
      </c>
      <c r="U2519" s="131">
        <v>0.36</v>
      </c>
      <c r="V2519" s="50">
        <v>0.4</v>
      </c>
      <c r="W2519" s="74">
        <v>8.0000000000000002E-3</v>
      </c>
      <c r="X2519" s="50">
        <v>8.3000000000000004E-2</v>
      </c>
      <c r="Y2519" s="74">
        <v>6.0000000000000001E-3</v>
      </c>
      <c r="Z2519" s="165">
        <v>1</v>
      </c>
      <c r="AA2519" s="271">
        <v>1</v>
      </c>
      <c r="AB2519" s="114">
        <v>124</v>
      </c>
      <c r="AC2519" s="50">
        <v>498</v>
      </c>
      <c r="AD2519" s="271">
        <v>1</v>
      </c>
    </row>
    <row r="2520" spans="1:31" ht="15" customHeight="1">
      <c r="A2520" s="41" t="s">
        <v>183</v>
      </c>
      <c r="B2520" s="386" t="s">
        <v>316</v>
      </c>
      <c r="C2520" s="149" t="s">
        <v>316</v>
      </c>
      <c r="D2520" s="393" t="s">
        <v>205</v>
      </c>
      <c r="E2520" s="258" t="s">
        <v>317</v>
      </c>
      <c r="G2520" s="405" t="s">
        <v>318</v>
      </c>
      <c r="H2520" s="74">
        <v>3519</v>
      </c>
      <c r="I2520" s="50" t="s">
        <v>2</v>
      </c>
      <c r="J2520" s="339" t="s">
        <v>2526</v>
      </c>
      <c r="K2520" s="51">
        <v>41345</v>
      </c>
      <c r="L2520" s="173"/>
      <c r="N2520" s="50" t="s">
        <v>2</v>
      </c>
      <c r="O2520" s="74">
        <v>7.3</v>
      </c>
      <c r="Q2520" s="74">
        <v>7.06</v>
      </c>
      <c r="R2520" s="50">
        <v>137</v>
      </c>
      <c r="S2520" s="74">
        <v>200</v>
      </c>
      <c r="T2520" s="50">
        <v>0.39</v>
      </c>
      <c r="U2520" s="131">
        <v>1.41</v>
      </c>
      <c r="V2520" s="50">
        <v>0.25</v>
      </c>
      <c r="W2520" s="74">
        <v>8.2000000000000003E-2</v>
      </c>
      <c r="X2520" s="50">
        <v>0.14199999999999999</v>
      </c>
      <c r="Y2520" s="74">
        <v>4.9000000000000002E-2</v>
      </c>
      <c r="Z2520" s="165">
        <v>1</v>
      </c>
      <c r="AA2520" s="271">
        <v>1</v>
      </c>
      <c r="AB2520" s="114">
        <v>8</v>
      </c>
      <c r="AC2520" s="50">
        <v>164</v>
      </c>
      <c r="AD2520" s="271">
        <v>0.9</v>
      </c>
    </row>
    <row r="2521" spans="1:31" ht="15" customHeight="1">
      <c r="A2521" s="41" t="s">
        <v>183</v>
      </c>
      <c r="B2521" s="386" t="s">
        <v>316</v>
      </c>
      <c r="C2521" s="149" t="s">
        <v>316</v>
      </c>
      <c r="D2521" s="393" t="s">
        <v>205</v>
      </c>
      <c r="E2521" s="258" t="s">
        <v>317</v>
      </c>
      <c r="G2521" s="405" t="s">
        <v>318</v>
      </c>
      <c r="H2521" s="74">
        <v>3519</v>
      </c>
      <c r="I2521" s="50" t="s">
        <v>2</v>
      </c>
      <c r="J2521" s="339" t="s">
        <v>2525</v>
      </c>
      <c r="K2521" s="51">
        <v>41345</v>
      </c>
      <c r="L2521" s="173">
        <v>41341</v>
      </c>
      <c r="M2521" s="50">
        <f t="shared" ref="M2521:M2549" si="146">K2521-L2521</f>
        <v>4</v>
      </c>
      <c r="N2521" s="50" t="s">
        <v>2</v>
      </c>
      <c r="O2521" s="74">
        <f>1.8/2</f>
        <v>0.9</v>
      </c>
      <c r="Q2521" s="74">
        <v>7.64</v>
      </c>
      <c r="R2521" s="50">
        <v>28</v>
      </c>
      <c r="S2521" s="74">
        <v>16</v>
      </c>
      <c r="T2521" s="50">
        <v>0.09</v>
      </c>
      <c r="U2521" s="131">
        <v>0.59</v>
      </c>
      <c r="V2521" s="50">
        <v>0.96</v>
      </c>
      <c r="W2521" s="74">
        <v>1.2E-2</v>
      </c>
      <c r="X2521" s="50">
        <v>0.09</v>
      </c>
      <c r="Y2521" s="74">
        <v>8.0000000000000002E-3</v>
      </c>
      <c r="Z2521" s="165">
        <v>1</v>
      </c>
      <c r="AA2521" s="271">
        <v>1</v>
      </c>
      <c r="AB2521" s="114">
        <v>70</v>
      </c>
      <c r="AC2521" s="50">
        <v>331</v>
      </c>
      <c r="AD2521" s="271">
        <v>1</v>
      </c>
    </row>
    <row r="2522" spans="1:31" ht="15" customHeight="1">
      <c r="A2522" s="41" t="s">
        <v>183</v>
      </c>
      <c r="B2522" s="402" t="s">
        <v>2269</v>
      </c>
      <c r="C2522" s="113" t="s">
        <v>2269</v>
      </c>
      <c r="D2522" s="393" t="s">
        <v>372</v>
      </c>
      <c r="E2522" s="394" t="s">
        <v>2270</v>
      </c>
      <c r="F2522" s="402" t="s">
        <v>2271</v>
      </c>
      <c r="G2522" s="405" t="s">
        <v>2272</v>
      </c>
      <c r="H2522" s="74">
        <v>3398</v>
      </c>
      <c r="I2522" s="50" t="s">
        <v>2</v>
      </c>
      <c r="J2522" s="339" t="s">
        <v>249</v>
      </c>
      <c r="K2522" s="51">
        <v>41328</v>
      </c>
      <c r="L2522" s="173">
        <v>41305</v>
      </c>
      <c r="M2522" s="50">
        <f t="shared" si="146"/>
        <v>23</v>
      </c>
      <c r="N2522" s="50" t="s">
        <v>2</v>
      </c>
      <c r="O2522" s="74">
        <f>2.5/2</f>
        <v>1.25</v>
      </c>
      <c r="P2522" s="50">
        <v>6.97</v>
      </c>
      <c r="Q2522" s="74">
        <v>6.25</v>
      </c>
      <c r="R2522" s="50">
        <v>78.400000000000006</v>
      </c>
      <c r="S2522" s="74">
        <v>54</v>
      </c>
      <c r="T2522" s="50">
        <v>0.13</v>
      </c>
      <c r="U2522" s="131">
        <v>2.31</v>
      </c>
      <c r="V2522" s="50">
        <v>15</v>
      </c>
      <c r="W2522" s="74">
        <v>0.04</v>
      </c>
      <c r="X2522" s="50">
        <v>0.05</v>
      </c>
      <c r="Y2522" s="74">
        <v>3.7999999999999999E-2</v>
      </c>
      <c r="Z2522" s="165"/>
    </row>
    <row r="2523" spans="1:31" ht="15" customHeight="1">
      <c r="A2523" s="41" t="s">
        <v>183</v>
      </c>
      <c r="B2523" s="385" t="s">
        <v>908</v>
      </c>
      <c r="C2523" s="149" t="s">
        <v>909</v>
      </c>
      <c r="D2523" s="393" t="s">
        <v>910</v>
      </c>
      <c r="E2523" s="20" t="s">
        <v>1546</v>
      </c>
      <c r="G2523" s="405" t="s">
        <v>911</v>
      </c>
      <c r="H2523" s="74">
        <v>5171</v>
      </c>
      <c r="J2523" s="344" t="s">
        <v>4335</v>
      </c>
      <c r="K2523" s="51">
        <v>41403</v>
      </c>
      <c r="L2523" s="173">
        <v>41386</v>
      </c>
      <c r="M2523" s="50">
        <f t="shared" si="146"/>
        <v>17</v>
      </c>
      <c r="N2523" s="50" t="s">
        <v>2</v>
      </c>
      <c r="O2523" s="74">
        <f>5/2</f>
        <v>2.5</v>
      </c>
      <c r="P2523" s="50">
        <v>7</v>
      </c>
      <c r="Q2523" s="74">
        <v>6.32</v>
      </c>
      <c r="R2523" s="50">
        <v>57</v>
      </c>
      <c r="S2523" s="74">
        <v>43</v>
      </c>
      <c r="T2523" s="50">
        <v>0.18</v>
      </c>
      <c r="U2523" s="131">
        <f>1/2</f>
        <v>0.5</v>
      </c>
      <c r="V2523" s="50">
        <f>0.1/2</f>
        <v>0.05</v>
      </c>
      <c r="W2523" s="74">
        <f>0.04/2</f>
        <v>0.02</v>
      </c>
      <c r="X2523" s="50">
        <v>9.5000000000000001E-2</v>
      </c>
      <c r="Y2523" s="74">
        <f>0.013/2</f>
        <v>6.4999999999999997E-3</v>
      </c>
      <c r="Z2523" s="165"/>
    </row>
    <row r="2524" spans="1:31" ht="15" customHeight="1">
      <c r="A2524" s="41" t="s">
        <v>183</v>
      </c>
      <c r="B2524" s="385" t="s">
        <v>4325</v>
      </c>
      <c r="C2524" s="18" t="s">
        <v>4325</v>
      </c>
      <c r="D2524" s="393" t="s">
        <v>1217</v>
      </c>
      <c r="E2524" s="20" t="s">
        <v>1469</v>
      </c>
      <c r="G2524" s="405" t="s">
        <v>3975</v>
      </c>
      <c r="H2524" s="74">
        <v>212310</v>
      </c>
      <c r="I2524" s="50" t="s">
        <v>2</v>
      </c>
      <c r="J2524" s="339" t="s">
        <v>3976</v>
      </c>
      <c r="K2524" s="51">
        <v>41345</v>
      </c>
      <c r="L2524" s="173">
        <v>41341</v>
      </c>
      <c r="M2524" s="50">
        <f t="shared" si="146"/>
        <v>4</v>
      </c>
      <c r="N2524" s="50" t="s">
        <v>1</v>
      </c>
      <c r="O2524" s="74">
        <f>1.4/2</f>
        <v>0.7</v>
      </c>
      <c r="P2524" s="50">
        <v>4.8</v>
      </c>
      <c r="Q2524" s="74">
        <v>7.25</v>
      </c>
      <c r="R2524" s="50">
        <v>28</v>
      </c>
      <c r="S2524" s="74">
        <f>5/2</f>
        <v>2.5</v>
      </c>
      <c r="T2524" s="50">
        <v>0.05</v>
      </c>
      <c r="U2524" s="131">
        <v>0.82</v>
      </c>
      <c r="V2524" s="50">
        <v>0.15</v>
      </c>
      <c r="W2524" s="74">
        <v>1E-3</v>
      </c>
      <c r="X2524" s="50">
        <v>8.0000000000000002E-3</v>
      </c>
      <c r="Y2524" s="74">
        <f>0.002/2</f>
        <v>1E-3</v>
      </c>
      <c r="Z2524" s="165">
        <v>1</v>
      </c>
      <c r="AA2524" s="271">
        <v>1</v>
      </c>
      <c r="AB2524" s="114">
        <v>44</v>
      </c>
      <c r="AC2524" s="50">
        <v>110</v>
      </c>
      <c r="AD2524" s="271">
        <v>0.95</v>
      </c>
    </row>
    <row r="2525" spans="1:31" ht="15" customHeight="1">
      <c r="A2525" s="41" t="s">
        <v>183</v>
      </c>
      <c r="B2525" s="385" t="s">
        <v>4325</v>
      </c>
      <c r="C2525" s="18" t="s">
        <v>4325</v>
      </c>
      <c r="D2525" s="393" t="s">
        <v>1217</v>
      </c>
      <c r="E2525" s="20" t="s">
        <v>1469</v>
      </c>
      <c r="G2525" s="405" t="s">
        <v>3975</v>
      </c>
      <c r="H2525" s="74">
        <v>212310</v>
      </c>
      <c r="I2525" s="50" t="s">
        <v>2</v>
      </c>
      <c r="J2525" s="339" t="s">
        <v>3977</v>
      </c>
      <c r="K2525" s="51">
        <v>41345</v>
      </c>
      <c r="L2525" s="173">
        <v>41341</v>
      </c>
      <c r="M2525" s="50">
        <f t="shared" si="146"/>
        <v>4</v>
      </c>
      <c r="N2525" s="50" t="s">
        <v>1</v>
      </c>
      <c r="O2525" s="74">
        <f>1.4/2</f>
        <v>0.7</v>
      </c>
      <c r="P2525" s="50">
        <v>4.8</v>
      </c>
      <c r="Q2525" s="74">
        <v>7.73</v>
      </c>
      <c r="R2525" s="50">
        <v>21</v>
      </c>
      <c r="S2525" s="74">
        <v>53</v>
      </c>
      <c r="T2525" s="50">
        <v>0.08</v>
      </c>
      <c r="U2525" s="131">
        <v>0.4</v>
      </c>
      <c r="V2525" s="50">
        <v>0.83</v>
      </c>
      <c r="W2525" s="74">
        <v>8.0000000000000002E-3</v>
      </c>
      <c r="X2525" s="50">
        <v>2.4E-2</v>
      </c>
      <c r="Y2525" s="74">
        <f>0.002/2</f>
        <v>1E-3</v>
      </c>
      <c r="Z2525" s="165">
        <v>1</v>
      </c>
      <c r="AA2525" s="271">
        <v>1</v>
      </c>
      <c r="AB2525" s="114">
        <v>178</v>
      </c>
      <c r="AC2525" s="50">
        <v>428</v>
      </c>
      <c r="AD2525" s="271">
        <v>1</v>
      </c>
    </row>
    <row r="2526" spans="1:31" ht="15" customHeight="1">
      <c r="A2526" s="41" t="s">
        <v>183</v>
      </c>
      <c r="B2526" s="402" t="s">
        <v>5358</v>
      </c>
      <c r="C2526" s="113" t="s">
        <v>5359</v>
      </c>
      <c r="D2526" s="393" t="s">
        <v>117</v>
      </c>
      <c r="E2526" s="394" t="s">
        <v>382</v>
      </c>
      <c r="G2526" s="405" t="s">
        <v>3615</v>
      </c>
      <c r="H2526" s="74">
        <v>3087</v>
      </c>
      <c r="J2526" s="339" t="s">
        <v>5360</v>
      </c>
      <c r="K2526" s="51">
        <v>41316</v>
      </c>
      <c r="L2526" s="173">
        <v>41313</v>
      </c>
      <c r="M2526" s="50">
        <f t="shared" si="146"/>
        <v>3</v>
      </c>
      <c r="N2526" s="50" t="s">
        <v>2</v>
      </c>
      <c r="O2526" s="74">
        <v>1.6</v>
      </c>
      <c r="P2526" s="50">
        <v>5.93</v>
      </c>
      <c r="Q2526" s="74">
        <v>6.74</v>
      </c>
      <c r="R2526" s="50">
        <v>33</v>
      </c>
      <c r="S2526" s="74">
        <v>25</v>
      </c>
      <c r="T2526" s="50">
        <v>0.08</v>
      </c>
      <c r="U2526" s="131">
        <v>0.4</v>
      </c>
      <c r="V2526" s="50">
        <f>0.2/2</f>
        <v>0.1</v>
      </c>
      <c r="W2526" s="74">
        <v>0.04</v>
      </c>
      <c r="X2526" s="50">
        <v>0.06</v>
      </c>
      <c r="Y2526" s="74">
        <f>0.02/2</f>
        <v>0.01</v>
      </c>
      <c r="Z2526" s="165"/>
    </row>
    <row r="2527" spans="1:31" ht="15" customHeight="1">
      <c r="A2527" s="41" t="s">
        <v>183</v>
      </c>
      <c r="B2527" s="402" t="s">
        <v>3282</v>
      </c>
      <c r="C2527" s="113" t="s">
        <v>3282</v>
      </c>
      <c r="D2527" s="393" t="s">
        <v>213</v>
      </c>
      <c r="E2527" s="394" t="s">
        <v>671</v>
      </c>
      <c r="F2527" s="402" t="s">
        <v>3258</v>
      </c>
      <c r="G2527" s="405" t="s">
        <v>3259</v>
      </c>
      <c r="H2527" s="74">
        <v>3829</v>
      </c>
      <c r="I2527" s="50" t="s">
        <v>2</v>
      </c>
      <c r="J2527" s="339" t="s">
        <v>700</v>
      </c>
      <c r="K2527" s="51">
        <v>41487</v>
      </c>
      <c r="L2527" s="173">
        <v>41481</v>
      </c>
      <c r="M2527" s="50">
        <f t="shared" si="146"/>
        <v>6</v>
      </c>
      <c r="N2527" s="50" t="s">
        <v>2</v>
      </c>
      <c r="O2527" s="74">
        <f>1.6/2</f>
        <v>0.8</v>
      </c>
      <c r="P2527" s="50">
        <v>6.3</v>
      </c>
      <c r="Q2527" s="74">
        <v>6.7</v>
      </c>
      <c r="R2527" s="50">
        <v>89</v>
      </c>
      <c r="S2527" s="74">
        <v>44</v>
      </c>
      <c r="T2527" s="50">
        <v>0.253</v>
      </c>
      <c r="U2527" s="131">
        <v>3</v>
      </c>
      <c r="V2527" s="50">
        <v>1.03</v>
      </c>
      <c r="W2527" s="74">
        <v>1.2999999999999999E-2</v>
      </c>
      <c r="X2527" s="50">
        <v>2.5999999999999999E-2</v>
      </c>
      <c r="Y2527" s="74">
        <f>0.005/2</f>
        <v>2.5000000000000001E-3</v>
      </c>
      <c r="Z2527" s="165">
        <v>1</v>
      </c>
      <c r="AA2527" s="271">
        <v>1</v>
      </c>
      <c r="AB2527" s="114">
        <v>18</v>
      </c>
      <c r="AC2527" s="50">
        <v>51</v>
      </c>
      <c r="AD2527" s="271">
        <v>1</v>
      </c>
    </row>
    <row r="2528" spans="1:31" ht="15" customHeight="1">
      <c r="A2528" s="41" t="s">
        <v>183</v>
      </c>
      <c r="B2528" s="402" t="s">
        <v>5361</v>
      </c>
      <c r="C2528" s="113" t="s">
        <v>5361</v>
      </c>
      <c r="D2528" s="393" t="s">
        <v>290</v>
      </c>
      <c r="G2528" s="405" t="s">
        <v>4261</v>
      </c>
      <c r="H2528" s="74">
        <v>3273</v>
      </c>
      <c r="I2528" s="50" t="s">
        <v>2</v>
      </c>
      <c r="J2528" s="339" t="s">
        <v>5362</v>
      </c>
      <c r="K2528" s="51">
        <v>41554</v>
      </c>
      <c r="L2528" s="173"/>
      <c r="N2528" s="50" t="s">
        <v>2</v>
      </c>
      <c r="O2528" s="74">
        <f>2/2</f>
        <v>1</v>
      </c>
      <c r="P2528" s="50">
        <v>7.8</v>
      </c>
      <c r="Q2528" s="74">
        <v>7.5</v>
      </c>
      <c r="R2528" s="50">
        <f>10/2</f>
        <v>5</v>
      </c>
      <c r="S2528" s="74">
        <v>5</v>
      </c>
      <c r="T2528" s="50">
        <f>0.05/2</f>
        <v>2.5000000000000001E-2</v>
      </c>
      <c r="U2528" s="131">
        <v>0.31</v>
      </c>
      <c r="V2528" s="50">
        <v>0.76</v>
      </c>
      <c r="W2528" s="74">
        <f>0.01/2</f>
        <v>5.0000000000000001E-3</v>
      </c>
      <c r="X2528" s="50">
        <f>0.03/2</f>
        <v>1.4999999999999999E-2</v>
      </c>
      <c r="Y2528" s="74">
        <f>0.03/2</f>
        <v>1.4999999999999999E-2</v>
      </c>
      <c r="Z2528" s="165">
        <v>1</v>
      </c>
      <c r="AA2528" s="271">
        <v>1</v>
      </c>
      <c r="AB2528" s="114">
        <v>77</v>
      </c>
      <c r="AC2528" s="50">
        <v>327</v>
      </c>
      <c r="AD2528" s="271">
        <v>1</v>
      </c>
    </row>
    <row r="2529" spans="1:30" ht="15" customHeight="1">
      <c r="A2529" s="41" t="s">
        <v>183</v>
      </c>
      <c r="B2529" s="402" t="s">
        <v>5361</v>
      </c>
      <c r="C2529" s="113" t="s">
        <v>5361</v>
      </c>
      <c r="D2529" s="393" t="s">
        <v>290</v>
      </c>
      <c r="G2529" s="405" t="s">
        <v>4261</v>
      </c>
      <c r="H2529" s="74">
        <v>3273</v>
      </c>
      <c r="I2529" s="50" t="s">
        <v>2</v>
      </c>
      <c r="J2529" s="339" t="s">
        <v>74</v>
      </c>
      <c r="K2529" s="51">
        <v>41554</v>
      </c>
      <c r="L2529" s="173"/>
      <c r="N2529" s="50" t="s">
        <v>2</v>
      </c>
      <c r="O2529" s="74">
        <f>2/2</f>
        <v>1</v>
      </c>
      <c r="P2529" s="50">
        <v>7.8</v>
      </c>
      <c r="Q2529" s="74">
        <v>7.7</v>
      </c>
      <c r="R2529" s="50">
        <f>10/2</f>
        <v>5</v>
      </c>
      <c r="S2529" s="74">
        <v>1</v>
      </c>
      <c r="T2529" s="50">
        <f>0.05/2</f>
        <v>2.5000000000000001E-2</v>
      </c>
      <c r="U2529" s="131">
        <v>0.38</v>
      </c>
      <c r="V2529" s="50">
        <v>0.79</v>
      </c>
      <c r="W2529" s="74">
        <f>0.01/2</f>
        <v>5.0000000000000001E-3</v>
      </c>
      <c r="X2529" s="50">
        <f>0.03/2</f>
        <v>1.4999999999999999E-2</v>
      </c>
      <c r="Y2529" s="74">
        <f>0.03/2</f>
        <v>1.4999999999999999E-2</v>
      </c>
      <c r="Z2529" s="165">
        <v>1</v>
      </c>
      <c r="AA2529" s="271">
        <v>1</v>
      </c>
      <c r="AB2529" s="114">
        <v>76</v>
      </c>
      <c r="AC2529" s="50">
        <v>333</v>
      </c>
      <c r="AD2529" s="271">
        <v>1</v>
      </c>
    </row>
    <row r="2530" spans="1:30" ht="15" customHeight="1">
      <c r="A2530" s="41" t="s">
        <v>183</v>
      </c>
      <c r="B2530" s="402" t="s">
        <v>3700</v>
      </c>
      <c r="C2530" s="113" t="s">
        <v>3700</v>
      </c>
      <c r="D2530" s="393" t="s">
        <v>379</v>
      </c>
      <c r="G2530" s="405" t="s">
        <v>3701</v>
      </c>
      <c r="H2530" s="74">
        <v>332813</v>
      </c>
      <c r="I2530" s="50" t="s">
        <v>2</v>
      </c>
      <c r="J2530" s="48" t="s">
        <v>3702</v>
      </c>
      <c r="K2530" s="51">
        <v>41578</v>
      </c>
      <c r="L2530" s="173">
        <v>41554</v>
      </c>
      <c r="M2530" s="50">
        <f t="shared" si="146"/>
        <v>24</v>
      </c>
      <c r="N2530" s="50" t="s">
        <v>2</v>
      </c>
      <c r="O2530" s="74">
        <v>1</v>
      </c>
      <c r="P2530" s="50">
        <v>5.7</v>
      </c>
      <c r="Q2530" s="74">
        <v>5.72</v>
      </c>
      <c r="R2530" s="50">
        <v>38.799999999999997</v>
      </c>
      <c r="S2530" s="74">
        <v>17</v>
      </c>
      <c r="T2530" s="50">
        <v>0.18</v>
      </c>
      <c r="U2530" s="131">
        <v>3.02</v>
      </c>
      <c r="V2530" s="50">
        <v>0.2</v>
      </c>
      <c r="W2530" s="74">
        <f>0.01/2</f>
        <v>5.0000000000000001E-3</v>
      </c>
      <c r="X2530" s="50">
        <v>0.04</v>
      </c>
      <c r="Y2530" s="74">
        <f>0.02/2</f>
        <v>0.01</v>
      </c>
      <c r="Z2530" s="165">
        <v>1</v>
      </c>
      <c r="AA2530" s="271">
        <v>1</v>
      </c>
      <c r="AB2530" s="114">
        <v>2.4</v>
      </c>
      <c r="AC2530" s="50">
        <v>16.8</v>
      </c>
      <c r="AD2530" s="271">
        <v>1</v>
      </c>
    </row>
    <row r="2531" spans="1:30" ht="15" customHeight="1">
      <c r="A2531" s="41" t="s">
        <v>183</v>
      </c>
      <c r="B2531" s="402" t="s">
        <v>5363</v>
      </c>
      <c r="C2531" s="113" t="s">
        <v>5363</v>
      </c>
      <c r="D2531" s="393" t="s">
        <v>41</v>
      </c>
      <c r="E2531" s="20" t="s">
        <v>4388</v>
      </c>
      <c r="F2531" s="402">
        <v>4404</v>
      </c>
      <c r="G2531" s="405" t="s">
        <v>4389</v>
      </c>
      <c r="H2531" s="74">
        <v>3724</v>
      </c>
      <c r="I2531" s="50" t="s">
        <v>2</v>
      </c>
      <c r="J2531" s="339" t="s">
        <v>460</v>
      </c>
      <c r="K2531" s="51">
        <v>41529</v>
      </c>
      <c r="L2531" s="173">
        <v>41519</v>
      </c>
      <c r="M2531" s="50">
        <f t="shared" si="146"/>
        <v>10</v>
      </c>
      <c r="N2531" s="50" t="s">
        <v>2</v>
      </c>
      <c r="O2531" s="74">
        <f>1.4/2</f>
        <v>0.7</v>
      </c>
      <c r="P2531" s="50">
        <v>4.08</v>
      </c>
      <c r="Q2531" s="74">
        <v>6.02</v>
      </c>
      <c r="R2531" s="50">
        <v>41</v>
      </c>
      <c r="S2531" s="74">
        <v>18</v>
      </c>
      <c r="T2531" s="50">
        <v>0.08</v>
      </c>
      <c r="U2531" s="131">
        <v>1.47</v>
      </c>
      <c r="V2531" s="50">
        <v>1.38</v>
      </c>
      <c r="W2531" s="74">
        <v>7.0000000000000001E-3</v>
      </c>
      <c r="X2531" s="50">
        <v>2.4E-2</v>
      </c>
      <c r="Y2531" s="74">
        <f>0.002</f>
        <v>2E-3</v>
      </c>
      <c r="Z2531" s="165"/>
    </row>
    <row r="2532" spans="1:30" ht="15" customHeight="1">
      <c r="A2532" s="41" t="s">
        <v>183</v>
      </c>
      <c r="B2532" s="402" t="s">
        <v>5363</v>
      </c>
      <c r="C2532" s="113" t="s">
        <v>5363</v>
      </c>
      <c r="D2532" s="393" t="s">
        <v>41</v>
      </c>
      <c r="E2532" s="20" t="s">
        <v>4388</v>
      </c>
      <c r="F2532" s="402">
        <v>4404</v>
      </c>
      <c r="G2532" s="405" t="s">
        <v>4389</v>
      </c>
      <c r="H2532" s="74">
        <v>3724</v>
      </c>
      <c r="I2532" s="50" t="s">
        <v>2</v>
      </c>
      <c r="J2532" s="339" t="s">
        <v>357</v>
      </c>
      <c r="K2532" s="51">
        <v>41529</v>
      </c>
      <c r="L2532" s="173">
        <v>41519</v>
      </c>
      <c r="M2532" s="50">
        <f t="shared" si="146"/>
        <v>10</v>
      </c>
      <c r="N2532" s="50" t="s">
        <v>2</v>
      </c>
      <c r="O2532" s="74">
        <v>5.0999999999999996</v>
      </c>
      <c r="P2532" s="50">
        <v>4.08</v>
      </c>
      <c r="Q2532" s="74">
        <v>5.85</v>
      </c>
      <c r="R2532" s="50">
        <v>123</v>
      </c>
      <c r="S2532" s="74">
        <v>280</v>
      </c>
      <c r="T2532" s="50">
        <v>0.69</v>
      </c>
      <c r="U2532" s="131">
        <v>5.0599999999999996</v>
      </c>
      <c r="V2532" s="50">
        <v>2</v>
      </c>
      <c r="W2532" s="74">
        <v>0.08</v>
      </c>
      <c r="X2532" s="50">
        <v>1.43</v>
      </c>
      <c r="Y2532" s="74">
        <v>5.5E-2</v>
      </c>
      <c r="Z2532" s="165"/>
    </row>
    <row r="2533" spans="1:30" ht="15" customHeight="1">
      <c r="A2533" s="41" t="s">
        <v>183</v>
      </c>
      <c r="B2533" s="402" t="s">
        <v>5363</v>
      </c>
      <c r="C2533" s="113" t="s">
        <v>5363</v>
      </c>
      <c r="D2533" s="393" t="s">
        <v>41</v>
      </c>
      <c r="E2533" s="20" t="s">
        <v>4388</v>
      </c>
      <c r="F2533" s="402">
        <v>4404</v>
      </c>
      <c r="G2533" s="405" t="s">
        <v>4389</v>
      </c>
      <c r="H2533" s="74">
        <v>3724</v>
      </c>
      <c r="I2533" s="50" t="s">
        <v>2</v>
      </c>
      <c r="J2533" s="339" t="s">
        <v>3630</v>
      </c>
      <c r="K2533" s="51">
        <v>41529</v>
      </c>
      <c r="L2533" s="173">
        <v>41519</v>
      </c>
      <c r="M2533" s="50">
        <f t="shared" si="146"/>
        <v>10</v>
      </c>
      <c r="N2533" s="50" t="s">
        <v>2</v>
      </c>
      <c r="O2533" s="74">
        <f>1.4/2</f>
        <v>0.7</v>
      </c>
      <c r="P2533" s="50">
        <v>4.08</v>
      </c>
      <c r="Q2533" s="74">
        <v>6.08</v>
      </c>
      <c r="R2533" s="50">
        <v>129</v>
      </c>
      <c r="S2533" s="74">
        <v>5.5</v>
      </c>
      <c r="T2533" s="50">
        <v>0.09</v>
      </c>
      <c r="U2533" s="131">
        <v>4.12</v>
      </c>
      <c r="V2533" s="50">
        <v>1.25</v>
      </c>
      <c r="W2533" s="74">
        <v>1.4999999999999999E-2</v>
      </c>
      <c r="X2533" s="50">
        <v>0.254</v>
      </c>
      <c r="Y2533" s="74">
        <f>0.002/2</f>
        <v>1E-3</v>
      </c>
      <c r="Z2533" s="165"/>
    </row>
    <row r="2534" spans="1:30" ht="15" customHeight="1">
      <c r="A2534" s="41" t="s">
        <v>183</v>
      </c>
      <c r="B2534" s="402" t="s">
        <v>5007</v>
      </c>
      <c r="C2534" s="113" t="s">
        <v>1338</v>
      </c>
      <c r="D2534" s="393" t="s">
        <v>213</v>
      </c>
      <c r="E2534" s="394" t="s">
        <v>1339</v>
      </c>
      <c r="G2534" s="405" t="s">
        <v>1340</v>
      </c>
      <c r="H2534" s="74">
        <v>3724</v>
      </c>
      <c r="I2534" s="50" t="s">
        <v>2</v>
      </c>
      <c r="J2534" s="74" t="s">
        <v>5009</v>
      </c>
      <c r="K2534" s="51">
        <v>41529</v>
      </c>
      <c r="L2534" s="173">
        <v>41518</v>
      </c>
      <c r="M2534" s="50">
        <f t="shared" si="146"/>
        <v>11</v>
      </c>
      <c r="N2534" s="50" t="s">
        <v>2</v>
      </c>
      <c r="O2534" s="74">
        <f>1.6/2</f>
        <v>0.8</v>
      </c>
      <c r="P2534" s="50">
        <v>4.8</v>
      </c>
      <c r="Q2534" s="74">
        <v>4.8</v>
      </c>
      <c r="R2534" s="50">
        <f>20/2</f>
        <v>10</v>
      </c>
      <c r="S2534" s="74">
        <v>1.8</v>
      </c>
      <c r="T2534" s="50">
        <v>1.9E-2</v>
      </c>
      <c r="U2534" s="131">
        <v>1.2</v>
      </c>
      <c r="V2534" s="50">
        <v>0.71</v>
      </c>
      <c r="W2534" s="74">
        <v>6.0000000000000001E-3</v>
      </c>
      <c r="X2534" s="50">
        <v>0.157</v>
      </c>
      <c r="Y2534" s="74">
        <f>0.005/2</f>
        <v>2.5000000000000001E-3</v>
      </c>
      <c r="Z2534" s="165">
        <v>0.70399999999999996</v>
      </c>
      <c r="AA2534" s="271">
        <v>0.70399999999999996</v>
      </c>
      <c r="AB2534" s="114">
        <v>2</v>
      </c>
      <c r="AC2534" s="50">
        <v>18</v>
      </c>
      <c r="AD2534" s="271">
        <v>0</v>
      </c>
    </row>
    <row r="2535" spans="1:30" ht="15" customHeight="1">
      <c r="A2535" s="41" t="s">
        <v>183</v>
      </c>
      <c r="B2535" s="402" t="s">
        <v>5007</v>
      </c>
      <c r="C2535" s="113" t="s">
        <v>1338</v>
      </c>
      <c r="D2535" s="393" t="s">
        <v>213</v>
      </c>
      <c r="E2535" s="394" t="s">
        <v>1339</v>
      </c>
      <c r="G2535" s="405" t="s">
        <v>1340</v>
      </c>
      <c r="H2535" s="74">
        <v>3724</v>
      </c>
      <c r="I2535" s="50" t="s">
        <v>2</v>
      </c>
      <c r="J2535" s="339" t="s">
        <v>5008</v>
      </c>
      <c r="K2535" s="51">
        <v>41529</v>
      </c>
      <c r="L2535" s="173">
        <v>41518</v>
      </c>
      <c r="M2535" s="50">
        <f t="shared" si="146"/>
        <v>11</v>
      </c>
      <c r="N2535" s="50" t="s">
        <v>2</v>
      </c>
      <c r="O2535" s="74">
        <v>5.5</v>
      </c>
      <c r="P2535" s="50">
        <v>4.8</v>
      </c>
      <c r="Q2535" s="74">
        <v>4.7</v>
      </c>
      <c r="R2535" s="50">
        <v>30</v>
      </c>
      <c r="S2535" s="74">
        <v>4.8</v>
      </c>
      <c r="T2535" s="50">
        <v>5.5E-2</v>
      </c>
      <c r="U2535" s="131">
        <v>1.9</v>
      </c>
      <c r="V2535" s="50">
        <v>0.79</v>
      </c>
      <c r="W2535" s="74">
        <v>8.0000000000000002E-3</v>
      </c>
      <c r="X2535" s="50">
        <v>0.28100000000000003</v>
      </c>
      <c r="Y2535" s="74">
        <f>0.0106/2</f>
        <v>5.3E-3</v>
      </c>
      <c r="Z2535" s="165">
        <v>0.68300000000000005</v>
      </c>
      <c r="AA2535" s="271">
        <v>0.68300000000000005</v>
      </c>
      <c r="AB2535" s="114">
        <v>4</v>
      </c>
      <c r="AC2535" s="50">
        <v>25</v>
      </c>
      <c r="AD2535" s="271">
        <v>0</v>
      </c>
    </row>
    <row r="2536" spans="1:30" ht="15" customHeight="1">
      <c r="A2536" s="41" t="s">
        <v>183</v>
      </c>
      <c r="B2536" s="402" t="s">
        <v>1050</v>
      </c>
      <c r="C2536" s="113" t="s">
        <v>1050</v>
      </c>
      <c r="D2536" s="393" t="s">
        <v>1217</v>
      </c>
      <c r="F2536" s="402" t="s">
        <v>1051</v>
      </c>
      <c r="G2536" s="405" t="s">
        <v>1052</v>
      </c>
      <c r="H2536" s="74">
        <v>3724</v>
      </c>
      <c r="I2536" s="50" t="s">
        <v>2</v>
      </c>
      <c r="J2536" s="76" t="s">
        <v>1053</v>
      </c>
      <c r="K2536" s="51">
        <v>41487</v>
      </c>
      <c r="L2536" s="173">
        <v>41481</v>
      </c>
      <c r="M2536" s="50">
        <f t="shared" si="146"/>
        <v>6</v>
      </c>
      <c r="N2536" s="50" t="s">
        <v>2</v>
      </c>
      <c r="O2536" s="74">
        <f>1.7/2</f>
        <v>0.85</v>
      </c>
      <c r="P2536" s="50">
        <v>6.3</v>
      </c>
      <c r="Q2536" s="74">
        <v>5.2</v>
      </c>
      <c r="R2536" s="50">
        <v>98</v>
      </c>
      <c r="S2536" s="74">
        <v>89.5</v>
      </c>
      <c r="T2536" s="50">
        <v>0.20599999999999999</v>
      </c>
      <c r="U2536" s="131">
        <v>2.2000000000000002</v>
      </c>
      <c r="V2536" s="50">
        <v>0.7</v>
      </c>
      <c r="W2536" s="74">
        <v>1.0999999999999999E-2</v>
      </c>
      <c r="X2536" s="50">
        <v>8.5999999999999993E-2</v>
      </c>
      <c r="Y2536" s="74">
        <v>6.4999999999999997E-3</v>
      </c>
      <c r="Z2536" s="165">
        <v>1</v>
      </c>
      <c r="AA2536" s="271">
        <v>0.70699999999999996</v>
      </c>
      <c r="AB2536" s="114">
        <v>8</v>
      </c>
      <c r="AC2536" s="50">
        <v>38</v>
      </c>
      <c r="AD2536" s="271">
        <v>0</v>
      </c>
    </row>
    <row r="2537" spans="1:30" ht="15" customHeight="1">
      <c r="A2537" s="41" t="s">
        <v>183</v>
      </c>
      <c r="B2537" s="402" t="s">
        <v>3706</v>
      </c>
      <c r="C2537" s="113" t="s">
        <v>3706</v>
      </c>
      <c r="D2537" s="393" t="s">
        <v>356</v>
      </c>
      <c r="E2537" s="394" t="s">
        <v>2105</v>
      </c>
      <c r="F2537" s="402" t="s">
        <v>44</v>
      </c>
      <c r="G2537" s="405" t="s">
        <v>3604</v>
      </c>
      <c r="H2537" s="74">
        <v>3479</v>
      </c>
      <c r="I2537" s="50" t="s">
        <v>2</v>
      </c>
      <c r="J2537" s="48" t="s">
        <v>3239</v>
      </c>
      <c r="K2537" s="51">
        <v>41345</v>
      </c>
      <c r="L2537" s="173">
        <v>41341</v>
      </c>
      <c r="M2537" s="50">
        <f t="shared" si="146"/>
        <v>4</v>
      </c>
      <c r="N2537" s="50" t="s">
        <v>2</v>
      </c>
      <c r="O2537" s="74">
        <f>1.4/2</f>
        <v>0.7</v>
      </c>
      <c r="P2537" s="50">
        <v>3.02</v>
      </c>
      <c r="Q2537" s="74">
        <v>7.09</v>
      </c>
      <c r="R2537" s="50">
        <f>10/2</f>
        <v>5</v>
      </c>
      <c r="S2537" s="74">
        <f>5/2</f>
        <v>2.5</v>
      </c>
      <c r="T2537" s="50">
        <v>0.03</v>
      </c>
      <c r="U2537" s="131">
        <v>0.47</v>
      </c>
      <c r="V2537" s="50">
        <v>7.0000000000000007E-2</v>
      </c>
      <c r="W2537" s="74">
        <v>7.0000000000000001E-3</v>
      </c>
      <c r="X2537" s="50">
        <v>9.6000000000000002E-2</v>
      </c>
      <c r="Y2537" s="74">
        <f>0.002/2</f>
        <v>1E-3</v>
      </c>
      <c r="Z2537" s="165">
        <v>1</v>
      </c>
      <c r="AA2537" s="271">
        <v>1</v>
      </c>
      <c r="AB2537" s="114">
        <v>20</v>
      </c>
      <c r="AC2537" s="50">
        <v>2355</v>
      </c>
      <c r="AD2537" s="271">
        <v>0.95</v>
      </c>
    </row>
    <row r="2538" spans="1:30" ht="15" customHeight="1">
      <c r="A2538" s="41" t="s">
        <v>183</v>
      </c>
      <c r="B2538" s="402" t="s">
        <v>5363</v>
      </c>
      <c r="C2538" s="113" t="s">
        <v>5363</v>
      </c>
      <c r="D2538" s="393" t="s">
        <v>41</v>
      </c>
      <c r="E2538" s="20" t="s">
        <v>4388</v>
      </c>
      <c r="F2538" s="402">
        <v>4404</v>
      </c>
      <c r="G2538" s="405" t="s">
        <v>4389</v>
      </c>
      <c r="H2538" s="74">
        <v>3724</v>
      </c>
      <c r="I2538" s="50" t="s">
        <v>2</v>
      </c>
      <c r="J2538" s="339" t="s">
        <v>460</v>
      </c>
      <c r="K2538" s="51">
        <v>41345</v>
      </c>
      <c r="L2538" s="173">
        <v>41341</v>
      </c>
      <c r="M2538" s="50">
        <f t="shared" si="146"/>
        <v>4</v>
      </c>
      <c r="N2538" s="50" t="s">
        <v>2</v>
      </c>
      <c r="O2538" s="74">
        <f>1.4/2</f>
        <v>0.7</v>
      </c>
      <c r="P2538" s="50">
        <v>5.35</v>
      </c>
      <c r="Q2538" s="74">
        <v>6.79</v>
      </c>
      <c r="R2538" s="50">
        <v>36</v>
      </c>
      <c r="S2538" s="74">
        <v>15</v>
      </c>
      <c r="T2538" s="50">
        <v>7.0000000000000007E-2</v>
      </c>
      <c r="U2538" s="131">
        <v>0.28999999999999998</v>
      </c>
      <c r="V2538" s="50">
        <v>0.16</v>
      </c>
      <c r="W2538" s="74">
        <f>0.005/2</f>
        <v>2.5000000000000001E-3</v>
      </c>
      <c r="X2538" s="50">
        <v>1.9E-2</v>
      </c>
      <c r="Y2538" s="74">
        <v>3.0000000000000001E-3</v>
      </c>
      <c r="Z2538" s="165">
        <v>1</v>
      </c>
      <c r="AA2538" s="271">
        <v>1</v>
      </c>
      <c r="AB2538" s="114">
        <v>4</v>
      </c>
      <c r="AC2538" s="50">
        <v>95</v>
      </c>
      <c r="AD2538" s="271">
        <v>1</v>
      </c>
    </row>
    <row r="2539" spans="1:30" ht="15" customHeight="1">
      <c r="A2539" s="41" t="s">
        <v>183</v>
      </c>
      <c r="B2539" s="402" t="s">
        <v>5363</v>
      </c>
      <c r="C2539" s="113" t="s">
        <v>5363</v>
      </c>
      <c r="D2539" s="393" t="s">
        <v>41</v>
      </c>
      <c r="E2539" s="20" t="s">
        <v>4388</v>
      </c>
      <c r="F2539" s="402">
        <v>4404</v>
      </c>
      <c r="G2539" s="405" t="s">
        <v>4389</v>
      </c>
      <c r="H2539" s="74">
        <v>3724</v>
      </c>
      <c r="I2539" s="50" t="s">
        <v>2</v>
      </c>
      <c r="J2539" s="339" t="s">
        <v>357</v>
      </c>
      <c r="K2539" s="51">
        <v>41345</v>
      </c>
      <c r="L2539" s="173">
        <v>41341</v>
      </c>
      <c r="M2539" s="50">
        <f t="shared" si="146"/>
        <v>4</v>
      </c>
      <c r="N2539" s="50" t="s">
        <v>2</v>
      </c>
      <c r="O2539" s="74">
        <v>3.7</v>
      </c>
      <c r="P2539" s="50">
        <v>5.35</v>
      </c>
      <c r="Q2539" s="74">
        <v>6.71</v>
      </c>
      <c r="R2539" s="50">
        <v>62</v>
      </c>
      <c r="S2539" s="74">
        <v>40</v>
      </c>
      <c r="T2539" s="50">
        <v>0.08</v>
      </c>
      <c r="U2539" s="131">
        <v>0.53</v>
      </c>
      <c r="V2539" s="50">
        <v>0.08</v>
      </c>
      <c r="W2539" s="74">
        <f>0.005/2</f>
        <v>2.5000000000000001E-3</v>
      </c>
      <c r="X2539" s="50">
        <v>8.1000000000000003E-2</v>
      </c>
      <c r="Y2539" s="74">
        <v>5.0000000000000001E-3</v>
      </c>
      <c r="Z2539" s="165">
        <v>1</v>
      </c>
      <c r="AA2539" s="271">
        <v>1</v>
      </c>
      <c r="AB2539" s="114">
        <v>4</v>
      </c>
      <c r="AC2539" s="50">
        <v>64</v>
      </c>
      <c r="AD2539" s="271">
        <v>0.95</v>
      </c>
    </row>
    <row r="2540" spans="1:30" ht="15" customHeight="1">
      <c r="A2540" s="41" t="s">
        <v>183</v>
      </c>
      <c r="B2540" s="402" t="s">
        <v>5363</v>
      </c>
      <c r="C2540" s="113" t="s">
        <v>5363</v>
      </c>
      <c r="D2540" s="393" t="s">
        <v>41</v>
      </c>
      <c r="E2540" s="20" t="s">
        <v>4388</v>
      </c>
      <c r="F2540" s="402">
        <v>4404</v>
      </c>
      <c r="G2540" s="405" t="s">
        <v>4389</v>
      </c>
      <c r="H2540" s="74">
        <v>3724</v>
      </c>
      <c r="I2540" s="50" t="s">
        <v>2</v>
      </c>
      <c r="J2540" s="339" t="s">
        <v>3630</v>
      </c>
      <c r="K2540" s="51">
        <v>41345</v>
      </c>
      <c r="L2540" s="173">
        <v>41341</v>
      </c>
      <c r="M2540" s="50">
        <f t="shared" si="146"/>
        <v>4</v>
      </c>
      <c r="N2540" s="50" t="s">
        <v>2</v>
      </c>
      <c r="O2540" s="74">
        <f>1.4/2</f>
        <v>0.7</v>
      </c>
      <c r="P2540" s="50">
        <v>5.35</v>
      </c>
      <c r="Q2540" s="74">
        <v>5.37</v>
      </c>
      <c r="R2540" s="50">
        <f>10/2</f>
        <v>5</v>
      </c>
      <c r="S2540" s="74">
        <f>5/2</f>
        <v>2.5</v>
      </c>
      <c r="T2540" s="50">
        <v>0.01</v>
      </c>
      <c r="U2540" s="131">
        <v>0.23</v>
      </c>
      <c r="V2540" s="50">
        <v>0.1</v>
      </c>
      <c r="W2540" s="74">
        <f>0.005/2</f>
        <v>2.5000000000000001E-3</v>
      </c>
      <c r="X2540" s="50">
        <v>0.111</v>
      </c>
      <c r="Y2540" s="74">
        <f>0.002/2</f>
        <v>1E-3</v>
      </c>
      <c r="Z2540" s="165">
        <v>1</v>
      </c>
      <c r="AA2540" s="271">
        <v>0.752</v>
      </c>
      <c r="AB2540" s="114">
        <f>2/2</f>
        <v>1</v>
      </c>
      <c r="AC2540" s="50">
        <v>14</v>
      </c>
      <c r="AD2540" s="271">
        <v>0.15</v>
      </c>
    </row>
    <row r="2541" spans="1:30" ht="15" customHeight="1">
      <c r="A2541" s="41" t="s">
        <v>183</v>
      </c>
      <c r="B2541" s="402" t="s">
        <v>5364</v>
      </c>
      <c r="C2541" s="113" t="s">
        <v>5364</v>
      </c>
      <c r="D2541" s="393" t="s">
        <v>443</v>
      </c>
      <c r="E2541" s="394" t="s">
        <v>5365</v>
      </c>
      <c r="G2541" s="405" t="s">
        <v>5366</v>
      </c>
      <c r="H2541" s="74">
        <v>3429</v>
      </c>
      <c r="J2541" s="339" t="s">
        <v>74</v>
      </c>
      <c r="K2541" s="51">
        <v>41184</v>
      </c>
      <c r="L2541" s="173">
        <v>41180</v>
      </c>
      <c r="M2541" s="50">
        <f t="shared" si="146"/>
        <v>4</v>
      </c>
      <c r="N2541" s="50" t="s">
        <v>2</v>
      </c>
      <c r="O2541" s="74">
        <f>5/2</f>
        <v>2.5</v>
      </c>
      <c r="P2541" s="50">
        <v>7.18</v>
      </c>
      <c r="Q2541" s="74">
        <v>6.66</v>
      </c>
      <c r="R2541" s="50">
        <v>7</v>
      </c>
      <c r="S2541" s="74">
        <v>5</v>
      </c>
      <c r="T2541" s="50">
        <v>0.27</v>
      </c>
      <c r="U2541" s="131">
        <v>0.59</v>
      </c>
      <c r="V2541" s="50">
        <v>0.55000000000000004</v>
      </c>
      <c r="W2541" s="74">
        <v>2E-3</v>
      </c>
      <c r="X2541" s="50">
        <v>0.04</v>
      </c>
      <c r="Y2541" s="74">
        <f>0.001/2</f>
        <v>5.0000000000000001E-4</v>
      </c>
      <c r="Z2541" s="165">
        <v>1</v>
      </c>
      <c r="AA2541" s="271">
        <v>0.8</v>
      </c>
      <c r="AB2541" s="114">
        <f>1/2</f>
        <v>0.5</v>
      </c>
      <c r="AC2541" s="50">
        <v>15</v>
      </c>
      <c r="AD2541" s="271">
        <v>0.4</v>
      </c>
    </row>
    <row r="2542" spans="1:30" ht="15" customHeight="1">
      <c r="A2542" s="41" t="s">
        <v>183</v>
      </c>
      <c r="B2542" s="402" t="s">
        <v>5367</v>
      </c>
      <c r="C2542" s="113" t="s">
        <v>5367</v>
      </c>
      <c r="D2542" s="393" t="s">
        <v>2375</v>
      </c>
      <c r="E2542" s="394" t="s">
        <v>5368</v>
      </c>
      <c r="G2542" s="405" t="s">
        <v>5369</v>
      </c>
      <c r="H2542" s="74">
        <v>5171</v>
      </c>
      <c r="I2542" s="50" t="s">
        <v>2</v>
      </c>
      <c r="J2542" s="339" t="s">
        <v>5370</v>
      </c>
      <c r="K2542" s="51">
        <v>41345</v>
      </c>
      <c r="L2542" s="173">
        <v>41341</v>
      </c>
      <c r="M2542" s="50">
        <f t="shared" si="146"/>
        <v>4</v>
      </c>
      <c r="N2542" s="50" t="s">
        <v>2</v>
      </c>
      <c r="O2542" s="74">
        <f>5/2</f>
        <v>2.5</v>
      </c>
      <c r="P2542" s="50">
        <v>6.65</v>
      </c>
      <c r="Q2542" s="74">
        <v>6.85</v>
      </c>
      <c r="R2542" s="50">
        <v>7.4</v>
      </c>
      <c r="S2542" s="74">
        <f>5/2</f>
        <v>2.5</v>
      </c>
      <c r="T2542" s="50">
        <f>0.1/2</f>
        <v>0.05</v>
      </c>
      <c r="U2542" s="131">
        <f>1/2</f>
        <v>0.5</v>
      </c>
      <c r="V2542" s="50">
        <v>1.3</v>
      </c>
      <c r="W2542" s="74">
        <f>0.04/2</f>
        <v>0.02</v>
      </c>
      <c r="X2542" s="50">
        <f>0.02/2</f>
        <v>0.01</v>
      </c>
      <c r="Y2542" s="74">
        <v>2.5000000000000001E-2</v>
      </c>
      <c r="Z2542" s="165">
        <v>1</v>
      </c>
      <c r="AA2542" s="271">
        <v>1</v>
      </c>
      <c r="AB2542" s="114">
        <v>36</v>
      </c>
      <c r="AC2542" s="50">
        <v>186</v>
      </c>
      <c r="AD2542" s="271">
        <v>1</v>
      </c>
    </row>
    <row r="2543" spans="1:30" ht="15" customHeight="1">
      <c r="A2543" s="41" t="s">
        <v>183</v>
      </c>
      <c r="B2543" s="402" t="s">
        <v>1050</v>
      </c>
      <c r="C2543" s="113" t="s">
        <v>1050</v>
      </c>
      <c r="D2543" s="393" t="s">
        <v>1217</v>
      </c>
      <c r="F2543" s="402" t="s">
        <v>1051</v>
      </c>
      <c r="G2543" s="405" t="s">
        <v>1052</v>
      </c>
      <c r="H2543" s="74">
        <v>3724</v>
      </c>
      <c r="I2543" s="50" t="s">
        <v>2</v>
      </c>
      <c r="J2543" s="76" t="s">
        <v>1053</v>
      </c>
      <c r="K2543" s="51">
        <v>41226</v>
      </c>
      <c r="L2543" s="173">
        <v>41221</v>
      </c>
      <c r="M2543" s="50">
        <f t="shared" si="146"/>
        <v>5</v>
      </c>
      <c r="N2543" s="50" t="s">
        <v>2</v>
      </c>
      <c r="O2543" s="74">
        <f>2.1/2</f>
        <v>1.05</v>
      </c>
      <c r="P2543" s="50">
        <v>6.24</v>
      </c>
      <c r="Q2543" s="74">
        <v>6.57</v>
      </c>
      <c r="R2543" s="50">
        <v>24</v>
      </c>
      <c r="S2543" s="74">
        <v>2.6</v>
      </c>
      <c r="T2543" s="50">
        <v>2.9000000000000001E-2</v>
      </c>
      <c r="U2543" s="131">
        <v>1.5</v>
      </c>
      <c r="V2543" s="50">
        <v>1.26</v>
      </c>
      <c r="W2543" s="74">
        <v>8.9999999999999993E-3</v>
      </c>
      <c r="X2543" s="50">
        <v>6.9000000000000006E-2</v>
      </c>
      <c r="Y2543" s="74">
        <v>6.0000000000000001E-3</v>
      </c>
      <c r="Z2543" s="165"/>
    </row>
    <row r="2544" spans="1:30" ht="15" customHeight="1">
      <c r="A2544" s="41" t="s">
        <v>183</v>
      </c>
      <c r="B2544" s="402" t="s">
        <v>5371</v>
      </c>
      <c r="C2544" s="113" t="s">
        <v>5371</v>
      </c>
      <c r="D2544" s="393" t="s">
        <v>234</v>
      </c>
      <c r="E2544" s="394" t="s">
        <v>235</v>
      </c>
      <c r="G2544" s="405" t="s">
        <v>5372</v>
      </c>
      <c r="H2544" s="74">
        <v>3469</v>
      </c>
      <c r="I2544" s="50" t="s">
        <v>1</v>
      </c>
      <c r="J2544" s="339" t="s">
        <v>81</v>
      </c>
      <c r="K2544" s="51">
        <v>41332</v>
      </c>
      <c r="L2544" s="173">
        <v>41328</v>
      </c>
      <c r="M2544" s="50">
        <f t="shared" si="146"/>
        <v>4</v>
      </c>
      <c r="N2544" s="50" t="s">
        <v>2</v>
      </c>
      <c r="O2544" s="74">
        <f>1/2</f>
        <v>0.5</v>
      </c>
      <c r="Q2544" s="74">
        <v>7.07</v>
      </c>
      <c r="R2544" s="50">
        <v>11.3</v>
      </c>
      <c r="S2544" s="74">
        <v>11</v>
      </c>
      <c r="T2544" s="50">
        <v>0.06</v>
      </c>
      <c r="U2544" s="131">
        <v>0.57999999999999996</v>
      </c>
      <c r="V2544" s="50">
        <f>0.1/2</f>
        <v>0.05</v>
      </c>
      <c r="W2544" s="74">
        <v>5.0000000000000001E-3</v>
      </c>
      <c r="X2544" s="50">
        <v>3.5000000000000003E-2</v>
      </c>
      <c r="Y2544" s="74">
        <f>0.002/2</f>
        <v>1E-3</v>
      </c>
      <c r="Z2544" s="165">
        <v>1</v>
      </c>
      <c r="AA2544" s="271">
        <v>1</v>
      </c>
      <c r="AB2544" s="114">
        <v>2.4700000000000002</v>
      </c>
      <c r="AC2544" s="50">
        <v>42</v>
      </c>
      <c r="AD2544" s="271">
        <v>1</v>
      </c>
    </row>
    <row r="2545" spans="1:30" ht="15" customHeight="1">
      <c r="A2545" s="41" t="s">
        <v>183</v>
      </c>
      <c r="B2545" s="386" t="s">
        <v>76</v>
      </c>
      <c r="C2545" s="149" t="s">
        <v>77</v>
      </c>
      <c r="D2545" s="392" t="s">
        <v>78</v>
      </c>
      <c r="E2545" s="258" t="s">
        <v>79</v>
      </c>
      <c r="G2545" s="405" t="s">
        <v>80</v>
      </c>
      <c r="H2545" s="74">
        <v>3479</v>
      </c>
      <c r="I2545" s="50" t="s">
        <v>2</v>
      </c>
      <c r="J2545" s="61" t="s">
        <v>81</v>
      </c>
      <c r="K2545" s="51">
        <v>41352</v>
      </c>
      <c r="L2545" s="173">
        <v>41345</v>
      </c>
      <c r="M2545" s="50">
        <f t="shared" si="146"/>
        <v>7</v>
      </c>
      <c r="N2545" s="50" t="s">
        <v>2</v>
      </c>
      <c r="O2545" s="74">
        <f>1/2</f>
        <v>0.5</v>
      </c>
      <c r="P2545" s="50">
        <v>6.7</v>
      </c>
      <c r="Q2545" s="74">
        <v>5.65</v>
      </c>
      <c r="R2545" s="50">
        <v>7.5</v>
      </c>
      <c r="S2545" s="74">
        <f>1/2</f>
        <v>0.5</v>
      </c>
      <c r="T2545" s="50">
        <f>0.05/2</f>
        <v>2.5000000000000001E-2</v>
      </c>
      <c r="U2545" s="131">
        <v>0.92</v>
      </c>
      <c r="V2545" s="50">
        <v>0.49</v>
      </c>
      <c r="W2545" s="74">
        <v>0.05</v>
      </c>
      <c r="X2545" s="50">
        <v>0.127</v>
      </c>
      <c r="Y2545" s="74">
        <f>0.002/2</f>
        <v>1E-3</v>
      </c>
      <c r="Z2545" s="165">
        <v>1</v>
      </c>
      <c r="AA2545" s="271">
        <v>0.73499999999999999</v>
      </c>
      <c r="AB2545" s="114">
        <v>1.76</v>
      </c>
      <c r="AC2545" s="50">
        <v>13</v>
      </c>
      <c r="AD2545" s="271">
        <v>0.1</v>
      </c>
    </row>
    <row r="2546" spans="1:30" ht="15" customHeight="1">
      <c r="A2546" s="41" t="s">
        <v>183</v>
      </c>
      <c r="B2546" s="402" t="s">
        <v>1068</v>
      </c>
      <c r="C2546" s="113" t="s">
        <v>1068</v>
      </c>
      <c r="D2546" s="393" t="s">
        <v>111</v>
      </c>
      <c r="F2546" s="402" t="s">
        <v>1069</v>
      </c>
      <c r="G2546" s="405" t="s">
        <v>1070</v>
      </c>
      <c r="H2546" s="74">
        <v>3357</v>
      </c>
      <c r="I2546" s="50" t="s">
        <v>2</v>
      </c>
      <c r="J2546" s="339" t="s">
        <v>700</v>
      </c>
      <c r="K2546" s="51">
        <v>41197</v>
      </c>
      <c r="L2546" s="173">
        <v>41192</v>
      </c>
      <c r="M2546" s="50">
        <f t="shared" si="146"/>
        <v>5</v>
      </c>
      <c r="N2546" s="50" t="s">
        <v>2</v>
      </c>
      <c r="O2546" s="74">
        <f>2.2/2</f>
        <v>1.1000000000000001</v>
      </c>
      <c r="P2546" s="50">
        <v>6.3</v>
      </c>
      <c r="Q2546" s="74">
        <v>6.3</v>
      </c>
      <c r="R2546" s="50">
        <v>23</v>
      </c>
      <c r="S2546" s="74">
        <v>33.799999999999997</v>
      </c>
      <c r="T2546" s="50">
        <v>0.108</v>
      </c>
      <c r="U2546" s="131">
        <v>2.2999999999999998</v>
      </c>
      <c r="V2546" s="50">
        <f>0.46/2</f>
        <v>0.23</v>
      </c>
      <c r="W2546" s="74">
        <f>0.005/2</f>
        <v>2.5000000000000001E-3</v>
      </c>
      <c r="X2546" s="50">
        <v>0.17299999999999999</v>
      </c>
      <c r="Y2546" s="74">
        <f>0.005/2</f>
        <v>2.5000000000000001E-3</v>
      </c>
      <c r="Z2546" s="165"/>
    </row>
    <row r="2547" spans="1:30" ht="15" customHeight="1">
      <c r="A2547" s="41" t="s">
        <v>183</v>
      </c>
      <c r="B2547" s="402" t="s">
        <v>2040</v>
      </c>
      <c r="C2547" s="113" t="s">
        <v>2040</v>
      </c>
      <c r="D2547" s="393" t="s">
        <v>314</v>
      </c>
      <c r="E2547" s="394" t="s">
        <v>2019</v>
      </c>
      <c r="G2547" s="405" t="s">
        <v>2041</v>
      </c>
      <c r="H2547" s="74">
        <v>3479</v>
      </c>
      <c r="I2547" s="50" t="s">
        <v>1</v>
      </c>
      <c r="J2547" s="339" t="s">
        <v>641</v>
      </c>
      <c r="K2547" s="51">
        <v>41345</v>
      </c>
      <c r="L2547" s="173">
        <v>41341</v>
      </c>
      <c r="M2547" s="50">
        <f t="shared" si="146"/>
        <v>4</v>
      </c>
      <c r="N2547" s="50" t="s">
        <v>1</v>
      </c>
      <c r="O2547" s="74">
        <v>4.5999999999999996</v>
      </c>
      <c r="P2547" s="50">
        <v>6.68</v>
      </c>
      <c r="Q2547" s="74">
        <v>6.89</v>
      </c>
      <c r="R2547" s="50">
        <v>109</v>
      </c>
      <c r="S2547" s="74">
        <v>150</v>
      </c>
      <c r="T2547" s="50">
        <v>0.54</v>
      </c>
      <c r="U2547" s="131">
        <v>1.63</v>
      </c>
      <c r="V2547" s="50">
        <v>0.2</v>
      </c>
      <c r="W2547" s="74">
        <v>5.8000000000000003E-2</v>
      </c>
      <c r="X2547" s="50">
        <v>0.29399999999999998</v>
      </c>
      <c r="Y2547" s="74">
        <v>4.3999999999999997E-2</v>
      </c>
      <c r="Z2547" s="165">
        <v>1</v>
      </c>
      <c r="AA2547" s="271">
        <v>1</v>
      </c>
      <c r="AB2547" s="114">
        <v>20</v>
      </c>
      <c r="AC2547" s="50">
        <v>102</v>
      </c>
      <c r="AD2547" s="271">
        <v>1</v>
      </c>
    </row>
    <row r="2548" spans="1:30" ht="15" customHeight="1">
      <c r="A2548" s="41" t="s">
        <v>183</v>
      </c>
      <c r="B2548" s="402" t="s">
        <v>1068</v>
      </c>
      <c r="C2548" s="113" t="s">
        <v>1068</v>
      </c>
      <c r="D2548" s="393" t="s">
        <v>111</v>
      </c>
      <c r="F2548" s="402" t="s">
        <v>1069</v>
      </c>
      <c r="G2548" s="405" t="s">
        <v>1070</v>
      </c>
      <c r="H2548" s="74">
        <v>3357</v>
      </c>
      <c r="I2548" s="50" t="s">
        <v>2</v>
      </c>
      <c r="J2548" s="339" t="s">
        <v>700</v>
      </c>
      <c r="K2548" s="51">
        <v>41494</v>
      </c>
      <c r="L2548" s="173">
        <v>41487</v>
      </c>
      <c r="M2548" s="50">
        <f t="shared" si="146"/>
        <v>7</v>
      </c>
      <c r="N2548" s="50" t="s">
        <v>2</v>
      </c>
      <c r="O2548" s="74">
        <f>1.7/2</f>
        <v>0.85</v>
      </c>
      <c r="P2548" s="50">
        <v>5.8</v>
      </c>
      <c r="Q2548" s="74">
        <v>5.5</v>
      </c>
      <c r="R2548" s="50">
        <v>68</v>
      </c>
      <c r="S2548" s="74">
        <v>6.3</v>
      </c>
      <c r="T2548" s="50">
        <v>9.6000000000000002E-2</v>
      </c>
      <c r="U2548" s="131">
        <v>2.7</v>
      </c>
      <c r="V2548" s="50">
        <v>1.88</v>
      </c>
      <c r="W2548" s="74">
        <v>5.2999999999999999E-2</v>
      </c>
      <c r="X2548" s="50">
        <v>0.27500000000000002</v>
      </c>
      <c r="Y2548" s="74">
        <v>8.8000000000000005E-3</v>
      </c>
      <c r="Z2548" s="165">
        <v>1</v>
      </c>
      <c r="AA2548" s="271">
        <v>0.35399999999999998</v>
      </c>
      <c r="AB2548" s="114">
        <v>22</v>
      </c>
      <c r="AC2548" s="50">
        <v>50</v>
      </c>
      <c r="AD2548" s="271">
        <v>0</v>
      </c>
    </row>
    <row r="2549" spans="1:30" ht="15" customHeight="1">
      <c r="A2549" s="41" t="s">
        <v>183</v>
      </c>
      <c r="B2549" s="386" t="s">
        <v>5619</v>
      </c>
      <c r="C2549" s="149" t="s">
        <v>77</v>
      </c>
      <c r="D2549" s="393" t="s">
        <v>78</v>
      </c>
      <c r="E2549" s="258" t="s">
        <v>79</v>
      </c>
      <c r="G2549" s="405" t="s">
        <v>80</v>
      </c>
      <c r="H2549" s="74">
        <v>3479</v>
      </c>
      <c r="I2549" s="50" t="s">
        <v>2</v>
      </c>
      <c r="J2549" s="61" t="s">
        <v>81</v>
      </c>
      <c r="K2549" s="51">
        <v>41487</v>
      </c>
      <c r="L2549" s="173">
        <v>41481</v>
      </c>
      <c r="M2549" s="50">
        <f t="shared" si="146"/>
        <v>6</v>
      </c>
      <c r="N2549" s="50" t="s">
        <v>2</v>
      </c>
      <c r="O2549" s="74">
        <f>1/2</f>
        <v>0.5</v>
      </c>
      <c r="P2549" s="50">
        <v>5.7</v>
      </c>
      <c r="Q2549" s="74">
        <v>4.57</v>
      </c>
      <c r="R2549" s="50">
        <v>66.3</v>
      </c>
      <c r="S2549" s="74">
        <f>1/2</f>
        <v>0.5</v>
      </c>
      <c r="T2549" s="50">
        <f>0.05/2</f>
        <v>2.5000000000000001E-2</v>
      </c>
      <c r="U2549" s="131">
        <v>2.4300000000000002</v>
      </c>
      <c r="V2549" s="50">
        <v>2.75</v>
      </c>
      <c r="W2549" s="74">
        <v>0.114</v>
      </c>
      <c r="X2549" s="50">
        <v>1.419</v>
      </c>
      <c r="Y2549" s="74">
        <v>5.0000000000000001E-3</v>
      </c>
      <c r="Z2549" s="165"/>
    </row>
    <row r="2550" spans="1:30" ht="15" customHeight="1">
      <c r="A2550" s="41" t="s">
        <v>183</v>
      </c>
      <c r="B2550" s="402" t="s">
        <v>935</v>
      </c>
      <c r="D2550" s="393" t="s">
        <v>861</v>
      </c>
      <c r="E2550" s="394" t="s">
        <v>517</v>
      </c>
      <c r="G2550" s="405" t="s">
        <v>5374</v>
      </c>
      <c r="H2550" s="74">
        <v>3569</v>
      </c>
      <c r="I2550" s="50" t="s">
        <v>2</v>
      </c>
      <c r="J2550" s="339" t="s">
        <v>81</v>
      </c>
      <c r="K2550" s="51">
        <v>41512</v>
      </c>
      <c r="L2550" s="173"/>
      <c r="M2550" s="173" t="s">
        <v>5375</v>
      </c>
      <c r="N2550" s="50" t="s">
        <v>2</v>
      </c>
      <c r="O2550" s="74">
        <f>1/2</f>
        <v>0.5</v>
      </c>
      <c r="P2550" s="50">
        <v>6.54</v>
      </c>
      <c r="Q2550" s="74">
        <v>6.56</v>
      </c>
      <c r="R2550" s="50">
        <v>28</v>
      </c>
      <c r="S2550" s="74">
        <v>22</v>
      </c>
      <c r="T2550" s="50">
        <v>0.23</v>
      </c>
      <c r="U2550" s="131">
        <v>2.4500000000000002</v>
      </c>
      <c r="V2550" s="50">
        <f>0.05/2</f>
        <v>2.5000000000000001E-2</v>
      </c>
      <c r="W2550" s="74">
        <v>0.1</v>
      </c>
      <c r="X2550" s="50">
        <v>0.38</v>
      </c>
      <c r="Y2550" s="74">
        <f>0.05/2</f>
        <v>2.5000000000000001E-2</v>
      </c>
      <c r="Z2550" s="165">
        <v>1</v>
      </c>
      <c r="AA2550" s="271">
        <v>1</v>
      </c>
      <c r="AB2550" s="114">
        <v>600</v>
      </c>
      <c r="AC2550" s="50">
        <v>177</v>
      </c>
      <c r="AD2550" s="271">
        <v>1</v>
      </c>
    </row>
    <row r="2551" spans="1:30" ht="15" customHeight="1">
      <c r="A2551" s="41" t="s">
        <v>183</v>
      </c>
      <c r="B2551" s="402" t="s">
        <v>935</v>
      </c>
      <c r="D2551" s="393" t="s">
        <v>861</v>
      </c>
      <c r="E2551" s="394" t="s">
        <v>517</v>
      </c>
      <c r="G2551" s="405" t="s">
        <v>5374</v>
      </c>
      <c r="H2551" s="74">
        <v>3569</v>
      </c>
      <c r="I2551" s="50" t="s">
        <v>2</v>
      </c>
      <c r="J2551" s="339" t="s">
        <v>924</v>
      </c>
      <c r="K2551" s="51">
        <v>41512</v>
      </c>
      <c r="L2551" s="173"/>
      <c r="M2551" s="50" t="s">
        <v>5375</v>
      </c>
      <c r="N2551" s="50" t="s">
        <v>2</v>
      </c>
      <c r="O2551" s="74">
        <f>1/2</f>
        <v>0.5</v>
      </c>
      <c r="P2551" s="50">
        <v>6.45</v>
      </c>
      <c r="Q2551" s="74">
        <v>6.38</v>
      </c>
      <c r="R2551" s="50">
        <v>24</v>
      </c>
      <c r="S2551" s="74">
        <v>14</v>
      </c>
      <c r="T2551" s="50">
        <v>0.15</v>
      </c>
      <c r="U2551" s="131">
        <v>1.33</v>
      </c>
      <c r="V2551" s="50">
        <v>0.4</v>
      </c>
      <c r="W2551" s="74">
        <v>7.0000000000000007E-2</v>
      </c>
      <c r="X2551" s="50">
        <v>0.32</v>
      </c>
      <c r="Y2551" s="74">
        <f>0.05/2</f>
        <v>2.5000000000000001E-2</v>
      </c>
      <c r="Z2551" s="165">
        <v>1</v>
      </c>
      <c r="AA2551" s="271">
        <v>0.79400000000000004</v>
      </c>
      <c r="AB2551" s="114">
        <v>30</v>
      </c>
      <c r="AC2551" s="50">
        <v>64</v>
      </c>
      <c r="AD2551" s="271">
        <v>0.25</v>
      </c>
    </row>
    <row r="2552" spans="1:30" ht="15" customHeight="1">
      <c r="A2552" s="41" t="s">
        <v>183</v>
      </c>
      <c r="B2552" s="402" t="s">
        <v>935</v>
      </c>
      <c r="D2552" s="393" t="s">
        <v>861</v>
      </c>
      <c r="E2552" s="394" t="s">
        <v>517</v>
      </c>
      <c r="G2552" s="405" t="s">
        <v>5374</v>
      </c>
      <c r="H2552" s="74">
        <v>3569</v>
      </c>
      <c r="I2552" s="50" t="s">
        <v>2</v>
      </c>
      <c r="J2552" s="339" t="s">
        <v>696</v>
      </c>
      <c r="K2552" s="51">
        <v>41512</v>
      </c>
      <c r="L2552" s="173"/>
      <c r="M2552" s="50" t="s">
        <v>5375</v>
      </c>
      <c r="N2552" s="50" t="s">
        <v>2</v>
      </c>
      <c r="O2552" s="74">
        <f>1/2</f>
        <v>0.5</v>
      </c>
      <c r="P2552" s="50">
        <v>6.34</v>
      </c>
      <c r="Q2552" s="74">
        <v>6.25</v>
      </c>
      <c r="R2552" s="50">
        <v>63</v>
      </c>
      <c r="S2552" s="74">
        <v>3</v>
      </c>
      <c r="T2552" s="50">
        <v>0.33</v>
      </c>
      <c r="U2552" s="131">
        <v>8.9700000000000006</v>
      </c>
      <c r="V2552" s="50">
        <v>1.73</v>
      </c>
      <c r="W2552" s="74">
        <v>0.16</v>
      </c>
      <c r="X2552" s="50">
        <v>3.09</v>
      </c>
      <c r="Y2552" s="74">
        <f>0.05/2</f>
        <v>2.5000000000000001E-2</v>
      </c>
      <c r="Z2552" s="165">
        <v>0.48099999999999998</v>
      </c>
      <c r="AA2552" s="271">
        <v>0.16500000000000001</v>
      </c>
      <c r="AB2552" s="114">
        <v>30</v>
      </c>
      <c r="AC2552" s="50">
        <v>114</v>
      </c>
      <c r="AD2552" s="271">
        <v>0</v>
      </c>
    </row>
    <row r="2553" spans="1:30" ht="15" customHeight="1">
      <c r="A2553" s="41" t="s">
        <v>183</v>
      </c>
      <c r="B2553" s="402" t="s">
        <v>2040</v>
      </c>
      <c r="C2553" s="113" t="s">
        <v>2040</v>
      </c>
      <c r="D2553" s="393" t="s">
        <v>314</v>
      </c>
      <c r="E2553" s="394" t="s">
        <v>2019</v>
      </c>
      <c r="G2553" s="405" t="s">
        <v>2041</v>
      </c>
      <c r="H2553" s="74">
        <v>3479</v>
      </c>
      <c r="I2553" s="50" t="s">
        <v>1</v>
      </c>
      <c r="J2553" s="339" t="s">
        <v>641</v>
      </c>
      <c r="K2553" s="51">
        <v>41495</v>
      </c>
      <c r="L2553" s="173">
        <v>41490</v>
      </c>
      <c r="M2553" s="50">
        <f>K2553-L2553</f>
        <v>5</v>
      </c>
      <c r="N2553" s="50" t="s">
        <v>2</v>
      </c>
      <c r="O2553" s="74">
        <f>1.4/2</f>
        <v>0.7</v>
      </c>
      <c r="P2553" s="50">
        <v>6.96</v>
      </c>
      <c r="Q2553" s="74">
        <v>6.86</v>
      </c>
      <c r="R2553" s="50">
        <v>30</v>
      </c>
      <c r="S2553" s="74">
        <v>6</v>
      </c>
      <c r="T2553" s="50">
        <v>0.12</v>
      </c>
      <c r="U2553" s="131">
        <v>0.99</v>
      </c>
      <c r="V2553" s="50">
        <v>0.26</v>
      </c>
      <c r="W2553" s="74">
        <v>0.01</v>
      </c>
      <c r="X2553" s="50">
        <v>6.3E-2</v>
      </c>
      <c r="Y2553" s="74">
        <v>3.0000000000000001E-3</v>
      </c>
      <c r="Z2553" s="165"/>
    </row>
    <row r="2554" spans="1:30" ht="15" customHeight="1">
      <c r="A2554" s="41" t="s">
        <v>183</v>
      </c>
      <c r="B2554" s="402" t="s">
        <v>2288</v>
      </c>
      <c r="C2554" s="113" t="s">
        <v>2288</v>
      </c>
      <c r="D2554" s="393" t="s">
        <v>2379</v>
      </c>
      <c r="E2554" s="394" t="s">
        <v>5333</v>
      </c>
      <c r="G2554" s="405" t="s">
        <v>2290</v>
      </c>
      <c r="H2554" s="74">
        <v>3841</v>
      </c>
      <c r="I2554" s="50" t="s">
        <v>2</v>
      </c>
      <c r="J2554" s="339" t="s">
        <v>5376</v>
      </c>
      <c r="K2554" s="51">
        <v>41487</v>
      </c>
      <c r="L2554" s="173">
        <v>41481</v>
      </c>
      <c r="M2554" s="50">
        <f t="shared" ref="M2554:M2562" si="147">K2554-L2554</f>
        <v>6</v>
      </c>
      <c r="N2554" s="50" t="s">
        <v>2</v>
      </c>
      <c r="O2554" s="74">
        <f>1.4/2</f>
        <v>0.7</v>
      </c>
      <c r="P2554" s="50">
        <v>6.9</v>
      </c>
      <c r="Q2554" s="74">
        <v>7.9</v>
      </c>
      <c r="R2554" s="50">
        <v>134</v>
      </c>
      <c r="S2554" s="74">
        <v>12</v>
      </c>
      <c r="T2554" s="50">
        <v>0.1</v>
      </c>
      <c r="U2554" s="131">
        <v>1.77</v>
      </c>
      <c r="V2554" s="50">
        <v>0.76</v>
      </c>
      <c r="W2554" s="74">
        <v>1.7000000000000001E-2</v>
      </c>
      <c r="X2554" s="50">
        <v>0.25</v>
      </c>
      <c r="Y2554" s="74">
        <v>3.0000000000000001E-3</v>
      </c>
      <c r="Z2554" s="165"/>
    </row>
    <row r="2555" spans="1:30" ht="15" customHeight="1">
      <c r="A2555" s="41" t="s">
        <v>183</v>
      </c>
      <c r="B2555" s="402" t="s">
        <v>2288</v>
      </c>
      <c r="C2555" s="113" t="s">
        <v>2288</v>
      </c>
      <c r="D2555" s="393" t="s">
        <v>2379</v>
      </c>
      <c r="E2555" s="394" t="s">
        <v>5333</v>
      </c>
      <c r="G2555" s="405" t="s">
        <v>2290</v>
      </c>
      <c r="H2555" s="74">
        <v>3841</v>
      </c>
      <c r="I2555" s="50" t="s">
        <v>2</v>
      </c>
      <c r="J2555" s="339" t="s">
        <v>4315</v>
      </c>
      <c r="K2555" s="51">
        <v>41487</v>
      </c>
      <c r="L2555" s="173">
        <v>41481</v>
      </c>
      <c r="M2555" s="50">
        <f t="shared" si="147"/>
        <v>6</v>
      </c>
      <c r="N2555" s="50" t="s">
        <v>2</v>
      </c>
      <c r="O2555" s="74">
        <v>1.7</v>
      </c>
      <c r="P2555" s="50">
        <v>6.9</v>
      </c>
      <c r="Q2555" s="74">
        <v>7.9</v>
      </c>
      <c r="R2555" s="50">
        <v>174</v>
      </c>
      <c r="S2555" s="74">
        <v>140</v>
      </c>
      <c r="T2555" s="50">
        <v>0.2</v>
      </c>
      <c r="U2555" s="131">
        <v>2.4</v>
      </c>
      <c r="V2555" s="50">
        <v>0.66</v>
      </c>
      <c r="W2555" s="74">
        <v>2.5999999999999999E-2</v>
      </c>
      <c r="X2555" s="50">
        <v>0.67200000000000004</v>
      </c>
      <c r="Y2555" s="74">
        <v>2.1000000000000001E-2</v>
      </c>
      <c r="Z2555" s="165"/>
    </row>
    <row r="2556" spans="1:30" ht="15" customHeight="1">
      <c r="A2556" s="41" t="s">
        <v>183</v>
      </c>
      <c r="B2556" s="402" t="s">
        <v>5364</v>
      </c>
      <c r="C2556" s="113" t="s">
        <v>5364</v>
      </c>
      <c r="D2556" s="393" t="s">
        <v>443</v>
      </c>
      <c r="E2556" s="394" t="s">
        <v>5365</v>
      </c>
      <c r="G2556" s="405" t="s">
        <v>5366</v>
      </c>
      <c r="H2556" s="74">
        <v>3442</v>
      </c>
      <c r="J2556" s="339" t="s">
        <v>5377</v>
      </c>
      <c r="K2556" s="51">
        <v>41499</v>
      </c>
      <c r="L2556" s="173">
        <v>41495</v>
      </c>
      <c r="M2556" s="50">
        <f t="shared" si="147"/>
        <v>4</v>
      </c>
      <c r="N2556" s="50" t="s">
        <v>2</v>
      </c>
      <c r="O2556" s="74">
        <f>5/2</f>
        <v>2.5</v>
      </c>
      <c r="P2556" s="50">
        <v>4.76</v>
      </c>
      <c r="Q2556" s="74">
        <v>6.39</v>
      </c>
      <c r="R2556" s="50">
        <v>6</v>
      </c>
      <c r="S2556" s="74">
        <f>1/2</f>
        <v>0.5</v>
      </c>
      <c r="T2556" s="50">
        <v>0.09</v>
      </c>
      <c r="U2556" s="131">
        <v>0.82</v>
      </c>
      <c r="V2556" s="50">
        <v>0.99</v>
      </c>
      <c r="W2556" s="74">
        <v>5.0000000000000001E-3</v>
      </c>
      <c r="X2556" s="50">
        <v>0.15</v>
      </c>
      <c r="Y2556" s="74">
        <f>0.001/2</f>
        <v>5.0000000000000001E-4</v>
      </c>
      <c r="Z2556" s="165">
        <v>1</v>
      </c>
      <c r="AA2556" s="271">
        <v>0.70699999999999996</v>
      </c>
      <c r="AB2556" s="114">
        <v>4.97</v>
      </c>
      <c r="AC2556" s="50">
        <v>38.5</v>
      </c>
      <c r="AD2556" s="271">
        <v>0.05</v>
      </c>
    </row>
    <row r="2557" spans="1:30" ht="15" customHeight="1">
      <c r="A2557" s="41" t="s">
        <v>183</v>
      </c>
      <c r="B2557" s="402" t="s">
        <v>5007</v>
      </c>
      <c r="C2557" s="113" t="s">
        <v>1338</v>
      </c>
      <c r="D2557" s="393" t="s">
        <v>213</v>
      </c>
      <c r="E2557" s="394" t="s">
        <v>1339</v>
      </c>
      <c r="G2557" s="405" t="s">
        <v>1340</v>
      </c>
      <c r="H2557" s="74">
        <v>3724</v>
      </c>
      <c r="I2557" s="50" t="s">
        <v>2</v>
      </c>
      <c r="J2557" s="339" t="s">
        <v>5008</v>
      </c>
      <c r="K2557" s="51">
        <v>41170</v>
      </c>
      <c r="L2557" s="173">
        <v>41160</v>
      </c>
      <c r="M2557" s="50">
        <f t="shared" si="147"/>
        <v>10</v>
      </c>
      <c r="N2557" s="50" t="s">
        <v>2</v>
      </c>
      <c r="O2557" s="74">
        <f>1.6/2</f>
        <v>0.8</v>
      </c>
      <c r="P2557" s="50">
        <v>5.3</v>
      </c>
      <c r="Q2557" s="74">
        <v>4.5</v>
      </c>
      <c r="R2557" s="50">
        <v>57</v>
      </c>
      <c r="S2557" s="74">
        <v>72</v>
      </c>
      <c r="T2557" s="50">
        <v>0.16300000000000001</v>
      </c>
      <c r="U2557" s="131">
        <v>2.9</v>
      </c>
      <c r="V2557" s="50">
        <v>1.67</v>
      </c>
      <c r="W2557" s="74">
        <v>3.4000000000000002E-2</v>
      </c>
      <c r="X2557" s="50">
        <v>0.77100000000000002</v>
      </c>
      <c r="Y2557" s="74">
        <v>5.8799999999999998E-2</v>
      </c>
      <c r="Z2557" s="165">
        <v>0.36699999999999999</v>
      </c>
      <c r="AA2557" s="271">
        <v>0.33700000000000002</v>
      </c>
      <c r="AB2557" s="114">
        <v>10</v>
      </c>
      <c r="AC2557" s="50">
        <v>67</v>
      </c>
      <c r="AD2557" s="271">
        <v>0</v>
      </c>
    </row>
    <row r="2558" spans="1:30" ht="15" customHeight="1">
      <c r="A2558" s="41" t="s">
        <v>183</v>
      </c>
      <c r="B2558" s="402" t="s">
        <v>5007</v>
      </c>
      <c r="C2558" s="113" t="s">
        <v>1338</v>
      </c>
      <c r="D2558" s="393" t="s">
        <v>213</v>
      </c>
      <c r="E2558" s="394" t="s">
        <v>1339</v>
      </c>
      <c r="G2558" s="405" t="s">
        <v>1340</v>
      </c>
      <c r="H2558" s="74">
        <v>3724</v>
      </c>
      <c r="I2558" s="50" t="s">
        <v>2</v>
      </c>
      <c r="J2558" s="339" t="s">
        <v>5009</v>
      </c>
      <c r="K2558" s="51">
        <v>41170</v>
      </c>
      <c r="L2558" s="173">
        <v>41160</v>
      </c>
      <c r="M2558" s="50">
        <f t="shared" si="147"/>
        <v>10</v>
      </c>
      <c r="N2558" s="50" t="s">
        <v>2</v>
      </c>
      <c r="O2558" s="74">
        <f>1.8/2</f>
        <v>0.9</v>
      </c>
      <c r="P2558" s="50">
        <v>5.3</v>
      </c>
      <c r="Q2558" s="74">
        <v>6.6</v>
      </c>
      <c r="R2558" s="50">
        <v>100</v>
      </c>
      <c r="S2558" s="74">
        <v>144</v>
      </c>
      <c r="T2558" s="50">
        <v>0.42799999999999999</v>
      </c>
      <c r="U2558" s="131">
        <v>2.8</v>
      </c>
      <c r="V2558" s="50">
        <v>1.43</v>
      </c>
      <c r="W2558" s="74">
        <v>6.2E-2</v>
      </c>
      <c r="X2558" s="50">
        <v>0.26300000000000001</v>
      </c>
      <c r="Y2558" s="74">
        <v>2.4400000000000002E-2</v>
      </c>
      <c r="Z2558" s="165">
        <v>1</v>
      </c>
      <c r="AA2558" s="271">
        <v>0.72799999999999998</v>
      </c>
      <c r="AB2558" s="114">
        <v>12</v>
      </c>
      <c r="AC2558" s="50">
        <v>86</v>
      </c>
      <c r="AD2558" s="271">
        <v>0.1</v>
      </c>
    </row>
    <row r="2559" spans="1:30" ht="15" customHeight="1">
      <c r="A2559" s="41" t="s">
        <v>183</v>
      </c>
      <c r="B2559" s="386" t="s">
        <v>76</v>
      </c>
      <c r="C2559" s="149" t="s">
        <v>77</v>
      </c>
      <c r="D2559" s="393" t="s">
        <v>78</v>
      </c>
      <c r="E2559" s="258" t="s">
        <v>79</v>
      </c>
      <c r="G2559" s="405" t="s">
        <v>80</v>
      </c>
      <c r="H2559" s="74">
        <v>3479</v>
      </c>
      <c r="I2559" s="50" t="s">
        <v>2</v>
      </c>
      <c r="J2559" s="61" t="s">
        <v>81</v>
      </c>
      <c r="K2559" s="51">
        <v>41148</v>
      </c>
      <c r="L2559" s="173">
        <v>41139</v>
      </c>
      <c r="M2559" s="50">
        <f t="shared" si="147"/>
        <v>9</v>
      </c>
      <c r="N2559" s="50" t="s">
        <v>2</v>
      </c>
      <c r="O2559" s="74">
        <f>1/2</f>
        <v>0.5</v>
      </c>
      <c r="P2559" s="50">
        <v>6.9</v>
      </c>
      <c r="Q2559" s="74">
        <v>4.32</v>
      </c>
      <c r="R2559" s="50">
        <v>71.3</v>
      </c>
      <c r="S2559" s="74">
        <v>51</v>
      </c>
      <c r="T2559" s="50">
        <v>0.16</v>
      </c>
      <c r="U2559" s="131">
        <v>1.93</v>
      </c>
      <c r="V2559" s="50">
        <v>0.84</v>
      </c>
      <c r="W2559" s="74">
        <v>4.5999999999999999E-2</v>
      </c>
      <c r="X2559" s="50">
        <v>0.97899999999999998</v>
      </c>
      <c r="Y2559" s="74">
        <v>1.2999999999999999E-2</v>
      </c>
      <c r="Z2559" s="165"/>
    </row>
    <row r="2560" spans="1:30" ht="15" customHeight="1">
      <c r="A2560" s="41" t="s">
        <v>183</v>
      </c>
      <c r="B2560" s="402" t="s">
        <v>4994</v>
      </c>
      <c r="C2560" s="113" t="s">
        <v>1945</v>
      </c>
      <c r="D2560" s="393" t="s">
        <v>372</v>
      </c>
      <c r="E2560" s="394" t="s">
        <v>1946</v>
      </c>
      <c r="G2560" s="405" t="s">
        <v>1947</v>
      </c>
      <c r="H2560" s="74">
        <v>3465</v>
      </c>
      <c r="J2560" s="339" t="s">
        <v>1434</v>
      </c>
      <c r="K2560" s="51">
        <v>41170</v>
      </c>
      <c r="L2560" s="173">
        <v>41160</v>
      </c>
      <c r="M2560" s="50">
        <f t="shared" si="147"/>
        <v>10</v>
      </c>
      <c r="N2560" s="50" t="s">
        <v>2</v>
      </c>
      <c r="O2560" s="74">
        <v>1.8</v>
      </c>
      <c r="P2560" s="50">
        <v>7.06</v>
      </c>
      <c r="Q2560" s="74">
        <v>3.77</v>
      </c>
      <c r="R2560" s="50">
        <v>62</v>
      </c>
      <c r="S2560" s="74">
        <v>28</v>
      </c>
      <c r="T2560" s="50">
        <v>0.11</v>
      </c>
      <c r="U2560" s="131">
        <v>3.03</v>
      </c>
      <c r="V2560" s="50">
        <v>1.67</v>
      </c>
      <c r="W2560" s="74">
        <v>1.4999999999999999E-2</v>
      </c>
      <c r="X2560" s="50">
        <v>1.01</v>
      </c>
      <c r="Y2560" s="74">
        <v>5.0000000000000001E-3</v>
      </c>
      <c r="Z2560" s="165">
        <v>0.44400000000000001</v>
      </c>
      <c r="AA2560" s="271">
        <v>0.246</v>
      </c>
      <c r="AB2560" s="114">
        <v>10</v>
      </c>
      <c r="AC2560" s="50">
        <v>153</v>
      </c>
      <c r="AD2560" s="271">
        <v>0</v>
      </c>
    </row>
    <row r="2561" spans="1:30" ht="15" customHeight="1">
      <c r="A2561" s="41" t="s">
        <v>183</v>
      </c>
      <c r="B2561" s="402" t="s">
        <v>4994</v>
      </c>
      <c r="C2561" s="113" t="s">
        <v>1945</v>
      </c>
      <c r="D2561" s="393" t="s">
        <v>372</v>
      </c>
      <c r="E2561" s="394" t="s">
        <v>1946</v>
      </c>
      <c r="G2561" s="405" t="s">
        <v>1947</v>
      </c>
      <c r="H2561" s="74">
        <v>3465</v>
      </c>
      <c r="J2561" s="339" t="s">
        <v>3702</v>
      </c>
      <c r="K2561" s="51">
        <v>41170</v>
      </c>
      <c r="L2561" s="173">
        <v>41160</v>
      </c>
      <c r="M2561" s="50">
        <f t="shared" si="147"/>
        <v>10</v>
      </c>
      <c r="N2561" s="50" t="s">
        <v>2</v>
      </c>
      <c r="O2561" s="74">
        <f>1.4/2</f>
        <v>0.7</v>
      </c>
      <c r="P2561" s="50">
        <v>7.06</v>
      </c>
      <c r="Q2561" s="74">
        <v>3.24</v>
      </c>
      <c r="R2561" s="50">
        <v>45</v>
      </c>
      <c r="S2561" s="74">
        <v>38</v>
      </c>
      <c r="T2561" s="50">
        <v>0.11</v>
      </c>
      <c r="U2561" s="131">
        <v>2.93</v>
      </c>
      <c r="V2561" s="50">
        <v>2.34</v>
      </c>
      <c r="W2561" s="74">
        <v>1.7000000000000001E-2</v>
      </c>
      <c r="X2561" s="50">
        <v>9.2999999999999999E-2</v>
      </c>
      <c r="Y2561" s="74">
        <v>3.0000000000000001E-3</v>
      </c>
      <c r="Z2561" s="165">
        <v>1</v>
      </c>
      <c r="AA2561" s="271">
        <v>1</v>
      </c>
      <c r="AB2561" s="114">
        <v>14</v>
      </c>
      <c r="AC2561" s="50">
        <v>50</v>
      </c>
      <c r="AD2561" s="271">
        <v>0.85</v>
      </c>
    </row>
    <row r="2562" spans="1:30" ht="15" customHeight="1">
      <c r="A2562" s="41" t="s">
        <v>183</v>
      </c>
      <c r="B2562" s="402" t="s">
        <v>1050</v>
      </c>
      <c r="C2562" s="113" t="s">
        <v>1050</v>
      </c>
      <c r="D2562" s="393" t="s">
        <v>1217</v>
      </c>
      <c r="F2562" s="402" t="s">
        <v>1051</v>
      </c>
      <c r="G2562" s="405" t="s">
        <v>1052</v>
      </c>
      <c r="H2562" s="74">
        <v>3724</v>
      </c>
      <c r="I2562" s="50" t="s">
        <v>2</v>
      </c>
      <c r="J2562" s="339" t="s">
        <v>1053</v>
      </c>
      <c r="K2562" s="51">
        <v>41136</v>
      </c>
      <c r="L2562" s="173">
        <v>41131</v>
      </c>
      <c r="M2562" s="50">
        <f t="shared" si="147"/>
        <v>5</v>
      </c>
      <c r="N2562" s="50" t="s">
        <v>2</v>
      </c>
      <c r="O2562" s="74">
        <f>2/2</f>
        <v>1</v>
      </c>
      <c r="P2562" s="50">
        <v>7.67</v>
      </c>
      <c r="Q2562" s="74">
        <v>7.31</v>
      </c>
      <c r="R2562" s="50">
        <f>20/2</f>
        <v>10</v>
      </c>
      <c r="S2562" s="74">
        <v>11.2</v>
      </c>
      <c r="T2562" s="50">
        <v>3.7999999999999999E-2</v>
      </c>
      <c r="U2562" s="131">
        <f>1/2</f>
        <v>0.5</v>
      </c>
      <c r="V2562" s="50">
        <f>0.46/2</f>
        <v>0.23</v>
      </c>
      <c r="W2562" s="74">
        <f>0.005/2</f>
        <v>2.5000000000000001E-3</v>
      </c>
      <c r="X2562" s="50">
        <v>3.5000000000000003E-2</v>
      </c>
      <c r="Y2562" s="74">
        <f>0.005/2</f>
        <v>2.5000000000000001E-3</v>
      </c>
      <c r="Z2562" s="165">
        <v>1</v>
      </c>
      <c r="AA2562" s="271">
        <v>1</v>
      </c>
      <c r="AB2562" s="114">
        <v>2</v>
      </c>
      <c r="AC2562" s="50">
        <v>8</v>
      </c>
      <c r="AD2562" s="271">
        <v>0.85</v>
      </c>
    </row>
    <row r="2563" spans="1:30" ht="15" customHeight="1">
      <c r="A2563" s="41" t="s">
        <v>183</v>
      </c>
      <c r="B2563" s="402" t="s">
        <v>5378</v>
      </c>
      <c r="C2563" s="113" t="s">
        <v>5378</v>
      </c>
      <c r="D2563" s="393" t="s">
        <v>78</v>
      </c>
      <c r="G2563" s="405" t="s">
        <v>5379</v>
      </c>
      <c r="H2563" s="74">
        <v>3484</v>
      </c>
      <c r="I2563" s="50" t="s">
        <v>2</v>
      </c>
      <c r="J2563" s="339"/>
      <c r="K2563" s="51">
        <v>41157</v>
      </c>
      <c r="L2563" s="173"/>
      <c r="N2563" s="50" t="s">
        <v>2</v>
      </c>
      <c r="O2563" s="74">
        <f>5/2</f>
        <v>2.5</v>
      </c>
      <c r="P2563" s="50">
        <v>4.4000000000000004</v>
      </c>
      <c r="Q2563" s="74">
        <v>6.83</v>
      </c>
      <c r="R2563" s="50">
        <v>61</v>
      </c>
      <c r="S2563" s="74">
        <v>75</v>
      </c>
      <c r="T2563" s="50">
        <f>0.1/2</f>
        <v>0.05</v>
      </c>
      <c r="U2563" s="131">
        <f>1/2</f>
        <v>0.5</v>
      </c>
      <c r="V2563" s="50">
        <v>0.49</v>
      </c>
      <c r="W2563" s="74">
        <v>7.0000000000000007E-2</v>
      </c>
      <c r="X2563" s="50">
        <v>0.11</v>
      </c>
      <c r="Y2563" s="74">
        <v>1.4E-2</v>
      </c>
      <c r="Z2563" s="165">
        <v>1</v>
      </c>
      <c r="AA2563" s="271">
        <v>1</v>
      </c>
      <c r="AB2563" s="114">
        <v>39</v>
      </c>
      <c r="AC2563" s="50">
        <v>115</v>
      </c>
      <c r="AD2563" s="271">
        <v>1</v>
      </c>
    </row>
    <row r="2564" spans="1:30" ht="15" customHeight="1">
      <c r="A2564" s="41" t="s">
        <v>183</v>
      </c>
      <c r="B2564" s="402" t="s">
        <v>1068</v>
      </c>
      <c r="C2564" s="113" t="s">
        <v>1068</v>
      </c>
      <c r="D2564" s="393" t="s">
        <v>111</v>
      </c>
      <c r="E2564" s="394" t="s">
        <v>5373</v>
      </c>
      <c r="G2564" s="405" t="s">
        <v>1070</v>
      </c>
      <c r="H2564" s="74">
        <v>3357</v>
      </c>
      <c r="I2564" s="50" t="s">
        <v>2</v>
      </c>
      <c r="J2564" s="339" t="s">
        <v>700</v>
      </c>
      <c r="K2564" s="51">
        <v>41149</v>
      </c>
      <c r="L2564" s="173">
        <v>41139</v>
      </c>
      <c r="M2564" s="50">
        <f>K2564-L2564</f>
        <v>10</v>
      </c>
      <c r="N2564" s="50" t="s">
        <v>2</v>
      </c>
      <c r="O2564" s="74">
        <f>1.8/2</f>
        <v>0.9</v>
      </c>
      <c r="P2564" s="50">
        <v>6.71</v>
      </c>
      <c r="Q2564" s="74">
        <v>5.88</v>
      </c>
      <c r="R2564" s="50">
        <v>130</v>
      </c>
      <c r="S2564" s="74">
        <v>67</v>
      </c>
      <c r="T2564" s="50">
        <v>0.48299999999999998</v>
      </c>
      <c r="U2564" s="131">
        <v>3.1</v>
      </c>
      <c r="V2564" s="50">
        <v>1.31</v>
      </c>
      <c r="W2564" s="74">
        <v>6.4000000000000001E-2</v>
      </c>
      <c r="X2564" s="50">
        <v>0.439</v>
      </c>
      <c r="Y2564" s="74">
        <v>1.7000000000000001E-2</v>
      </c>
      <c r="Z2564" s="165">
        <v>0.65900000000000003</v>
      </c>
      <c r="AA2564" s="271">
        <v>0.35399999999999998</v>
      </c>
      <c r="AB2564" s="114">
        <v>12</v>
      </c>
      <c r="AC2564" s="50">
        <v>42</v>
      </c>
      <c r="AD2564" s="271">
        <v>0</v>
      </c>
    </row>
    <row r="2565" spans="1:30" ht="15" customHeight="1">
      <c r="A2565" s="41" t="s">
        <v>183</v>
      </c>
      <c r="B2565" s="402" t="s">
        <v>2040</v>
      </c>
      <c r="C2565" s="113" t="s">
        <v>2040</v>
      </c>
      <c r="D2565" s="393" t="s">
        <v>314</v>
      </c>
      <c r="E2565" s="394" t="s">
        <v>2019</v>
      </c>
      <c r="G2565" s="405" t="s">
        <v>2041</v>
      </c>
      <c r="H2565" s="74">
        <v>3479</v>
      </c>
      <c r="I2565" s="50" t="s">
        <v>1</v>
      </c>
      <c r="J2565" s="339" t="s">
        <v>641</v>
      </c>
      <c r="K2565" s="51">
        <v>41170</v>
      </c>
      <c r="L2565" s="173">
        <v>41167</v>
      </c>
      <c r="M2565" s="50">
        <f>K2565-L2565</f>
        <v>3</v>
      </c>
      <c r="N2565" s="50" t="s">
        <v>2</v>
      </c>
      <c r="O2565" s="74">
        <f>1.4/2</f>
        <v>0.7</v>
      </c>
      <c r="P2565" s="50">
        <v>4.41</v>
      </c>
      <c r="Q2565" s="74">
        <v>7.5</v>
      </c>
      <c r="R2565" s="50">
        <v>41</v>
      </c>
      <c r="S2565" s="74">
        <v>5</v>
      </c>
      <c r="T2565" s="50">
        <v>0.15</v>
      </c>
      <c r="U2565" s="131">
        <v>2.2400000000000002</v>
      </c>
      <c r="V2565" s="50">
        <v>0.28999999999999998</v>
      </c>
      <c r="W2565" s="74">
        <v>1.0999999999999999E-2</v>
      </c>
      <c r="X2565" s="50">
        <v>4.4999999999999998E-2</v>
      </c>
      <c r="Y2565" s="74">
        <f>0.002/2</f>
        <v>1E-3</v>
      </c>
      <c r="Z2565" s="165"/>
    </row>
    <row r="2566" spans="1:30" ht="15" customHeight="1">
      <c r="A2566" s="41" t="s">
        <v>183</v>
      </c>
      <c r="B2566" s="386" t="s">
        <v>546</v>
      </c>
      <c r="C2566" s="149" t="s">
        <v>547</v>
      </c>
      <c r="D2566" s="392" t="s">
        <v>548</v>
      </c>
      <c r="E2566" s="258" t="s">
        <v>549</v>
      </c>
      <c r="G2566" s="405" t="s">
        <v>550</v>
      </c>
      <c r="H2566" s="74">
        <v>4953</v>
      </c>
      <c r="I2566" s="50" t="s">
        <v>2</v>
      </c>
      <c r="J2566" s="339" t="s">
        <v>552</v>
      </c>
      <c r="K2566" s="51">
        <v>41126</v>
      </c>
      <c r="L2566" s="173"/>
      <c r="M2566" s="173" t="s">
        <v>5380</v>
      </c>
      <c r="N2566" s="50" t="s">
        <v>2</v>
      </c>
      <c r="O2566" s="74">
        <f>1.6/2</f>
        <v>0.8</v>
      </c>
      <c r="P2566" s="50">
        <v>5.4</v>
      </c>
      <c r="Q2566" s="74">
        <v>6.9</v>
      </c>
      <c r="R2566" s="50">
        <v>82</v>
      </c>
      <c r="S2566" s="74">
        <v>188</v>
      </c>
      <c r="T2566" s="50">
        <v>0.35499999999999998</v>
      </c>
      <c r="U2566" s="131">
        <v>5</v>
      </c>
      <c r="V2566" s="50">
        <v>0.85</v>
      </c>
      <c r="W2566" s="74">
        <v>1.7000000000000001E-2</v>
      </c>
      <c r="X2566" s="50">
        <v>7.0000000000000007E-2</v>
      </c>
      <c r="Y2566" s="74">
        <v>1.5900000000000001E-2</v>
      </c>
      <c r="Z2566" s="165"/>
    </row>
    <row r="2567" spans="1:30" ht="15" customHeight="1">
      <c r="A2567" s="41" t="s">
        <v>183</v>
      </c>
      <c r="B2567" s="386" t="s">
        <v>546</v>
      </c>
      <c r="C2567" s="149" t="s">
        <v>547</v>
      </c>
      <c r="D2567" s="392" t="s">
        <v>548</v>
      </c>
      <c r="E2567" s="258" t="s">
        <v>549</v>
      </c>
      <c r="G2567" s="405" t="s">
        <v>550</v>
      </c>
      <c r="H2567" s="74">
        <v>4953</v>
      </c>
      <c r="I2567" s="50" t="s">
        <v>2</v>
      </c>
      <c r="J2567" s="339" t="s">
        <v>553</v>
      </c>
      <c r="K2567" s="51">
        <v>41126</v>
      </c>
      <c r="L2567" s="173"/>
      <c r="M2567" s="50" t="s">
        <v>5380</v>
      </c>
      <c r="N2567" s="50" t="s">
        <v>2</v>
      </c>
      <c r="O2567" s="74">
        <f>1.6/2</f>
        <v>0.8</v>
      </c>
      <c r="P2567" s="50">
        <v>5.4</v>
      </c>
      <c r="Q2567" s="74">
        <v>6.5</v>
      </c>
      <c r="R2567" s="50">
        <v>44</v>
      </c>
      <c r="S2567" s="74">
        <v>79.599999999999994</v>
      </c>
      <c r="T2567" s="50">
        <v>0.253</v>
      </c>
      <c r="U2567" s="131">
        <v>1.2</v>
      </c>
      <c r="V2567" s="50">
        <f>0.46/2</f>
        <v>0.23</v>
      </c>
      <c r="W2567" s="74">
        <v>8.0000000000000002E-3</v>
      </c>
      <c r="X2567" s="50">
        <v>0.122</v>
      </c>
      <c r="Y2567" s="74">
        <v>1.06E-2</v>
      </c>
      <c r="Z2567" s="165"/>
    </row>
    <row r="2568" spans="1:30" ht="15" customHeight="1">
      <c r="A2568" s="41" t="s">
        <v>183</v>
      </c>
      <c r="B2568" s="386" t="s">
        <v>546</v>
      </c>
      <c r="C2568" s="149" t="s">
        <v>547</v>
      </c>
      <c r="D2568" s="392" t="s">
        <v>548</v>
      </c>
      <c r="E2568" s="258" t="s">
        <v>549</v>
      </c>
      <c r="G2568" s="405" t="s">
        <v>550</v>
      </c>
      <c r="H2568" s="74">
        <v>4953</v>
      </c>
      <c r="I2568" s="50" t="s">
        <v>2</v>
      </c>
      <c r="J2568" s="339" t="s">
        <v>551</v>
      </c>
      <c r="K2568" s="51">
        <v>41126</v>
      </c>
      <c r="L2568" s="173"/>
      <c r="M2568" s="50" t="s">
        <v>5380</v>
      </c>
      <c r="N2568" s="50" t="s">
        <v>2</v>
      </c>
      <c r="O2568" s="74">
        <f>1.6/2</f>
        <v>0.8</v>
      </c>
      <c r="P2568" s="50">
        <v>5.4</v>
      </c>
      <c r="Q2568" s="74">
        <v>5.9</v>
      </c>
      <c r="R2568" s="50">
        <v>28</v>
      </c>
      <c r="S2568" s="74">
        <v>113</v>
      </c>
      <c r="T2568" s="50">
        <v>8.5999999999999993E-2</v>
      </c>
      <c r="U2568" s="131">
        <v>1.2</v>
      </c>
      <c r="V2568" s="50">
        <f>0.46/2</f>
        <v>0.23</v>
      </c>
      <c r="W2568" s="74">
        <f>0.005/2</f>
        <v>2.5000000000000001E-3</v>
      </c>
      <c r="X2568" s="50">
        <v>2.8000000000000001E-2</v>
      </c>
      <c r="Y2568" s="74">
        <f>0.005/2</f>
        <v>2.5000000000000001E-3</v>
      </c>
      <c r="Z2568" s="165"/>
    </row>
    <row r="2569" spans="1:30" ht="15" customHeight="1">
      <c r="A2569" s="41" t="s">
        <v>183</v>
      </c>
      <c r="B2569" s="402" t="s">
        <v>2288</v>
      </c>
      <c r="C2569" s="113" t="s">
        <v>2288</v>
      </c>
      <c r="D2569" s="393" t="s">
        <v>2379</v>
      </c>
      <c r="E2569" s="394" t="s">
        <v>5333</v>
      </c>
      <c r="G2569" s="405" t="s">
        <v>2290</v>
      </c>
      <c r="H2569" s="113" t="s">
        <v>2291</v>
      </c>
      <c r="I2569" s="50" t="s">
        <v>2</v>
      </c>
      <c r="J2569" s="339" t="s">
        <v>4315</v>
      </c>
      <c r="K2569" s="51">
        <v>41149</v>
      </c>
      <c r="L2569" s="173">
        <v>41138</v>
      </c>
      <c r="M2569" s="50">
        <f t="shared" ref="M2569:M2601" si="148">K2569-L2569</f>
        <v>11</v>
      </c>
      <c r="N2569" s="50" t="s">
        <v>2</v>
      </c>
      <c r="O2569" s="74">
        <f>1.4/2</f>
        <v>0.7</v>
      </c>
      <c r="P2569" s="50">
        <v>6.45</v>
      </c>
      <c r="Q2569" s="74">
        <v>6.3</v>
      </c>
      <c r="R2569" s="50">
        <f>10/2</f>
        <v>5</v>
      </c>
      <c r="S2569" s="74">
        <f>5/2</f>
        <v>2.5</v>
      </c>
      <c r="T2569" s="50">
        <f>0.01/2</f>
        <v>5.0000000000000001E-3</v>
      </c>
      <c r="U2569" s="131">
        <v>0.52</v>
      </c>
      <c r="V2569" s="50">
        <v>0.32</v>
      </c>
      <c r="W2569" s="74">
        <f>0.005/2</f>
        <v>2.5000000000000001E-3</v>
      </c>
      <c r="X2569" s="50">
        <v>0.13800000000000001</v>
      </c>
      <c r="Y2569" s="74">
        <f>0.002/2</f>
        <v>1E-3</v>
      </c>
      <c r="Z2569" s="165"/>
    </row>
    <row r="2570" spans="1:30" ht="15" customHeight="1">
      <c r="A2570" s="41" t="s">
        <v>183</v>
      </c>
      <c r="B2570" s="402" t="s">
        <v>2288</v>
      </c>
      <c r="C2570" s="113" t="s">
        <v>2288</v>
      </c>
      <c r="D2570" s="393" t="s">
        <v>2379</v>
      </c>
      <c r="E2570" s="394" t="s">
        <v>5333</v>
      </c>
      <c r="G2570" s="405" t="s">
        <v>2290</v>
      </c>
      <c r="H2570" s="113" t="s">
        <v>2291</v>
      </c>
      <c r="I2570" s="50" t="s">
        <v>2</v>
      </c>
      <c r="J2570" s="339" t="s">
        <v>5376</v>
      </c>
      <c r="K2570" s="51">
        <v>41149</v>
      </c>
      <c r="L2570" s="173">
        <v>41138</v>
      </c>
      <c r="M2570" s="50">
        <f t="shared" si="148"/>
        <v>11</v>
      </c>
      <c r="N2570" s="50" t="s">
        <v>2</v>
      </c>
      <c r="O2570" s="74">
        <f>1.4/2</f>
        <v>0.7</v>
      </c>
      <c r="P2570" s="50">
        <v>6.45</v>
      </c>
      <c r="Q2570" s="74">
        <v>6.2</v>
      </c>
      <c r="R2570" s="50">
        <v>15</v>
      </c>
      <c r="S2570" s="74">
        <f>5/2</f>
        <v>2.5</v>
      </c>
      <c r="T2570" s="50">
        <v>0.02</v>
      </c>
      <c r="U2570" s="131">
        <v>0.46</v>
      </c>
      <c r="V2570" s="50">
        <v>0.23</v>
      </c>
      <c r="W2570" s="74">
        <f>0.005/2</f>
        <v>2.5000000000000001E-3</v>
      </c>
      <c r="X2570" s="50">
        <v>6.0999999999999999E-2</v>
      </c>
      <c r="Y2570" s="74">
        <f>0.002/2</f>
        <v>1E-3</v>
      </c>
      <c r="Z2570" s="165"/>
    </row>
    <row r="2571" spans="1:30" ht="15" customHeight="1">
      <c r="A2571" s="41" t="s">
        <v>183</v>
      </c>
      <c r="B2571" s="402" t="s">
        <v>5381</v>
      </c>
      <c r="C2571" s="113" t="s">
        <v>5381</v>
      </c>
      <c r="D2571" s="393" t="s">
        <v>372</v>
      </c>
      <c r="E2571" s="394" t="s">
        <v>1250</v>
      </c>
      <c r="G2571" s="405" t="s">
        <v>5382</v>
      </c>
      <c r="H2571" s="74">
        <v>3469</v>
      </c>
      <c r="I2571" s="50" t="s">
        <v>2</v>
      </c>
      <c r="J2571" s="339" t="s">
        <v>5383</v>
      </c>
      <c r="K2571" s="51">
        <v>41122</v>
      </c>
      <c r="L2571" s="173">
        <v>41118</v>
      </c>
      <c r="M2571" s="50">
        <f t="shared" si="148"/>
        <v>4</v>
      </c>
      <c r="N2571" s="50" t="s">
        <v>2</v>
      </c>
      <c r="O2571" s="74">
        <v>3.1</v>
      </c>
      <c r="P2571" s="50">
        <v>5.79</v>
      </c>
      <c r="Q2571" s="74">
        <v>5.71</v>
      </c>
      <c r="R2571" s="50">
        <v>45.7</v>
      </c>
      <c r="S2571" s="74">
        <v>8</v>
      </c>
      <c r="T2571" s="50">
        <v>0.11</v>
      </c>
      <c r="U2571" s="131">
        <v>0.74</v>
      </c>
      <c r="V2571" s="50">
        <v>0.41</v>
      </c>
      <c r="W2571" s="74">
        <v>0.02</v>
      </c>
      <c r="X2571" s="50">
        <v>0.08</v>
      </c>
      <c r="Y2571" s="74">
        <f>0.02/2</f>
        <v>0.01</v>
      </c>
      <c r="Z2571" s="165">
        <v>1</v>
      </c>
      <c r="AA2571" s="271">
        <v>0.87055000000000005</v>
      </c>
      <c r="AB2571" s="114">
        <v>136</v>
      </c>
      <c r="AC2571" s="50">
        <v>18.600000000000001</v>
      </c>
      <c r="AD2571" s="271">
        <v>0.4</v>
      </c>
    </row>
    <row r="2572" spans="1:30" ht="15" customHeight="1">
      <c r="A2572" s="41" t="s">
        <v>183</v>
      </c>
      <c r="B2572" s="402" t="s">
        <v>5047</v>
      </c>
      <c r="C2572" s="113" t="s">
        <v>5047</v>
      </c>
      <c r="D2572" s="393" t="s">
        <v>195</v>
      </c>
      <c r="G2572" s="405" t="s">
        <v>5048</v>
      </c>
      <c r="H2572" s="74"/>
      <c r="I2572" s="50" t="s">
        <v>2</v>
      </c>
      <c r="J2572" s="339"/>
      <c r="K2572" s="51">
        <v>41044</v>
      </c>
      <c r="L2572" s="173">
        <v>41039</v>
      </c>
      <c r="M2572" s="50">
        <f t="shared" si="148"/>
        <v>5</v>
      </c>
      <c r="N2572" s="50" t="s">
        <v>2</v>
      </c>
      <c r="O2572" s="74">
        <v>6.2</v>
      </c>
      <c r="P2572" s="50">
        <v>5.5</v>
      </c>
      <c r="Q2572" s="74">
        <v>5.3</v>
      </c>
      <c r="R2572" s="50">
        <v>82.2</v>
      </c>
      <c r="S2572" s="74">
        <v>50</v>
      </c>
      <c r="T2572" s="50">
        <v>0.2</v>
      </c>
      <c r="U2572" s="131">
        <v>2.1</v>
      </c>
      <c r="V2572" s="50">
        <v>0.41</v>
      </c>
      <c r="W2572" s="74">
        <f>0.02/2</f>
        <v>0.01</v>
      </c>
      <c r="X2572" s="50">
        <v>0.27</v>
      </c>
      <c r="Y2572" s="74">
        <v>2.3E-2</v>
      </c>
      <c r="Z2572" s="165">
        <v>1</v>
      </c>
      <c r="AA2572" s="271">
        <v>1</v>
      </c>
      <c r="AB2572" s="114">
        <v>14</v>
      </c>
      <c r="AC2572" s="50">
        <v>61</v>
      </c>
      <c r="AD2572" s="271">
        <v>1</v>
      </c>
    </row>
    <row r="2573" spans="1:30" ht="15" customHeight="1">
      <c r="A2573" s="41" t="s">
        <v>183</v>
      </c>
      <c r="B2573" s="402" t="s">
        <v>5384</v>
      </c>
      <c r="C2573" s="113" t="s">
        <v>5385</v>
      </c>
      <c r="D2573" s="393" t="s">
        <v>127</v>
      </c>
      <c r="E2573" s="394" t="s">
        <v>5386</v>
      </c>
      <c r="G2573" s="405" t="s">
        <v>5387</v>
      </c>
      <c r="H2573" s="74">
        <v>2844</v>
      </c>
      <c r="I2573" s="50" t="s">
        <v>2</v>
      </c>
      <c r="J2573" s="339" t="s">
        <v>551</v>
      </c>
      <c r="K2573" s="51">
        <v>41025</v>
      </c>
      <c r="L2573" s="173">
        <v>41021</v>
      </c>
      <c r="M2573" s="50">
        <f t="shared" si="148"/>
        <v>4</v>
      </c>
      <c r="N2573" s="50" t="s">
        <v>2</v>
      </c>
      <c r="O2573" s="74">
        <f>1/2</f>
        <v>0.5</v>
      </c>
      <c r="P2573" s="50">
        <v>5.2</v>
      </c>
      <c r="Q2573" s="74">
        <v>6.7</v>
      </c>
      <c r="R2573" s="50">
        <v>11.3</v>
      </c>
      <c r="S2573" s="74">
        <f>1/2</f>
        <v>0.5</v>
      </c>
      <c r="T2573" s="50">
        <v>0.06</v>
      </c>
      <c r="U2573" s="131">
        <v>1.22</v>
      </c>
      <c r="V2573" s="50">
        <v>0.82</v>
      </c>
      <c r="W2573" s="74">
        <v>8.0000000000000002E-3</v>
      </c>
      <c r="X2573" s="50">
        <v>5.0999999999999997E-2</v>
      </c>
      <c r="Y2573" s="74">
        <v>3.0000000000000001E-3</v>
      </c>
      <c r="Z2573" s="165"/>
    </row>
    <row r="2574" spans="1:30" ht="15" customHeight="1">
      <c r="A2574" s="41" t="s">
        <v>183</v>
      </c>
      <c r="B2574" s="402" t="s">
        <v>5384</v>
      </c>
      <c r="C2574" s="113" t="s">
        <v>5385</v>
      </c>
      <c r="D2574" s="393" t="s">
        <v>127</v>
      </c>
      <c r="E2574" s="394" t="s">
        <v>5386</v>
      </c>
      <c r="G2574" s="405" t="s">
        <v>5387</v>
      </c>
      <c r="H2574" s="74">
        <v>2844</v>
      </c>
      <c r="I2574" s="50" t="s">
        <v>2</v>
      </c>
      <c r="J2574" s="339" t="s">
        <v>5388</v>
      </c>
      <c r="K2574" s="51">
        <v>41025</v>
      </c>
      <c r="L2574" s="173">
        <v>41021</v>
      </c>
      <c r="M2574" s="50">
        <f t="shared" si="148"/>
        <v>4</v>
      </c>
      <c r="N2574" s="50" t="s">
        <v>2</v>
      </c>
      <c r="O2574" s="74">
        <f>1/2</f>
        <v>0.5</v>
      </c>
      <c r="P2574" s="50">
        <v>5.2</v>
      </c>
      <c r="Q2574" s="74">
        <v>6.9</v>
      </c>
      <c r="R2574" s="50">
        <v>11.3</v>
      </c>
      <c r="S2574" s="74">
        <f>1/2</f>
        <v>0.5</v>
      </c>
      <c r="T2574" s="50">
        <f t="shared" ref="T2574:T2582" si="149">0.05/2</f>
        <v>2.5000000000000001E-2</v>
      </c>
      <c r="U2574" s="131">
        <v>0.92</v>
      </c>
      <c r="V2574" s="50">
        <v>0.54</v>
      </c>
      <c r="W2574" s="74">
        <v>8.9999999999999993E-3</v>
      </c>
      <c r="X2574" s="50">
        <v>0.34300000000000003</v>
      </c>
      <c r="Y2574" s="74">
        <f>0.002/2</f>
        <v>1E-3</v>
      </c>
      <c r="Z2574" s="165"/>
    </row>
    <row r="2575" spans="1:30" ht="15" customHeight="1">
      <c r="A2575" s="41" t="s">
        <v>183</v>
      </c>
      <c r="B2575" s="402" t="s">
        <v>5384</v>
      </c>
      <c r="C2575" s="113" t="s">
        <v>5385</v>
      </c>
      <c r="D2575" s="393" t="s">
        <v>127</v>
      </c>
      <c r="E2575" s="394" t="s">
        <v>5386</v>
      </c>
      <c r="G2575" s="405" t="s">
        <v>5387</v>
      </c>
      <c r="H2575" s="74">
        <v>2844</v>
      </c>
      <c r="I2575" s="50" t="s">
        <v>2</v>
      </c>
      <c r="J2575" s="339" t="s">
        <v>5389</v>
      </c>
      <c r="K2575" s="51">
        <v>41025</v>
      </c>
      <c r="L2575" s="173">
        <v>41021</v>
      </c>
      <c r="M2575" s="50">
        <f t="shared" si="148"/>
        <v>4</v>
      </c>
      <c r="N2575" s="50" t="s">
        <v>2</v>
      </c>
      <c r="O2575" s="74">
        <v>1.2</v>
      </c>
      <c r="P2575" s="50">
        <v>5.2</v>
      </c>
      <c r="Q2575" s="74">
        <v>6.9</v>
      </c>
      <c r="R2575" s="50">
        <v>11.3</v>
      </c>
      <c r="S2575" s="74">
        <v>9</v>
      </c>
      <c r="T2575" s="50">
        <f t="shared" si="149"/>
        <v>2.5000000000000001E-2</v>
      </c>
      <c r="U2575" s="131">
        <v>0.64</v>
      </c>
      <c r="V2575" s="50">
        <v>0.57999999999999996</v>
      </c>
      <c r="W2575" s="74">
        <f>0.005/2</f>
        <v>2.5000000000000001E-3</v>
      </c>
      <c r="X2575" s="50">
        <v>2.1999999999999999E-2</v>
      </c>
      <c r="Y2575" s="74">
        <f>0.002/2</f>
        <v>1E-3</v>
      </c>
      <c r="Z2575" s="165"/>
    </row>
    <row r="2576" spans="1:30" ht="15" customHeight="1">
      <c r="A2576" s="41" t="s">
        <v>183</v>
      </c>
      <c r="B2576" s="402" t="s">
        <v>5384</v>
      </c>
      <c r="C2576" s="113" t="s">
        <v>5385</v>
      </c>
      <c r="D2576" s="393" t="s">
        <v>127</v>
      </c>
      <c r="E2576" s="394" t="s">
        <v>5386</v>
      </c>
      <c r="G2576" s="405" t="s">
        <v>5387</v>
      </c>
      <c r="H2576" s="74">
        <v>2844</v>
      </c>
      <c r="I2576" s="50" t="s">
        <v>2</v>
      </c>
      <c r="J2576" s="339" t="s">
        <v>551</v>
      </c>
      <c r="K2576" s="51">
        <v>40869</v>
      </c>
      <c r="L2576" s="173">
        <v>40863</v>
      </c>
      <c r="M2576" s="50">
        <f t="shared" si="148"/>
        <v>6</v>
      </c>
      <c r="N2576" s="50" t="s">
        <v>2</v>
      </c>
      <c r="O2576" s="74">
        <f t="shared" ref="O2576:O2581" si="150">1/2</f>
        <v>0.5</v>
      </c>
      <c r="P2576" s="50">
        <v>4.5999999999999996</v>
      </c>
      <c r="Q2576" s="74">
        <v>6.3</v>
      </c>
      <c r="R2576" s="50">
        <v>11.3</v>
      </c>
      <c r="S2576" s="74">
        <v>3</v>
      </c>
      <c r="T2576" s="50">
        <f t="shared" si="149"/>
        <v>2.5000000000000001E-2</v>
      </c>
      <c r="U2576" s="131">
        <v>0.72</v>
      </c>
      <c r="V2576" s="50">
        <v>0.85</v>
      </c>
      <c r="W2576" s="74">
        <v>6.0000000000000001E-3</v>
      </c>
      <c r="X2576" s="50">
        <v>6.3E-2</v>
      </c>
      <c r="Y2576" s="74">
        <v>5.0000000000000001E-3</v>
      </c>
      <c r="Z2576" s="165">
        <v>1</v>
      </c>
      <c r="AA2576" s="271">
        <v>1</v>
      </c>
      <c r="AB2576" s="114">
        <v>40.159999999999997</v>
      </c>
      <c r="AC2576" s="50">
        <v>169</v>
      </c>
      <c r="AD2576" s="271">
        <v>1</v>
      </c>
    </row>
    <row r="2577" spans="1:35" ht="15" customHeight="1">
      <c r="A2577" s="41" t="s">
        <v>183</v>
      </c>
      <c r="B2577" s="402" t="s">
        <v>5384</v>
      </c>
      <c r="C2577" s="113" t="s">
        <v>5385</v>
      </c>
      <c r="D2577" s="393" t="s">
        <v>127</v>
      </c>
      <c r="E2577" s="394" t="s">
        <v>5386</v>
      </c>
      <c r="G2577" s="405" t="s">
        <v>5387</v>
      </c>
      <c r="H2577" s="74">
        <v>2844</v>
      </c>
      <c r="I2577" s="50" t="s">
        <v>2</v>
      </c>
      <c r="J2577" s="339" t="s">
        <v>5388</v>
      </c>
      <c r="K2577" s="51">
        <v>40869</v>
      </c>
      <c r="L2577" s="173">
        <v>40863</v>
      </c>
      <c r="M2577" s="50">
        <f t="shared" si="148"/>
        <v>6</v>
      </c>
      <c r="N2577" s="50" t="s">
        <v>2</v>
      </c>
      <c r="O2577" s="74">
        <f t="shared" si="150"/>
        <v>0.5</v>
      </c>
      <c r="P2577" s="50">
        <v>4.5999999999999996</v>
      </c>
      <c r="Q2577" s="74">
        <v>6.5</v>
      </c>
      <c r="R2577" s="50">
        <v>11.3</v>
      </c>
      <c r="S2577" s="74">
        <v>3</v>
      </c>
      <c r="T2577" s="50">
        <f t="shared" si="149"/>
        <v>2.5000000000000001E-2</v>
      </c>
      <c r="U2577" s="131">
        <v>0.76</v>
      </c>
      <c r="V2577" s="50">
        <v>0.44</v>
      </c>
      <c r="W2577" s="74">
        <v>6.0000000000000001E-3</v>
      </c>
      <c r="X2577" s="50">
        <v>0.2</v>
      </c>
      <c r="Y2577" s="74">
        <f>0.002/2</f>
        <v>1E-3</v>
      </c>
      <c r="Z2577" s="165">
        <v>1</v>
      </c>
      <c r="AA2577" s="271">
        <v>1</v>
      </c>
      <c r="AB2577" s="114">
        <v>13.25</v>
      </c>
      <c r="AC2577" s="50">
        <v>55</v>
      </c>
      <c r="AD2577" s="271">
        <v>0.8</v>
      </c>
    </row>
    <row r="2578" spans="1:35" ht="15" customHeight="1">
      <c r="A2578" s="41" t="s">
        <v>183</v>
      </c>
      <c r="B2578" s="402" t="s">
        <v>5384</v>
      </c>
      <c r="C2578" s="113" t="s">
        <v>5385</v>
      </c>
      <c r="D2578" s="393" t="s">
        <v>127</v>
      </c>
      <c r="E2578" s="394" t="s">
        <v>5386</v>
      </c>
      <c r="G2578" s="405" t="s">
        <v>5387</v>
      </c>
      <c r="H2578" s="74">
        <v>2844</v>
      </c>
      <c r="I2578" s="50" t="s">
        <v>2</v>
      </c>
      <c r="J2578" s="339" t="s">
        <v>5389</v>
      </c>
      <c r="K2578" s="51">
        <v>40869</v>
      </c>
      <c r="L2578" s="173">
        <v>40863</v>
      </c>
      <c r="M2578" s="50">
        <f t="shared" si="148"/>
        <v>6</v>
      </c>
      <c r="N2578" s="50" t="s">
        <v>2</v>
      </c>
      <c r="O2578" s="74">
        <f t="shared" si="150"/>
        <v>0.5</v>
      </c>
      <c r="P2578" s="50">
        <v>4.5999999999999996</v>
      </c>
      <c r="Q2578" s="74">
        <v>6.7</v>
      </c>
      <c r="R2578" s="50">
        <v>15</v>
      </c>
      <c r="S2578" s="74">
        <v>5</v>
      </c>
      <c r="T2578" s="50">
        <f t="shared" si="149"/>
        <v>2.5000000000000001E-2</v>
      </c>
      <c r="U2578" s="131">
        <v>0.56000000000000005</v>
      </c>
      <c r="V2578" s="50">
        <v>0.5</v>
      </c>
      <c r="W2578" s="74">
        <f>0.005/2</f>
        <v>2.5000000000000001E-3</v>
      </c>
      <c r="X2578" s="50">
        <v>1.7000000000000001E-2</v>
      </c>
      <c r="Y2578" s="74">
        <f>0.002/2</f>
        <v>1E-3</v>
      </c>
      <c r="Z2578" s="165">
        <v>1</v>
      </c>
      <c r="AA2578" s="271">
        <v>1</v>
      </c>
      <c r="AB2578" s="114">
        <v>230</v>
      </c>
      <c r="AC2578" s="50">
        <v>1573</v>
      </c>
      <c r="AD2578" s="271">
        <v>0.5</v>
      </c>
    </row>
    <row r="2579" spans="1:35" ht="15" customHeight="1">
      <c r="A2579" s="41" t="s">
        <v>183</v>
      </c>
      <c r="B2579" s="402" t="s">
        <v>110</v>
      </c>
      <c r="C2579" s="113" t="s">
        <v>110</v>
      </c>
      <c r="D2579" s="393" t="s">
        <v>111</v>
      </c>
      <c r="E2579" s="394" t="s">
        <v>112</v>
      </c>
      <c r="G2579" s="405" t="s">
        <v>113</v>
      </c>
      <c r="H2579" s="74">
        <v>3679</v>
      </c>
      <c r="I2579" s="50" t="s">
        <v>1</v>
      </c>
      <c r="J2579" s="339" t="s">
        <v>1943</v>
      </c>
      <c r="K2579" s="51">
        <v>41345</v>
      </c>
      <c r="L2579" s="173">
        <v>41341</v>
      </c>
      <c r="M2579" s="50">
        <f t="shared" si="148"/>
        <v>4</v>
      </c>
      <c r="N2579" s="50" t="s">
        <v>1</v>
      </c>
      <c r="O2579" s="74">
        <f t="shared" si="150"/>
        <v>0.5</v>
      </c>
      <c r="P2579" s="50">
        <v>7.4</v>
      </c>
      <c r="Q2579" s="74">
        <v>5.51</v>
      </c>
      <c r="R2579" s="50">
        <v>7.5</v>
      </c>
      <c r="S2579" s="74">
        <v>20</v>
      </c>
      <c r="T2579" s="50">
        <f t="shared" si="149"/>
        <v>2.5000000000000001E-2</v>
      </c>
      <c r="U2579" s="131">
        <v>2</v>
      </c>
      <c r="V2579" s="50">
        <v>0.62</v>
      </c>
      <c r="W2579" s="74">
        <f>0.005/2</f>
        <v>2.5000000000000001E-3</v>
      </c>
      <c r="X2579" s="50">
        <v>3.4000000000000002E-2</v>
      </c>
      <c r="Y2579" s="74">
        <v>8.9999999999999993E-3</v>
      </c>
      <c r="Z2579" s="165">
        <v>0.82</v>
      </c>
      <c r="AA2579" s="271">
        <v>0.70699999999999996</v>
      </c>
      <c r="AB2579" s="114">
        <v>5.12</v>
      </c>
      <c r="AC2579" s="50">
        <v>57</v>
      </c>
      <c r="AD2579" s="271">
        <v>0</v>
      </c>
    </row>
    <row r="2580" spans="1:35" ht="15" customHeight="1">
      <c r="A2580" s="41" t="s">
        <v>183</v>
      </c>
      <c r="B2580" s="402" t="s">
        <v>110</v>
      </c>
      <c r="C2580" s="113" t="s">
        <v>110</v>
      </c>
      <c r="D2580" s="393" t="s">
        <v>111</v>
      </c>
      <c r="E2580" s="394" t="s">
        <v>112</v>
      </c>
      <c r="G2580" s="405" t="s">
        <v>113</v>
      </c>
      <c r="H2580" s="74">
        <v>3679</v>
      </c>
      <c r="I2580" s="50" t="s">
        <v>1</v>
      </c>
      <c r="J2580" s="339" t="s">
        <v>425</v>
      </c>
      <c r="K2580" s="51">
        <v>41345</v>
      </c>
      <c r="L2580" s="173">
        <v>41341</v>
      </c>
      <c r="M2580" s="50">
        <f t="shared" si="148"/>
        <v>4</v>
      </c>
      <c r="N2580" s="50" t="s">
        <v>1</v>
      </c>
      <c r="O2580" s="74">
        <f t="shared" si="150"/>
        <v>0.5</v>
      </c>
      <c r="P2580" s="50">
        <v>7.4</v>
      </c>
      <c r="Q2580" s="74">
        <v>5.01</v>
      </c>
      <c r="R2580" s="50">
        <v>3.7</v>
      </c>
      <c r="S2580" s="74">
        <v>13</v>
      </c>
      <c r="T2580" s="50">
        <f t="shared" si="149"/>
        <v>2.5000000000000001E-2</v>
      </c>
      <c r="U2580" s="131">
        <v>0.78</v>
      </c>
      <c r="V2580" s="50">
        <v>0.35</v>
      </c>
      <c r="W2580" s="74">
        <v>6.0000000000000001E-3</v>
      </c>
      <c r="X2580" s="50">
        <v>6.6000000000000003E-2</v>
      </c>
      <c r="Y2580" s="74">
        <v>2E-3</v>
      </c>
      <c r="Z2580" s="165">
        <v>1</v>
      </c>
      <c r="AA2580" s="271">
        <v>1</v>
      </c>
      <c r="AB2580" s="114">
        <v>3.05</v>
      </c>
      <c r="AC2580" s="50">
        <v>36</v>
      </c>
      <c r="AD2580" s="271">
        <v>1</v>
      </c>
    </row>
    <row r="2581" spans="1:35" ht="15" customHeight="1">
      <c r="A2581" s="41" t="s">
        <v>183</v>
      </c>
      <c r="B2581" s="402" t="s">
        <v>110</v>
      </c>
      <c r="C2581" s="113" t="s">
        <v>110</v>
      </c>
      <c r="D2581" s="393" t="s">
        <v>111</v>
      </c>
      <c r="E2581" s="394" t="s">
        <v>112</v>
      </c>
      <c r="G2581" s="405" t="s">
        <v>113</v>
      </c>
      <c r="H2581" s="74">
        <v>3679</v>
      </c>
      <c r="I2581" s="50" t="s">
        <v>1</v>
      </c>
      <c r="J2581" s="339" t="s">
        <v>1341</v>
      </c>
      <c r="K2581" s="51">
        <v>41345</v>
      </c>
      <c r="L2581" s="173">
        <v>41341</v>
      </c>
      <c r="M2581" s="50">
        <f t="shared" si="148"/>
        <v>4</v>
      </c>
      <c r="N2581" s="50" t="s">
        <v>1</v>
      </c>
      <c r="O2581" s="74">
        <f t="shared" si="150"/>
        <v>0.5</v>
      </c>
      <c r="P2581" s="50">
        <v>7.4</v>
      </c>
      <c r="Q2581" s="74">
        <v>7.23</v>
      </c>
      <c r="R2581" s="50">
        <v>3.7</v>
      </c>
      <c r="S2581" s="74">
        <v>6</v>
      </c>
      <c r="T2581" s="50">
        <f t="shared" si="149"/>
        <v>2.5000000000000001E-2</v>
      </c>
      <c r="U2581" s="131">
        <v>1.68</v>
      </c>
      <c r="V2581" s="50">
        <v>0.47</v>
      </c>
      <c r="W2581" s="74">
        <v>8.0000000000000002E-3</v>
      </c>
      <c r="X2581" s="50">
        <v>3.5000000000000003E-2</v>
      </c>
      <c r="Y2581" s="74">
        <v>3.0000000000000001E-3</v>
      </c>
      <c r="Z2581" s="165">
        <v>1</v>
      </c>
      <c r="AA2581" s="271">
        <v>1</v>
      </c>
      <c r="AB2581" s="114">
        <v>68.260000000000005</v>
      </c>
      <c r="AC2581" s="50">
        <v>340</v>
      </c>
      <c r="AD2581" s="271">
        <v>1</v>
      </c>
    </row>
    <row r="2582" spans="1:35" ht="15" customHeight="1">
      <c r="A2582" s="41" t="s">
        <v>183</v>
      </c>
      <c r="B2582" s="402" t="s">
        <v>5390</v>
      </c>
      <c r="C2582" s="113" t="s">
        <v>5391</v>
      </c>
      <c r="D2582" s="393" t="s">
        <v>290</v>
      </c>
      <c r="E2582" s="394" t="s">
        <v>112</v>
      </c>
      <c r="G2582" s="405" t="s">
        <v>5392</v>
      </c>
      <c r="H2582" s="74">
        <v>3495</v>
      </c>
      <c r="I2582" s="50" t="s">
        <v>2</v>
      </c>
      <c r="J2582" s="339" t="s">
        <v>81</v>
      </c>
      <c r="K2582" s="51">
        <v>41345</v>
      </c>
      <c r="L2582" s="173">
        <v>41341</v>
      </c>
      <c r="M2582" s="50">
        <f t="shared" si="148"/>
        <v>4</v>
      </c>
      <c r="N2582" s="50" t="s">
        <v>1</v>
      </c>
      <c r="O2582" s="74">
        <f>2/2</f>
        <v>1</v>
      </c>
      <c r="P2582" s="50">
        <v>6.5</v>
      </c>
      <c r="Q2582" s="74">
        <v>6.4</v>
      </c>
      <c r="R2582" s="50">
        <v>26</v>
      </c>
      <c r="S2582" s="74">
        <v>18</v>
      </c>
      <c r="T2582" s="50">
        <f t="shared" si="149"/>
        <v>2.5000000000000001E-2</v>
      </c>
      <c r="U2582" s="131">
        <v>1.19</v>
      </c>
      <c r="V2582" s="50">
        <v>0.75</v>
      </c>
      <c r="W2582" s="74">
        <v>2.3E-2</v>
      </c>
      <c r="X2582" s="50">
        <v>0.378</v>
      </c>
      <c r="Y2582" s="74">
        <f>0.03/2</f>
        <v>1.4999999999999999E-2</v>
      </c>
      <c r="Z2582" s="165">
        <v>1</v>
      </c>
      <c r="AA2582" s="271">
        <v>1</v>
      </c>
      <c r="AB2582" s="114">
        <v>40</v>
      </c>
      <c r="AC2582" s="50">
        <v>1524</v>
      </c>
      <c r="AD2582" s="271">
        <v>1</v>
      </c>
    </row>
    <row r="2583" spans="1:35" ht="15" customHeight="1">
      <c r="A2583" s="41" t="s">
        <v>183</v>
      </c>
      <c r="B2583" s="402" t="s">
        <v>1408</v>
      </c>
      <c r="C2583" s="113" t="s">
        <v>1408</v>
      </c>
      <c r="D2583" s="393" t="s">
        <v>347</v>
      </c>
      <c r="E2583" s="394" t="s">
        <v>5393</v>
      </c>
      <c r="G2583" s="405" t="s">
        <v>1409</v>
      </c>
      <c r="H2583" s="74">
        <v>3351</v>
      </c>
      <c r="I2583" s="50" t="s">
        <v>2</v>
      </c>
      <c r="J2583" s="339" t="s">
        <v>249</v>
      </c>
      <c r="K2583" s="51">
        <v>41364</v>
      </c>
      <c r="L2583" s="173">
        <v>41352</v>
      </c>
      <c r="M2583" s="50">
        <f t="shared" si="148"/>
        <v>12</v>
      </c>
      <c r="N2583" s="50" t="s">
        <v>2</v>
      </c>
      <c r="O2583" s="74">
        <f>1/2</f>
        <v>0.5</v>
      </c>
      <c r="P2583" s="50">
        <v>6.9</v>
      </c>
      <c r="Q2583" s="74">
        <v>7.44</v>
      </c>
      <c r="R2583" s="50">
        <v>11.3</v>
      </c>
      <c r="S2583" s="74">
        <v>1</v>
      </c>
      <c r="T2583" s="50">
        <v>0.3</v>
      </c>
      <c r="U2583" s="131">
        <f>0.1/2</f>
        <v>0.05</v>
      </c>
      <c r="V2583" s="50">
        <v>2.92</v>
      </c>
      <c r="W2583" s="74">
        <v>8.3000000000000004E-2</v>
      </c>
      <c r="X2583" s="50">
        <v>0.182</v>
      </c>
      <c r="Y2583" s="74">
        <f>0.002/2</f>
        <v>1E-3</v>
      </c>
      <c r="Z2583" s="165"/>
    </row>
    <row r="2584" spans="1:35" ht="15" customHeight="1">
      <c r="A2584" s="41" t="s">
        <v>183</v>
      </c>
      <c r="B2584" s="402" t="s">
        <v>1890</v>
      </c>
      <c r="C2584" s="113" t="s">
        <v>1890</v>
      </c>
      <c r="D2584" s="393" t="s">
        <v>111</v>
      </c>
      <c r="E2584" s="394" t="s">
        <v>112</v>
      </c>
      <c r="G2584" s="405" t="s">
        <v>1891</v>
      </c>
      <c r="H2584" s="74">
        <v>3547</v>
      </c>
      <c r="I2584" s="50" t="s">
        <v>1</v>
      </c>
      <c r="J2584" s="339" t="s">
        <v>255</v>
      </c>
      <c r="K2584" s="51">
        <v>41345</v>
      </c>
      <c r="L2584" s="173">
        <v>41341</v>
      </c>
      <c r="M2584" s="50">
        <f t="shared" si="148"/>
        <v>4</v>
      </c>
      <c r="N2584" s="50" t="s">
        <v>2</v>
      </c>
      <c r="O2584" s="74">
        <f>1/2</f>
        <v>0.5</v>
      </c>
      <c r="P2584" s="50">
        <v>4.68</v>
      </c>
      <c r="Q2584" s="74">
        <v>6.91</v>
      </c>
      <c r="R2584" s="50">
        <v>3.7</v>
      </c>
      <c r="S2584" s="74">
        <v>36</v>
      </c>
      <c r="T2584" s="50">
        <v>0.18</v>
      </c>
      <c r="U2584" s="131">
        <v>1.36</v>
      </c>
      <c r="V2584" s="50">
        <v>0.24</v>
      </c>
      <c r="W2584" s="74">
        <v>1.7000000000000001E-2</v>
      </c>
      <c r="X2584" s="50">
        <v>7.6999999999999999E-2</v>
      </c>
      <c r="Y2584" s="74">
        <v>4.0000000000000001E-3</v>
      </c>
      <c r="Z2584" s="165">
        <v>1</v>
      </c>
      <c r="AA2584" s="271">
        <v>1</v>
      </c>
      <c r="AB2584" s="114">
        <v>14.93</v>
      </c>
      <c r="AC2584" s="50">
        <v>254</v>
      </c>
      <c r="AD2584" s="271">
        <v>1</v>
      </c>
      <c r="AI2584" s="114">
        <v>4</v>
      </c>
    </row>
    <row r="2585" spans="1:35" ht="15" customHeight="1">
      <c r="A2585" s="41" t="s">
        <v>183</v>
      </c>
      <c r="B2585" s="402" t="s">
        <v>1817</v>
      </c>
      <c r="C2585" s="113" t="s">
        <v>1817</v>
      </c>
      <c r="D2585" s="393" t="s">
        <v>684</v>
      </c>
      <c r="E2585" s="394" t="s">
        <v>322</v>
      </c>
      <c r="F2585" s="402" t="s">
        <v>1911</v>
      </c>
      <c r="G2585" s="405" t="s">
        <v>1792</v>
      </c>
      <c r="H2585" s="74">
        <v>3353</v>
      </c>
      <c r="I2585" s="50" t="s">
        <v>2</v>
      </c>
      <c r="J2585" s="48" t="s">
        <v>1793</v>
      </c>
      <c r="K2585" s="51">
        <v>41324</v>
      </c>
      <c r="L2585" s="173">
        <v>41316</v>
      </c>
      <c r="M2585" s="50">
        <f t="shared" si="148"/>
        <v>8</v>
      </c>
      <c r="N2585" s="50" t="s">
        <v>1</v>
      </c>
      <c r="O2585" s="74">
        <f>1.4/2</f>
        <v>0.7</v>
      </c>
      <c r="P2585" s="50">
        <v>7.7</v>
      </c>
      <c r="Q2585" s="74">
        <v>7.88</v>
      </c>
      <c r="R2585" s="50">
        <f>10/2</f>
        <v>5</v>
      </c>
      <c r="S2585" s="74">
        <f>5/2</f>
        <v>2.5</v>
      </c>
      <c r="T2585" s="50">
        <v>0.02</v>
      </c>
      <c r="U2585" s="131">
        <v>0.23</v>
      </c>
      <c r="V2585" s="50">
        <v>1.56</v>
      </c>
      <c r="W2585" s="74">
        <f>0.005/2</f>
        <v>2.5000000000000001E-3</v>
      </c>
      <c r="X2585" s="50">
        <f>0.002/2</f>
        <v>1E-3</v>
      </c>
      <c r="Y2585" s="74">
        <f>0.002/2</f>
        <v>1E-3</v>
      </c>
      <c r="Z2585" s="165">
        <v>1</v>
      </c>
      <c r="AA2585" s="271">
        <v>1</v>
      </c>
      <c r="AB2585" s="114">
        <v>126</v>
      </c>
      <c r="AC2585" s="50">
        <v>602</v>
      </c>
      <c r="AD2585" s="271">
        <v>1</v>
      </c>
    </row>
    <row r="2586" spans="1:35" ht="15" customHeight="1">
      <c r="A2586" s="41" t="s">
        <v>183</v>
      </c>
      <c r="B2586" s="402" t="s">
        <v>5022</v>
      </c>
      <c r="C2586" s="113" t="s">
        <v>5022</v>
      </c>
      <c r="D2586" s="393" t="s">
        <v>290</v>
      </c>
      <c r="E2586" s="394" t="s">
        <v>112</v>
      </c>
      <c r="G2586" s="405" t="s">
        <v>5023</v>
      </c>
      <c r="H2586" s="74"/>
      <c r="I2586" s="50" t="s">
        <v>1</v>
      </c>
      <c r="J2586" s="74" t="s">
        <v>5024</v>
      </c>
      <c r="K2586" s="51">
        <v>41345</v>
      </c>
      <c r="L2586" s="173">
        <v>41339</v>
      </c>
      <c r="M2586" s="50">
        <f t="shared" si="148"/>
        <v>6</v>
      </c>
      <c r="N2586" s="50" t="s">
        <v>2</v>
      </c>
      <c r="O2586" s="74">
        <v>2.1</v>
      </c>
      <c r="P2586" s="50">
        <v>6.83</v>
      </c>
      <c r="Q2586" s="74">
        <v>6.46</v>
      </c>
      <c r="R2586" s="50">
        <v>43</v>
      </c>
      <c r="S2586" s="74">
        <v>32</v>
      </c>
      <c r="T2586" s="50">
        <v>0.15</v>
      </c>
      <c r="U2586" s="131">
        <v>0.69</v>
      </c>
      <c r="V2586" s="50">
        <v>0.09</v>
      </c>
      <c r="W2586" s="74">
        <v>0.46500000000000002</v>
      </c>
      <c r="X2586" s="50">
        <v>0.22900000000000001</v>
      </c>
      <c r="Y2586" s="74">
        <v>7.9000000000000001E-2</v>
      </c>
      <c r="Z2586" s="165"/>
    </row>
    <row r="2587" spans="1:35" ht="15" customHeight="1">
      <c r="A2587" s="41" t="s">
        <v>183</v>
      </c>
      <c r="B2587" s="402" t="s">
        <v>5022</v>
      </c>
      <c r="C2587" s="113" t="s">
        <v>5022</v>
      </c>
      <c r="D2587" s="393" t="s">
        <v>290</v>
      </c>
      <c r="E2587" s="394" t="s">
        <v>112</v>
      </c>
      <c r="G2587" s="405" t="s">
        <v>5023</v>
      </c>
      <c r="H2587" s="74"/>
      <c r="I2587" s="50" t="s">
        <v>1</v>
      </c>
      <c r="J2587" s="74" t="s">
        <v>5025</v>
      </c>
      <c r="K2587" s="51">
        <v>41345</v>
      </c>
      <c r="L2587" s="173">
        <v>41339</v>
      </c>
      <c r="M2587" s="50">
        <f t="shared" si="148"/>
        <v>6</v>
      </c>
      <c r="N2587" s="50" t="s">
        <v>2</v>
      </c>
      <c r="O2587" s="74">
        <f>1.4/2</f>
        <v>0.7</v>
      </c>
      <c r="P2587" s="50">
        <v>6.83</v>
      </c>
      <c r="Q2587" s="74">
        <v>5.47</v>
      </c>
      <c r="R2587" s="50">
        <v>23</v>
      </c>
      <c r="S2587" s="74">
        <f>5/2</f>
        <v>2.5</v>
      </c>
      <c r="T2587" s="50">
        <v>0.02</v>
      </c>
      <c r="U2587" s="131">
        <v>0.37</v>
      </c>
      <c r="V2587" s="50">
        <v>7.0000000000000007E-2</v>
      </c>
      <c r="W2587" s="74">
        <v>8.9999999999999993E-3</v>
      </c>
      <c r="X2587" s="50">
        <v>3.7999999999999999E-2</v>
      </c>
      <c r="Y2587" s="74">
        <f>0.002/2</f>
        <v>1E-3</v>
      </c>
      <c r="Z2587" s="165"/>
    </row>
    <row r="2588" spans="1:35" ht="15" customHeight="1">
      <c r="A2588" s="41" t="s">
        <v>183</v>
      </c>
      <c r="B2588" s="402" t="s">
        <v>5394</v>
      </c>
      <c r="C2588" s="113" t="s">
        <v>5394</v>
      </c>
      <c r="D2588" s="393" t="s">
        <v>548</v>
      </c>
      <c r="E2588" s="394" t="s">
        <v>5395</v>
      </c>
      <c r="G2588" s="405" t="s">
        <v>5396</v>
      </c>
      <c r="H2588" s="74">
        <v>3599</v>
      </c>
      <c r="I2588" s="50" t="s">
        <v>1</v>
      </c>
      <c r="J2588" s="339" t="s">
        <v>5397</v>
      </c>
      <c r="K2588" s="51">
        <v>41305</v>
      </c>
      <c r="L2588" s="173">
        <v>41302</v>
      </c>
      <c r="M2588" s="50">
        <f t="shared" si="148"/>
        <v>3</v>
      </c>
      <c r="N2588" s="50" t="s">
        <v>2</v>
      </c>
      <c r="O2588" s="74">
        <v>1.3</v>
      </c>
      <c r="P2588" s="50">
        <v>6.1</v>
      </c>
      <c r="Q2588" s="74">
        <v>7.1</v>
      </c>
      <c r="R2588" s="50">
        <v>13</v>
      </c>
      <c r="S2588" s="74">
        <v>5</v>
      </c>
      <c r="T2588" s="50">
        <v>7.0000000000000007E-2</v>
      </c>
      <c r="U2588" s="131">
        <v>0.39</v>
      </c>
      <c r="V2588" s="50">
        <v>0.4</v>
      </c>
      <c r="W2588" s="74">
        <v>0.06</v>
      </c>
      <c r="X2588" s="50">
        <v>0.02</v>
      </c>
      <c r="Y2588" s="74">
        <v>1E-3</v>
      </c>
      <c r="Z2588" s="165">
        <v>1</v>
      </c>
      <c r="AA2588" s="271">
        <v>1</v>
      </c>
      <c r="AB2588" s="114">
        <v>31</v>
      </c>
      <c r="AC2588" s="50">
        <v>696</v>
      </c>
      <c r="AD2588" s="271">
        <v>0.9</v>
      </c>
      <c r="AE2588" s="50">
        <v>326</v>
      </c>
    </row>
    <row r="2589" spans="1:35" ht="15" customHeight="1">
      <c r="A2589" s="41" t="s">
        <v>183</v>
      </c>
      <c r="B2589" s="402" t="s">
        <v>5398</v>
      </c>
      <c r="C2589" s="113" t="s">
        <v>5398</v>
      </c>
      <c r="D2589" s="393" t="s">
        <v>1569</v>
      </c>
      <c r="E2589" s="394" t="s">
        <v>1579</v>
      </c>
      <c r="G2589" s="405" t="s">
        <v>5399</v>
      </c>
      <c r="H2589" s="74">
        <v>3692</v>
      </c>
      <c r="I2589" s="50" t="s">
        <v>1</v>
      </c>
      <c r="J2589" s="339" t="s">
        <v>255</v>
      </c>
      <c r="K2589" s="51">
        <v>41260</v>
      </c>
      <c r="L2589" s="173">
        <v>41253</v>
      </c>
      <c r="M2589" s="50">
        <f t="shared" si="148"/>
        <v>7</v>
      </c>
      <c r="N2589" s="50" t="s">
        <v>2</v>
      </c>
      <c r="O2589" s="74">
        <f>5/2</f>
        <v>2.5</v>
      </c>
      <c r="Q2589" s="74">
        <v>6.8</v>
      </c>
      <c r="R2589" s="50">
        <f>10/2</f>
        <v>5</v>
      </c>
      <c r="S2589" s="74">
        <f>5/2</f>
        <v>2.5</v>
      </c>
      <c r="T2589" s="50">
        <v>4.3999999999999997E-2</v>
      </c>
      <c r="U2589" s="131">
        <v>0.55400000000000005</v>
      </c>
      <c r="V2589" s="50">
        <f>0.2/2</f>
        <v>0.1</v>
      </c>
      <c r="W2589" s="74">
        <v>1.4999999999999999E-2</v>
      </c>
      <c r="X2589" s="50">
        <v>0.32</v>
      </c>
      <c r="Y2589" s="74">
        <v>1.0999999999999999E-2</v>
      </c>
      <c r="Z2589" s="165"/>
      <c r="AE2589" s="50">
        <f>1/2</f>
        <v>0.5</v>
      </c>
    </row>
    <row r="2590" spans="1:35" ht="15" customHeight="1">
      <c r="A2590" s="41" t="s">
        <v>183</v>
      </c>
      <c r="B2590" s="402" t="s">
        <v>2228</v>
      </c>
      <c r="C2590" s="113" t="s">
        <v>2229</v>
      </c>
      <c r="D2590" s="393" t="s">
        <v>1217</v>
      </c>
      <c r="E2590" s="394" t="s">
        <v>2230</v>
      </c>
      <c r="G2590" s="405" t="s">
        <v>1788</v>
      </c>
      <c r="H2590" s="74">
        <v>3724</v>
      </c>
      <c r="I2590" s="50" t="s">
        <v>2</v>
      </c>
      <c r="J2590" s="260" t="s">
        <v>5400</v>
      </c>
      <c r="K2590" s="51">
        <v>41341</v>
      </c>
      <c r="L2590" s="173"/>
      <c r="N2590" s="50" t="s">
        <v>1</v>
      </c>
      <c r="O2590" s="74">
        <f>1/2</f>
        <v>0.5</v>
      </c>
      <c r="Q2590" s="74">
        <v>3.59</v>
      </c>
      <c r="R2590" s="50">
        <v>14.8</v>
      </c>
      <c r="S2590" s="74">
        <f>5/2</f>
        <v>2.5</v>
      </c>
      <c r="T2590" s="50">
        <v>3.2399999999999998E-2</v>
      </c>
      <c r="U2590" s="131">
        <v>0.49</v>
      </c>
      <c r="V2590" s="50">
        <v>0.21</v>
      </c>
      <c r="W2590" s="74">
        <f>0.005/2</f>
        <v>2.5000000000000001E-3</v>
      </c>
      <c r="X2590" s="50">
        <v>0.501</v>
      </c>
      <c r="Y2590" s="74">
        <f>0.0075/2</f>
        <v>3.7499999999999999E-3</v>
      </c>
      <c r="Z2590" s="165">
        <v>0.70699999999999996</v>
      </c>
      <c r="AA2590" s="271">
        <v>0.59499999999999997</v>
      </c>
      <c r="AB2590" s="114">
        <v>4</v>
      </c>
      <c r="AC2590" s="50">
        <v>19</v>
      </c>
      <c r="AD2590" s="271">
        <v>0</v>
      </c>
    </row>
    <row r="2591" spans="1:35" ht="15" customHeight="1">
      <c r="A2591" s="41" t="s">
        <v>183</v>
      </c>
      <c r="B2591" s="402" t="s">
        <v>5401</v>
      </c>
      <c r="D2591" s="393" t="s">
        <v>347</v>
      </c>
      <c r="E2591" s="394" t="s">
        <v>112</v>
      </c>
      <c r="G2591" s="405" t="s">
        <v>3158</v>
      </c>
      <c r="H2591" s="74">
        <v>3069</v>
      </c>
      <c r="I2591" s="50" t="s">
        <v>2</v>
      </c>
      <c r="J2591" s="339" t="s">
        <v>5402</v>
      </c>
      <c r="K2591" s="51">
        <v>41345</v>
      </c>
      <c r="L2591" s="173">
        <v>41341</v>
      </c>
      <c r="M2591" s="50">
        <f t="shared" si="148"/>
        <v>4</v>
      </c>
      <c r="N2591" s="50" t="s">
        <v>2</v>
      </c>
      <c r="O2591" s="74">
        <v>3.6</v>
      </c>
      <c r="P2591" s="50">
        <v>7.9</v>
      </c>
      <c r="Q2591" s="74">
        <v>8.6</v>
      </c>
      <c r="R2591" s="50">
        <v>13</v>
      </c>
      <c r="S2591" s="74">
        <v>2</v>
      </c>
      <c r="T2591" s="50">
        <v>0.33</v>
      </c>
      <c r="U2591" s="131">
        <v>0.34</v>
      </c>
      <c r="V2591" s="50">
        <v>0.27</v>
      </c>
      <c r="W2591" s="74">
        <v>2.5999999999999999E-2</v>
      </c>
      <c r="X2591" s="50">
        <v>0.161</v>
      </c>
      <c r="Y2591" s="74">
        <f>0.03/2</f>
        <v>1.4999999999999999E-2</v>
      </c>
      <c r="Z2591" s="165"/>
    </row>
    <row r="2592" spans="1:35" ht="15" customHeight="1">
      <c r="A2592" s="41" t="s">
        <v>183</v>
      </c>
      <c r="B2592" s="402" t="s">
        <v>5401</v>
      </c>
      <c r="D2592" s="393" t="s">
        <v>347</v>
      </c>
      <c r="E2592" s="394" t="s">
        <v>112</v>
      </c>
      <c r="G2592" s="405" t="s">
        <v>3158</v>
      </c>
      <c r="H2592" s="74">
        <v>3069</v>
      </c>
      <c r="I2592" s="50" t="s">
        <v>2</v>
      </c>
      <c r="J2592" s="339" t="s">
        <v>5403</v>
      </c>
      <c r="K2592" s="51">
        <v>41345</v>
      </c>
      <c r="L2592" s="173">
        <v>41341</v>
      </c>
      <c r="M2592" s="50">
        <f t="shared" si="148"/>
        <v>4</v>
      </c>
      <c r="N2592" s="50" t="s">
        <v>2</v>
      </c>
      <c r="O2592" s="74">
        <v>3.1</v>
      </c>
      <c r="P2592" s="50">
        <v>7.9</v>
      </c>
      <c r="Q2592" s="74">
        <v>6.8</v>
      </c>
      <c r="R2592" s="50">
        <v>26</v>
      </c>
      <c r="S2592" s="74">
        <v>26</v>
      </c>
      <c r="T2592" s="50">
        <v>0.71</v>
      </c>
      <c r="U2592" s="131">
        <v>0.76</v>
      </c>
      <c r="V2592" s="50">
        <v>0.14000000000000001</v>
      </c>
      <c r="W2592" s="74">
        <v>3.9E-2</v>
      </c>
      <c r="X2592" s="50">
        <v>0.16</v>
      </c>
      <c r="Y2592" s="74">
        <f>0.03/2</f>
        <v>1.4999999999999999E-2</v>
      </c>
      <c r="Z2592" s="165"/>
    </row>
    <row r="2593" spans="1:31" ht="15" customHeight="1">
      <c r="A2593" s="41" t="s">
        <v>183</v>
      </c>
      <c r="B2593" s="386" t="s">
        <v>680</v>
      </c>
      <c r="C2593" s="149" t="s">
        <v>680</v>
      </c>
      <c r="D2593" s="393" t="s">
        <v>303</v>
      </c>
      <c r="E2593" s="394" t="s">
        <v>3156</v>
      </c>
      <c r="G2593" s="405" t="s">
        <v>682</v>
      </c>
      <c r="H2593" s="74">
        <v>3999</v>
      </c>
      <c r="I2593" s="50" t="s">
        <v>2</v>
      </c>
      <c r="J2593" s="339" t="s">
        <v>74</v>
      </c>
      <c r="K2593" s="51">
        <v>41332</v>
      </c>
      <c r="L2593" s="173">
        <v>41328</v>
      </c>
      <c r="M2593" s="50">
        <f t="shared" si="148"/>
        <v>4</v>
      </c>
      <c r="N2593" s="50" t="s">
        <v>1</v>
      </c>
      <c r="O2593" s="74">
        <f>5/2</f>
        <v>2.5</v>
      </c>
      <c r="P2593" s="50">
        <v>6</v>
      </c>
      <c r="Q2593" s="74">
        <v>6.42</v>
      </c>
      <c r="R2593" s="50">
        <f>5/2</f>
        <v>2.5</v>
      </c>
      <c r="S2593" s="74">
        <v>10</v>
      </c>
      <c r="T2593" s="50">
        <v>0.16</v>
      </c>
      <c r="U2593" s="131">
        <f>1/2</f>
        <v>0.5</v>
      </c>
      <c r="V2593" s="50">
        <v>0.16</v>
      </c>
      <c r="W2593" s="74">
        <f>0.04/2</f>
        <v>0.02</v>
      </c>
      <c r="X2593" s="50">
        <v>0.1</v>
      </c>
      <c r="Y2593" s="74">
        <f>0.013/2</f>
        <v>6.4999999999999997E-3</v>
      </c>
      <c r="Z2593" s="165"/>
    </row>
    <row r="2594" spans="1:31" ht="15" customHeight="1">
      <c r="A2594" s="41" t="s">
        <v>183</v>
      </c>
      <c r="B2594" s="386" t="s">
        <v>523</v>
      </c>
      <c r="C2594" s="149" t="s">
        <v>523</v>
      </c>
      <c r="D2594" s="392" t="s">
        <v>350</v>
      </c>
      <c r="E2594" s="258" t="s">
        <v>986</v>
      </c>
      <c r="G2594" s="405" t="s">
        <v>524</v>
      </c>
      <c r="H2594" s="74">
        <v>8734</v>
      </c>
      <c r="I2594" s="50" t="s">
        <v>2</v>
      </c>
      <c r="J2594" s="48" t="s">
        <v>249</v>
      </c>
      <c r="K2594" s="51">
        <v>41345</v>
      </c>
      <c r="L2594" s="173">
        <v>41341</v>
      </c>
      <c r="M2594" s="50">
        <f t="shared" si="148"/>
        <v>4</v>
      </c>
      <c r="N2594" s="50" t="s">
        <v>2</v>
      </c>
      <c r="O2594" s="74">
        <f>2.5/2</f>
        <v>1.25</v>
      </c>
      <c r="P2594" s="50">
        <v>6.58</v>
      </c>
      <c r="Q2594" s="74">
        <v>6.13</v>
      </c>
      <c r="R2594" s="50">
        <v>43</v>
      </c>
      <c r="S2594" s="74">
        <v>16</v>
      </c>
      <c r="T2594" s="50">
        <f>0.1/2</f>
        <v>0.05</v>
      </c>
      <c r="U2594" s="131">
        <f>1/2</f>
        <v>0.5</v>
      </c>
      <c r="V2594" s="50">
        <v>0.54</v>
      </c>
      <c r="W2594" s="74">
        <f>0.04/2</f>
        <v>0.02</v>
      </c>
      <c r="X2594" s="50">
        <v>0.54</v>
      </c>
      <c r="Y2594" s="74">
        <f>0.013/2</f>
        <v>6.4999999999999997E-3</v>
      </c>
      <c r="Z2594" s="165"/>
    </row>
    <row r="2595" spans="1:31" ht="15" customHeight="1">
      <c r="A2595" s="41" t="s">
        <v>183</v>
      </c>
      <c r="B2595" s="386" t="s">
        <v>523</v>
      </c>
      <c r="C2595" s="149" t="s">
        <v>523</v>
      </c>
      <c r="D2595" s="392" t="s">
        <v>350</v>
      </c>
      <c r="E2595" s="258" t="s">
        <v>986</v>
      </c>
      <c r="G2595" s="405" t="s">
        <v>524</v>
      </c>
      <c r="H2595" s="74">
        <v>8734</v>
      </c>
      <c r="I2595" s="50" t="s">
        <v>2</v>
      </c>
      <c r="J2595" s="48" t="s">
        <v>1999</v>
      </c>
      <c r="K2595" s="51">
        <v>41345</v>
      </c>
      <c r="L2595" s="173">
        <v>41341</v>
      </c>
      <c r="M2595" s="50">
        <f t="shared" si="148"/>
        <v>4</v>
      </c>
      <c r="N2595" s="50" t="s">
        <v>2</v>
      </c>
      <c r="O2595" s="74">
        <f>2.5/2</f>
        <v>1.25</v>
      </c>
      <c r="P2595" s="50">
        <v>6.58</v>
      </c>
      <c r="Q2595" s="74">
        <v>7.02</v>
      </c>
      <c r="R2595" s="50">
        <v>120</v>
      </c>
      <c r="S2595" s="74">
        <v>46</v>
      </c>
      <c r="T2595" s="50">
        <f>0.1/2</f>
        <v>0.05</v>
      </c>
      <c r="U2595" s="131">
        <f>1/2</f>
        <v>0.5</v>
      </c>
      <c r="V2595" s="50">
        <v>2.5</v>
      </c>
      <c r="W2595" s="74">
        <f>0.04/2</f>
        <v>0.02</v>
      </c>
      <c r="X2595" s="50">
        <v>0.19</v>
      </c>
      <c r="Y2595" s="74">
        <f>0.013/2</f>
        <v>6.4999999999999997E-3</v>
      </c>
      <c r="Z2595" s="165"/>
    </row>
    <row r="2596" spans="1:31" ht="15" customHeight="1">
      <c r="A2596" s="41" t="s">
        <v>183</v>
      </c>
      <c r="B2596" s="402" t="s">
        <v>5404</v>
      </c>
      <c r="C2596" s="113" t="s">
        <v>5404</v>
      </c>
      <c r="D2596" s="393" t="s">
        <v>205</v>
      </c>
      <c r="E2596" s="394" t="s">
        <v>1056</v>
      </c>
      <c r="G2596" s="405" t="s">
        <v>5405</v>
      </c>
      <c r="H2596" s="74">
        <v>3564</v>
      </c>
      <c r="I2596" s="50" t="s">
        <v>2</v>
      </c>
      <c r="J2596" s="339" t="s">
        <v>641</v>
      </c>
      <c r="K2596" s="51">
        <v>41316</v>
      </c>
      <c r="L2596" s="173">
        <v>41311</v>
      </c>
      <c r="M2596" s="50">
        <f t="shared" si="148"/>
        <v>5</v>
      </c>
      <c r="N2596" s="50" t="s">
        <v>2</v>
      </c>
      <c r="O2596" s="74">
        <f>1.6/2</f>
        <v>0.8</v>
      </c>
      <c r="P2596" s="50">
        <v>6.5</v>
      </c>
      <c r="Q2596" s="74">
        <v>6.69</v>
      </c>
      <c r="R2596" s="50">
        <v>34</v>
      </c>
      <c r="S2596" s="74">
        <v>14</v>
      </c>
      <c r="T2596" s="50">
        <v>0.05</v>
      </c>
      <c r="U2596" s="131">
        <v>0.55000000000000004</v>
      </c>
      <c r="V2596" s="50">
        <v>0.15</v>
      </c>
      <c r="W2596" s="74">
        <v>7.0000000000000001E-3</v>
      </c>
      <c r="X2596" s="50">
        <v>6.6000000000000003E-2</v>
      </c>
      <c r="Y2596" s="74">
        <v>6.0000000000000001E-3</v>
      </c>
      <c r="Z2596" s="165">
        <v>1</v>
      </c>
      <c r="AA2596" s="271">
        <v>1</v>
      </c>
      <c r="AB2596" s="114">
        <v>46</v>
      </c>
      <c r="AC2596" s="50">
        <v>2250</v>
      </c>
      <c r="AD2596" s="271">
        <v>1</v>
      </c>
    </row>
    <row r="2597" spans="1:31" ht="15" customHeight="1">
      <c r="A2597" s="41" t="s">
        <v>183</v>
      </c>
      <c r="B2597" s="402" t="s">
        <v>2317</v>
      </c>
      <c r="C2597" s="113" t="s">
        <v>2317</v>
      </c>
      <c r="D2597" s="393" t="s">
        <v>268</v>
      </c>
      <c r="E2597" s="394" t="s">
        <v>269</v>
      </c>
      <c r="G2597" s="405" t="s">
        <v>2318</v>
      </c>
      <c r="H2597" s="74">
        <v>3471</v>
      </c>
      <c r="J2597" s="339" t="s">
        <v>249</v>
      </c>
      <c r="K2597" s="51">
        <v>41345</v>
      </c>
      <c r="L2597" s="173">
        <v>41341</v>
      </c>
      <c r="M2597" s="50">
        <f t="shared" si="148"/>
        <v>4</v>
      </c>
      <c r="N2597" s="50" t="s">
        <v>2</v>
      </c>
      <c r="O2597" s="74">
        <f>1/2</f>
        <v>0.5</v>
      </c>
      <c r="P2597" s="50">
        <v>5.29</v>
      </c>
      <c r="Q2597" s="74">
        <v>7.3</v>
      </c>
      <c r="R2597" s="50">
        <f>1/2</f>
        <v>0.5</v>
      </c>
      <c r="S2597" s="74">
        <v>3</v>
      </c>
      <c r="T2597" s="50">
        <v>0.18</v>
      </c>
      <c r="U2597" s="131">
        <v>0.56000000000000005</v>
      </c>
      <c r="V2597" s="50">
        <v>0.54</v>
      </c>
      <c r="W2597" s="74">
        <v>1.9E-2</v>
      </c>
      <c r="X2597" s="50">
        <v>0.57999999999999996</v>
      </c>
      <c r="Y2597" s="74">
        <v>5.0000000000000001E-3</v>
      </c>
      <c r="Z2597" s="165">
        <v>1</v>
      </c>
      <c r="AA2597" s="271">
        <v>0.71199999999999997</v>
      </c>
      <c r="AB2597" s="114">
        <v>50.01</v>
      </c>
      <c r="AC2597" s="50">
        <v>286</v>
      </c>
      <c r="AD2597" s="271">
        <v>0.4</v>
      </c>
    </row>
    <row r="2598" spans="1:31" ht="15" customHeight="1">
      <c r="A2598" s="41" t="s">
        <v>183</v>
      </c>
      <c r="B2598" s="402" t="s">
        <v>2317</v>
      </c>
      <c r="C2598" s="113" t="s">
        <v>2317</v>
      </c>
      <c r="D2598" s="393" t="s">
        <v>268</v>
      </c>
      <c r="E2598" s="394" t="s">
        <v>269</v>
      </c>
      <c r="G2598" s="405" t="s">
        <v>2318</v>
      </c>
      <c r="H2598" s="74">
        <v>3471</v>
      </c>
      <c r="J2598" s="339" t="s">
        <v>1999</v>
      </c>
      <c r="K2598" s="51">
        <v>41345</v>
      </c>
      <c r="L2598" s="173">
        <v>41341</v>
      </c>
      <c r="M2598" s="50">
        <f t="shared" si="148"/>
        <v>4</v>
      </c>
      <c r="N2598" s="50" t="s">
        <v>2</v>
      </c>
      <c r="O2598" s="74">
        <f>1/2</f>
        <v>0.5</v>
      </c>
      <c r="P2598" s="50">
        <v>5.29</v>
      </c>
      <c r="Q2598" s="74">
        <v>7.41</v>
      </c>
      <c r="R2598" s="50">
        <v>3.7</v>
      </c>
      <c r="S2598" s="74">
        <v>1</v>
      </c>
      <c r="T2598" s="50">
        <f>0.05</f>
        <v>0.05</v>
      </c>
      <c r="U2598" s="131">
        <v>1.1200000000000001</v>
      </c>
      <c r="V2598" s="50">
        <v>0.67</v>
      </c>
      <c r="W2598" s="74">
        <v>1.9E-2</v>
      </c>
      <c r="X2598" s="50">
        <v>0.14399999999999999</v>
      </c>
      <c r="Y2598" s="74">
        <v>5.0000000000000001E-3</v>
      </c>
      <c r="Z2598" s="165">
        <v>0.154</v>
      </c>
      <c r="AA2598" s="271">
        <v>0.09</v>
      </c>
      <c r="AB2598" s="114">
        <v>6.28</v>
      </c>
      <c r="AC2598" s="50">
        <v>37</v>
      </c>
      <c r="AD2598" s="271">
        <v>0</v>
      </c>
    </row>
    <row r="2599" spans="1:31" ht="15" customHeight="1">
      <c r="A2599" s="41" t="s">
        <v>183</v>
      </c>
      <c r="B2599" s="402" t="s">
        <v>2317</v>
      </c>
      <c r="C2599" s="113" t="s">
        <v>2317</v>
      </c>
      <c r="D2599" s="393" t="s">
        <v>268</v>
      </c>
      <c r="E2599" s="394" t="s">
        <v>269</v>
      </c>
      <c r="G2599" s="405" t="s">
        <v>2318</v>
      </c>
      <c r="H2599" s="74">
        <v>3471</v>
      </c>
      <c r="J2599" s="339" t="s">
        <v>492</v>
      </c>
      <c r="K2599" s="51">
        <v>41345</v>
      </c>
      <c r="L2599" s="173">
        <v>41341</v>
      </c>
      <c r="M2599" s="50">
        <f t="shared" si="148"/>
        <v>4</v>
      </c>
      <c r="N2599" s="50" t="s">
        <v>2</v>
      </c>
      <c r="O2599" s="74">
        <f>1/2</f>
        <v>0.5</v>
      </c>
      <c r="P2599" s="50">
        <v>5.29</v>
      </c>
      <c r="Q2599" s="74">
        <v>7.17</v>
      </c>
      <c r="R2599" s="50">
        <v>7.5</v>
      </c>
      <c r="S2599" s="74">
        <f>1/2</f>
        <v>0.5</v>
      </c>
      <c r="T2599" s="50">
        <f>0.05/2</f>
        <v>2.5000000000000001E-2</v>
      </c>
      <c r="U2599" s="131">
        <v>1.1000000000000001</v>
      </c>
      <c r="V2599" s="50">
        <v>0.42</v>
      </c>
      <c r="W2599" s="74">
        <v>1.7000000000000001E-2</v>
      </c>
      <c r="X2599" s="50">
        <v>9.0999999999999998E-2</v>
      </c>
      <c r="Y2599" s="74">
        <v>5.0000000000000001E-3</v>
      </c>
      <c r="Z2599" s="165">
        <v>1</v>
      </c>
      <c r="AA2599" s="271">
        <v>1</v>
      </c>
      <c r="AB2599" s="114">
        <v>54.52</v>
      </c>
      <c r="AC2599" s="50">
        <v>170</v>
      </c>
      <c r="AD2599" s="271">
        <v>1</v>
      </c>
    </row>
    <row r="2600" spans="1:31" ht="15" customHeight="1">
      <c r="A2600" s="41" t="s">
        <v>183</v>
      </c>
      <c r="B2600" s="402" t="s">
        <v>2175</v>
      </c>
      <c r="C2600" s="113" t="s">
        <v>2175</v>
      </c>
      <c r="D2600" s="393" t="s">
        <v>559</v>
      </c>
      <c r="E2600" s="394" t="s">
        <v>2176</v>
      </c>
      <c r="G2600" s="405" t="s">
        <v>2177</v>
      </c>
      <c r="H2600" s="74">
        <v>3492</v>
      </c>
      <c r="I2600" s="50" t="s">
        <v>2</v>
      </c>
      <c r="J2600" s="48" t="s">
        <v>2179</v>
      </c>
      <c r="K2600" s="51">
        <v>41346</v>
      </c>
      <c r="L2600" s="173">
        <v>41341</v>
      </c>
      <c r="M2600" s="50">
        <f t="shared" si="148"/>
        <v>5</v>
      </c>
      <c r="N2600" s="50" t="s">
        <v>2</v>
      </c>
      <c r="O2600" s="74">
        <v>0.7</v>
      </c>
      <c r="P2600" s="50">
        <v>6.85</v>
      </c>
      <c r="Q2600" s="74">
        <v>7.69</v>
      </c>
      <c r="R2600" s="50">
        <v>17</v>
      </c>
      <c r="S2600" s="74">
        <v>16</v>
      </c>
      <c r="T2600" s="50">
        <v>0.04</v>
      </c>
      <c r="U2600" s="131">
        <v>0.31</v>
      </c>
      <c r="V2600" s="50">
        <v>0.1</v>
      </c>
      <c r="W2600" s="74">
        <v>2.5000000000000001E-3</v>
      </c>
      <c r="X2600" s="50">
        <v>1.7999999999999999E-2</v>
      </c>
      <c r="Y2600" s="74">
        <v>1E-3</v>
      </c>
      <c r="Z2600" s="165"/>
    </row>
    <row r="2601" spans="1:31" ht="15" customHeight="1">
      <c r="A2601" s="41" t="s">
        <v>183</v>
      </c>
      <c r="B2601" s="402" t="s">
        <v>2175</v>
      </c>
      <c r="C2601" s="113" t="s">
        <v>2175</v>
      </c>
      <c r="D2601" s="393" t="s">
        <v>559</v>
      </c>
      <c r="E2601" s="394" t="s">
        <v>2176</v>
      </c>
      <c r="G2601" s="405" t="s">
        <v>2177</v>
      </c>
      <c r="H2601" s="74">
        <v>3492</v>
      </c>
      <c r="I2601" s="50" t="s">
        <v>2</v>
      </c>
      <c r="J2601" s="48" t="s">
        <v>2178</v>
      </c>
      <c r="K2601" s="51">
        <v>41346</v>
      </c>
      <c r="L2601" s="173">
        <v>41341</v>
      </c>
      <c r="M2601" s="50">
        <f t="shared" si="148"/>
        <v>5</v>
      </c>
      <c r="N2601" s="50" t="s">
        <v>2</v>
      </c>
      <c r="O2601" s="74">
        <v>0.7</v>
      </c>
      <c r="P2601" s="50">
        <v>6.51</v>
      </c>
      <c r="Q2601" s="74">
        <v>6.79</v>
      </c>
      <c r="R2601" s="50">
        <v>36</v>
      </c>
      <c r="S2601" s="74">
        <v>5</v>
      </c>
      <c r="T2601" s="50">
        <v>0.03</v>
      </c>
      <c r="U2601" s="131">
        <v>0.32</v>
      </c>
      <c r="V2601" s="50">
        <v>0.61</v>
      </c>
      <c r="W2601" s="74">
        <v>6.0000000000000001E-3</v>
      </c>
      <c r="X2601" s="50">
        <v>6.4000000000000001E-2</v>
      </c>
      <c r="Y2601" s="74">
        <v>1.0999999999999999E-2</v>
      </c>
      <c r="Z2601" s="165"/>
    </row>
    <row r="2602" spans="1:31" ht="15" customHeight="1">
      <c r="A2602" s="41" t="s">
        <v>183</v>
      </c>
      <c r="B2602" s="402" t="s">
        <v>289</v>
      </c>
      <c r="C2602" s="113" t="s">
        <v>289</v>
      </c>
      <c r="D2602" s="393" t="s">
        <v>290</v>
      </c>
      <c r="E2602" s="394" t="s">
        <v>112</v>
      </c>
      <c r="G2602" s="405" t="s">
        <v>291</v>
      </c>
      <c r="H2602" s="74">
        <v>3356</v>
      </c>
      <c r="I2602" s="50" t="s">
        <v>2</v>
      </c>
      <c r="J2602" s="339" t="s">
        <v>292</v>
      </c>
      <c r="K2602" s="51">
        <v>41428</v>
      </c>
      <c r="L2602" s="173"/>
      <c r="N2602" s="50" t="s">
        <v>2</v>
      </c>
      <c r="O2602" s="74">
        <f>2/2</f>
        <v>1</v>
      </c>
      <c r="P2602" s="50">
        <v>6.4</v>
      </c>
      <c r="Q2602" s="74">
        <v>6.2</v>
      </c>
      <c r="R2602" s="50">
        <f>10/2</f>
        <v>5</v>
      </c>
      <c r="S2602" s="74">
        <v>2</v>
      </c>
      <c r="T2602" s="50">
        <f>0.05/2</f>
        <v>2.5000000000000001E-2</v>
      </c>
      <c r="U2602" s="131">
        <v>0.34</v>
      </c>
      <c r="V2602" s="50">
        <v>0.18</v>
      </c>
      <c r="W2602" s="74">
        <f>0.01/2</f>
        <v>5.0000000000000001E-3</v>
      </c>
      <c r="X2602" s="50">
        <f>0.03/2</f>
        <v>1.4999999999999999E-2</v>
      </c>
      <c r="Y2602" s="74">
        <v>7.2999999999999995E-2</v>
      </c>
      <c r="Z2602" s="165"/>
      <c r="AE2602" s="50">
        <v>200</v>
      </c>
    </row>
    <row r="2603" spans="1:31" ht="15" customHeight="1">
      <c r="A2603" s="41" t="s">
        <v>183</v>
      </c>
      <c r="B2603" s="402" t="s">
        <v>1817</v>
      </c>
      <c r="C2603" s="113" t="s">
        <v>1817</v>
      </c>
      <c r="E2603" s="394" t="s">
        <v>322</v>
      </c>
      <c r="F2603" s="402" t="s">
        <v>1911</v>
      </c>
      <c r="G2603" s="405" t="s">
        <v>1792</v>
      </c>
      <c r="H2603" s="74">
        <v>3353</v>
      </c>
      <c r="I2603" s="50" t="s">
        <v>2</v>
      </c>
      <c r="J2603" s="48" t="s">
        <v>1793</v>
      </c>
      <c r="K2603" s="51">
        <v>41508</v>
      </c>
      <c r="L2603" s="173">
        <v>41495</v>
      </c>
      <c r="M2603" s="50">
        <f>K2603-L2603</f>
        <v>13</v>
      </c>
      <c r="N2603" s="50" t="s">
        <v>2</v>
      </c>
      <c r="O2603" s="74">
        <f>1.4/2</f>
        <v>0.7</v>
      </c>
      <c r="P2603" s="50">
        <v>5.52</v>
      </c>
      <c r="Q2603" s="74">
        <v>5.96</v>
      </c>
      <c r="R2603" s="50">
        <f>10/2</f>
        <v>5</v>
      </c>
      <c r="S2603" s="74">
        <f>5/2</f>
        <v>2.5</v>
      </c>
      <c r="T2603" s="50">
        <v>0.01</v>
      </c>
      <c r="U2603" s="131">
        <v>0.19</v>
      </c>
      <c r="V2603" s="50">
        <v>0.33</v>
      </c>
      <c r="W2603" s="74">
        <f>0.005</f>
        <v>5.0000000000000001E-3</v>
      </c>
      <c r="X2603" s="50">
        <v>0.11799999999999999</v>
      </c>
      <c r="Y2603" s="74">
        <f>0.002</f>
        <v>2E-3</v>
      </c>
      <c r="Z2603" s="165"/>
    </row>
    <row r="2604" spans="1:31" ht="15" customHeight="1">
      <c r="A2604" s="41" t="s">
        <v>183</v>
      </c>
      <c r="B2604" s="386" t="s">
        <v>523</v>
      </c>
      <c r="C2604" s="149" t="s">
        <v>523</v>
      </c>
      <c r="D2604" s="392" t="s">
        <v>350</v>
      </c>
      <c r="E2604" s="258" t="s">
        <v>986</v>
      </c>
      <c r="G2604" s="405" t="s">
        <v>524</v>
      </c>
      <c r="H2604" s="74">
        <v>8734</v>
      </c>
      <c r="I2604" s="50" t="s">
        <v>2</v>
      </c>
      <c r="J2604" s="48" t="s">
        <v>249</v>
      </c>
      <c r="K2604" s="51">
        <v>41495</v>
      </c>
      <c r="L2604" s="173">
        <v>41490</v>
      </c>
      <c r="M2604" s="50">
        <f>K2604-L2604</f>
        <v>5</v>
      </c>
      <c r="N2604" s="50" t="s">
        <v>2</v>
      </c>
      <c r="O2604" s="74">
        <f>2.5/2</f>
        <v>1.25</v>
      </c>
      <c r="P2604" s="50">
        <v>5.14</v>
      </c>
      <c r="Q2604" s="74">
        <v>6.28</v>
      </c>
      <c r="R2604" s="50">
        <v>40</v>
      </c>
      <c r="S2604" s="74">
        <v>10</v>
      </c>
      <c r="T2604" s="50">
        <f>0.1/2</f>
        <v>0.05</v>
      </c>
      <c r="U2604" s="131">
        <v>1.9</v>
      </c>
      <c r="V2604" s="50">
        <v>0.8</v>
      </c>
      <c r="W2604" s="74">
        <f>0.04/2</f>
        <v>0.02</v>
      </c>
      <c r="X2604" s="50">
        <v>0.6</v>
      </c>
      <c r="Y2604" s="74">
        <f>0.013/2</f>
        <v>6.4999999999999997E-3</v>
      </c>
      <c r="Z2604" s="165">
        <v>1</v>
      </c>
      <c r="AA2604" s="271">
        <v>0.82</v>
      </c>
      <c r="AB2604" s="114">
        <v>28</v>
      </c>
      <c r="AC2604" s="50">
        <v>145</v>
      </c>
      <c r="AD2604" s="271">
        <v>0.5</v>
      </c>
    </row>
    <row r="2605" spans="1:31" ht="15" customHeight="1">
      <c r="A2605" s="41" t="s">
        <v>183</v>
      </c>
      <c r="B2605" s="386" t="s">
        <v>523</v>
      </c>
      <c r="C2605" s="149" t="s">
        <v>523</v>
      </c>
      <c r="D2605" s="392" t="s">
        <v>350</v>
      </c>
      <c r="E2605" s="258" t="s">
        <v>986</v>
      </c>
      <c r="G2605" s="405" t="s">
        <v>524</v>
      </c>
      <c r="H2605" s="74">
        <v>8734</v>
      </c>
      <c r="I2605" s="50" t="s">
        <v>2</v>
      </c>
      <c r="J2605" s="48" t="s">
        <v>1999</v>
      </c>
      <c r="K2605" s="51">
        <v>41495</v>
      </c>
      <c r="L2605" s="173">
        <v>41490</v>
      </c>
      <c r="M2605" s="50">
        <f>K2605-L2605</f>
        <v>5</v>
      </c>
      <c r="N2605" s="50" t="s">
        <v>2</v>
      </c>
      <c r="O2605" s="74">
        <f>2.5/2</f>
        <v>1.25</v>
      </c>
      <c r="P2605" s="50">
        <v>6.23</v>
      </c>
      <c r="Q2605" s="74">
        <v>5.14</v>
      </c>
      <c r="R2605" s="50">
        <v>53</v>
      </c>
      <c r="S2605" s="74">
        <f>5/2</f>
        <v>2.5</v>
      </c>
      <c r="T2605" s="50">
        <v>0.14000000000000001</v>
      </c>
      <c r="U2605" s="131">
        <v>1.5</v>
      </c>
      <c r="V2605" s="50">
        <v>2.1</v>
      </c>
      <c r="W2605" s="74">
        <f>0.04/2</f>
        <v>0.02</v>
      </c>
      <c r="X2605" s="50">
        <v>6.0999999999999999E-2</v>
      </c>
      <c r="Y2605" s="74">
        <f>0.013/2</f>
        <v>6.4999999999999997E-3</v>
      </c>
      <c r="Z2605" s="165">
        <v>1</v>
      </c>
      <c r="AA2605" s="271">
        <v>1</v>
      </c>
      <c r="AB2605" s="114">
        <v>76</v>
      </c>
      <c r="AC2605" s="50">
        <v>231</v>
      </c>
      <c r="AD2605" s="271">
        <v>1</v>
      </c>
    </row>
    <row r="2606" spans="1:31" ht="15" customHeight="1">
      <c r="A2606" s="41" t="s">
        <v>183</v>
      </c>
      <c r="B2606" s="386" t="s">
        <v>680</v>
      </c>
      <c r="C2606" s="149" t="s">
        <v>680</v>
      </c>
      <c r="D2606" s="393" t="s">
        <v>303</v>
      </c>
      <c r="E2606" s="394" t="s">
        <v>3156</v>
      </c>
      <c r="G2606" s="405" t="s">
        <v>682</v>
      </c>
      <c r="H2606" s="74">
        <v>3999</v>
      </c>
      <c r="I2606" s="50" t="s">
        <v>2</v>
      </c>
      <c r="J2606" s="339" t="s">
        <v>81</v>
      </c>
      <c r="K2606" s="51">
        <v>41487</v>
      </c>
      <c r="L2606" s="173">
        <v>41484</v>
      </c>
      <c r="M2606" s="50">
        <f>K2606-L2606</f>
        <v>3</v>
      </c>
      <c r="N2606" s="50" t="s">
        <v>2</v>
      </c>
      <c r="O2606" s="74">
        <f>5/2</f>
        <v>2.5</v>
      </c>
      <c r="P2606" s="50">
        <v>6</v>
      </c>
      <c r="Q2606" s="74">
        <v>6.02</v>
      </c>
      <c r="R2606" s="50">
        <v>87</v>
      </c>
      <c r="S2606" s="74">
        <v>18</v>
      </c>
      <c r="T2606" s="50">
        <f>0.1/2</f>
        <v>0.05</v>
      </c>
      <c r="U2606" s="131">
        <v>2.1</v>
      </c>
      <c r="V2606" s="50">
        <v>1.9</v>
      </c>
      <c r="W2606" s="74">
        <f>0.04/2</f>
        <v>0.02</v>
      </c>
      <c r="X2606" s="50">
        <v>3.5</v>
      </c>
      <c r="Y2606" s="74">
        <v>7.5999999999999998E-2</v>
      </c>
      <c r="Z2606" s="165">
        <v>0.125</v>
      </c>
      <c r="AA2606" s="271">
        <v>6.9699999999999998E-2</v>
      </c>
      <c r="AB2606" s="114">
        <v>23</v>
      </c>
      <c r="AC2606" s="50">
        <v>9</v>
      </c>
      <c r="AD2606" s="271">
        <v>0</v>
      </c>
    </row>
    <row r="2607" spans="1:31" ht="15" customHeight="1">
      <c r="A2607" s="41" t="s">
        <v>183</v>
      </c>
      <c r="B2607" s="402" t="s">
        <v>5032</v>
      </c>
      <c r="C2607" s="113" t="s">
        <v>5077</v>
      </c>
      <c r="D2607" s="393" t="s">
        <v>2913</v>
      </c>
      <c r="E2607" s="394" t="s">
        <v>5033</v>
      </c>
      <c r="G2607" s="405" t="s">
        <v>5034</v>
      </c>
      <c r="H2607" s="74">
        <v>3724</v>
      </c>
      <c r="I2607" s="50" t="s">
        <v>2</v>
      </c>
      <c r="J2607" s="339" t="s">
        <v>1943</v>
      </c>
      <c r="K2607" s="51">
        <v>41478</v>
      </c>
      <c r="L2607" s="173"/>
      <c r="M2607" s="173" t="s">
        <v>3434</v>
      </c>
      <c r="N2607" s="50" t="s">
        <v>2</v>
      </c>
      <c r="O2607" s="74">
        <f>1.4/2</f>
        <v>0.7</v>
      </c>
      <c r="P2607" s="50">
        <v>6.67</v>
      </c>
      <c r="Q2607" s="74">
        <v>5.36</v>
      </c>
      <c r="R2607" s="50">
        <v>10</v>
      </c>
      <c r="S2607" s="74">
        <f>5/2</f>
        <v>2.5</v>
      </c>
      <c r="T2607" s="50">
        <v>0.04</v>
      </c>
      <c r="U2607" s="131">
        <v>0.47</v>
      </c>
      <c r="V2607" s="50">
        <v>0.02</v>
      </c>
      <c r="W2607" s="74">
        <f>0.005/2</f>
        <v>2.5000000000000001E-3</v>
      </c>
      <c r="X2607" s="50">
        <v>1.9E-2</v>
      </c>
      <c r="Y2607" s="74">
        <v>0.03</v>
      </c>
      <c r="Z2607" s="165">
        <v>1</v>
      </c>
      <c r="AA2607" s="271">
        <v>1</v>
      </c>
      <c r="AB2607" s="114">
        <v>2</v>
      </c>
      <c r="AC2607" s="50">
        <v>12</v>
      </c>
      <c r="AD2607" s="271">
        <v>0.95</v>
      </c>
    </row>
    <row r="2608" spans="1:31" ht="15" customHeight="1">
      <c r="A2608" s="41" t="s">
        <v>183</v>
      </c>
      <c r="B2608" s="402" t="s">
        <v>1408</v>
      </c>
      <c r="C2608" s="113" t="s">
        <v>1408</v>
      </c>
      <c r="D2608" s="393" t="s">
        <v>347</v>
      </c>
      <c r="E2608" s="394" t="s">
        <v>5393</v>
      </c>
      <c r="G2608" s="405" t="s">
        <v>1409</v>
      </c>
      <c r="H2608" s="74">
        <v>3351</v>
      </c>
      <c r="I2608" s="50" t="s">
        <v>2</v>
      </c>
      <c r="J2608" s="339" t="s">
        <v>249</v>
      </c>
      <c r="K2608" s="51">
        <v>41508</v>
      </c>
      <c r="L2608" s="173">
        <v>41499</v>
      </c>
      <c r="M2608" s="50">
        <f t="shared" ref="M2608:M2622" si="151">K2608-L2608</f>
        <v>9</v>
      </c>
      <c r="N2608" s="50" t="s">
        <v>2</v>
      </c>
      <c r="O2608" s="74">
        <f>1/2</f>
        <v>0.5</v>
      </c>
      <c r="P2608" s="50">
        <v>6.56</v>
      </c>
      <c r="Q2608" s="74">
        <v>6.16</v>
      </c>
      <c r="R2608" s="50">
        <v>35.299999999999997</v>
      </c>
      <c r="S2608" s="74">
        <v>24</v>
      </c>
      <c r="T2608" s="50">
        <v>0.12</v>
      </c>
      <c r="U2608" s="131">
        <v>1.53</v>
      </c>
      <c r="V2608" s="50">
        <v>1.38</v>
      </c>
      <c r="W2608" s="74">
        <v>0.54700000000000004</v>
      </c>
      <c r="X2608" s="50">
        <v>0.60899999999999999</v>
      </c>
      <c r="Y2608" s="74">
        <v>1.2E-2</v>
      </c>
      <c r="Z2608" s="165">
        <v>6.25E-2</v>
      </c>
      <c r="AA2608" s="271">
        <v>6.25E-2</v>
      </c>
      <c r="AB2608" s="114">
        <v>7.6</v>
      </c>
      <c r="AC2608" s="50">
        <v>40</v>
      </c>
      <c r="AD2608" s="271">
        <v>0</v>
      </c>
    </row>
    <row r="2609" spans="1:32" ht="15" customHeight="1">
      <c r="A2609" s="41" t="s">
        <v>183</v>
      </c>
      <c r="B2609" s="402" t="s">
        <v>2175</v>
      </c>
      <c r="C2609" s="113" t="s">
        <v>2175</v>
      </c>
      <c r="D2609" s="393" t="s">
        <v>559</v>
      </c>
      <c r="E2609" s="394" t="s">
        <v>2176</v>
      </c>
      <c r="G2609" s="405" t="s">
        <v>2177</v>
      </c>
      <c r="H2609" s="74">
        <v>3492</v>
      </c>
      <c r="I2609" s="50" t="s">
        <v>2</v>
      </c>
      <c r="J2609" s="48" t="s">
        <v>2178</v>
      </c>
      <c r="K2609" s="51">
        <v>41487</v>
      </c>
      <c r="L2609" s="173">
        <v>41481</v>
      </c>
      <c r="M2609" s="50">
        <f t="shared" si="151"/>
        <v>6</v>
      </c>
      <c r="N2609" s="50" t="s">
        <v>2</v>
      </c>
      <c r="O2609" s="74">
        <f>1.4/2</f>
        <v>0.7</v>
      </c>
      <c r="P2609" s="50">
        <v>5.9</v>
      </c>
      <c r="Q2609" s="74">
        <v>5.61</v>
      </c>
      <c r="R2609" s="50">
        <v>10</v>
      </c>
      <c r="S2609" s="74">
        <v>7</v>
      </c>
      <c r="T2609" s="50">
        <v>0.02</v>
      </c>
      <c r="U2609" s="131">
        <v>0.72</v>
      </c>
      <c r="V2609" s="50">
        <v>0.94</v>
      </c>
      <c r="W2609" s="74">
        <v>0.02</v>
      </c>
      <c r="X2609" s="50">
        <v>0.57099999999999995</v>
      </c>
      <c r="Y2609" s="74">
        <v>2.1999999999999999E-2</v>
      </c>
      <c r="Z2609" s="165">
        <v>0.42</v>
      </c>
      <c r="AA2609" s="271">
        <v>0.40600000000000003</v>
      </c>
      <c r="AB2609" s="114">
        <v>4</v>
      </c>
      <c r="AC2609" s="50">
        <v>23</v>
      </c>
      <c r="AD2609" s="271">
        <v>0</v>
      </c>
    </row>
    <row r="2610" spans="1:32" ht="15" customHeight="1">
      <c r="A2610" s="41" t="s">
        <v>183</v>
      </c>
      <c r="B2610" s="402" t="s">
        <v>2175</v>
      </c>
      <c r="C2610" s="113" t="s">
        <v>2175</v>
      </c>
      <c r="D2610" s="393" t="s">
        <v>559</v>
      </c>
      <c r="E2610" s="394" t="s">
        <v>2176</v>
      </c>
      <c r="G2610" s="405" t="s">
        <v>2177</v>
      </c>
      <c r="H2610" s="74">
        <v>3492</v>
      </c>
      <c r="I2610" s="50" t="s">
        <v>2</v>
      </c>
      <c r="J2610" s="48" t="s">
        <v>2178</v>
      </c>
      <c r="K2610" s="51">
        <v>41487</v>
      </c>
      <c r="L2610" s="173">
        <v>41481</v>
      </c>
      <c r="M2610" s="50">
        <f t="shared" si="151"/>
        <v>6</v>
      </c>
      <c r="N2610" s="50" t="s">
        <v>2</v>
      </c>
      <c r="O2610" s="74">
        <f>1.4/2</f>
        <v>0.7</v>
      </c>
      <c r="P2610" s="50">
        <v>5.75</v>
      </c>
      <c r="Q2610" s="74">
        <v>5.78</v>
      </c>
      <c r="R2610" s="50">
        <v>13</v>
      </c>
      <c r="S2610" s="74">
        <v>8</v>
      </c>
      <c r="T2610" s="50">
        <v>0.03</v>
      </c>
      <c r="U2610" s="131">
        <v>0.73</v>
      </c>
      <c r="V2610" s="50">
        <v>1.02</v>
      </c>
      <c r="W2610" s="74">
        <v>1.2999999999999999E-2</v>
      </c>
      <c r="X2610" s="50">
        <v>0.58899999999999997</v>
      </c>
      <c r="Y2610" s="74">
        <v>0.02</v>
      </c>
      <c r="Z2610" s="165">
        <v>0.35399999999999998</v>
      </c>
      <c r="AA2610" s="271">
        <v>0.31900000000000001</v>
      </c>
      <c r="AB2610" s="114">
        <v>4</v>
      </c>
      <c r="AC2610" s="50">
        <v>20</v>
      </c>
      <c r="AD2610" s="271">
        <v>0</v>
      </c>
    </row>
    <row r="2611" spans="1:32" ht="15" customHeight="1">
      <c r="A2611" s="41" t="s">
        <v>183</v>
      </c>
      <c r="B2611" s="386" t="s">
        <v>583</v>
      </c>
      <c r="C2611" s="149" t="s">
        <v>583</v>
      </c>
      <c r="D2611" s="392" t="s">
        <v>290</v>
      </c>
      <c r="E2611" s="258" t="s">
        <v>584</v>
      </c>
      <c r="F2611" s="386"/>
      <c r="G2611" s="405" t="s">
        <v>585</v>
      </c>
      <c r="H2611" s="74">
        <v>3471</v>
      </c>
      <c r="I2611" s="50" t="s">
        <v>1</v>
      </c>
      <c r="J2611" s="61" t="s">
        <v>194</v>
      </c>
      <c r="K2611" s="51">
        <v>41487</v>
      </c>
      <c r="L2611" s="173">
        <v>41481</v>
      </c>
      <c r="M2611" s="50">
        <f t="shared" si="151"/>
        <v>6</v>
      </c>
      <c r="N2611" s="50" t="s">
        <v>2</v>
      </c>
      <c r="O2611" s="74">
        <f>0.5/2</f>
        <v>0.25</v>
      </c>
      <c r="P2611" s="50">
        <v>3.88</v>
      </c>
      <c r="Q2611" s="74">
        <v>5.1100000000000003</v>
      </c>
      <c r="R2611" s="50">
        <v>68.8</v>
      </c>
      <c r="S2611" s="74">
        <v>4</v>
      </c>
      <c r="T2611" s="50">
        <v>0.43</v>
      </c>
      <c r="U2611" s="131">
        <v>2.99</v>
      </c>
      <c r="V2611" s="50">
        <v>3.39</v>
      </c>
      <c r="W2611" s="74">
        <v>0.187</v>
      </c>
      <c r="X2611" s="50">
        <v>0.158</v>
      </c>
      <c r="Y2611" s="74">
        <v>5.0000000000000001E-3</v>
      </c>
      <c r="Z2611" s="165"/>
    </row>
    <row r="2612" spans="1:32" ht="15" customHeight="1">
      <c r="A2612" s="74" t="s">
        <v>183</v>
      </c>
      <c r="B2612" s="386" t="s">
        <v>583</v>
      </c>
      <c r="C2612" s="149" t="s">
        <v>583</v>
      </c>
      <c r="D2612" s="392" t="s">
        <v>290</v>
      </c>
      <c r="E2612" s="258" t="s">
        <v>584</v>
      </c>
      <c r="F2612" s="386"/>
      <c r="G2612" s="405" t="s">
        <v>585</v>
      </c>
      <c r="H2612" s="74">
        <v>3471</v>
      </c>
      <c r="I2612" s="50" t="s">
        <v>1</v>
      </c>
      <c r="J2612" s="339" t="s">
        <v>569</v>
      </c>
      <c r="K2612" s="51">
        <v>41487</v>
      </c>
      <c r="L2612" s="173">
        <v>41481</v>
      </c>
      <c r="M2612" s="50">
        <f t="shared" si="151"/>
        <v>6</v>
      </c>
      <c r="N2612" s="50" t="s">
        <v>2</v>
      </c>
      <c r="O2612" s="74">
        <f>0.5/2</f>
        <v>0.25</v>
      </c>
      <c r="P2612" s="50">
        <v>3.88</v>
      </c>
      <c r="Q2612" s="74">
        <v>4.8</v>
      </c>
      <c r="R2612" s="50">
        <v>76.2</v>
      </c>
      <c r="S2612" s="74">
        <v>14</v>
      </c>
      <c r="T2612" s="50">
        <v>0.31</v>
      </c>
      <c r="U2612" s="131">
        <v>2.89</v>
      </c>
      <c r="V2612" s="50">
        <v>3.31</v>
      </c>
      <c r="W2612" s="74">
        <v>6.8000000000000005E-2</v>
      </c>
      <c r="X2612" s="50">
        <v>0.38800000000000001</v>
      </c>
      <c r="Y2612" s="74">
        <v>4.0000000000000001E-3</v>
      </c>
      <c r="Z2612" s="165"/>
    </row>
    <row r="2613" spans="1:32" ht="15" customHeight="1">
      <c r="A2613" s="41" t="s">
        <v>183</v>
      </c>
      <c r="B2613" s="386" t="s">
        <v>583</v>
      </c>
      <c r="C2613" s="149" t="s">
        <v>583</v>
      </c>
      <c r="D2613" s="392" t="s">
        <v>290</v>
      </c>
      <c r="E2613" s="258" t="s">
        <v>584</v>
      </c>
      <c r="F2613" s="386"/>
      <c r="G2613" s="405" t="s">
        <v>585</v>
      </c>
      <c r="H2613" s="74">
        <v>3471</v>
      </c>
      <c r="I2613" s="50" t="s">
        <v>1</v>
      </c>
      <c r="J2613" s="339" t="s">
        <v>586</v>
      </c>
      <c r="K2613" s="51">
        <v>41487</v>
      </c>
      <c r="L2613" s="173">
        <v>41481</v>
      </c>
      <c r="M2613" s="50">
        <f t="shared" si="151"/>
        <v>6</v>
      </c>
      <c r="N2613" s="50" t="s">
        <v>2</v>
      </c>
      <c r="O2613" s="74">
        <f>0.5/2</f>
        <v>0.25</v>
      </c>
      <c r="P2613" s="50">
        <v>3.88</v>
      </c>
      <c r="Q2613" s="74">
        <v>5.0599999999999996</v>
      </c>
      <c r="R2613" s="50">
        <v>71.3</v>
      </c>
      <c r="S2613" s="74">
        <v>39</v>
      </c>
      <c r="T2613" s="50">
        <v>0.35</v>
      </c>
      <c r="U2613" s="131">
        <v>2.68</v>
      </c>
      <c r="V2613" s="50">
        <v>3.56</v>
      </c>
      <c r="W2613" s="74">
        <v>0.14099999999999999</v>
      </c>
      <c r="X2613" s="50">
        <v>0.95499999999999996</v>
      </c>
      <c r="Y2613" s="74">
        <v>8.9999999999999993E-3</v>
      </c>
      <c r="Z2613" s="165"/>
    </row>
    <row r="2614" spans="1:32" ht="15" customHeight="1">
      <c r="A2614" s="41" t="s">
        <v>183</v>
      </c>
      <c r="B2614" s="402" t="s">
        <v>3699</v>
      </c>
      <c r="C2614" s="113" t="s">
        <v>3699</v>
      </c>
      <c r="D2614" s="393" t="s">
        <v>111</v>
      </c>
      <c r="E2614" s="394" t="s">
        <v>112</v>
      </c>
      <c r="F2614" s="402">
        <v>5200</v>
      </c>
      <c r="G2614" s="405" t="s">
        <v>1972</v>
      </c>
      <c r="H2614" s="74">
        <v>3672</v>
      </c>
      <c r="I2614" s="50" t="s">
        <v>1</v>
      </c>
      <c r="J2614" s="48" t="s">
        <v>3144</v>
      </c>
      <c r="K2614" s="51">
        <v>41529</v>
      </c>
      <c r="L2614" s="173">
        <v>41527</v>
      </c>
      <c r="M2614" s="50">
        <f t="shared" si="151"/>
        <v>2</v>
      </c>
      <c r="N2614" s="50" t="s">
        <v>2</v>
      </c>
      <c r="O2614" s="74">
        <f>1/2</f>
        <v>0.5</v>
      </c>
      <c r="P2614" s="50">
        <v>7</v>
      </c>
      <c r="Q2614" s="74">
        <v>7.15</v>
      </c>
      <c r="R2614" s="50">
        <v>3.7</v>
      </c>
      <c r="S2614" s="74">
        <v>4</v>
      </c>
      <c r="T2614" s="50">
        <v>0.16</v>
      </c>
      <c r="U2614" s="131">
        <v>0.98</v>
      </c>
      <c r="V2614" s="50">
        <v>3.23</v>
      </c>
      <c r="W2614" s="74">
        <v>1.4999999999999999E-2</v>
      </c>
      <c r="X2614" s="50">
        <v>2.8000000000000001E-2</v>
      </c>
      <c r="Y2614" s="74">
        <v>3.0000000000000001E-3</v>
      </c>
      <c r="Z2614" s="165"/>
      <c r="AE2614" s="50">
        <v>125</v>
      </c>
    </row>
    <row r="2615" spans="1:32" ht="15" customHeight="1">
      <c r="A2615" s="41" t="s">
        <v>183</v>
      </c>
      <c r="B2615" s="402" t="s">
        <v>5017</v>
      </c>
      <c r="C2615" s="113" t="s">
        <v>5017</v>
      </c>
      <c r="D2615" s="393" t="s">
        <v>2374</v>
      </c>
      <c r="E2615" s="394" t="s">
        <v>5018</v>
      </c>
      <c r="G2615" s="405" t="s">
        <v>5019</v>
      </c>
      <c r="H2615" s="74">
        <v>3955</v>
      </c>
      <c r="I2615" s="50" t="s">
        <v>2</v>
      </c>
      <c r="J2615" s="74" t="s">
        <v>5020</v>
      </c>
      <c r="K2615" s="51">
        <v>41529</v>
      </c>
      <c r="L2615" s="173">
        <v>41519</v>
      </c>
      <c r="M2615" s="50">
        <f t="shared" si="151"/>
        <v>10</v>
      </c>
      <c r="N2615" s="50" t="s">
        <v>2</v>
      </c>
      <c r="O2615" s="74">
        <f>5/2</f>
        <v>2.5</v>
      </c>
      <c r="P2615" s="50">
        <v>5.59</v>
      </c>
      <c r="Q2615" s="74">
        <v>5.26</v>
      </c>
      <c r="R2615" s="50">
        <v>23</v>
      </c>
      <c r="S2615" s="74">
        <v>9</v>
      </c>
      <c r="T2615" s="50">
        <v>0.12</v>
      </c>
      <c r="U2615" s="131">
        <v>2.2200000000000002</v>
      </c>
      <c r="V2615" s="50">
        <v>1.03</v>
      </c>
      <c r="W2615" s="74">
        <v>8.9999999999999993E-3</v>
      </c>
      <c r="X2615" s="50">
        <v>0.17</v>
      </c>
      <c r="Y2615" s="74">
        <v>2E-3</v>
      </c>
      <c r="Z2615" s="165"/>
    </row>
    <row r="2616" spans="1:32" ht="15" customHeight="1">
      <c r="A2616" s="41" t="s">
        <v>183</v>
      </c>
      <c r="B2616" s="402" t="s">
        <v>4991</v>
      </c>
      <c r="D2616" s="393" t="s">
        <v>347</v>
      </c>
      <c r="E2616" s="394" t="s">
        <v>4992</v>
      </c>
      <c r="G2616" s="405" t="s">
        <v>3711</v>
      </c>
      <c r="H2616" s="74">
        <v>3561</v>
      </c>
      <c r="I2616" s="50" t="s">
        <v>2</v>
      </c>
      <c r="J2616" s="74" t="s">
        <v>4993</v>
      </c>
      <c r="K2616" s="51">
        <v>41508</v>
      </c>
      <c r="L2616" s="173">
        <v>41495</v>
      </c>
      <c r="M2616" s="50">
        <f t="shared" si="151"/>
        <v>13</v>
      </c>
      <c r="N2616" s="50" t="s">
        <v>2</v>
      </c>
      <c r="O2616" s="74">
        <v>5.6</v>
      </c>
      <c r="P2616" s="50">
        <v>6.8</v>
      </c>
      <c r="Q2616" s="74">
        <v>5.9</v>
      </c>
      <c r="R2616" s="50">
        <v>308</v>
      </c>
      <c r="S2616" s="74">
        <v>101</v>
      </c>
      <c r="T2616" s="50">
        <v>0.15</v>
      </c>
      <c r="U2616" s="131">
        <v>3.36</v>
      </c>
      <c r="V2616" s="50">
        <v>2.2200000000000002</v>
      </c>
      <c r="W2616" s="74">
        <v>4.7E-2</v>
      </c>
      <c r="X2616" s="50">
        <v>0.59399999999999997</v>
      </c>
      <c r="Y2616" s="74">
        <f>0.03/2</f>
        <v>1.4999999999999999E-2</v>
      </c>
      <c r="Z2616" s="165"/>
    </row>
    <row r="2617" spans="1:32" ht="15" customHeight="1">
      <c r="A2617" s="41" t="s">
        <v>183</v>
      </c>
      <c r="B2617" s="402" t="s">
        <v>2228</v>
      </c>
      <c r="C2617" s="113" t="s">
        <v>2229</v>
      </c>
      <c r="D2617" s="393" t="s">
        <v>1217</v>
      </c>
      <c r="E2617" s="394" t="s">
        <v>2230</v>
      </c>
      <c r="G2617" s="405" t="s">
        <v>1788</v>
      </c>
      <c r="H2617" s="74">
        <v>3724</v>
      </c>
      <c r="I2617" s="50" t="s">
        <v>2</v>
      </c>
      <c r="J2617" s="260" t="s">
        <v>5400</v>
      </c>
      <c r="K2617" s="51">
        <v>41533</v>
      </c>
      <c r="L2617" s="173">
        <v>41520</v>
      </c>
      <c r="M2617" s="50">
        <f t="shared" si="151"/>
        <v>13</v>
      </c>
      <c r="N2617" s="50" t="s">
        <v>2</v>
      </c>
      <c r="O2617" s="74">
        <f>1/2</f>
        <v>0.5</v>
      </c>
      <c r="P2617" s="50">
        <v>5.5</v>
      </c>
      <c r="Q2617" s="74">
        <v>5.44</v>
      </c>
      <c r="R2617" s="50">
        <v>238</v>
      </c>
      <c r="S2617" s="74">
        <v>7</v>
      </c>
      <c r="T2617" s="50">
        <v>0.11700000000000001</v>
      </c>
      <c r="U2617" s="131">
        <v>2.52</v>
      </c>
      <c r="V2617" s="50">
        <f>0.1/2</f>
        <v>0.05</v>
      </c>
      <c r="W2617" s="74">
        <v>3.6499999999999998E-2</v>
      </c>
      <c r="X2617" s="50">
        <v>0.27800000000000002</v>
      </c>
      <c r="Y2617" s="74">
        <f>0.015/2</f>
        <v>7.4999999999999997E-3</v>
      </c>
      <c r="Z2617" s="165"/>
    </row>
    <row r="2618" spans="1:32" ht="15" customHeight="1">
      <c r="A2618" s="41" t="s">
        <v>183</v>
      </c>
      <c r="B2618" s="402" t="s">
        <v>2317</v>
      </c>
      <c r="C2618" s="113" t="s">
        <v>2317</v>
      </c>
      <c r="D2618" s="393" t="s">
        <v>268</v>
      </c>
      <c r="E2618" s="394" t="s">
        <v>269</v>
      </c>
      <c r="G2618" s="405" t="s">
        <v>2318</v>
      </c>
      <c r="H2618" s="74">
        <v>3471</v>
      </c>
      <c r="I2618" s="50" t="s">
        <v>2</v>
      </c>
      <c r="J2618" s="339" t="s">
        <v>249</v>
      </c>
      <c r="K2618" s="51">
        <v>41529</v>
      </c>
      <c r="L2618" s="173">
        <v>41519</v>
      </c>
      <c r="M2618" s="50">
        <f t="shared" si="151"/>
        <v>10</v>
      </c>
      <c r="N2618" s="50" t="s">
        <v>2</v>
      </c>
      <c r="O2618" s="74">
        <f>1/2</f>
        <v>0.5</v>
      </c>
      <c r="P2618" s="50">
        <v>5.77</v>
      </c>
      <c r="Q2618" s="74">
        <v>6.89</v>
      </c>
      <c r="R2618" s="50">
        <v>28.9</v>
      </c>
      <c r="S2618" s="74">
        <v>7</v>
      </c>
      <c r="T2618" s="50">
        <v>0.45</v>
      </c>
      <c r="U2618" s="131">
        <v>2.4</v>
      </c>
      <c r="V2618" s="50">
        <v>2.87</v>
      </c>
      <c r="W2618" s="74">
        <v>6.8000000000000005E-2</v>
      </c>
      <c r="X2618" s="50">
        <v>0.32200000000000001</v>
      </c>
      <c r="Y2618" s="74">
        <v>1.4999999999999999E-2</v>
      </c>
      <c r="Z2618" s="165"/>
    </row>
    <row r="2619" spans="1:32" ht="15" customHeight="1">
      <c r="A2619" s="41" t="s">
        <v>183</v>
      </c>
      <c r="B2619" s="402" t="s">
        <v>2317</v>
      </c>
      <c r="C2619" s="113" t="s">
        <v>2317</v>
      </c>
      <c r="D2619" s="393" t="s">
        <v>268</v>
      </c>
      <c r="E2619" s="394" t="s">
        <v>269</v>
      </c>
      <c r="G2619" s="405" t="s">
        <v>2318</v>
      </c>
      <c r="H2619" s="74">
        <v>3471</v>
      </c>
      <c r="I2619" s="50" t="s">
        <v>2</v>
      </c>
      <c r="J2619" s="339" t="s">
        <v>1999</v>
      </c>
      <c r="K2619" s="51">
        <v>41529</v>
      </c>
      <c r="L2619" s="173">
        <v>41519</v>
      </c>
      <c r="M2619" s="50">
        <f t="shared" si="151"/>
        <v>10</v>
      </c>
      <c r="N2619" s="50" t="s">
        <v>2</v>
      </c>
      <c r="O2619" s="74">
        <f>1/2</f>
        <v>0.5</v>
      </c>
      <c r="P2619" s="50">
        <v>5.77</v>
      </c>
      <c r="Q2619" s="74">
        <v>4.62</v>
      </c>
      <c r="R2619" s="50">
        <v>7.5</v>
      </c>
      <c r="S2619" s="74">
        <f>1/2</f>
        <v>0.5</v>
      </c>
      <c r="T2619" s="50">
        <v>0.06</v>
      </c>
      <c r="U2619" s="131">
        <v>4</v>
      </c>
      <c r="V2619" s="50">
        <v>3.74</v>
      </c>
      <c r="W2619" s="74">
        <v>4.2000000000000003E-2</v>
      </c>
      <c r="X2619" s="50">
        <v>0.42199999999999999</v>
      </c>
      <c r="Y2619" s="74">
        <v>8.0000000000000002E-3</v>
      </c>
      <c r="Z2619" s="165"/>
    </row>
    <row r="2620" spans="1:32" ht="15" customHeight="1">
      <c r="A2620" s="41" t="s">
        <v>183</v>
      </c>
      <c r="B2620" s="402" t="s">
        <v>2317</v>
      </c>
      <c r="C2620" s="113" t="s">
        <v>2317</v>
      </c>
      <c r="D2620" s="393" t="s">
        <v>268</v>
      </c>
      <c r="E2620" s="394" t="s">
        <v>269</v>
      </c>
      <c r="G2620" s="405" t="s">
        <v>2318</v>
      </c>
      <c r="H2620" s="74">
        <v>3471</v>
      </c>
      <c r="I2620" s="50" t="s">
        <v>2</v>
      </c>
      <c r="J2620" s="339" t="s">
        <v>492</v>
      </c>
      <c r="K2620" s="51">
        <v>41529</v>
      </c>
      <c r="L2620" s="173">
        <v>41519</v>
      </c>
      <c r="M2620" s="50">
        <f t="shared" si="151"/>
        <v>10</v>
      </c>
      <c r="N2620" s="50" t="s">
        <v>2</v>
      </c>
      <c r="O2620" s="74">
        <f>1/2</f>
        <v>0.5</v>
      </c>
      <c r="P2620" s="50">
        <v>5.77</v>
      </c>
      <c r="Q2620" s="74">
        <v>4.45</v>
      </c>
      <c r="R2620" s="50">
        <v>15</v>
      </c>
      <c r="S2620" s="74">
        <f>1/2</f>
        <v>0.5</v>
      </c>
      <c r="T2620" s="50">
        <f>0.05/2</f>
        <v>2.5000000000000001E-2</v>
      </c>
      <c r="U2620" s="131">
        <v>1</v>
      </c>
      <c r="V2620" s="50">
        <v>2.25</v>
      </c>
      <c r="W2620" s="74">
        <v>8.0000000000000002E-3</v>
      </c>
      <c r="X2620" s="50">
        <v>7.2999999999999995E-2</v>
      </c>
      <c r="Y2620" s="74">
        <v>7.0000000000000001E-3</v>
      </c>
      <c r="Z2620" s="165"/>
    </row>
    <row r="2621" spans="1:32" ht="15" customHeight="1">
      <c r="A2621" s="41" t="s">
        <v>183</v>
      </c>
      <c r="B2621" s="402" t="s">
        <v>1419</v>
      </c>
      <c r="C2621" s="113" t="s">
        <v>1419</v>
      </c>
      <c r="D2621" s="393" t="s">
        <v>379</v>
      </c>
      <c r="E2621" s="394" t="s">
        <v>214</v>
      </c>
      <c r="F2621" s="402" t="s">
        <v>1423</v>
      </c>
      <c r="G2621" s="405" t="s">
        <v>1421</v>
      </c>
      <c r="H2621" s="74">
        <v>3471</v>
      </c>
      <c r="I2621" s="50" t="s">
        <v>1</v>
      </c>
      <c r="J2621" s="76" t="s">
        <v>1424</v>
      </c>
      <c r="K2621" s="51">
        <v>41443</v>
      </c>
      <c r="L2621" s="173">
        <v>41439</v>
      </c>
      <c r="M2621" s="50">
        <f t="shared" si="151"/>
        <v>4</v>
      </c>
      <c r="N2621" s="50" t="s">
        <v>2</v>
      </c>
      <c r="O2621" s="74">
        <v>1.8</v>
      </c>
      <c r="P2621" s="50">
        <v>5.79</v>
      </c>
      <c r="Q2621" s="74">
        <v>6.55</v>
      </c>
      <c r="R2621" s="50">
        <v>148</v>
      </c>
      <c r="S2621" s="74">
        <v>30</v>
      </c>
      <c r="T2621" s="50">
        <v>0.43</v>
      </c>
      <c r="U2621" s="131">
        <v>4.66</v>
      </c>
      <c r="V2621" s="50">
        <v>1.73</v>
      </c>
      <c r="W2621" s="74">
        <v>3.5999999999999997E-2</v>
      </c>
      <c r="X2621" s="50">
        <v>8.3000000000000004E-2</v>
      </c>
      <c r="Y2621" s="74">
        <v>2E-3</v>
      </c>
      <c r="Z2621" s="165">
        <v>1</v>
      </c>
      <c r="AA2621" s="271">
        <v>1</v>
      </c>
      <c r="AB2621" s="114">
        <v>6</v>
      </c>
      <c r="AC2621" s="50">
        <v>81</v>
      </c>
      <c r="AD2621" s="271">
        <v>0.6</v>
      </c>
      <c r="AE2621" s="50">
        <v>40</v>
      </c>
      <c r="AF2621" s="49" t="s">
        <v>2597</v>
      </c>
    </row>
    <row r="2622" spans="1:32" ht="15" customHeight="1">
      <c r="A2622" s="41" t="s">
        <v>183</v>
      </c>
      <c r="B2622" s="402" t="s">
        <v>1419</v>
      </c>
      <c r="C2622" s="113" t="s">
        <v>1419</v>
      </c>
      <c r="D2622" s="393" t="s">
        <v>379</v>
      </c>
      <c r="E2622" s="394" t="s">
        <v>214</v>
      </c>
      <c r="F2622" s="402" t="s">
        <v>1423</v>
      </c>
      <c r="G2622" s="405" t="s">
        <v>1421</v>
      </c>
      <c r="H2622" s="74">
        <v>3471</v>
      </c>
      <c r="I2622" s="50" t="s">
        <v>1</v>
      </c>
      <c r="J2622" s="339" t="s">
        <v>5204</v>
      </c>
      <c r="K2622" s="51">
        <v>41443</v>
      </c>
      <c r="L2622" s="173">
        <v>41439</v>
      </c>
      <c r="M2622" s="50">
        <f t="shared" si="151"/>
        <v>4</v>
      </c>
      <c r="N2622" s="50" t="s">
        <v>2</v>
      </c>
      <c r="O2622" s="74">
        <f>1.4/2</f>
        <v>0.7</v>
      </c>
      <c r="P2622" s="50">
        <v>5.79</v>
      </c>
      <c r="Q2622" s="74">
        <v>5.65</v>
      </c>
      <c r="R2622" s="50">
        <v>120</v>
      </c>
      <c r="S2622" s="74">
        <v>24</v>
      </c>
      <c r="T2622" s="50">
        <v>0.22</v>
      </c>
      <c r="U2622" s="131">
        <v>4.32</v>
      </c>
      <c r="V2622" s="50">
        <v>1.75</v>
      </c>
      <c r="W2622" s="74">
        <v>9.2999999999999999E-2</v>
      </c>
      <c r="X2622" s="50">
        <v>0.311</v>
      </c>
      <c r="Y2622" s="74">
        <f>0.002/2</f>
        <v>1E-3</v>
      </c>
      <c r="Z2622" s="165">
        <v>0.41</v>
      </c>
      <c r="AA2622" s="271">
        <v>0.22900000000000001</v>
      </c>
      <c r="AB2622" s="114">
        <v>20</v>
      </c>
      <c r="AC2622" s="50">
        <v>72</v>
      </c>
      <c r="AD2622" s="271">
        <v>0.15</v>
      </c>
      <c r="AE2622" s="50">
        <v>40</v>
      </c>
      <c r="AF2622" s="365">
        <v>17330</v>
      </c>
    </row>
    <row r="2623" spans="1:32" ht="15" customHeight="1">
      <c r="A2623" s="41" t="s">
        <v>183</v>
      </c>
      <c r="B2623" s="402" t="s">
        <v>5398</v>
      </c>
      <c r="C2623" s="113" t="s">
        <v>5398</v>
      </c>
      <c r="D2623" s="393" t="s">
        <v>1569</v>
      </c>
      <c r="E2623" s="394" t="s">
        <v>1579</v>
      </c>
      <c r="G2623" s="405" t="s">
        <v>5399</v>
      </c>
      <c r="H2623" s="74">
        <v>3692</v>
      </c>
      <c r="I2623" s="50" t="s">
        <v>1</v>
      </c>
      <c r="J2623" s="339" t="s">
        <v>255</v>
      </c>
      <c r="K2623" s="51">
        <v>41045</v>
      </c>
      <c r="L2623" s="173">
        <v>41038</v>
      </c>
      <c r="M2623" s="50">
        <f t="shared" ref="M2623:M2639" si="152">K2623-L2623</f>
        <v>7</v>
      </c>
      <c r="N2623" s="50" t="s">
        <v>2</v>
      </c>
      <c r="O2623" s="74">
        <f>2/2</f>
        <v>1</v>
      </c>
      <c r="Q2623" s="74">
        <v>6</v>
      </c>
      <c r="R2623" s="50" t="s">
        <v>143</v>
      </c>
      <c r="S2623" s="74">
        <v>18</v>
      </c>
      <c r="T2623" s="50">
        <v>7.2999999999999995E-2</v>
      </c>
      <c r="U2623" s="131">
        <v>0.5</v>
      </c>
      <c r="V2623" s="50">
        <v>0.16</v>
      </c>
      <c r="W2623" s="74">
        <v>1.7999999999999999E-2</v>
      </c>
      <c r="X2623" s="50">
        <v>0.26300000000000001</v>
      </c>
      <c r="Y2623" s="74">
        <v>1.4999999999999999E-2</v>
      </c>
      <c r="Z2623" s="165">
        <v>0.24099999999999999</v>
      </c>
      <c r="AA2623" s="271">
        <v>0.17100000000000001</v>
      </c>
      <c r="AB2623" s="114">
        <v>8</v>
      </c>
      <c r="AC2623" s="50">
        <v>21</v>
      </c>
      <c r="AD2623" s="271">
        <v>0</v>
      </c>
    </row>
    <row r="2624" spans="1:32" ht="15" customHeight="1">
      <c r="A2624" s="41" t="s">
        <v>183</v>
      </c>
      <c r="B2624" s="402" t="s">
        <v>5398</v>
      </c>
      <c r="C2624" s="113" t="s">
        <v>5398</v>
      </c>
      <c r="D2624" s="393" t="s">
        <v>1569</v>
      </c>
      <c r="E2624" s="394" t="s">
        <v>1579</v>
      </c>
      <c r="G2624" s="405" t="s">
        <v>5399</v>
      </c>
      <c r="H2624" s="74">
        <v>3692</v>
      </c>
      <c r="I2624" s="50" t="s">
        <v>1</v>
      </c>
      <c r="J2624" s="339" t="s">
        <v>96</v>
      </c>
      <c r="K2624" s="51">
        <v>41045</v>
      </c>
      <c r="L2624" s="173">
        <v>41038</v>
      </c>
      <c r="M2624" s="50">
        <f t="shared" si="152"/>
        <v>7</v>
      </c>
      <c r="N2624" s="50" t="s">
        <v>2</v>
      </c>
      <c r="O2624" s="74">
        <f>2/2</f>
        <v>1</v>
      </c>
      <c r="Q2624" s="74">
        <v>5.2</v>
      </c>
      <c r="R2624" s="50">
        <v>28</v>
      </c>
      <c r="S2624" s="74">
        <v>17</v>
      </c>
      <c r="T2624" s="50">
        <v>6.8000000000000005E-2</v>
      </c>
      <c r="U2624" s="131">
        <v>0.59</v>
      </c>
      <c r="V2624" s="50">
        <v>0.18</v>
      </c>
      <c r="W2624" s="74">
        <v>0.30199999999999999</v>
      </c>
      <c r="X2624" s="50">
        <v>9.2999999999999999E-2</v>
      </c>
      <c r="Y2624" s="74">
        <v>1.2E-2</v>
      </c>
      <c r="Z2624" s="165">
        <v>0.35399999999999998</v>
      </c>
      <c r="AA2624" s="271">
        <v>0.34200000000000003</v>
      </c>
      <c r="AB2624" s="114">
        <v>2</v>
      </c>
      <c r="AC2624" s="50">
        <v>4</v>
      </c>
      <c r="AD2624" s="271">
        <v>0</v>
      </c>
    </row>
    <row r="2625" spans="1:31" ht="15" customHeight="1">
      <c r="A2625" s="41" t="s">
        <v>183</v>
      </c>
      <c r="B2625" s="402" t="s">
        <v>5236</v>
      </c>
      <c r="C2625" s="113" t="s">
        <v>5236</v>
      </c>
      <c r="D2625" s="393" t="s">
        <v>268</v>
      </c>
      <c r="E2625" s="394" t="s">
        <v>5237</v>
      </c>
      <c r="G2625" s="405" t="s">
        <v>5238</v>
      </c>
      <c r="H2625" s="74">
        <v>3471</v>
      </c>
      <c r="I2625" s="50" t="s">
        <v>2</v>
      </c>
      <c r="J2625" s="339" t="s">
        <v>249</v>
      </c>
      <c r="K2625" s="51">
        <v>40996</v>
      </c>
      <c r="L2625" s="173">
        <v>40971</v>
      </c>
      <c r="M2625" s="50">
        <f t="shared" si="152"/>
        <v>25</v>
      </c>
      <c r="N2625" s="50" t="s">
        <v>2</v>
      </c>
      <c r="O2625" s="74">
        <f>1.8/2</f>
        <v>0.9</v>
      </c>
      <c r="P2625" s="50">
        <v>6.4</v>
      </c>
      <c r="Q2625" s="74">
        <v>6</v>
      </c>
      <c r="R2625" s="50">
        <v>72</v>
      </c>
      <c r="S2625" s="74">
        <v>11.2</v>
      </c>
      <c r="T2625" s="50">
        <v>39.799999999999997</v>
      </c>
      <c r="U2625" s="131">
        <v>13</v>
      </c>
      <c r="V2625" s="50">
        <v>4.4400000000000004</v>
      </c>
      <c r="W2625" s="74">
        <v>1.9E-2</v>
      </c>
      <c r="X2625" s="50">
        <v>2.04</v>
      </c>
      <c r="Y2625" s="74">
        <v>2.53E-2</v>
      </c>
      <c r="Z2625" s="165">
        <v>0.57399999999999995</v>
      </c>
      <c r="AA2625" s="271">
        <v>0.187</v>
      </c>
      <c r="AB2625" s="114">
        <v>116</v>
      </c>
      <c r="AC2625" s="50">
        <v>330</v>
      </c>
      <c r="AD2625" s="271">
        <v>0</v>
      </c>
    </row>
    <row r="2626" spans="1:31" ht="15" customHeight="1">
      <c r="A2626" s="41" t="s">
        <v>183</v>
      </c>
      <c r="B2626" s="402" t="s">
        <v>5236</v>
      </c>
      <c r="C2626" s="113" t="s">
        <v>5236</v>
      </c>
      <c r="D2626" s="393" t="s">
        <v>268</v>
      </c>
      <c r="E2626" s="394" t="s">
        <v>5237</v>
      </c>
      <c r="G2626" s="405" t="s">
        <v>5238</v>
      </c>
      <c r="H2626" s="74">
        <v>3471</v>
      </c>
      <c r="I2626" s="50" t="s">
        <v>2</v>
      </c>
      <c r="J2626" s="339" t="s">
        <v>249</v>
      </c>
      <c r="K2626" s="51">
        <v>41157</v>
      </c>
      <c r="L2626" s="173">
        <v>41149</v>
      </c>
      <c r="M2626" s="50">
        <f t="shared" si="152"/>
        <v>8</v>
      </c>
      <c r="N2626" s="50" t="s">
        <v>2</v>
      </c>
      <c r="O2626" s="74">
        <f>1.7/2</f>
        <v>0.85</v>
      </c>
      <c r="P2626" s="50">
        <v>6.1</v>
      </c>
      <c r="Q2626" s="74">
        <v>5.9</v>
      </c>
      <c r="R2626" s="50">
        <v>23</v>
      </c>
      <c r="S2626" s="74">
        <v>13.4</v>
      </c>
      <c r="T2626" s="50">
        <v>9.9499999999999993</v>
      </c>
      <c r="U2626" s="131">
        <v>3.6</v>
      </c>
      <c r="V2626" s="50">
        <v>1.1200000000000001</v>
      </c>
      <c r="W2626" s="74">
        <v>8.0000000000000002E-3</v>
      </c>
      <c r="X2626" s="50">
        <v>0.47799999999999998</v>
      </c>
      <c r="Y2626" s="74">
        <v>6.0000000000000001E-3</v>
      </c>
      <c r="Z2626" s="165"/>
    </row>
    <row r="2627" spans="1:31" ht="15" customHeight="1">
      <c r="A2627" s="41" t="s">
        <v>183</v>
      </c>
      <c r="B2627" s="402" t="s">
        <v>5407</v>
      </c>
      <c r="C2627" s="113" t="s">
        <v>5390</v>
      </c>
      <c r="D2627" s="393" t="s">
        <v>290</v>
      </c>
      <c r="E2627" s="394" t="s">
        <v>467</v>
      </c>
      <c r="G2627" s="405" t="s">
        <v>5392</v>
      </c>
      <c r="H2627" s="74">
        <v>3495</v>
      </c>
      <c r="I2627" s="50" t="s">
        <v>2</v>
      </c>
      <c r="J2627" s="339" t="s">
        <v>4373</v>
      </c>
      <c r="K2627" s="51">
        <v>41030</v>
      </c>
      <c r="L2627" s="173">
        <v>41026</v>
      </c>
      <c r="M2627" s="50">
        <f t="shared" si="152"/>
        <v>4</v>
      </c>
      <c r="N2627" s="50" t="s">
        <v>2</v>
      </c>
      <c r="O2627" s="74">
        <f>1.4/2</f>
        <v>0.7</v>
      </c>
      <c r="P2627" s="50">
        <v>6.22</v>
      </c>
      <c r="Q2627" s="74">
        <v>6.09</v>
      </c>
      <c r="R2627" s="50">
        <f>10/2</f>
        <v>5</v>
      </c>
      <c r="S2627" s="74">
        <v>14</v>
      </c>
      <c r="T2627" s="50">
        <f>0.01/2</f>
        <v>5.0000000000000001E-3</v>
      </c>
      <c r="U2627" s="131">
        <v>0.36</v>
      </c>
      <c r="V2627" s="50">
        <v>0.08</v>
      </c>
      <c r="W2627" s="74">
        <v>6.0000000000000001E-3</v>
      </c>
      <c r="X2627" s="50">
        <v>1.6E-2</v>
      </c>
      <c r="Y2627" s="74">
        <v>4.0000000000000001E-3</v>
      </c>
      <c r="Z2627" s="165">
        <v>1</v>
      </c>
      <c r="AA2627" s="271">
        <v>1</v>
      </c>
      <c r="AB2627" s="114">
        <f>2/2</f>
        <v>1</v>
      </c>
      <c r="AC2627" s="50">
        <v>4</v>
      </c>
      <c r="AD2627" s="271">
        <v>1</v>
      </c>
    </row>
    <row r="2628" spans="1:31" ht="15" customHeight="1">
      <c r="A2628" s="41" t="s">
        <v>183</v>
      </c>
      <c r="B2628" s="402" t="s">
        <v>5017</v>
      </c>
      <c r="C2628" s="113" t="s">
        <v>5017</v>
      </c>
      <c r="D2628" s="393" t="s">
        <v>2374</v>
      </c>
      <c r="E2628" s="394" t="s">
        <v>5018</v>
      </c>
      <c r="G2628" s="405" t="s">
        <v>5019</v>
      </c>
      <c r="H2628" s="74">
        <v>3955</v>
      </c>
      <c r="I2628" s="50" t="s">
        <v>2</v>
      </c>
      <c r="J2628" s="74" t="s">
        <v>5020</v>
      </c>
      <c r="K2628" s="51">
        <v>41044</v>
      </c>
      <c r="L2628" s="173">
        <v>41039</v>
      </c>
      <c r="M2628" s="50">
        <f t="shared" si="152"/>
        <v>5</v>
      </c>
      <c r="N2628" s="50" t="s">
        <v>2</v>
      </c>
      <c r="O2628" s="74">
        <f>5/2</f>
        <v>2.5</v>
      </c>
      <c r="Q2628" s="74">
        <v>5.51</v>
      </c>
      <c r="R2628" s="50">
        <v>24.3</v>
      </c>
      <c r="S2628" s="74">
        <v>2</v>
      </c>
      <c r="T2628" s="50">
        <v>0.04</v>
      </c>
      <c r="U2628" s="131">
        <v>2.1800000000000002</v>
      </c>
      <c r="V2628" s="50">
        <v>0.93</v>
      </c>
      <c r="W2628" s="74">
        <v>6.0000000000000001E-3</v>
      </c>
      <c r="X2628" s="50">
        <v>0.13</v>
      </c>
      <c r="Y2628" s="74">
        <f>0.001/2</f>
        <v>5.0000000000000001E-4</v>
      </c>
      <c r="Z2628" s="165"/>
    </row>
    <row r="2629" spans="1:31" ht="15" customHeight="1">
      <c r="A2629" s="41" t="s">
        <v>183</v>
      </c>
      <c r="B2629" s="402" t="s">
        <v>110</v>
      </c>
      <c r="C2629" s="113" t="s">
        <v>110</v>
      </c>
      <c r="D2629" s="393" t="s">
        <v>111</v>
      </c>
      <c r="E2629" s="394" t="s">
        <v>112</v>
      </c>
      <c r="G2629" s="405" t="s">
        <v>113</v>
      </c>
      <c r="H2629" s="74">
        <v>3679</v>
      </c>
      <c r="I2629" s="50" t="s">
        <v>1</v>
      </c>
      <c r="J2629" s="339" t="s">
        <v>1943</v>
      </c>
      <c r="K2629" s="51">
        <v>41044</v>
      </c>
      <c r="L2629" s="173">
        <v>41039</v>
      </c>
      <c r="M2629" s="50">
        <f t="shared" si="152"/>
        <v>5</v>
      </c>
      <c r="N2629" s="50" t="s">
        <v>2</v>
      </c>
      <c r="O2629" s="74">
        <f>1/2</f>
        <v>0.5</v>
      </c>
      <c r="P2629" s="50">
        <v>9.6</v>
      </c>
      <c r="Q2629" s="74">
        <v>5.15</v>
      </c>
      <c r="R2629" s="50">
        <v>25.6</v>
      </c>
      <c r="S2629" s="74">
        <v>12</v>
      </c>
      <c r="T2629" s="50">
        <v>0.13</v>
      </c>
      <c r="U2629" s="131">
        <v>2</v>
      </c>
      <c r="V2629" s="50">
        <v>1.21</v>
      </c>
      <c r="W2629" s="74">
        <v>2.5000000000000001E-2</v>
      </c>
      <c r="X2629" s="50">
        <v>6.3E-2</v>
      </c>
      <c r="Y2629" s="74">
        <f>0.002/2</f>
        <v>1E-3</v>
      </c>
      <c r="Z2629" s="165"/>
      <c r="AE2629" s="50">
        <v>42</v>
      </c>
    </row>
    <row r="2630" spans="1:31" ht="15" customHeight="1">
      <c r="A2630" s="41" t="s">
        <v>183</v>
      </c>
      <c r="B2630" s="402" t="s">
        <v>110</v>
      </c>
      <c r="C2630" s="113" t="s">
        <v>110</v>
      </c>
      <c r="D2630" s="393" t="s">
        <v>111</v>
      </c>
      <c r="E2630" s="394" t="s">
        <v>112</v>
      </c>
      <c r="G2630" s="405" t="s">
        <v>113</v>
      </c>
      <c r="H2630" s="74">
        <v>3679</v>
      </c>
      <c r="I2630" s="50" t="s">
        <v>1</v>
      </c>
      <c r="J2630" s="339" t="s">
        <v>425</v>
      </c>
      <c r="K2630" s="51">
        <v>41044</v>
      </c>
      <c r="L2630" s="173">
        <v>41039</v>
      </c>
      <c r="M2630" s="50">
        <f t="shared" si="152"/>
        <v>5</v>
      </c>
      <c r="N2630" s="50" t="s">
        <v>2</v>
      </c>
      <c r="O2630" s="74">
        <f>1/2</f>
        <v>0.5</v>
      </c>
      <c r="P2630" s="50">
        <v>9.6</v>
      </c>
      <c r="Q2630" s="74">
        <v>4.0999999999999996</v>
      </c>
      <c r="R2630" s="50">
        <v>58.5</v>
      </c>
      <c r="S2630" s="74">
        <v>12</v>
      </c>
      <c r="T2630" s="50">
        <v>0.33</v>
      </c>
      <c r="U2630" s="131">
        <v>2.6</v>
      </c>
      <c r="V2630" s="50">
        <v>0.98</v>
      </c>
      <c r="W2630" s="74">
        <v>1.6E-2</v>
      </c>
      <c r="X2630" s="50">
        <v>0.218</v>
      </c>
      <c r="Y2630" s="74">
        <v>3.0000000000000001E-3</v>
      </c>
      <c r="Z2630" s="165"/>
      <c r="AE2630" s="50">
        <v>30</v>
      </c>
    </row>
    <row r="2631" spans="1:31" ht="15" customHeight="1">
      <c r="A2631" s="41" t="s">
        <v>183</v>
      </c>
      <c r="B2631" s="402" t="s">
        <v>110</v>
      </c>
      <c r="C2631" s="113" t="s">
        <v>110</v>
      </c>
      <c r="D2631" s="393" t="s">
        <v>111</v>
      </c>
      <c r="E2631" s="394" t="s">
        <v>112</v>
      </c>
      <c r="G2631" s="405" t="s">
        <v>113</v>
      </c>
      <c r="H2631" s="74">
        <v>3679</v>
      </c>
      <c r="I2631" s="50" t="s">
        <v>1</v>
      </c>
      <c r="J2631" s="339" t="s">
        <v>1341</v>
      </c>
      <c r="K2631" s="51">
        <v>41044</v>
      </c>
      <c r="L2631" s="173">
        <v>41039</v>
      </c>
      <c r="M2631" s="50">
        <f t="shared" si="152"/>
        <v>5</v>
      </c>
      <c r="N2631" s="50" t="s">
        <v>2</v>
      </c>
      <c r="O2631" s="74">
        <f>1/2</f>
        <v>0.5</v>
      </c>
      <c r="P2631" s="50">
        <v>9.6</v>
      </c>
      <c r="Q2631" s="74">
        <v>6.73</v>
      </c>
      <c r="R2631" s="50">
        <v>35.299999999999997</v>
      </c>
      <c r="S2631" s="74">
        <v>13</v>
      </c>
      <c r="T2631" s="50">
        <v>0.23</v>
      </c>
      <c r="U2631" s="131">
        <v>2.6</v>
      </c>
      <c r="V2631" s="50">
        <v>1.54</v>
      </c>
      <c r="W2631" s="74">
        <v>4.2999999999999997E-2</v>
      </c>
      <c r="X2631" s="50">
        <v>7.0999999999999994E-2</v>
      </c>
      <c r="Y2631" s="74">
        <f>0.002/2</f>
        <v>1E-3</v>
      </c>
      <c r="Z2631" s="165"/>
      <c r="AE2631" s="50">
        <v>28</v>
      </c>
    </row>
    <row r="2632" spans="1:31" ht="15" customHeight="1">
      <c r="A2632" s="41" t="s">
        <v>183</v>
      </c>
      <c r="B2632" s="386" t="s">
        <v>680</v>
      </c>
      <c r="C2632" s="149" t="s">
        <v>680</v>
      </c>
      <c r="D2632" s="393" t="s">
        <v>303</v>
      </c>
      <c r="E2632" s="394" t="s">
        <v>3156</v>
      </c>
      <c r="G2632" s="405" t="s">
        <v>682</v>
      </c>
      <c r="H2632" s="74">
        <v>3999</v>
      </c>
      <c r="I2632" s="50" t="s">
        <v>2</v>
      </c>
      <c r="J2632" s="339" t="s">
        <v>81</v>
      </c>
      <c r="K2632" s="51">
        <v>41170</v>
      </c>
      <c r="L2632" s="173">
        <v>41167</v>
      </c>
      <c r="M2632" s="50">
        <f t="shared" si="152"/>
        <v>3</v>
      </c>
      <c r="N2632" s="50" t="s">
        <v>2</v>
      </c>
      <c r="O2632" s="74">
        <f>5/2</f>
        <v>2.5</v>
      </c>
      <c r="P2632" s="50">
        <v>6.5</v>
      </c>
      <c r="Q2632" s="74">
        <v>5.69</v>
      </c>
      <c r="R2632" s="50">
        <v>100</v>
      </c>
      <c r="S2632" s="74">
        <v>26</v>
      </c>
      <c r="T2632" s="50">
        <f>0.1/2</f>
        <v>0.05</v>
      </c>
      <c r="U2632" s="131">
        <v>3.9</v>
      </c>
      <c r="V2632" s="50">
        <v>3.5</v>
      </c>
      <c r="W2632" s="74">
        <v>6.4000000000000001E-2</v>
      </c>
      <c r="X2632" s="50">
        <v>2</v>
      </c>
      <c r="Y2632" s="74">
        <f>0.013/2</f>
        <v>6.4999999999999997E-3</v>
      </c>
      <c r="Z2632" s="165">
        <v>0.20100000000000001</v>
      </c>
      <c r="AA2632" s="271">
        <v>6.25E-2</v>
      </c>
      <c r="AB2632" s="114">
        <v>27</v>
      </c>
      <c r="AC2632" s="50">
        <v>190</v>
      </c>
      <c r="AD2632" s="271">
        <v>0</v>
      </c>
    </row>
    <row r="2633" spans="1:31" ht="15" customHeight="1">
      <c r="A2633" s="41" t="s">
        <v>183</v>
      </c>
      <c r="B2633" s="402" t="s">
        <v>5407</v>
      </c>
      <c r="C2633" s="113" t="s">
        <v>5390</v>
      </c>
      <c r="D2633" s="393" t="s">
        <v>290</v>
      </c>
      <c r="E2633" s="394" t="s">
        <v>467</v>
      </c>
      <c r="G2633" s="405" t="s">
        <v>5392</v>
      </c>
      <c r="H2633" s="74">
        <v>3495</v>
      </c>
      <c r="I2633" s="50" t="s">
        <v>2</v>
      </c>
      <c r="J2633" s="339" t="s">
        <v>4373</v>
      </c>
      <c r="K2633" s="51">
        <v>41170</v>
      </c>
      <c r="L2633" s="173">
        <v>41160</v>
      </c>
      <c r="M2633" s="50">
        <f t="shared" si="152"/>
        <v>10</v>
      </c>
      <c r="N2633" s="50" t="s">
        <v>2</v>
      </c>
      <c r="O2633" s="74">
        <f>1.4/2</f>
        <v>0.7</v>
      </c>
      <c r="P2633" s="50">
        <v>5.93</v>
      </c>
      <c r="Q2633" s="74">
        <v>5.84</v>
      </c>
      <c r="R2633" s="50">
        <v>41</v>
      </c>
      <c r="S2633" s="74">
        <v>18</v>
      </c>
      <c r="T2633" s="50">
        <v>0.04</v>
      </c>
      <c r="U2633" s="131">
        <v>1.1100000000000001</v>
      </c>
      <c r="V2633" s="50">
        <v>0.41</v>
      </c>
      <c r="W2633" s="74">
        <v>0.01</v>
      </c>
      <c r="X2633" s="50">
        <v>0.04</v>
      </c>
      <c r="Y2633" s="74">
        <v>3.0000000000000001E-3</v>
      </c>
      <c r="Z2633" s="165"/>
    </row>
    <row r="2634" spans="1:31" ht="15" customHeight="1">
      <c r="A2634" s="41" t="s">
        <v>183</v>
      </c>
      <c r="B2634" s="402" t="s">
        <v>2317</v>
      </c>
      <c r="C2634" s="113" t="s">
        <v>2317</v>
      </c>
      <c r="D2634" s="393" t="s">
        <v>268</v>
      </c>
      <c r="E2634" s="394" t="s">
        <v>269</v>
      </c>
      <c r="F2634" s="402">
        <v>4403</v>
      </c>
      <c r="G2634" s="405" t="s">
        <v>2318</v>
      </c>
      <c r="H2634" s="74">
        <v>3471</v>
      </c>
      <c r="I2634" s="50" t="s">
        <v>2</v>
      </c>
      <c r="J2634" s="339" t="s">
        <v>249</v>
      </c>
      <c r="K2634" s="51">
        <v>41170</v>
      </c>
      <c r="L2634" s="173">
        <v>41160</v>
      </c>
      <c r="M2634" s="50">
        <f t="shared" si="152"/>
        <v>10</v>
      </c>
      <c r="N2634" s="50" t="s">
        <v>2</v>
      </c>
      <c r="O2634" s="74">
        <f>1/2</f>
        <v>0.5</v>
      </c>
      <c r="P2634" s="50">
        <v>4.8600000000000003</v>
      </c>
      <c r="Q2634" s="74">
        <v>4.5</v>
      </c>
      <c r="R2634" s="50">
        <v>25.6</v>
      </c>
      <c r="S2634" s="74">
        <f>1/2</f>
        <v>0.5</v>
      </c>
      <c r="T2634" s="50">
        <v>0.1</v>
      </c>
      <c r="U2634" s="131">
        <v>1.82</v>
      </c>
      <c r="V2634" s="50">
        <v>2.42</v>
      </c>
      <c r="W2634" s="74">
        <v>4.2000000000000003E-2</v>
      </c>
      <c r="X2634" s="50">
        <v>1.5920000000000001</v>
      </c>
      <c r="Y2634" s="74">
        <v>1.0999999999999999E-2</v>
      </c>
      <c r="Z2634" s="165"/>
    </row>
    <row r="2635" spans="1:31" ht="15" customHeight="1">
      <c r="A2635" s="41" t="s">
        <v>183</v>
      </c>
      <c r="B2635" s="402" t="s">
        <v>2317</v>
      </c>
      <c r="C2635" s="113" t="s">
        <v>2317</v>
      </c>
      <c r="D2635" s="393" t="s">
        <v>268</v>
      </c>
      <c r="E2635" s="394" t="s">
        <v>269</v>
      </c>
      <c r="F2635" s="402">
        <v>4403</v>
      </c>
      <c r="G2635" s="405" t="s">
        <v>2318</v>
      </c>
      <c r="H2635" s="74">
        <v>3471</v>
      </c>
      <c r="I2635" s="50" t="s">
        <v>2</v>
      </c>
      <c r="J2635" s="339" t="s">
        <v>1999</v>
      </c>
      <c r="K2635" s="51">
        <v>41170</v>
      </c>
      <c r="L2635" s="173">
        <v>41160</v>
      </c>
      <c r="M2635" s="50">
        <f t="shared" si="152"/>
        <v>10</v>
      </c>
      <c r="N2635" s="50" t="s">
        <v>2</v>
      </c>
      <c r="O2635" s="74">
        <f>1/2</f>
        <v>0.5</v>
      </c>
      <c r="P2635" s="50">
        <v>4.8600000000000003</v>
      </c>
      <c r="Q2635" s="74">
        <v>5.46</v>
      </c>
      <c r="R2635" s="50">
        <v>11.3</v>
      </c>
      <c r="S2635" s="74">
        <f>1/2</f>
        <v>0.5</v>
      </c>
      <c r="T2635" s="50">
        <v>0.08</v>
      </c>
      <c r="U2635" s="131">
        <v>0.86</v>
      </c>
      <c r="V2635" s="50">
        <v>1.35</v>
      </c>
      <c r="W2635" s="74">
        <v>1.4999999999999999E-2</v>
      </c>
      <c r="X2635" s="50">
        <v>0.158</v>
      </c>
      <c r="Y2635" s="74">
        <v>5.0000000000000001E-3</v>
      </c>
      <c r="Z2635" s="165"/>
    </row>
    <row r="2636" spans="1:31" ht="15" customHeight="1">
      <c r="A2636" s="41" t="s">
        <v>183</v>
      </c>
      <c r="B2636" s="402" t="s">
        <v>2317</v>
      </c>
      <c r="C2636" s="113" t="s">
        <v>2317</v>
      </c>
      <c r="D2636" s="393" t="s">
        <v>268</v>
      </c>
      <c r="E2636" s="394" t="s">
        <v>269</v>
      </c>
      <c r="F2636" s="402">
        <v>4403</v>
      </c>
      <c r="G2636" s="405" t="s">
        <v>2318</v>
      </c>
      <c r="H2636" s="74">
        <v>3471</v>
      </c>
      <c r="I2636" s="50" t="s">
        <v>2</v>
      </c>
      <c r="J2636" s="339" t="s">
        <v>445</v>
      </c>
      <c r="K2636" s="51">
        <v>41170</v>
      </c>
      <c r="L2636" s="173">
        <v>41160</v>
      </c>
      <c r="M2636" s="50">
        <f t="shared" si="152"/>
        <v>10</v>
      </c>
      <c r="N2636" s="50" t="s">
        <v>2</v>
      </c>
      <c r="O2636" s="74">
        <f>1/2</f>
        <v>0.5</v>
      </c>
      <c r="P2636" s="50">
        <v>4.8600000000000003</v>
      </c>
      <c r="Q2636" s="74">
        <v>3.81</v>
      </c>
      <c r="R2636" s="50">
        <v>73.8</v>
      </c>
      <c r="S2636" s="74">
        <f>1/2</f>
        <v>0.5</v>
      </c>
      <c r="T2636" s="50">
        <v>0.08</v>
      </c>
      <c r="U2636" s="131">
        <v>1.98</v>
      </c>
      <c r="V2636" s="50">
        <v>0.93</v>
      </c>
      <c r="W2636" s="74">
        <v>2.3E-2</v>
      </c>
      <c r="X2636" s="50">
        <v>0.215</v>
      </c>
      <c r="Y2636" s="74">
        <v>7.0000000000000001E-3</v>
      </c>
      <c r="Z2636" s="165"/>
    </row>
    <row r="2637" spans="1:31" ht="15" customHeight="1">
      <c r="A2637" s="41" t="s">
        <v>183</v>
      </c>
      <c r="B2637" s="402" t="s">
        <v>4991</v>
      </c>
      <c r="D2637" s="393" t="s">
        <v>347</v>
      </c>
      <c r="E2637" s="394" t="s">
        <v>4992</v>
      </c>
      <c r="G2637" s="405" t="s">
        <v>3711</v>
      </c>
      <c r="H2637" s="74">
        <v>3561</v>
      </c>
      <c r="I2637" s="50" t="s">
        <v>2</v>
      </c>
      <c r="J2637" s="74" t="s">
        <v>4993</v>
      </c>
      <c r="K2637" s="51">
        <v>41259</v>
      </c>
      <c r="L2637" s="173">
        <v>41252</v>
      </c>
      <c r="M2637" s="50">
        <f t="shared" si="152"/>
        <v>7</v>
      </c>
      <c r="N2637" s="50" t="s">
        <v>2</v>
      </c>
      <c r="O2637" s="74">
        <v>4.5</v>
      </c>
      <c r="P2637" s="50">
        <v>6.4</v>
      </c>
      <c r="Q2637" s="74">
        <v>7</v>
      </c>
      <c r="R2637" s="50">
        <v>14</v>
      </c>
      <c r="S2637" s="74">
        <v>70</v>
      </c>
      <c r="T2637" s="50">
        <v>7.0000000000000007E-2</v>
      </c>
      <c r="U2637" s="131">
        <v>2.93</v>
      </c>
      <c r="V2637" s="50">
        <v>0.92</v>
      </c>
      <c r="W2637" s="74">
        <v>2.1000000000000001E-2</v>
      </c>
      <c r="X2637" s="50">
        <v>0.17699999999999999</v>
      </c>
      <c r="Y2637" s="74">
        <f>0.03/2</f>
        <v>1.4999999999999999E-2</v>
      </c>
      <c r="Z2637" s="165"/>
    </row>
    <row r="2638" spans="1:31" ht="15" customHeight="1">
      <c r="A2638" s="41" t="s">
        <v>183</v>
      </c>
      <c r="B2638" s="402" t="s">
        <v>5032</v>
      </c>
      <c r="C2638" s="113" t="s">
        <v>5077</v>
      </c>
      <c r="D2638" s="393" t="s">
        <v>2913</v>
      </c>
      <c r="E2638" s="394" t="s">
        <v>5033</v>
      </c>
      <c r="G2638" s="405" t="s">
        <v>5034</v>
      </c>
      <c r="H2638" s="74">
        <v>3724</v>
      </c>
      <c r="I2638" s="50" t="s">
        <v>2</v>
      </c>
      <c r="J2638" s="339"/>
      <c r="K2638" s="51">
        <v>40996</v>
      </c>
      <c r="L2638" s="173">
        <v>40994</v>
      </c>
      <c r="M2638" s="50">
        <f t="shared" si="152"/>
        <v>2</v>
      </c>
      <c r="N2638" s="50" t="s">
        <v>2</v>
      </c>
      <c r="O2638" s="74">
        <v>7.1</v>
      </c>
      <c r="P2638" s="50">
        <v>8.15</v>
      </c>
      <c r="Q2638" s="74">
        <v>8.4499999999999993</v>
      </c>
      <c r="R2638" s="50">
        <v>81</v>
      </c>
      <c r="S2638" s="74">
        <v>280</v>
      </c>
      <c r="T2638" s="50">
        <v>0.35</v>
      </c>
      <c r="U2638" s="131">
        <v>2.2799999999999998</v>
      </c>
      <c r="V2638" s="50">
        <v>0.44</v>
      </c>
      <c r="W2638" s="74">
        <v>3.5999999999999997E-2</v>
      </c>
      <c r="X2638" s="50">
        <v>0.153</v>
      </c>
      <c r="Y2638" s="74">
        <v>8.9999999999999993E-3</v>
      </c>
      <c r="Z2638" s="165">
        <v>1</v>
      </c>
      <c r="AA2638" s="271">
        <v>1</v>
      </c>
      <c r="AB2638" s="114">
        <v>42</v>
      </c>
      <c r="AC2638" s="50">
        <v>289</v>
      </c>
      <c r="AD2638" s="271">
        <v>1</v>
      </c>
    </row>
    <row r="2639" spans="1:31" ht="15" customHeight="1">
      <c r="A2639" s="41" t="s">
        <v>183</v>
      </c>
      <c r="B2639" s="402" t="s">
        <v>5404</v>
      </c>
      <c r="C2639" s="113" t="s">
        <v>5404</v>
      </c>
      <c r="D2639" s="393" t="s">
        <v>205</v>
      </c>
      <c r="E2639" s="394" t="s">
        <v>1056</v>
      </c>
      <c r="G2639" s="405" t="s">
        <v>5405</v>
      </c>
      <c r="H2639" s="74">
        <v>3564</v>
      </c>
      <c r="I2639" s="50" t="s">
        <v>2</v>
      </c>
      <c r="J2639" s="339" t="s">
        <v>641</v>
      </c>
      <c r="K2639" s="51">
        <v>41030</v>
      </c>
      <c r="L2639" s="173">
        <v>41022</v>
      </c>
      <c r="M2639" s="50">
        <f t="shared" si="152"/>
        <v>8</v>
      </c>
      <c r="N2639" s="50" t="s">
        <v>2</v>
      </c>
      <c r="O2639" s="74">
        <f>1.6/2</f>
        <v>0.8</v>
      </c>
      <c r="P2639" s="50">
        <v>6.5</v>
      </c>
      <c r="Q2639" s="74">
        <v>7.14</v>
      </c>
      <c r="R2639" s="50">
        <v>41</v>
      </c>
      <c r="S2639" s="74">
        <v>11</v>
      </c>
      <c r="T2639" s="50">
        <v>0.11</v>
      </c>
      <c r="U2639" s="131">
        <v>1.56</v>
      </c>
      <c r="V2639" s="50">
        <v>1.24</v>
      </c>
      <c r="W2639" s="74">
        <v>1.2999999999999999E-2</v>
      </c>
      <c r="X2639" s="50">
        <v>5.5E-2</v>
      </c>
      <c r="Y2639" s="74">
        <v>5.0000000000000001E-3</v>
      </c>
      <c r="Z2639" s="165">
        <v>1</v>
      </c>
      <c r="AA2639" s="271">
        <v>1</v>
      </c>
      <c r="AB2639" s="114">
        <v>12</v>
      </c>
      <c r="AC2639" s="50">
        <v>152</v>
      </c>
      <c r="AD2639" s="271">
        <v>1</v>
      </c>
    </row>
    <row r="2640" spans="1:31" ht="15" customHeight="1">
      <c r="A2640" s="74" t="s">
        <v>183</v>
      </c>
      <c r="B2640" s="402" t="s">
        <v>5404</v>
      </c>
      <c r="C2640" s="113" t="s">
        <v>5404</v>
      </c>
      <c r="D2640" s="393" t="s">
        <v>205</v>
      </c>
      <c r="E2640" s="394" t="s">
        <v>1056</v>
      </c>
      <c r="G2640" s="405" t="s">
        <v>5405</v>
      </c>
      <c r="H2640" s="74">
        <v>3564</v>
      </c>
      <c r="I2640" s="50" t="s">
        <v>2</v>
      </c>
      <c r="J2640" s="339" t="s">
        <v>641</v>
      </c>
      <c r="K2640" s="51">
        <v>40984</v>
      </c>
      <c r="L2640" s="173">
        <v>40981</v>
      </c>
      <c r="M2640" s="50">
        <f t="shared" ref="M2640:M2658" si="153">K2640-L2640</f>
        <v>3</v>
      </c>
      <c r="N2640" s="50" t="s">
        <v>2</v>
      </c>
      <c r="O2640" s="74">
        <v>6.6</v>
      </c>
      <c r="P2640" s="50">
        <v>6.5</v>
      </c>
      <c r="Q2640" s="74">
        <v>6.23</v>
      </c>
      <c r="R2640" s="50">
        <v>77</v>
      </c>
      <c r="S2640" s="74">
        <v>220</v>
      </c>
      <c r="T2640" s="50">
        <v>0.44</v>
      </c>
      <c r="U2640" s="131">
        <v>5.37</v>
      </c>
      <c r="V2640" s="50">
        <v>2.2799999999999998</v>
      </c>
      <c r="W2640" s="74">
        <v>5.1999999999999998E-2</v>
      </c>
      <c r="X2640" s="50">
        <v>0.71</v>
      </c>
      <c r="Y2640" s="74">
        <v>3.5000000000000003E-2</v>
      </c>
      <c r="Z2640" s="165"/>
    </row>
    <row r="2641" spans="1:38" ht="15" customHeight="1">
      <c r="A2641" s="41" t="s">
        <v>183</v>
      </c>
      <c r="B2641" s="402" t="s">
        <v>4977</v>
      </c>
      <c r="C2641" s="113" t="s">
        <v>4977</v>
      </c>
      <c r="D2641" s="393" t="s">
        <v>192</v>
      </c>
      <c r="E2641" s="394" t="s">
        <v>922</v>
      </c>
      <c r="G2641" s="405" t="s">
        <v>923</v>
      </c>
      <c r="H2641" s="74">
        <v>3728</v>
      </c>
      <c r="I2641" s="50" t="s">
        <v>1</v>
      </c>
      <c r="J2641" s="339" t="s">
        <v>2525</v>
      </c>
      <c r="K2641" s="51">
        <v>41539</v>
      </c>
      <c r="L2641" s="173">
        <v>41529</v>
      </c>
      <c r="M2641" s="50">
        <f t="shared" si="153"/>
        <v>10</v>
      </c>
      <c r="N2641" s="50" t="s">
        <v>2</v>
      </c>
      <c r="O2641" s="74">
        <f>1.4/2</f>
        <v>0.7</v>
      </c>
      <c r="P2641" s="50">
        <v>7.68</v>
      </c>
      <c r="Q2641" s="74">
        <v>7.91</v>
      </c>
      <c r="R2641" s="50">
        <v>11</v>
      </c>
      <c r="S2641" s="74">
        <v>51</v>
      </c>
      <c r="T2641" s="50">
        <v>0.19</v>
      </c>
      <c r="U2641" s="131">
        <v>0.51</v>
      </c>
      <c r="V2641" s="50">
        <v>0.38</v>
      </c>
      <c r="W2641" s="74">
        <v>6.0000000000000001E-3</v>
      </c>
      <c r="X2641" s="50">
        <v>2.7E-2</v>
      </c>
      <c r="Y2641" s="74">
        <v>3.0000000000000001E-3</v>
      </c>
      <c r="Z2641" s="165"/>
      <c r="AK2641" s="114">
        <f t="shared" ref="AK2641:AL2647" si="154">7/2</f>
        <v>3.5</v>
      </c>
      <c r="AL2641" s="114">
        <f t="shared" si="154"/>
        <v>3.5</v>
      </c>
    </row>
    <row r="2642" spans="1:38" ht="15" customHeight="1">
      <c r="A2642" s="41" t="s">
        <v>183</v>
      </c>
      <c r="B2642" s="402" t="s">
        <v>4977</v>
      </c>
      <c r="C2642" s="113" t="s">
        <v>4977</v>
      </c>
      <c r="D2642" s="393" t="s">
        <v>192</v>
      </c>
      <c r="E2642" s="394" t="s">
        <v>922</v>
      </c>
      <c r="G2642" s="405" t="s">
        <v>923</v>
      </c>
      <c r="H2642" s="74">
        <v>3728</v>
      </c>
      <c r="I2642" s="50" t="s">
        <v>1</v>
      </c>
      <c r="J2642" s="339" t="s">
        <v>425</v>
      </c>
      <c r="K2642" s="51">
        <v>41539</v>
      </c>
      <c r="L2642" s="173">
        <v>41529</v>
      </c>
      <c r="M2642" s="50">
        <f t="shared" si="153"/>
        <v>10</v>
      </c>
      <c r="N2642" s="50" t="s">
        <v>2</v>
      </c>
      <c r="O2642" s="74">
        <f>1.4</f>
        <v>1.4</v>
      </c>
      <c r="P2642" s="50">
        <v>7.68</v>
      </c>
      <c r="Q2642" s="74">
        <v>8.2200000000000006</v>
      </c>
      <c r="R2642" s="50">
        <f>10/2</f>
        <v>5</v>
      </c>
      <c r="S2642" s="74">
        <v>91</v>
      </c>
      <c r="T2642" s="50">
        <v>0.13</v>
      </c>
      <c r="U2642" s="131">
        <v>0.59</v>
      </c>
      <c r="V2642" s="50">
        <v>0.06</v>
      </c>
      <c r="W2642" s="74">
        <v>8.9999999999999993E-3</v>
      </c>
      <c r="X2642" s="50">
        <v>8.1000000000000003E-2</v>
      </c>
      <c r="Y2642" s="74">
        <v>7.0000000000000001E-3</v>
      </c>
      <c r="Z2642" s="165"/>
      <c r="AK2642" s="114">
        <f t="shared" si="154"/>
        <v>3.5</v>
      </c>
      <c r="AL2642" s="114">
        <f t="shared" si="154"/>
        <v>3.5</v>
      </c>
    </row>
    <row r="2643" spans="1:38" ht="15" customHeight="1">
      <c r="A2643" s="41" t="s">
        <v>183</v>
      </c>
      <c r="B2643" s="402" t="s">
        <v>4977</v>
      </c>
      <c r="C2643" s="113" t="s">
        <v>4977</v>
      </c>
      <c r="D2643" s="393" t="s">
        <v>192</v>
      </c>
      <c r="E2643" s="394" t="s">
        <v>922</v>
      </c>
      <c r="G2643" s="405" t="s">
        <v>923</v>
      </c>
      <c r="H2643" s="74">
        <v>3728</v>
      </c>
      <c r="I2643" s="50" t="s">
        <v>1</v>
      </c>
      <c r="J2643" s="339" t="s">
        <v>1341</v>
      </c>
      <c r="K2643" s="51">
        <v>41539</v>
      </c>
      <c r="L2643" s="173">
        <v>41529</v>
      </c>
      <c r="M2643" s="50">
        <f t="shared" si="153"/>
        <v>10</v>
      </c>
      <c r="N2643" s="50" t="s">
        <v>2</v>
      </c>
      <c r="O2643" s="74">
        <f t="shared" ref="O2643:O2648" si="155">1.4/2</f>
        <v>0.7</v>
      </c>
      <c r="P2643" s="50">
        <v>7.68</v>
      </c>
      <c r="Q2643" s="74">
        <v>7.88</v>
      </c>
      <c r="R2643" s="50">
        <v>15</v>
      </c>
      <c r="S2643" s="74">
        <v>10</v>
      </c>
      <c r="T2643" s="50">
        <v>0.04</v>
      </c>
      <c r="U2643" s="131">
        <v>0.26</v>
      </c>
      <c r="V2643" s="50">
        <v>0.04</v>
      </c>
      <c r="W2643" s="74">
        <f>0.005/2</f>
        <v>2.5000000000000001E-3</v>
      </c>
      <c r="X2643" s="50">
        <v>4.9000000000000002E-2</v>
      </c>
      <c r="Y2643" s="74">
        <v>2E-3</v>
      </c>
      <c r="Z2643" s="165"/>
      <c r="AK2643" s="114">
        <f t="shared" si="154"/>
        <v>3.5</v>
      </c>
      <c r="AL2643" s="114">
        <f t="shared" si="154"/>
        <v>3.5</v>
      </c>
    </row>
    <row r="2644" spans="1:38" ht="15" customHeight="1">
      <c r="A2644" s="41" t="s">
        <v>183</v>
      </c>
      <c r="B2644" s="402" t="s">
        <v>4977</v>
      </c>
      <c r="C2644" s="113" t="s">
        <v>4977</v>
      </c>
      <c r="D2644" s="393" t="s">
        <v>192</v>
      </c>
      <c r="E2644" s="394" t="s">
        <v>922</v>
      </c>
      <c r="G2644" s="405" t="s">
        <v>923</v>
      </c>
      <c r="H2644" s="74">
        <v>3728</v>
      </c>
      <c r="I2644" s="50" t="s">
        <v>1</v>
      </c>
      <c r="J2644" s="339" t="s">
        <v>836</v>
      </c>
      <c r="K2644" s="51">
        <v>41539</v>
      </c>
      <c r="L2644" s="173">
        <v>41529</v>
      </c>
      <c r="M2644" s="50">
        <f t="shared" si="153"/>
        <v>10</v>
      </c>
      <c r="N2644" s="50" t="s">
        <v>2</v>
      </c>
      <c r="O2644" s="74">
        <f t="shared" si="155"/>
        <v>0.7</v>
      </c>
      <c r="P2644" s="50">
        <v>7.68</v>
      </c>
      <c r="Q2644" s="74">
        <v>7.69</v>
      </c>
      <c r="R2644" s="50">
        <v>15</v>
      </c>
      <c r="S2644" s="74">
        <v>6</v>
      </c>
      <c r="T2644" s="50">
        <v>0.01</v>
      </c>
      <c r="U2644" s="131">
        <v>0.85</v>
      </c>
      <c r="V2644" s="50">
        <v>0.02</v>
      </c>
      <c r="W2644" s="74">
        <f>0.005/2</f>
        <v>2.5000000000000001E-3</v>
      </c>
      <c r="X2644" s="50">
        <v>1.9E-2</v>
      </c>
      <c r="Y2644" s="74">
        <v>2E-3</v>
      </c>
      <c r="Z2644" s="165"/>
      <c r="AK2644" s="114">
        <f t="shared" si="154"/>
        <v>3.5</v>
      </c>
      <c r="AL2644" s="114">
        <f t="shared" si="154"/>
        <v>3.5</v>
      </c>
    </row>
    <row r="2645" spans="1:38" ht="15" customHeight="1">
      <c r="A2645" s="41" t="s">
        <v>183</v>
      </c>
      <c r="B2645" s="402" t="s">
        <v>4977</v>
      </c>
      <c r="C2645" s="113" t="s">
        <v>4977</v>
      </c>
      <c r="D2645" s="393" t="s">
        <v>192</v>
      </c>
      <c r="E2645" s="394" t="s">
        <v>922</v>
      </c>
      <c r="G2645" s="405" t="s">
        <v>923</v>
      </c>
      <c r="H2645" s="74">
        <v>3728</v>
      </c>
      <c r="I2645" s="50" t="s">
        <v>1</v>
      </c>
      <c r="J2645" s="339" t="s">
        <v>595</v>
      </c>
      <c r="K2645" s="51">
        <v>41539</v>
      </c>
      <c r="L2645" s="173">
        <v>41529</v>
      </c>
      <c r="M2645" s="50">
        <f t="shared" si="153"/>
        <v>10</v>
      </c>
      <c r="N2645" s="50" t="s">
        <v>2</v>
      </c>
      <c r="O2645" s="74">
        <f t="shared" si="155"/>
        <v>0.7</v>
      </c>
      <c r="P2645" s="50">
        <v>7.68</v>
      </c>
      <c r="Q2645" s="74">
        <v>7.72</v>
      </c>
      <c r="R2645" s="50">
        <f>10/2</f>
        <v>5</v>
      </c>
      <c r="S2645" s="74">
        <f>5/2</f>
        <v>2.5</v>
      </c>
      <c r="T2645" s="50">
        <v>0.03</v>
      </c>
      <c r="U2645" s="131">
        <v>0.34</v>
      </c>
      <c r="V2645" s="50">
        <v>0.12</v>
      </c>
      <c r="W2645" s="74">
        <f>0.005/2</f>
        <v>2.5000000000000001E-3</v>
      </c>
      <c r="X2645" s="50">
        <v>3.5999999999999997E-2</v>
      </c>
      <c r="Y2645" s="74">
        <f>0.002/2</f>
        <v>1E-3</v>
      </c>
      <c r="Z2645" s="165"/>
      <c r="AK2645" s="114">
        <f t="shared" si="154"/>
        <v>3.5</v>
      </c>
      <c r="AL2645" s="114">
        <f t="shared" si="154"/>
        <v>3.5</v>
      </c>
    </row>
    <row r="2646" spans="1:38" ht="15" customHeight="1">
      <c r="A2646" s="41" t="s">
        <v>183</v>
      </c>
      <c r="B2646" s="402" t="s">
        <v>4977</v>
      </c>
      <c r="C2646" s="113" t="s">
        <v>4977</v>
      </c>
      <c r="D2646" s="393" t="s">
        <v>192</v>
      </c>
      <c r="E2646" s="394" t="s">
        <v>922</v>
      </c>
      <c r="G2646" s="405" t="s">
        <v>923</v>
      </c>
      <c r="H2646" s="74">
        <v>3728</v>
      </c>
      <c r="I2646" s="50" t="s">
        <v>1</v>
      </c>
      <c r="J2646" s="339" t="s">
        <v>117</v>
      </c>
      <c r="K2646" s="51">
        <v>41539</v>
      </c>
      <c r="L2646" s="173">
        <v>41529</v>
      </c>
      <c r="M2646" s="50">
        <f t="shared" si="153"/>
        <v>10</v>
      </c>
      <c r="N2646" s="50" t="s">
        <v>2</v>
      </c>
      <c r="O2646" s="74">
        <f t="shared" si="155"/>
        <v>0.7</v>
      </c>
      <c r="P2646" s="50">
        <v>7.68</v>
      </c>
      <c r="Q2646" s="74">
        <v>7.86</v>
      </c>
      <c r="R2646" s="50">
        <f>10/2</f>
        <v>5</v>
      </c>
      <c r="S2646" s="74">
        <v>11</v>
      </c>
      <c r="T2646" s="50">
        <v>0.04</v>
      </c>
      <c r="U2646" s="131">
        <v>0.28000000000000003</v>
      </c>
      <c r="V2646" s="50">
        <v>0.04</v>
      </c>
      <c r="W2646" s="74">
        <f>0.005/2</f>
        <v>2.5000000000000001E-3</v>
      </c>
      <c r="X2646" s="50">
        <v>0.01</v>
      </c>
      <c r="Y2646" s="74">
        <f>0.002</f>
        <v>2E-3</v>
      </c>
      <c r="Z2646" s="165"/>
      <c r="AK2646" s="114">
        <f t="shared" si="154"/>
        <v>3.5</v>
      </c>
      <c r="AL2646" s="114">
        <f t="shared" si="154"/>
        <v>3.5</v>
      </c>
    </row>
    <row r="2647" spans="1:38" ht="15" customHeight="1">
      <c r="A2647" s="41" t="s">
        <v>183</v>
      </c>
      <c r="B2647" s="402" t="s">
        <v>4977</v>
      </c>
      <c r="C2647" s="113" t="s">
        <v>4977</v>
      </c>
      <c r="D2647" s="393" t="s">
        <v>192</v>
      </c>
      <c r="E2647" s="394" t="s">
        <v>922</v>
      </c>
      <c r="G2647" s="405" t="s">
        <v>923</v>
      </c>
      <c r="H2647" s="74">
        <v>3728</v>
      </c>
      <c r="I2647" s="50" t="s">
        <v>1</v>
      </c>
      <c r="J2647" s="339" t="s">
        <v>2372</v>
      </c>
      <c r="K2647" s="51">
        <v>41539</v>
      </c>
      <c r="L2647" s="173">
        <v>41529</v>
      </c>
      <c r="M2647" s="50">
        <f t="shared" si="153"/>
        <v>10</v>
      </c>
      <c r="N2647" s="50" t="s">
        <v>2</v>
      </c>
      <c r="O2647" s="74">
        <f t="shared" si="155"/>
        <v>0.7</v>
      </c>
      <c r="P2647" s="50">
        <v>7.68</v>
      </c>
      <c r="Q2647" s="74">
        <v>7.91</v>
      </c>
      <c r="R2647" s="50">
        <f>10/2</f>
        <v>5</v>
      </c>
      <c r="S2647" s="74">
        <f>5/2</f>
        <v>2.5</v>
      </c>
      <c r="T2647" s="50">
        <v>0.03</v>
      </c>
      <c r="U2647" s="131">
        <v>0.16</v>
      </c>
      <c r="V2647" s="50">
        <v>0.04</v>
      </c>
      <c r="W2647" s="74">
        <f>0.005/2</f>
        <v>2.5000000000000001E-3</v>
      </c>
      <c r="X2647" s="50">
        <v>6.0000000000000001E-3</v>
      </c>
      <c r="Y2647" s="74">
        <f>0.002/2</f>
        <v>1E-3</v>
      </c>
      <c r="Z2647" s="165"/>
      <c r="AK2647" s="114">
        <f t="shared" si="154"/>
        <v>3.5</v>
      </c>
      <c r="AL2647" s="114">
        <f t="shared" si="154"/>
        <v>3.5</v>
      </c>
    </row>
    <row r="2648" spans="1:38" ht="15" customHeight="1">
      <c r="A2648" s="41" t="s">
        <v>183</v>
      </c>
      <c r="B2648" s="402" t="s">
        <v>5404</v>
      </c>
      <c r="C2648" s="113" t="s">
        <v>5404</v>
      </c>
      <c r="D2648" s="393" t="s">
        <v>205</v>
      </c>
      <c r="E2648" s="394" t="s">
        <v>1056</v>
      </c>
      <c r="G2648" s="405" t="s">
        <v>5405</v>
      </c>
      <c r="H2648" s="74">
        <v>3564</v>
      </c>
      <c r="I2648" s="50" t="s">
        <v>2</v>
      </c>
      <c r="J2648" s="339" t="s">
        <v>641</v>
      </c>
      <c r="K2648" s="51">
        <v>41529</v>
      </c>
      <c r="L2648" s="173">
        <v>41519</v>
      </c>
      <c r="M2648" s="50">
        <f t="shared" si="153"/>
        <v>10</v>
      </c>
      <c r="N2648" s="50" t="s">
        <v>2</v>
      </c>
      <c r="O2648" s="74">
        <f t="shared" si="155"/>
        <v>0.7</v>
      </c>
      <c r="P2648" s="50">
        <v>4.8600000000000003</v>
      </c>
      <c r="Q2648" s="74">
        <v>6.89</v>
      </c>
      <c r="R2648" s="50">
        <v>26</v>
      </c>
      <c r="S2648" s="74">
        <v>7</v>
      </c>
      <c r="T2648" s="50">
        <v>0.1</v>
      </c>
      <c r="U2648" s="131">
        <v>1.46</v>
      </c>
      <c r="V2648" s="50">
        <v>0.59</v>
      </c>
      <c r="W2648" s="74">
        <v>1.2E-2</v>
      </c>
      <c r="X2648" s="50">
        <v>5.8999999999999997E-2</v>
      </c>
      <c r="Y2648" s="74">
        <v>8.9999999999999993E-3</v>
      </c>
      <c r="Z2648" s="165">
        <v>1</v>
      </c>
      <c r="AA2648" s="271">
        <v>1</v>
      </c>
      <c r="AB2648" s="114">
        <v>10</v>
      </c>
      <c r="AC2648" s="50">
        <v>31</v>
      </c>
      <c r="AD2648" s="271">
        <v>1</v>
      </c>
    </row>
    <row r="2649" spans="1:38" ht="15" customHeight="1">
      <c r="A2649" s="41" t="s">
        <v>183</v>
      </c>
      <c r="B2649" s="402" t="s">
        <v>1890</v>
      </c>
      <c r="C2649" s="113" t="s">
        <v>1890</v>
      </c>
      <c r="D2649" s="393" t="s">
        <v>111</v>
      </c>
      <c r="E2649" s="394" t="s">
        <v>112</v>
      </c>
      <c r="G2649" s="405" t="s">
        <v>1891</v>
      </c>
      <c r="H2649" s="74">
        <v>3547</v>
      </c>
      <c r="I2649" s="50" t="s">
        <v>1</v>
      </c>
      <c r="J2649" s="339" t="s">
        <v>255</v>
      </c>
      <c r="K2649" s="51">
        <v>41527</v>
      </c>
      <c r="L2649" s="173">
        <v>41520</v>
      </c>
      <c r="M2649" s="50">
        <f t="shared" si="153"/>
        <v>7</v>
      </c>
      <c r="N2649" s="50" t="s">
        <v>2</v>
      </c>
      <c r="O2649" s="74">
        <v>3.2</v>
      </c>
      <c r="P2649" s="50">
        <v>6</v>
      </c>
      <c r="Q2649" s="74">
        <v>5.61</v>
      </c>
      <c r="R2649" s="50">
        <v>136.1</v>
      </c>
      <c r="S2649" s="74">
        <v>67</v>
      </c>
      <c r="T2649" s="50">
        <v>0.35</v>
      </c>
      <c r="U2649" s="131">
        <v>3.4</v>
      </c>
      <c r="V2649" s="50">
        <v>1.81</v>
      </c>
      <c r="W2649" s="74">
        <v>3.4000000000000002E-2</v>
      </c>
      <c r="X2649" s="50">
        <v>0.36499999999999999</v>
      </c>
      <c r="Y2649" s="74">
        <v>1.7999999999999999E-2</v>
      </c>
      <c r="Z2649" s="165">
        <v>1</v>
      </c>
      <c r="AA2649" s="271">
        <v>1</v>
      </c>
      <c r="AE2649" s="50">
        <v>1500</v>
      </c>
    </row>
    <row r="2650" spans="1:38" ht="15" customHeight="1">
      <c r="A2650" s="41" t="s">
        <v>183</v>
      </c>
      <c r="B2650" s="402" t="s">
        <v>40</v>
      </c>
      <c r="C2650" s="113" t="s">
        <v>40</v>
      </c>
      <c r="D2650" s="393" t="s">
        <v>41</v>
      </c>
      <c r="E2650" s="394" t="s">
        <v>42</v>
      </c>
      <c r="F2650" s="47" t="s">
        <v>5216</v>
      </c>
      <c r="G2650" s="405" t="s">
        <v>43</v>
      </c>
      <c r="H2650" s="74">
        <v>3728</v>
      </c>
      <c r="I2650" s="114" t="s">
        <v>2</v>
      </c>
      <c r="J2650" s="48" t="s">
        <v>45</v>
      </c>
      <c r="K2650" s="366">
        <v>41585</v>
      </c>
      <c r="L2650" s="173">
        <v>41579</v>
      </c>
      <c r="M2650" s="50">
        <f t="shared" si="153"/>
        <v>6</v>
      </c>
      <c r="N2650" s="50" t="s">
        <v>2</v>
      </c>
      <c r="U2650" s="131">
        <v>1.97</v>
      </c>
      <c r="X2650" s="50">
        <v>0.3</v>
      </c>
      <c r="Z2650" s="165"/>
    </row>
    <row r="2651" spans="1:38" ht="15" customHeight="1">
      <c r="A2651" s="41" t="s">
        <v>183</v>
      </c>
      <c r="B2651" s="402" t="s">
        <v>40</v>
      </c>
      <c r="C2651" s="113" t="s">
        <v>40</v>
      </c>
      <c r="D2651" s="393" t="s">
        <v>41</v>
      </c>
      <c r="E2651" s="394" t="s">
        <v>42</v>
      </c>
      <c r="F2651" s="47" t="s">
        <v>5216</v>
      </c>
      <c r="G2651" s="405" t="s">
        <v>43</v>
      </c>
      <c r="H2651" s="74">
        <v>3728</v>
      </c>
      <c r="I2651" s="50" t="s">
        <v>2</v>
      </c>
      <c r="J2651" s="74" t="s">
        <v>46</v>
      </c>
      <c r="K2651" s="51">
        <v>41585</v>
      </c>
      <c r="L2651" s="173">
        <v>41579</v>
      </c>
      <c r="M2651" s="50">
        <f t="shared" si="153"/>
        <v>6</v>
      </c>
      <c r="N2651" s="50" t="s">
        <v>2</v>
      </c>
      <c r="R2651" s="50">
        <v>48</v>
      </c>
      <c r="Z2651" s="165"/>
    </row>
    <row r="2652" spans="1:38" ht="15" customHeight="1">
      <c r="A2652" s="41" t="s">
        <v>183</v>
      </c>
      <c r="B2652" s="402" t="s">
        <v>40</v>
      </c>
      <c r="C2652" s="113" t="s">
        <v>40</v>
      </c>
      <c r="D2652" s="393" t="s">
        <v>41</v>
      </c>
      <c r="E2652" s="394" t="s">
        <v>42</v>
      </c>
      <c r="F2652" s="47" t="s">
        <v>5216</v>
      </c>
      <c r="G2652" s="405" t="s">
        <v>43</v>
      </c>
      <c r="H2652" s="74">
        <v>3728</v>
      </c>
      <c r="I2652" s="50" t="s">
        <v>2</v>
      </c>
      <c r="J2652" s="48" t="s">
        <v>1973</v>
      </c>
      <c r="K2652" s="51">
        <v>41585</v>
      </c>
      <c r="L2652" s="173">
        <v>41579</v>
      </c>
      <c r="M2652" s="50">
        <f t="shared" si="153"/>
        <v>6</v>
      </c>
      <c r="N2652" s="50" t="s">
        <v>2</v>
      </c>
      <c r="U2652" s="131">
        <v>1.1399999999999999</v>
      </c>
      <c r="Z2652" s="165"/>
    </row>
    <row r="2653" spans="1:38" ht="15" customHeight="1">
      <c r="A2653" s="41" t="s">
        <v>183</v>
      </c>
      <c r="B2653" s="385" t="s">
        <v>4390</v>
      </c>
      <c r="C2653" s="18" t="s">
        <v>4390</v>
      </c>
      <c r="D2653" s="377" t="s">
        <v>350</v>
      </c>
      <c r="G2653" s="405" t="s">
        <v>4391</v>
      </c>
      <c r="H2653" s="74"/>
      <c r="I2653" s="50" t="s">
        <v>2</v>
      </c>
      <c r="J2653" s="74" t="s">
        <v>5408</v>
      </c>
      <c r="K2653" s="51">
        <v>41345</v>
      </c>
      <c r="L2653" s="173">
        <v>41341</v>
      </c>
      <c r="M2653" s="50">
        <f t="shared" si="153"/>
        <v>4</v>
      </c>
      <c r="N2653" s="50" t="s">
        <v>1</v>
      </c>
      <c r="O2653" s="74">
        <f>1.4/2</f>
        <v>0.7</v>
      </c>
      <c r="P2653" s="50">
        <v>5.74</v>
      </c>
      <c r="Q2653" s="74">
        <v>5.78</v>
      </c>
      <c r="R2653" s="50">
        <v>60</v>
      </c>
      <c r="S2653" s="74">
        <v>39</v>
      </c>
      <c r="T2653" s="50">
        <v>0.1</v>
      </c>
      <c r="U2653" s="131">
        <v>0.76</v>
      </c>
      <c r="V2653" s="50">
        <v>0.12</v>
      </c>
      <c r="W2653" s="74">
        <v>8.9999999999999993E-3</v>
      </c>
      <c r="X2653" s="50">
        <v>8.7999999999999995E-2</v>
      </c>
      <c r="Y2653" s="74">
        <v>2E-3</v>
      </c>
      <c r="Z2653" s="165">
        <v>1</v>
      </c>
      <c r="AA2653" s="271">
        <v>1</v>
      </c>
      <c r="AB2653" s="114">
        <v>4</v>
      </c>
      <c r="AC2653" s="50">
        <v>39</v>
      </c>
      <c r="AD2653" s="271">
        <v>0.85</v>
      </c>
    </row>
    <row r="2654" spans="1:38" ht="15" customHeight="1">
      <c r="A2654" s="41" t="s">
        <v>183</v>
      </c>
      <c r="B2654" s="402" t="s">
        <v>4336</v>
      </c>
      <c r="C2654" s="113" t="s">
        <v>4336</v>
      </c>
      <c r="D2654" s="393" t="s">
        <v>213</v>
      </c>
      <c r="E2654" s="394" t="s">
        <v>5409</v>
      </c>
      <c r="G2654" s="390" t="s">
        <v>4338</v>
      </c>
      <c r="H2654" s="74">
        <v>3541</v>
      </c>
      <c r="I2654" s="50" t="s">
        <v>2</v>
      </c>
      <c r="J2654" s="339" t="s">
        <v>5410</v>
      </c>
      <c r="K2654" s="51">
        <v>41364</v>
      </c>
      <c r="L2654" s="173">
        <v>41352</v>
      </c>
      <c r="M2654" s="50">
        <f t="shared" si="153"/>
        <v>12</v>
      </c>
      <c r="N2654" s="50" t="s">
        <v>2</v>
      </c>
      <c r="O2654" s="74">
        <f>1.6/2</f>
        <v>0.8</v>
      </c>
      <c r="P2654" s="50">
        <v>9.1</v>
      </c>
      <c r="Q2654" s="74">
        <v>7</v>
      </c>
      <c r="R2654" s="50">
        <v>43</v>
      </c>
      <c r="S2654" s="74">
        <v>34</v>
      </c>
      <c r="T2654" s="50">
        <v>0.11899999999999999</v>
      </c>
      <c r="U2654" s="131">
        <v>2.1</v>
      </c>
      <c r="V2654" s="50">
        <v>0.47</v>
      </c>
      <c r="W2654" s="74">
        <v>1.0999999999999999E-2</v>
      </c>
      <c r="X2654" s="50">
        <v>0.124</v>
      </c>
      <c r="Y2654" s="74">
        <f>0.005/2</f>
        <v>2.5000000000000001E-3</v>
      </c>
      <c r="Z2654" s="165"/>
    </row>
    <row r="2655" spans="1:38" ht="15" customHeight="1">
      <c r="A2655" s="41" t="s">
        <v>183</v>
      </c>
      <c r="B2655" s="402" t="s">
        <v>4336</v>
      </c>
      <c r="C2655" s="113" t="s">
        <v>4336</v>
      </c>
      <c r="D2655" s="393" t="s">
        <v>213</v>
      </c>
      <c r="E2655" s="394" t="s">
        <v>5409</v>
      </c>
      <c r="G2655" s="390" t="s">
        <v>4565</v>
      </c>
      <c r="H2655" s="74">
        <v>3541</v>
      </c>
      <c r="I2655" s="50" t="s">
        <v>2</v>
      </c>
      <c r="J2655" s="339" t="s">
        <v>1867</v>
      </c>
      <c r="K2655" s="51">
        <v>41364</v>
      </c>
      <c r="L2655" s="173">
        <v>41352</v>
      </c>
      <c r="M2655" s="50">
        <f t="shared" si="153"/>
        <v>12</v>
      </c>
      <c r="N2655" s="50" t="s">
        <v>2</v>
      </c>
      <c r="O2655" s="74">
        <f>1.6/2</f>
        <v>0.8</v>
      </c>
      <c r="P2655" s="50">
        <v>9.1</v>
      </c>
      <c r="Q2655" s="74">
        <v>7.1</v>
      </c>
      <c r="R2655" s="50">
        <v>21</v>
      </c>
      <c r="S2655" s="74">
        <v>13.6</v>
      </c>
      <c r="T2655" s="50">
        <v>6.5000000000000002E-2</v>
      </c>
      <c r="U2655" s="131">
        <v>2</v>
      </c>
      <c r="V2655" s="50">
        <f>0.46/2</f>
        <v>0.23</v>
      </c>
      <c r="W2655" s="74">
        <f>0.005/2</f>
        <v>2.5000000000000001E-3</v>
      </c>
      <c r="X2655" s="50">
        <v>7.8E-2</v>
      </c>
      <c r="Y2655" s="74">
        <f>0.005/2</f>
        <v>2.5000000000000001E-3</v>
      </c>
      <c r="Z2655" s="165"/>
    </row>
    <row r="2656" spans="1:38" ht="15" customHeight="1">
      <c r="A2656" s="41" t="s">
        <v>183</v>
      </c>
      <c r="B2656" s="402" t="s">
        <v>4336</v>
      </c>
      <c r="C2656" s="113" t="s">
        <v>4336</v>
      </c>
      <c r="D2656" s="393" t="s">
        <v>213</v>
      </c>
      <c r="E2656" s="394" t="s">
        <v>5409</v>
      </c>
      <c r="G2656" s="390" t="s">
        <v>4338</v>
      </c>
      <c r="H2656" s="74">
        <v>3541</v>
      </c>
      <c r="I2656" s="50" t="s">
        <v>2</v>
      </c>
      <c r="J2656" s="339" t="s">
        <v>1291</v>
      </c>
      <c r="K2656" s="51">
        <v>41364</v>
      </c>
      <c r="L2656" s="173">
        <v>41352</v>
      </c>
      <c r="M2656" s="50">
        <f t="shared" si="153"/>
        <v>12</v>
      </c>
      <c r="N2656" s="50" t="s">
        <v>2</v>
      </c>
      <c r="O2656" s="74">
        <f>1.6/2</f>
        <v>0.8</v>
      </c>
      <c r="P2656" s="50">
        <v>9.1</v>
      </c>
      <c r="Q2656" s="74">
        <v>7.01</v>
      </c>
      <c r="R2656" s="50">
        <v>88</v>
      </c>
      <c r="S2656" s="74">
        <v>55</v>
      </c>
      <c r="T2656" s="50">
        <v>5.6000000000000001E-2</v>
      </c>
      <c r="U2656" s="131">
        <v>3.3</v>
      </c>
      <c r="V2656" s="50">
        <f>0.46/2</f>
        <v>0.23</v>
      </c>
      <c r="W2656" s="74">
        <v>6.0000000000000001E-3</v>
      </c>
      <c r="X2656" s="50">
        <v>4.3999999999999997E-2</v>
      </c>
      <c r="Y2656" s="74">
        <f>0.005/2</f>
        <v>2.5000000000000001E-3</v>
      </c>
      <c r="Z2656" s="165"/>
    </row>
    <row r="2657" spans="1:30" ht="15" customHeight="1">
      <c r="A2657" s="41" t="s">
        <v>183</v>
      </c>
      <c r="B2657" s="402" t="s">
        <v>4336</v>
      </c>
      <c r="C2657" s="113" t="s">
        <v>4336</v>
      </c>
      <c r="D2657" s="393" t="s">
        <v>213</v>
      </c>
      <c r="E2657" s="394" t="s">
        <v>4340</v>
      </c>
      <c r="G2657" s="390" t="s">
        <v>4338</v>
      </c>
      <c r="H2657" s="74">
        <v>3541</v>
      </c>
      <c r="I2657" s="50" t="s">
        <v>2</v>
      </c>
      <c r="J2657" s="339" t="s">
        <v>255</v>
      </c>
      <c r="K2657" s="51">
        <v>41364</v>
      </c>
      <c r="L2657" s="173">
        <v>41352</v>
      </c>
      <c r="M2657" s="50">
        <f t="shared" si="153"/>
        <v>12</v>
      </c>
      <c r="N2657" s="50" t="s">
        <v>2</v>
      </c>
      <c r="O2657" s="74">
        <f>1.6/2</f>
        <v>0.8</v>
      </c>
      <c r="P2657" s="50">
        <v>9.1</v>
      </c>
      <c r="Q2657" s="74">
        <v>5.9</v>
      </c>
      <c r="R2657" s="50">
        <v>970</v>
      </c>
      <c r="S2657" s="74">
        <v>146</v>
      </c>
      <c r="T2657" s="50">
        <v>0.186</v>
      </c>
      <c r="U2657" s="131">
        <v>5.6</v>
      </c>
      <c r="V2657" s="50">
        <v>0.86</v>
      </c>
      <c r="W2657" s="74">
        <v>6.4000000000000001E-2</v>
      </c>
      <c r="X2657" s="50">
        <v>1.85</v>
      </c>
      <c r="Y2657" s="74">
        <f>0.001/2</f>
        <v>5.0000000000000001E-4</v>
      </c>
      <c r="Z2657" s="165"/>
    </row>
    <row r="2658" spans="1:30" ht="15" customHeight="1">
      <c r="A2658" s="41" t="s">
        <v>183</v>
      </c>
      <c r="B2658" s="402" t="s">
        <v>4336</v>
      </c>
      <c r="C2658" s="113" t="s">
        <v>4336</v>
      </c>
      <c r="D2658" s="393" t="s">
        <v>213</v>
      </c>
      <c r="E2658" s="394" t="s">
        <v>4340</v>
      </c>
      <c r="G2658" s="390" t="s">
        <v>4338</v>
      </c>
      <c r="H2658" s="74">
        <v>3541</v>
      </c>
      <c r="I2658" s="50" t="s">
        <v>2</v>
      </c>
      <c r="J2658" s="339" t="s">
        <v>5411</v>
      </c>
      <c r="K2658" s="51">
        <v>41364</v>
      </c>
      <c r="L2658" s="173">
        <v>41352</v>
      </c>
      <c r="M2658" s="50">
        <f t="shared" si="153"/>
        <v>12</v>
      </c>
      <c r="N2658" s="50" t="s">
        <v>2</v>
      </c>
      <c r="O2658" s="74">
        <f>1.6/2</f>
        <v>0.8</v>
      </c>
      <c r="P2658" s="50">
        <v>9.1</v>
      </c>
      <c r="Q2658" s="74">
        <v>5.8</v>
      </c>
      <c r="R2658" s="50">
        <v>420</v>
      </c>
      <c r="S2658" s="74">
        <v>83</v>
      </c>
      <c r="T2658" s="50">
        <v>0.104</v>
      </c>
      <c r="U2658" s="131">
        <v>2.9</v>
      </c>
      <c r="V2658" s="50">
        <v>0.57999999999999996</v>
      </c>
      <c r="W2658" s="74">
        <f>0.028/2</f>
        <v>1.4E-2</v>
      </c>
      <c r="X2658" s="50">
        <v>0.215</v>
      </c>
      <c r="Y2658" s="74">
        <f>0.005/2</f>
        <v>2.5000000000000001E-3</v>
      </c>
      <c r="Z2658" s="165"/>
    </row>
    <row r="2659" spans="1:30" ht="15" customHeight="1">
      <c r="A2659" s="41" t="s">
        <v>183</v>
      </c>
      <c r="B2659" s="385" t="s">
        <v>4287</v>
      </c>
      <c r="C2659" s="18" t="s">
        <v>4287</v>
      </c>
      <c r="D2659" s="377" t="s">
        <v>564</v>
      </c>
      <c r="E2659" s="20" t="s">
        <v>4288</v>
      </c>
      <c r="G2659" s="405" t="s">
        <v>4289</v>
      </c>
      <c r="H2659" s="74">
        <v>3089</v>
      </c>
      <c r="I2659" s="50" t="s">
        <v>2</v>
      </c>
      <c r="J2659" s="344" t="s">
        <v>4290</v>
      </c>
      <c r="K2659" s="51">
        <v>41318</v>
      </c>
      <c r="L2659" s="173"/>
      <c r="M2659" s="50" t="s">
        <v>3434</v>
      </c>
      <c r="N2659" s="7" t="s">
        <v>2</v>
      </c>
      <c r="O2659" s="74">
        <f>2/2</f>
        <v>1</v>
      </c>
      <c r="P2659" s="50">
        <v>5.9</v>
      </c>
      <c r="Q2659" s="74">
        <v>5.6</v>
      </c>
      <c r="R2659" s="50">
        <f>10/2</f>
        <v>5</v>
      </c>
      <c r="S2659" s="74">
        <v>1</v>
      </c>
      <c r="T2659" s="50">
        <f>0.05/2</f>
        <v>2.5000000000000001E-2</v>
      </c>
      <c r="U2659" s="131">
        <f>0.1/2</f>
        <v>0.05</v>
      </c>
      <c r="V2659" s="50">
        <f>0.1/2</f>
        <v>0.05</v>
      </c>
      <c r="W2659" s="74">
        <f>0.01/2</f>
        <v>5.0000000000000001E-3</v>
      </c>
      <c r="X2659" s="50">
        <f>0.03/2</f>
        <v>1.4999999999999999E-2</v>
      </c>
      <c r="Y2659" s="74">
        <f>0.03/2</f>
        <v>1.4999999999999999E-2</v>
      </c>
      <c r="Z2659" s="165">
        <v>1</v>
      </c>
      <c r="AA2659" s="271">
        <v>0.53900000000000003</v>
      </c>
      <c r="AB2659" s="114" t="s">
        <v>5412</v>
      </c>
      <c r="AC2659" s="50">
        <v>6</v>
      </c>
      <c r="AD2659" s="271">
        <v>0.05</v>
      </c>
    </row>
    <row r="2660" spans="1:30" ht="15" customHeight="1">
      <c r="A2660" s="41" t="s">
        <v>183</v>
      </c>
      <c r="B2660" s="402" t="s">
        <v>3248</v>
      </c>
      <c r="C2660" s="113" t="s">
        <v>3248</v>
      </c>
      <c r="D2660" s="393" t="s">
        <v>347</v>
      </c>
      <c r="E2660" s="394" t="s">
        <v>3249</v>
      </c>
      <c r="G2660" s="405" t="s">
        <v>3250</v>
      </c>
      <c r="H2660" s="74">
        <v>5171</v>
      </c>
      <c r="I2660" s="50" t="s">
        <v>1</v>
      </c>
      <c r="J2660" s="48" t="s">
        <v>3251</v>
      </c>
      <c r="K2660" s="51">
        <v>41264</v>
      </c>
      <c r="L2660" s="173">
        <v>41261</v>
      </c>
      <c r="M2660" s="50">
        <f>K2660-L2660</f>
        <v>3</v>
      </c>
      <c r="N2660" s="50" t="s">
        <v>2</v>
      </c>
      <c r="O2660" s="74">
        <f>2/2</f>
        <v>1</v>
      </c>
      <c r="P2660" s="50">
        <v>6.9</v>
      </c>
      <c r="Q2660" s="74">
        <v>7</v>
      </c>
      <c r="R2660" s="50">
        <v>21</v>
      </c>
      <c r="S2660" s="74">
        <v>28</v>
      </c>
      <c r="T2660" s="50">
        <v>0.05</v>
      </c>
      <c r="U2660" s="131">
        <v>0.24</v>
      </c>
      <c r="V2660" s="50">
        <f>0.1/2</f>
        <v>0.05</v>
      </c>
      <c r="W2660" s="74">
        <v>1.2999999999999999E-2</v>
      </c>
      <c r="X2660" s="50">
        <v>3.6999999999999998E-2</v>
      </c>
      <c r="Y2660" s="74">
        <f>0.03/2</f>
        <v>1.4999999999999999E-2</v>
      </c>
      <c r="Z2660" s="165">
        <v>1</v>
      </c>
      <c r="AA2660" s="271">
        <v>1</v>
      </c>
      <c r="AB2660" s="114">
        <v>6</v>
      </c>
      <c r="AC2660" s="50">
        <v>20</v>
      </c>
      <c r="AD2660" s="271">
        <v>0.55000000000000004</v>
      </c>
    </row>
    <row r="2661" spans="1:30" ht="15" customHeight="1">
      <c r="A2661" s="41" t="s">
        <v>183</v>
      </c>
      <c r="B2661" s="385" t="s">
        <v>4224</v>
      </c>
      <c r="C2661" s="18" t="s">
        <v>4224</v>
      </c>
      <c r="D2661" s="377" t="s">
        <v>684</v>
      </c>
      <c r="E2661" s="20" t="s">
        <v>322</v>
      </c>
      <c r="F2661" s="385" t="s">
        <v>1911</v>
      </c>
      <c r="G2661" s="405" t="s">
        <v>4225</v>
      </c>
      <c r="H2661" s="74">
        <v>3484</v>
      </c>
      <c r="I2661" s="50" t="s">
        <v>2</v>
      </c>
      <c r="J2661" s="339" t="s">
        <v>4226</v>
      </c>
      <c r="K2661" s="51">
        <v>41345</v>
      </c>
      <c r="L2661" s="173">
        <v>41341</v>
      </c>
      <c r="M2661" s="50">
        <f>K2661-L2661</f>
        <v>4</v>
      </c>
      <c r="N2661" s="50" t="s">
        <v>2</v>
      </c>
      <c r="O2661" s="74">
        <f>5/2</f>
        <v>2.5</v>
      </c>
      <c r="P2661" s="50">
        <v>4</v>
      </c>
      <c r="Q2661" s="74">
        <v>7</v>
      </c>
      <c r="R2661" s="50">
        <v>31.8</v>
      </c>
      <c r="S2661" s="74">
        <v>31</v>
      </c>
      <c r="T2661" s="50">
        <f>0.04/2</f>
        <v>0.02</v>
      </c>
      <c r="U2661" s="131">
        <v>0.51</v>
      </c>
      <c r="V2661" s="50">
        <v>0.8</v>
      </c>
      <c r="W2661" s="74">
        <v>7.0000000000000001E-3</v>
      </c>
      <c r="X2661" s="50">
        <v>7.0000000000000007E-2</v>
      </c>
      <c r="Y2661" s="74">
        <v>2E-3</v>
      </c>
      <c r="Z2661" s="165">
        <v>1</v>
      </c>
      <c r="AA2661" s="271">
        <v>1</v>
      </c>
      <c r="AB2661" s="114">
        <v>5.13</v>
      </c>
      <c r="AC2661" s="50">
        <v>25</v>
      </c>
      <c r="AD2661" s="271">
        <v>0.55000000000000004</v>
      </c>
    </row>
    <row r="2662" spans="1:30" ht="15" customHeight="1">
      <c r="A2662" s="41" t="s">
        <v>183</v>
      </c>
      <c r="B2662" s="385" t="s">
        <v>4224</v>
      </c>
      <c r="C2662" s="18" t="s">
        <v>4224</v>
      </c>
      <c r="D2662" s="377" t="s">
        <v>684</v>
      </c>
      <c r="E2662" s="20" t="s">
        <v>322</v>
      </c>
      <c r="F2662" s="385" t="s">
        <v>1911</v>
      </c>
      <c r="G2662" s="405" t="s">
        <v>4225</v>
      </c>
      <c r="H2662" s="74">
        <v>3484</v>
      </c>
      <c r="I2662" s="50" t="s">
        <v>2</v>
      </c>
      <c r="J2662" s="339" t="s">
        <v>4227</v>
      </c>
      <c r="K2662" s="51">
        <v>41345</v>
      </c>
      <c r="L2662" s="173">
        <v>41341</v>
      </c>
      <c r="M2662" s="50">
        <f>K2662-L2662</f>
        <v>4</v>
      </c>
      <c r="N2662" s="50" t="s">
        <v>2</v>
      </c>
      <c r="O2662" s="74">
        <f>5/2</f>
        <v>2.5</v>
      </c>
      <c r="P2662" s="50">
        <v>4</v>
      </c>
      <c r="Q2662" s="74">
        <v>4.9000000000000004</v>
      </c>
      <c r="R2662" s="50">
        <f>2/2</f>
        <v>1</v>
      </c>
      <c r="S2662" s="74">
        <v>1</v>
      </c>
      <c r="T2662" s="50">
        <f>0.04/2</f>
        <v>0.02</v>
      </c>
      <c r="U2662" s="131">
        <f>0.5/2</f>
        <v>0.25</v>
      </c>
      <c r="V2662" s="50">
        <v>0.78</v>
      </c>
      <c r="W2662" s="74">
        <v>1.2E-2</v>
      </c>
      <c r="X2662" s="50">
        <v>0.04</v>
      </c>
      <c r="Y2662" s="74">
        <v>3.0000000000000001E-3</v>
      </c>
      <c r="Z2662" s="165">
        <v>0.70699999999999996</v>
      </c>
      <c r="AA2662" s="271">
        <v>0.70699999999999996</v>
      </c>
      <c r="AB2662" s="114">
        <v>3.13</v>
      </c>
      <c r="AC2662" s="50">
        <v>19</v>
      </c>
      <c r="AD2662" s="271">
        <v>0</v>
      </c>
    </row>
    <row r="2663" spans="1:30" ht="15" customHeight="1">
      <c r="A2663" s="41" t="s">
        <v>183</v>
      </c>
      <c r="B2663" s="402" t="s">
        <v>1647</v>
      </c>
      <c r="C2663" s="113" t="s">
        <v>1647</v>
      </c>
      <c r="D2663" s="393" t="s">
        <v>434</v>
      </c>
      <c r="E2663" s="394" t="s">
        <v>1648</v>
      </c>
      <c r="G2663" s="405" t="s">
        <v>1649</v>
      </c>
      <c r="H2663" s="74">
        <v>2869</v>
      </c>
      <c r="I2663" s="50" t="s">
        <v>2</v>
      </c>
      <c r="J2663" s="339"/>
      <c r="K2663" s="51">
        <v>41339</v>
      </c>
      <c r="L2663" s="173"/>
      <c r="M2663" s="173" t="s">
        <v>5380</v>
      </c>
      <c r="N2663" s="50" t="s">
        <v>2</v>
      </c>
      <c r="O2663" s="74">
        <f>1/2</f>
        <v>0.5</v>
      </c>
      <c r="P2663" s="50">
        <v>5.46</v>
      </c>
      <c r="Q2663" s="74">
        <v>5.49</v>
      </c>
      <c r="R2663" s="50">
        <v>132</v>
      </c>
      <c r="S2663" s="74">
        <v>6</v>
      </c>
      <c r="T2663" s="50">
        <v>0.17</v>
      </c>
      <c r="U2663" s="131">
        <v>2.94</v>
      </c>
      <c r="V2663" s="50">
        <v>1.42</v>
      </c>
      <c r="W2663" s="74">
        <v>0.1</v>
      </c>
      <c r="X2663" s="50">
        <v>1.91</v>
      </c>
      <c r="Y2663" s="74">
        <f>0.05/2</f>
        <v>2.5000000000000001E-2</v>
      </c>
      <c r="Z2663" s="165">
        <v>1</v>
      </c>
      <c r="AA2663" s="271">
        <v>0.33</v>
      </c>
      <c r="AB2663" s="114">
        <v>72</v>
      </c>
      <c r="AC2663" s="50">
        <v>319</v>
      </c>
      <c r="AD2663" s="271">
        <v>0</v>
      </c>
    </row>
    <row r="2664" spans="1:30" ht="15" customHeight="1">
      <c r="A2664" s="41" t="s">
        <v>183</v>
      </c>
      <c r="B2664" s="402" t="s">
        <v>1818</v>
      </c>
      <c r="C2664" s="113" t="s">
        <v>1819</v>
      </c>
      <c r="D2664" s="393" t="s">
        <v>133</v>
      </c>
      <c r="E2664" s="394" t="s">
        <v>1820</v>
      </c>
      <c r="G2664" s="405" t="s">
        <v>1794</v>
      </c>
      <c r="H2664" s="74">
        <v>4173</v>
      </c>
      <c r="I2664" s="50" t="s">
        <v>2</v>
      </c>
      <c r="J2664" s="339" t="s">
        <v>255</v>
      </c>
      <c r="K2664" s="51">
        <v>41324</v>
      </c>
      <c r="L2664" s="173">
        <v>41316</v>
      </c>
      <c r="M2664" s="50">
        <f>K2664-L2664</f>
        <v>8</v>
      </c>
      <c r="N2664" s="50" t="s">
        <v>1</v>
      </c>
      <c r="O2664" s="74">
        <f>1.8/2</f>
        <v>0.9</v>
      </c>
      <c r="P2664" s="50">
        <v>6.6</v>
      </c>
      <c r="Q2664" s="74">
        <v>6.6</v>
      </c>
      <c r="R2664" s="50">
        <f>20/2</f>
        <v>10</v>
      </c>
      <c r="S2664" s="74">
        <v>10.4</v>
      </c>
      <c r="T2664" s="50">
        <v>5.8999999999999997E-2</v>
      </c>
      <c r="U2664" s="131">
        <v>2</v>
      </c>
      <c r="V2664" s="50">
        <v>0.56999999999999995</v>
      </c>
      <c r="W2664" s="74">
        <v>1.2E-2</v>
      </c>
      <c r="X2664" s="50">
        <v>0.05</v>
      </c>
      <c r="Y2664" s="74">
        <v>9.4999999999999998E-3</v>
      </c>
      <c r="Z2664" s="165"/>
    </row>
    <row r="2665" spans="1:30" ht="15" customHeight="1">
      <c r="A2665" s="41" t="s">
        <v>183</v>
      </c>
      <c r="B2665" s="402" t="s">
        <v>4979</v>
      </c>
      <c r="C2665" s="113" t="s">
        <v>4980</v>
      </c>
      <c r="D2665" s="393" t="s">
        <v>1896</v>
      </c>
      <c r="E2665" s="394" t="s">
        <v>1283</v>
      </c>
      <c r="G2665" s="405" t="s">
        <v>1284</v>
      </c>
      <c r="H2665" s="74">
        <v>5171</v>
      </c>
      <c r="I2665" s="50" t="s">
        <v>2</v>
      </c>
      <c r="J2665" s="74" t="s">
        <v>5413</v>
      </c>
      <c r="K2665" s="51">
        <v>41201</v>
      </c>
      <c r="L2665" s="173">
        <v>41197</v>
      </c>
      <c r="M2665" s="50">
        <f>K2665-L2665</f>
        <v>4</v>
      </c>
      <c r="N2665" s="50" t="s">
        <v>2</v>
      </c>
      <c r="O2665" s="74">
        <f>5/2</f>
        <v>2.5</v>
      </c>
      <c r="P2665" s="50">
        <v>7.3</v>
      </c>
      <c r="Q2665" s="74">
        <v>7.49</v>
      </c>
      <c r="R2665" s="50">
        <v>18</v>
      </c>
      <c r="S2665" s="74">
        <v>7</v>
      </c>
      <c r="T2665" s="50">
        <f>0.1/2</f>
        <v>0.05</v>
      </c>
      <c r="U2665" s="131">
        <v>0.68</v>
      </c>
      <c r="V2665" s="50">
        <v>0.33</v>
      </c>
      <c r="W2665" s="74">
        <f>0.04/2</f>
        <v>0.02</v>
      </c>
      <c r="X2665" s="50">
        <v>3.5000000000000003E-2</v>
      </c>
      <c r="Y2665" s="74">
        <f>0.013/2</f>
        <v>6.4999999999999997E-3</v>
      </c>
      <c r="Z2665" s="165">
        <v>1</v>
      </c>
      <c r="AA2665" s="271">
        <v>1</v>
      </c>
      <c r="AB2665" s="114">
        <v>16</v>
      </c>
      <c r="AC2665" s="50">
        <v>73</v>
      </c>
      <c r="AD2665" s="271">
        <v>0.9</v>
      </c>
    </row>
    <row r="2666" spans="1:30" ht="15" customHeight="1">
      <c r="A2666" s="41" t="s">
        <v>183</v>
      </c>
      <c r="B2666" s="402" t="s">
        <v>5414</v>
      </c>
      <c r="C2666" s="113" t="s">
        <v>5414</v>
      </c>
      <c r="D2666" s="393" t="s">
        <v>1129</v>
      </c>
      <c r="E2666" s="394" t="s">
        <v>4703</v>
      </c>
      <c r="F2666" s="402">
        <v>3003</v>
      </c>
      <c r="G2666" s="405" t="s">
        <v>4704</v>
      </c>
      <c r="H2666" s="74">
        <v>4173</v>
      </c>
      <c r="I2666" s="50" t="s">
        <v>2</v>
      </c>
      <c r="J2666" s="339" t="s">
        <v>81</v>
      </c>
      <c r="K2666" s="51">
        <v>41376</v>
      </c>
      <c r="L2666" s="173">
        <v>41345</v>
      </c>
      <c r="M2666" s="50">
        <f>K2666-L2666</f>
        <v>31</v>
      </c>
      <c r="N2666" s="50" t="s">
        <v>2</v>
      </c>
      <c r="O2666" s="74">
        <f>1.4/2</f>
        <v>0.7</v>
      </c>
      <c r="P2666" s="50">
        <v>5.53</v>
      </c>
      <c r="Q2666" s="74">
        <v>6.54</v>
      </c>
      <c r="R2666" s="50">
        <v>47</v>
      </c>
      <c r="S2666" s="74">
        <v>19</v>
      </c>
      <c r="T2666" s="50">
        <v>0.09</v>
      </c>
      <c r="U2666" s="131">
        <v>0.82</v>
      </c>
      <c r="V2666" s="50">
        <v>0.21</v>
      </c>
      <c r="W2666" s="74">
        <v>6.0000000000000001E-3</v>
      </c>
      <c r="X2666" s="50">
        <v>0.39600000000000002</v>
      </c>
      <c r="Y2666" s="74">
        <v>0.02</v>
      </c>
      <c r="Z2666" s="165"/>
    </row>
    <row r="2667" spans="1:30" ht="15" customHeight="1">
      <c r="A2667" s="41" t="s">
        <v>183</v>
      </c>
      <c r="B2667" s="402" t="s">
        <v>801</v>
      </c>
      <c r="D2667" s="393" t="s">
        <v>200</v>
      </c>
      <c r="E2667" s="394" t="s">
        <v>112</v>
      </c>
      <c r="F2667" s="402">
        <v>5200</v>
      </c>
      <c r="G2667" s="405" t="s">
        <v>802</v>
      </c>
      <c r="H2667" s="74">
        <v>3272</v>
      </c>
      <c r="I2667" s="50" t="s">
        <v>2</v>
      </c>
      <c r="J2667" s="74" t="s">
        <v>5000</v>
      </c>
      <c r="K2667" s="51">
        <v>41184</v>
      </c>
      <c r="L2667" s="173"/>
      <c r="M2667" s="173" t="s">
        <v>5380</v>
      </c>
      <c r="N2667" s="50" t="s">
        <v>2</v>
      </c>
      <c r="O2667" s="74">
        <v>4</v>
      </c>
      <c r="P2667" s="50">
        <v>7.9</v>
      </c>
      <c r="Q2667" s="74">
        <v>9.8000000000000007</v>
      </c>
      <c r="R2667" s="50">
        <v>27</v>
      </c>
      <c r="S2667" s="74">
        <v>203</v>
      </c>
      <c r="T2667" s="50">
        <v>0.14000000000000001</v>
      </c>
      <c r="U2667" s="131">
        <v>0.33</v>
      </c>
      <c r="V2667" s="50">
        <f>0.1/2</f>
        <v>0.05</v>
      </c>
      <c r="W2667" s="74">
        <v>2.1000000000000001E-2</v>
      </c>
      <c r="X2667" s="50">
        <v>5.8000000000000003E-2</v>
      </c>
      <c r="Y2667" s="74">
        <f>0.03/2</f>
        <v>1.4999999999999999E-2</v>
      </c>
      <c r="Z2667" s="165">
        <v>1</v>
      </c>
      <c r="AA2667" s="271">
        <v>1</v>
      </c>
      <c r="AB2667" s="114">
        <v>89</v>
      </c>
      <c r="AC2667" s="50">
        <v>64</v>
      </c>
      <c r="AD2667" s="271">
        <v>0.65</v>
      </c>
    </row>
    <row r="2668" spans="1:30" ht="15" customHeight="1">
      <c r="A2668" s="41" t="s">
        <v>183</v>
      </c>
      <c r="B2668" s="402" t="s">
        <v>801</v>
      </c>
      <c r="D2668" s="393" t="s">
        <v>200</v>
      </c>
      <c r="E2668" s="394" t="s">
        <v>112</v>
      </c>
      <c r="F2668" s="402">
        <v>5200</v>
      </c>
      <c r="G2668" s="405" t="s">
        <v>802</v>
      </c>
      <c r="H2668" s="74">
        <v>3272</v>
      </c>
      <c r="I2668" s="50" t="s">
        <v>2</v>
      </c>
      <c r="J2668" s="74" t="s">
        <v>4999</v>
      </c>
      <c r="K2668" s="51">
        <v>41184</v>
      </c>
      <c r="L2668" s="173"/>
      <c r="M2668" s="173" t="s">
        <v>5380</v>
      </c>
      <c r="N2668" s="50" t="s">
        <v>2</v>
      </c>
      <c r="O2668" s="74">
        <v>2.8</v>
      </c>
      <c r="P2668" s="50">
        <v>7.9</v>
      </c>
      <c r="Q2668" s="74">
        <v>10.6</v>
      </c>
      <c r="R2668" s="50">
        <v>24</v>
      </c>
      <c r="S2668" s="74">
        <v>165</v>
      </c>
      <c r="T2668" s="50">
        <v>0.18</v>
      </c>
      <c r="U2668" s="131">
        <v>0.3</v>
      </c>
      <c r="V2668" s="50">
        <v>0.1</v>
      </c>
      <c r="W2668" s="74">
        <v>1.2E-2</v>
      </c>
      <c r="X2668" s="50">
        <f>0.03/2</f>
        <v>1.4999999999999999E-2</v>
      </c>
      <c r="Y2668" s="74">
        <f>0.03/2</f>
        <v>1.4999999999999999E-2</v>
      </c>
      <c r="Z2668" s="165">
        <v>1</v>
      </c>
      <c r="AA2668" s="271">
        <v>1</v>
      </c>
      <c r="AB2668" s="114">
        <v>109</v>
      </c>
      <c r="AC2668" s="50">
        <v>137</v>
      </c>
      <c r="AD2668" s="271">
        <v>0.95</v>
      </c>
    </row>
    <row r="2669" spans="1:30" ht="15" customHeight="1">
      <c r="A2669" s="41" t="s">
        <v>183</v>
      </c>
      <c r="B2669" s="402" t="s">
        <v>2007</v>
      </c>
      <c r="C2669" s="113" t="s">
        <v>2007</v>
      </c>
      <c r="D2669" s="393" t="s">
        <v>195</v>
      </c>
      <c r="E2669" s="394" t="s">
        <v>112</v>
      </c>
      <c r="G2669" s="405" t="s">
        <v>2008</v>
      </c>
      <c r="H2669" s="74"/>
      <c r="I2669" s="50" t="s">
        <v>2</v>
      </c>
      <c r="J2669" s="339" t="s">
        <v>5415</v>
      </c>
      <c r="K2669" s="51">
        <v>41331</v>
      </c>
      <c r="L2669" s="173"/>
      <c r="M2669" s="173" t="s">
        <v>5380</v>
      </c>
      <c r="N2669" s="50" t="s">
        <v>2</v>
      </c>
      <c r="O2669" s="74">
        <f>1.4/2</f>
        <v>0.7</v>
      </c>
      <c r="P2669" s="50">
        <v>6.5</v>
      </c>
      <c r="Q2669" s="74">
        <v>6.3</v>
      </c>
      <c r="R2669" s="50">
        <f>10/2</f>
        <v>5</v>
      </c>
      <c r="S2669" s="74">
        <f>5/2</f>
        <v>2.5</v>
      </c>
      <c r="T2669" s="50">
        <v>0.04</v>
      </c>
      <c r="U2669" s="131">
        <v>0.38</v>
      </c>
      <c r="V2669" s="50">
        <v>0.05</v>
      </c>
      <c r="W2669" s="74">
        <v>6.0000000000000001E-3</v>
      </c>
      <c r="X2669" s="50">
        <v>5.7000000000000002E-2</v>
      </c>
      <c r="Y2669" s="74">
        <f>0.002/2</f>
        <v>1E-3</v>
      </c>
      <c r="Z2669" s="165">
        <v>0.70699999999999996</v>
      </c>
      <c r="AA2669" s="271">
        <v>0.69099999999999995</v>
      </c>
      <c r="AB2669" s="114">
        <f>2/2</f>
        <v>1</v>
      </c>
      <c r="AC2669" s="50">
        <v>5</v>
      </c>
      <c r="AD2669" s="271">
        <v>0</v>
      </c>
    </row>
    <row r="2670" spans="1:30" ht="15" customHeight="1">
      <c r="A2670" s="41" t="s">
        <v>183</v>
      </c>
      <c r="B2670" s="402" t="s">
        <v>1849</v>
      </c>
      <c r="C2670" s="113" t="s">
        <v>1849</v>
      </c>
      <c r="D2670" s="393" t="s">
        <v>290</v>
      </c>
      <c r="E2670" s="394" t="s">
        <v>1850</v>
      </c>
      <c r="G2670" s="405" t="s">
        <v>1851</v>
      </c>
      <c r="H2670" s="74">
        <v>2899</v>
      </c>
      <c r="I2670" s="50" t="s">
        <v>2</v>
      </c>
      <c r="J2670" s="76" t="s">
        <v>81</v>
      </c>
      <c r="K2670" s="51">
        <v>41345</v>
      </c>
      <c r="L2670" s="173">
        <v>41341</v>
      </c>
      <c r="M2670" s="50">
        <f>K2670-L2670</f>
        <v>4</v>
      </c>
      <c r="N2670" s="50" t="s">
        <v>2</v>
      </c>
      <c r="O2670" s="74">
        <f>1.7/2</f>
        <v>0.85</v>
      </c>
      <c r="P2670" s="50">
        <v>6.4</v>
      </c>
      <c r="Q2670" s="74">
        <v>7.4</v>
      </c>
      <c r="R2670" s="50">
        <f>20/2</f>
        <v>10</v>
      </c>
      <c r="S2670" s="74">
        <v>1.4</v>
      </c>
      <c r="T2670" s="50">
        <v>5.3999999999999999E-2</v>
      </c>
      <c r="U2670" s="131">
        <v>1.5</v>
      </c>
      <c r="V2670" s="50">
        <v>0.8</v>
      </c>
      <c r="W2670" s="74">
        <v>5.0000000000000001E-3</v>
      </c>
      <c r="X2670" s="50">
        <v>2.4E-2</v>
      </c>
      <c r="Y2670" s="74">
        <f>0.005/2</f>
        <v>2.5000000000000001E-3</v>
      </c>
      <c r="Z2670" s="165"/>
    </row>
    <row r="2671" spans="1:30" ht="15" customHeight="1">
      <c r="A2671" s="41" t="s">
        <v>183</v>
      </c>
      <c r="B2671" s="386" t="s">
        <v>857</v>
      </c>
      <c r="C2671" s="149" t="s">
        <v>857</v>
      </c>
      <c r="D2671" s="392" t="s">
        <v>268</v>
      </c>
      <c r="E2671" s="258" t="s">
        <v>858</v>
      </c>
      <c r="G2671" s="405" t="s">
        <v>859</v>
      </c>
      <c r="H2671" s="74">
        <v>3318</v>
      </c>
      <c r="I2671" s="50" t="s">
        <v>2</v>
      </c>
      <c r="J2671" s="61" t="s">
        <v>81</v>
      </c>
      <c r="K2671" s="51">
        <v>41324</v>
      </c>
      <c r="L2671" s="173">
        <v>41316</v>
      </c>
      <c r="M2671" s="50">
        <f>K2671-L2671</f>
        <v>8</v>
      </c>
      <c r="N2671" s="50" t="s">
        <v>1</v>
      </c>
      <c r="O2671" s="74">
        <f>2/2</f>
        <v>1</v>
      </c>
      <c r="P2671" s="50">
        <v>7.2</v>
      </c>
      <c r="Q2671" s="74">
        <v>6</v>
      </c>
      <c r="R2671" s="50">
        <f>10/2</f>
        <v>5</v>
      </c>
      <c r="S2671" s="74">
        <v>11</v>
      </c>
      <c r="T2671" s="50">
        <f>0.05/2</f>
        <v>2.5000000000000001E-2</v>
      </c>
      <c r="U2671" s="131">
        <v>0.39</v>
      </c>
      <c r="V2671" s="50">
        <v>0.11</v>
      </c>
      <c r="W2671" s="74">
        <v>1.4999999999999999E-2</v>
      </c>
      <c r="X2671" s="50">
        <v>5.0999999999999997E-2</v>
      </c>
      <c r="Y2671" s="74">
        <f>0.03/2</f>
        <v>1.4999999999999999E-2</v>
      </c>
      <c r="Z2671" s="165">
        <v>0.70699999999999996</v>
      </c>
      <c r="AA2671" s="271">
        <v>0.70699999999999996</v>
      </c>
      <c r="AB2671" s="114">
        <v>5</v>
      </c>
      <c r="AC2671" s="50">
        <v>54</v>
      </c>
      <c r="AD2671" s="271">
        <v>0</v>
      </c>
    </row>
    <row r="2672" spans="1:30" ht="15" customHeight="1">
      <c r="A2672" s="41" t="s">
        <v>183</v>
      </c>
      <c r="B2672" s="402" t="s">
        <v>220</v>
      </c>
      <c r="C2672" s="113" t="s">
        <v>220</v>
      </c>
      <c r="D2672" s="393" t="s">
        <v>41</v>
      </c>
      <c r="E2672" s="394" t="s">
        <v>221</v>
      </c>
      <c r="G2672" s="405" t="s">
        <v>222</v>
      </c>
      <c r="H2672" s="49" t="s">
        <v>223</v>
      </c>
      <c r="I2672" s="50" t="s">
        <v>1</v>
      </c>
      <c r="J2672" s="76" t="s">
        <v>224</v>
      </c>
      <c r="K2672" s="51">
        <v>41345</v>
      </c>
      <c r="L2672" s="173">
        <v>41341</v>
      </c>
      <c r="M2672" s="50">
        <f>K2672-L2672</f>
        <v>4</v>
      </c>
      <c r="N2672" s="50" t="s">
        <v>1</v>
      </c>
      <c r="O2672" s="74">
        <f>1.4/2</f>
        <v>0.7</v>
      </c>
      <c r="P2672" s="50">
        <v>4.79</v>
      </c>
      <c r="Q2672" s="74">
        <v>6.34</v>
      </c>
      <c r="R2672" s="50">
        <v>21</v>
      </c>
      <c r="S2672" s="74">
        <v>17</v>
      </c>
      <c r="T2672" s="50">
        <v>7.0000000000000007E-2</v>
      </c>
      <c r="U2672" s="131">
        <v>0.75</v>
      </c>
      <c r="V2672" s="50">
        <v>0.27</v>
      </c>
      <c r="W2672" s="74">
        <v>1.4999999999999999E-2</v>
      </c>
      <c r="X2672" s="50">
        <v>5.6000000000000001E-2</v>
      </c>
      <c r="Y2672" s="74">
        <v>0.01</v>
      </c>
      <c r="Z2672" s="165">
        <v>1</v>
      </c>
      <c r="AA2672" s="271">
        <v>1</v>
      </c>
      <c r="AB2672" s="114">
        <v>36</v>
      </c>
      <c r="AC2672" s="50">
        <v>1116</v>
      </c>
      <c r="AD2672" s="271">
        <v>1</v>
      </c>
    </row>
    <row r="2673" spans="1:31" ht="15" customHeight="1">
      <c r="A2673" s="41" t="s">
        <v>183</v>
      </c>
      <c r="B2673" s="402" t="s">
        <v>220</v>
      </c>
      <c r="C2673" s="113" t="s">
        <v>220</v>
      </c>
      <c r="D2673" s="393" t="s">
        <v>41</v>
      </c>
      <c r="E2673" s="394" t="s">
        <v>221</v>
      </c>
      <c r="G2673" s="405" t="s">
        <v>222</v>
      </c>
      <c r="H2673" s="49" t="s">
        <v>223</v>
      </c>
      <c r="I2673" s="50" t="s">
        <v>1</v>
      </c>
      <c r="J2673" s="76" t="s">
        <v>225</v>
      </c>
      <c r="K2673" s="51">
        <v>41345</v>
      </c>
      <c r="L2673" s="173">
        <v>41341</v>
      </c>
      <c r="M2673" s="50">
        <f>K2673-L2673</f>
        <v>4</v>
      </c>
      <c r="N2673" s="50" t="s">
        <v>1</v>
      </c>
      <c r="O2673" s="74">
        <f>1.4/2</f>
        <v>0.7</v>
      </c>
      <c r="P2673" s="50">
        <v>4.79</v>
      </c>
      <c r="Q2673" s="74">
        <v>5.79</v>
      </c>
      <c r="R2673" s="50">
        <f>10/2</f>
        <v>5</v>
      </c>
      <c r="S2673" s="74">
        <v>23</v>
      </c>
      <c r="T2673" s="50">
        <v>0.05</v>
      </c>
      <c r="U2673" s="131">
        <v>0.41</v>
      </c>
      <c r="V2673" s="50">
        <v>0.06</v>
      </c>
      <c r="W2673" s="74">
        <f>0.005/2</f>
        <v>2.5000000000000001E-3</v>
      </c>
      <c r="X2673" s="50">
        <v>0.10299999999999999</v>
      </c>
      <c r="Y2673" s="74">
        <f>0.002/2</f>
        <v>1E-3</v>
      </c>
      <c r="Z2673" s="165">
        <v>1</v>
      </c>
      <c r="AA2673" s="271">
        <v>1</v>
      </c>
      <c r="AB2673" s="114">
        <v>6</v>
      </c>
      <c r="AC2673" s="50">
        <v>55</v>
      </c>
      <c r="AD2673" s="271">
        <v>0.5</v>
      </c>
    </row>
    <row r="2674" spans="1:31" ht="15" customHeight="1">
      <c r="A2674" s="41" t="s">
        <v>183</v>
      </c>
      <c r="B2674" s="402" t="s">
        <v>220</v>
      </c>
      <c r="C2674" s="113" t="s">
        <v>220</v>
      </c>
      <c r="D2674" s="393" t="s">
        <v>41</v>
      </c>
      <c r="E2674" s="394" t="s">
        <v>221</v>
      </c>
      <c r="G2674" s="405" t="s">
        <v>222</v>
      </c>
      <c r="H2674" s="49" t="s">
        <v>223</v>
      </c>
      <c r="I2674" s="50" t="s">
        <v>1</v>
      </c>
      <c r="J2674" s="76" t="s">
        <v>226</v>
      </c>
      <c r="K2674" s="51">
        <v>41345</v>
      </c>
      <c r="L2674" s="173">
        <v>41341</v>
      </c>
      <c r="M2674" s="50">
        <f>K2674-L2674</f>
        <v>4</v>
      </c>
      <c r="N2674" s="50" t="s">
        <v>1</v>
      </c>
      <c r="O2674" s="74">
        <f>1.4/2</f>
        <v>0.7</v>
      </c>
      <c r="P2674" s="50">
        <v>4.79</v>
      </c>
      <c r="Q2674" s="74">
        <v>6.28</v>
      </c>
      <c r="R2674" s="50">
        <f>10/2</f>
        <v>5</v>
      </c>
      <c r="S2674" s="74">
        <f>5/2</f>
        <v>2.5</v>
      </c>
      <c r="T2674" s="50">
        <v>0.14000000000000001</v>
      </c>
      <c r="U2674" s="131">
        <v>0.52</v>
      </c>
      <c r="V2674" s="50">
        <v>0.01</v>
      </c>
      <c r="W2674" s="74">
        <f>0.005/2</f>
        <v>2.5000000000000001E-3</v>
      </c>
      <c r="X2674" s="50">
        <f>0.002/2</f>
        <v>1E-3</v>
      </c>
      <c r="Y2674" s="74">
        <f>0.002/2</f>
        <v>1E-3</v>
      </c>
      <c r="Z2674" s="165">
        <v>1</v>
      </c>
      <c r="AA2674" s="271">
        <v>1</v>
      </c>
      <c r="AB2674" s="114">
        <v>34</v>
      </c>
      <c r="AC2674" s="50">
        <v>290</v>
      </c>
      <c r="AD2674" s="271">
        <v>1</v>
      </c>
    </row>
    <row r="2675" spans="1:31" ht="15" customHeight="1">
      <c r="A2675" s="41" t="s">
        <v>183</v>
      </c>
      <c r="B2675" s="402" t="s">
        <v>5416</v>
      </c>
      <c r="C2675" s="113" t="s">
        <v>5416</v>
      </c>
      <c r="D2675" s="393" t="s">
        <v>1490</v>
      </c>
      <c r="G2675" s="405" t="s">
        <v>5417</v>
      </c>
      <c r="H2675" s="74"/>
      <c r="J2675" s="339" t="s">
        <v>5432</v>
      </c>
      <c r="K2675" s="51">
        <v>41438</v>
      </c>
      <c r="L2675" s="173"/>
      <c r="N2675" s="50" t="s">
        <v>2</v>
      </c>
      <c r="O2675" s="74">
        <f>2/2</f>
        <v>1</v>
      </c>
      <c r="P2675" s="50">
        <v>6</v>
      </c>
      <c r="Q2675" s="74">
        <v>7.4</v>
      </c>
      <c r="R2675" s="50">
        <v>170</v>
      </c>
      <c r="S2675" s="74">
        <v>380</v>
      </c>
      <c r="T2675" s="50">
        <v>0.56000000000000005</v>
      </c>
      <c r="U2675" s="131">
        <v>0.97</v>
      </c>
      <c r="V2675" s="50">
        <v>0.26</v>
      </c>
      <c r="W2675" s="74">
        <v>3.7999999999999999E-2</v>
      </c>
      <c r="X2675" s="50">
        <v>0.1</v>
      </c>
      <c r="Y2675" s="74">
        <v>1.2E-2</v>
      </c>
      <c r="Z2675" s="165">
        <v>1</v>
      </c>
      <c r="AA2675" s="271">
        <v>1</v>
      </c>
      <c r="AB2675" s="114">
        <v>36</v>
      </c>
      <c r="AC2675" s="50">
        <v>62</v>
      </c>
      <c r="AD2675" s="271">
        <v>1</v>
      </c>
    </row>
    <row r="2676" spans="1:31" ht="15" customHeight="1">
      <c r="A2676" s="41" t="s">
        <v>183</v>
      </c>
      <c r="B2676" s="402" t="s">
        <v>5418</v>
      </c>
      <c r="C2676" s="113" t="s">
        <v>5418</v>
      </c>
      <c r="D2676" s="393" t="s">
        <v>103</v>
      </c>
      <c r="G2676" s="405" t="s">
        <v>5419</v>
      </c>
      <c r="H2676" s="74"/>
      <c r="I2676" s="50" t="s">
        <v>2</v>
      </c>
      <c r="J2676" s="339" t="s">
        <v>5420</v>
      </c>
      <c r="K2676" s="51">
        <v>41402</v>
      </c>
      <c r="L2676" s="173">
        <v>41384</v>
      </c>
      <c r="M2676" s="50">
        <f t="shared" ref="M2676:M2720" si="156">K2676-L2676</f>
        <v>18</v>
      </c>
      <c r="N2676" s="50" t="s">
        <v>2</v>
      </c>
      <c r="O2676" s="74">
        <v>2.9</v>
      </c>
      <c r="P2676" s="50">
        <v>5.5</v>
      </c>
      <c r="Q2676" s="74">
        <v>8.5</v>
      </c>
      <c r="R2676" s="50">
        <v>67.400000000000006</v>
      </c>
      <c r="S2676" s="74">
        <f>25/2</f>
        <v>12.5</v>
      </c>
      <c r="T2676" s="50">
        <f>0.1/2</f>
        <v>0.05</v>
      </c>
      <c r="U2676" s="131">
        <v>0.48</v>
      </c>
      <c r="V2676" s="50">
        <v>0.09</v>
      </c>
      <c r="W2676" s="74">
        <f>0.02/2</f>
        <v>0.01</v>
      </c>
      <c r="X2676" s="50">
        <f>0.05/2</f>
        <v>2.5000000000000001E-2</v>
      </c>
      <c r="Y2676" s="74">
        <f>0.001/2</f>
        <v>5.0000000000000001E-4</v>
      </c>
      <c r="Z2676" s="165">
        <v>1</v>
      </c>
      <c r="AA2676" s="271">
        <v>1</v>
      </c>
      <c r="AB2676" s="114">
        <v>48</v>
      </c>
      <c r="AC2676" s="50">
        <v>288</v>
      </c>
      <c r="AD2676" s="271">
        <v>1</v>
      </c>
    </row>
    <row r="2677" spans="1:31" ht="15" customHeight="1">
      <c r="A2677" s="41" t="s">
        <v>183</v>
      </c>
      <c r="B2677" s="402" t="s">
        <v>5418</v>
      </c>
      <c r="C2677" s="113" t="s">
        <v>5418</v>
      </c>
      <c r="D2677" s="393" t="s">
        <v>103</v>
      </c>
      <c r="G2677" s="405" t="s">
        <v>5419</v>
      </c>
      <c r="H2677" s="74"/>
      <c r="I2677" s="50" t="s">
        <v>2</v>
      </c>
      <c r="J2677" s="339" t="s">
        <v>5426</v>
      </c>
      <c r="K2677" s="51">
        <v>41402</v>
      </c>
      <c r="L2677" s="173">
        <v>41384</v>
      </c>
      <c r="M2677" s="50">
        <f t="shared" si="156"/>
        <v>18</v>
      </c>
      <c r="N2677" s="50" t="s">
        <v>2</v>
      </c>
      <c r="O2677" s="74">
        <v>2.6</v>
      </c>
      <c r="P2677" s="50">
        <v>5.5</v>
      </c>
      <c r="Q2677" s="74">
        <v>9.6</v>
      </c>
      <c r="R2677" s="50">
        <v>151</v>
      </c>
      <c r="S2677" s="74">
        <v>106</v>
      </c>
      <c r="T2677" s="50">
        <f>0.1/2</f>
        <v>0.05</v>
      </c>
      <c r="U2677" s="131">
        <v>1.6</v>
      </c>
      <c r="V2677" s="50">
        <v>0.64</v>
      </c>
      <c r="W2677" s="74">
        <f>0.02/2</f>
        <v>0.01</v>
      </c>
      <c r="X2677" s="50">
        <f>0.05/2</f>
        <v>2.5000000000000001E-2</v>
      </c>
      <c r="Y2677" s="74">
        <v>4.0000000000000001E-3</v>
      </c>
      <c r="Z2677" s="165">
        <v>1</v>
      </c>
      <c r="AA2677" s="271">
        <v>1</v>
      </c>
      <c r="AB2677" s="114">
        <v>128</v>
      </c>
      <c r="AC2677" s="50">
        <v>414</v>
      </c>
      <c r="AD2677" s="271">
        <v>1</v>
      </c>
    </row>
    <row r="2678" spans="1:31" ht="15" customHeight="1">
      <c r="A2678" s="41" t="s">
        <v>183</v>
      </c>
      <c r="B2678" s="402" t="s">
        <v>1849</v>
      </c>
      <c r="C2678" s="113" t="s">
        <v>1849</v>
      </c>
      <c r="D2678" s="393" t="s">
        <v>290</v>
      </c>
      <c r="E2678" s="394" t="s">
        <v>1850</v>
      </c>
      <c r="G2678" s="339" t="s">
        <v>1851</v>
      </c>
      <c r="H2678" s="50">
        <v>2899</v>
      </c>
      <c r="I2678" s="50" t="s">
        <v>2</v>
      </c>
      <c r="J2678" s="76" t="s">
        <v>81</v>
      </c>
      <c r="K2678" s="51">
        <v>41499</v>
      </c>
      <c r="L2678" s="173">
        <v>41495</v>
      </c>
      <c r="M2678" s="50">
        <f t="shared" si="156"/>
        <v>4</v>
      </c>
      <c r="N2678" s="50" t="s">
        <v>2</v>
      </c>
      <c r="O2678" s="74">
        <f>1.8/2</f>
        <v>0.9</v>
      </c>
      <c r="P2678" s="50">
        <v>5.8</v>
      </c>
      <c r="Q2678" s="74">
        <v>7.8</v>
      </c>
      <c r="R2678" s="50">
        <f>20/2</f>
        <v>10</v>
      </c>
      <c r="S2678" s="74">
        <v>1.4</v>
      </c>
      <c r="T2678" s="50">
        <v>6.0999999999999999E-2</v>
      </c>
      <c r="U2678" s="131">
        <v>1.5</v>
      </c>
      <c r="V2678" s="50">
        <v>1.33</v>
      </c>
      <c r="W2678" s="74">
        <f>0.005/2</f>
        <v>2.5000000000000001E-3</v>
      </c>
      <c r="X2678" s="50">
        <v>1.7000000000000001E-2</v>
      </c>
      <c r="Y2678" s="74">
        <f>0.005/2</f>
        <v>2.5000000000000001E-3</v>
      </c>
      <c r="Z2678" s="165">
        <v>1</v>
      </c>
      <c r="AA2678" s="271">
        <v>1</v>
      </c>
      <c r="AB2678" s="114">
        <v>140</v>
      </c>
      <c r="AC2678" s="50">
        <v>363</v>
      </c>
      <c r="AD2678" s="271">
        <v>1</v>
      </c>
    </row>
    <row r="2679" spans="1:31" ht="15" customHeight="1">
      <c r="A2679" s="41" t="s">
        <v>183</v>
      </c>
      <c r="B2679" s="402" t="s">
        <v>3703</v>
      </c>
      <c r="C2679" s="113" t="s">
        <v>5421</v>
      </c>
      <c r="D2679" s="393" t="s">
        <v>910</v>
      </c>
      <c r="E2679" s="394" t="s">
        <v>1546</v>
      </c>
      <c r="G2679" s="405" t="s">
        <v>3705</v>
      </c>
      <c r="H2679" s="74">
        <v>4213</v>
      </c>
      <c r="I2679" s="50" t="s">
        <v>1</v>
      </c>
      <c r="J2679" s="339" t="s">
        <v>641</v>
      </c>
      <c r="K2679" s="51">
        <v>41508</v>
      </c>
      <c r="L2679" s="173">
        <v>41495</v>
      </c>
      <c r="M2679" s="50">
        <f t="shared" si="156"/>
        <v>13</v>
      </c>
      <c r="N2679" s="50" t="s">
        <v>2</v>
      </c>
      <c r="O2679" s="74">
        <v>4.8</v>
      </c>
      <c r="Q2679" s="74">
        <v>5.45</v>
      </c>
      <c r="R2679" s="50">
        <v>277</v>
      </c>
      <c r="S2679" s="74">
        <v>93</v>
      </c>
      <c r="T2679" s="50">
        <v>0.92</v>
      </c>
      <c r="U2679" s="131">
        <v>6.1</v>
      </c>
      <c r="V2679" s="50">
        <v>2.74</v>
      </c>
      <c r="W2679" s="74">
        <v>0.04</v>
      </c>
      <c r="X2679" s="50">
        <v>0.26800000000000002</v>
      </c>
      <c r="Y2679" s="74">
        <v>0.01</v>
      </c>
      <c r="Z2679" s="165"/>
    </row>
    <row r="2680" spans="1:31" ht="15" customHeight="1">
      <c r="A2680" s="41" t="s">
        <v>183</v>
      </c>
      <c r="B2680" s="385" t="s">
        <v>5474</v>
      </c>
      <c r="C2680" s="18"/>
      <c r="D2680" s="377" t="s">
        <v>1524</v>
      </c>
      <c r="E2680" s="20" t="s">
        <v>686</v>
      </c>
      <c r="F2680" s="402" t="s">
        <v>5422</v>
      </c>
      <c r="G2680" s="405" t="s">
        <v>4384</v>
      </c>
      <c r="H2680" s="74">
        <v>2671</v>
      </c>
      <c r="J2680" s="339" t="s">
        <v>5423</v>
      </c>
      <c r="K2680" s="51">
        <v>41402</v>
      </c>
      <c r="L2680" s="173">
        <v>41384</v>
      </c>
      <c r="M2680" s="50">
        <f t="shared" si="156"/>
        <v>18</v>
      </c>
      <c r="N2680" s="50" t="s">
        <v>2</v>
      </c>
      <c r="O2680" s="74">
        <f>2/2</f>
        <v>1</v>
      </c>
      <c r="P2680" s="50">
        <v>5</v>
      </c>
      <c r="Q2680" s="74">
        <v>5.6</v>
      </c>
      <c r="R2680" s="50">
        <v>390</v>
      </c>
      <c r="S2680" s="74">
        <v>31</v>
      </c>
      <c r="T2680" s="50">
        <v>2.2000000000000002</v>
      </c>
      <c r="U2680" s="131">
        <v>9.9</v>
      </c>
      <c r="V2680" s="50">
        <v>1.4</v>
      </c>
      <c r="W2680" s="74">
        <v>6.3E-2</v>
      </c>
      <c r="X2680" s="50">
        <v>0.89</v>
      </c>
      <c r="Y2680" s="74">
        <v>1.0999999999999999E-2</v>
      </c>
      <c r="Z2680" s="165">
        <v>1</v>
      </c>
      <c r="AA2680" s="271">
        <v>0.70099999999999996</v>
      </c>
      <c r="AB2680" s="114">
        <v>80</v>
      </c>
      <c r="AC2680" s="50">
        <v>230</v>
      </c>
      <c r="AD2680" s="271">
        <v>0</v>
      </c>
    </row>
    <row r="2681" spans="1:31" ht="15" customHeight="1">
      <c r="A2681" s="41" t="s">
        <v>183</v>
      </c>
      <c r="B2681" s="402" t="s">
        <v>3248</v>
      </c>
      <c r="C2681" s="113" t="s">
        <v>3248</v>
      </c>
      <c r="D2681" s="393" t="s">
        <v>347</v>
      </c>
      <c r="E2681" s="394" t="s">
        <v>3249</v>
      </c>
      <c r="G2681" s="405" t="s">
        <v>3250</v>
      </c>
      <c r="H2681" s="74">
        <v>5171</v>
      </c>
      <c r="I2681" s="50" t="s">
        <v>1</v>
      </c>
      <c r="J2681" s="48" t="s">
        <v>3251</v>
      </c>
      <c r="K2681" s="51">
        <v>41432</v>
      </c>
      <c r="L2681" s="173">
        <v>41428</v>
      </c>
      <c r="M2681" s="50">
        <f t="shared" si="156"/>
        <v>4</v>
      </c>
      <c r="N2681" s="50" t="s">
        <v>2</v>
      </c>
      <c r="O2681" s="74">
        <v>2.5</v>
      </c>
      <c r="P2681" s="50">
        <v>6.9</v>
      </c>
      <c r="Q2681" s="74">
        <v>7</v>
      </c>
      <c r="R2681" s="50">
        <v>90</v>
      </c>
      <c r="S2681" s="74">
        <v>133</v>
      </c>
      <c r="T2681" s="50">
        <v>0.24</v>
      </c>
      <c r="U2681" s="131">
        <v>1.1200000000000001</v>
      </c>
      <c r="V2681" s="50">
        <v>0.23</v>
      </c>
      <c r="W2681" s="74">
        <v>5.2999999999999999E-2</v>
      </c>
      <c r="X2681" s="50">
        <v>0.16700000000000001</v>
      </c>
      <c r="Y2681" s="74">
        <v>0.03</v>
      </c>
      <c r="Z2681" s="165">
        <v>1</v>
      </c>
      <c r="AA2681" s="271">
        <v>1</v>
      </c>
      <c r="AB2681" s="114">
        <v>20</v>
      </c>
      <c r="AC2681" s="50">
        <v>25</v>
      </c>
      <c r="AD2681" s="271">
        <v>0.8</v>
      </c>
      <c r="AE2681" s="50" t="s">
        <v>5424</v>
      </c>
    </row>
    <row r="2682" spans="1:31" ht="15" customHeight="1">
      <c r="A2682" s="41" t="s">
        <v>183</v>
      </c>
      <c r="B2682" s="402" t="s">
        <v>1818</v>
      </c>
      <c r="C2682" s="113" t="s">
        <v>1819</v>
      </c>
      <c r="D2682" s="393" t="s">
        <v>133</v>
      </c>
      <c r="E2682" s="394" t="s">
        <v>1820</v>
      </c>
      <c r="G2682" s="405" t="s">
        <v>1794</v>
      </c>
      <c r="H2682" s="74">
        <v>4173</v>
      </c>
      <c r="I2682" s="50" t="s">
        <v>2</v>
      </c>
      <c r="J2682" s="339" t="s">
        <v>255</v>
      </c>
      <c r="K2682" s="51">
        <v>41478</v>
      </c>
      <c r="L2682" s="173">
        <v>41469</v>
      </c>
      <c r="M2682" s="50">
        <f t="shared" si="156"/>
        <v>9</v>
      </c>
      <c r="N2682" s="50" t="s">
        <v>2</v>
      </c>
      <c r="O2682" s="74">
        <f>2/2</f>
        <v>1</v>
      </c>
      <c r="P2682" s="50">
        <v>4.5</v>
      </c>
      <c r="Q2682" s="74">
        <v>6.3</v>
      </c>
      <c r="R2682" s="50">
        <f>20/2</f>
        <v>10</v>
      </c>
      <c r="S2682" s="74">
        <v>10</v>
      </c>
      <c r="T2682" s="50">
        <v>7.2999999999999995E-2</v>
      </c>
      <c r="U2682" s="131">
        <f>1/2</f>
        <v>0.5</v>
      </c>
      <c r="V2682" s="50">
        <f>0.46/2</f>
        <v>0.23</v>
      </c>
      <c r="W2682" s="74">
        <v>1.2999999999999999E-2</v>
      </c>
      <c r="X2682" s="50">
        <v>2.5000000000000001E-2</v>
      </c>
      <c r="Y2682" s="74">
        <f>0.005/2</f>
        <v>2.5000000000000001E-3</v>
      </c>
      <c r="Z2682" s="165">
        <v>1</v>
      </c>
      <c r="AA2682" s="271">
        <v>0.80800000000000005</v>
      </c>
      <c r="AB2682" s="114">
        <v>2</v>
      </c>
      <c r="AC2682" s="50">
        <v>9</v>
      </c>
      <c r="AD2682" s="271">
        <v>0.3</v>
      </c>
    </row>
    <row r="2683" spans="1:31" ht="15" customHeight="1">
      <c r="A2683" s="41" t="s">
        <v>183</v>
      </c>
      <c r="B2683" s="402" t="s">
        <v>688</v>
      </c>
      <c r="C2683" s="113" t="s">
        <v>4366</v>
      </c>
      <c r="D2683" s="393" t="s">
        <v>234</v>
      </c>
      <c r="E2683" s="394" t="s">
        <v>235</v>
      </c>
      <c r="G2683" s="405" t="s">
        <v>689</v>
      </c>
      <c r="H2683" s="74">
        <v>3471</v>
      </c>
      <c r="I2683" s="50" t="s">
        <v>1</v>
      </c>
      <c r="J2683" s="339" t="s">
        <v>691</v>
      </c>
      <c r="K2683" s="51">
        <v>41527</v>
      </c>
      <c r="L2683" s="173">
        <v>41519</v>
      </c>
      <c r="M2683" s="50">
        <f t="shared" si="156"/>
        <v>8</v>
      </c>
      <c r="N2683" s="50" t="s">
        <v>2</v>
      </c>
      <c r="O2683" s="74">
        <v>6.8</v>
      </c>
      <c r="P2683" s="50">
        <v>6</v>
      </c>
      <c r="Q2683" s="74">
        <v>6.26</v>
      </c>
      <c r="R2683" s="50">
        <v>277</v>
      </c>
      <c r="S2683" s="74">
        <v>87</v>
      </c>
      <c r="T2683" s="50">
        <v>0.24</v>
      </c>
      <c r="U2683" s="131">
        <v>3.4</v>
      </c>
      <c r="V2683" s="50">
        <v>1.64</v>
      </c>
      <c r="W2683" s="74">
        <v>0.27800000000000002</v>
      </c>
      <c r="X2683" s="50">
        <v>0.317</v>
      </c>
      <c r="Y2683" s="74">
        <v>3.7999999999999999E-2</v>
      </c>
      <c r="Z2683" s="165"/>
    </row>
    <row r="2684" spans="1:31" ht="15" customHeight="1">
      <c r="A2684" s="41" t="s">
        <v>183</v>
      </c>
      <c r="B2684" s="402" t="s">
        <v>688</v>
      </c>
      <c r="C2684" s="113" t="s">
        <v>4366</v>
      </c>
      <c r="D2684" s="393" t="s">
        <v>234</v>
      </c>
      <c r="E2684" s="394" t="s">
        <v>235</v>
      </c>
      <c r="G2684" s="405" t="s">
        <v>689</v>
      </c>
      <c r="H2684" s="74">
        <v>3471</v>
      </c>
      <c r="I2684" s="50" t="s">
        <v>1</v>
      </c>
      <c r="J2684" s="339" t="s">
        <v>690</v>
      </c>
      <c r="K2684" s="51">
        <v>41527</v>
      </c>
      <c r="L2684" s="173">
        <v>41519</v>
      </c>
      <c r="M2684" s="50">
        <f t="shared" si="156"/>
        <v>8</v>
      </c>
      <c r="N2684" s="50" t="s">
        <v>2</v>
      </c>
      <c r="O2684" s="74">
        <v>4.4000000000000004</v>
      </c>
      <c r="P2684" s="50">
        <v>6</v>
      </c>
      <c r="Q2684" s="74">
        <v>6.42</v>
      </c>
      <c r="R2684" s="50">
        <v>139.30000000000001</v>
      </c>
      <c r="S2684" s="74">
        <v>12</v>
      </c>
      <c r="T2684" s="50">
        <v>0.16</v>
      </c>
      <c r="U2684" s="131">
        <v>5</v>
      </c>
      <c r="V2684" s="50">
        <v>3.31</v>
      </c>
      <c r="W2684" s="74">
        <v>0.14799999999999999</v>
      </c>
      <c r="X2684" s="50">
        <v>0.247</v>
      </c>
      <c r="Y2684" s="74">
        <v>0.114</v>
      </c>
      <c r="Z2684" s="165"/>
    </row>
    <row r="2685" spans="1:31" ht="15" customHeight="1">
      <c r="A2685" s="41" t="s">
        <v>183</v>
      </c>
      <c r="B2685" s="402" t="s">
        <v>688</v>
      </c>
      <c r="C2685" s="113" t="s">
        <v>4366</v>
      </c>
      <c r="D2685" s="393" t="s">
        <v>234</v>
      </c>
      <c r="E2685" s="394" t="s">
        <v>235</v>
      </c>
      <c r="G2685" s="405" t="s">
        <v>689</v>
      </c>
      <c r="H2685" s="74">
        <v>3471</v>
      </c>
      <c r="I2685" s="50" t="s">
        <v>1</v>
      </c>
      <c r="J2685" s="339" t="s">
        <v>4367</v>
      </c>
      <c r="K2685" s="51">
        <v>41539</v>
      </c>
      <c r="L2685" s="173">
        <v>41529</v>
      </c>
      <c r="M2685" s="50">
        <f t="shared" si="156"/>
        <v>10</v>
      </c>
      <c r="N2685" s="50" t="s">
        <v>2</v>
      </c>
      <c r="O2685" s="74">
        <f>1/2</f>
        <v>0.5</v>
      </c>
      <c r="P2685" s="50">
        <v>6</v>
      </c>
      <c r="Q2685" s="74">
        <v>6.2</v>
      </c>
      <c r="R2685" s="50">
        <v>47.3</v>
      </c>
      <c r="S2685" s="74">
        <v>97</v>
      </c>
      <c r="T2685" s="50">
        <v>0.17</v>
      </c>
      <c r="U2685" s="131">
        <v>1.32</v>
      </c>
      <c r="V2685" s="50">
        <v>0.78</v>
      </c>
      <c r="W2685" s="74">
        <v>0.253</v>
      </c>
      <c r="X2685" s="50">
        <v>0.28799999999999998</v>
      </c>
      <c r="Y2685" s="74">
        <v>9.0999999999999998E-2</v>
      </c>
      <c r="Z2685" s="165"/>
    </row>
    <row r="2686" spans="1:31" ht="15" customHeight="1">
      <c r="A2686" s="41" t="s">
        <v>183</v>
      </c>
      <c r="B2686" s="386" t="s">
        <v>857</v>
      </c>
      <c r="C2686" s="149" t="s">
        <v>857</v>
      </c>
      <c r="D2686" s="392" t="s">
        <v>268</v>
      </c>
      <c r="E2686" s="258" t="s">
        <v>858</v>
      </c>
      <c r="G2686" s="405" t="s">
        <v>859</v>
      </c>
      <c r="H2686" s="74">
        <v>3316</v>
      </c>
      <c r="I2686" s="50" t="s">
        <v>2</v>
      </c>
      <c r="J2686" s="61" t="s">
        <v>81</v>
      </c>
      <c r="K2686" s="51">
        <v>41529</v>
      </c>
      <c r="L2686" s="173">
        <v>41519</v>
      </c>
      <c r="M2686" s="50">
        <f t="shared" si="156"/>
        <v>10</v>
      </c>
      <c r="N2686" s="50" t="s">
        <v>2</v>
      </c>
      <c r="O2686" s="74">
        <f>2/2</f>
        <v>1</v>
      </c>
      <c r="P2686" s="50">
        <v>4.7</v>
      </c>
      <c r="Q2686" s="74">
        <v>5.9</v>
      </c>
      <c r="R2686" s="50">
        <v>22</v>
      </c>
      <c r="S2686" s="74">
        <v>17</v>
      </c>
      <c r="T2686" s="50">
        <f>0.05/2</f>
        <v>2.5000000000000001E-2</v>
      </c>
      <c r="U2686" s="131">
        <v>1.22</v>
      </c>
      <c r="V2686" s="50">
        <v>0.84</v>
      </c>
      <c r="W2686" s="74">
        <v>0.02</v>
      </c>
      <c r="X2686" s="50">
        <v>7.0000000000000007E-2</v>
      </c>
      <c r="Y2686" s="74">
        <f>0.03/2</f>
        <v>1.4999999999999999E-2</v>
      </c>
      <c r="Z2686" s="165"/>
    </row>
    <row r="2687" spans="1:31" ht="15" customHeight="1">
      <c r="A2687" s="41" t="s">
        <v>183</v>
      </c>
      <c r="B2687" s="402" t="s">
        <v>4901</v>
      </c>
      <c r="C2687" s="113" t="s">
        <v>4902</v>
      </c>
      <c r="D2687" s="393" t="s">
        <v>372</v>
      </c>
      <c r="E2687" s="394" t="s">
        <v>235</v>
      </c>
      <c r="G2687" s="405" t="s">
        <v>3605</v>
      </c>
      <c r="H2687" s="74">
        <v>3471</v>
      </c>
      <c r="I2687" s="50" t="s">
        <v>1</v>
      </c>
      <c r="J2687" s="339" t="s">
        <v>81</v>
      </c>
      <c r="K2687" s="51">
        <v>41495</v>
      </c>
      <c r="L2687" s="173">
        <v>41488</v>
      </c>
      <c r="M2687" s="50">
        <f t="shared" si="156"/>
        <v>7</v>
      </c>
      <c r="N2687" s="50" t="s">
        <v>2</v>
      </c>
      <c r="O2687" s="74">
        <f>2/2</f>
        <v>1</v>
      </c>
      <c r="P2687" s="50">
        <v>6.7</v>
      </c>
      <c r="Q2687" s="74">
        <v>6.9</v>
      </c>
      <c r="R2687" s="50">
        <f>10/2</f>
        <v>5</v>
      </c>
      <c r="S2687" s="74">
        <v>9</v>
      </c>
      <c r="T2687" s="50">
        <v>0.08</v>
      </c>
      <c r="U2687" s="131">
        <v>0.38</v>
      </c>
      <c r="V2687" s="50">
        <v>0.3</v>
      </c>
      <c r="W2687" s="74">
        <v>2.3E-2</v>
      </c>
      <c r="X2687" s="50">
        <f>0.03/2</f>
        <v>1.4999999999999999E-2</v>
      </c>
      <c r="Y2687" s="74">
        <f>0.03/2</f>
        <v>1.4999999999999999E-2</v>
      </c>
      <c r="Z2687" s="165">
        <v>0.68300000000000005</v>
      </c>
      <c r="AA2687" s="271">
        <v>0.68300000000000005</v>
      </c>
      <c r="AB2687" s="114">
        <v>2</v>
      </c>
      <c r="AC2687" s="50">
        <v>18</v>
      </c>
      <c r="AD2687" s="271">
        <v>0</v>
      </c>
    </row>
    <row r="2688" spans="1:31" ht="15" customHeight="1">
      <c r="A2688" s="41" t="s">
        <v>183</v>
      </c>
      <c r="B2688" s="385" t="s">
        <v>4336</v>
      </c>
      <c r="C2688" s="18" t="s">
        <v>4336</v>
      </c>
      <c r="D2688" s="377" t="s">
        <v>213</v>
      </c>
      <c r="E2688" s="20" t="s">
        <v>4342</v>
      </c>
      <c r="G2688" s="405" t="s">
        <v>4338</v>
      </c>
      <c r="H2688" s="74">
        <v>3541</v>
      </c>
      <c r="I2688" s="50" t="s">
        <v>2</v>
      </c>
      <c r="J2688" s="339" t="s">
        <v>255</v>
      </c>
      <c r="K2688" s="51">
        <v>41529</v>
      </c>
      <c r="L2688" s="173">
        <v>41519</v>
      </c>
      <c r="M2688" s="50">
        <f t="shared" si="156"/>
        <v>10</v>
      </c>
      <c r="N2688" s="50" t="s">
        <v>2</v>
      </c>
      <c r="O2688" s="74">
        <f>1.6/2</f>
        <v>0.8</v>
      </c>
      <c r="P2688" s="50">
        <v>4.8</v>
      </c>
      <c r="Q2688" s="74">
        <v>6.8</v>
      </c>
      <c r="R2688" s="50">
        <v>47</v>
      </c>
      <c r="S2688" s="74">
        <v>5.8</v>
      </c>
      <c r="T2688" s="50">
        <v>0.32900000000000001</v>
      </c>
      <c r="U2688" s="131">
        <v>15</v>
      </c>
      <c r="V2688" s="50">
        <v>0.82</v>
      </c>
      <c r="W2688" s="74">
        <v>1.0999999999999999E-2</v>
      </c>
      <c r="X2688" s="50">
        <v>5.0999999999999997E-2</v>
      </c>
      <c r="Y2688" s="74">
        <f>0.005/2</f>
        <v>2.5000000000000001E-3</v>
      </c>
      <c r="Z2688" s="165">
        <v>1</v>
      </c>
      <c r="AA2688" s="271">
        <v>1</v>
      </c>
      <c r="AB2688" s="114">
        <v>10</v>
      </c>
      <c r="AC2688" s="50">
        <v>82</v>
      </c>
      <c r="AD2688" s="271">
        <v>1</v>
      </c>
    </row>
    <row r="2689" spans="1:30" ht="15" customHeight="1">
      <c r="A2689" s="41" t="s">
        <v>183</v>
      </c>
      <c r="B2689" s="385" t="s">
        <v>4336</v>
      </c>
      <c r="C2689" s="18" t="s">
        <v>4336</v>
      </c>
      <c r="D2689" s="377" t="s">
        <v>213</v>
      </c>
      <c r="E2689" s="20" t="s">
        <v>3083</v>
      </c>
      <c r="G2689" s="405" t="s">
        <v>4338</v>
      </c>
      <c r="H2689" s="74">
        <v>3541</v>
      </c>
      <c r="I2689" s="50" t="s">
        <v>2</v>
      </c>
      <c r="J2689" s="339" t="s">
        <v>5411</v>
      </c>
      <c r="K2689" s="51">
        <v>41529</v>
      </c>
      <c r="L2689" s="173">
        <v>41519</v>
      </c>
      <c r="M2689" s="50">
        <f t="shared" si="156"/>
        <v>10</v>
      </c>
      <c r="N2689" s="50" t="s">
        <v>2</v>
      </c>
      <c r="O2689" s="74">
        <f>1.6/2</f>
        <v>0.8</v>
      </c>
      <c r="P2689" s="50">
        <v>4.8</v>
      </c>
      <c r="Q2689" s="74">
        <v>6</v>
      </c>
      <c r="R2689" s="50">
        <f>20/2</f>
        <v>10</v>
      </c>
      <c r="S2689" s="74">
        <v>2.6</v>
      </c>
      <c r="T2689" s="50">
        <v>2.1999999999999999E-2</v>
      </c>
      <c r="U2689" s="131">
        <v>1.9</v>
      </c>
      <c r="V2689" s="50">
        <v>0.83</v>
      </c>
      <c r="W2689" s="74">
        <v>5.0000000000000001E-3</v>
      </c>
      <c r="X2689" s="50">
        <v>0.19600000000000001</v>
      </c>
      <c r="Y2689" s="74">
        <f>0.005/2</f>
        <v>2.5000000000000001E-3</v>
      </c>
      <c r="Z2689" s="165">
        <v>1</v>
      </c>
      <c r="AA2689" s="271">
        <v>0.70699999999999996</v>
      </c>
      <c r="AB2689" s="114">
        <v>4</v>
      </c>
      <c r="AC2689" s="50">
        <v>21</v>
      </c>
      <c r="AD2689" s="271">
        <v>0</v>
      </c>
    </row>
    <row r="2690" spans="1:30" ht="15" customHeight="1">
      <c r="A2690" s="41" t="s">
        <v>183</v>
      </c>
      <c r="B2690" s="385" t="s">
        <v>4336</v>
      </c>
      <c r="C2690" s="18" t="s">
        <v>4336</v>
      </c>
      <c r="D2690" s="377" t="s">
        <v>213</v>
      </c>
      <c r="E2690" s="20" t="s">
        <v>5409</v>
      </c>
      <c r="G2690" s="390" t="s">
        <v>4338</v>
      </c>
      <c r="H2690" s="74">
        <v>3541</v>
      </c>
      <c r="I2690" s="50" t="s">
        <v>2</v>
      </c>
      <c r="J2690" s="339" t="s">
        <v>1867</v>
      </c>
      <c r="K2690" s="51">
        <v>41529</v>
      </c>
      <c r="L2690" s="173">
        <v>41519</v>
      </c>
      <c r="M2690" s="50">
        <f t="shared" si="156"/>
        <v>10</v>
      </c>
      <c r="N2690" s="50" t="s">
        <v>2</v>
      </c>
      <c r="O2690" s="74">
        <f>1.7/2</f>
        <v>0.85</v>
      </c>
      <c r="P2690" s="50">
        <v>4.8</v>
      </c>
      <c r="Q2690" s="74">
        <v>4.8</v>
      </c>
      <c r="R2690" s="50">
        <f>20/2</f>
        <v>10</v>
      </c>
      <c r="S2690" s="74">
        <v>1.2</v>
      </c>
      <c r="T2690" s="50">
        <v>8.2000000000000003E-2</v>
      </c>
      <c r="U2690" s="131">
        <v>1.5</v>
      </c>
      <c r="V2690" s="50">
        <v>0.98</v>
      </c>
      <c r="W2690" s="74">
        <v>8.0000000000000002E-3</v>
      </c>
      <c r="X2690" s="50">
        <v>0.34799999999999998</v>
      </c>
      <c r="Y2690" s="74">
        <f>0.005/2</f>
        <v>2.5000000000000001E-3</v>
      </c>
      <c r="Z2690" s="165">
        <v>0.66</v>
      </c>
      <c r="AA2690" s="271">
        <v>0.5</v>
      </c>
      <c r="AB2690" s="114">
        <v>6</v>
      </c>
      <c r="AC2690" s="50">
        <v>23</v>
      </c>
      <c r="AD2690" s="271">
        <v>0</v>
      </c>
    </row>
    <row r="2691" spans="1:30" ht="15" customHeight="1">
      <c r="A2691" s="41" t="s">
        <v>183</v>
      </c>
      <c r="B2691" s="402" t="s">
        <v>4926</v>
      </c>
      <c r="C2691" s="113" t="s">
        <v>4926</v>
      </c>
      <c r="D2691" s="393" t="s">
        <v>41</v>
      </c>
      <c r="E2691" s="394" t="s">
        <v>4927</v>
      </c>
      <c r="G2691" s="405" t="s">
        <v>4928</v>
      </c>
      <c r="H2691" s="74">
        <v>336399</v>
      </c>
      <c r="I2691" s="50" t="s">
        <v>1</v>
      </c>
      <c r="J2691" s="406" t="s">
        <v>81</v>
      </c>
      <c r="K2691" s="51">
        <v>41487</v>
      </c>
      <c r="L2691" s="173">
        <v>41481</v>
      </c>
      <c r="M2691" s="50">
        <f t="shared" si="156"/>
        <v>6</v>
      </c>
      <c r="N2691" s="50" t="s">
        <v>2</v>
      </c>
      <c r="O2691" s="74">
        <f>1.5/2</f>
        <v>0.75</v>
      </c>
      <c r="P2691" s="50">
        <v>7.2</v>
      </c>
      <c r="Q2691" s="74">
        <v>6.5</v>
      </c>
      <c r="R2691" s="50">
        <v>34</v>
      </c>
      <c r="S2691" s="74">
        <v>25</v>
      </c>
      <c r="T2691" s="50">
        <v>0.06</v>
      </c>
      <c r="U2691" s="131">
        <v>1.55</v>
      </c>
      <c r="V2691" s="50">
        <v>0.55000000000000004</v>
      </c>
      <c r="W2691" s="74">
        <v>0.02</v>
      </c>
      <c r="X2691" s="50">
        <v>6.0999999999999999E-2</v>
      </c>
      <c r="Y2691" s="74">
        <v>5.0000000000000001E-3</v>
      </c>
      <c r="Z2691" s="165">
        <v>1</v>
      </c>
      <c r="AA2691" s="271">
        <v>1</v>
      </c>
      <c r="AB2691" s="114">
        <v>4</v>
      </c>
      <c r="AC2691" s="50">
        <v>23</v>
      </c>
      <c r="AD2691" s="271">
        <v>0.95</v>
      </c>
    </row>
    <row r="2692" spans="1:30" ht="15" customHeight="1">
      <c r="A2692" s="41" t="s">
        <v>183</v>
      </c>
      <c r="B2692" s="402" t="s">
        <v>4926</v>
      </c>
      <c r="C2692" s="113" t="s">
        <v>4926</v>
      </c>
      <c r="D2692" s="393" t="s">
        <v>41</v>
      </c>
      <c r="E2692" s="394" t="s">
        <v>4927</v>
      </c>
      <c r="G2692" s="405" t="s">
        <v>4928</v>
      </c>
      <c r="H2692" s="74">
        <v>336399</v>
      </c>
      <c r="I2692" s="50" t="s">
        <v>1</v>
      </c>
      <c r="J2692" s="406" t="s">
        <v>114</v>
      </c>
      <c r="K2692" s="51">
        <v>41487</v>
      </c>
      <c r="L2692" s="173">
        <v>41481</v>
      </c>
      <c r="M2692" s="50">
        <f t="shared" si="156"/>
        <v>6</v>
      </c>
      <c r="N2692" s="50" t="s">
        <v>2</v>
      </c>
      <c r="O2692" s="74">
        <f>1.4/2</f>
        <v>0.7</v>
      </c>
      <c r="P2692" s="50">
        <v>7.2</v>
      </c>
      <c r="Q2692" s="74">
        <v>6.74</v>
      </c>
      <c r="R2692" s="50">
        <v>43</v>
      </c>
      <c r="S2692" s="74">
        <v>18</v>
      </c>
      <c r="T2692" s="50">
        <v>0.11</v>
      </c>
      <c r="U2692" s="131">
        <v>2.57</v>
      </c>
      <c r="V2692" s="50">
        <v>0.74</v>
      </c>
      <c r="W2692" s="74">
        <v>1.6E-2</v>
      </c>
      <c r="X2692" s="50">
        <v>0.107</v>
      </c>
      <c r="Y2692" s="74">
        <v>4.0000000000000001E-3</v>
      </c>
      <c r="Z2692" s="165">
        <v>1</v>
      </c>
      <c r="AA2692" s="271">
        <v>0.70699999999999996</v>
      </c>
      <c r="AB2692" s="114">
        <v>4</v>
      </c>
      <c r="AC2692" s="50">
        <v>32</v>
      </c>
      <c r="AD2692" s="271">
        <v>0.05</v>
      </c>
    </row>
    <row r="2693" spans="1:30" ht="15" customHeight="1">
      <c r="A2693" s="41" t="s">
        <v>183</v>
      </c>
      <c r="B2693" s="402" t="s">
        <v>4926</v>
      </c>
      <c r="C2693" s="113" t="s">
        <v>4926</v>
      </c>
      <c r="D2693" s="393" t="s">
        <v>41</v>
      </c>
      <c r="E2693" s="394" t="s">
        <v>5425</v>
      </c>
      <c r="G2693" s="405" t="s">
        <v>4928</v>
      </c>
      <c r="H2693" s="74">
        <v>336399</v>
      </c>
      <c r="I2693" s="50" t="s">
        <v>1</v>
      </c>
      <c r="J2693" s="406" t="s">
        <v>115</v>
      </c>
      <c r="K2693" s="51">
        <v>41487</v>
      </c>
      <c r="L2693" s="173">
        <v>41481</v>
      </c>
      <c r="M2693" s="50">
        <f t="shared" si="156"/>
        <v>6</v>
      </c>
      <c r="N2693" s="50" t="s">
        <v>2</v>
      </c>
      <c r="O2693" s="74">
        <f>1.4/2</f>
        <v>0.7</v>
      </c>
      <c r="P2693" s="50">
        <v>7.2</v>
      </c>
      <c r="Q2693" s="74">
        <v>6.78</v>
      </c>
      <c r="R2693" s="50">
        <v>58</v>
      </c>
      <c r="S2693" s="74">
        <v>110</v>
      </c>
      <c r="T2693" s="50">
        <v>0.18</v>
      </c>
      <c r="U2693" s="131">
        <v>1.23</v>
      </c>
      <c r="V2693" s="50">
        <v>0.53</v>
      </c>
      <c r="W2693" s="74">
        <v>8.0000000000000002E-3</v>
      </c>
      <c r="X2693" s="50">
        <v>0.14699999999999999</v>
      </c>
      <c r="Y2693" s="74">
        <v>8.9999999999999993E-3</v>
      </c>
      <c r="Z2693" s="165">
        <v>1</v>
      </c>
      <c r="AA2693" s="271">
        <v>1</v>
      </c>
      <c r="AB2693" s="114">
        <v>10</v>
      </c>
      <c r="AC2693" s="50">
        <v>45</v>
      </c>
      <c r="AD2693" s="271">
        <v>1</v>
      </c>
    </row>
    <row r="2694" spans="1:30" ht="15" customHeight="1">
      <c r="A2694" s="41" t="s">
        <v>183</v>
      </c>
      <c r="B2694" s="385" t="s">
        <v>4390</v>
      </c>
      <c r="C2694" s="18" t="s">
        <v>4390</v>
      </c>
      <c r="D2694" s="377" t="s">
        <v>350</v>
      </c>
      <c r="G2694" s="405" t="s">
        <v>4391</v>
      </c>
      <c r="H2694" s="74"/>
      <c r="I2694" s="50" t="s">
        <v>2</v>
      </c>
      <c r="J2694" s="339" t="s">
        <v>5408</v>
      </c>
      <c r="K2694" s="51">
        <v>41085</v>
      </c>
      <c r="L2694" s="173">
        <v>41083</v>
      </c>
      <c r="M2694" s="50">
        <f t="shared" si="156"/>
        <v>2</v>
      </c>
      <c r="N2694" s="50" t="s">
        <v>2</v>
      </c>
      <c r="O2694" s="74">
        <f>1.4/2</f>
        <v>0.7</v>
      </c>
      <c r="Q2694" s="74">
        <v>5.78</v>
      </c>
      <c r="R2694" s="50">
        <v>75</v>
      </c>
      <c r="S2694" s="74">
        <v>73</v>
      </c>
      <c r="T2694" s="50">
        <v>0.15</v>
      </c>
      <c r="U2694" s="131">
        <v>2.44</v>
      </c>
      <c r="V2694" s="50">
        <v>0.55000000000000004</v>
      </c>
      <c r="W2694" s="74">
        <v>1.4999999999999999E-2</v>
      </c>
      <c r="X2694" s="50">
        <v>9.8000000000000004E-2</v>
      </c>
      <c r="Y2694" s="74">
        <v>6.0000000000000001E-3</v>
      </c>
      <c r="Z2694" s="165">
        <v>1</v>
      </c>
      <c r="AA2694" s="271">
        <v>1</v>
      </c>
      <c r="AB2694" s="114">
        <v>4</v>
      </c>
      <c r="AC2694" s="50">
        <v>23</v>
      </c>
      <c r="AD2694" s="271">
        <v>1</v>
      </c>
    </row>
    <row r="2695" spans="1:30" ht="15" customHeight="1">
      <c r="A2695" s="41" t="s">
        <v>183</v>
      </c>
      <c r="B2695" s="402" t="s">
        <v>5418</v>
      </c>
      <c r="C2695" s="113" t="s">
        <v>5418</v>
      </c>
      <c r="D2695" s="393" t="s">
        <v>103</v>
      </c>
      <c r="G2695" s="405" t="s">
        <v>5419</v>
      </c>
      <c r="H2695" s="74"/>
      <c r="I2695" s="50" t="s">
        <v>2</v>
      </c>
      <c r="J2695" s="339" t="s">
        <v>5420</v>
      </c>
      <c r="K2695" s="51">
        <v>41184</v>
      </c>
      <c r="L2695" s="173">
        <v>41180</v>
      </c>
      <c r="M2695" s="50">
        <f t="shared" si="156"/>
        <v>4</v>
      </c>
      <c r="N2695" s="50" t="s">
        <v>2</v>
      </c>
      <c r="O2695" s="74">
        <v>6.1</v>
      </c>
      <c r="P2695" s="50">
        <v>6</v>
      </c>
      <c r="Q2695" s="74">
        <v>9.1999999999999993</v>
      </c>
      <c r="R2695" s="50">
        <f>10/2</f>
        <v>5</v>
      </c>
      <c r="S2695" s="74">
        <v>12</v>
      </c>
      <c r="T2695" s="50">
        <f>0.1/2</f>
        <v>0.05</v>
      </c>
      <c r="U2695" s="131">
        <v>1.3</v>
      </c>
      <c r="V2695" s="50">
        <v>0.12</v>
      </c>
      <c r="W2695" s="74">
        <f>0.02/2</f>
        <v>0.01</v>
      </c>
      <c r="X2695" s="50">
        <f>0.05/2</f>
        <v>2.5000000000000001E-2</v>
      </c>
      <c r="Y2695" s="74">
        <f>0.001/2</f>
        <v>5.0000000000000001E-4</v>
      </c>
      <c r="Z2695" s="165"/>
    </row>
    <row r="2696" spans="1:30" ht="15" customHeight="1">
      <c r="A2696" s="41" t="s">
        <v>183</v>
      </c>
      <c r="B2696" s="402" t="s">
        <v>5418</v>
      </c>
      <c r="C2696" s="113" t="s">
        <v>5418</v>
      </c>
      <c r="D2696" s="393" t="s">
        <v>103</v>
      </c>
      <c r="G2696" s="405" t="s">
        <v>5419</v>
      </c>
      <c r="H2696" s="74"/>
      <c r="I2696" s="50" t="s">
        <v>2</v>
      </c>
      <c r="J2696" s="339" t="s">
        <v>5426</v>
      </c>
      <c r="K2696" s="51">
        <v>41184</v>
      </c>
      <c r="L2696" s="173">
        <v>41180</v>
      </c>
      <c r="M2696" s="50">
        <f t="shared" si="156"/>
        <v>4</v>
      </c>
      <c r="N2696" s="50" t="s">
        <v>2</v>
      </c>
      <c r="O2696" s="74">
        <v>17</v>
      </c>
      <c r="P2696" s="50">
        <v>6</v>
      </c>
      <c r="Q2696" s="74">
        <v>9.1</v>
      </c>
      <c r="R2696" s="50">
        <f>10/2</f>
        <v>5</v>
      </c>
      <c r="S2696" s="74">
        <v>22</v>
      </c>
      <c r="T2696" s="50">
        <f>0.1/2</f>
        <v>0.05</v>
      </c>
      <c r="U2696" s="131">
        <v>1.2</v>
      </c>
      <c r="V2696" s="50">
        <v>0.38</v>
      </c>
      <c r="W2696" s="74">
        <f>0.02/2</f>
        <v>0.01</v>
      </c>
      <c r="X2696" s="50">
        <f>0.05/2</f>
        <v>2.5000000000000001E-2</v>
      </c>
      <c r="Y2696" s="74">
        <v>4.0000000000000001E-3</v>
      </c>
      <c r="Z2696" s="165"/>
    </row>
    <row r="2697" spans="1:30" ht="15" customHeight="1">
      <c r="A2697" s="41" t="s">
        <v>183</v>
      </c>
      <c r="B2697" s="402" t="s">
        <v>5418</v>
      </c>
      <c r="C2697" s="113" t="s">
        <v>5418</v>
      </c>
      <c r="D2697" s="393" t="s">
        <v>103</v>
      </c>
      <c r="G2697" s="405" t="s">
        <v>5419</v>
      </c>
      <c r="H2697" s="74"/>
      <c r="I2697" s="50" t="s">
        <v>2</v>
      </c>
      <c r="J2697" s="339" t="s">
        <v>5427</v>
      </c>
      <c r="K2697" s="51">
        <v>41037</v>
      </c>
      <c r="L2697" s="173">
        <v>41030</v>
      </c>
      <c r="M2697" s="50">
        <f t="shared" si="156"/>
        <v>7</v>
      </c>
      <c r="N2697" s="50" t="s">
        <v>2</v>
      </c>
      <c r="O2697" s="74">
        <f>30.5/2</f>
        <v>15.25</v>
      </c>
      <c r="P2697" s="50">
        <v>5.5</v>
      </c>
      <c r="Q2697" s="74">
        <v>7.4</v>
      </c>
      <c r="R2697" s="50">
        <v>71.599999999999994</v>
      </c>
      <c r="S2697" s="74">
        <v>57</v>
      </c>
      <c r="T2697" s="50">
        <v>0.11</v>
      </c>
      <c r="U2697" s="131">
        <f>1/2</f>
        <v>0.5</v>
      </c>
      <c r="V2697" s="50">
        <f>0.05/2</f>
        <v>2.5000000000000001E-2</v>
      </c>
      <c r="W2697" s="74">
        <f>0.02/2</f>
        <v>0.01</v>
      </c>
      <c r="X2697" s="50">
        <f>0.05/2</f>
        <v>2.5000000000000001E-2</v>
      </c>
      <c r="Y2697" s="74">
        <f>0.001/2</f>
        <v>5.0000000000000001E-4</v>
      </c>
      <c r="Z2697" s="165">
        <v>1</v>
      </c>
      <c r="AA2697" s="271">
        <v>1</v>
      </c>
      <c r="AB2697" s="114">
        <v>70</v>
      </c>
      <c r="AC2697" s="50">
        <v>242</v>
      </c>
      <c r="AD2697" s="271">
        <v>1</v>
      </c>
    </row>
    <row r="2698" spans="1:30" ht="15" customHeight="1">
      <c r="A2698" s="41" t="s">
        <v>183</v>
      </c>
      <c r="B2698" s="402" t="s">
        <v>5418</v>
      </c>
      <c r="C2698" s="113" t="s">
        <v>5418</v>
      </c>
      <c r="D2698" s="393" t="s">
        <v>103</v>
      </c>
      <c r="G2698" s="405" t="s">
        <v>5419</v>
      </c>
      <c r="H2698" s="74"/>
      <c r="I2698" s="50" t="s">
        <v>2</v>
      </c>
      <c r="J2698" s="339" t="s">
        <v>5428</v>
      </c>
      <c r="K2698" s="51">
        <v>41037</v>
      </c>
      <c r="L2698" s="173">
        <v>41030</v>
      </c>
      <c r="M2698" s="50">
        <f t="shared" si="156"/>
        <v>7</v>
      </c>
      <c r="N2698" s="50" t="s">
        <v>2</v>
      </c>
      <c r="O2698" s="74">
        <v>25.8</v>
      </c>
      <c r="P2698" s="50">
        <v>5.5</v>
      </c>
      <c r="Q2698" s="74">
        <v>7.2</v>
      </c>
      <c r="R2698" s="50">
        <v>53.9</v>
      </c>
      <c r="S2698" s="74">
        <v>27</v>
      </c>
      <c r="T2698" s="50">
        <f>0.1/2</f>
        <v>0.05</v>
      </c>
      <c r="U2698" s="131">
        <f>1/2</f>
        <v>0.5</v>
      </c>
      <c r="V2698" s="50">
        <v>0.34</v>
      </c>
      <c r="W2698" s="74">
        <f>0.02/2</f>
        <v>0.01</v>
      </c>
      <c r="X2698" s="50">
        <f>0.05/2</f>
        <v>2.5000000000000001E-2</v>
      </c>
      <c r="Y2698" s="74">
        <f>0.001/2</f>
        <v>5.0000000000000001E-4</v>
      </c>
      <c r="Z2698" s="165">
        <v>1</v>
      </c>
      <c r="AA2698" s="271">
        <v>1</v>
      </c>
      <c r="AB2698" s="114">
        <v>40</v>
      </c>
      <c r="AC2698" s="50">
        <v>331</v>
      </c>
      <c r="AD2698" s="271">
        <v>1</v>
      </c>
    </row>
    <row r="2699" spans="1:30" ht="15" customHeight="1">
      <c r="A2699" s="41" t="s">
        <v>183</v>
      </c>
      <c r="B2699" s="402" t="s">
        <v>5429</v>
      </c>
      <c r="C2699" s="113" t="s">
        <v>5429</v>
      </c>
      <c r="D2699" s="393" t="s">
        <v>213</v>
      </c>
      <c r="E2699" s="394" t="s">
        <v>364</v>
      </c>
      <c r="G2699" s="405" t="s">
        <v>5430</v>
      </c>
      <c r="H2699" s="74">
        <v>3931</v>
      </c>
      <c r="I2699" s="50" t="s">
        <v>1</v>
      </c>
      <c r="J2699" s="339" t="s">
        <v>255</v>
      </c>
      <c r="K2699" s="51">
        <v>40996</v>
      </c>
      <c r="L2699" s="173">
        <v>40984</v>
      </c>
      <c r="M2699" s="50">
        <f t="shared" si="156"/>
        <v>12</v>
      </c>
      <c r="N2699" s="50" t="s">
        <v>2</v>
      </c>
      <c r="O2699" s="74">
        <v>5.4</v>
      </c>
      <c r="P2699" s="50">
        <v>5.87</v>
      </c>
      <c r="Q2699" s="74">
        <v>7.62</v>
      </c>
      <c r="R2699" s="50">
        <v>22</v>
      </c>
      <c r="S2699" s="74">
        <v>130</v>
      </c>
      <c r="T2699" s="50">
        <v>0.25</v>
      </c>
      <c r="U2699" s="131">
        <v>2.0099999999999998</v>
      </c>
      <c r="V2699" s="50">
        <v>0.33</v>
      </c>
      <c r="W2699" s="74">
        <v>8.0000000000000002E-3</v>
      </c>
      <c r="X2699" s="50">
        <v>0.11799999999999999</v>
      </c>
      <c r="Y2699" s="74">
        <v>7.0000000000000001E-3</v>
      </c>
      <c r="Z2699" s="165">
        <v>0.70699999999999996</v>
      </c>
      <c r="AA2699" s="271">
        <v>0.70699999999999996</v>
      </c>
      <c r="AB2699" s="114">
        <v>10</v>
      </c>
      <c r="AC2699" s="50">
        <v>57</v>
      </c>
      <c r="AD2699" s="271">
        <v>0</v>
      </c>
    </row>
    <row r="2700" spans="1:30" ht="15" customHeight="1">
      <c r="A2700" s="41" t="s">
        <v>183</v>
      </c>
      <c r="B2700" s="402" t="s">
        <v>5416</v>
      </c>
      <c r="C2700" s="113" t="s">
        <v>5416</v>
      </c>
      <c r="D2700" s="393" t="s">
        <v>1490</v>
      </c>
      <c r="E2700" s="394" t="s">
        <v>5431</v>
      </c>
      <c r="G2700" s="405" t="s">
        <v>5417</v>
      </c>
      <c r="H2700" s="74">
        <v>1430</v>
      </c>
      <c r="I2700" s="50" t="s">
        <v>2</v>
      </c>
      <c r="J2700" s="339" t="s">
        <v>5432</v>
      </c>
      <c r="K2700" s="51">
        <v>41030</v>
      </c>
      <c r="L2700" s="173">
        <v>41021</v>
      </c>
      <c r="M2700" s="50">
        <f t="shared" si="156"/>
        <v>9</v>
      </c>
      <c r="N2700" s="50" t="s">
        <v>2</v>
      </c>
      <c r="O2700" s="74">
        <f>5/2</f>
        <v>2.5</v>
      </c>
      <c r="P2700" s="50">
        <v>5.5</v>
      </c>
      <c r="Q2700" s="74">
        <v>7.9</v>
      </c>
      <c r="R2700" s="50">
        <v>400</v>
      </c>
      <c r="S2700" s="74">
        <v>780</v>
      </c>
      <c r="T2700" s="50">
        <v>0.91</v>
      </c>
      <c r="U2700" s="131">
        <v>1.5</v>
      </c>
      <c r="V2700" s="50">
        <v>0.17</v>
      </c>
      <c r="W2700" s="74">
        <v>0.19</v>
      </c>
      <c r="X2700" s="50">
        <v>0.21</v>
      </c>
      <c r="Y2700" s="74">
        <v>2.3E-2</v>
      </c>
      <c r="Z2700" s="165">
        <v>1</v>
      </c>
      <c r="AA2700" s="271">
        <v>1</v>
      </c>
      <c r="AB2700" s="114">
        <v>30</v>
      </c>
      <c r="AC2700" s="50">
        <v>58</v>
      </c>
      <c r="AD2700" s="271">
        <v>1</v>
      </c>
    </row>
    <row r="2701" spans="1:30" ht="15" customHeight="1">
      <c r="A2701" s="41" t="s">
        <v>183</v>
      </c>
      <c r="B2701" s="402" t="s">
        <v>4016</v>
      </c>
      <c r="C2701" s="113" t="s">
        <v>4017</v>
      </c>
      <c r="D2701" s="393" t="s">
        <v>559</v>
      </c>
      <c r="F2701" s="424" t="s">
        <v>4018</v>
      </c>
      <c r="G2701" s="405" t="s">
        <v>4019</v>
      </c>
      <c r="H2701" s="74">
        <v>3271</v>
      </c>
      <c r="I2701" s="50" t="s">
        <v>2</v>
      </c>
      <c r="J2701" s="339" t="s">
        <v>460</v>
      </c>
      <c r="K2701" s="51">
        <v>41044</v>
      </c>
      <c r="L2701" s="173">
        <v>41039</v>
      </c>
      <c r="M2701" s="50">
        <f t="shared" si="156"/>
        <v>5</v>
      </c>
      <c r="N2701" s="50" t="s">
        <v>2</v>
      </c>
      <c r="O2701" s="74">
        <f>1.4/2</f>
        <v>0.7</v>
      </c>
      <c r="P2701" s="50">
        <v>6.5</v>
      </c>
      <c r="Q2701" s="74">
        <v>8.27</v>
      </c>
      <c r="R2701" s="50">
        <v>16</v>
      </c>
      <c r="S2701" s="74">
        <v>30</v>
      </c>
      <c r="T2701" s="50">
        <v>0.02</v>
      </c>
      <c r="U2701" s="131">
        <v>0.41</v>
      </c>
      <c r="V2701" s="50">
        <f>0.01/2</f>
        <v>5.0000000000000001E-3</v>
      </c>
      <c r="W2701" s="74">
        <f>0.005/2</f>
        <v>2.5000000000000001E-3</v>
      </c>
      <c r="X2701" s="50">
        <v>4.0000000000000001E-3</v>
      </c>
      <c r="Y2701" s="74">
        <f>0.002/2</f>
        <v>1E-3</v>
      </c>
      <c r="Z2701" s="165">
        <v>1</v>
      </c>
      <c r="AA2701" s="271">
        <v>1</v>
      </c>
      <c r="AB2701" s="114">
        <v>98</v>
      </c>
      <c r="AC2701" s="50">
        <v>487</v>
      </c>
      <c r="AD2701" s="271">
        <v>1</v>
      </c>
    </row>
    <row r="2702" spans="1:30" ht="15" customHeight="1">
      <c r="A2702" s="41" t="s">
        <v>183</v>
      </c>
      <c r="B2702" s="402" t="s">
        <v>4016</v>
      </c>
      <c r="C2702" s="113" t="s">
        <v>4017</v>
      </c>
      <c r="D2702" s="393" t="s">
        <v>559</v>
      </c>
      <c r="F2702" s="424" t="s">
        <v>4018</v>
      </c>
      <c r="G2702" s="405" t="s">
        <v>4019</v>
      </c>
      <c r="H2702" s="74">
        <v>3271</v>
      </c>
      <c r="I2702" s="50" t="s">
        <v>2</v>
      </c>
      <c r="J2702" s="339" t="s">
        <v>510</v>
      </c>
      <c r="K2702" s="51">
        <v>41264</v>
      </c>
      <c r="L2702" s="173">
        <v>41261</v>
      </c>
      <c r="M2702" s="50">
        <f t="shared" si="156"/>
        <v>3</v>
      </c>
      <c r="N2702" s="50" t="s">
        <v>2</v>
      </c>
      <c r="O2702" s="74">
        <v>1.4</v>
      </c>
      <c r="P2702" s="50">
        <v>6.5</v>
      </c>
      <c r="Q2702" s="74">
        <v>8.6999999999999993</v>
      </c>
      <c r="R2702" s="50">
        <v>21</v>
      </c>
      <c r="S2702" s="74">
        <v>40</v>
      </c>
      <c r="T2702" s="50">
        <v>0.09</v>
      </c>
      <c r="U2702" s="131">
        <v>0.49</v>
      </c>
      <c r="V2702" s="50">
        <v>0.15</v>
      </c>
      <c r="W2702" s="74">
        <v>7.0000000000000001E-3</v>
      </c>
      <c r="X2702" s="50">
        <v>2.1999999999999999E-2</v>
      </c>
      <c r="Y2702" s="74">
        <v>3.0000000000000001E-3</v>
      </c>
      <c r="Z2702" s="165"/>
    </row>
    <row r="2703" spans="1:30" ht="15" customHeight="1">
      <c r="A2703" s="41" t="s">
        <v>183</v>
      </c>
      <c r="B2703" s="402" t="s">
        <v>4016</v>
      </c>
      <c r="C2703" s="113" t="s">
        <v>4017</v>
      </c>
      <c r="D2703" s="393" t="s">
        <v>559</v>
      </c>
      <c r="F2703" s="424" t="s">
        <v>4018</v>
      </c>
      <c r="G2703" s="405" t="s">
        <v>4019</v>
      </c>
      <c r="H2703" s="74">
        <v>3271</v>
      </c>
      <c r="I2703" s="50" t="s">
        <v>2</v>
      </c>
      <c r="J2703" s="339" t="s">
        <v>460</v>
      </c>
      <c r="K2703" s="51">
        <v>41264</v>
      </c>
      <c r="L2703" s="173">
        <v>41261</v>
      </c>
      <c r="M2703" s="50">
        <f t="shared" si="156"/>
        <v>3</v>
      </c>
      <c r="N2703" s="50" t="s">
        <v>2</v>
      </c>
      <c r="O2703" s="74">
        <v>1.4</v>
      </c>
      <c r="P2703" s="50">
        <v>6.5</v>
      </c>
      <c r="Q2703" s="74">
        <v>8.44</v>
      </c>
      <c r="R2703" s="50">
        <v>17</v>
      </c>
      <c r="S2703" s="74">
        <v>110</v>
      </c>
      <c r="T2703" s="50">
        <v>0.11</v>
      </c>
      <c r="U2703" s="131">
        <v>0.49</v>
      </c>
      <c r="V2703" s="50">
        <v>0.03</v>
      </c>
      <c r="W2703" s="74">
        <v>1.0999999999999999E-2</v>
      </c>
      <c r="X2703" s="50">
        <v>0.03</v>
      </c>
      <c r="Y2703" s="74">
        <v>6.0000000000000001E-3</v>
      </c>
      <c r="Z2703" s="165"/>
    </row>
    <row r="2704" spans="1:30" ht="15" customHeight="1">
      <c r="A2704" s="41" t="s">
        <v>183</v>
      </c>
      <c r="B2704" s="402" t="s">
        <v>5257</v>
      </c>
      <c r="C2704" s="113" t="s">
        <v>5258</v>
      </c>
      <c r="D2704" s="393" t="s">
        <v>89</v>
      </c>
      <c r="E2704" s="394" t="s">
        <v>5259</v>
      </c>
      <c r="G2704" s="405" t="s">
        <v>5260</v>
      </c>
      <c r="H2704" s="74"/>
      <c r="J2704" s="339" t="s">
        <v>130</v>
      </c>
      <c r="K2704" s="51">
        <v>41170</v>
      </c>
      <c r="L2704" s="173">
        <v>41161</v>
      </c>
      <c r="M2704" s="50">
        <f t="shared" si="156"/>
        <v>9</v>
      </c>
      <c r="N2704" s="50" t="s">
        <v>2</v>
      </c>
      <c r="O2704" s="74">
        <f>1.4/2</f>
        <v>0.7</v>
      </c>
      <c r="P2704" s="50">
        <v>8.4700000000000006</v>
      </c>
      <c r="Q2704" s="74">
        <v>6.89</v>
      </c>
      <c r="R2704" s="50">
        <v>22</v>
      </c>
      <c r="S2704" s="74">
        <v>13</v>
      </c>
      <c r="T2704" s="50">
        <v>0.1</v>
      </c>
      <c r="U2704" s="131">
        <v>0.85</v>
      </c>
      <c r="V2704" s="50">
        <v>0.43</v>
      </c>
      <c r="W2704" s="74">
        <v>1.0999999999999999E-2</v>
      </c>
      <c r="X2704" s="50">
        <v>3.9E-2</v>
      </c>
      <c r="Y2704" s="74">
        <v>2E-3</v>
      </c>
      <c r="Z2704" s="165">
        <v>1</v>
      </c>
      <c r="AA2704" s="271">
        <v>1</v>
      </c>
      <c r="AB2704" s="114">
        <v>8</v>
      </c>
      <c r="AC2704" s="50">
        <v>37</v>
      </c>
      <c r="AD2704" s="271">
        <v>1</v>
      </c>
    </row>
    <row r="2705" spans="1:38" ht="15" customHeight="1">
      <c r="A2705" s="41" t="s">
        <v>183</v>
      </c>
      <c r="B2705" s="402" t="s">
        <v>5257</v>
      </c>
      <c r="C2705" s="113" t="s">
        <v>5258</v>
      </c>
      <c r="D2705" s="393" t="s">
        <v>89</v>
      </c>
      <c r="E2705" s="394" t="s">
        <v>5259</v>
      </c>
      <c r="G2705" s="405" t="s">
        <v>5260</v>
      </c>
      <c r="H2705" s="74"/>
      <c r="J2705" s="339" t="s">
        <v>456</v>
      </c>
      <c r="K2705" s="51">
        <v>41170</v>
      </c>
      <c r="L2705" s="173">
        <v>41161</v>
      </c>
      <c r="M2705" s="50">
        <f t="shared" si="156"/>
        <v>9</v>
      </c>
      <c r="N2705" s="50" t="s">
        <v>2</v>
      </c>
      <c r="O2705" s="74">
        <v>1.6</v>
      </c>
      <c r="P2705" s="50">
        <v>8.4700000000000006</v>
      </c>
      <c r="Q2705" s="74">
        <v>7.01</v>
      </c>
      <c r="R2705" s="50">
        <v>66</v>
      </c>
      <c r="S2705" s="74">
        <v>140</v>
      </c>
      <c r="T2705" s="50">
        <v>0.3</v>
      </c>
      <c r="U2705" s="131">
        <v>2.12</v>
      </c>
      <c r="V2705" s="50">
        <v>0.56000000000000005</v>
      </c>
      <c r="W2705" s="74">
        <v>2.1000000000000001E-2</v>
      </c>
      <c r="X2705" s="50">
        <v>6.0999999999999999E-2</v>
      </c>
      <c r="Y2705" s="74">
        <v>1.2E-2</v>
      </c>
      <c r="Z2705" s="165">
        <v>1</v>
      </c>
      <c r="AA2705" s="271">
        <v>1</v>
      </c>
      <c r="AB2705" s="114">
        <v>10</v>
      </c>
      <c r="AC2705" s="50">
        <v>31</v>
      </c>
      <c r="AD2705" s="271">
        <v>1</v>
      </c>
    </row>
    <row r="2706" spans="1:38" ht="15" customHeight="1">
      <c r="A2706" s="41" t="s">
        <v>183</v>
      </c>
      <c r="B2706" s="402" t="s">
        <v>5257</v>
      </c>
      <c r="C2706" s="113" t="s">
        <v>5258</v>
      </c>
      <c r="D2706" s="393" t="s">
        <v>89</v>
      </c>
      <c r="E2706" s="394" t="s">
        <v>5259</v>
      </c>
      <c r="G2706" s="405" t="s">
        <v>5260</v>
      </c>
      <c r="H2706" s="74"/>
      <c r="J2706" s="339" t="s">
        <v>5261</v>
      </c>
      <c r="K2706" s="51">
        <v>41170</v>
      </c>
      <c r="L2706" s="173">
        <v>41161</v>
      </c>
      <c r="M2706" s="50">
        <f t="shared" si="156"/>
        <v>9</v>
      </c>
      <c r="N2706" s="50" t="s">
        <v>2</v>
      </c>
      <c r="O2706" s="74">
        <f>1.5/2</f>
        <v>0.75</v>
      </c>
      <c r="P2706" s="50">
        <v>8.4700000000000006</v>
      </c>
      <c r="Q2706" s="74">
        <v>6.91</v>
      </c>
      <c r="R2706" s="50">
        <v>28</v>
      </c>
      <c r="S2706" s="74">
        <v>9</v>
      </c>
      <c r="T2706" s="50">
        <v>0.16</v>
      </c>
      <c r="U2706" s="131">
        <v>1.1100000000000001</v>
      </c>
      <c r="V2706" s="50">
        <v>1.48</v>
      </c>
      <c r="W2706" s="74">
        <v>1.4E-2</v>
      </c>
      <c r="X2706" s="50">
        <v>7.2999999999999995E-2</v>
      </c>
      <c r="Y2706" s="74">
        <v>3.0000000000000001E-3</v>
      </c>
      <c r="Z2706" s="165">
        <v>1</v>
      </c>
      <c r="AA2706" s="271">
        <v>1</v>
      </c>
      <c r="AB2706" s="114">
        <v>10</v>
      </c>
      <c r="AC2706" s="50">
        <v>44</v>
      </c>
      <c r="AD2706" s="271">
        <v>1</v>
      </c>
    </row>
    <row r="2707" spans="1:38" ht="15" customHeight="1">
      <c r="A2707" s="41" t="s">
        <v>183</v>
      </c>
      <c r="B2707" s="402" t="s">
        <v>5257</v>
      </c>
      <c r="C2707" s="113" t="s">
        <v>5258</v>
      </c>
      <c r="D2707" s="393" t="s">
        <v>89</v>
      </c>
      <c r="E2707" s="394" t="s">
        <v>5259</v>
      </c>
      <c r="G2707" s="405" t="s">
        <v>5260</v>
      </c>
      <c r="H2707" s="74"/>
      <c r="J2707" s="339" t="s">
        <v>1277</v>
      </c>
      <c r="K2707" s="51">
        <v>41170</v>
      </c>
      <c r="L2707" s="173">
        <v>41161</v>
      </c>
      <c r="M2707" s="50">
        <f t="shared" si="156"/>
        <v>9</v>
      </c>
      <c r="N2707" s="50" t="s">
        <v>2</v>
      </c>
      <c r="O2707" s="74">
        <f>1.4/2</f>
        <v>0.7</v>
      </c>
      <c r="P2707" s="50">
        <v>8.4700000000000006</v>
      </c>
      <c r="Q2707" s="74">
        <v>7.23</v>
      </c>
      <c r="R2707" s="50">
        <v>45</v>
      </c>
      <c r="S2707" s="74">
        <v>14</v>
      </c>
      <c r="T2707" s="50">
        <v>0.2</v>
      </c>
      <c r="U2707" s="131">
        <v>1.27</v>
      </c>
      <c r="V2707" s="50">
        <v>0.57999999999999996</v>
      </c>
      <c r="W2707" s="74">
        <v>0.02</v>
      </c>
      <c r="X2707" s="50">
        <v>0.1</v>
      </c>
      <c r="Y2707" s="74">
        <v>2E-3</v>
      </c>
      <c r="Z2707" s="165">
        <v>1</v>
      </c>
      <c r="AA2707" s="271">
        <v>1</v>
      </c>
      <c r="AB2707" s="114">
        <v>12</v>
      </c>
      <c r="AC2707" s="50">
        <v>65</v>
      </c>
      <c r="AD2707" s="271">
        <v>1</v>
      </c>
    </row>
    <row r="2708" spans="1:38" ht="15" customHeight="1">
      <c r="A2708" s="41" t="s">
        <v>183</v>
      </c>
      <c r="B2708" s="402" t="s">
        <v>3287</v>
      </c>
      <c r="D2708" s="393" t="s">
        <v>462</v>
      </c>
      <c r="E2708" s="394" t="s">
        <v>3288</v>
      </c>
      <c r="G2708" s="405" t="s">
        <v>3289</v>
      </c>
      <c r="H2708" s="74">
        <v>3471</v>
      </c>
      <c r="I2708" s="50" t="s">
        <v>2</v>
      </c>
      <c r="J2708" s="339" t="s">
        <v>255</v>
      </c>
      <c r="K2708" s="51">
        <v>41304</v>
      </c>
      <c r="L2708" s="173">
        <v>41302</v>
      </c>
      <c r="M2708" s="50">
        <f t="shared" si="156"/>
        <v>2</v>
      </c>
      <c r="N2708" s="50" t="s">
        <v>1</v>
      </c>
      <c r="O2708" s="74">
        <v>1.5</v>
      </c>
      <c r="P2708" s="50">
        <v>7</v>
      </c>
      <c r="Q2708" s="74">
        <v>6.9</v>
      </c>
      <c r="R2708" s="50">
        <v>41</v>
      </c>
      <c r="S2708" s="74">
        <v>7</v>
      </c>
      <c r="T2708" s="50">
        <v>6.2E-2</v>
      </c>
      <c r="U2708" s="131">
        <v>1</v>
      </c>
      <c r="V2708" s="50">
        <v>1.3</v>
      </c>
      <c r="W2708" s="74">
        <f>0.01/2</f>
        <v>5.0000000000000001E-3</v>
      </c>
      <c r="X2708" s="50">
        <v>2.7E-2</v>
      </c>
      <c r="Y2708" s="74">
        <f>0.005/2</f>
        <v>2.5000000000000001E-3</v>
      </c>
      <c r="Z2708" s="165"/>
    </row>
    <row r="2709" spans="1:38" ht="15" customHeight="1">
      <c r="A2709" s="41" t="s">
        <v>183</v>
      </c>
      <c r="B2709" s="402" t="s">
        <v>3287</v>
      </c>
      <c r="D2709" s="393" t="s">
        <v>462</v>
      </c>
      <c r="E2709" s="394" t="s">
        <v>3290</v>
      </c>
      <c r="G2709" s="405" t="s">
        <v>3291</v>
      </c>
      <c r="H2709" s="74">
        <v>3471</v>
      </c>
      <c r="I2709" s="50" t="s">
        <v>2</v>
      </c>
      <c r="J2709" s="339" t="s">
        <v>3187</v>
      </c>
      <c r="K2709" s="51">
        <v>41304</v>
      </c>
      <c r="L2709" s="173">
        <v>41302</v>
      </c>
      <c r="M2709" s="50">
        <f t="shared" si="156"/>
        <v>2</v>
      </c>
      <c r="N2709" s="50" t="s">
        <v>1</v>
      </c>
      <c r="O2709" s="74">
        <v>1.9</v>
      </c>
      <c r="Q2709" s="74">
        <v>6.5</v>
      </c>
      <c r="R2709" s="50">
        <v>44</v>
      </c>
      <c r="S2709" s="74">
        <f>5/2</f>
        <v>2.5</v>
      </c>
      <c r="T2709" s="50">
        <v>0.12</v>
      </c>
      <c r="U2709" s="131">
        <v>1.1000000000000001</v>
      </c>
      <c r="V2709" s="50">
        <v>0.78</v>
      </c>
      <c r="W2709" s="74">
        <v>0.01</v>
      </c>
      <c r="X2709" s="50">
        <v>0.12</v>
      </c>
      <c r="Y2709" s="74">
        <f>0.005/2</f>
        <v>2.5000000000000001E-3</v>
      </c>
      <c r="Z2709" s="165"/>
    </row>
    <row r="2710" spans="1:38" ht="15" customHeight="1">
      <c r="A2710" s="41" t="s">
        <v>183</v>
      </c>
      <c r="B2710" s="402" t="s">
        <v>3287</v>
      </c>
      <c r="D2710" s="393" t="s">
        <v>462</v>
      </c>
      <c r="E2710" s="394" t="s">
        <v>3290</v>
      </c>
      <c r="G2710" s="405" t="s">
        <v>3291</v>
      </c>
      <c r="H2710" s="74">
        <v>3471</v>
      </c>
      <c r="I2710" s="50" t="s">
        <v>2</v>
      </c>
      <c r="J2710" s="339" t="s">
        <v>3292</v>
      </c>
      <c r="K2710" s="51">
        <v>41304</v>
      </c>
      <c r="L2710" s="173">
        <v>41302</v>
      </c>
      <c r="M2710" s="50">
        <f t="shared" si="156"/>
        <v>2</v>
      </c>
      <c r="N2710" s="50" t="s">
        <v>1</v>
      </c>
      <c r="O2710" s="74">
        <v>1.8</v>
      </c>
      <c r="P2710" s="50">
        <v>7</v>
      </c>
      <c r="Q2710" s="74">
        <v>6.1</v>
      </c>
      <c r="R2710" s="50">
        <v>65</v>
      </c>
      <c r="S2710" s="74">
        <v>31</v>
      </c>
      <c r="T2710" s="50">
        <v>0.11</v>
      </c>
      <c r="U2710" s="131">
        <v>1.7</v>
      </c>
      <c r="V2710" s="50">
        <v>0.56999999999999995</v>
      </c>
      <c r="W2710" s="74">
        <f>0.01/2</f>
        <v>5.0000000000000001E-3</v>
      </c>
      <c r="X2710" s="50">
        <v>0.23</v>
      </c>
      <c r="Y2710" s="74">
        <f>0.005/2</f>
        <v>2.5000000000000001E-3</v>
      </c>
      <c r="Z2710" s="165"/>
    </row>
    <row r="2711" spans="1:38" ht="15" customHeight="1">
      <c r="A2711" s="41" t="s">
        <v>183</v>
      </c>
      <c r="B2711" s="402" t="s">
        <v>4977</v>
      </c>
      <c r="C2711" s="113" t="s">
        <v>4977</v>
      </c>
      <c r="D2711" s="393" t="s">
        <v>192</v>
      </c>
      <c r="E2711" s="394" t="s">
        <v>922</v>
      </c>
      <c r="G2711" s="405" t="s">
        <v>923</v>
      </c>
      <c r="H2711" s="74">
        <v>3728</v>
      </c>
      <c r="I2711" s="50" t="s">
        <v>1</v>
      </c>
      <c r="J2711" s="339" t="s">
        <v>2525</v>
      </c>
      <c r="K2711" s="51">
        <v>41170</v>
      </c>
      <c r="L2711" s="173">
        <v>41160</v>
      </c>
      <c r="M2711" s="50">
        <f t="shared" si="156"/>
        <v>10</v>
      </c>
      <c r="N2711" s="50" t="s">
        <v>2</v>
      </c>
      <c r="O2711" s="74">
        <f>1.4/2</f>
        <v>0.7</v>
      </c>
      <c r="P2711" s="50">
        <v>4.33</v>
      </c>
      <c r="Q2711" s="74">
        <v>7.06</v>
      </c>
      <c r="R2711" s="50">
        <v>58</v>
      </c>
      <c r="S2711" s="74">
        <v>25</v>
      </c>
      <c r="T2711" s="50">
        <v>0.24</v>
      </c>
      <c r="U2711" s="131">
        <v>2.06</v>
      </c>
      <c r="V2711" s="50">
        <v>0.75</v>
      </c>
      <c r="W2711" s="74">
        <v>8.0000000000000002E-3</v>
      </c>
      <c r="X2711" s="50">
        <v>2.7E-2</v>
      </c>
      <c r="Y2711" s="74">
        <v>2E-3</v>
      </c>
      <c r="Z2711" s="165">
        <v>1</v>
      </c>
      <c r="AA2711" s="271">
        <v>1</v>
      </c>
      <c r="AB2711" s="114">
        <v>22</v>
      </c>
      <c r="AC2711" s="50">
        <v>93</v>
      </c>
      <c r="AD2711" s="271">
        <v>1</v>
      </c>
      <c r="AK2711" s="114">
        <v>30</v>
      </c>
      <c r="AL2711" s="114">
        <f t="shared" ref="AL2711:AL2717" si="157">10/2</f>
        <v>5</v>
      </c>
    </row>
    <row r="2712" spans="1:38" ht="15" customHeight="1">
      <c r="A2712" s="41" t="s">
        <v>183</v>
      </c>
      <c r="B2712" s="402" t="s">
        <v>4977</v>
      </c>
      <c r="C2712" s="113" t="s">
        <v>4977</v>
      </c>
      <c r="D2712" s="393" t="s">
        <v>192</v>
      </c>
      <c r="E2712" s="394" t="s">
        <v>922</v>
      </c>
      <c r="G2712" s="405" t="s">
        <v>923</v>
      </c>
      <c r="H2712" s="74">
        <v>3728</v>
      </c>
      <c r="I2712" s="50" t="s">
        <v>1</v>
      </c>
      <c r="J2712" s="339" t="s">
        <v>425</v>
      </c>
      <c r="K2712" s="51">
        <v>41170</v>
      </c>
      <c r="L2712" s="173">
        <v>41160</v>
      </c>
      <c r="M2712" s="50">
        <f t="shared" si="156"/>
        <v>10</v>
      </c>
      <c r="N2712" s="50" t="s">
        <v>2</v>
      </c>
      <c r="O2712" s="74">
        <f>1.4/2</f>
        <v>0.7</v>
      </c>
      <c r="P2712" s="50">
        <v>4.33</v>
      </c>
      <c r="Q2712" s="74">
        <v>7.48</v>
      </c>
      <c r="R2712" s="50">
        <f>10/2</f>
        <v>5</v>
      </c>
      <c r="S2712" s="74">
        <f>5/2</f>
        <v>2.5</v>
      </c>
      <c r="T2712" s="50">
        <f>0.01/2</f>
        <v>5.0000000000000001E-3</v>
      </c>
      <c r="U2712" s="131">
        <v>0.56000000000000005</v>
      </c>
      <c r="V2712" s="50">
        <v>1.5</v>
      </c>
      <c r="W2712" s="74">
        <v>5.0999999999999997E-2</v>
      </c>
      <c r="X2712" s="50">
        <v>0.11799999999999999</v>
      </c>
      <c r="Y2712" s="74">
        <v>4.0000000000000001E-3</v>
      </c>
      <c r="Z2712" s="165">
        <v>0.33200000000000002</v>
      </c>
      <c r="AA2712" s="271">
        <v>0.22500000000000001</v>
      </c>
      <c r="AB2712" s="114">
        <v>24</v>
      </c>
      <c r="AC2712" s="50">
        <v>69</v>
      </c>
      <c r="AD2712" s="271">
        <v>0</v>
      </c>
      <c r="AK2712" s="114">
        <f t="shared" ref="AK2712:AK2717" si="158">10/2</f>
        <v>5</v>
      </c>
      <c r="AL2712" s="114">
        <f t="shared" si="157"/>
        <v>5</v>
      </c>
    </row>
    <row r="2713" spans="1:38" ht="15" customHeight="1">
      <c r="A2713" s="41" t="s">
        <v>183</v>
      </c>
      <c r="B2713" s="402" t="s">
        <v>4977</v>
      </c>
      <c r="C2713" s="113" t="s">
        <v>4977</v>
      </c>
      <c r="D2713" s="393" t="s">
        <v>192</v>
      </c>
      <c r="E2713" s="394" t="s">
        <v>922</v>
      </c>
      <c r="G2713" s="405" t="s">
        <v>923</v>
      </c>
      <c r="H2713" s="74">
        <v>3728</v>
      </c>
      <c r="I2713" s="50" t="s">
        <v>1</v>
      </c>
      <c r="J2713" s="339" t="s">
        <v>1341</v>
      </c>
      <c r="K2713" s="51">
        <v>41170</v>
      </c>
      <c r="L2713" s="173">
        <v>41160</v>
      </c>
      <c r="M2713" s="50">
        <f t="shared" si="156"/>
        <v>10</v>
      </c>
      <c r="N2713" s="50" t="s">
        <v>2</v>
      </c>
      <c r="O2713" s="74">
        <f>1.4/2</f>
        <v>0.7</v>
      </c>
      <c r="P2713" s="50">
        <v>4.33</v>
      </c>
      <c r="Q2713" s="74">
        <v>7.68</v>
      </c>
      <c r="R2713" s="50">
        <v>24</v>
      </c>
      <c r="S2713" s="74">
        <f>5/2</f>
        <v>2.5</v>
      </c>
      <c r="T2713" s="50">
        <v>0.11</v>
      </c>
      <c r="U2713" s="131">
        <v>2.8</v>
      </c>
      <c r="V2713" s="50">
        <v>1.73</v>
      </c>
      <c r="W2713" s="74">
        <v>8.0000000000000002E-3</v>
      </c>
      <c r="X2713" s="50">
        <v>0.13700000000000001</v>
      </c>
      <c r="Y2713" s="74">
        <v>6.0000000000000001E-3</v>
      </c>
      <c r="Z2713" s="165">
        <v>1</v>
      </c>
      <c r="AA2713" s="271">
        <v>1</v>
      </c>
      <c r="AB2713" s="114">
        <v>38</v>
      </c>
      <c r="AC2713" s="50">
        <v>136</v>
      </c>
      <c r="AD2713" s="271">
        <v>1</v>
      </c>
      <c r="AK2713" s="114">
        <f t="shared" si="158"/>
        <v>5</v>
      </c>
      <c r="AL2713" s="114">
        <f t="shared" si="157"/>
        <v>5</v>
      </c>
    </row>
    <row r="2714" spans="1:38" ht="15" customHeight="1">
      <c r="A2714" s="41" t="s">
        <v>183</v>
      </c>
      <c r="B2714" s="402" t="s">
        <v>4977</v>
      </c>
      <c r="C2714" s="113" t="s">
        <v>4977</v>
      </c>
      <c r="D2714" s="393" t="s">
        <v>192</v>
      </c>
      <c r="E2714" s="394" t="s">
        <v>922</v>
      </c>
      <c r="G2714" s="405" t="s">
        <v>923</v>
      </c>
      <c r="H2714" s="74">
        <v>3728</v>
      </c>
      <c r="I2714" s="50" t="s">
        <v>1</v>
      </c>
      <c r="J2714" s="339" t="s">
        <v>836</v>
      </c>
      <c r="K2714" s="51">
        <v>41170</v>
      </c>
      <c r="L2714" s="173">
        <v>41160</v>
      </c>
      <c r="M2714" s="50">
        <f t="shared" si="156"/>
        <v>10</v>
      </c>
      <c r="N2714" s="50" t="s">
        <v>2</v>
      </c>
      <c r="O2714" s="74">
        <f>1.6/2</f>
        <v>0.8</v>
      </c>
      <c r="P2714" s="50">
        <v>4.33</v>
      </c>
      <c r="Q2714" s="74">
        <v>6.96</v>
      </c>
      <c r="R2714" s="50">
        <v>83</v>
      </c>
      <c r="S2714" s="74">
        <v>15</v>
      </c>
      <c r="T2714" s="50">
        <v>0.05</v>
      </c>
      <c r="U2714" s="131">
        <v>2.4300000000000002</v>
      </c>
      <c r="V2714" s="50">
        <v>1.59</v>
      </c>
      <c r="W2714" s="74">
        <v>4.5999999999999999E-2</v>
      </c>
      <c r="X2714" s="50">
        <v>0.105</v>
      </c>
      <c r="Y2714" s="74">
        <v>6.0000000000000001E-3</v>
      </c>
      <c r="Z2714" s="165">
        <v>1</v>
      </c>
      <c r="AA2714" s="271">
        <v>1</v>
      </c>
      <c r="AB2714" s="114">
        <v>56</v>
      </c>
      <c r="AC2714" s="50">
        <v>144</v>
      </c>
      <c r="AD2714" s="271">
        <v>1</v>
      </c>
      <c r="AK2714" s="114">
        <f t="shared" si="158"/>
        <v>5</v>
      </c>
      <c r="AL2714" s="114">
        <f t="shared" si="157"/>
        <v>5</v>
      </c>
    </row>
    <row r="2715" spans="1:38" ht="15" customHeight="1">
      <c r="A2715" s="41" t="s">
        <v>183</v>
      </c>
      <c r="B2715" s="402" t="s">
        <v>4977</v>
      </c>
      <c r="C2715" s="113" t="s">
        <v>4977</v>
      </c>
      <c r="D2715" s="393" t="s">
        <v>192</v>
      </c>
      <c r="E2715" s="394" t="s">
        <v>922</v>
      </c>
      <c r="G2715" s="405" t="s">
        <v>923</v>
      </c>
      <c r="H2715" s="74">
        <v>3728</v>
      </c>
      <c r="I2715" s="50" t="s">
        <v>1</v>
      </c>
      <c r="J2715" s="339" t="s">
        <v>595</v>
      </c>
      <c r="K2715" s="51">
        <v>41170</v>
      </c>
      <c r="L2715" s="173">
        <v>41160</v>
      </c>
      <c r="M2715" s="50">
        <f t="shared" si="156"/>
        <v>10</v>
      </c>
      <c r="N2715" s="50" t="s">
        <v>2</v>
      </c>
      <c r="O2715" s="74">
        <v>2.9</v>
      </c>
      <c r="P2715" s="50">
        <v>4.33</v>
      </c>
      <c r="Q2715" s="74">
        <v>7.34</v>
      </c>
      <c r="R2715" s="50">
        <v>120</v>
      </c>
      <c r="S2715" s="74">
        <v>41</v>
      </c>
      <c r="T2715" s="50">
        <v>0.1</v>
      </c>
      <c r="U2715" s="131">
        <v>3.52</v>
      </c>
      <c r="V2715" s="50">
        <v>2.82</v>
      </c>
      <c r="W2715" s="74">
        <v>0.03</v>
      </c>
      <c r="X2715" s="50">
        <v>0.16200000000000001</v>
      </c>
      <c r="Y2715" s="74">
        <v>2.1000000000000001E-2</v>
      </c>
      <c r="Z2715" s="165">
        <v>1</v>
      </c>
      <c r="AA2715" s="271">
        <v>1</v>
      </c>
      <c r="AB2715" s="114">
        <v>62</v>
      </c>
      <c r="AC2715" s="50">
        <v>355</v>
      </c>
      <c r="AD2715" s="271">
        <v>1</v>
      </c>
      <c r="AK2715" s="114">
        <f t="shared" si="158"/>
        <v>5</v>
      </c>
      <c r="AL2715" s="114">
        <f t="shared" si="157"/>
        <v>5</v>
      </c>
    </row>
    <row r="2716" spans="1:38" ht="15" customHeight="1">
      <c r="A2716" s="41" t="s">
        <v>183</v>
      </c>
      <c r="B2716" s="402" t="s">
        <v>4977</v>
      </c>
      <c r="C2716" s="113" t="s">
        <v>4977</v>
      </c>
      <c r="D2716" s="393" t="s">
        <v>192</v>
      </c>
      <c r="E2716" s="394" t="s">
        <v>922</v>
      </c>
      <c r="G2716" s="405" t="s">
        <v>923</v>
      </c>
      <c r="H2716" s="74">
        <v>3728</v>
      </c>
      <c r="I2716" s="50" t="s">
        <v>1</v>
      </c>
      <c r="J2716" s="339" t="s">
        <v>117</v>
      </c>
      <c r="K2716" s="51">
        <v>41170</v>
      </c>
      <c r="L2716" s="173">
        <v>41160</v>
      </c>
      <c r="M2716" s="50">
        <f t="shared" si="156"/>
        <v>10</v>
      </c>
      <c r="N2716" s="50" t="s">
        <v>2</v>
      </c>
      <c r="O2716" s="74">
        <f>1.5/2</f>
        <v>0.75</v>
      </c>
      <c r="P2716" s="50">
        <v>4.33</v>
      </c>
      <c r="Q2716" s="74">
        <v>6.7</v>
      </c>
      <c r="R2716" s="50">
        <v>53</v>
      </c>
      <c r="S2716" s="74">
        <v>7</v>
      </c>
      <c r="T2716" s="50">
        <v>0.1</v>
      </c>
      <c r="U2716" s="131">
        <v>2.31</v>
      </c>
      <c r="V2716" s="50">
        <v>1</v>
      </c>
      <c r="W2716" s="74">
        <v>1.4E-2</v>
      </c>
      <c r="X2716" s="50">
        <v>3.9E-2</v>
      </c>
      <c r="Y2716" s="74">
        <f>0.002/2</f>
        <v>1E-3</v>
      </c>
      <c r="Z2716" s="165">
        <v>1</v>
      </c>
      <c r="AA2716" s="271">
        <v>1</v>
      </c>
      <c r="AB2716" s="114">
        <v>10</v>
      </c>
      <c r="AC2716" s="50">
        <v>65</v>
      </c>
      <c r="AD2716" s="271">
        <v>1</v>
      </c>
      <c r="AK2716" s="114">
        <f t="shared" si="158"/>
        <v>5</v>
      </c>
      <c r="AL2716" s="114">
        <f t="shared" si="157"/>
        <v>5</v>
      </c>
    </row>
    <row r="2717" spans="1:38" ht="15" customHeight="1">
      <c r="A2717" s="41" t="s">
        <v>183</v>
      </c>
      <c r="B2717" s="402" t="s">
        <v>4977</v>
      </c>
      <c r="C2717" s="113" t="s">
        <v>4977</v>
      </c>
      <c r="D2717" s="393" t="s">
        <v>192</v>
      </c>
      <c r="E2717" s="394" t="s">
        <v>922</v>
      </c>
      <c r="G2717" s="405" t="s">
        <v>923</v>
      </c>
      <c r="H2717" s="74">
        <v>3728</v>
      </c>
      <c r="I2717" s="50" t="s">
        <v>1</v>
      </c>
      <c r="J2717" s="339" t="s">
        <v>2372</v>
      </c>
      <c r="K2717" s="51">
        <v>41170</v>
      </c>
      <c r="L2717" s="173">
        <v>41160</v>
      </c>
      <c r="M2717" s="50">
        <f t="shared" si="156"/>
        <v>10</v>
      </c>
      <c r="N2717" s="50" t="s">
        <v>2</v>
      </c>
      <c r="O2717" s="74">
        <f>1.4/2</f>
        <v>0.7</v>
      </c>
      <c r="P2717" s="50">
        <v>4.33</v>
      </c>
      <c r="Q2717" s="74">
        <v>6.83</v>
      </c>
      <c r="R2717" s="50">
        <v>68</v>
      </c>
      <c r="S2717" s="74">
        <f>5/2</f>
        <v>2.5</v>
      </c>
      <c r="T2717" s="50">
        <v>0.05</v>
      </c>
      <c r="U2717" s="131">
        <v>2.57</v>
      </c>
      <c r="V2717" s="50">
        <v>1.1399999999999999</v>
      </c>
      <c r="W2717" s="74">
        <v>1.7000000000000001E-2</v>
      </c>
      <c r="X2717" s="50">
        <v>0.121</v>
      </c>
      <c r="Y2717" s="74">
        <f>0.002/2</f>
        <v>1E-3</v>
      </c>
      <c r="Z2717" s="165">
        <v>1</v>
      </c>
      <c r="AA2717" s="271">
        <v>1</v>
      </c>
      <c r="AB2717" s="114">
        <v>20</v>
      </c>
      <c r="AC2717" s="50">
        <v>104</v>
      </c>
      <c r="AD2717" s="271">
        <v>1</v>
      </c>
      <c r="AK2717" s="114">
        <f t="shared" si="158"/>
        <v>5</v>
      </c>
      <c r="AL2717" s="114">
        <f t="shared" si="157"/>
        <v>5</v>
      </c>
    </row>
    <row r="2718" spans="1:38" ht="15" customHeight="1">
      <c r="A2718" s="41" t="s">
        <v>183</v>
      </c>
      <c r="B2718" s="402" t="s">
        <v>3198</v>
      </c>
      <c r="C2718" s="113" t="s">
        <v>3204</v>
      </c>
      <c r="D2718" s="393" t="s">
        <v>499</v>
      </c>
      <c r="E2718" s="394" t="s">
        <v>3205</v>
      </c>
      <c r="G2718" s="405" t="s">
        <v>3206</v>
      </c>
      <c r="H2718" s="74">
        <v>4151</v>
      </c>
      <c r="I2718" s="50" t="s">
        <v>2</v>
      </c>
      <c r="J2718" s="339" t="s">
        <v>3144</v>
      </c>
      <c r="K2718" s="51">
        <v>41689</v>
      </c>
      <c r="L2718" s="173">
        <v>41683</v>
      </c>
      <c r="M2718" s="50">
        <f t="shared" si="156"/>
        <v>6</v>
      </c>
      <c r="N2718" s="50" t="s">
        <v>2</v>
      </c>
      <c r="O2718" s="74">
        <v>2.4</v>
      </c>
      <c r="S2718" s="74">
        <v>1</v>
      </c>
      <c r="T2718" s="50">
        <v>0.43</v>
      </c>
      <c r="X2718" s="50">
        <v>0.19</v>
      </c>
      <c r="Z2718" s="165"/>
    </row>
    <row r="2719" spans="1:38" ht="15" customHeight="1">
      <c r="A2719" s="41" t="s">
        <v>183</v>
      </c>
      <c r="B2719" s="386" t="s">
        <v>956</v>
      </c>
      <c r="C2719" s="149" t="s">
        <v>4034</v>
      </c>
      <c r="D2719" s="392" t="s">
        <v>372</v>
      </c>
      <c r="E2719" s="258" t="s">
        <v>235</v>
      </c>
      <c r="F2719" s="386"/>
      <c r="G2719" s="389" t="s">
        <v>373</v>
      </c>
      <c r="H2719" s="55">
        <v>4151</v>
      </c>
      <c r="I2719" s="54" t="s">
        <v>2</v>
      </c>
      <c r="J2719" s="48" t="s">
        <v>1125</v>
      </c>
      <c r="K2719" s="51">
        <v>41744</v>
      </c>
      <c r="L2719" s="173">
        <v>41737</v>
      </c>
      <c r="M2719" s="50">
        <f t="shared" si="156"/>
        <v>7</v>
      </c>
      <c r="N2719" s="50" t="s">
        <v>2</v>
      </c>
      <c r="X2719" s="50">
        <v>0.04</v>
      </c>
      <c r="Z2719" s="165"/>
    </row>
    <row r="2720" spans="1:38" ht="15" customHeight="1">
      <c r="A2720" s="41" t="s">
        <v>183</v>
      </c>
      <c r="B2720" s="402" t="s">
        <v>956</v>
      </c>
      <c r="C2720" s="113" t="s">
        <v>4231</v>
      </c>
      <c r="D2720" s="393" t="s">
        <v>1830</v>
      </c>
      <c r="E2720" s="394" t="s">
        <v>3271</v>
      </c>
      <c r="G2720" s="405" t="s">
        <v>3272</v>
      </c>
      <c r="H2720" s="74">
        <v>4151</v>
      </c>
      <c r="I2720" s="50" t="s">
        <v>2</v>
      </c>
      <c r="J2720" s="339" t="s">
        <v>81</v>
      </c>
      <c r="K2720" s="51">
        <v>41710</v>
      </c>
      <c r="L2720" s="173">
        <v>41691</v>
      </c>
      <c r="M2720" s="50">
        <f t="shared" si="156"/>
        <v>19</v>
      </c>
      <c r="N2720" s="50" t="s">
        <v>2</v>
      </c>
      <c r="O2720" s="74">
        <v>2.4</v>
      </c>
      <c r="Q2720" s="74">
        <v>6.65</v>
      </c>
      <c r="R2720" s="50">
        <v>38.799999999999997</v>
      </c>
      <c r="S2720" s="74">
        <v>69</v>
      </c>
      <c r="T2720" s="50">
        <v>0.18</v>
      </c>
      <c r="U2720" s="131">
        <v>1.1200000000000001</v>
      </c>
      <c r="V2720" s="50">
        <v>0.69</v>
      </c>
      <c r="W2720" s="74">
        <f>0.01/2</f>
        <v>5.0000000000000001E-3</v>
      </c>
      <c r="X2720" s="50">
        <v>15.5</v>
      </c>
      <c r="Y2720" s="74">
        <f>0.02/2</f>
        <v>0.01</v>
      </c>
      <c r="Z2720" s="165"/>
    </row>
    <row r="2721" spans="1:50" ht="15" customHeight="1">
      <c r="A2721" s="41" t="s">
        <v>183</v>
      </c>
      <c r="B2721" s="402" t="s">
        <v>2194</v>
      </c>
      <c r="D2721" s="393" t="s">
        <v>443</v>
      </c>
      <c r="E2721" s="394" t="s">
        <v>390</v>
      </c>
      <c r="G2721" s="405" t="s">
        <v>1804</v>
      </c>
      <c r="H2721" s="113" t="s">
        <v>2195</v>
      </c>
      <c r="I2721" s="49" t="s">
        <v>2</v>
      </c>
      <c r="J2721" s="48" t="s">
        <v>1125</v>
      </c>
      <c r="K2721" s="51">
        <v>41631</v>
      </c>
      <c r="L2721" s="173"/>
      <c r="N2721" s="50" t="s">
        <v>1</v>
      </c>
      <c r="O2721" s="74">
        <f>5/2</f>
        <v>2.5</v>
      </c>
      <c r="P2721" s="50">
        <v>7.22</v>
      </c>
      <c r="R2721" s="50">
        <v>24</v>
      </c>
      <c r="X2721" s="50">
        <v>0.74</v>
      </c>
      <c r="Z2721" s="165"/>
    </row>
    <row r="2722" spans="1:50" ht="15" customHeight="1">
      <c r="A2722" s="41" t="s">
        <v>183</v>
      </c>
      <c r="B2722" s="402" t="s">
        <v>2194</v>
      </c>
      <c r="D2722" s="393" t="s">
        <v>443</v>
      </c>
      <c r="E2722" s="394" t="s">
        <v>390</v>
      </c>
      <c r="G2722" s="405" t="s">
        <v>1804</v>
      </c>
      <c r="H2722" s="113" t="s">
        <v>2195</v>
      </c>
      <c r="I2722" s="49" t="s">
        <v>2</v>
      </c>
      <c r="J2722" s="48" t="s">
        <v>1126</v>
      </c>
      <c r="K2722" s="51">
        <v>41631</v>
      </c>
      <c r="L2722" s="173"/>
      <c r="N2722" s="50" t="s">
        <v>1</v>
      </c>
      <c r="P2722" s="50">
        <v>7.22</v>
      </c>
      <c r="R2722" s="50">
        <v>67</v>
      </c>
      <c r="X2722" s="50">
        <v>0.11</v>
      </c>
      <c r="Z2722" s="165"/>
    </row>
    <row r="2723" spans="1:50" ht="15" customHeight="1">
      <c r="A2723" s="41" t="s">
        <v>183</v>
      </c>
      <c r="B2723" s="402" t="s">
        <v>5475</v>
      </c>
      <c r="D2723" s="393" t="s">
        <v>443</v>
      </c>
      <c r="E2723" s="394" t="s">
        <v>390</v>
      </c>
      <c r="G2723" s="405" t="s">
        <v>1804</v>
      </c>
      <c r="H2723" s="74" t="s">
        <v>2195</v>
      </c>
      <c r="I2723" s="50" t="s">
        <v>2</v>
      </c>
      <c r="J2723" s="339" t="s">
        <v>1952</v>
      </c>
      <c r="K2723" s="51">
        <v>41631</v>
      </c>
      <c r="L2723" s="173"/>
      <c r="N2723" s="50" t="s">
        <v>1</v>
      </c>
      <c r="O2723" s="74">
        <f>5/2</f>
        <v>2.5</v>
      </c>
      <c r="P2723" s="50">
        <v>7.22</v>
      </c>
      <c r="Q2723" s="74">
        <v>7.45</v>
      </c>
      <c r="R2723" s="50">
        <v>28</v>
      </c>
      <c r="S2723" s="74">
        <v>24</v>
      </c>
      <c r="T2723" s="50">
        <f>0.1/2</f>
        <v>0.05</v>
      </c>
      <c r="U2723" s="131">
        <f>1/2</f>
        <v>0.5</v>
      </c>
      <c r="V2723" s="50">
        <v>0.22</v>
      </c>
      <c r="W2723" s="74">
        <f>0.04/2</f>
        <v>0.02</v>
      </c>
      <c r="X2723" s="50">
        <v>7.8E-2</v>
      </c>
      <c r="Y2723" s="74">
        <f>0.013/2</f>
        <v>6.4999999999999997E-3</v>
      </c>
      <c r="Z2723" s="165"/>
    </row>
    <row r="2724" spans="1:50" ht="15" customHeight="1">
      <c r="A2724" s="41" t="s">
        <v>183</v>
      </c>
      <c r="B2724" s="402" t="s">
        <v>1974</v>
      </c>
      <c r="C2724" s="113" t="s">
        <v>2067</v>
      </c>
      <c r="D2724" s="393" t="s">
        <v>434</v>
      </c>
      <c r="E2724" s="394" t="s">
        <v>2068</v>
      </c>
      <c r="G2724" s="405" t="s">
        <v>1653</v>
      </c>
      <c r="H2724" s="113">
        <v>3721</v>
      </c>
      <c r="I2724" s="50" t="s">
        <v>1</v>
      </c>
      <c r="J2724" s="48" t="s">
        <v>1654</v>
      </c>
      <c r="K2724" s="51">
        <v>41710</v>
      </c>
      <c r="L2724" s="173">
        <v>41691</v>
      </c>
      <c r="M2724" s="50">
        <f t="shared" ref="M2724:M2740" si="159">K2724-L2724</f>
        <v>19</v>
      </c>
      <c r="N2724" s="50" t="s">
        <v>2</v>
      </c>
      <c r="R2724" s="50">
        <v>20</v>
      </c>
      <c r="V2724" s="50">
        <v>3.3</v>
      </c>
      <c r="X2724" s="50">
        <v>0.12</v>
      </c>
      <c r="Z2724" s="165"/>
      <c r="AX2724" s="5">
        <f>0.1/2</f>
        <v>0.05</v>
      </c>
    </row>
    <row r="2725" spans="1:50" ht="15" customHeight="1">
      <c r="A2725" s="41" t="s">
        <v>183</v>
      </c>
      <c r="B2725" s="402" t="s">
        <v>1974</v>
      </c>
      <c r="C2725" s="113" t="s">
        <v>2067</v>
      </c>
      <c r="D2725" s="393" t="s">
        <v>434</v>
      </c>
      <c r="E2725" s="394" t="s">
        <v>2068</v>
      </c>
      <c r="G2725" s="405" t="s">
        <v>1653</v>
      </c>
      <c r="H2725" s="113">
        <v>3721</v>
      </c>
      <c r="I2725" s="50" t="s">
        <v>1</v>
      </c>
      <c r="J2725" s="48" t="s">
        <v>2069</v>
      </c>
      <c r="K2725" s="51">
        <v>41710</v>
      </c>
      <c r="L2725" s="173">
        <v>41691</v>
      </c>
      <c r="M2725" s="50">
        <f t="shared" si="159"/>
        <v>19</v>
      </c>
      <c r="N2725" s="50" t="s">
        <v>2</v>
      </c>
      <c r="R2725" s="50">
        <v>99</v>
      </c>
      <c r="S2725" s="74">
        <v>53</v>
      </c>
      <c r="T2725" s="50">
        <v>0.11</v>
      </c>
      <c r="U2725" s="131">
        <v>3.8</v>
      </c>
      <c r="W2725" s="74">
        <f>0.04/2</f>
        <v>0.02</v>
      </c>
      <c r="X2725" s="50">
        <v>0.34</v>
      </c>
      <c r="Z2725" s="165"/>
    </row>
    <row r="2726" spans="1:50" ht="15" customHeight="1">
      <c r="A2726" s="41" t="s">
        <v>183</v>
      </c>
      <c r="B2726" s="402" t="s">
        <v>1974</v>
      </c>
      <c r="C2726" s="113" t="s">
        <v>2067</v>
      </c>
      <c r="D2726" s="393" t="s">
        <v>434</v>
      </c>
      <c r="E2726" s="394" t="s">
        <v>2068</v>
      </c>
      <c r="G2726" s="405" t="s">
        <v>1653</v>
      </c>
      <c r="H2726" s="113">
        <v>3721</v>
      </c>
      <c r="I2726" s="50" t="s">
        <v>1</v>
      </c>
      <c r="J2726" s="48" t="s">
        <v>1656</v>
      </c>
      <c r="K2726" s="51">
        <v>41710</v>
      </c>
      <c r="L2726" s="173">
        <v>41691</v>
      </c>
      <c r="M2726" s="50">
        <f t="shared" si="159"/>
        <v>19</v>
      </c>
      <c r="N2726" s="50" t="s">
        <v>2</v>
      </c>
      <c r="O2726" s="74">
        <f>1/2</f>
        <v>0.5</v>
      </c>
      <c r="R2726" s="50">
        <v>34</v>
      </c>
      <c r="S2726" s="74">
        <v>6</v>
      </c>
      <c r="T2726" s="50">
        <f>0.1/2</f>
        <v>0.05</v>
      </c>
      <c r="U2726" s="131">
        <v>21</v>
      </c>
      <c r="W2726" s="74">
        <f>0.04/2</f>
        <v>0.02</v>
      </c>
      <c r="X2726" s="50">
        <v>0.41</v>
      </c>
      <c r="Y2726" s="74">
        <f>0.013/2</f>
        <v>6.4999999999999997E-3</v>
      </c>
      <c r="Z2726" s="165"/>
    </row>
    <row r="2727" spans="1:50" ht="15" customHeight="1">
      <c r="A2727" s="41" t="s">
        <v>183</v>
      </c>
      <c r="B2727" s="402" t="s">
        <v>1974</v>
      </c>
      <c r="C2727" s="113" t="s">
        <v>2067</v>
      </c>
      <c r="D2727" s="393" t="s">
        <v>434</v>
      </c>
      <c r="E2727" s="394" t="s">
        <v>2068</v>
      </c>
      <c r="G2727" s="405" t="s">
        <v>1653</v>
      </c>
      <c r="H2727" s="113">
        <v>3721</v>
      </c>
      <c r="I2727" s="50" t="s">
        <v>1</v>
      </c>
      <c r="J2727" s="48" t="s">
        <v>1657</v>
      </c>
      <c r="K2727" s="51">
        <v>41710</v>
      </c>
      <c r="L2727" s="173">
        <v>41691</v>
      </c>
      <c r="M2727" s="50">
        <f t="shared" si="159"/>
        <v>19</v>
      </c>
      <c r="N2727" s="50" t="s">
        <v>2</v>
      </c>
      <c r="R2727" s="50">
        <v>75</v>
      </c>
      <c r="S2727" s="74">
        <v>1100</v>
      </c>
      <c r="V2727" s="50">
        <v>2.6</v>
      </c>
      <c r="X2727" s="50">
        <v>0.92</v>
      </c>
      <c r="Z2727" s="165"/>
    </row>
    <row r="2728" spans="1:50" ht="15" customHeight="1">
      <c r="A2728" s="41" t="s">
        <v>183</v>
      </c>
      <c r="B2728" s="402" t="s">
        <v>1974</v>
      </c>
      <c r="C2728" s="113" t="s">
        <v>2067</v>
      </c>
      <c r="D2728" s="393" t="s">
        <v>434</v>
      </c>
      <c r="E2728" s="394" t="s">
        <v>2068</v>
      </c>
      <c r="G2728" s="405" t="s">
        <v>1653</v>
      </c>
      <c r="H2728" s="113">
        <v>3721</v>
      </c>
      <c r="I2728" s="50" t="s">
        <v>1</v>
      </c>
      <c r="J2728" s="48" t="s">
        <v>1658</v>
      </c>
      <c r="K2728" s="51">
        <v>41710</v>
      </c>
      <c r="L2728" s="173">
        <v>41691</v>
      </c>
      <c r="M2728" s="50">
        <f t="shared" si="159"/>
        <v>19</v>
      </c>
      <c r="N2728" s="50" t="s">
        <v>2</v>
      </c>
      <c r="R2728" s="50">
        <v>47</v>
      </c>
      <c r="S2728" s="74">
        <v>38</v>
      </c>
      <c r="V2728" s="50">
        <v>0.18</v>
      </c>
      <c r="W2728" s="74">
        <v>0.02</v>
      </c>
      <c r="X2728" s="50">
        <v>5.2999999999999999E-2</v>
      </c>
      <c r="Y2728" s="74">
        <f>0.013/2</f>
        <v>6.4999999999999997E-3</v>
      </c>
      <c r="Z2728" s="165"/>
    </row>
    <row r="2729" spans="1:50" ht="15" customHeight="1">
      <c r="A2729" s="41" t="s">
        <v>183</v>
      </c>
      <c r="B2729" s="402" t="s">
        <v>1974</v>
      </c>
      <c r="C2729" s="113" t="s">
        <v>2067</v>
      </c>
      <c r="D2729" s="393" t="s">
        <v>434</v>
      </c>
      <c r="E2729" s="394" t="s">
        <v>2068</v>
      </c>
      <c r="G2729" s="405" t="s">
        <v>1653</v>
      </c>
      <c r="H2729" s="113">
        <v>3721</v>
      </c>
      <c r="I2729" s="50" t="s">
        <v>1</v>
      </c>
      <c r="J2729" s="48" t="s">
        <v>1659</v>
      </c>
      <c r="K2729" s="51">
        <v>41710</v>
      </c>
      <c r="L2729" s="173">
        <v>41691</v>
      </c>
      <c r="M2729" s="50">
        <f t="shared" si="159"/>
        <v>19</v>
      </c>
      <c r="N2729" s="50" t="s">
        <v>2</v>
      </c>
      <c r="O2729" s="74">
        <f>1/2</f>
        <v>0.5</v>
      </c>
      <c r="R2729" s="50">
        <v>170</v>
      </c>
      <c r="S2729" s="74">
        <v>800</v>
      </c>
      <c r="T2729" s="50">
        <v>0.39</v>
      </c>
      <c r="V2729" s="50">
        <v>0.47</v>
      </c>
      <c r="W2729" s="74">
        <v>0.28000000000000003</v>
      </c>
      <c r="X2729" s="50">
        <v>0.87</v>
      </c>
      <c r="Y2729" s="74">
        <v>8.6999999999999994E-2</v>
      </c>
      <c r="Z2729" s="165"/>
    </row>
    <row r="2730" spans="1:50" ht="15" customHeight="1">
      <c r="A2730" s="41" t="s">
        <v>183</v>
      </c>
      <c r="B2730" s="402" t="s">
        <v>1974</v>
      </c>
      <c r="C2730" s="113" t="s">
        <v>2067</v>
      </c>
      <c r="D2730" s="393" t="s">
        <v>434</v>
      </c>
      <c r="E2730" s="394" t="s">
        <v>2068</v>
      </c>
      <c r="G2730" s="405" t="s">
        <v>1653</v>
      </c>
      <c r="H2730" s="113">
        <v>3721</v>
      </c>
      <c r="I2730" s="50" t="s">
        <v>1</v>
      </c>
      <c r="J2730" s="48" t="s">
        <v>1660</v>
      </c>
      <c r="K2730" s="51">
        <v>41710</v>
      </c>
      <c r="L2730" s="173">
        <v>41691</v>
      </c>
      <c r="M2730" s="50">
        <f t="shared" si="159"/>
        <v>19</v>
      </c>
      <c r="N2730" s="50" t="s">
        <v>2</v>
      </c>
      <c r="R2730" s="50">
        <v>100</v>
      </c>
      <c r="S2730" s="74">
        <v>140</v>
      </c>
      <c r="X2730" s="50">
        <v>1.7</v>
      </c>
      <c r="Z2730" s="165"/>
    </row>
    <row r="2731" spans="1:50" ht="15" customHeight="1">
      <c r="A2731" s="41" t="s">
        <v>183</v>
      </c>
      <c r="B2731" s="402" t="s">
        <v>1974</v>
      </c>
      <c r="C2731" s="113" t="s">
        <v>2067</v>
      </c>
      <c r="D2731" s="393" t="s">
        <v>434</v>
      </c>
      <c r="E2731" s="394" t="s">
        <v>2068</v>
      </c>
      <c r="G2731" s="405" t="s">
        <v>1653</v>
      </c>
      <c r="H2731" s="113">
        <v>3721</v>
      </c>
      <c r="I2731" s="50" t="s">
        <v>1</v>
      </c>
      <c r="J2731" s="48" t="s">
        <v>1661</v>
      </c>
      <c r="K2731" s="51">
        <v>41710</v>
      </c>
      <c r="L2731" s="173">
        <v>41691</v>
      </c>
      <c r="M2731" s="50">
        <f t="shared" si="159"/>
        <v>19</v>
      </c>
      <c r="N2731" s="50" t="s">
        <v>2</v>
      </c>
      <c r="S2731" s="74">
        <v>31</v>
      </c>
      <c r="Z2731" s="165"/>
    </row>
    <row r="2732" spans="1:50" ht="15" customHeight="1">
      <c r="A2732" s="41" t="s">
        <v>183</v>
      </c>
      <c r="B2732" s="402" t="s">
        <v>1974</v>
      </c>
      <c r="C2732" s="113" t="s">
        <v>2067</v>
      </c>
      <c r="D2732" s="393" t="s">
        <v>434</v>
      </c>
      <c r="E2732" s="394" t="s">
        <v>2068</v>
      </c>
      <c r="G2732" s="405" t="s">
        <v>1653</v>
      </c>
      <c r="H2732" s="113">
        <v>3721</v>
      </c>
      <c r="I2732" s="50" t="s">
        <v>1</v>
      </c>
      <c r="J2732" s="48" t="s">
        <v>1662</v>
      </c>
      <c r="K2732" s="51">
        <v>41710</v>
      </c>
      <c r="L2732" s="173">
        <v>41691</v>
      </c>
      <c r="M2732" s="50">
        <f t="shared" si="159"/>
        <v>19</v>
      </c>
      <c r="N2732" s="50" t="s">
        <v>2</v>
      </c>
      <c r="O2732" s="74">
        <f>1/2</f>
        <v>0.5</v>
      </c>
      <c r="R2732" s="50">
        <v>290</v>
      </c>
      <c r="S2732" s="74">
        <v>43</v>
      </c>
      <c r="T2732" s="50">
        <v>0.17</v>
      </c>
      <c r="U2732" s="131">
        <v>540</v>
      </c>
      <c r="X2732" s="50">
        <v>0.28999999999999998</v>
      </c>
      <c r="Z2732" s="165"/>
    </row>
    <row r="2733" spans="1:50" ht="15" customHeight="1">
      <c r="A2733" s="41" t="s">
        <v>183</v>
      </c>
      <c r="B2733" s="402" t="s">
        <v>1974</v>
      </c>
      <c r="C2733" s="113" t="s">
        <v>2067</v>
      </c>
      <c r="D2733" s="393" t="s">
        <v>434</v>
      </c>
      <c r="E2733" s="394" t="s">
        <v>2068</v>
      </c>
      <c r="G2733" s="405" t="s">
        <v>1653</v>
      </c>
      <c r="H2733" s="113">
        <v>3721</v>
      </c>
      <c r="I2733" s="50" t="s">
        <v>1</v>
      </c>
      <c r="J2733" s="48" t="s">
        <v>1663</v>
      </c>
      <c r="K2733" s="51">
        <v>41710</v>
      </c>
      <c r="L2733" s="173">
        <v>41691</v>
      </c>
      <c r="M2733" s="50">
        <f t="shared" si="159"/>
        <v>19</v>
      </c>
      <c r="N2733" s="50" t="s">
        <v>2</v>
      </c>
      <c r="R2733" s="50">
        <v>900</v>
      </c>
      <c r="S2733" s="74">
        <v>720</v>
      </c>
      <c r="T2733" s="50">
        <v>2.1</v>
      </c>
      <c r="U2733" s="131">
        <v>9.9</v>
      </c>
      <c r="W2733" s="74">
        <v>1.7000000000000001E-2</v>
      </c>
      <c r="X2733" s="50">
        <v>1.9</v>
      </c>
      <c r="Y2733" s="74">
        <v>0.14000000000000001</v>
      </c>
      <c r="Z2733" s="165"/>
    </row>
    <row r="2734" spans="1:50" ht="15" customHeight="1">
      <c r="A2734" s="41" t="s">
        <v>183</v>
      </c>
      <c r="B2734" s="402" t="s">
        <v>1974</v>
      </c>
      <c r="C2734" s="113" t="s">
        <v>2067</v>
      </c>
      <c r="D2734" s="393" t="s">
        <v>434</v>
      </c>
      <c r="E2734" s="394" t="s">
        <v>2068</v>
      </c>
      <c r="G2734" s="405" t="s">
        <v>1653</v>
      </c>
      <c r="H2734" s="113">
        <v>3721</v>
      </c>
      <c r="I2734" s="50" t="s">
        <v>1</v>
      </c>
      <c r="J2734" s="48" t="s">
        <v>1664</v>
      </c>
      <c r="K2734" s="51">
        <v>41710</v>
      </c>
      <c r="L2734" s="173">
        <v>41691</v>
      </c>
      <c r="M2734" s="50">
        <f t="shared" si="159"/>
        <v>19</v>
      </c>
      <c r="N2734" s="50" t="s">
        <v>2</v>
      </c>
      <c r="R2734" s="50">
        <v>59</v>
      </c>
      <c r="S2734" s="74">
        <v>110</v>
      </c>
      <c r="U2734" s="131">
        <v>1.9</v>
      </c>
      <c r="X2734" s="50">
        <v>0.26</v>
      </c>
      <c r="Z2734" s="165"/>
    </row>
    <row r="2735" spans="1:50" ht="15" customHeight="1">
      <c r="A2735" s="41" t="s">
        <v>183</v>
      </c>
      <c r="B2735" s="402" t="s">
        <v>1974</v>
      </c>
      <c r="C2735" s="113" t="s">
        <v>2067</v>
      </c>
      <c r="D2735" s="393" t="s">
        <v>434</v>
      </c>
      <c r="E2735" s="394" t="s">
        <v>2068</v>
      </c>
      <c r="G2735" s="405" t="s">
        <v>1653</v>
      </c>
      <c r="H2735" s="113">
        <v>3721</v>
      </c>
      <c r="I2735" s="50" t="s">
        <v>1</v>
      </c>
      <c r="J2735" s="48" t="s">
        <v>1665</v>
      </c>
      <c r="K2735" s="51">
        <v>41710</v>
      </c>
      <c r="L2735" s="173">
        <v>41691</v>
      </c>
      <c r="M2735" s="50">
        <f t="shared" si="159"/>
        <v>19</v>
      </c>
      <c r="N2735" s="50" t="s">
        <v>2</v>
      </c>
      <c r="R2735" s="50">
        <v>320</v>
      </c>
      <c r="S2735" s="74">
        <v>600</v>
      </c>
      <c r="X2735" s="50">
        <v>0.44</v>
      </c>
      <c r="Z2735" s="165"/>
    </row>
    <row r="2736" spans="1:50" ht="15" customHeight="1">
      <c r="A2736" s="41" t="s">
        <v>183</v>
      </c>
      <c r="B2736" s="402" t="s">
        <v>1974</v>
      </c>
      <c r="C2736" s="113" t="s">
        <v>2067</v>
      </c>
      <c r="D2736" s="393" t="s">
        <v>434</v>
      </c>
      <c r="E2736" s="394" t="s">
        <v>2068</v>
      </c>
      <c r="G2736" s="405" t="s">
        <v>1653</v>
      </c>
      <c r="H2736" s="113">
        <v>3721</v>
      </c>
      <c r="I2736" s="50" t="s">
        <v>1</v>
      </c>
      <c r="J2736" s="48" t="s">
        <v>1666</v>
      </c>
      <c r="K2736" s="51">
        <v>41710</v>
      </c>
      <c r="L2736" s="173">
        <v>41691</v>
      </c>
      <c r="M2736" s="50">
        <f t="shared" si="159"/>
        <v>19</v>
      </c>
      <c r="N2736" s="50" t="s">
        <v>2</v>
      </c>
      <c r="V2736" s="50">
        <v>0.28999999999999998</v>
      </c>
      <c r="X2736" s="50">
        <v>6.2E-2</v>
      </c>
      <c r="Z2736" s="165"/>
    </row>
    <row r="2737" spans="1:30" ht="15" customHeight="1">
      <c r="A2737" s="41" t="s">
        <v>183</v>
      </c>
      <c r="B2737" s="402" t="s">
        <v>1974</v>
      </c>
      <c r="C2737" s="113" t="s">
        <v>2067</v>
      </c>
      <c r="D2737" s="393" t="s">
        <v>434</v>
      </c>
      <c r="E2737" s="394" t="s">
        <v>2068</v>
      </c>
      <c r="G2737" s="405" t="s">
        <v>1653</v>
      </c>
      <c r="H2737" s="113">
        <v>3721</v>
      </c>
      <c r="I2737" s="50" t="s">
        <v>1</v>
      </c>
      <c r="J2737" s="48" t="s">
        <v>1667</v>
      </c>
      <c r="K2737" s="51">
        <v>41710</v>
      </c>
      <c r="L2737" s="173">
        <v>41691</v>
      </c>
      <c r="M2737" s="50">
        <f t="shared" si="159"/>
        <v>19</v>
      </c>
      <c r="N2737" s="50" t="s">
        <v>2</v>
      </c>
      <c r="R2737" s="50">
        <v>2100</v>
      </c>
      <c r="S2737" s="74">
        <v>5000</v>
      </c>
      <c r="V2737" s="50">
        <v>0.16</v>
      </c>
      <c r="X2737" s="50">
        <v>5.7</v>
      </c>
      <c r="Z2737" s="165"/>
    </row>
    <row r="2738" spans="1:30" ht="15" customHeight="1">
      <c r="A2738" s="41" t="s">
        <v>183</v>
      </c>
      <c r="B2738" s="402" t="s">
        <v>1974</v>
      </c>
      <c r="C2738" s="113" t="s">
        <v>2067</v>
      </c>
      <c r="D2738" s="393" t="s">
        <v>434</v>
      </c>
      <c r="E2738" s="394" t="s">
        <v>2068</v>
      </c>
      <c r="G2738" s="405" t="s">
        <v>1653</v>
      </c>
      <c r="H2738" s="113">
        <v>3721</v>
      </c>
      <c r="I2738" s="50" t="s">
        <v>1</v>
      </c>
      <c r="J2738" s="48" t="s">
        <v>1668</v>
      </c>
      <c r="K2738" s="51">
        <v>41710</v>
      </c>
      <c r="L2738" s="173">
        <v>41691</v>
      </c>
      <c r="M2738" s="50">
        <f t="shared" si="159"/>
        <v>19</v>
      </c>
      <c r="N2738" s="50" t="s">
        <v>2</v>
      </c>
      <c r="R2738" s="50">
        <v>160</v>
      </c>
      <c r="S2738" s="74">
        <v>190</v>
      </c>
      <c r="W2738" s="74">
        <f>0.04/2</f>
        <v>0.02</v>
      </c>
      <c r="X2738" s="50">
        <v>0.21</v>
      </c>
      <c r="Z2738" s="165"/>
    </row>
    <row r="2739" spans="1:30" ht="15" customHeight="1">
      <c r="A2739" s="41" t="s">
        <v>183</v>
      </c>
      <c r="B2739" s="402" t="s">
        <v>1974</v>
      </c>
      <c r="C2739" s="113" t="s">
        <v>2067</v>
      </c>
      <c r="D2739" s="393" t="s">
        <v>434</v>
      </c>
      <c r="E2739" s="394" t="s">
        <v>2068</v>
      </c>
      <c r="G2739" s="405" t="s">
        <v>1653</v>
      </c>
      <c r="H2739" s="113">
        <v>3721</v>
      </c>
      <c r="I2739" s="50" t="s">
        <v>1</v>
      </c>
      <c r="J2739" s="48" t="s">
        <v>1669</v>
      </c>
      <c r="K2739" s="51">
        <v>41710</v>
      </c>
      <c r="L2739" s="173">
        <v>41691</v>
      </c>
      <c r="M2739" s="50">
        <f t="shared" si="159"/>
        <v>19</v>
      </c>
      <c r="N2739" s="50" t="s">
        <v>2</v>
      </c>
      <c r="X2739" s="50">
        <v>4.1000000000000002E-2</v>
      </c>
      <c r="Z2739" s="165"/>
    </row>
    <row r="2740" spans="1:30" ht="15" customHeight="1">
      <c r="A2740" s="41" t="s">
        <v>183</v>
      </c>
      <c r="B2740" s="402" t="s">
        <v>4253</v>
      </c>
      <c r="D2740" s="393" t="s">
        <v>910</v>
      </c>
      <c r="E2740" s="394" t="s">
        <v>4039</v>
      </c>
      <c r="G2740" s="405" t="s">
        <v>4254</v>
      </c>
      <c r="H2740" s="74">
        <v>3499</v>
      </c>
      <c r="I2740" s="50" t="s">
        <v>2</v>
      </c>
      <c r="J2740" s="339" t="s">
        <v>4255</v>
      </c>
      <c r="K2740" s="51">
        <v>41729</v>
      </c>
      <c r="L2740" s="173">
        <v>41728</v>
      </c>
      <c r="M2740" s="50">
        <f t="shared" si="159"/>
        <v>1</v>
      </c>
      <c r="N2740" s="50" t="s">
        <v>2</v>
      </c>
      <c r="O2740" s="74">
        <f>5/2</f>
        <v>2.5</v>
      </c>
      <c r="P2740" s="50">
        <v>5.63</v>
      </c>
      <c r="Q2740" s="74">
        <v>6.18</v>
      </c>
      <c r="R2740" s="50">
        <v>28</v>
      </c>
      <c r="S2740" s="74">
        <v>22</v>
      </c>
      <c r="T2740" s="50">
        <f>0.1/2</f>
        <v>0.05</v>
      </c>
      <c r="U2740" s="131">
        <v>0.6</v>
      </c>
      <c r="V2740" s="50">
        <v>0.43</v>
      </c>
      <c r="W2740" s="74">
        <v>2.4E-2</v>
      </c>
      <c r="X2740" s="50">
        <v>2.9000000000000001E-2</v>
      </c>
      <c r="Y2740" s="74">
        <f>0.0025/2</f>
        <v>1.25E-3</v>
      </c>
      <c r="Z2740" s="165">
        <v>1</v>
      </c>
      <c r="AA2740" s="271">
        <v>1</v>
      </c>
      <c r="AB2740" s="114">
        <v>4</v>
      </c>
      <c r="AC2740" s="50">
        <v>28</v>
      </c>
      <c r="AD2740" s="271">
        <v>1</v>
      </c>
    </row>
    <row r="2741" spans="1:30" ht="15" customHeight="1">
      <c r="A2741" s="41" t="s">
        <v>183</v>
      </c>
      <c r="B2741" s="402" t="s">
        <v>4253</v>
      </c>
      <c r="D2741" s="393" t="s">
        <v>910</v>
      </c>
      <c r="E2741" s="394" t="s">
        <v>4039</v>
      </c>
      <c r="G2741" s="405" t="s">
        <v>4254</v>
      </c>
      <c r="H2741" s="74">
        <v>3499</v>
      </c>
      <c r="I2741" s="50" t="s">
        <v>2</v>
      </c>
      <c r="J2741" s="339" t="s">
        <v>4256</v>
      </c>
      <c r="K2741" s="51">
        <v>41729</v>
      </c>
      <c r="L2741" s="173">
        <v>41728</v>
      </c>
      <c r="M2741" s="50">
        <v>1</v>
      </c>
      <c r="N2741" s="50" t="s">
        <v>2</v>
      </c>
      <c r="O2741" s="74">
        <f>5/2</f>
        <v>2.5</v>
      </c>
      <c r="P2741" s="50">
        <v>5.63</v>
      </c>
      <c r="Q2741" s="74">
        <v>6.75</v>
      </c>
      <c r="R2741" s="50">
        <v>14</v>
      </c>
      <c r="S2741" s="74">
        <v>15</v>
      </c>
      <c r="T2741" s="50">
        <f>0.1/2</f>
        <v>0.05</v>
      </c>
      <c r="U2741" s="131">
        <v>0.37</v>
      </c>
      <c r="V2741" s="50">
        <v>0.21</v>
      </c>
      <c r="W2741" s="74">
        <f>0.01/2</f>
        <v>5.0000000000000001E-3</v>
      </c>
      <c r="X2741" s="50">
        <f>0.025/2</f>
        <v>1.2500000000000001E-2</v>
      </c>
      <c r="Y2741" s="74">
        <f>0.0025/2</f>
        <v>1.25E-3</v>
      </c>
      <c r="Z2741" s="165">
        <v>1</v>
      </c>
      <c r="AA2741" s="271">
        <v>1</v>
      </c>
      <c r="AB2741" s="114">
        <v>18</v>
      </c>
      <c r="AC2741" s="50">
        <v>57</v>
      </c>
      <c r="AD2741" s="271">
        <v>1</v>
      </c>
    </row>
    <row r="2742" spans="1:30" ht="15" customHeight="1">
      <c r="A2742" s="41" t="s">
        <v>183</v>
      </c>
      <c r="B2742" s="402" t="s">
        <v>4253</v>
      </c>
      <c r="D2742" s="393" t="s">
        <v>910</v>
      </c>
      <c r="E2742" s="394" t="s">
        <v>4039</v>
      </c>
      <c r="G2742" s="405" t="s">
        <v>4254</v>
      </c>
      <c r="H2742" s="74">
        <v>3499</v>
      </c>
      <c r="I2742" s="50" t="s">
        <v>2</v>
      </c>
      <c r="J2742" s="339" t="s">
        <v>4257</v>
      </c>
      <c r="K2742" s="51">
        <v>41729</v>
      </c>
      <c r="L2742" s="173">
        <v>41728</v>
      </c>
      <c r="M2742" s="50">
        <v>1</v>
      </c>
      <c r="N2742" s="50" t="s">
        <v>2</v>
      </c>
      <c r="O2742" s="74">
        <f>5/2</f>
        <v>2.5</v>
      </c>
      <c r="P2742" s="50">
        <v>5.63</v>
      </c>
      <c r="Q2742" s="74">
        <v>7.01</v>
      </c>
      <c r="R2742" s="50">
        <v>5</v>
      </c>
      <c r="S2742" s="74">
        <v>2.5</v>
      </c>
      <c r="T2742" s="50">
        <f>5/2</f>
        <v>2.5</v>
      </c>
      <c r="U2742" s="131">
        <v>0.41</v>
      </c>
      <c r="V2742" s="50">
        <v>0.17399999999999999</v>
      </c>
      <c r="W2742" s="74">
        <f>0.01/2</f>
        <v>5.0000000000000001E-3</v>
      </c>
      <c r="X2742" s="50">
        <f>0.025/2</f>
        <v>1.2500000000000001E-2</v>
      </c>
      <c r="Y2742" s="74">
        <f>0.0025/2</f>
        <v>1.25E-3</v>
      </c>
      <c r="Z2742" s="165">
        <v>1</v>
      </c>
      <c r="AA2742" s="271">
        <v>1</v>
      </c>
      <c r="AB2742" s="114">
        <v>12</v>
      </c>
      <c r="AC2742" s="50">
        <v>48</v>
      </c>
      <c r="AD2742" s="271">
        <v>1</v>
      </c>
    </row>
    <row r="2743" spans="1:30" ht="15" customHeight="1">
      <c r="A2743" s="41" t="s">
        <v>183</v>
      </c>
      <c r="B2743" s="402" t="s">
        <v>4253</v>
      </c>
      <c r="D2743" s="393" t="s">
        <v>910</v>
      </c>
      <c r="E2743" s="394" t="s">
        <v>4039</v>
      </c>
      <c r="G2743" s="405" t="s">
        <v>4254</v>
      </c>
      <c r="H2743" s="74">
        <v>3499</v>
      </c>
      <c r="I2743" s="50" t="s">
        <v>2</v>
      </c>
      <c r="J2743" s="339" t="s">
        <v>4258</v>
      </c>
      <c r="K2743" s="51">
        <v>41729</v>
      </c>
      <c r="L2743" s="173">
        <v>41728</v>
      </c>
      <c r="M2743" s="50">
        <f t="shared" ref="M2743:M2765" si="160">K2743-L2743</f>
        <v>1</v>
      </c>
      <c r="N2743" s="50" t="s">
        <v>2</v>
      </c>
      <c r="O2743" s="74">
        <f>5/2</f>
        <v>2.5</v>
      </c>
      <c r="P2743" s="50">
        <v>5.63</v>
      </c>
      <c r="Q2743" s="74">
        <v>7.51</v>
      </c>
      <c r="R2743" s="50">
        <v>17</v>
      </c>
      <c r="S2743" s="74">
        <v>5</v>
      </c>
      <c r="T2743" s="50">
        <f>0.1/2</f>
        <v>0.05</v>
      </c>
      <c r="U2743" s="131">
        <v>0.51</v>
      </c>
      <c r="V2743" s="50">
        <v>0.27100000000000002</v>
      </c>
      <c r="W2743" s="74">
        <f>0.01/2</f>
        <v>5.0000000000000001E-3</v>
      </c>
      <c r="X2743" s="50">
        <v>3.5000000000000003E-2</v>
      </c>
      <c r="Y2743" s="74">
        <f>0.0025/2</f>
        <v>1.25E-3</v>
      </c>
      <c r="Z2743" s="165">
        <v>1</v>
      </c>
      <c r="AA2743" s="271">
        <v>1</v>
      </c>
      <c r="AB2743" s="114">
        <v>128</v>
      </c>
      <c r="AC2743" s="50">
        <v>799</v>
      </c>
      <c r="AD2743" s="271">
        <v>1</v>
      </c>
    </row>
    <row r="2744" spans="1:30" ht="15" customHeight="1">
      <c r="A2744" s="41" t="s">
        <v>183</v>
      </c>
      <c r="B2744" s="402" t="s">
        <v>4253</v>
      </c>
      <c r="D2744" s="393" t="s">
        <v>910</v>
      </c>
      <c r="E2744" s="394" t="s">
        <v>4039</v>
      </c>
      <c r="G2744" s="405" t="s">
        <v>4254</v>
      </c>
      <c r="H2744" s="74">
        <v>3499</v>
      </c>
      <c r="I2744" s="50" t="s">
        <v>2</v>
      </c>
      <c r="J2744" s="339" t="s">
        <v>4259</v>
      </c>
      <c r="K2744" s="51">
        <v>41729</v>
      </c>
      <c r="L2744" s="173">
        <v>41728</v>
      </c>
      <c r="M2744" s="50">
        <f t="shared" si="160"/>
        <v>1</v>
      </c>
      <c r="N2744" s="50" t="s">
        <v>2</v>
      </c>
      <c r="O2744" s="74">
        <f>5/2</f>
        <v>2.5</v>
      </c>
      <c r="P2744" s="50">
        <v>5.63</v>
      </c>
      <c r="Q2744" s="74">
        <v>7.24</v>
      </c>
      <c r="R2744" s="50">
        <v>31</v>
      </c>
      <c r="S2744" s="74">
        <v>650</v>
      </c>
      <c r="T2744" s="50">
        <v>1.08</v>
      </c>
      <c r="U2744" s="131">
        <v>4.6399999999999997</v>
      </c>
      <c r="V2744" s="50">
        <v>0.128</v>
      </c>
      <c r="W2744" s="74">
        <v>0.78600000000000003</v>
      </c>
      <c r="X2744" s="50">
        <v>0.54700000000000004</v>
      </c>
      <c r="Y2744" s="74">
        <v>9.7799999999999998E-2</v>
      </c>
      <c r="Z2744" s="165">
        <v>1</v>
      </c>
      <c r="AA2744" s="271">
        <v>1</v>
      </c>
      <c r="AB2744" s="114">
        <v>10</v>
      </c>
      <c r="AC2744" s="50">
        <v>41</v>
      </c>
      <c r="AD2744" s="271">
        <v>1</v>
      </c>
    </row>
    <row r="2745" spans="1:30" ht="15" customHeight="1">
      <c r="A2745" s="41" t="s">
        <v>4668</v>
      </c>
      <c r="B2745" s="402" t="s">
        <v>4903</v>
      </c>
      <c r="C2745" s="113" t="s">
        <v>4903</v>
      </c>
      <c r="D2745" s="393" t="s">
        <v>910</v>
      </c>
      <c r="E2745" s="394" t="s">
        <v>4904</v>
      </c>
      <c r="G2745" s="415" t="s">
        <v>4254</v>
      </c>
      <c r="H2745" s="338" t="s">
        <v>4919</v>
      </c>
      <c r="I2745" s="50" t="s">
        <v>2</v>
      </c>
      <c r="J2745" s="339" t="s">
        <v>4905</v>
      </c>
      <c r="K2745" s="51">
        <v>41553</v>
      </c>
      <c r="L2745" s="173">
        <v>41550</v>
      </c>
      <c r="M2745" s="50">
        <f t="shared" si="160"/>
        <v>3</v>
      </c>
      <c r="N2745" s="50" t="s">
        <v>2</v>
      </c>
      <c r="O2745" s="74">
        <f t="shared" ref="O2745:O2753" si="161">5/2</f>
        <v>2.5</v>
      </c>
      <c r="P2745" s="50">
        <v>5.5</v>
      </c>
      <c r="Q2745" s="74">
        <v>5.43</v>
      </c>
      <c r="R2745" s="50">
        <f>10/2</f>
        <v>5</v>
      </c>
      <c r="S2745" s="74">
        <f>5/2</f>
        <v>2.5</v>
      </c>
      <c r="T2745" s="50">
        <f>0.1/2</f>
        <v>0.05</v>
      </c>
      <c r="U2745" s="131">
        <v>0.87</v>
      </c>
      <c r="V2745" s="50">
        <v>0.315</v>
      </c>
      <c r="W2745" s="74">
        <f>0.01/2</f>
        <v>5.0000000000000001E-3</v>
      </c>
      <c r="X2745" s="50">
        <f>0.025/2</f>
        <v>1.2500000000000001E-2</v>
      </c>
      <c r="Y2745" s="74">
        <f>0.0025/2</f>
        <v>1.25E-3</v>
      </c>
      <c r="Z2745" s="165">
        <v>1</v>
      </c>
      <c r="AA2745" s="271">
        <v>1</v>
      </c>
      <c r="AB2745" s="114">
        <v>1.81</v>
      </c>
    </row>
    <row r="2746" spans="1:30" ht="15" customHeight="1">
      <c r="A2746" s="41" t="s">
        <v>4668</v>
      </c>
      <c r="B2746" s="402" t="s">
        <v>4903</v>
      </c>
      <c r="C2746" s="113" t="s">
        <v>4903</v>
      </c>
      <c r="D2746" s="393" t="s">
        <v>910</v>
      </c>
      <c r="E2746" s="394" t="s">
        <v>4904</v>
      </c>
      <c r="G2746" s="415" t="s">
        <v>4254</v>
      </c>
      <c r="H2746" s="338" t="s">
        <v>4919</v>
      </c>
      <c r="I2746" s="50" t="s">
        <v>2</v>
      </c>
      <c r="J2746" s="339" t="s">
        <v>4906</v>
      </c>
      <c r="K2746" s="51">
        <v>41553</v>
      </c>
      <c r="L2746" s="173">
        <v>41550</v>
      </c>
      <c r="M2746" s="50">
        <f t="shared" si="160"/>
        <v>3</v>
      </c>
      <c r="N2746" s="50" t="s">
        <v>2</v>
      </c>
      <c r="O2746" s="74">
        <f t="shared" si="161"/>
        <v>2.5</v>
      </c>
      <c r="P2746" s="50">
        <v>5.5</v>
      </c>
      <c r="Q2746" s="74">
        <v>5.82</v>
      </c>
      <c r="R2746" s="50">
        <f>10/2</f>
        <v>5</v>
      </c>
      <c r="S2746" s="74">
        <f>5/2</f>
        <v>2.5</v>
      </c>
      <c r="T2746" s="50">
        <f>0.1/2</f>
        <v>0.05</v>
      </c>
      <c r="U2746" s="131">
        <v>0.71</v>
      </c>
      <c r="V2746" s="50">
        <v>0.24299999999999999</v>
      </c>
      <c r="W2746" s="74">
        <f>0.01/2</f>
        <v>5.0000000000000001E-3</v>
      </c>
      <c r="X2746" s="50">
        <f>0.025/2</f>
        <v>1.2500000000000001E-2</v>
      </c>
      <c r="Y2746" s="74">
        <f>0.0025/2</f>
        <v>1.25E-3</v>
      </c>
      <c r="Z2746" s="165">
        <v>1</v>
      </c>
      <c r="AA2746" s="271">
        <v>1</v>
      </c>
      <c r="AB2746" s="114">
        <v>2.72</v>
      </c>
    </row>
    <row r="2747" spans="1:30" ht="15" customHeight="1">
      <c r="A2747" s="41" t="s">
        <v>4668</v>
      </c>
      <c r="B2747" s="402" t="s">
        <v>4903</v>
      </c>
      <c r="C2747" s="113" t="s">
        <v>4903</v>
      </c>
      <c r="D2747" s="393" t="s">
        <v>910</v>
      </c>
      <c r="E2747" s="394" t="s">
        <v>4904</v>
      </c>
      <c r="G2747" s="415" t="s">
        <v>4254</v>
      </c>
      <c r="H2747" s="338" t="s">
        <v>4919</v>
      </c>
      <c r="I2747" s="50" t="s">
        <v>2</v>
      </c>
      <c r="J2747" s="339" t="s">
        <v>4907</v>
      </c>
      <c r="K2747" s="51">
        <v>41553</v>
      </c>
      <c r="L2747" s="173">
        <v>41550</v>
      </c>
      <c r="M2747" s="50">
        <f t="shared" si="160"/>
        <v>3</v>
      </c>
      <c r="N2747" s="50" t="s">
        <v>2</v>
      </c>
      <c r="O2747" s="74">
        <f t="shared" si="161"/>
        <v>2.5</v>
      </c>
      <c r="P2747" s="50">
        <v>5.5</v>
      </c>
      <c r="Q2747" s="74">
        <v>4.78</v>
      </c>
      <c r="R2747" s="50">
        <f>10/2</f>
        <v>5</v>
      </c>
      <c r="S2747" s="74">
        <f>5/2</f>
        <v>2.5</v>
      </c>
      <c r="T2747" s="50">
        <f>0.1/2</f>
        <v>0.05</v>
      </c>
      <c r="U2747" s="131">
        <v>1.29</v>
      </c>
      <c r="V2747" s="50">
        <v>0.51200000000000001</v>
      </c>
      <c r="W2747" s="74">
        <f>0.01/2</f>
        <v>5.0000000000000001E-3</v>
      </c>
      <c r="X2747" s="50">
        <v>6.7000000000000004E-2</v>
      </c>
      <c r="Y2747" s="74">
        <v>4.4000000000000003E-3</v>
      </c>
      <c r="Z2747" s="165">
        <v>1</v>
      </c>
      <c r="AA2747" s="271">
        <v>1</v>
      </c>
      <c r="AB2747" s="114">
        <v>2.08</v>
      </c>
    </row>
    <row r="2748" spans="1:30" ht="15" customHeight="1">
      <c r="A2748" s="41" t="s">
        <v>4668</v>
      </c>
      <c r="B2748" s="402" t="s">
        <v>4903</v>
      </c>
      <c r="C2748" s="113" t="s">
        <v>4903</v>
      </c>
      <c r="D2748" s="393" t="s">
        <v>910</v>
      </c>
      <c r="E2748" s="394" t="s">
        <v>4904</v>
      </c>
      <c r="G2748" s="415" t="s">
        <v>4254</v>
      </c>
      <c r="H2748" s="338" t="s">
        <v>4919</v>
      </c>
      <c r="I2748" s="50" t="s">
        <v>2</v>
      </c>
      <c r="J2748" s="339" t="s">
        <v>4908</v>
      </c>
      <c r="K2748" s="51">
        <v>41553</v>
      </c>
      <c r="L2748" s="173">
        <v>41550</v>
      </c>
      <c r="M2748" s="50">
        <f t="shared" si="160"/>
        <v>3</v>
      </c>
      <c r="N2748" s="50" t="s">
        <v>2</v>
      </c>
      <c r="O2748" s="74">
        <f t="shared" si="161"/>
        <v>2.5</v>
      </c>
      <c r="P2748" s="50">
        <v>5.5</v>
      </c>
      <c r="Q2748" s="74">
        <v>5.86</v>
      </c>
      <c r="R2748" s="50">
        <v>15</v>
      </c>
      <c r="S2748" s="74">
        <v>8</v>
      </c>
      <c r="T2748" s="50">
        <v>0.15</v>
      </c>
      <c r="U2748" s="131">
        <v>1</v>
      </c>
      <c r="V2748" s="50">
        <v>0.23699999999999999</v>
      </c>
      <c r="W2748" s="74">
        <v>1.4999999999999999E-2</v>
      </c>
      <c r="X2748" s="50">
        <v>0.09</v>
      </c>
      <c r="Y2748" s="74">
        <f>0.0025/2</f>
        <v>1.25E-3</v>
      </c>
      <c r="Z2748" s="165">
        <v>1</v>
      </c>
      <c r="AA2748" s="271">
        <v>1</v>
      </c>
      <c r="AB2748" s="114">
        <v>3.62</v>
      </c>
    </row>
    <row r="2749" spans="1:30" ht="15" customHeight="1">
      <c r="A2749" s="41" t="s">
        <v>183</v>
      </c>
      <c r="B2749" s="402" t="s">
        <v>4903</v>
      </c>
      <c r="C2749" s="113" t="s">
        <v>4903</v>
      </c>
      <c r="D2749" s="393" t="s">
        <v>910</v>
      </c>
      <c r="E2749" s="394" t="s">
        <v>4904</v>
      </c>
      <c r="G2749" s="415" t="s">
        <v>4254</v>
      </c>
      <c r="H2749" s="338" t="s">
        <v>4919</v>
      </c>
      <c r="I2749" s="50" t="s">
        <v>2</v>
      </c>
      <c r="J2749" s="339" t="s">
        <v>4905</v>
      </c>
      <c r="K2749" s="51">
        <v>41170</v>
      </c>
      <c r="L2749" s="173">
        <v>41160</v>
      </c>
      <c r="M2749" s="50">
        <f t="shared" si="160"/>
        <v>10</v>
      </c>
      <c r="N2749" s="50" t="s">
        <v>2</v>
      </c>
      <c r="O2749" s="74">
        <f t="shared" si="161"/>
        <v>2.5</v>
      </c>
      <c r="P2749" s="50">
        <v>5.03</v>
      </c>
      <c r="Q2749" s="74">
        <v>6.02</v>
      </c>
      <c r="R2749" s="50">
        <v>14</v>
      </c>
      <c r="S2749" s="74">
        <f>5/2</f>
        <v>2.5</v>
      </c>
      <c r="T2749" s="50">
        <f>0.1/2</f>
        <v>0.05</v>
      </c>
      <c r="U2749" s="131">
        <v>1.69</v>
      </c>
      <c r="V2749" s="50">
        <v>0.216</v>
      </c>
      <c r="W2749" s="74">
        <v>1.4E-2</v>
      </c>
      <c r="X2749" s="50">
        <v>2.5000000000000001E-2</v>
      </c>
      <c r="Y2749" s="74">
        <f>0.0025/2</f>
        <v>1.25E-3</v>
      </c>
      <c r="Z2749" s="165"/>
    </row>
    <row r="2750" spans="1:30" ht="15" customHeight="1">
      <c r="A2750" s="41" t="s">
        <v>183</v>
      </c>
      <c r="B2750" s="402" t="s">
        <v>4903</v>
      </c>
      <c r="C2750" s="113" t="s">
        <v>4903</v>
      </c>
      <c r="D2750" s="393" t="s">
        <v>910</v>
      </c>
      <c r="E2750" s="394" t="s">
        <v>4904</v>
      </c>
      <c r="G2750" s="415" t="s">
        <v>4254</v>
      </c>
      <c r="H2750" s="338" t="s">
        <v>4919</v>
      </c>
      <c r="I2750" s="50" t="s">
        <v>2</v>
      </c>
      <c r="J2750" s="339" t="s">
        <v>5476</v>
      </c>
      <c r="K2750" s="51">
        <v>41170</v>
      </c>
      <c r="L2750" s="173">
        <v>41160</v>
      </c>
      <c r="M2750" s="50">
        <f t="shared" si="160"/>
        <v>10</v>
      </c>
      <c r="N2750" s="50" t="s">
        <v>2</v>
      </c>
      <c r="O2750" s="74">
        <f t="shared" si="161"/>
        <v>2.5</v>
      </c>
      <c r="P2750" s="50">
        <v>5.03</v>
      </c>
      <c r="Q2750" s="74">
        <v>6.97</v>
      </c>
      <c r="R2750" s="50">
        <f>10/2</f>
        <v>5</v>
      </c>
      <c r="S2750" s="74">
        <f>5/2</f>
        <v>2.5</v>
      </c>
      <c r="T2750" s="50">
        <f>0.1/2</f>
        <v>0.05</v>
      </c>
      <c r="U2750" s="131">
        <v>1.45</v>
      </c>
      <c r="V2750" s="50">
        <v>0.46800000000000003</v>
      </c>
      <c r="W2750" s="74">
        <f>0.01/2</f>
        <v>5.0000000000000001E-3</v>
      </c>
      <c r="X2750" s="50">
        <f>0.025/2</f>
        <v>1.2500000000000001E-2</v>
      </c>
      <c r="Y2750" s="74">
        <f>0.0025/2</f>
        <v>1.25E-3</v>
      </c>
      <c r="Z2750" s="165"/>
    </row>
    <row r="2751" spans="1:30" ht="15" customHeight="1">
      <c r="A2751" s="41" t="s">
        <v>183</v>
      </c>
      <c r="B2751" s="402" t="s">
        <v>4903</v>
      </c>
      <c r="C2751" s="113" t="s">
        <v>4903</v>
      </c>
      <c r="D2751" s="393" t="s">
        <v>910</v>
      </c>
      <c r="E2751" s="394" t="s">
        <v>4904</v>
      </c>
      <c r="G2751" s="415" t="s">
        <v>4254</v>
      </c>
      <c r="H2751" s="338" t="s">
        <v>4919</v>
      </c>
      <c r="I2751" s="50" t="s">
        <v>2</v>
      </c>
      <c r="J2751" s="339" t="s">
        <v>4906</v>
      </c>
      <c r="K2751" s="51">
        <v>41170</v>
      </c>
      <c r="L2751" s="173">
        <v>41160</v>
      </c>
      <c r="M2751" s="50">
        <f t="shared" si="160"/>
        <v>10</v>
      </c>
      <c r="N2751" s="50" t="s">
        <v>2</v>
      </c>
      <c r="O2751" s="74">
        <f t="shared" si="161"/>
        <v>2.5</v>
      </c>
      <c r="P2751" s="50">
        <v>5.03</v>
      </c>
      <c r="Q2751" s="74">
        <v>6.29</v>
      </c>
      <c r="R2751" s="50">
        <f>10/2</f>
        <v>5</v>
      </c>
      <c r="S2751" s="74">
        <f>5/2</f>
        <v>2.5</v>
      </c>
      <c r="T2751" s="50">
        <f>0.1/2</f>
        <v>0.05</v>
      </c>
      <c r="U2751" s="131">
        <v>1.57</v>
      </c>
      <c r="V2751" s="50">
        <v>0.29099999999999998</v>
      </c>
      <c r="W2751" s="74">
        <f>0.01/2</f>
        <v>5.0000000000000001E-3</v>
      </c>
      <c r="X2751" s="50">
        <f>0.025/2</f>
        <v>1.2500000000000001E-2</v>
      </c>
      <c r="Y2751" s="74">
        <f>0.0025/2</f>
        <v>1.25E-3</v>
      </c>
      <c r="Z2751" s="165"/>
    </row>
    <row r="2752" spans="1:30" ht="15" customHeight="1">
      <c r="A2752" s="41" t="s">
        <v>183</v>
      </c>
      <c r="B2752" s="402" t="s">
        <v>4903</v>
      </c>
      <c r="C2752" s="113" t="s">
        <v>4903</v>
      </c>
      <c r="D2752" s="393" t="s">
        <v>910</v>
      </c>
      <c r="E2752" s="394" t="s">
        <v>4904</v>
      </c>
      <c r="G2752" s="415" t="s">
        <v>4254</v>
      </c>
      <c r="H2752" s="338" t="s">
        <v>4919</v>
      </c>
      <c r="I2752" s="50" t="s">
        <v>2</v>
      </c>
      <c r="J2752" s="339" t="s">
        <v>4907</v>
      </c>
      <c r="K2752" s="51">
        <v>41170</v>
      </c>
      <c r="L2752" s="173">
        <v>41160</v>
      </c>
      <c r="M2752" s="50">
        <f t="shared" si="160"/>
        <v>10</v>
      </c>
      <c r="N2752" s="50" t="s">
        <v>2</v>
      </c>
      <c r="O2752" s="74">
        <f t="shared" si="161"/>
        <v>2.5</v>
      </c>
      <c r="P2752" s="50">
        <v>5.03</v>
      </c>
      <c r="Q2752" s="74">
        <v>6.76</v>
      </c>
      <c r="R2752" s="50">
        <f>10/2</f>
        <v>5</v>
      </c>
      <c r="S2752" s="74">
        <f>5/2</f>
        <v>2.5</v>
      </c>
      <c r="T2752" s="50">
        <f>0.1/2</f>
        <v>0.05</v>
      </c>
      <c r="U2752" s="131">
        <v>3.04</v>
      </c>
      <c r="V2752" s="50">
        <v>1.19</v>
      </c>
      <c r="W2752" s="74">
        <v>0.02</v>
      </c>
      <c r="X2752" s="50">
        <v>7.6999999999999999E-2</v>
      </c>
      <c r="Y2752" s="74">
        <v>5.8999999999999999E-3</v>
      </c>
      <c r="Z2752" s="165"/>
    </row>
    <row r="2753" spans="1:43" ht="15" customHeight="1">
      <c r="A2753" s="41" t="s">
        <v>183</v>
      </c>
      <c r="B2753" s="402" t="s">
        <v>4903</v>
      </c>
      <c r="C2753" s="113" t="s">
        <v>4903</v>
      </c>
      <c r="D2753" s="393" t="s">
        <v>910</v>
      </c>
      <c r="E2753" s="394" t="s">
        <v>4904</v>
      </c>
      <c r="G2753" s="415" t="s">
        <v>4254</v>
      </c>
      <c r="H2753" s="338" t="s">
        <v>4919</v>
      </c>
      <c r="I2753" s="50" t="s">
        <v>2</v>
      </c>
      <c r="J2753" s="339" t="s">
        <v>4908</v>
      </c>
      <c r="K2753" s="51">
        <v>41170</v>
      </c>
      <c r="L2753" s="173">
        <v>41160</v>
      </c>
      <c r="M2753" s="50">
        <f t="shared" si="160"/>
        <v>10</v>
      </c>
      <c r="N2753" s="50" t="s">
        <v>2</v>
      </c>
      <c r="O2753" s="74">
        <f t="shared" si="161"/>
        <v>2.5</v>
      </c>
      <c r="P2753" s="50">
        <v>5.03</v>
      </c>
      <c r="Q2753" s="74">
        <v>6.32</v>
      </c>
      <c r="R2753" s="50">
        <v>41</v>
      </c>
      <c r="S2753" s="74">
        <v>41</v>
      </c>
      <c r="T2753" s="50">
        <v>0.13</v>
      </c>
      <c r="U2753" s="131">
        <v>2.63</v>
      </c>
      <c r="V2753" s="50">
        <v>0.47399999999999998</v>
      </c>
      <c r="W2753" s="74">
        <v>0.11</v>
      </c>
      <c r="X2753" s="50">
        <v>8.5999999999999993E-2</v>
      </c>
      <c r="Y2753" s="74">
        <v>1.7100000000000001E-2</v>
      </c>
      <c r="Z2753" s="165"/>
    </row>
    <row r="2754" spans="1:43" ht="15" customHeight="1">
      <c r="A2754" s="41" t="s">
        <v>183</v>
      </c>
      <c r="B2754" s="402" t="s">
        <v>707</v>
      </c>
      <c r="C2754" s="113" t="s">
        <v>1110</v>
      </c>
      <c r="D2754" s="393" t="s">
        <v>262</v>
      </c>
      <c r="E2754" s="394" t="s">
        <v>3827</v>
      </c>
      <c r="G2754" s="405" t="s">
        <v>799</v>
      </c>
      <c r="H2754" s="74">
        <v>4469</v>
      </c>
      <c r="I2754" s="50" t="s">
        <v>1</v>
      </c>
      <c r="J2754" s="339" t="s">
        <v>3828</v>
      </c>
      <c r="K2754" s="51">
        <v>41432</v>
      </c>
      <c r="L2754" s="115">
        <v>41428</v>
      </c>
      <c r="M2754" s="50">
        <f t="shared" si="160"/>
        <v>4</v>
      </c>
      <c r="N2754" s="50" t="s">
        <v>2</v>
      </c>
      <c r="O2754" s="74">
        <f>1/2</f>
        <v>0.5</v>
      </c>
      <c r="P2754" s="50">
        <v>6</v>
      </c>
      <c r="Q2754" s="74">
        <v>5.31</v>
      </c>
      <c r="R2754" s="50">
        <f>1/2</f>
        <v>0.5</v>
      </c>
      <c r="S2754" s="74">
        <v>2</v>
      </c>
      <c r="T2754" s="50">
        <v>0.62</v>
      </c>
      <c r="U2754" s="131">
        <f>0.1/2</f>
        <v>0.05</v>
      </c>
      <c r="V2754" s="50">
        <v>0.13</v>
      </c>
      <c r="W2754" s="74">
        <f>0.005/2</f>
        <v>2.5000000000000001E-3</v>
      </c>
      <c r="X2754" s="50">
        <v>8.0000000000000002E-3</v>
      </c>
      <c r="Y2754" s="74">
        <f>0.002/2</f>
        <v>1E-3</v>
      </c>
      <c r="AQ2754" s="114">
        <f>0.5/2</f>
        <v>0.25</v>
      </c>
    </row>
    <row r="2755" spans="1:43" ht="15" customHeight="1">
      <c r="A2755" s="41" t="s">
        <v>183</v>
      </c>
      <c r="B2755" s="402" t="s">
        <v>48</v>
      </c>
      <c r="C2755" s="113" t="s">
        <v>48</v>
      </c>
      <c r="D2755" s="393">
        <v>146</v>
      </c>
      <c r="E2755" s="394" t="s">
        <v>49</v>
      </c>
      <c r="G2755" s="405" t="s">
        <v>50</v>
      </c>
      <c r="H2755" s="49">
        <v>3471</v>
      </c>
      <c r="I2755" s="52" t="s">
        <v>1</v>
      </c>
      <c r="J2755" s="76" t="s">
        <v>52</v>
      </c>
      <c r="K2755" s="51">
        <v>41585</v>
      </c>
      <c r="L2755" s="173">
        <v>41579</v>
      </c>
      <c r="M2755" s="50">
        <f t="shared" si="160"/>
        <v>6</v>
      </c>
      <c r="N2755" s="50" t="s">
        <v>2</v>
      </c>
      <c r="T2755" s="50">
        <v>0.12</v>
      </c>
      <c r="Z2755" s="165"/>
    </row>
    <row r="2756" spans="1:43" ht="15" customHeight="1">
      <c r="A2756" s="41" t="s">
        <v>183</v>
      </c>
      <c r="B2756" s="402" t="s">
        <v>48</v>
      </c>
      <c r="C2756" s="113" t="s">
        <v>48</v>
      </c>
      <c r="D2756" s="393">
        <v>146</v>
      </c>
      <c r="E2756" s="394" t="s">
        <v>49</v>
      </c>
      <c r="G2756" s="405" t="s">
        <v>50</v>
      </c>
      <c r="H2756" s="49">
        <v>3471</v>
      </c>
      <c r="I2756" s="52" t="s">
        <v>1</v>
      </c>
      <c r="J2756" s="339" t="s">
        <v>5478</v>
      </c>
      <c r="K2756" s="51">
        <v>41585</v>
      </c>
      <c r="L2756" s="173">
        <v>41579</v>
      </c>
      <c r="M2756" s="50">
        <f t="shared" si="160"/>
        <v>6</v>
      </c>
      <c r="N2756" s="50" t="s">
        <v>2</v>
      </c>
      <c r="P2756" s="50">
        <v>6.24</v>
      </c>
      <c r="Q2756" s="74">
        <v>5.65</v>
      </c>
      <c r="V2756" s="50">
        <v>0.59</v>
      </c>
      <c r="Z2756" s="165"/>
    </row>
    <row r="2757" spans="1:43" ht="15" customHeight="1">
      <c r="A2757" s="41" t="s">
        <v>183</v>
      </c>
      <c r="B2757" s="402" t="s">
        <v>48</v>
      </c>
      <c r="C2757" s="113" t="s">
        <v>48</v>
      </c>
      <c r="D2757" s="393">
        <v>146</v>
      </c>
      <c r="E2757" s="394" t="s">
        <v>49</v>
      </c>
      <c r="G2757" s="405" t="s">
        <v>50</v>
      </c>
      <c r="H2757" s="49">
        <v>3471</v>
      </c>
      <c r="I2757" s="52" t="s">
        <v>1</v>
      </c>
      <c r="J2757" s="76" t="s">
        <v>5479</v>
      </c>
      <c r="K2757" s="51">
        <v>41585</v>
      </c>
      <c r="L2757" s="173">
        <v>41579</v>
      </c>
      <c r="M2757" s="50">
        <f t="shared" si="160"/>
        <v>6</v>
      </c>
      <c r="N2757" s="50" t="s">
        <v>2</v>
      </c>
      <c r="T2757" s="50">
        <v>0.26</v>
      </c>
      <c r="Z2757" s="165"/>
    </row>
    <row r="2758" spans="1:43" ht="15" customHeight="1">
      <c r="A2758" s="41" t="s">
        <v>183</v>
      </c>
      <c r="B2758" s="402" t="s">
        <v>2040</v>
      </c>
      <c r="C2758" s="113" t="s">
        <v>2040</v>
      </c>
      <c r="D2758" s="393" t="s">
        <v>314</v>
      </c>
      <c r="E2758" s="394" t="s">
        <v>2019</v>
      </c>
      <c r="G2758" s="405" t="s">
        <v>2041</v>
      </c>
      <c r="H2758" s="74">
        <v>3479</v>
      </c>
      <c r="I2758" s="50" t="s">
        <v>1</v>
      </c>
      <c r="J2758" s="339" t="s">
        <v>641</v>
      </c>
      <c r="K2758" s="51">
        <v>41600</v>
      </c>
      <c r="L2758" s="173">
        <v>41596</v>
      </c>
      <c r="M2758" s="50">
        <f t="shared" si="160"/>
        <v>4</v>
      </c>
      <c r="N2758" s="50" t="s">
        <v>2</v>
      </c>
      <c r="S2758" s="74">
        <v>12</v>
      </c>
      <c r="T2758" s="50">
        <v>0.13</v>
      </c>
      <c r="U2758" s="131">
        <v>1.23</v>
      </c>
      <c r="X2758" s="50">
        <v>0.11799999999999999</v>
      </c>
      <c r="Z2758" s="165"/>
    </row>
    <row r="2759" spans="1:43" ht="15" customHeight="1">
      <c r="A2759" s="41" t="s">
        <v>183</v>
      </c>
      <c r="B2759" s="402" t="s">
        <v>529</v>
      </c>
      <c r="C2759" s="113" t="s">
        <v>529</v>
      </c>
      <c r="D2759" s="393" t="s">
        <v>350</v>
      </c>
      <c r="E2759" s="394" t="s">
        <v>530</v>
      </c>
      <c r="G2759" s="405" t="s">
        <v>531</v>
      </c>
      <c r="H2759" s="74">
        <v>4222</v>
      </c>
      <c r="I2759" s="50" t="s">
        <v>2</v>
      </c>
      <c r="J2759" s="339" t="s">
        <v>194</v>
      </c>
      <c r="K2759" s="51">
        <v>41585</v>
      </c>
      <c r="L2759" s="173">
        <v>41579</v>
      </c>
      <c r="M2759" s="50">
        <f t="shared" si="160"/>
        <v>6</v>
      </c>
      <c r="N2759" s="50" t="s">
        <v>2</v>
      </c>
      <c r="P2759" s="50">
        <v>6.88</v>
      </c>
      <c r="V2759" s="50">
        <v>0.16</v>
      </c>
      <c r="Z2759" s="165"/>
    </row>
    <row r="2760" spans="1:43" ht="15" customHeight="1">
      <c r="A2760" s="41" t="s">
        <v>183</v>
      </c>
      <c r="B2760" s="402" t="s">
        <v>4909</v>
      </c>
      <c r="C2760" s="113" t="s">
        <v>4909</v>
      </c>
      <c r="D2760" s="393" t="s">
        <v>205</v>
      </c>
      <c r="E2760" s="394" t="s">
        <v>1056</v>
      </c>
      <c r="F2760" s="402" t="s">
        <v>4911</v>
      </c>
      <c r="G2760" s="405" t="s">
        <v>4912</v>
      </c>
      <c r="H2760" s="74">
        <v>3585</v>
      </c>
      <c r="I2760" s="50" t="s">
        <v>1</v>
      </c>
      <c r="J2760" s="74" t="s">
        <v>2246</v>
      </c>
      <c r="K2760" s="51">
        <v>41539</v>
      </c>
      <c r="L2760" s="173">
        <v>41529</v>
      </c>
      <c r="M2760" s="50">
        <f t="shared" si="160"/>
        <v>10</v>
      </c>
      <c r="N2760" s="50" t="s">
        <v>2</v>
      </c>
      <c r="O2760" s="74">
        <v>2.1</v>
      </c>
      <c r="P2760" s="50">
        <v>6</v>
      </c>
      <c r="Q2760" s="74">
        <v>6.86</v>
      </c>
      <c r="R2760" s="50">
        <v>19</v>
      </c>
      <c r="S2760" s="74">
        <v>55</v>
      </c>
      <c r="T2760" s="50">
        <v>0.1</v>
      </c>
      <c r="U2760" s="131">
        <v>1.37</v>
      </c>
      <c r="V2760" s="50">
        <v>0.14000000000000001</v>
      </c>
      <c r="W2760" s="74">
        <v>0.02</v>
      </c>
      <c r="X2760" s="50">
        <v>0.189</v>
      </c>
      <c r="Y2760" s="74">
        <v>5.0000000000000001E-3</v>
      </c>
      <c r="Z2760" s="165">
        <v>1</v>
      </c>
      <c r="AA2760" s="271">
        <v>0.70699999999999996</v>
      </c>
      <c r="AB2760" s="114">
        <v>6</v>
      </c>
      <c r="AC2760" s="50">
        <v>26</v>
      </c>
      <c r="AD2760" s="271">
        <v>0</v>
      </c>
    </row>
    <row r="2761" spans="1:43" ht="15" customHeight="1">
      <c r="A2761" s="41" t="s">
        <v>183</v>
      </c>
      <c r="B2761" s="402" t="s">
        <v>4909</v>
      </c>
      <c r="C2761" s="113" t="s">
        <v>4909</v>
      </c>
      <c r="D2761" s="393" t="s">
        <v>205</v>
      </c>
      <c r="E2761" s="394" t="s">
        <v>1056</v>
      </c>
      <c r="F2761" s="402" t="s">
        <v>4911</v>
      </c>
      <c r="G2761" s="405" t="s">
        <v>4912</v>
      </c>
      <c r="H2761" s="74">
        <v>3585</v>
      </c>
      <c r="I2761" s="50" t="s">
        <v>1</v>
      </c>
      <c r="J2761" s="74" t="s">
        <v>4914</v>
      </c>
      <c r="K2761" s="51">
        <v>41539</v>
      </c>
      <c r="L2761" s="173">
        <v>41529</v>
      </c>
      <c r="M2761" s="50">
        <f t="shared" si="160"/>
        <v>10</v>
      </c>
      <c r="N2761" s="50" t="s">
        <v>2</v>
      </c>
      <c r="O2761" s="74">
        <f>1/4/2</f>
        <v>0.125</v>
      </c>
      <c r="P2761" s="50">
        <v>6</v>
      </c>
      <c r="Q2761" s="74">
        <v>6.43</v>
      </c>
      <c r="R2761" s="50">
        <v>15</v>
      </c>
      <c r="S2761" s="74">
        <f>5/2</f>
        <v>2.5</v>
      </c>
      <c r="T2761" s="50">
        <v>0.06</v>
      </c>
      <c r="U2761" s="131">
        <v>0.72</v>
      </c>
      <c r="V2761" s="50">
        <v>0.08</v>
      </c>
      <c r="W2761" s="74">
        <v>0.01</v>
      </c>
      <c r="X2761" s="50">
        <v>9.7000000000000003E-2</v>
      </c>
      <c r="Y2761" s="74">
        <f>0.002/2</f>
        <v>1E-3</v>
      </c>
      <c r="Z2761" s="165">
        <v>1</v>
      </c>
      <c r="AA2761" s="271">
        <v>0.72</v>
      </c>
      <c r="AB2761" s="114">
        <v>4</v>
      </c>
      <c r="AC2761" s="50">
        <v>13</v>
      </c>
      <c r="AD2761" s="271">
        <v>0.05</v>
      </c>
    </row>
    <row r="2762" spans="1:43" ht="15" customHeight="1">
      <c r="A2762" s="41" t="s">
        <v>183</v>
      </c>
      <c r="B2762" s="402" t="s">
        <v>2029</v>
      </c>
      <c r="C2762" s="113" t="s">
        <v>2030</v>
      </c>
      <c r="D2762" s="393" t="s">
        <v>303</v>
      </c>
      <c r="E2762" s="394" t="s">
        <v>2031</v>
      </c>
      <c r="G2762" s="405" t="s">
        <v>2032</v>
      </c>
      <c r="H2762" s="113">
        <v>3231</v>
      </c>
      <c r="I2762" s="49" t="s">
        <v>2</v>
      </c>
      <c r="J2762" s="48" t="s">
        <v>2033</v>
      </c>
      <c r="K2762" s="51">
        <v>41579</v>
      </c>
      <c r="L2762" s="173">
        <v>41554</v>
      </c>
      <c r="M2762" s="50">
        <f t="shared" si="160"/>
        <v>25</v>
      </c>
      <c r="N2762" s="50" t="s">
        <v>2</v>
      </c>
      <c r="X2762" s="50">
        <v>4.5999999999999999E-2</v>
      </c>
      <c r="Z2762" s="165"/>
    </row>
    <row r="2763" spans="1:43" ht="15" customHeight="1">
      <c r="A2763" s="41" t="s">
        <v>183</v>
      </c>
      <c r="B2763" s="402" t="s">
        <v>2029</v>
      </c>
      <c r="C2763" s="113" t="s">
        <v>2030</v>
      </c>
      <c r="D2763" s="393" t="s">
        <v>303</v>
      </c>
      <c r="E2763" s="394" t="s">
        <v>2031</v>
      </c>
      <c r="G2763" s="405" t="s">
        <v>2032</v>
      </c>
      <c r="H2763" s="113">
        <v>3231</v>
      </c>
      <c r="I2763" s="49" t="s">
        <v>2</v>
      </c>
      <c r="J2763" s="48" t="s">
        <v>2034</v>
      </c>
      <c r="K2763" s="51">
        <v>41579</v>
      </c>
      <c r="L2763" s="173">
        <v>41554</v>
      </c>
      <c r="M2763" s="50">
        <f t="shared" si="160"/>
        <v>25</v>
      </c>
      <c r="N2763" s="50" t="s">
        <v>2</v>
      </c>
      <c r="X2763" s="50">
        <v>0.52600000000000002</v>
      </c>
      <c r="Z2763" s="165"/>
    </row>
    <row r="2764" spans="1:43" ht="15" customHeight="1">
      <c r="A2764" s="74" t="s">
        <v>183</v>
      </c>
      <c r="B2764" s="402" t="s">
        <v>4379</v>
      </c>
      <c r="C2764" s="113" t="s">
        <v>4379</v>
      </c>
      <c r="D2764" s="393" t="s">
        <v>3869</v>
      </c>
      <c r="E2764" s="394" t="s">
        <v>5095</v>
      </c>
      <c r="F2764" s="402">
        <v>4204</v>
      </c>
      <c r="G2764" s="405" t="s">
        <v>4381</v>
      </c>
      <c r="H2764" s="74">
        <v>3491</v>
      </c>
      <c r="I2764" s="50" t="s">
        <v>2</v>
      </c>
      <c r="J2764" s="74" t="s">
        <v>3144</v>
      </c>
      <c r="K2764" s="51">
        <v>41529</v>
      </c>
      <c r="L2764" s="173">
        <v>41512</v>
      </c>
      <c r="M2764" s="50">
        <f t="shared" si="160"/>
        <v>17</v>
      </c>
      <c r="N2764" s="50" t="s">
        <v>2</v>
      </c>
      <c r="O2764" s="74">
        <f>1.8/2</f>
        <v>0.9</v>
      </c>
      <c r="P2764" s="50">
        <v>4.8</v>
      </c>
      <c r="Q2764" s="74">
        <v>7.8</v>
      </c>
      <c r="R2764" s="50">
        <v>37</v>
      </c>
      <c r="S2764" s="74">
        <v>245</v>
      </c>
      <c r="T2764" s="50">
        <v>0.14399999999999999</v>
      </c>
      <c r="U2764" s="131">
        <v>1.7</v>
      </c>
      <c r="V2764" s="50">
        <v>1.4</v>
      </c>
      <c r="W2764" s="74">
        <v>1.7000000000000001E-2</v>
      </c>
      <c r="X2764" s="50">
        <v>5.5E-2</v>
      </c>
      <c r="Y2764" s="74">
        <v>5.1000000000000004E-3</v>
      </c>
      <c r="Z2764" s="165">
        <v>1</v>
      </c>
      <c r="AA2764" s="271">
        <v>1</v>
      </c>
      <c r="AB2764" s="114">
        <v>18</v>
      </c>
      <c r="AC2764" s="50">
        <v>89</v>
      </c>
      <c r="AD2764" s="271">
        <v>1</v>
      </c>
    </row>
    <row r="2765" spans="1:43" ht="15" customHeight="1">
      <c r="A2765" s="41" t="s">
        <v>183</v>
      </c>
      <c r="B2765" s="402" t="s">
        <v>5480</v>
      </c>
      <c r="D2765" s="393" t="s">
        <v>836</v>
      </c>
      <c r="E2765" s="394" t="s">
        <v>5481</v>
      </c>
      <c r="G2765" s="405" t="s">
        <v>5482</v>
      </c>
      <c r="H2765" s="74">
        <v>3357</v>
      </c>
      <c r="I2765" s="50" t="s">
        <v>2</v>
      </c>
      <c r="J2765" s="339" t="s">
        <v>569</v>
      </c>
      <c r="K2765" s="51">
        <v>41579</v>
      </c>
      <c r="L2765" s="173">
        <v>41554</v>
      </c>
      <c r="M2765" s="50">
        <f t="shared" si="160"/>
        <v>25</v>
      </c>
      <c r="N2765" s="50" t="s">
        <v>2</v>
      </c>
      <c r="O2765" s="74">
        <f>1.8/2</f>
        <v>0.9</v>
      </c>
      <c r="P2765" s="50">
        <v>5.9</v>
      </c>
      <c r="Q2765" s="74">
        <v>5.5</v>
      </c>
      <c r="R2765" s="50">
        <v>36</v>
      </c>
      <c r="S2765" s="74">
        <v>23.7</v>
      </c>
      <c r="T2765" s="50">
        <v>0.105</v>
      </c>
      <c r="U2765" s="131">
        <f>1/2</f>
        <v>0.5</v>
      </c>
      <c r="V2765" s="50">
        <f>0.46/2</f>
        <v>0.23</v>
      </c>
      <c r="W2765" s="74">
        <f>0.005/2</f>
        <v>2.5000000000000001E-3</v>
      </c>
      <c r="X2765" s="50">
        <v>3.4000000000000002E-2</v>
      </c>
      <c r="Y2765" s="74">
        <v>3.1E-2</v>
      </c>
      <c r="Z2765" s="165">
        <v>1</v>
      </c>
      <c r="AA2765" s="271">
        <v>1</v>
      </c>
      <c r="AB2765" s="114">
        <f>2/2</f>
        <v>1</v>
      </c>
      <c r="AC2765" s="50">
        <v>8</v>
      </c>
      <c r="AD2765" s="271">
        <v>1</v>
      </c>
    </row>
    <row r="2766" spans="1:43" ht="15" customHeight="1">
      <c r="A2766" s="41" t="s">
        <v>183</v>
      </c>
      <c r="B2766" s="402" t="s">
        <v>4439</v>
      </c>
      <c r="D2766" s="393" t="s">
        <v>41</v>
      </c>
      <c r="G2766" s="405" t="s">
        <v>5483</v>
      </c>
      <c r="H2766" s="74">
        <v>3724</v>
      </c>
      <c r="I2766" s="50" t="s">
        <v>2</v>
      </c>
      <c r="J2766" s="339" t="s">
        <v>5484</v>
      </c>
      <c r="K2766" s="51">
        <v>41554</v>
      </c>
      <c r="L2766" s="173"/>
      <c r="N2766" s="50" t="s">
        <v>2</v>
      </c>
      <c r="O2766" s="74">
        <f>2/2</f>
        <v>1</v>
      </c>
      <c r="P2766" s="50">
        <v>7.68</v>
      </c>
      <c r="Q2766" s="74">
        <v>7.4</v>
      </c>
      <c r="R2766" s="50">
        <v>14</v>
      </c>
      <c r="S2766" s="74">
        <v>7</v>
      </c>
      <c r="T2766" s="50">
        <f>0.05/2</f>
        <v>2.5000000000000001E-2</v>
      </c>
      <c r="U2766" s="131">
        <v>0.82</v>
      </c>
      <c r="V2766" s="50">
        <v>0.6</v>
      </c>
      <c r="W2766" s="74">
        <v>2.9000000000000001E-2</v>
      </c>
      <c r="X2766" s="50">
        <v>0.23</v>
      </c>
      <c r="Y2766" s="74">
        <f>0.03/2</f>
        <v>1.4999999999999999E-2</v>
      </c>
      <c r="Z2766" s="165">
        <v>1</v>
      </c>
      <c r="AA2766" s="271">
        <v>1</v>
      </c>
      <c r="AB2766" s="114">
        <v>18</v>
      </c>
      <c r="AC2766" s="50">
        <v>147</v>
      </c>
      <c r="AD2766" s="271">
        <v>1</v>
      </c>
    </row>
    <row r="2767" spans="1:43" ht="15" customHeight="1">
      <c r="A2767" s="41" t="s">
        <v>183</v>
      </c>
      <c r="B2767" s="402" t="s">
        <v>4402</v>
      </c>
      <c r="C2767" s="113" t="s">
        <v>4402</v>
      </c>
      <c r="D2767" s="393" t="s">
        <v>372</v>
      </c>
      <c r="E2767" s="394" t="s">
        <v>309</v>
      </c>
      <c r="G2767" s="405" t="s">
        <v>4403</v>
      </c>
      <c r="H2767" s="74">
        <v>3679</v>
      </c>
      <c r="I2767" s="50" t="s">
        <v>2</v>
      </c>
      <c r="J2767" s="339" t="s">
        <v>1030</v>
      </c>
      <c r="K2767" s="51">
        <v>41529</v>
      </c>
      <c r="L2767" s="173">
        <v>41519</v>
      </c>
      <c r="M2767" s="50">
        <f t="shared" ref="M2767:M2798" si="162">K2767-L2767</f>
        <v>10</v>
      </c>
      <c r="N2767" s="50" t="s">
        <v>2</v>
      </c>
      <c r="O2767" s="74">
        <v>3.3</v>
      </c>
      <c r="P2767" s="50">
        <v>7.42</v>
      </c>
      <c r="Q2767" s="74">
        <v>4.5999999999999996</v>
      </c>
      <c r="R2767" s="50">
        <f>20/2</f>
        <v>10</v>
      </c>
      <c r="S2767" s="74">
        <v>4.8</v>
      </c>
      <c r="T2767" s="50">
        <v>0.03</v>
      </c>
      <c r="U2767" s="131">
        <v>1.1000000000000001</v>
      </c>
      <c r="V2767" s="50">
        <v>0.85</v>
      </c>
      <c r="W2767" s="74">
        <f>0.005/2</f>
        <v>2.5000000000000001E-3</v>
      </c>
      <c r="X2767" s="50">
        <v>3.9E-2</v>
      </c>
      <c r="Y2767" s="74">
        <v>2.53E-2</v>
      </c>
      <c r="Z2767" s="165">
        <v>1</v>
      </c>
      <c r="AA2767" s="271">
        <v>0.73499999999999999</v>
      </c>
      <c r="AB2767" s="114">
        <v>2</v>
      </c>
      <c r="AC2767" s="50">
        <v>20</v>
      </c>
      <c r="AD2767" s="271">
        <v>0.1</v>
      </c>
    </row>
    <row r="2768" spans="1:43" ht="15" customHeight="1">
      <c r="A2768" s="41" t="s">
        <v>183</v>
      </c>
      <c r="B2768" s="402" t="s">
        <v>2260</v>
      </c>
      <c r="D2768" s="393" t="s">
        <v>347</v>
      </c>
      <c r="E2768" s="394" t="s">
        <v>1874</v>
      </c>
      <c r="G2768" s="405" t="s">
        <v>1875</v>
      </c>
      <c r="H2768" s="74">
        <v>3569</v>
      </c>
      <c r="I2768" s="50" t="s">
        <v>2</v>
      </c>
      <c r="J2768" s="339" t="s">
        <v>510</v>
      </c>
      <c r="K2768" s="51">
        <v>41600</v>
      </c>
      <c r="L2768" s="173">
        <v>41596</v>
      </c>
      <c r="M2768" s="50">
        <f t="shared" si="162"/>
        <v>4</v>
      </c>
      <c r="N2768" s="50" t="s">
        <v>2</v>
      </c>
      <c r="X2768" s="50">
        <v>0.27</v>
      </c>
      <c r="Z2768" s="165"/>
    </row>
    <row r="2769" spans="1:30" ht="15" customHeight="1">
      <c r="A2769" s="41" t="s">
        <v>183</v>
      </c>
      <c r="B2769" s="402" t="s">
        <v>3245</v>
      </c>
      <c r="C2769" s="113" t="s">
        <v>3245</v>
      </c>
      <c r="D2769" s="393" t="s">
        <v>314</v>
      </c>
      <c r="E2769" s="394" t="s">
        <v>3096</v>
      </c>
      <c r="G2769" s="405" t="s">
        <v>3097</v>
      </c>
      <c r="H2769" s="74">
        <v>3544</v>
      </c>
      <c r="I2769" s="50" t="s">
        <v>2</v>
      </c>
      <c r="J2769" s="339" t="s">
        <v>510</v>
      </c>
      <c r="K2769" s="51">
        <v>41585</v>
      </c>
      <c r="L2769" s="173">
        <v>41579</v>
      </c>
      <c r="M2769" s="50">
        <f t="shared" si="162"/>
        <v>6</v>
      </c>
      <c r="N2769" s="50" t="s">
        <v>2</v>
      </c>
      <c r="U2769" s="131">
        <v>1.49</v>
      </c>
      <c r="X2769" s="50">
        <v>0.191</v>
      </c>
      <c r="Z2769" s="165"/>
    </row>
    <row r="2770" spans="1:30" ht="15" customHeight="1">
      <c r="A2770" s="41" t="s">
        <v>183</v>
      </c>
      <c r="B2770" s="402" t="s">
        <v>3255</v>
      </c>
      <c r="C2770" s="113" t="s">
        <v>3255</v>
      </c>
      <c r="D2770" s="393" t="s">
        <v>1490</v>
      </c>
      <c r="F2770" s="402" t="s">
        <v>3256</v>
      </c>
      <c r="G2770" s="405" t="s">
        <v>3257</v>
      </c>
      <c r="H2770" s="74">
        <v>3089</v>
      </c>
      <c r="I2770" s="50" t="s">
        <v>1</v>
      </c>
      <c r="J2770" s="339" t="s">
        <v>700</v>
      </c>
      <c r="K2770" s="51">
        <v>41604</v>
      </c>
      <c r="L2770" s="173">
        <v>41600</v>
      </c>
      <c r="M2770" s="50">
        <f t="shared" si="162"/>
        <v>4</v>
      </c>
      <c r="N2770" s="50" t="s">
        <v>2</v>
      </c>
      <c r="V2770" s="50">
        <f>0.46/2</f>
        <v>0.23</v>
      </c>
      <c r="X2770" s="50">
        <v>6.7000000000000004E-2</v>
      </c>
      <c r="Z2770" s="165"/>
    </row>
    <row r="2771" spans="1:30" ht="15" customHeight="1">
      <c r="A2771" s="41" t="s">
        <v>183</v>
      </c>
      <c r="B2771" s="402" t="s">
        <v>3287</v>
      </c>
      <c r="D2771" s="393" t="s">
        <v>462</v>
      </c>
      <c r="E2771" s="394" t="s">
        <v>3290</v>
      </c>
      <c r="G2771" s="405" t="s">
        <v>3291</v>
      </c>
      <c r="H2771" s="74">
        <v>3471</v>
      </c>
      <c r="I2771" s="50" t="s">
        <v>2</v>
      </c>
      <c r="J2771" s="339" t="s">
        <v>3187</v>
      </c>
      <c r="K2771" s="51">
        <v>41585</v>
      </c>
      <c r="L2771" s="173">
        <v>41579</v>
      </c>
      <c r="M2771" s="50">
        <f t="shared" si="162"/>
        <v>6</v>
      </c>
      <c r="N2771" s="50" t="s">
        <v>2</v>
      </c>
      <c r="O2771" s="74">
        <v>2.4</v>
      </c>
      <c r="P2771" s="50">
        <v>4.9000000000000004</v>
      </c>
      <c r="Q2771" s="74">
        <v>6.2</v>
      </c>
      <c r="R2771" s="50">
        <v>55</v>
      </c>
      <c r="S2771" s="74">
        <v>8</v>
      </c>
      <c r="T2771" s="50">
        <v>0.13</v>
      </c>
      <c r="U2771" s="131">
        <f>1/2</f>
        <v>0.5</v>
      </c>
      <c r="V2771" s="50">
        <v>0.2</v>
      </c>
      <c r="W2771" s="74">
        <v>9.5999999999999992E-3</v>
      </c>
      <c r="X2771" s="50">
        <v>3.6999999999999998E-2</v>
      </c>
      <c r="Y2771" s="74">
        <f>0.005/2</f>
        <v>2.5000000000000001E-3</v>
      </c>
      <c r="Z2771" s="165"/>
    </row>
    <row r="2772" spans="1:30" ht="15" customHeight="1">
      <c r="A2772" s="41" t="s">
        <v>183</v>
      </c>
      <c r="B2772" s="402" t="s">
        <v>3287</v>
      </c>
      <c r="D2772" s="393" t="s">
        <v>462</v>
      </c>
      <c r="E2772" s="394" t="s">
        <v>3290</v>
      </c>
      <c r="G2772" s="405" t="s">
        <v>3291</v>
      </c>
      <c r="H2772" s="74">
        <v>3471</v>
      </c>
      <c r="I2772" s="50" t="s">
        <v>2</v>
      </c>
      <c r="J2772" s="339" t="s">
        <v>3292</v>
      </c>
      <c r="K2772" s="51">
        <v>41585</v>
      </c>
      <c r="L2772" s="173">
        <v>41579</v>
      </c>
      <c r="M2772" s="50">
        <f t="shared" si="162"/>
        <v>6</v>
      </c>
      <c r="N2772" s="50" t="s">
        <v>2</v>
      </c>
      <c r="O2772" s="74">
        <f>1.6/2</f>
        <v>0.8</v>
      </c>
      <c r="P2772" s="50">
        <v>4.9000000000000004</v>
      </c>
      <c r="Q2772" s="74">
        <v>6.4</v>
      </c>
      <c r="R2772" s="50">
        <v>31</v>
      </c>
      <c r="S2772" s="74">
        <v>14</v>
      </c>
      <c r="T2772" s="50">
        <v>0.1</v>
      </c>
      <c r="U2772" s="131">
        <f>1/2</f>
        <v>0.5</v>
      </c>
      <c r="V2772" s="50">
        <v>0.24</v>
      </c>
      <c r="W2772" s="74">
        <v>1.2E-2</v>
      </c>
      <c r="X2772" s="50">
        <v>2.5999999999999999E-2</v>
      </c>
      <c r="Y2772" s="74">
        <f>0.005/2</f>
        <v>2.5000000000000001E-3</v>
      </c>
      <c r="Z2772" s="165"/>
    </row>
    <row r="2773" spans="1:30" ht="15" customHeight="1">
      <c r="A2773" s="41" t="s">
        <v>183</v>
      </c>
      <c r="B2773" s="402" t="s">
        <v>4297</v>
      </c>
      <c r="C2773" s="113" t="s">
        <v>4312</v>
      </c>
      <c r="D2773" s="393" t="s">
        <v>640</v>
      </c>
      <c r="E2773" s="394" t="s">
        <v>4447</v>
      </c>
      <c r="G2773" s="405" t="s">
        <v>4313</v>
      </c>
      <c r="H2773" s="74"/>
      <c r="I2773" s="50" t="s">
        <v>2</v>
      </c>
      <c r="J2773" s="339" t="s">
        <v>510</v>
      </c>
      <c r="K2773" s="51">
        <v>41585</v>
      </c>
      <c r="L2773" s="173">
        <v>41554</v>
      </c>
      <c r="M2773" s="50">
        <f t="shared" si="162"/>
        <v>31</v>
      </c>
      <c r="N2773" s="50" t="s">
        <v>2</v>
      </c>
      <c r="O2773" s="74">
        <v>0.7</v>
      </c>
      <c r="P2773" s="50">
        <v>6</v>
      </c>
      <c r="Q2773" s="74">
        <v>7.08</v>
      </c>
      <c r="R2773" s="50">
        <v>26</v>
      </c>
      <c r="S2773" s="74">
        <v>2.5</v>
      </c>
      <c r="T2773" s="50">
        <v>0.14000000000000001</v>
      </c>
      <c r="U2773" s="131">
        <v>1.05</v>
      </c>
      <c r="V2773" s="50">
        <v>0.54</v>
      </c>
      <c r="W2773" s="74">
        <v>2.5000000000000001E-3</v>
      </c>
      <c r="X2773" s="50">
        <v>1.6E-2</v>
      </c>
      <c r="Y2773" s="74">
        <v>1E-3</v>
      </c>
      <c r="Z2773" s="165"/>
    </row>
    <row r="2774" spans="1:30" ht="15" customHeight="1">
      <c r="A2774" s="41" t="s">
        <v>183</v>
      </c>
      <c r="B2774" s="402" t="s">
        <v>4297</v>
      </c>
      <c r="C2774" s="113" t="s">
        <v>4312</v>
      </c>
      <c r="D2774" s="393" t="s">
        <v>640</v>
      </c>
      <c r="E2774" s="394" t="s">
        <v>4447</v>
      </c>
      <c r="G2774" s="405" t="s">
        <v>4313</v>
      </c>
      <c r="H2774" s="74"/>
      <c r="I2774" s="50" t="s">
        <v>2</v>
      </c>
      <c r="J2774" s="339" t="s">
        <v>460</v>
      </c>
      <c r="K2774" s="51">
        <v>41585</v>
      </c>
      <c r="L2774" s="173">
        <v>41554</v>
      </c>
      <c r="M2774" s="50">
        <f t="shared" si="162"/>
        <v>31</v>
      </c>
      <c r="N2774" s="50" t="s">
        <v>2</v>
      </c>
      <c r="O2774" s="74">
        <v>0.7</v>
      </c>
      <c r="P2774" s="50">
        <v>5.6</v>
      </c>
      <c r="Q2774" s="74">
        <v>6.93</v>
      </c>
      <c r="R2774" s="50">
        <v>17</v>
      </c>
      <c r="S2774" s="74">
        <v>5.5</v>
      </c>
      <c r="T2774" s="50">
        <v>0.04</v>
      </c>
      <c r="U2774" s="131">
        <v>0.53</v>
      </c>
      <c r="V2774" s="50">
        <v>0.25</v>
      </c>
      <c r="W2774" s="74">
        <v>1.0999999999999999E-2</v>
      </c>
      <c r="X2774" s="50">
        <v>1.2999999999999999E-2</v>
      </c>
      <c r="Y2774" s="74">
        <v>1E-3</v>
      </c>
      <c r="Z2774" s="165"/>
    </row>
    <row r="2775" spans="1:30" ht="15" customHeight="1">
      <c r="A2775" s="41" t="s">
        <v>183</v>
      </c>
      <c r="B2775" s="402" t="s">
        <v>5485</v>
      </c>
      <c r="D2775" s="393" t="s">
        <v>379</v>
      </c>
      <c r="E2775" s="394" t="s">
        <v>214</v>
      </c>
      <c r="G2775" s="405" t="s">
        <v>5486</v>
      </c>
      <c r="H2775" s="74">
        <v>3316</v>
      </c>
      <c r="I2775" s="50" t="s">
        <v>1</v>
      </c>
      <c r="J2775" s="339" t="s">
        <v>249</v>
      </c>
      <c r="K2775" s="51">
        <v>41579</v>
      </c>
      <c r="L2775" s="173">
        <v>41566</v>
      </c>
      <c r="M2775" s="50">
        <f t="shared" si="162"/>
        <v>13</v>
      </c>
      <c r="N2775" s="50" t="s">
        <v>2</v>
      </c>
      <c r="O2775" s="74">
        <v>10.199999999999999</v>
      </c>
      <c r="P2775" s="50">
        <v>5.9</v>
      </c>
      <c r="Q2775" s="74">
        <v>5</v>
      </c>
      <c r="R2775" s="50">
        <f>20/2</f>
        <v>10</v>
      </c>
      <c r="S2775" s="74">
        <f>1.3/2</f>
        <v>0.65</v>
      </c>
      <c r="T2775" s="50">
        <v>1.0999999999999999E-2</v>
      </c>
      <c r="U2775" s="131">
        <f>1/2</f>
        <v>0.5</v>
      </c>
      <c r="V2775" s="50">
        <v>0.67</v>
      </c>
      <c r="W2775" s="74">
        <v>1.6E-2</v>
      </c>
      <c r="X2775" s="50">
        <v>0.223</v>
      </c>
      <c r="Y2775" s="74">
        <v>5.5E-2</v>
      </c>
      <c r="Z2775" s="165"/>
    </row>
    <row r="2776" spans="1:30" ht="15" customHeight="1">
      <c r="A2776" s="41" t="s">
        <v>183</v>
      </c>
      <c r="B2776" s="402" t="s">
        <v>5485</v>
      </c>
      <c r="D2776" s="393" t="s">
        <v>379</v>
      </c>
      <c r="E2776" s="394" t="s">
        <v>214</v>
      </c>
      <c r="G2776" s="405" t="s">
        <v>5486</v>
      </c>
      <c r="H2776" s="74">
        <v>3316</v>
      </c>
      <c r="I2776" s="50" t="s">
        <v>1</v>
      </c>
      <c r="J2776" s="339" t="s">
        <v>249</v>
      </c>
      <c r="K2776" s="51">
        <v>41579</v>
      </c>
      <c r="L2776" s="173">
        <v>41566</v>
      </c>
      <c r="M2776" s="50">
        <f t="shared" si="162"/>
        <v>13</v>
      </c>
      <c r="N2776" s="50" t="s">
        <v>2</v>
      </c>
      <c r="O2776" s="74">
        <f>1.9/2</f>
        <v>0.95</v>
      </c>
      <c r="P2776" s="50">
        <v>5.9</v>
      </c>
      <c r="Q2776" s="74">
        <v>6</v>
      </c>
      <c r="R2776" s="50">
        <v>23</v>
      </c>
      <c r="S2776" s="74">
        <v>7.8</v>
      </c>
      <c r="T2776" s="50">
        <v>6.8000000000000005E-2</v>
      </c>
      <c r="U2776" s="131">
        <f>1/2</f>
        <v>0.5</v>
      </c>
      <c r="V2776" s="50">
        <v>0.46</v>
      </c>
      <c r="W2776" s="74">
        <f>0.005/2</f>
        <v>2.5000000000000001E-3</v>
      </c>
      <c r="X2776" s="50">
        <v>0.111</v>
      </c>
      <c r="Y2776" s="74">
        <f>0.005/2</f>
        <v>2.5000000000000001E-3</v>
      </c>
      <c r="Z2776" s="165"/>
    </row>
    <row r="2777" spans="1:30" ht="15" customHeight="1">
      <c r="A2777" s="41" t="s">
        <v>183</v>
      </c>
      <c r="B2777" s="402" t="s">
        <v>2065</v>
      </c>
      <c r="D2777" s="393" t="s">
        <v>314</v>
      </c>
      <c r="E2777" s="394" t="s">
        <v>49</v>
      </c>
      <c r="G2777" s="405" t="s">
        <v>3590</v>
      </c>
      <c r="H2777" s="74">
        <v>3444</v>
      </c>
      <c r="I2777" s="50" t="s">
        <v>2</v>
      </c>
      <c r="J2777" s="339" t="s">
        <v>81</v>
      </c>
      <c r="K2777" s="51">
        <v>41539</v>
      </c>
      <c r="L2777" s="173">
        <v>41529</v>
      </c>
      <c r="M2777" s="50">
        <f t="shared" si="162"/>
        <v>10</v>
      </c>
      <c r="N2777" s="50" t="s">
        <v>2</v>
      </c>
      <c r="O2777" s="74">
        <f>1.4/2</f>
        <v>0.7</v>
      </c>
      <c r="P2777" s="50">
        <v>5.34</v>
      </c>
      <c r="Q2777" s="74">
        <v>5.43</v>
      </c>
      <c r="R2777" s="50">
        <f>10/2</f>
        <v>5</v>
      </c>
      <c r="S2777" s="74">
        <v>7.5</v>
      </c>
      <c r="T2777" s="50">
        <v>0.04</v>
      </c>
      <c r="U2777" s="131">
        <v>0.35</v>
      </c>
      <c r="V2777" s="50">
        <v>0.1</v>
      </c>
      <c r="W2777" s="74">
        <f>0.005/2</f>
        <v>2.5000000000000001E-3</v>
      </c>
      <c r="X2777" s="50">
        <v>5.2999999999999999E-2</v>
      </c>
      <c r="Y2777" s="74">
        <f>0.002/2</f>
        <v>1E-3</v>
      </c>
      <c r="Z2777" s="165"/>
    </row>
    <row r="2778" spans="1:30" ht="15" customHeight="1">
      <c r="A2778" s="41" t="s">
        <v>183</v>
      </c>
      <c r="B2778" s="402" t="s">
        <v>2065</v>
      </c>
      <c r="D2778" s="393" t="s">
        <v>314</v>
      </c>
      <c r="E2778" s="394" t="s">
        <v>49</v>
      </c>
      <c r="G2778" s="405" t="s">
        <v>3590</v>
      </c>
      <c r="H2778" s="74">
        <v>3724</v>
      </c>
      <c r="I2778" s="50" t="s">
        <v>2</v>
      </c>
      <c r="J2778" s="339" t="s">
        <v>925</v>
      </c>
      <c r="K2778" s="51">
        <v>41605</v>
      </c>
      <c r="L2778" s="173">
        <v>41600</v>
      </c>
      <c r="M2778" s="50">
        <f t="shared" si="162"/>
        <v>5</v>
      </c>
      <c r="N2778" s="50" t="s">
        <v>2</v>
      </c>
      <c r="O2778" s="74">
        <f>1/2</f>
        <v>0.5</v>
      </c>
      <c r="P2778" s="50">
        <v>6.5</v>
      </c>
      <c r="Q2778" s="74">
        <v>8.1999999999999993</v>
      </c>
      <c r="R2778" s="50">
        <v>21</v>
      </c>
      <c r="S2778" s="74">
        <v>26</v>
      </c>
      <c r="T2778" s="50">
        <v>0.12</v>
      </c>
      <c r="U2778" s="131">
        <v>1.6</v>
      </c>
      <c r="V2778" s="50">
        <v>6.4000000000000001E-2</v>
      </c>
      <c r="W2778" s="74">
        <v>8.8999999999999999E-3</v>
      </c>
      <c r="X2778" s="50">
        <v>0.1</v>
      </c>
      <c r="Y2778" s="74">
        <v>8.0000000000000002E-3</v>
      </c>
      <c r="Z2778" s="165"/>
    </row>
    <row r="2779" spans="1:30" ht="15" customHeight="1">
      <c r="A2779" s="41" t="s">
        <v>183</v>
      </c>
      <c r="B2779" s="385" t="s">
        <v>4323</v>
      </c>
      <c r="C2779" s="18" t="s">
        <v>4323</v>
      </c>
      <c r="D2779" s="377" t="s">
        <v>735</v>
      </c>
      <c r="E2779" s="20" t="s">
        <v>1937</v>
      </c>
      <c r="F2779" s="385"/>
      <c r="G2779" s="390" t="s">
        <v>1938</v>
      </c>
      <c r="H2779" s="6">
        <v>3441</v>
      </c>
      <c r="I2779" s="7" t="s">
        <v>2</v>
      </c>
      <c r="J2779" s="344" t="s">
        <v>3251</v>
      </c>
      <c r="K2779" s="51">
        <v>41585</v>
      </c>
      <c r="L2779" s="173">
        <v>41551</v>
      </c>
      <c r="M2779" s="50">
        <f t="shared" si="162"/>
        <v>34</v>
      </c>
      <c r="N2779" s="50" t="s">
        <v>2</v>
      </c>
      <c r="O2779" s="74">
        <f>1.4/2</f>
        <v>0.7</v>
      </c>
      <c r="P2779" s="50">
        <v>6.32</v>
      </c>
      <c r="Q2779" s="74">
        <v>6.68</v>
      </c>
      <c r="R2779" s="50">
        <v>26</v>
      </c>
      <c r="S2779" s="74">
        <v>57</v>
      </c>
      <c r="T2779" s="50">
        <v>0.12</v>
      </c>
      <c r="U2779" s="131">
        <v>0.73</v>
      </c>
      <c r="V2779" s="50">
        <v>0.6</v>
      </c>
      <c r="W2779" s="74">
        <v>8.0000000000000002E-3</v>
      </c>
      <c r="X2779" s="50">
        <v>0.443</v>
      </c>
      <c r="Y2779" s="74">
        <v>5.0000000000000001E-3</v>
      </c>
      <c r="Z2779" s="165">
        <v>0.73499999999999999</v>
      </c>
      <c r="AA2779" s="271">
        <v>0.45200000000000001</v>
      </c>
      <c r="AB2779" s="114">
        <v>4</v>
      </c>
      <c r="AC2779" s="50">
        <v>44</v>
      </c>
      <c r="AD2779" s="271">
        <v>0</v>
      </c>
    </row>
    <row r="2780" spans="1:30" ht="15" customHeight="1">
      <c r="A2780" s="41" t="s">
        <v>183</v>
      </c>
      <c r="B2780" s="385" t="s">
        <v>4323</v>
      </c>
      <c r="C2780" s="18" t="s">
        <v>4323</v>
      </c>
      <c r="D2780" s="377" t="s">
        <v>735</v>
      </c>
      <c r="E2780" s="20" t="s">
        <v>1937</v>
      </c>
      <c r="F2780" s="385"/>
      <c r="G2780" s="390" t="s">
        <v>1938</v>
      </c>
      <c r="H2780" s="6">
        <v>3441</v>
      </c>
      <c r="I2780" s="7" t="s">
        <v>2</v>
      </c>
      <c r="J2780" s="344" t="s">
        <v>2494</v>
      </c>
      <c r="K2780" s="51">
        <v>41585</v>
      </c>
      <c r="L2780" s="173">
        <v>41551</v>
      </c>
      <c r="M2780" s="50">
        <f t="shared" si="162"/>
        <v>34</v>
      </c>
      <c r="N2780" s="50" t="s">
        <v>2</v>
      </c>
      <c r="O2780" s="74">
        <f>1.4/2</f>
        <v>0.7</v>
      </c>
      <c r="P2780" s="50">
        <v>6.26</v>
      </c>
      <c r="Q2780" s="74">
        <v>6.98</v>
      </c>
      <c r="R2780" s="50">
        <v>94</v>
      </c>
      <c r="S2780" s="74">
        <v>31</v>
      </c>
      <c r="T2780" s="50">
        <v>0.44</v>
      </c>
      <c r="U2780" s="131">
        <v>1.1299999999999999</v>
      </c>
      <c r="V2780" s="50">
        <v>0.31</v>
      </c>
      <c r="W2780" s="74">
        <v>1.4999999999999999E-2</v>
      </c>
      <c r="X2780" s="50">
        <v>0.111</v>
      </c>
      <c r="Y2780" s="74">
        <v>1.6E-2</v>
      </c>
      <c r="Z2780" s="165">
        <v>1</v>
      </c>
      <c r="AA2780" s="271">
        <v>1</v>
      </c>
      <c r="AB2780" s="114">
        <v>18</v>
      </c>
      <c r="AC2780" s="50">
        <v>84</v>
      </c>
      <c r="AD2780" s="271">
        <v>1</v>
      </c>
    </row>
    <row r="2781" spans="1:30" ht="15" customHeight="1">
      <c r="A2781" s="41" t="s">
        <v>183</v>
      </c>
      <c r="B2781" s="402" t="s">
        <v>5487</v>
      </c>
      <c r="C2781" s="113" t="s">
        <v>5487</v>
      </c>
      <c r="D2781" s="393" t="s">
        <v>56</v>
      </c>
      <c r="E2781" s="394" t="s">
        <v>5488</v>
      </c>
      <c r="F2781" s="402" t="s">
        <v>5489</v>
      </c>
      <c r="G2781" s="405" t="s">
        <v>5490</v>
      </c>
      <c r="H2781" s="74">
        <v>2819</v>
      </c>
      <c r="I2781" s="50" t="s">
        <v>2</v>
      </c>
      <c r="J2781" s="339" t="s">
        <v>366</v>
      </c>
      <c r="K2781" s="51">
        <v>41201</v>
      </c>
      <c r="L2781" s="173">
        <v>41192</v>
      </c>
      <c r="M2781" s="50">
        <f t="shared" si="162"/>
        <v>9</v>
      </c>
      <c r="N2781" s="50" t="s">
        <v>2</v>
      </c>
      <c r="O2781" s="74">
        <v>1</v>
      </c>
      <c r="P2781" s="50">
        <v>6.56</v>
      </c>
      <c r="Q2781" s="74">
        <v>6.75</v>
      </c>
      <c r="R2781" s="50">
        <v>13.8</v>
      </c>
      <c r="S2781" s="74">
        <v>16</v>
      </c>
      <c r="T2781" s="50">
        <v>7.0000000000000007E-2</v>
      </c>
      <c r="U2781" s="131">
        <v>1.55</v>
      </c>
      <c r="V2781" s="50">
        <v>0.25</v>
      </c>
      <c r="W2781" s="74">
        <v>0.03</v>
      </c>
      <c r="X2781" s="50">
        <v>7.0000000000000007E-2</v>
      </c>
      <c r="Y2781" s="74">
        <f>0.02/2</f>
        <v>0.01</v>
      </c>
      <c r="Z2781" s="165">
        <v>0.83299999999999996</v>
      </c>
      <c r="AA2781" s="271">
        <v>0.76500000000000001</v>
      </c>
      <c r="AB2781" s="114">
        <v>7.34</v>
      </c>
      <c r="AC2781" s="50">
        <v>26.8</v>
      </c>
      <c r="AD2781" s="271">
        <v>0.1</v>
      </c>
    </row>
    <row r="2782" spans="1:30" ht="15" customHeight="1">
      <c r="A2782" s="41" t="s">
        <v>183</v>
      </c>
      <c r="B2782" s="402" t="s">
        <v>5487</v>
      </c>
      <c r="C2782" s="113" t="s">
        <v>5487</v>
      </c>
      <c r="D2782" s="393" t="s">
        <v>56</v>
      </c>
      <c r="E2782" s="394" t="s">
        <v>5488</v>
      </c>
      <c r="F2782" s="402" t="s">
        <v>5489</v>
      </c>
      <c r="G2782" s="405" t="s">
        <v>5490</v>
      </c>
      <c r="H2782" s="74">
        <v>2819</v>
      </c>
      <c r="J2782" s="339" t="s">
        <v>366</v>
      </c>
      <c r="K2782" s="51">
        <v>41554</v>
      </c>
      <c r="L2782" s="173">
        <v>41551</v>
      </c>
      <c r="M2782" s="50">
        <f t="shared" si="162"/>
        <v>3</v>
      </c>
      <c r="N2782" s="50" t="s">
        <v>2</v>
      </c>
      <c r="O2782" s="74">
        <f>1/1</f>
        <v>1</v>
      </c>
      <c r="P2782" s="50">
        <v>6.87</v>
      </c>
      <c r="Q2782" s="74">
        <v>6.6</v>
      </c>
      <c r="R2782" s="50">
        <v>10.3</v>
      </c>
      <c r="S2782" s="74">
        <f>1/2</f>
        <v>0.5</v>
      </c>
      <c r="T2782" s="50">
        <v>0.05</v>
      </c>
      <c r="U2782" s="131">
        <v>0.86</v>
      </c>
      <c r="V2782" s="50">
        <v>0.31</v>
      </c>
      <c r="W2782" s="74">
        <v>0.01</v>
      </c>
      <c r="X2782" s="50">
        <v>0.05</v>
      </c>
      <c r="Y2782" s="74">
        <f>0.02/2</f>
        <v>0.01</v>
      </c>
      <c r="Z2782" s="165"/>
    </row>
    <row r="2783" spans="1:30" ht="15" customHeight="1">
      <c r="A2783" s="41" t="s">
        <v>183</v>
      </c>
      <c r="B2783" s="402" t="s">
        <v>2065</v>
      </c>
      <c r="D2783" s="393" t="s">
        <v>314</v>
      </c>
      <c r="E2783" s="394" t="s">
        <v>49</v>
      </c>
      <c r="G2783" s="405" t="s">
        <v>3591</v>
      </c>
      <c r="H2783" s="74">
        <v>3444</v>
      </c>
      <c r="I2783" s="50" t="s">
        <v>2</v>
      </c>
      <c r="J2783" s="339" t="s">
        <v>81</v>
      </c>
      <c r="K2783" s="51">
        <v>41564</v>
      </c>
      <c r="L2783" s="173">
        <v>41554</v>
      </c>
      <c r="M2783" s="50">
        <f t="shared" si="162"/>
        <v>10</v>
      </c>
      <c r="N2783" s="50" t="s">
        <v>2</v>
      </c>
      <c r="O2783" s="74">
        <f>1.4/2</f>
        <v>0.7</v>
      </c>
      <c r="P2783" s="50">
        <v>4.54</v>
      </c>
      <c r="Q2783" s="74">
        <v>5.05</v>
      </c>
      <c r="R2783" s="50">
        <v>116</v>
      </c>
      <c r="S2783" s="74">
        <v>11</v>
      </c>
      <c r="T2783" s="50">
        <v>0.16</v>
      </c>
      <c r="U2783" s="131">
        <v>2.29</v>
      </c>
      <c r="V2783" s="50">
        <v>1.41</v>
      </c>
      <c r="W2783" s="74">
        <v>1.9E-2</v>
      </c>
      <c r="X2783" s="50">
        <v>0.151</v>
      </c>
      <c r="Y2783" s="74">
        <f>0.002/2</f>
        <v>1E-3</v>
      </c>
      <c r="Z2783" s="165"/>
    </row>
    <row r="2784" spans="1:30" ht="15" customHeight="1">
      <c r="A2784" s="41" t="s">
        <v>183</v>
      </c>
      <c r="B2784" s="402" t="s">
        <v>2065</v>
      </c>
      <c r="D2784" s="393" t="s">
        <v>314</v>
      </c>
      <c r="E2784" s="394" t="s">
        <v>49</v>
      </c>
      <c r="G2784" s="405" t="s">
        <v>3591</v>
      </c>
      <c r="H2784" s="74">
        <v>3444</v>
      </c>
      <c r="I2784" s="50" t="s">
        <v>2</v>
      </c>
      <c r="J2784" s="339" t="s">
        <v>81</v>
      </c>
      <c r="K2784" s="51">
        <v>41604</v>
      </c>
      <c r="L2784" s="173">
        <v>41600</v>
      </c>
      <c r="M2784" s="50">
        <f t="shared" si="162"/>
        <v>4</v>
      </c>
      <c r="N2784" s="50" t="s">
        <v>2</v>
      </c>
      <c r="U2784" s="131">
        <v>3.4</v>
      </c>
      <c r="Z2784" s="165"/>
    </row>
    <row r="2785" spans="1:48" ht="15" customHeight="1">
      <c r="A2785" s="41" t="s">
        <v>183</v>
      </c>
      <c r="B2785" s="402" t="s">
        <v>2065</v>
      </c>
      <c r="D2785" s="393" t="s">
        <v>314</v>
      </c>
      <c r="E2785" s="394" t="s">
        <v>49</v>
      </c>
      <c r="G2785" s="405" t="s">
        <v>3592</v>
      </c>
      <c r="H2785" s="74">
        <v>3444</v>
      </c>
      <c r="I2785" s="50" t="s">
        <v>2</v>
      </c>
      <c r="J2785" s="339" t="s">
        <v>81</v>
      </c>
      <c r="K2785" s="51">
        <v>41539</v>
      </c>
      <c r="L2785" s="173">
        <v>41529</v>
      </c>
      <c r="M2785" s="50">
        <f t="shared" si="162"/>
        <v>10</v>
      </c>
      <c r="N2785" s="50" t="s">
        <v>2</v>
      </c>
      <c r="O2785" s="74">
        <f>1.4/2</f>
        <v>0.7</v>
      </c>
      <c r="P2785" s="50">
        <v>5.34</v>
      </c>
      <c r="Q2785" s="74">
        <v>5.97</v>
      </c>
      <c r="R2785" s="50">
        <v>36</v>
      </c>
      <c r="S2785" s="74">
        <v>14</v>
      </c>
      <c r="T2785" s="50">
        <v>0.12</v>
      </c>
      <c r="U2785" s="131">
        <v>1.76</v>
      </c>
      <c r="V2785" s="50">
        <v>1.18</v>
      </c>
      <c r="W2785" s="74">
        <v>1.2E-2</v>
      </c>
      <c r="X2785" s="50">
        <v>0.04</v>
      </c>
      <c r="Y2785" s="74">
        <v>3.0000000000000001E-3</v>
      </c>
      <c r="Z2785" s="165"/>
    </row>
    <row r="2786" spans="1:48" ht="15" customHeight="1">
      <c r="A2786" s="41" t="s">
        <v>183</v>
      </c>
      <c r="B2786" s="402" t="s">
        <v>2065</v>
      </c>
      <c r="D2786" s="393" t="s">
        <v>314</v>
      </c>
      <c r="E2786" s="394" t="s">
        <v>49</v>
      </c>
      <c r="G2786" s="405" t="s">
        <v>3592</v>
      </c>
      <c r="H2786" s="74">
        <v>3444</v>
      </c>
      <c r="I2786" s="50" t="s">
        <v>2</v>
      </c>
      <c r="J2786" s="339" t="s">
        <v>114</v>
      </c>
      <c r="K2786" s="51">
        <v>41539</v>
      </c>
      <c r="L2786" s="173">
        <v>41529</v>
      </c>
      <c r="M2786" s="50">
        <f t="shared" si="162"/>
        <v>10</v>
      </c>
      <c r="N2786" s="50" t="s">
        <v>2</v>
      </c>
      <c r="O2786" s="74">
        <f>1.4/2</f>
        <v>0.7</v>
      </c>
      <c r="P2786" s="50">
        <v>5.34</v>
      </c>
      <c r="Q2786" s="74">
        <v>6.23</v>
      </c>
      <c r="R2786" s="50">
        <v>15</v>
      </c>
      <c r="S2786" s="74">
        <v>23</v>
      </c>
      <c r="T2786" s="50">
        <v>0.15</v>
      </c>
      <c r="U2786" s="131">
        <v>0.53</v>
      </c>
      <c r="V2786" s="50">
        <v>0.15</v>
      </c>
      <c r="W2786" s="74">
        <v>5.0000000000000001E-3</v>
      </c>
      <c r="X2786" s="50">
        <v>1.7000000000000001E-2</v>
      </c>
      <c r="Y2786" s="74">
        <f>0.002/2</f>
        <v>1E-3</v>
      </c>
      <c r="Z2786" s="165"/>
    </row>
    <row r="2787" spans="1:48" ht="15" customHeight="1">
      <c r="A2787" s="41" t="s">
        <v>183</v>
      </c>
      <c r="B2787" s="402" t="s">
        <v>2065</v>
      </c>
      <c r="D2787" s="393" t="s">
        <v>314</v>
      </c>
      <c r="E2787" s="394" t="s">
        <v>49</v>
      </c>
      <c r="G2787" s="405" t="s">
        <v>3592</v>
      </c>
      <c r="H2787" s="74">
        <v>3444</v>
      </c>
      <c r="I2787" s="50" t="s">
        <v>2</v>
      </c>
      <c r="J2787" s="339" t="s">
        <v>81</v>
      </c>
      <c r="K2787" s="51">
        <v>41604</v>
      </c>
      <c r="L2787" s="173">
        <v>41600</v>
      </c>
      <c r="M2787" s="50">
        <f t="shared" si="162"/>
        <v>4</v>
      </c>
      <c r="N2787" s="50" t="s">
        <v>2</v>
      </c>
      <c r="S2787" s="74">
        <v>10</v>
      </c>
      <c r="Z2787" s="165"/>
    </row>
    <row r="2788" spans="1:48" ht="15" customHeight="1">
      <c r="A2788" s="41" t="s">
        <v>183</v>
      </c>
      <c r="B2788" s="402" t="s">
        <v>2065</v>
      </c>
      <c r="D2788" s="393" t="s">
        <v>314</v>
      </c>
      <c r="E2788" s="394" t="s">
        <v>5111</v>
      </c>
      <c r="G2788" s="405" t="s">
        <v>3593</v>
      </c>
      <c r="H2788" s="74">
        <v>3444</v>
      </c>
      <c r="I2788" s="50" t="s">
        <v>2</v>
      </c>
      <c r="J2788" s="339" t="s">
        <v>115</v>
      </c>
      <c r="K2788" s="51">
        <v>41614</v>
      </c>
      <c r="L2788" s="173">
        <v>41605</v>
      </c>
      <c r="M2788" s="50">
        <f t="shared" si="162"/>
        <v>9</v>
      </c>
      <c r="N2788" s="50" t="s">
        <v>2</v>
      </c>
      <c r="R2788" s="50">
        <v>59</v>
      </c>
      <c r="S2788" s="74">
        <v>57</v>
      </c>
      <c r="T2788" s="50">
        <v>1.52</v>
      </c>
      <c r="U2788" s="131">
        <v>2.48</v>
      </c>
      <c r="W2788" s="74">
        <v>8.8999999999999996E-2</v>
      </c>
      <c r="Z2788" s="165"/>
    </row>
    <row r="2789" spans="1:48" ht="15" customHeight="1">
      <c r="A2789" s="41" t="s">
        <v>183</v>
      </c>
      <c r="B2789" s="402" t="s">
        <v>2065</v>
      </c>
      <c r="D2789" s="393" t="s">
        <v>314</v>
      </c>
      <c r="E2789" s="394" t="s">
        <v>49</v>
      </c>
      <c r="G2789" s="405" t="s">
        <v>3594</v>
      </c>
      <c r="H2789" s="74">
        <v>3444</v>
      </c>
      <c r="I2789" s="50" t="s">
        <v>2</v>
      </c>
      <c r="J2789" s="339" t="s">
        <v>81</v>
      </c>
      <c r="K2789" s="51">
        <v>41565</v>
      </c>
      <c r="L2789" s="173">
        <v>41554</v>
      </c>
      <c r="M2789" s="50">
        <f t="shared" si="162"/>
        <v>11</v>
      </c>
      <c r="N2789" s="50" t="s">
        <v>2</v>
      </c>
      <c r="O2789" s="74">
        <f>1.4/2</f>
        <v>0.7</v>
      </c>
      <c r="P2789" s="50">
        <v>4.54</v>
      </c>
      <c r="Q2789" s="74">
        <v>5.45</v>
      </c>
      <c r="R2789" s="50">
        <v>28</v>
      </c>
      <c r="S2789" s="74">
        <v>10</v>
      </c>
      <c r="T2789" s="50">
        <v>7.0000000000000007E-2</v>
      </c>
      <c r="U2789" s="131">
        <v>1.79</v>
      </c>
      <c r="V2789" s="50">
        <v>1.02</v>
      </c>
      <c r="W2789" s="74">
        <v>1.2E-2</v>
      </c>
      <c r="X2789" s="50">
        <v>0.60899999999999999</v>
      </c>
      <c r="Y2789" s="74">
        <f>0.002/2</f>
        <v>1E-3</v>
      </c>
      <c r="Z2789" s="165"/>
    </row>
    <row r="2790" spans="1:48" ht="15" customHeight="1">
      <c r="A2790" s="41" t="s">
        <v>183</v>
      </c>
      <c r="B2790" s="402" t="s">
        <v>2065</v>
      </c>
      <c r="D2790" s="393" t="s">
        <v>314</v>
      </c>
      <c r="E2790" s="394" t="s">
        <v>49</v>
      </c>
      <c r="G2790" s="405" t="s">
        <v>3594</v>
      </c>
      <c r="H2790" s="74">
        <v>3444</v>
      </c>
      <c r="I2790" s="50" t="s">
        <v>2</v>
      </c>
      <c r="J2790" s="339" t="s">
        <v>114</v>
      </c>
      <c r="K2790" s="51">
        <v>41539</v>
      </c>
      <c r="L2790" s="173">
        <v>41529</v>
      </c>
      <c r="M2790" s="50">
        <f t="shared" si="162"/>
        <v>10</v>
      </c>
      <c r="N2790" s="50" t="s">
        <v>2</v>
      </c>
      <c r="O2790" s="74">
        <f>1.4/2</f>
        <v>0.7</v>
      </c>
      <c r="P2790" s="50">
        <v>5.34</v>
      </c>
      <c r="Q2790" s="74">
        <v>5.12</v>
      </c>
      <c r="R2790" s="50">
        <f>10/2</f>
        <v>5</v>
      </c>
      <c r="S2790" s="74">
        <f>5/2</f>
        <v>2.5</v>
      </c>
      <c r="T2790" s="50">
        <v>0.04</v>
      </c>
      <c r="U2790" s="131">
        <v>0.45</v>
      </c>
      <c r="V2790" s="50">
        <v>0.06</v>
      </c>
      <c r="W2790" s="74">
        <f>0.005/2</f>
        <v>2.5000000000000001E-3</v>
      </c>
      <c r="X2790" s="50">
        <v>0.17299999999999999</v>
      </c>
      <c r="Y2790" s="74">
        <f>0.002/2</f>
        <v>1E-3</v>
      </c>
      <c r="Z2790" s="165"/>
    </row>
    <row r="2791" spans="1:48" ht="15" customHeight="1">
      <c r="A2791" s="41" t="s">
        <v>183</v>
      </c>
      <c r="B2791" s="402" t="s">
        <v>2065</v>
      </c>
      <c r="D2791" s="393" t="s">
        <v>314</v>
      </c>
      <c r="E2791" s="394" t="s">
        <v>49</v>
      </c>
      <c r="G2791" s="405" t="s">
        <v>3594</v>
      </c>
      <c r="H2791" s="74">
        <v>3444</v>
      </c>
      <c r="I2791" s="50" t="s">
        <v>2</v>
      </c>
      <c r="J2791" s="339" t="s">
        <v>924</v>
      </c>
      <c r="K2791" s="51">
        <v>41539</v>
      </c>
      <c r="L2791" s="173">
        <v>41529</v>
      </c>
      <c r="M2791" s="50">
        <f t="shared" si="162"/>
        <v>10</v>
      </c>
      <c r="N2791" s="50" t="s">
        <v>2</v>
      </c>
      <c r="O2791" s="74">
        <f>1.4/2</f>
        <v>0.7</v>
      </c>
      <c r="P2791" s="50">
        <v>5.34</v>
      </c>
      <c r="Q2791" s="74">
        <v>4.78</v>
      </c>
      <c r="R2791" s="50">
        <f>10/2</f>
        <v>5</v>
      </c>
      <c r="S2791" s="74">
        <v>12</v>
      </c>
      <c r="T2791" s="50">
        <v>0.05</v>
      </c>
      <c r="U2791" s="131">
        <v>0.28999999999999998</v>
      </c>
      <c r="V2791" s="50">
        <v>0.23</v>
      </c>
      <c r="W2791" s="74">
        <v>6.0000000000000001E-3</v>
      </c>
      <c r="X2791" s="50">
        <v>0.109</v>
      </c>
      <c r="Y2791" s="74">
        <v>2E-3</v>
      </c>
      <c r="Z2791" s="165"/>
    </row>
    <row r="2792" spans="1:48" ht="15" customHeight="1">
      <c r="A2792" s="41" t="s">
        <v>183</v>
      </c>
      <c r="B2792" s="402" t="s">
        <v>2065</v>
      </c>
      <c r="D2792" s="393" t="s">
        <v>314</v>
      </c>
      <c r="E2792" s="394" t="s">
        <v>49</v>
      </c>
      <c r="G2792" s="405" t="s">
        <v>3594</v>
      </c>
      <c r="H2792" s="74">
        <v>3444</v>
      </c>
      <c r="I2792" s="50" t="s">
        <v>2</v>
      </c>
      <c r="J2792" s="339" t="s">
        <v>696</v>
      </c>
      <c r="K2792" s="51">
        <v>41539</v>
      </c>
      <c r="L2792" s="173">
        <v>41529</v>
      </c>
      <c r="M2792" s="50">
        <f t="shared" si="162"/>
        <v>10</v>
      </c>
      <c r="N2792" s="50" t="s">
        <v>2</v>
      </c>
      <c r="O2792" s="74">
        <f>1.4/2</f>
        <v>0.7</v>
      </c>
      <c r="P2792" s="50">
        <v>5.34</v>
      </c>
      <c r="Q2792" s="74">
        <v>6.54</v>
      </c>
      <c r="R2792" s="50">
        <f>10/2</f>
        <v>5</v>
      </c>
      <c r="S2792" s="74">
        <v>13</v>
      </c>
      <c r="T2792" s="50">
        <v>0.06</v>
      </c>
      <c r="U2792" s="131">
        <v>0.56000000000000005</v>
      </c>
      <c r="V2792" s="50">
        <v>0.11</v>
      </c>
      <c r="W2792" s="74">
        <v>5.0000000000000001E-3</v>
      </c>
      <c r="X2792" s="50">
        <v>1.7000000000000001E-2</v>
      </c>
      <c r="Y2792" s="74">
        <f>0.002/2</f>
        <v>1E-3</v>
      </c>
      <c r="Z2792" s="165"/>
    </row>
    <row r="2793" spans="1:48" ht="15" customHeight="1">
      <c r="A2793" s="41" t="s">
        <v>183</v>
      </c>
      <c r="B2793" s="402" t="s">
        <v>2065</v>
      </c>
      <c r="D2793" s="393" t="s">
        <v>314</v>
      </c>
      <c r="E2793" s="394" t="s">
        <v>49</v>
      </c>
      <c r="G2793" s="405" t="s">
        <v>3594</v>
      </c>
      <c r="H2793" s="74">
        <v>3444</v>
      </c>
      <c r="I2793" s="50" t="s">
        <v>2</v>
      </c>
      <c r="J2793" s="339" t="s">
        <v>81</v>
      </c>
      <c r="K2793" s="51">
        <v>41604</v>
      </c>
      <c r="L2793" s="173">
        <v>41600</v>
      </c>
      <c r="M2793" s="50">
        <f t="shared" si="162"/>
        <v>4</v>
      </c>
      <c r="N2793" s="50" t="s">
        <v>2</v>
      </c>
      <c r="U2793" s="131">
        <v>2.29</v>
      </c>
      <c r="Z2793" s="165"/>
    </row>
    <row r="2794" spans="1:48" ht="15" customHeight="1">
      <c r="A2794" s="41" t="s">
        <v>183</v>
      </c>
      <c r="B2794" s="402" t="s">
        <v>2065</v>
      </c>
      <c r="D2794" s="393" t="s">
        <v>314</v>
      </c>
      <c r="E2794" s="394" t="s">
        <v>49</v>
      </c>
      <c r="G2794" s="405" t="s">
        <v>3590</v>
      </c>
      <c r="H2794" s="74">
        <v>3724</v>
      </c>
      <c r="I2794" s="50" t="s">
        <v>2</v>
      </c>
      <c r="J2794" s="339" t="s">
        <v>925</v>
      </c>
      <c r="K2794" s="51">
        <v>41744</v>
      </c>
      <c r="L2794" s="173">
        <v>41737</v>
      </c>
      <c r="M2794" s="50">
        <f t="shared" si="162"/>
        <v>7</v>
      </c>
      <c r="N2794" s="50" t="s">
        <v>2</v>
      </c>
      <c r="O2794" s="74">
        <v>1.7</v>
      </c>
      <c r="P2794" s="50">
        <v>6.5</v>
      </c>
      <c r="Q2794" s="74">
        <v>5.9</v>
      </c>
      <c r="R2794" s="50">
        <v>30</v>
      </c>
      <c r="S2794" s="74">
        <v>25</v>
      </c>
      <c r="T2794" s="50">
        <v>9.6000000000000002E-2</v>
      </c>
      <c r="U2794" s="131">
        <v>0.6</v>
      </c>
      <c r="V2794" s="50">
        <v>0.14000000000000001</v>
      </c>
      <c r="W2794" s="74">
        <v>1.6E-2</v>
      </c>
      <c r="X2794" s="50">
        <v>9.4E-2</v>
      </c>
      <c r="Y2794" s="74">
        <f>0.002/2</f>
        <v>1E-3</v>
      </c>
      <c r="Z2794" s="165"/>
    </row>
    <row r="2795" spans="1:48" ht="15" customHeight="1">
      <c r="A2795" s="41" t="s">
        <v>183</v>
      </c>
      <c r="B2795" s="402" t="s">
        <v>2065</v>
      </c>
      <c r="D2795" s="393" t="s">
        <v>314</v>
      </c>
      <c r="E2795" s="394" t="s">
        <v>49</v>
      </c>
      <c r="G2795" s="405" t="s">
        <v>3591</v>
      </c>
      <c r="H2795" s="74">
        <v>3724</v>
      </c>
      <c r="I2795" s="50" t="s">
        <v>2</v>
      </c>
      <c r="J2795" s="339" t="s">
        <v>81</v>
      </c>
      <c r="K2795" s="51">
        <v>41744</v>
      </c>
      <c r="L2795" s="173">
        <v>41737</v>
      </c>
      <c r="M2795" s="50">
        <f t="shared" si="162"/>
        <v>7</v>
      </c>
      <c r="N2795" s="50" t="s">
        <v>2</v>
      </c>
      <c r="O2795" s="74">
        <f>1/2</f>
        <v>0.5</v>
      </c>
      <c r="P2795" s="50">
        <v>6.5</v>
      </c>
      <c r="Q2795" s="74">
        <v>6.4</v>
      </c>
      <c r="R2795" s="50">
        <v>39</v>
      </c>
      <c r="S2795" s="74">
        <v>110</v>
      </c>
      <c r="T2795" s="50">
        <v>0.13</v>
      </c>
      <c r="U2795" s="131">
        <f>0.5/2</f>
        <v>0.25</v>
      </c>
      <c r="V2795" s="50">
        <f>0.05/2</f>
        <v>2.5000000000000001E-2</v>
      </c>
      <c r="W2795" s="74">
        <v>0.01</v>
      </c>
      <c r="X2795" s="50">
        <v>4.1000000000000002E-2</v>
      </c>
      <c r="Y2795" s="74">
        <f>0.002/2</f>
        <v>1E-3</v>
      </c>
      <c r="Z2795" s="165"/>
    </row>
    <row r="2796" spans="1:48" ht="15" customHeight="1">
      <c r="A2796" s="41" t="s">
        <v>183</v>
      </c>
      <c r="B2796" s="402" t="s">
        <v>2065</v>
      </c>
      <c r="D2796" s="393" t="s">
        <v>314</v>
      </c>
      <c r="E2796" s="394" t="s">
        <v>49</v>
      </c>
      <c r="G2796" s="405" t="s">
        <v>3592</v>
      </c>
      <c r="H2796" s="74">
        <v>3444</v>
      </c>
      <c r="I2796" s="50" t="s">
        <v>2</v>
      </c>
      <c r="J2796" s="339" t="s">
        <v>81</v>
      </c>
      <c r="K2796" s="51">
        <v>41744</v>
      </c>
      <c r="L2796" s="173">
        <v>41737</v>
      </c>
      <c r="M2796" s="50">
        <f t="shared" si="162"/>
        <v>7</v>
      </c>
      <c r="N2796" s="50" t="s">
        <v>2</v>
      </c>
      <c r="O2796" s="74">
        <v>5.2</v>
      </c>
      <c r="P2796" s="50">
        <v>6.5</v>
      </c>
      <c r="Q2796" s="74">
        <v>6</v>
      </c>
      <c r="R2796" s="50">
        <v>13</v>
      </c>
      <c r="S2796" s="74">
        <v>2.2000000000000002</v>
      </c>
      <c r="T2796" s="50">
        <v>4.9000000000000002E-2</v>
      </c>
      <c r="U2796" s="131">
        <f>0.5/2</f>
        <v>0.25</v>
      </c>
      <c r="V2796" s="50">
        <v>0.15</v>
      </c>
      <c r="W2796" s="74">
        <v>4.3E-3</v>
      </c>
      <c r="X2796" s="50">
        <v>0.01</v>
      </c>
      <c r="Y2796" s="74">
        <f>0.002/2</f>
        <v>1E-3</v>
      </c>
      <c r="Z2796" s="165"/>
    </row>
    <row r="2797" spans="1:48" ht="15" customHeight="1">
      <c r="A2797" s="41" t="s">
        <v>183</v>
      </c>
      <c r="B2797" s="402" t="s">
        <v>2065</v>
      </c>
      <c r="D2797" s="393" t="s">
        <v>314</v>
      </c>
      <c r="E2797" s="394" t="s">
        <v>49</v>
      </c>
      <c r="G2797" s="405" t="s">
        <v>3592</v>
      </c>
      <c r="H2797" s="74">
        <v>3444</v>
      </c>
      <c r="I2797" s="50" t="s">
        <v>2</v>
      </c>
      <c r="J2797" s="339" t="s">
        <v>114</v>
      </c>
      <c r="K2797" s="51">
        <v>41744</v>
      </c>
      <c r="L2797" s="173">
        <v>41737</v>
      </c>
      <c r="M2797" s="50">
        <f t="shared" si="162"/>
        <v>7</v>
      </c>
      <c r="N2797" s="50" t="s">
        <v>2</v>
      </c>
      <c r="O2797" s="74">
        <f>1/2</f>
        <v>0.5</v>
      </c>
      <c r="P2797" s="50">
        <v>6.5</v>
      </c>
      <c r="Q2797" s="74">
        <v>6.2</v>
      </c>
      <c r="R2797" s="50">
        <v>24</v>
      </c>
      <c r="S2797" s="74">
        <v>32</v>
      </c>
      <c r="T2797" s="50">
        <v>7.0999999999999994E-2</v>
      </c>
      <c r="U2797" s="131">
        <v>0.55000000000000004</v>
      </c>
      <c r="V2797" s="50">
        <v>0.13</v>
      </c>
      <c r="W2797" s="74">
        <v>0.01</v>
      </c>
      <c r="X2797" s="50">
        <v>3.7999999999999999E-2</v>
      </c>
      <c r="Y2797" s="74">
        <v>2.5999999999999999E-3</v>
      </c>
      <c r="Z2797" s="165"/>
    </row>
    <row r="2798" spans="1:48" ht="15" customHeight="1">
      <c r="A2798" s="41" t="s">
        <v>183</v>
      </c>
      <c r="B2798" s="402" t="s">
        <v>2065</v>
      </c>
      <c r="D2798" s="393" t="s">
        <v>314</v>
      </c>
      <c r="E2798" s="394" t="s">
        <v>5111</v>
      </c>
      <c r="G2798" s="405" t="s">
        <v>3593</v>
      </c>
      <c r="H2798" s="74">
        <v>3724</v>
      </c>
      <c r="I2798" s="50" t="s">
        <v>2</v>
      </c>
      <c r="J2798" s="339" t="s">
        <v>115</v>
      </c>
      <c r="K2798" s="51">
        <v>41744</v>
      </c>
      <c r="L2798" s="173">
        <v>41737</v>
      </c>
      <c r="M2798" s="50">
        <f t="shared" si="162"/>
        <v>7</v>
      </c>
      <c r="N2798" s="50" t="s">
        <v>1</v>
      </c>
      <c r="O2798" s="74">
        <v>2.8</v>
      </c>
      <c r="P2798" s="50">
        <v>6.5</v>
      </c>
      <c r="Q2798" s="74">
        <v>6.2</v>
      </c>
      <c r="R2798" s="50">
        <v>29</v>
      </c>
      <c r="S2798" s="74">
        <v>18</v>
      </c>
      <c r="T2798" s="50">
        <v>8.5000000000000006E-2</v>
      </c>
      <c r="U2798" s="131">
        <f>0.5/2</f>
        <v>0.25</v>
      </c>
      <c r="V2798" s="50">
        <v>0.14000000000000001</v>
      </c>
      <c r="W2798" s="74">
        <v>8.3000000000000001E-3</v>
      </c>
      <c r="X2798" s="50">
        <v>1.9E-2</v>
      </c>
      <c r="Y2798" s="74">
        <f>0.002/2</f>
        <v>1E-3</v>
      </c>
      <c r="Z2798" s="165"/>
    </row>
    <row r="2799" spans="1:48" ht="15" customHeight="1">
      <c r="A2799" s="41" t="s">
        <v>183</v>
      </c>
      <c r="B2799" s="402" t="s">
        <v>2065</v>
      </c>
      <c r="D2799" s="393" t="s">
        <v>314</v>
      </c>
      <c r="E2799" s="394" t="s">
        <v>5111</v>
      </c>
      <c r="G2799" s="405" t="s">
        <v>3593</v>
      </c>
      <c r="H2799" s="74">
        <v>3724</v>
      </c>
      <c r="I2799" s="50" t="s">
        <v>2</v>
      </c>
      <c r="J2799" s="339" t="s">
        <v>924</v>
      </c>
      <c r="K2799" s="51">
        <v>41744</v>
      </c>
      <c r="L2799" s="173">
        <v>41737</v>
      </c>
      <c r="M2799" s="50">
        <f t="shared" ref="M2799:M2852" si="163">K2799-L2799</f>
        <v>7</v>
      </c>
      <c r="N2799" s="50" t="s">
        <v>1</v>
      </c>
      <c r="O2799" s="74">
        <v>3.3</v>
      </c>
      <c r="P2799" s="50">
        <v>6.5</v>
      </c>
      <c r="Q2799" s="74">
        <v>6.1</v>
      </c>
      <c r="R2799" s="50">
        <v>28</v>
      </c>
      <c r="S2799" s="74">
        <v>40</v>
      </c>
      <c r="T2799" s="50">
        <v>0.1</v>
      </c>
      <c r="U2799" s="131">
        <v>0.59</v>
      </c>
      <c r="V2799" s="50">
        <v>0.22</v>
      </c>
      <c r="W2799" s="74">
        <v>9.7000000000000003E-3</v>
      </c>
      <c r="X2799" s="50">
        <v>8.2000000000000003E-2</v>
      </c>
      <c r="Y2799" s="74">
        <v>4.5999999999999999E-3</v>
      </c>
      <c r="Z2799" s="165"/>
    </row>
    <row r="2800" spans="1:48" ht="15" customHeight="1">
      <c r="A2800" s="41" t="s">
        <v>4668</v>
      </c>
      <c r="B2800" s="402" t="s">
        <v>532</v>
      </c>
      <c r="C2800" s="113" t="s">
        <v>1048</v>
      </c>
      <c r="D2800" s="393" t="s">
        <v>1896</v>
      </c>
      <c r="E2800" s="394" t="s">
        <v>1538</v>
      </c>
      <c r="G2800" s="76" t="s">
        <v>1049</v>
      </c>
      <c r="H2800" s="50">
        <v>3273</v>
      </c>
      <c r="I2800" s="49" t="s">
        <v>1</v>
      </c>
      <c r="J2800" s="50" t="s">
        <v>593</v>
      </c>
      <c r="K2800" s="51">
        <v>41585</v>
      </c>
      <c r="L2800" s="115">
        <v>41579</v>
      </c>
      <c r="M2800" s="50">
        <f t="shared" si="163"/>
        <v>6</v>
      </c>
      <c r="N2800" s="50" t="s">
        <v>2</v>
      </c>
      <c r="Q2800" s="74">
        <v>10.4</v>
      </c>
      <c r="R2800" s="50">
        <v>170</v>
      </c>
      <c r="S2800" s="74">
        <v>350</v>
      </c>
      <c r="U2800" s="74"/>
      <c r="V2800" s="50">
        <v>1.3</v>
      </c>
      <c r="X2800" s="50">
        <v>0.16</v>
      </c>
      <c r="Z2800" s="164">
        <v>1</v>
      </c>
      <c r="AA2800" s="165">
        <v>1</v>
      </c>
      <c r="AB2800" s="50">
        <v>570</v>
      </c>
      <c r="AC2800" s="74">
        <v>2280</v>
      </c>
      <c r="AD2800" s="164">
        <v>1</v>
      </c>
      <c r="AV2800" s="50">
        <v>6.36</v>
      </c>
    </row>
    <row r="2801" spans="1:48" ht="15" customHeight="1">
      <c r="A2801" s="41" t="s">
        <v>4668</v>
      </c>
      <c r="B2801" s="402" t="s">
        <v>532</v>
      </c>
      <c r="C2801" s="113" t="s">
        <v>1048</v>
      </c>
      <c r="D2801" s="393" t="s">
        <v>1896</v>
      </c>
      <c r="E2801" s="394" t="s">
        <v>1538</v>
      </c>
      <c r="G2801" s="76" t="s">
        <v>1049</v>
      </c>
      <c r="H2801" s="50">
        <v>3273</v>
      </c>
      <c r="I2801" s="49" t="s">
        <v>1</v>
      </c>
      <c r="J2801" s="50" t="s">
        <v>477</v>
      </c>
      <c r="K2801" s="51">
        <v>41585</v>
      </c>
      <c r="L2801" s="115">
        <v>41579</v>
      </c>
      <c r="M2801" s="50">
        <f t="shared" si="163"/>
        <v>6</v>
      </c>
      <c r="N2801" s="50" t="s">
        <v>2</v>
      </c>
      <c r="S2801" s="74">
        <v>280</v>
      </c>
      <c r="U2801" s="74"/>
      <c r="Z2801" s="164"/>
      <c r="AA2801" s="165"/>
      <c r="AB2801" s="50"/>
      <c r="AC2801" s="74"/>
      <c r="AD2801" s="164"/>
      <c r="AI2801" s="114">
        <v>600</v>
      </c>
      <c r="AV2801" s="50"/>
    </row>
    <row r="2802" spans="1:48" ht="15" customHeight="1">
      <c r="A2802" s="41" t="s">
        <v>183</v>
      </c>
      <c r="B2802" s="402" t="s">
        <v>2523</v>
      </c>
      <c r="D2802" s="393" t="s">
        <v>205</v>
      </c>
      <c r="E2802" s="394" t="s">
        <v>2524</v>
      </c>
      <c r="G2802" s="405" t="s">
        <v>318</v>
      </c>
      <c r="H2802" s="74">
        <v>3519</v>
      </c>
      <c r="I2802" s="50" t="s">
        <v>2</v>
      </c>
      <c r="J2802" s="339" t="s">
        <v>2525</v>
      </c>
      <c r="K2802" s="51">
        <v>41596</v>
      </c>
      <c r="L2802" s="173">
        <v>41590</v>
      </c>
      <c r="M2802" s="50">
        <f t="shared" si="163"/>
        <v>6</v>
      </c>
      <c r="N2802" s="50" t="s">
        <v>2</v>
      </c>
      <c r="O2802" s="74">
        <v>9</v>
      </c>
      <c r="Q2802" s="74">
        <v>7.11</v>
      </c>
      <c r="R2802" s="50">
        <v>22</v>
      </c>
      <c r="S2802" s="74">
        <v>26</v>
      </c>
      <c r="T2802" s="50">
        <v>0.18</v>
      </c>
      <c r="U2802" s="131">
        <v>0.84</v>
      </c>
      <c r="V2802" s="50">
        <v>0.22</v>
      </c>
      <c r="W2802" s="74">
        <v>1.7999999999999999E-2</v>
      </c>
      <c r="X2802" s="50">
        <v>5.0999999999999997E-2</v>
      </c>
      <c r="Y2802" s="74">
        <v>1.7999999999999999E-2</v>
      </c>
      <c r="Z2802" s="165">
        <v>1</v>
      </c>
      <c r="AA2802" s="271">
        <v>1</v>
      </c>
      <c r="AB2802" s="114">
        <v>12</v>
      </c>
      <c r="AC2802" s="50">
        <v>28</v>
      </c>
      <c r="AD2802" s="271">
        <v>1</v>
      </c>
    </row>
    <row r="2803" spans="1:48" ht="15" customHeight="1">
      <c r="A2803" s="41" t="s">
        <v>183</v>
      </c>
      <c r="B2803" s="402" t="s">
        <v>2523</v>
      </c>
      <c r="D2803" s="393" t="s">
        <v>205</v>
      </c>
      <c r="E2803" s="394" t="s">
        <v>2524</v>
      </c>
      <c r="G2803" s="405" t="s">
        <v>318</v>
      </c>
      <c r="H2803" s="74">
        <v>3519</v>
      </c>
      <c r="I2803" s="50" t="s">
        <v>2</v>
      </c>
      <c r="J2803" s="339" t="s">
        <v>2526</v>
      </c>
      <c r="K2803" s="51">
        <v>41596</v>
      </c>
      <c r="L2803" s="173">
        <v>41590</v>
      </c>
      <c r="M2803" s="50">
        <f t="shared" si="163"/>
        <v>6</v>
      </c>
      <c r="N2803" s="50" t="s">
        <v>2</v>
      </c>
      <c r="O2803" s="74">
        <f>1.4/2</f>
        <v>0.7</v>
      </c>
      <c r="Q2803" s="74">
        <v>6.91</v>
      </c>
      <c r="R2803" s="50">
        <v>13</v>
      </c>
      <c r="S2803" s="74">
        <f>5/2</f>
        <v>2.5</v>
      </c>
      <c r="T2803" s="50">
        <v>0.05</v>
      </c>
      <c r="U2803" s="131">
        <v>0.63</v>
      </c>
      <c r="V2803" s="50">
        <v>0.28999999999999998</v>
      </c>
      <c r="W2803" s="74">
        <v>2.7E-2</v>
      </c>
      <c r="X2803" s="50">
        <v>5.0999999999999997E-2</v>
      </c>
      <c r="Y2803" s="74">
        <v>3.0000000000000001E-3</v>
      </c>
      <c r="Z2803" s="165">
        <v>1</v>
      </c>
      <c r="AA2803" s="271">
        <v>0.70699999999999996</v>
      </c>
      <c r="AB2803" s="114">
        <v>6</v>
      </c>
      <c r="AC2803" s="50">
        <v>25</v>
      </c>
      <c r="AD2803" s="271">
        <v>0</v>
      </c>
    </row>
    <row r="2804" spans="1:48" ht="15" customHeight="1">
      <c r="A2804" s="41" t="s">
        <v>183</v>
      </c>
      <c r="B2804" s="402" t="s">
        <v>2523</v>
      </c>
      <c r="D2804" s="393" t="s">
        <v>205</v>
      </c>
      <c r="E2804" s="394" t="s">
        <v>2524</v>
      </c>
      <c r="G2804" s="405" t="s">
        <v>318</v>
      </c>
      <c r="H2804" s="74">
        <v>3519</v>
      </c>
      <c r="I2804" s="50" t="s">
        <v>2</v>
      </c>
      <c r="J2804" s="343" t="s">
        <v>425</v>
      </c>
      <c r="K2804" s="51">
        <v>41596</v>
      </c>
      <c r="L2804" s="173">
        <v>41590</v>
      </c>
      <c r="M2804" s="50">
        <f t="shared" si="163"/>
        <v>6</v>
      </c>
      <c r="N2804" s="50" t="s">
        <v>2</v>
      </c>
      <c r="O2804" s="74">
        <f>1.5/2</f>
        <v>0.75</v>
      </c>
      <c r="Q2804" s="74">
        <v>7.36</v>
      </c>
      <c r="R2804" s="50">
        <v>13</v>
      </c>
      <c r="S2804" s="74">
        <f>5/2</f>
        <v>2.5</v>
      </c>
      <c r="T2804" s="50">
        <v>0.08</v>
      </c>
      <c r="U2804" s="131">
        <v>2.65</v>
      </c>
      <c r="V2804" s="50">
        <v>0.1</v>
      </c>
      <c r="W2804" s="74">
        <v>7.0000000000000001E-3</v>
      </c>
      <c r="X2804" s="50">
        <v>3.6999999999999998E-2</v>
      </c>
      <c r="Y2804" s="74">
        <f>0.002/2</f>
        <v>1E-3</v>
      </c>
      <c r="Z2804" s="165">
        <v>1</v>
      </c>
      <c r="AA2804" s="271">
        <v>1</v>
      </c>
      <c r="AB2804" s="114">
        <v>30</v>
      </c>
      <c r="AC2804" s="50">
        <v>91</v>
      </c>
      <c r="AD2804" s="271">
        <v>0.95</v>
      </c>
    </row>
    <row r="2805" spans="1:48" ht="15" customHeight="1">
      <c r="A2805" s="41" t="s">
        <v>183</v>
      </c>
      <c r="B2805" s="402" t="s">
        <v>707</v>
      </c>
      <c r="C2805" s="113" t="s">
        <v>1110</v>
      </c>
      <c r="D2805" s="393" t="s">
        <v>262</v>
      </c>
      <c r="E2805" s="394" t="s">
        <v>3827</v>
      </c>
      <c r="G2805" s="405" t="s">
        <v>799</v>
      </c>
      <c r="H2805" s="74">
        <v>4469</v>
      </c>
      <c r="I2805" s="50" t="s">
        <v>1</v>
      </c>
      <c r="J2805" s="339" t="s">
        <v>3828</v>
      </c>
      <c r="K2805" s="51">
        <v>41759</v>
      </c>
      <c r="L2805" s="173">
        <v>41755</v>
      </c>
      <c r="M2805" s="50">
        <f t="shared" si="163"/>
        <v>4</v>
      </c>
      <c r="N2805" s="50" t="s">
        <v>2</v>
      </c>
      <c r="P2805" s="50">
        <v>5</v>
      </c>
      <c r="R2805" s="50">
        <v>122.8</v>
      </c>
      <c r="S2805" s="74">
        <v>134</v>
      </c>
      <c r="T2805" s="50">
        <v>0.24</v>
      </c>
      <c r="U2805" s="131">
        <v>2</v>
      </c>
      <c r="X2805" s="50">
        <v>0.14000000000000001</v>
      </c>
      <c r="Z2805" s="165"/>
      <c r="AI2805" s="114">
        <v>0</v>
      </c>
      <c r="AJ2805" s="114">
        <v>53</v>
      </c>
    </row>
    <row r="2806" spans="1:48" ht="15" customHeight="1">
      <c r="A2806" s="41" t="s">
        <v>183</v>
      </c>
      <c r="B2806" s="402" t="s">
        <v>707</v>
      </c>
      <c r="C2806" s="113" t="s">
        <v>3770</v>
      </c>
      <c r="D2806" s="393" t="s">
        <v>89</v>
      </c>
      <c r="E2806" s="394" t="s">
        <v>535</v>
      </c>
      <c r="G2806" s="405" t="s">
        <v>793</v>
      </c>
      <c r="H2806" s="74">
        <v>5039</v>
      </c>
      <c r="I2806" s="50" t="s">
        <v>1</v>
      </c>
      <c r="J2806" s="339" t="s">
        <v>794</v>
      </c>
      <c r="K2806" s="51">
        <v>41744</v>
      </c>
      <c r="L2806" s="173">
        <v>41737</v>
      </c>
      <c r="M2806" s="50">
        <f t="shared" si="163"/>
        <v>7</v>
      </c>
      <c r="N2806" s="50" t="s">
        <v>2</v>
      </c>
      <c r="O2806" s="74">
        <f>1/2</f>
        <v>0.5</v>
      </c>
      <c r="P2806" s="50">
        <v>5</v>
      </c>
      <c r="Q2806" s="74">
        <v>7.61</v>
      </c>
      <c r="R2806" s="50">
        <v>11.3</v>
      </c>
      <c r="S2806" s="74">
        <v>95</v>
      </c>
      <c r="T2806" s="50">
        <v>7.0000000000000007E-2</v>
      </c>
      <c r="U2806" s="131">
        <v>0.48</v>
      </c>
      <c r="V2806" s="50">
        <v>0.17</v>
      </c>
      <c r="W2806" s="74">
        <v>7.0000000000000001E-3</v>
      </c>
      <c r="X2806" s="50">
        <v>3.5000000000000003E-2</v>
      </c>
      <c r="Y2806" s="74">
        <f>0.002/2</f>
        <v>1E-3</v>
      </c>
      <c r="Z2806" s="165"/>
      <c r="AE2806" s="50">
        <v>82</v>
      </c>
    </row>
    <row r="2807" spans="1:48" ht="15" customHeight="1">
      <c r="A2807" s="41" t="s">
        <v>183</v>
      </c>
      <c r="B2807" s="402" t="s">
        <v>707</v>
      </c>
      <c r="C2807" s="113" t="s">
        <v>3770</v>
      </c>
      <c r="D2807" s="393" t="s">
        <v>89</v>
      </c>
      <c r="E2807" s="394" t="s">
        <v>535</v>
      </c>
      <c r="G2807" s="405" t="s">
        <v>793</v>
      </c>
      <c r="H2807" s="74">
        <v>5039</v>
      </c>
      <c r="I2807" s="50" t="s">
        <v>1</v>
      </c>
      <c r="J2807" s="339" t="s">
        <v>796</v>
      </c>
      <c r="K2807" s="51">
        <v>41744</v>
      </c>
      <c r="L2807" s="173">
        <v>41737</v>
      </c>
      <c r="M2807" s="50">
        <f t="shared" si="163"/>
        <v>7</v>
      </c>
      <c r="N2807" s="50" t="s">
        <v>2</v>
      </c>
      <c r="O2807" s="74">
        <f>1/2</f>
        <v>0.5</v>
      </c>
      <c r="P2807" s="50">
        <v>5</v>
      </c>
      <c r="Q2807" s="74">
        <v>7.32</v>
      </c>
      <c r="R2807" s="50">
        <f>1/2</f>
        <v>0.5</v>
      </c>
      <c r="S2807" s="74">
        <v>2</v>
      </c>
      <c r="T2807" s="50">
        <v>0.05</v>
      </c>
      <c r="U2807" s="131">
        <v>0.42</v>
      </c>
      <c r="V2807" s="50">
        <v>1.56</v>
      </c>
      <c r="W2807" s="74">
        <v>6.0000000000000001E-3</v>
      </c>
      <c r="X2807" s="50">
        <v>1.2999999999999999E-2</v>
      </c>
      <c r="Y2807" s="74">
        <f>0.002/2</f>
        <v>1E-3</v>
      </c>
      <c r="Z2807" s="165"/>
      <c r="AE2807" s="50">
        <v>320</v>
      </c>
    </row>
    <row r="2808" spans="1:48" ht="15" customHeight="1">
      <c r="A2808" s="41" t="s">
        <v>183</v>
      </c>
      <c r="B2808" s="402" t="s">
        <v>707</v>
      </c>
      <c r="C2808" s="113" t="s">
        <v>3843</v>
      </c>
      <c r="D2808" s="393" t="s">
        <v>710</v>
      </c>
      <c r="E2808" s="394" t="s">
        <v>711</v>
      </c>
      <c r="G2808" s="405" t="s">
        <v>712</v>
      </c>
      <c r="H2808" s="74">
        <v>2951</v>
      </c>
      <c r="I2808" s="50" t="s">
        <v>2</v>
      </c>
      <c r="J2808" s="339" t="s">
        <v>3844</v>
      </c>
      <c r="K2808" s="51">
        <v>41759</v>
      </c>
      <c r="L2808" s="173">
        <v>41755</v>
      </c>
      <c r="M2808" s="50">
        <f t="shared" si="163"/>
        <v>4</v>
      </c>
      <c r="N2808" s="50" t="s">
        <v>2</v>
      </c>
      <c r="O2808" s="74">
        <v>1.2</v>
      </c>
      <c r="P2808" s="50">
        <v>5.3</v>
      </c>
      <c r="Q2808" s="74">
        <v>6.56</v>
      </c>
      <c r="R2808" s="50">
        <v>25.6</v>
      </c>
      <c r="S2808" s="74">
        <v>2</v>
      </c>
      <c r="T2808" s="50">
        <f>0.05/2</f>
        <v>2.5000000000000001E-2</v>
      </c>
      <c r="U2808" s="131">
        <v>0.4</v>
      </c>
      <c r="V2808" s="50">
        <v>0.12</v>
      </c>
      <c r="W2808" s="74">
        <v>6.0000000000000001E-3</v>
      </c>
      <c r="X2808" s="50">
        <v>1.7000000000000001E-2</v>
      </c>
      <c r="Y2808" s="74">
        <f>0.002/2</f>
        <v>1E-3</v>
      </c>
      <c r="Z2808" s="165"/>
    </row>
    <row r="2809" spans="1:48" ht="15" customHeight="1">
      <c r="A2809" s="41" t="s">
        <v>183</v>
      </c>
      <c r="B2809" s="402" t="s">
        <v>707</v>
      </c>
      <c r="C2809" s="113" t="s">
        <v>3843</v>
      </c>
      <c r="D2809" s="393" t="s">
        <v>710</v>
      </c>
      <c r="E2809" s="394" t="s">
        <v>711</v>
      </c>
      <c r="G2809" s="405" t="s">
        <v>712</v>
      </c>
      <c r="H2809" s="74">
        <v>2951</v>
      </c>
      <c r="I2809" s="50" t="s">
        <v>2</v>
      </c>
      <c r="J2809" s="339" t="s">
        <v>3845</v>
      </c>
      <c r="K2809" s="51">
        <v>41759</v>
      </c>
      <c r="L2809" s="173">
        <v>41755</v>
      </c>
      <c r="M2809" s="50">
        <f t="shared" si="163"/>
        <v>4</v>
      </c>
      <c r="N2809" s="50" t="s">
        <v>2</v>
      </c>
      <c r="O2809" s="74">
        <f>1/2</f>
        <v>0.5</v>
      </c>
      <c r="P2809" s="50">
        <v>5.3</v>
      </c>
      <c r="Q2809" s="74">
        <v>6.39</v>
      </c>
      <c r="R2809" s="50">
        <v>22.2</v>
      </c>
      <c r="S2809" s="74">
        <v>2</v>
      </c>
      <c r="T2809" s="50">
        <v>7.0000000000000007E-2</v>
      </c>
      <c r="U2809" s="131">
        <v>0.46</v>
      </c>
      <c r="V2809" s="50">
        <v>0.34</v>
      </c>
      <c r="W2809" s="74">
        <v>1.0999999999999999E-2</v>
      </c>
      <c r="X2809" s="50">
        <v>1.7999999999999999E-2</v>
      </c>
      <c r="Y2809" s="74">
        <f>0.002/2</f>
        <v>1E-3</v>
      </c>
      <c r="Z2809" s="165"/>
    </row>
    <row r="2810" spans="1:48" ht="15" customHeight="1">
      <c r="A2810" s="41" t="s">
        <v>183</v>
      </c>
      <c r="B2810" s="402" t="s">
        <v>707</v>
      </c>
      <c r="C2810" s="113" t="s">
        <v>4706</v>
      </c>
      <c r="D2810" s="393" t="s">
        <v>78</v>
      </c>
      <c r="E2810" s="394" t="s">
        <v>3832</v>
      </c>
      <c r="G2810" s="405" t="s">
        <v>770</v>
      </c>
      <c r="H2810" s="74" t="s">
        <v>3833</v>
      </c>
      <c r="I2810" s="50" t="s">
        <v>1</v>
      </c>
      <c r="J2810" s="339" t="s">
        <v>3834</v>
      </c>
      <c r="K2810" s="51">
        <v>41744</v>
      </c>
      <c r="L2810" s="173">
        <v>41737</v>
      </c>
      <c r="M2810" s="50">
        <f t="shared" si="163"/>
        <v>7</v>
      </c>
      <c r="N2810" s="50" t="s">
        <v>2</v>
      </c>
      <c r="P2810" s="50">
        <v>5</v>
      </c>
      <c r="S2810" s="74">
        <v>22</v>
      </c>
      <c r="T2810" s="50">
        <f>0.05/2</f>
        <v>2.5000000000000001E-2</v>
      </c>
      <c r="U2810" s="131">
        <v>0.66</v>
      </c>
      <c r="Z2810" s="165"/>
    </row>
    <row r="2811" spans="1:48" ht="15" customHeight="1">
      <c r="A2811" s="41" t="s">
        <v>183</v>
      </c>
      <c r="B2811" s="402" t="s">
        <v>5602</v>
      </c>
      <c r="D2811" s="393" t="s">
        <v>462</v>
      </c>
      <c r="G2811" s="405" t="s">
        <v>5603</v>
      </c>
      <c r="H2811" s="74"/>
      <c r="J2811" s="339" t="s">
        <v>5604</v>
      </c>
      <c r="K2811" s="51">
        <v>41030</v>
      </c>
      <c r="L2811" s="173">
        <v>41022</v>
      </c>
      <c r="M2811" s="50">
        <f t="shared" si="163"/>
        <v>8</v>
      </c>
      <c r="N2811" s="50" t="s">
        <v>2</v>
      </c>
      <c r="O2811" s="74">
        <v>26.7</v>
      </c>
      <c r="P2811" s="50">
        <v>5.3</v>
      </c>
      <c r="Q2811" s="74">
        <v>6.7</v>
      </c>
      <c r="R2811" s="50">
        <v>128</v>
      </c>
      <c r="S2811" s="74">
        <f>25/2</f>
        <v>12.5</v>
      </c>
      <c r="T2811" s="50">
        <v>1.97</v>
      </c>
      <c r="U2811" s="131">
        <f>1/2</f>
        <v>0.5</v>
      </c>
      <c r="V2811" s="50">
        <v>0.36</v>
      </c>
      <c r="W2811" s="74">
        <f>0.02/2</f>
        <v>0.01</v>
      </c>
      <c r="X2811" s="50">
        <f>0.05/2</f>
        <v>2.5000000000000001E-2</v>
      </c>
      <c r="Y2811" s="74">
        <f>0.001/2</f>
        <v>5.0000000000000001E-4</v>
      </c>
      <c r="Z2811" s="165">
        <v>1</v>
      </c>
      <c r="AA2811" s="271">
        <v>1</v>
      </c>
      <c r="AB2811" s="114">
        <v>136</v>
      </c>
      <c r="AC2811" s="50">
        <v>883</v>
      </c>
      <c r="AD2811" s="271">
        <v>1</v>
      </c>
    </row>
    <row r="2812" spans="1:48" ht="15" customHeight="1">
      <c r="A2812" s="41" t="s">
        <v>183</v>
      </c>
      <c r="B2812" s="402" t="s">
        <v>5602</v>
      </c>
      <c r="D2812" s="393" t="s">
        <v>462</v>
      </c>
      <c r="G2812" s="405" t="s">
        <v>5603</v>
      </c>
      <c r="H2812" s="74"/>
      <c r="I2812" s="50" t="s">
        <v>2</v>
      </c>
      <c r="J2812" s="339" t="s">
        <v>5604</v>
      </c>
      <c r="K2812" s="51">
        <v>41170</v>
      </c>
      <c r="L2812" s="173">
        <v>41160</v>
      </c>
      <c r="M2812" s="50">
        <f t="shared" si="163"/>
        <v>10</v>
      </c>
      <c r="N2812" s="50" t="s">
        <v>2</v>
      </c>
      <c r="O2812" s="74">
        <v>22.1</v>
      </c>
      <c r="P2812" s="50">
        <v>5.3</v>
      </c>
      <c r="Q2812" s="74">
        <v>6.4</v>
      </c>
      <c r="R2812" s="50">
        <v>53.9</v>
      </c>
      <c r="S2812" s="74">
        <f>25/2</f>
        <v>12.5</v>
      </c>
      <c r="T2812" s="50">
        <f>0.1/2</f>
        <v>0.05</v>
      </c>
      <c r="U2812" s="131">
        <v>1.4</v>
      </c>
      <c r="V2812" s="50">
        <v>0.4</v>
      </c>
      <c r="W2812" s="74">
        <f>0.02/2</f>
        <v>0.01</v>
      </c>
      <c r="X2812" s="50">
        <v>0.09</v>
      </c>
      <c r="Y2812" s="74">
        <v>3.0000000000000001E-3</v>
      </c>
      <c r="Z2812" s="165"/>
    </row>
    <row r="2813" spans="1:48" ht="15" customHeight="1">
      <c r="A2813" s="41" t="s">
        <v>183</v>
      </c>
      <c r="B2813" s="402" t="s">
        <v>5602</v>
      </c>
      <c r="D2813" s="393" t="s">
        <v>462</v>
      </c>
      <c r="G2813" s="405" t="s">
        <v>5603</v>
      </c>
      <c r="H2813" s="74"/>
      <c r="I2813" s="50" t="s">
        <v>2</v>
      </c>
      <c r="J2813" s="339" t="s">
        <v>5604</v>
      </c>
      <c r="K2813" s="51">
        <v>41402</v>
      </c>
      <c r="L2813" s="173">
        <v>41384</v>
      </c>
      <c r="M2813" s="50">
        <f t="shared" si="163"/>
        <v>18</v>
      </c>
      <c r="N2813" s="50" t="s">
        <v>2</v>
      </c>
      <c r="O2813" s="74">
        <v>23.3</v>
      </c>
      <c r="P2813" s="50">
        <v>5.5</v>
      </c>
      <c r="Q2813" s="74">
        <v>6.5</v>
      </c>
      <c r="R2813" s="50">
        <v>54.1</v>
      </c>
      <c r="S2813" s="74">
        <v>73</v>
      </c>
      <c r="T2813" s="50">
        <f>0.1/2</f>
        <v>0.05</v>
      </c>
      <c r="U2813" s="131">
        <v>0.53</v>
      </c>
      <c r="V2813" s="50">
        <v>0.26</v>
      </c>
      <c r="W2813" s="74">
        <f>0.02/2</f>
        <v>0.01</v>
      </c>
      <c r="X2813" s="50">
        <f>0.05/2</f>
        <v>2.5000000000000001E-2</v>
      </c>
      <c r="Y2813" s="74">
        <v>2E-3</v>
      </c>
      <c r="Z2813" s="165">
        <v>1</v>
      </c>
      <c r="AA2813" s="271">
        <v>1</v>
      </c>
      <c r="AB2813" s="114">
        <v>16</v>
      </c>
      <c r="AC2813" s="50">
        <v>87</v>
      </c>
      <c r="AD2813" s="271">
        <v>1</v>
      </c>
    </row>
    <row r="2814" spans="1:48" ht="15" customHeight="1">
      <c r="A2814" s="41" t="s">
        <v>183</v>
      </c>
      <c r="B2814" s="402" t="s">
        <v>5602</v>
      </c>
      <c r="D2814" s="393" t="s">
        <v>462</v>
      </c>
      <c r="G2814" s="405" t="s">
        <v>5603</v>
      </c>
      <c r="H2814" s="74"/>
      <c r="I2814" s="50" t="s">
        <v>2</v>
      </c>
      <c r="J2814" s="339" t="s">
        <v>5604</v>
      </c>
      <c r="K2814" s="51">
        <v>41579</v>
      </c>
      <c r="L2814" s="173">
        <v>41554</v>
      </c>
      <c r="M2814" s="50">
        <f t="shared" si="163"/>
        <v>25</v>
      </c>
      <c r="N2814" s="50" t="s">
        <v>2</v>
      </c>
      <c r="O2814" s="74">
        <v>32.200000000000003</v>
      </c>
      <c r="P2814" s="50">
        <v>5.6</v>
      </c>
      <c r="Q2814" s="74">
        <v>7.1</v>
      </c>
      <c r="R2814" s="50">
        <v>23.3</v>
      </c>
      <c r="S2814" s="74">
        <f>25/2</f>
        <v>12.5</v>
      </c>
      <c r="T2814" s="50">
        <f>0.1/2</f>
        <v>0.05</v>
      </c>
      <c r="U2814" s="131">
        <v>0.64</v>
      </c>
      <c r="V2814" s="50">
        <v>0.17</v>
      </c>
      <c r="W2814" s="74">
        <v>0.9</v>
      </c>
      <c r="X2814" s="50">
        <f>0.05/2</f>
        <v>2.5000000000000001E-2</v>
      </c>
      <c r="Y2814" s="74">
        <v>3.0000000000000001E-3</v>
      </c>
      <c r="Z2814" s="165"/>
    </row>
    <row r="2815" spans="1:48" ht="15" customHeight="1">
      <c r="A2815" s="41" t="s">
        <v>183</v>
      </c>
      <c r="B2815" s="402" t="s">
        <v>5602</v>
      </c>
      <c r="D2815" s="393" t="s">
        <v>462</v>
      </c>
      <c r="G2815" s="405" t="s">
        <v>5603</v>
      </c>
      <c r="H2815" s="74"/>
      <c r="I2815" s="50" t="s">
        <v>2</v>
      </c>
      <c r="J2815" s="339" t="s">
        <v>5604</v>
      </c>
      <c r="K2815" s="51">
        <v>41737</v>
      </c>
      <c r="L2815" s="173">
        <v>41729</v>
      </c>
      <c r="M2815" s="50">
        <f t="shared" si="163"/>
        <v>8</v>
      </c>
      <c r="N2815" s="50" t="s">
        <v>2</v>
      </c>
      <c r="O2815" s="74">
        <v>35.799999999999997</v>
      </c>
      <c r="T2815" s="50">
        <f>0.1/2</f>
        <v>0.05</v>
      </c>
      <c r="W2815" s="74">
        <f>0.02/2</f>
        <v>0.01</v>
      </c>
      <c r="Z2815" s="165">
        <v>1</v>
      </c>
      <c r="AA2815" s="271">
        <v>1</v>
      </c>
    </row>
    <row r="2816" spans="1:48" ht="15" customHeight="1">
      <c r="A2816" s="41" t="s">
        <v>183</v>
      </c>
      <c r="B2816" s="385" t="s">
        <v>688</v>
      </c>
      <c r="C2816" s="18" t="s">
        <v>4366</v>
      </c>
      <c r="D2816" s="377" t="s">
        <v>234</v>
      </c>
      <c r="E2816" s="20" t="s">
        <v>235</v>
      </c>
      <c r="F2816" s="385"/>
      <c r="G2816" s="405" t="s">
        <v>689</v>
      </c>
      <c r="H2816" s="6">
        <v>3471</v>
      </c>
      <c r="I2816" s="7" t="s">
        <v>2</v>
      </c>
      <c r="J2816" s="344" t="s">
        <v>4367</v>
      </c>
      <c r="K2816" s="51">
        <v>41710</v>
      </c>
      <c r="L2816" s="173">
        <v>41691</v>
      </c>
      <c r="M2816" s="50">
        <f t="shared" si="163"/>
        <v>19</v>
      </c>
      <c r="N2816" s="50" t="s">
        <v>2</v>
      </c>
      <c r="W2816" s="74">
        <v>0.20499999999999999</v>
      </c>
      <c r="Z2816" s="165"/>
    </row>
    <row r="2817" spans="1:31" ht="15" customHeight="1">
      <c r="A2817" s="41" t="s">
        <v>183</v>
      </c>
      <c r="B2817" s="402" t="s">
        <v>688</v>
      </c>
      <c r="C2817" s="113" t="s">
        <v>4366</v>
      </c>
      <c r="D2817" s="393" t="s">
        <v>234</v>
      </c>
      <c r="E2817" s="394" t="s">
        <v>235</v>
      </c>
      <c r="G2817" s="405" t="s">
        <v>689</v>
      </c>
      <c r="H2817" s="74">
        <v>3471</v>
      </c>
      <c r="I2817" s="50" t="s">
        <v>2</v>
      </c>
      <c r="J2817" s="339" t="s">
        <v>691</v>
      </c>
      <c r="K2817" s="51">
        <v>41710</v>
      </c>
      <c r="L2817" s="173">
        <v>41691</v>
      </c>
      <c r="M2817" s="50">
        <f t="shared" si="163"/>
        <v>19</v>
      </c>
      <c r="N2817" s="50" t="s">
        <v>2</v>
      </c>
      <c r="R2817" s="50">
        <v>113.9</v>
      </c>
      <c r="S2817" s="74">
        <v>296</v>
      </c>
      <c r="V2817" s="50">
        <v>0.91</v>
      </c>
      <c r="W2817" s="74">
        <v>0.16500000000000001</v>
      </c>
      <c r="X2817" s="50">
        <v>0.29899999999999999</v>
      </c>
      <c r="Z2817" s="165"/>
    </row>
    <row r="2818" spans="1:31" ht="15" customHeight="1">
      <c r="A2818" s="41" t="s">
        <v>183</v>
      </c>
      <c r="B2818" s="402" t="s">
        <v>688</v>
      </c>
      <c r="C2818" s="113" t="s">
        <v>4366</v>
      </c>
      <c r="D2818" s="393" t="s">
        <v>234</v>
      </c>
      <c r="E2818" s="394" t="s">
        <v>235</v>
      </c>
      <c r="G2818" s="405" t="s">
        <v>689</v>
      </c>
      <c r="H2818" s="74">
        <v>3471</v>
      </c>
      <c r="I2818" s="50" t="s">
        <v>2</v>
      </c>
      <c r="J2818" s="74" t="s">
        <v>690</v>
      </c>
      <c r="K2818" s="51">
        <v>41710</v>
      </c>
      <c r="L2818" s="173">
        <v>41691</v>
      </c>
      <c r="M2818" s="50">
        <f t="shared" si="163"/>
        <v>19</v>
      </c>
      <c r="N2818" s="50" t="s">
        <v>2</v>
      </c>
      <c r="U2818" s="131">
        <v>6.4</v>
      </c>
      <c r="V2818" s="50">
        <v>1.76</v>
      </c>
      <c r="W2818" s="74">
        <v>0.187</v>
      </c>
      <c r="X2818" s="50">
        <v>0.44</v>
      </c>
      <c r="Z2818" s="165"/>
    </row>
    <row r="2819" spans="1:31" ht="15" customHeight="1">
      <c r="A2819" s="41" t="s">
        <v>183</v>
      </c>
      <c r="B2819" s="402" t="s">
        <v>5047</v>
      </c>
      <c r="C2819" s="113" t="s">
        <v>5047</v>
      </c>
      <c r="D2819" s="393" t="s">
        <v>195</v>
      </c>
      <c r="G2819" s="405" t="s">
        <v>5048</v>
      </c>
      <c r="H2819" s="74"/>
      <c r="I2819" s="50" t="s">
        <v>2</v>
      </c>
      <c r="J2819" s="74" t="s">
        <v>5608</v>
      </c>
      <c r="K2819" s="51">
        <v>41737</v>
      </c>
      <c r="L2819" s="173">
        <v>41729</v>
      </c>
      <c r="M2819" s="50">
        <f t="shared" si="163"/>
        <v>8</v>
      </c>
      <c r="N2819" s="50" t="s">
        <v>2</v>
      </c>
      <c r="O2819" s="74">
        <v>33.9</v>
      </c>
      <c r="R2819" s="50">
        <f>10/2</f>
        <v>5</v>
      </c>
      <c r="W2819" s="74">
        <f>0.02/2</f>
        <v>0.01</v>
      </c>
      <c r="X2819" s="50">
        <f>0.05/2</f>
        <v>2.5000000000000001E-2</v>
      </c>
      <c r="Z2819" s="165">
        <v>1</v>
      </c>
      <c r="AA2819" s="271">
        <v>0.82</v>
      </c>
      <c r="AB2819" s="114">
        <v>6</v>
      </c>
      <c r="AC2819" s="50">
        <v>23</v>
      </c>
      <c r="AD2819" s="271">
        <v>0.3</v>
      </c>
    </row>
    <row r="2820" spans="1:31" ht="15" customHeight="1">
      <c r="A2820" s="41" t="s">
        <v>183</v>
      </c>
      <c r="B2820" s="402" t="s">
        <v>2288</v>
      </c>
      <c r="C2820" s="113" t="s">
        <v>2288</v>
      </c>
      <c r="D2820" s="393" t="s">
        <v>2379</v>
      </c>
      <c r="E2820" s="394" t="s">
        <v>5333</v>
      </c>
      <c r="G2820" s="405" t="s">
        <v>2290</v>
      </c>
      <c r="H2820" s="74">
        <v>3841</v>
      </c>
      <c r="I2820" s="50" t="s">
        <v>2</v>
      </c>
      <c r="J2820" s="344" t="s">
        <v>4315</v>
      </c>
      <c r="K2820" s="51">
        <v>41744</v>
      </c>
      <c r="L2820" s="173">
        <v>41740</v>
      </c>
      <c r="M2820" s="50">
        <f t="shared" si="163"/>
        <v>4</v>
      </c>
      <c r="N2820" s="50" t="s">
        <v>2</v>
      </c>
      <c r="X2820" s="50">
        <v>0.20699999999999999</v>
      </c>
      <c r="Z2820" s="165"/>
    </row>
    <row r="2821" spans="1:31" ht="15" customHeight="1">
      <c r="A2821" s="41" t="s">
        <v>183</v>
      </c>
      <c r="B2821" s="402" t="s">
        <v>2107</v>
      </c>
      <c r="C2821" s="113" t="s">
        <v>1918</v>
      </c>
      <c r="D2821" s="393" t="s">
        <v>884</v>
      </c>
      <c r="E2821" s="394" t="s">
        <v>235</v>
      </c>
      <c r="G2821" s="405" t="s">
        <v>2662</v>
      </c>
      <c r="H2821" s="74"/>
      <c r="I2821" s="50" t="s">
        <v>1</v>
      </c>
      <c r="J2821" s="48" t="s">
        <v>569</v>
      </c>
      <c r="K2821" s="51">
        <v>41631</v>
      </c>
      <c r="L2821" s="173">
        <v>41625</v>
      </c>
      <c r="M2821" s="50">
        <f t="shared" si="163"/>
        <v>6</v>
      </c>
      <c r="N2821" s="50" t="s">
        <v>2</v>
      </c>
      <c r="O2821" s="74">
        <f>2/2</f>
        <v>1</v>
      </c>
      <c r="P2821" s="50">
        <v>7.5</v>
      </c>
      <c r="Q2821" s="74">
        <v>7.1</v>
      </c>
      <c r="R2821" s="50">
        <v>66</v>
      </c>
      <c r="S2821" s="74">
        <v>118</v>
      </c>
      <c r="T2821" s="50">
        <v>0.35</v>
      </c>
      <c r="U2821" s="131">
        <v>1.3</v>
      </c>
      <c r="V2821" s="50">
        <v>0.13</v>
      </c>
      <c r="W2821" s="74">
        <v>3.5000000000000003E-2</v>
      </c>
      <c r="X2821" s="50">
        <f>0.107/2</f>
        <v>5.3499999999999999E-2</v>
      </c>
      <c r="Y2821" s="74">
        <f>0.03/2</f>
        <v>1.4999999999999999E-2</v>
      </c>
      <c r="Z2821" s="165"/>
    </row>
    <row r="2822" spans="1:31" ht="15" customHeight="1">
      <c r="A2822" s="41" t="s">
        <v>183</v>
      </c>
      <c r="B2822" s="402" t="s">
        <v>697</v>
      </c>
      <c r="C2822" s="113" t="s">
        <v>697</v>
      </c>
      <c r="D2822" s="393" t="s">
        <v>338</v>
      </c>
      <c r="F2822" s="402" t="s">
        <v>1913</v>
      </c>
      <c r="G2822" s="414" t="s">
        <v>699</v>
      </c>
      <c r="H2822" s="49">
        <v>3714</v>
      </c>
      <c r="I2822" s="50" t="s">
        <v>2</v>
      </c>
      <c r="J2822" s="260" t="s">
        <v>700</v>
      </c>
      <c r="K2822" s="51">
        <v>41201</v>
      </c>
      <c r="L2822" s="173">
        <v>41197</v>
      </c>
      <c r="M2822" s="50">
        <f t="shared" si="163"/>
        <v>4</v>
      </c>
      <c r="N2822" s="50" t="s">
        <v>2</v>
      </c>
      <c r="O2822" s="74">
        <f>1.9/2</f>
        <v>0.95</v>
      </c>
      <c r="P2822" s="50">
        <v>5.87</v>
      </c>
      <c r="Q2822" s="74">
        <v>6.06</v>
      </c>
      <c r="R2822" s="50">
        <f>20/2</f>
        <v>10</v>
      </c>
      <c r="S2822" s="74">
        <v>1.8</v>
      </c>
      <c r="T2822" s="50">
        <v>3.5999999999999997E-2</v>
      </c>
      <c r="U2822" s="131">
        <v>1.1000000000000001</v>
      </c>
      <c r="V2822" s="50">
        <f>0.46/2</f>
        <v>0.23</v>
      </c>
      <c r="W2822" s="74">
        <f>0.005/2</f>
        <v>2.5000000000000001E-3</v>
      </c>
      <c r="X2822" s="50">
        <v>0.09</v>
      </c>
      <c r="Y2822" s="74">
        <f>0.005/2</f>
        <v>2.5000000000000001E-3</v>
      </c>
      <c r="Z2822" s="165">
        <v>1</v>
      </c>
      <c r="AA2822" s="271">
        <v>1</v>
      </c>
      <c r="AB2822" s="114">
        <v>4</v>
      </c>
      <c r="AC2822" s="50">
        <v>19</v>
      </c>
      <c r="AD2822" s="271">
        <v>1</v>
      </c>
    </row>
    <row r="2823" spans="1:31" ht="15" customHeight="1">
      <c r="A2823" s="41" t="s">
        <v>183</v>
      </c>
      <c r="B2823" s="402" t="s">
        <v>697</v>
      </c>
      <c r="C2823" s="113" t="s">
        <v>697</v>
      </c>
      <c r="D2823" s="393" t="s">
        <v>338</v>
      </c>
      <c r="F2823" s="402" t="s">
        <v>1913</v>
      </c>
      <c r="G2823" s="414" t="s">
        <v>699</v>
      </c>
      <c r="H2823" s="49">
        <v>3714</v>
      </c>
      <c r="I2823" s="50" t="s">
        <v>2</v>
      </c>
      <c r="J2823" s="260" t="s">
        <v>700</v>
      </c>
      <c r="K2823" s="51">
        <v>41487</v>
      </c>
      <c r="L2823" s="173">
        <v>41481</v>
      </c>
      <c r="M2823" s="50">
        <f t="shared" si="163"/>
        <v>6</v>
      </c>
      <c r="N2823" s="50" t="s">
        <v>2</v>
      </c>
      <c r="O2823" s="74">
        <f>1.8/2</f>
        <v>0.9</v>
      </c>
      <c r="P2823" s="50">
        <v>6.3</v>
      </c>
      <c r="Q2823" s="74">
        <v>7.9</v>
      </c>
      <c r="R2823" s="50">
        <f>20/2</f>
        <v>10</v>
      </c>
      <c r="S2823" s="74">
        <f>1/2</f>
        <v>0.5</v>
      </c>
      <c r="T2823" s="50">
        <v>4.8000000000000001E-2</v>
      </c>
      <c r="U2823" s="131">
        <v>1.1000000000000001</v>
      </c>
      <c r="V2823" s="50">
        <v>0.75</v>
      </c>
      <c r="W2823" s="74">
        <f>0.005/2</f>
        <v>2.5000000000000001E-3</v>
      </c>
      <c r="X2823" s="50">
        <v>2.9000000000000001E-2</v>
      </c>
      <c r="Y2823" s="74">
        <f>0.005/2</f>
        <v>2.5000000000000001E-3</v>
      </c>
      <c r="Z2823" s="165">
        <v>1</v>
      </c>
      <c r="AA2823" s="271">
        <v>1</v>
      </c>
      <c r="AB2823" s="114">
        <v>72</v>
      </c>
      <c r="AC2823" s="50">
        <v>271</v>
      </c>
      <c r="AD2823" s="271">
        <v>1</v>
      </c>
    </row>
    <row r="2824" spans="1:31" ht="15" customHeight="1">
      <c r="A2824" s="41" t="s">
        <v>183</v>
      </c>
      <c r="B2824" s="386" t="s">
        <v>119</v>
      </c>
      <c r="C2824" s="149" t="s">
        <v>120</v>
      </c>
      <c r="D2824" s="299" t="s">
        <v>397</v>
      </c>
      <c r="E2824" s="258" t="s">
        <v>467</v>
      </c>
      <c r="F2824" s="386" t="s">
        <v>959</v>
      </c>
      <c r="G2824" s="389" t="s">
        <v>121</v>
      </c>
      <c r="H2824" s="55">
        <v>2400</v>
      </c>
      <c r="I2824" s="54" t="s">
        <v>2</v>
      </c>
      <c r="J2824" s="61" t="s">
        <v>122</v>
      </c>
      <c r="K2824" s="51">
        <v>41156</v>
      </c>
      <c r="L2824" s="173">
        <v>41149</v>
      </c>
      <c r="M2824" s="50">
        <f t="shared" si="163"/>
        <v>7</v>
      </c>
      <c r="N2824" s="50" t="s">
        <v>2</v>
      </c>
      <c r="O2824" s="74">
        <v>7.5</v>
      </c>
      <c r="P2824" s="50">
        <v>5.5</v>
      </c>
      <c r="Q2824" s="74">
        <v>8.1</v>
      </c>
      <c r="R2824" s="50">
        <f>1/2</f>
        <v>0.5</v>
      </c>
      <c r="S2824" s="74">
        <v>410</v>
      </c>
      <c r="T2824" s="50">
        <v>0.7</v>
      </c>
      <c r="U2824" s="131">
        <v>1.8</v>
      </c>
      <c r="V2824" s="50">
        <v>0.09</v>
      </c>
      <c r="W2824" s="74">
        <v>0.15</v>
      </c>
      <c r="X2824" s="50">
        <v>0.87</v>
      </c>
      <c r="Y2824" s="74">
        <v>0.23</v>
      </c>
      <c r="Z2824" s="165"/>
      <c r="AE2824" s="50">
        <v>6700</v>
      </c>
    </row>
    <row r="2825" spans="1:31" ht="15" customHeight="1">
      <c r="A2825" s="41" t="s">
        <v>183</v>
      </c>
      <c r="B2825" s="386" t="s">
        <v>119</v>
      </c>
      <c r="C2825" s="149" t="s">
        <v>120</v>
      </c>
      <c r="D2825" s="299" t="s">
        <v>397</v>
      </c>
      <c r="E2825" s="258" t="s">
        <v>467</v>
      </c>
      <c r="F2825" s="386" t="s">
        <v>959</v>
      </c>
      <c r="G2825" s="389" t="s">
        <v>121</v>
      </c>
      <c r="H2825" s="55">
        <v>2400</v>
      </c>
      <c r="I2825" s="54" t="s">
        <v>1</v>
      </c>
      <c r="J2825" s="61" t="s">
        <v>122</v>
      </c>
      <c r="K2825" s="51">
        <v>41345</v>
      </c>
      <c r="L2825" s="173">
        <v>41341</v>
      </c>
      <c r="M2825" s="50">
        <f t="shared" si="163"/>
        <v>4</v>
      </c>
      <c r="N2825" s="50" t="s">
        <v>2</v>
      </c>
      <c r="O2825" s="74">
        <v>19</v>
      </c>
      <c r="P2825" s="50">
        <v>6.5</v>
      </c>
      <c r="Q2825" s="74">
        <v>8</v>
      </c>
      <c r="R2825" s="50">
        <v>850</v>
      </c>
      <c r="S2825" s="74">
        <v>2000</v>
      </c>
      <c r="T2825" s="50">
        <v>2.9</v>
      </c>
      <c r="U2825" s="131">
        <v>10</v>
      </c>
      <c r="V2825" s="50">
        <v>0.84</v>
      </c>
      <c r="W2825" s="74">
        <v>0.57999999999999996</v>
      </c>
      <c r="X2825" s="50">
        <v>3</v>
      </c>
      <c r="Y2825" s="74">
        <v>1.2</v>
      </c>
      <c r="Z2825" s="165">
        <v>1</v>
      </c>
      <c r="AA2825" s="271">
        <v>1</v>
      </c>
      <c r="AB2825" s="114">
        <v>178</v>
      </c>
      <c r="AC2825" s="50">
        <v>2659</v>
      </c>
      <c r="AD2825" s="271">
        <v>1</v>
      </c>
      <c r="AE2825" s="50">
        <v>330</v>
      </c>
    </row>
    <row r="2826" spans="1:31" ht="15" customHeight="1">
      <c r="A2826" s="41" t="s">
        <v>183</v>
      </c>
      <c r="B2826" s="386" t="s">
        <v>119</v>
      </c>
      <c r="C2826" s="149" t="s">
        <v>120</v>
      </c>
      <c r="D2826" s="299" t="s">
        <v>397</v>
      </c>
      <c r="E2826" s="258" t="s">
        <v>467</v>
      </c>
      <c r="F2826" s="386" t="s">
        <v>959</v>
      </c>
      <c r="G2826" s="389" t="s">
        <v>121</v>
      </c>
      <c r="H2826" s="55">
        <v>2400</v>
      </c>
      <c r="I2826" s="54" t="s">
        <v>2</v>
      </c>
      <c r="J2826" s="61" t="s">
        <v>122</v>
      </c>
      <c r="K2826" s="51">
        <v>41529</v>
      </c>
      <c r="L2826" s="173">
        <v>41520</v>
      </c>
      <c r="M2826" s="50">
        <f t="shared" si="163"/>
        <v>9</v>
      </c>
      <c r="N2826" s="50" t="s">
        <v>2</v>
      </c>
      <c r="O2826" s="74">
        <f>1/2</f>
        <v>0.5</v>
      </c>
      <c r="P2826" s="50">
        <v>6</v>
      </c>
      <c r="Q2826" s="74">
        <v>7</v>
      </c>
      <c r="R2826" s="50">
        <v>120</v>
      </c>
      <c r="S2826" s="74">
        <v>140</v>
      </c>
      <c r="T2826" s="50">
        <v>0.45</v>
      </c>
      <c r="U2826" s="131">
        <v>1.4</v>
      </c>
      <c r="V2826" s="50">
        <v>0.36</v>
      </c>
      <c r="W2826" s="74">
        <v>4.7E-2</v>
      </c>
      <c r="X2826" s="50">
        <v>0.16</v>
      </c>
      <c r="Y2826" s="74">
        <v>5.8999999999999997E-2</v>
      </c>
      <c r="Z2826" s="165"/>
    </row>
    <row r="2827" spans="1:31" ht="15" customHeight="1">
      <c r="A2827" s="41" t="s">
        <v>183</v>
      </c>
      <c r="B2827" s="386" t="s">
        <v>119</v>
      </c>
      <c r="C2827" s="149" t="s">
        <v>120</v>
      </c>
      <c r="D2827" s="299" t="s">
        <v>397</v>
      </c>
      <c r="E2827" s="258" t="s">
        <v>467</v>
      </c>
      <c r="F2827" s="386" t="s">
        <v>959</v>
      </c>
      <c r="G2827" s="389" t="s">
        <v>121</v>
      </c>
      <c r="H2827" s="55">
        <v>2400</v>
      </c>
      <c r="I2827" s="54" t="s">
        <v>1</v>
      </c>
      <c r="J2827" s="61" t="s">
        <v>122</v>
      </c>
      <c r="K2827" s="51">
        <v>41744</v>
      </c>
      <c r="L2827" s="173">
        <v>41737</v>
      </c>
      <c r="M2827" s="50">
        <f t="shared" si="163"/>
        <v>7</v>
      </c>
      <c r="N2827" s="50" t="s">
        <v>2</v>
      </c>
      <c r="O2827" s="74">
        <f>3.3/2</f>
        <v>1.65</v>
      </c>
      <c r="P2827" s="50">
        <v>5.5</v>
      </c>
      <c r="R2827" s="50">
        <v>230</v>
      </c>
      <c r="S2827" s="74">
        <v>410</v>
      </c>
      <c r="T2827" s="50">
        <v>0.89</v>
      </c>
      <c r="U2827" s="131">
        <v>3</v>
      </c>
      <c r="W2827" s="74">
        <v>0.05</v>
      </c>
      <c r="X2827" s="50">
        <v>0.21</v>
      </c>
      <c r="Y2827" s="74">
        <v>5.7000000000000002E-2</v>
      </c>
      <c r="Z2827" s="165"/>
    </row>
    <row r="2828" spans="1:31" ht="15" customHeight="1">
      <c r="A2828" s="41" t="s">
        <v>183</v>
      </c>
      <c r="B2828" s="386" t="s">
        <v>666</v>
      </c>
      <c r="C2828" s="149" t="s">
        <v>667</v>
      </c>
      <c r="D2828" s="392" t="s">
        <v>251</v>
      </c>
      <c r="E2828" s="258" t="s">
        <v>988</v>
      </c>
      <c r="F2828" s="386"/>
      <c r="G2828" s="389" t="s">
        <v>668</v>
      </c>
      <c r="H2828" s="55">
        <v>3724</v>
      </c>
      <c r="I2828" s="54" t="s">
        <v>2</v>
      </c>
      <c r="J2828" s="61" t="s">
        <v>669</v>
      </c>
      <c r="K2828" s="51">
        <v>41304</v>
      </c>
      <c r="L2828" s="173">
        <v>41290</v>
      </c>
      <c r="M2828" s="50">
        <f t="shared" si="163"/>
        <v>14</v>
      </c>
      <c r="N2828" s="50" t="s">
        <v>1</v>
      </c>
      <c r="O2828" s="74">
        <f>5/2</f>
        <v>2.5</v>
      </c>
      <c r="P2828" s="50">
        <v>4.45</v>
      </c>
      <c r="Q2828" s="74">
        <v>7.58</v>
      </c>
      <c r="R2828" s="50">
        <v>74</v>
      </c>
      <c r="S2828" s="74">
        <v>31</v>
      </c>
      <c r="T2828" s="50">
        <f>0.1/2</f>
        <v>0.05</v>
      </c>
      <c r="U2828" s="131">
        <f>1/2</f>
        <v>0.5</v>
      </c>
      <c r="V2828" s="50">
        <f>0.1/2</f>
        <v>0.05</v>
      </c>
      <c r="W2828" s="74">
        <f>0.04/2</f>
        <v>0.02</v>
      </c>
      <c r="X2828" s="50">
        <v>3.9E-2</v>
      </c>
      <c r="Y2828" s="74">
        <f>0.013/2</f>
        <v>6.4999999999999997E-3</v>
      </c>
      <c r="Z2828" s="165"/>
    </row>
    <row r="2829" spans="1:31" ht="15" customHeight="1">
      <c r="A2829" s="41" t="s">
        <v>183</v>
      </c>
      <c r="B2829" s="386" t="s">
        <v>666</v>
      </c>
      <c r="C2829" s="149" t="s">
        <v>822</v>
      </c>
      <c r="D2829" s="392" t="s">
        <v>251</v>
      </c>
      <c r="E2829" s="258" t="s">
        <v>823</v>
      </c>
      <c r="F2829" s="386"/>
      <c r="G2829" s="389" t="s">
        <v>824</v>
      </c>
      <c r="H2829" s="55">
        <v>3724</v>
      </c>
      <c r="I2829" s="54" t="s">
        <v>2</v>
      </c>
      <c r="J2829" s="61" t="s">
        <v>669</v>
      </c>
      <c r="K2829" s="51">
        <v>41290</v>
      </c>
      <c r="L2829" s="173">
        <v>41285</v>
      </c>
      <c r="M2829" s="50">
        <f t="shared" si="163"/>
        <v>5</v>
      </c>
      <c r="N2829" s="50" t="s">
        <v>2</v>
      </c>
      <c r="O2829" s="74">
        <f>5/2</f>
        <v>2.5</v>
      </c>
      <c r="P2829" s="50">
        <v>5.09</v>
      </c>
      <c r="Q2829" s="74">
        <v>6.92</v>
      </c>
      <c r="R2829" s="50">
        <v>5.4</v>
      </c>
      <c r="S2829" s="74">
        <v>5</v>
      </c>
      <c r="T2829" s="50">
        <f>0.1/2</f>
        <v>0.05</v>
      </c>
      <c r="U2829" s="131">
        <f>1/2</f>
        <v>0.5</v>
      </c>
      <c r="V2829" s="50">
        <v>0.48</v>
      </c>
      <c r="W2829" s="74">
        <f>0.04/2</f>
        <v>0.02</v>
      </c>
      <c r="X2829" s="50">
        <v>6.2E-2</v>
      </c>
      <c r="Y2829" s="74">
        <f>0.013/2</f>
        <v>6.4999999999999997E-3</v>
      </c>
      <c r="Z2829" s="165"/>
    </row>
    <row r="2830" spans="1:31" ht="15" customHeight="1">
      <c r="A2830" s="41" t="s">
        <v>183</v>
      </c>
      <c r="B2830" s="386" t="s">
        <v>666</v>
      </c>
      <c r="C2830" s="149" t="s">
        <v>822</v>
      </c>
      <c r="D2830" s="392" t="s">
        <v>251</v>
      </c>
      <c r="E2830" s="258" t="s">
        <v>823</v>
      </c>
      <c r="F2830" s="386"/>
      <c r="G2830" s="389" t="s">
        <v>824</v>
      </c>
      <c r="H2830" s="55">
        <v>3724</v>
      </c>
      <c r="I2830" s="54" t="s">
        <v>2</v>
      </c>
      <c r="J2830" s="61" t="s">
        <v>676</v>
      </c>
      <c r="K2830" s="51">
        <v>41290</v>
      </c>
      <c r="L2830" s="173">
        <v>41285</v>
      </c>
      <c r="M2830" s="50">
        <f t="shared" si="163"/>
        <v>5</v>
      </c>
      <c r="N2830" s="50" t="s">
        <v>2</v>
      </c>
      <c r="O2830" s="74">
        <f>5/2</f>
        <v>2.5</v>
      </c>
      <c r="P2830" s="50">
        <v>5.09</v>
      </c>
      <c r="Q2830" s="74">
        <v>7.32</v>
      </c>
      <c r="R2830" s="50">
        <v>93</v>
      </c>
      <c r="S2830" s="74">
        <v>35</v>
      </c>
      <c r="T2830" s="50">
        <f>0.1/2</f>
        <v>0.05</v>
      </c>
      <c r="U2830" s="131">
        <f>1/2</f>
        <v>0.5</v>
      </c>
      <c r="V2830" s="50">
        <f>0.1/2</f>
        <v>0.05</v>
      </c>
      <c r="W2830" s="74">
        <f>0.04/2</f>
        <v>0.02</v>
      </c>
      <c r="X2830" s="50">
        <v>7.9000000000000001E-2</v>
      </c>
      <c r="Y2830" s="74">
        <f>0.013/2</f>
        <v>6.4999999999999997E-3</v>
      </c>
      <c r="Z2830" s="165"/>
    </row>
    <row r="2831" spans="1:31" ht="15" customHeight="1">
      <c r="A2831" s="41" t="s">
        <v>183</v>
      </c>
      <c r="B2831" s="402" t="s">
        <v>666</v>
      </c>
      <c r="C2831" s="113" t="s">
        <v>673</v>
      </c>
      <c r="D2831" s="393" t="s">
        <v>213</v>
      </c>
      <c r="E2831" s="394" t="s">
        <v>674</v>
      </c>
      <c r="G2831" s="405" t="s">
        <v>675</v>
      </c>
      <c r="H2831" s="74">
        <v>3724</v>
      </c>
      <c r="I2831" s="50" t="s">
        <v>2</v>
      </c>
      <c r="J2831" s="339" t="s">
        <v>676</v>
      </c>
      <c r="K2831" s="51">
        <v>41304</v>
      </c>
      <c r="L2831" s="173">
        <v>41290</v>
      </c>
      <c r="M2831" s="50">
        <f t="shared" si="163"/>
        <v>14</v>
      </c>
      <c r="N2831" s="50" t="s">
        <v>2</v>
      </c>
      <c r="O2831" s="74">
        <f>5/2</f>
        <v>2.5</v>
      </c>
      <c r="P2831" s="50">
        <v>4.45</v>
      </c>
      <c r="Q2831" s="74">
        <v>7.27</v>
      </c>
      <c r="R2831" s="50">
        <v>51</v>
      </c>
      <c r="S2831" s="74">
        <v>26</v>
      </c>
      <c r="T2831" s="50">
        <f>0.1/2</f>
        <v>0.05</v>
      </c>
      <c r="U2831" s="131">
        <v>3.2</v>
      </c>
      <c r="V2831" s="50">
        <v>1.7</v>
      </c>
      <c r="W2831" s="74">
        <f>0.04/2</f>
        <v>0.02</v>
      </c>
      <c r="X2831" s="50">
        <v>0.49</v>
      </c>
      <c r="Y2831" s="74">
        <f>0.013/2</f>
        <v>6.4999999999999997E-3</v>
      </c>
      <c r="Z2831" s="165"/>
    </row>
    <row r="2832" spans="1:31" ht="15" customHeight="1">
      <c r="A2832" s="41" t="s">
        <v>183</v>
      </c>
      <c r="B2832" s="402" t="s">
        <v>4960</v>
      </c>
      <c r="D2832" s="393" t="s">
        <v>56</v>
      </c>
      <c r="E2832" s="394" t="s">
        <v>664</v>
      </c>
      <c r="G2832" s="405" t="s">
        <v>4959</v>
      </c>
      <c r="H2832" s="74">
        <v>5171</v>
      </c>
      <c r="I2832" s="50" t="s">
        <v>2</v>
      </c>
      <c r="J2832" s="339" t="s">
        <v>641</v>
      </c>
      <c r="K2832" s="51">
        <v>41744</v>
      </c>
      <c r="L2832" s="173">
        <v>41737</v>
      </c>
      <c r="M2832" s="50">
        <f t="shared" si="163"/>
        <v>7</v>
      </c>
      <c r="N2832" s="50" t="s">
        <v>2</v>
      </c>
      <c r="R2832" s="50">
        <v>74</v>
      </c>
      <c r="S2832" s="74">
        <v>526</v>
      </c>
      <c r="W2832" s="74">
        <v>6.8000000000000005E-2</v>
      </c>
      <c r="X2832" s="50">
        <v>0.307</v>
      </c>
      <c r="Z2832" s="165"/>
    </row>
    <row r="2833" spans="1:31" ht="15" customHeight="1">
      <c r="A2833" s="41" t="s">
        <v>183</v>
      </c>
      <c r="B2833" s="402" t="s">
        <v>4909</v>
      </c>
      <c r="C2833" s="113" t="s">
        <v>4909</v>
      </c>
      <c r="D2833" s="393" t="s">
        <v>205</v>
      </c>
      <c r="E2833" s="394" t="s">
        <v>1056</v>
      </c>
      <c r="F2833" s="402" t="s">
        <v>4911</v>
      </c>
      <c r="G2833" s="405" t="s">
        <v>4912</v>
      </c>
      <c r="H2833" s="74">
        <v>3585</v>
      </c>
      <c r="I2833" s="50" t="s">
        <v>1</v>
      </c>
      <c r="J2833" s="74" t="s">
        <v>366</v>
      </c>
      <c r="K2833" s="51">
        <v>41585</v>
      </c>
      <c r="L2833" s="173">
        <v>41579</v>
      </c>
      <c r="M2833" s="50">
        <f t="shared" si="163"/>
        <v>6</v>
      </c>
      <c r="N2833" s="50" t="s">
        <v>2</v>
      </c>
      <c r="O2833" s="74">
        <v>2</v>
      </c>
      <c r="P2833" s="50">
        <v>6.5</v>
      </c>
      <c r="Q2833" s="74">
        <v>6.58</v>
      </c>
      <c r="R2833" s="50">
        <v>150</v>
      </c>
      <c r="S2833" s="74">
        <v>15</v>
      </c>
      <c r="T2833" s="50">
        <v>0.33</v>
      </c>
      <c r="U2833" s="131">
        <v>1.26</v>
      </c>
      <c r="V2833" s="50">
        <v>0.27</v>
      </c>
      <c r="W2833" s="74">
        <v>0.05</v>
      </c>
      <c r="X2833" s="50">
        <v>1.34</v>
      </c>
      <c r="Y2833" s="74">
        <v>7.0000000000000001E-3</v>
      </c>
      <c r="Z2833" s="165">
        <v>0.59399999999999997</v>
      </c>
      <c r="AA2833" s="271">
        <v>0.27700000000000002</v>
      </c>
      <c r="AB2833" s="114">
        <v>6</v>
      </c>
      <c r="AC2833" s="50">
        <v>26</v>
      </c>
      <c r="AD2833" s="271">
        <v>0</v>
      </c>
    </row>
    <row r="2834" spans="1:31" ht="15" customHeight="1">
      <c r="A2834" s="41" t="s">
        <v>183</v>
      </c>
      <c r="B2834" s="402" t="s">
        <v>4909</v>
      </c>
      <c r="C2834" s="113" t="s">
        <v>4909</v>
      </c>
      <c r="D2834" s="393" t="s">
        <v>205</v>
      </c>
      <c r="E2834" s="394" t="s">
        <v>1056</v>
      </c>
      <c r="F2834" s="402" t="s">
        <v>4911</v>
      </c>
      <c r="G2834" s="405" t="s">
        <v>4912</v>
      </c>
      <c r="H2834" s="74">
        <v>3585</v>
      </c>
      <c r="I2834" s="50" t="s">
        <v>1</v>
      </c>
      <c r="J2834" s="74" t="s">
        <v>593</v>
      </c>
      <c r="K2834" s="51">
        <v>41585</v>
      </c>
      <c r="L2834" s="173">
        <v>41579</v>
      </c>
      <c r="M2834" s="50">
        <f t="shared" si="163"/>
        <v>6</v>
      </c>
      <c r="N2834" s="50" t="s">
        <v>2</v>
      </c>
      <c r="O2834" s="74">
        <f>1.4/2</f>
        <v>0.7</v>
      </c>
      <c r="P2834" s="50">
        <v>6.5</v>
      </c>
      <c r="Q2834" s="74">
        <v>7.29</v>
      </c>
      <c r="R2834" s="50">
        <v>26</v>
      </c>
      <c r="S2834" s="74">
        <v>30</v>
      </c>
      <c r="T2834" s="50">
        <v>0.1</v>
      </c>
      <c r="U2834" s="131">
        <v>0.93</v>
      </c>
      <c r="V2834" s="50">
        <v>0.22</v>
      </c>
      <c r="W2834" s="74">
        <v>0.02</v>
      </c>
      <c r="X2834" s="50">
        <v>0.17199999999999999</v>
      </c>
      <c r="Y2834" s="74">
        <f>0.002/2</f>
        <v>1E-3</v>
      </c>
      <c r="Z2834" s="165">
        <v>1</v>
      </c>
      <c r="AA2834" s="271">
        <v>1</v>
      </c>
      <c r="AB2834" s="114">
        <v>22</v>
      </c>
      <c r="AC2834" s="50">
        <v>113</v>
      </c>
      <c r="AD2834" s="271">
        <v>1</v>
      </c>
    </row>
    <row r="2835" spans="1:31" ht="15" customHeight="1">
      <c r="A2835" s="41" t="s">
        <v>183</v>
      </c>
      <c r="B2835" s="402" t="s">
        <v>1393</v>
      </c>
      <c r="D2835" s="393" t="s">
        <v>133</v>
      </c>
      <c r="E2835" s="394" t="s">
        <v>2206</v>
      </c>
      <c r="G2835" s="405" t="s">
        <v>2207</v>
      </c>
      <c r="H2835" s="113">
        <v>4311</v>
      </c>
      <c r="I2835" s="49" t="s">
        <v>2</v>
      </c>
      <c r="J2835" s="48" t="s">
        <v>255</v>
      </c>
      <c r="K2835" s="51">
        <v>41584</v>
      </c>
      <c r="L2835" s="173">
        <v>41579</v>
      </c>
      <c r="M2835" s="50">
        <f t="shared" si="163"/>
        <v>5</v>
      </c>
      <c r="N2835" s="50" t="s">
        <v>2</v>
      </c>
      <c r="R2835" s="50">
        <v>39</v>
      </c>
      <c r="S2835" s="74">
        <v>18</v>
      </c>
      <c r="U2835" s="131">
        <v>1.53</v>
      </c>
      <c r="V2835" s="50">
        <v>0.77</v>
      </c>
      <c r="X2835" s="50">
        <v>8.1000000000000003E-2</v>
      </c>
      <c r="Z2835" s="165"/>
    </row>
    <row r="2836" spans="1:31" ht="15" customHeight="1">
      <c r="A2836" s="41" t="s">
        <v>183</v>
      </c>
      <c r="B2836" s="402" t="s">
        <v>4881</v>
      </c>
      <c r="C2836" s="113" t="s">
        <v>4883</v>
      </c>
      <c r="D2836" s="393" t="s">
        <v>1881</v>
      </c>
      <c r="E2836" s="394" t="s">
        <v>1546</v>
      </c>
      <c r="F2836" s="85"/>
      <c r="G2836" s="405" t="s">
        <v>4456</v>
      </c>
      <c r="H2836" s="74">
        <v>4952</v>
      </c>
      <c r="I2836" s="50" t="s">
        <v>2</v>
      </c>
      <c r="J2836" s="48" t="s">
        <v>4884</v>
      </c>
      <c r="K2836" s="51">
        <v>41717</v>
      </c>
      <c r="L2836" s="173"/>
      <c r="N2836" s="50" t="s">
        <v>2</v>
      </c>
      <c r="O2836" s="74">
        <f>1.9/2</f>
        <v>0.95</v>
      </c>
      <c r="P2836" s="50">
        <v>5.8</v>
      </c>
      <c r="Q2836" s="74">
        <v>6.7</v>
      </c>
      <c r="R2836" s="50">
        <f>20/2</f>
        <v>10</v>
      </c>
      <c r="S2836" s="74">
        <v>3.4</v>
      </c>
      <c r="T2836" s="50">
        <v>6.2E-2</v>
      </c>
      <c r="U2836" s="131">
        <f>1.6/2</f>
        <v>0.8</v>
      </c>
      <c r="V2836" s="50">
        <v>2.06</v>
      </c>
      <c r="W2836" s="74">
        <f>0.005/2</f>
        <v>2.5000000000000001E-3</v>
      </c>
      <c r="X2836" s="50">
        <v>3.4000000000000002E-2</v>
      </c>
      <c r="Y2836" s="74">
        <f>0.005/2</f>
        <v>2.5000000000000001E-3</v>
      </c>
      <c r="Z2836" s="165"/>
    </row>
    <row r="2837" spans="1:31" ht="15" customHeight="1">
      <c r="A2837" s="41" t="s">
        <v>183</v>
      </c>
      <c r="B2837" s="402" t="s">
        <v>4881</v>
      </c>
      <c r="C2837" s="113" t="s">
        <v>4883</v>
      </c>
      <c r="D2837" s="393" t="s">
        <v>1881</v>
      </c>
      <c r="E2837" s="394" t="s">
        <v>1546</v>
      </c>
      <c r="F2837" s="85"/>
      <c r="G2837" s="405" t="s">
        <v>4456</v>
      </c>
      <c r="H2837" s="74">
        <v>4952</v>
      </c>
      <c r="I2837" s="50" t="s">
        <v>2</v>
      </c>
      <c r="J2837" s="48" t="s">
        <v>4885</v>
      </c>
      <c r="K2837" s="51">
        <v>41717</v>
      </c>
      <c r="L2837" s="173"/>
      <c r="N2837" s="50" t="s">
        <v>2</v>
      </c>
      <c r="O2837" s="74">
        <v>5.5</v>
      </c>
      <c r="P2837" s="50">
        <v>5.8</v>
      </c>
      <c r="Q2837" s="74">
        <v>7.1</v>
      </c>
      <c r="R2837" s="50">
        <v>280</v>
      </c>
      <c r="S2837" s="74">
        <v>193</v>
      </c>
      <c r="T2837" s="50">
        <v>3.87</v>
      </c>
      <c r="U2837" s="131">
        <v>21</v>
      </c>
      <c r="V2837" s="50">
        <v>3.28</v>
      </c>
      <c r="W2837" s="74">
        <v>4.2000000000000003E-2</v>
      </c>
      <c r="X2837" s="50">
        <v>9.6000000000000002E-2</v>
      </c>
      <c r="Y2837" s="74">
        <v>0.01</v>
      </c>
      <c r="Z2837" s="165"/>
    </row>
    <row r="2838" spans="1:31" ht="15" customHeight="1">
      <c r="A2838" s="41" t="s">
        <v>183</v>
      </c>
      <c r="B2838" s="402" t="s">
        <v>1278</v>
      </c>
      <c r="C2838" s="113" t="s">
        <v>1279</v>
      </c>
      <c r="D2838" s="393" t="s">
        <v>268</v>
      </c>
      <c r="E2838" s="394" t="s">
        <v>252</v>
      </c>
      <c r="G2838" s="405" t="s">
        <v>1280</v>
      </c>
      <c r="H2838" s="74">
        <v>3562</v>
      </c>
      <c r="I2838" s="50" t="s">
        <v>2</v>
      </c>
      <c r="J2838" s="339" t="s">
        <v>81</v>
      </c>
      <c r="K2838" s="51">
        <v>41744</v>
      </c>
      <c r="L2838" s="173">
        <v>41710</v>
      </c>
      <c r="M2838" s="50">
        <f t="shared" si="163"/>
        <v>34</v>
      </c>
      <c r="N2838" s="50" t="s">
        <v>2</v>
      </c>
      <c r="U2838" s="131">
        <f>1.6/2</f>
        <v>0.8</v>
      </c>
      <c r="W2838" s="74">
        <v>7.0000000000000007E-2</v>
      </c>
      <c r="X2838" s="50">
        <v>0.16700000000000001</v>
      </c>
      <c r="Z2838" s="165"/>
    </row>
    <row r="2839" spans="1:31" ht="15" customHeight="1">
      <c r="A2839" s="41" t="s">
        <v>183</v>
      </c>
      <c r="B2839" s="402" t="s">
        <v>5610</v>
      </c>
      <c r="D2839" s="393" t="s">
        <v>192</v>
      </c>
      <c r="E2839" s="394" t="s">
        <v>5611</v>
      </c>
      <c r="G2839" s="405" t="s">
        <v>5612</v>
      </c>
      <c r="H2839" s="74">
        <v>3441</v>
      </c>
      <c r="I2839" s="50" t="s">
        <v>2</v>
      </c>
      <c r="J2839" s="339" t="s">
        <v>5613</v>
      </c>
      <c r="K2839" s="51">
        <v>41579</v>
      </c>
      <c r="L2839" s="173">
        <v>41345</v>
      </c>
      <c r="M2839" s="50">
        <f t="shared" si="163"/>
        <v>234</v>
      </c>
      <c r="N2839" s="50" t="s">
        <v>2</v>
      </c>
      <c r="O2839" s="74">
        <f>1.8/2</f>
        <v>0.9</v>
      </c>
      <c r="Q2839" s="74">
        <v>7.3</v>
      </c>
      <c r="R2839" s="50">
        <v>38</v>
      </c>
      <c r="S2839" s="74">
        <v>18.8</v>
      </c>
      <c r="T2839" s="50">
        <v>0.24299999999999999</v>
      </c>
      <c r="U2839" s="131">
        <v>2.2999999999999998</v>
      </c>
      <c r="V2839" s="50">
        <v>0.6</v>
      </c>
      <c r="W2839" s="74">
        <v>1.4E-2</v>
      </c>
      <c r="X2839" s="50">
        <v>2.3E-2</v>
      </c>
      <c r="Y2839" s="74">
        <f>0.005/2</f>
        <v>2.5000000000000001E-3</v>
      </c>
      <c r="Z2839" s="165">
        <v>1</v>
      </c>
      <c r="AA2839" s="271">
        <v>1</v>
      </c>
      <c r="AB2839" s="114">
        <v>82</v>
      </c>
      <c r="AC2839" s="50">
        <v>333</v>
      </c>
      <c r="AD2839" s="271">
        <v>1</v>
      </c>
    </row>
    <row r="2840" spans="1:31" ht="15" customHeight="1">
      <c r="A2840" s="41" t="s">
        <v>183</v>
      </c>
      <c r="B2840" s="402" t="s">
        <v>5610</v>
      </c>
      <c r="D2840" s="393" t="s">
        <v>192</v>
      </c>
      <c r="E2840" s="394" t="s">
        <v>5611</v>
      </c>
      <c r="G2840" s="405" t="s">
        <v>5612</v>
      </c>
      <c r="H2840" s="74">
        <v>3441</v>
      </c>
      <c r="I2840" s="50" t="s">
        <v>2</v>
      </c>
      <c r="J2840" s="339" t="s">
        <v>5613</v>
      </c>
      <c r="K2840" s="51">
        <v>41727</v>
      </c>
      <c r="L2840" s="173">
        <v>41285</v>
      </c>
      <c r="M2840" s="50">
        <f t="shared" si="163"/>
        <v>442</v>
      </c>
      <c r="N2840" s="50" t="s">
        <v>2</v>
      </c>
      <c r="R2840" s="50">
        <v>24</v>
      </c>
      <c r="S2840" s="74">
        <v>46</v>
      </c>
      <c r="Z2840" s="165"/>
    </row>
    <row r="2841" spans="1:31" ht="15" customHeight="1">
      <c r="A2841" s="41" t="s">
        <v>183</v>
      </c>
      <c r="B2841" s="402" t="s">
        <v>3713</v>
      </c>
      <c r="C2841" s="113" t="s">
        <v>3714</v>
      </c>
      <c r="D2841" s="393" t="s">
        <v>290</v>
      </c>
      <c r="E2841" s="394" t="s">
        <v>112</v>
      </c>
      <c r="F2841" s="401"/>
      <c r="G2841" s="405" t="s">
        <v>3715</v>
      </c>
      <c r="H2841" s="113">
        <v>3841</v>
      </c>
      <c r="I2841" s="49" t="s">
        <v>1</v>
      </c>
      <c r="J2841" s="48" t="s">
        <v>3145</v>
      </c>
      <c r="K2841" s="51">
        <v>41579</v>
      </c>
      <c r="L2841" s="173">
        <v>41554</v>
      </c>
      <c r="M2841" s="50">
        <f t="shared" si="163"/>
        <v>25</v>
      </c>
      <c r="N2841" s="50" t="s">
        <v>2</v>
      </c>
      <c r="O2841" s="74">
        <f>2/2</f>
        <v>1</v>
      </c>
      <c r="P2841" s="50">
        <v>6.8</v>
      </c>
      <c r="Q2841" s="74">
        <v>7</v>
      </c>
      <c r="R2841" s="50">
        <v>120</v>
      </c>
      <c r="S2841" s="74">
        <v>75</v>
      </c>
      <c r="T2841" s="50">
        <v>0.75</v>
      </c>
      <c r="U2841" s="131">
        <v>3.8</v>
      </c>
      <c r="V2841" s="50">
        <v>0.57999999999999996</v>
      </c>
      <c r="W2841" s="74">
        <v>2.1000000000000001E-2</v>
      </c>
      <c r="X2841" s="50">
        <v>6.7000000000000004E-2</v>
      </c>
      <c r="Y2841" s="74">
        <f>0.03/2</f>
        <v>1.4999999999999999E-2</v>
      </c>
      <c r="Z2841" s="165"/>
    </row>
    <row r="2842" spans="1:31" ht="15" customHeight="1">
      <c r="A2842" s="41" t="s">
        <v>183</v>
      </c>
      <c r="B2842" s="402" t="s">
        <v>3713</v>
      </c>
      <c r="C2842" s="113" t="s">
        <v>3714</v>
      </c>
      <c r="D2842" s="393" t="s">
        <v>290</v>
      </c>
      <c r="E2842" s="394" t="s">
        <v>112</v>
      </c>
      <c r="F2842" s="401"/>
      <c r="G2842" s="405" t="s">
        <v>3715</v>
      </c>
      <c r="H2842" s="113">
        <v>3841</v>
      </c>
      <c r="I2842" s="49" t="s">
        <v>1</v>
      </c>
      <c r="J2842" s="48" t="s">
        <v>3716</v>
      </c>
      <c r="K2842" s="51">
        <v>41579</v>
      </c>
      <c r="L2842" s="173">
        <v>41554</v>
      </c>
      <c r="M2842" s="50">
        <f t="shared" si="163"/>
        <v>25</v>
      </c>
      <c r="N2842" s="50" t="s">
        <v>2</v>
      </c>
      <c r="O2842" s="74">
        <f>2/2</f>
        <v>1</v>
      </c>
      <c r="P2842" s="50">
        <v>6.8</v>
      </c>
      <c r="Q2842" s="74">
        <v>6.8</v>
      </c>
      <c r="R2842" s="50">
        <v>40</v>
      </c>
      <c r="S2842" s="74">
        <v>11</v>
      </c>
      <c r="T2842" s="50">
        <v>0.14000000000000001</v>
      </c>
      <c r="U2842" s="131">
        <v>1.43</v>
      </c>
      <c r="V2842" s="50">
        <v>0.33</v>
      </c>
      <c r="W2842" s="74">
        <f>0.01/2</f>
        <v>5.0000000000000001E-3</v>
      </c>
      <c r="X2842" s="50">
        <f>0.03/2</f>
        <v>1.4999999999999999E-2</v>
      </c>
      <c r="Y2842" s="74">
        <f>0.03/2</f>
        <v>1.4999999999999999E-2</v>
      </c>
      <c r="Z2842" s="165"/>
    </row>
    <row r="2843" spans="1:31" ht="15" customHeight="1">
      <c r="A2843" s="41" t="s">
        <v>183</v>
      </c>
      <c r="B2843" s="402" t="s">
        <v>5614</v>
      </c>
      <c r="D2843" s="393" t="s">
        <v>372</v>
      </c>
      <c r="E2843" s="394" t="s">
        <v>235</v>
      </c>
      <c r="G2843" s="405" t="s">
        <v>5615</v>
      </c>
      <c r="H2843" s="74">
        <v>3316</v>
      </c>
      <c r="I2843" s="50" t="s">
        <v>1</v>
      </c>
      <c r="J2843" s="339" t="s">
        <v>473</v>
      </c>
      <c r="K2843" s="51">
        <v>41585</v>
      </c>
      <c r="L2843" s="173">
        <v>41578</v>
      </c>
      <c r="M2843" s="50">
        <f t="shared" si="163"/>
        <v>7</v>
      </c>
      <c r="N2843" s="50" t="s">
        <v>2</v>
      </c>
      <c r="O2843" s="74">
        <f>1.7/2</f>
        <v>0.85</v>
      </c>
      <c r="P2843" s="50">
        <v>6.5</v>
      </c>
      <c r="Q2843" s="74">
        <v>7.2</v>
      </c>
      <c r="R2843" s="50">
        <f>20/2</f>
        <v>10</v>
      </c>
      <c r="S2843" s="74">
        <v>5.8</v>
      </c>
      <c r="T2843" s="50">
        <v>3.5999999999999997E-2</v>
      </c>
      <c r="U2843" s="131">
        <v>1</v>
      </c>
      <c r="V2843" s="50">
        <v>0.47</v>
      </c>
      <c r="W2843" s="74">
        <v>3.4000000000000002E-2</v>
      </c>
      <c r="X2843" s="50">
        <v>0.11700000000000001</v>
      </c>
      <c r="Y2843" s="74">
        <v>1.26E-2</v>
      </c>
      <c r="Z2843" s="165">
        <v>0.77100000000000002</v>
      </c>
      <c r="AA2843" s="271">
        <v>0.61599999999999999</v>
      </c>
      <c r="AB2843" s="114">
        <v>8</v>
      </c>
      <c r="AC2843" s="50">
        <v>27</v>
      </c>
      <c r="AD2843" s="271">
        <v>0</v>
      </c>
      <c r="AE2843" s="50">
        <f>50/2</f>
        <v>25</v>
      </c>
    </row>
    <row r="2844" spans="1:31" ht="15" customHeight="1">
      <c r="A2844" s="41" t="s">
        <v>183</v>
      </c>
      <c r="B2844" s="402" t="s">
        <v>5614</v>
      </c>
      <c r="D2844" s="393" t="s">
        <v>372</v>
      </c>
      <c r="E2844" s="394" t="s">
        <v>235</v>
      </c>
      <c r="G2844" s="405" t="s">
        <v>5615</v>
      </c>
      <c r="H2844" s="74">
        <v>3316</v>
      </c>
      <c r="I2844" s="50" t="s">
        <v>1</v>
      </c>
      <c r="J2844" s="339" t="s">
        <v>593</v>
      </c>
      <c r="K2844" s="51">
        <v>41585</v>
      </c>
      <c r="L2844" s="173">
        <v>41578</v>
      </c>
      <c r="M2844" s="50">
        <f t="shared" si="163"/>
        <v>7</v>
      </c>
      <c r="N2844" s="50" t="s">
        <v>2</v>
      </c>
      <c r="O2844" s="74">
        <f>2/2</f>
        <v>1</v>
      </c>
      <c r="P2844" s="50">
        <v>6.5</v>
      </c>
      <c r="Q2844" s="74">
        <v>7.8</v>
      </c>
      <c r="R2844" s="50">
        <v>25</v>
      </c>
      <c r="S2844" s="74">
        <v>10.199999999999999</v>
      </c>
      <c r="T2844" s="50">
        <v>4.7E-2</v>
      </c>
      <c r="U2844" s="131">
        <f>1/2</f>
        <v>0.5</v>
      </c>
      <c r="V2844" s="50">
        <f>0.46/2</f>
        <v>0.23</v>
      </c>
      <c r="W2844" s="74">
        <v>0.121</v>
      </c>
      <c r="X2844" s="50">
        <v>0.107</v>
      </c>
      <c r="Y2844" s="74">
        <v>4.2500000000000003E-2</v>
      </c>
      <c r="Z2844" s="165">
        <v>0.32500000000000001</v>
      </c>
      <c r="AA2844" s="271">
        <v>0.215</v>
      </c>
      <c r="AB2844" s="114">
        <v>20</v>
      </c>
      <c r="AC2844" s="50">
        <v>57</v>
      </c>
      <c r="AD2844" s="271">
        <v>0</v>
      </c>
      <c r="AE2844" s="50">
        <f>50/2</f>
        <v>25</v>
      </c>
    </row>
    <row r="2845" spans="1:31" ht="15" customHeight="1">
      <c r="A2845" s="41" t="s">
        <v>183</v>
      </c>
      <c r="B2845" s="402" t="s">
        <v>5614</v>
      </c>
      <c r="D2845" s="393" t="s">
        <v>372</v>
      </c>
      <c r="E2845" s="394" t="s">
        <v>235</v>
      </c>
      <c r="G2845" s="405" t="s">
        <v>5615</v>
      </c>
      <c r="H2845" s="74">
        <v>3316</v>
      </c>
      <c r="I2845" s="50" t="s">
        <v>1</v>
      </c>
      <c r="J2845" s="339" t="s">
        <v>477</v>
      </c>
      <c r="K2845" s="51">
        <v>41585</v>
      </c>
      <c r="L2845" s="173">
        <v>41578</v>
      </c>
      <c r="M2845" s="50">
        <f t="shared" si="163"/>
        <v>7</v>
      </c>
      <c r="N2845" s="50" t="s">
        <v>2</v>
      </c>
      <c r="O2845" s="74">
        <f>1.6/2</f>
        <v>0.8</v>
      </c>
      <c r="P2845" s="50">
        <v>6.5</v>
      </c>
      <c r="Q2845" s="74">
        <v>7.1</v>
      </c>
      <c r="R2845" s="50">
        <v>50</v>
      </c>
      <c r="S2845" s="74">
        <v>2.8</v>
      </c>
      <c r="T2845" s="50">
        <v>0.191</v>
      </c>
      <c r="U2845" s="131">
        <v>1.8</v>
      </c>
      <c r="V2845" s="50">
        <v>1.44</v>
      </c>
      <c r="W2845" s="74">
        <v>0.24299999999999999</v>
      </c>
      <c r="X2845" s="50">
        <v>0.04</v>
      </c>
      <c r="Y2845" s="74">
        <v>1.1599999999999999E-2</v>
      </c>
      <c r="Z2845" s="165">
        <v>6.25E-2</v>
      </c>
      <c r="AA2845" s="271">
        <v>6.25E-2</v>
      </c>
      <c r="AB2845" s="114">
        <v>32</v>
      </c>
      <c r="AC2845" s="50">
        <v>117</v>
      </c>
      <c r="AD2845" s="271">
        <v>0</v>
      </c>
      <c r="AE2845" s="50">
        <f>50/2</f>
        <v>25</v>
      </c>
    </row>
    <row r="2846" spans="1:31" ht="15" customHeight="1">
      <c r="A2846" s="41" t="s">
        <v>183</v>
      </c>
      <c r="B2846" s="402" t="s">
        <v>5371</v>
      </c>
      <c r="C2846" s="113" t="s">
        <v>5371</v>
      </c>
      <c r="D2846" s="393" t="s">
        <v>234</v>
      </c>
      <c r="E2846" s="394" t="s">
        <v>235</v>
      </c>
      <c r="G2846" s="405" t="s">
        <v>5372</v>
      </c>
      <c r="H2846" s="74">
        <v>3469</v>
      </c>
      <c r="I2846" s="50" t="s">
        <v>1</v>
      </c>
      <c r="J2846" s="339" t="s">
        <v>81</v>
      </c>
      <c r="K2846" s="51">
        <v>41710</v>
      </c>
      <c r="L2846" s="173">
        <v>41689</v>
      </c>
      <c r="M2846" s="50">
        <f t="shared" si="163"/>
        <v>21</v>
      </c>
      <c r="N2846" s="50" t="s">
        <v>1</v>
      </c>
      <c r="O2846" s="74">
        <f>1/2</f>
        <v>0.5</v>
      </c>
      <c r="P2846" s="50">
        <v>5.72</v>
      </c>
      <c r="Q2846" s="74">
        <v>8.42</v>
      </c>
      <c r="R2846" s="50">
        <v>226</v>
      </c>
      <c r="S2846" s="74">
        <v>580</v>
      </c>
      <c r="T2846" s="50">
        <v>1.71</v>
      </c>
      <c r="U2846" s="131">
        <v>5.2</v>
      </c>
      <c r="V2846" s="50">
        <v>1.24</v>
      </c>
      <c r="W2846" s="74">
        <v>0.08</v>
      </c>
      <c r="X2846" s="50">
        <v>0.79300000000000004</v>
      </c>
      <c r="Y2846" s="74">
        <v>4.3999999999999997E-2</v>
      </c>
      <c r="Z2846" s="165">
        <v>1</v>
      </c>
      <c r="AA2846" s="271">
        <v>1</v>
      </c>
      <c r="AB2846" s="114">
        <v>62.91</v>
      </c>
      <c r="AC2846" s="50">
        <v>133</v>
      </c>
      <c r="AD2846" s="271">
        <v>1</v>
      </c>
      <c r="AE2846" s="50">
        <v>24</v>
      </c>
    </row>
    <row r="2847" spans="1:31" ht="15" customHeight="1">
      <c r="A2847" s="41" t="s">
        <v>183</v>
      </c>
      <c r="B2847" s="402" t="s">
        <v>5616</v>
      </c>
      <c r="D2847" s="393" t="s">
        <v>234</v>
      </c>
      <c r="E2847" s="394" t="s">
        <v>235</v>
      </c>
      <c r="G2847" s="405" t="s">
        <v>3161</v>
      </c>
      <c r="H2847" s="74">
        <v>3471</v>
      </c>
      <c r="I2847" s="50" t="s">
        <v>1</v>
      </c>
      <c r="J2847" s="339" t="s">
        <v>366</v>
      </c>
      <c r="K2847" s="51">
        <v>41717</v>
      </c>
      <c r="L2847" s="173">
        <v>41683</v>
      </c>
      <c r="M2847" s="50">
        <f t="shared" si="163"/>
        <v>34</v>
      </c>
      <c r="N2847" s="50" t="s">
        <v>1</v>
      </c>
      <c r="R2847" s="50">
        <v>35.299999999999997</v>
      </c>
      <c r="T2847" s="50">
        <v>0.4</v>
      </c>
      <c r="U2847" s="131">
        <v>1.8</v>
      </c>
      <c r="V2847" s="50">
        <v>0.67</v>
      </c>
      <c r="W2847" s="74">
        <v>9.2999999999999999E-2</v>
      </c>
      <c r="X2847" s="50">
        <v>0.27900000000000003</v>
      </c>
      <c r="Z2847" s="165"/>
    </row>
    <row r="2848" spans="1:31" ht="15" customHeight="1">
      <c r="A2848" s="41" t="s">
        <v>183</v>
      </c>
      <c r="B2848" s="402" t="s">
        <v>4361</v>
      </c>
      <c r="D2848" s="393" t="s">
        <v>2591</v>
      </c>
      <c r="E2848" s="394" t="s">
        <v>4362</v>
      </c>
      <c r="G2848" s="405" t="s">
        <v>4363</v>
      </c>
      <c r="H2848" s="74"/>
      <c r="I2848" s="50" t="s">
        <v>2</v>
      </c>
      <c r="J2848" s="339"/>
      <c r="K2848" s="51">
        <v>41726</v>
      </c>
      <c r="L2848" s="173"/>
      <c r="N2848" s="50" t="s">
        <v>2</v>
      </c>
      <c r="O2848" s="74">
        <f>2/2</f>
        <v>1</v>
      </c>
      <c r="P2848" s="50">
        <v>6.6</v>
      </c>
      <c r="Q2848" s="74">
        <v>7.2</v>
      </c>
      <c r="R2848" s="50">
        <v>45</v>
      </c>
      <c r="S2848" s="74">
        <v>23</v>
      </c>
      <c r="T2848" s="50">
        <v>0.11</v>
      </c>
      <c r="U2848" s="131">
        <v>1.03</v>
      </c>
      <c r="V2848" s="50">
        <v>0.15</v>
      </c>
      <c r="W2848" s="74">
        <v>0.01</v>
      </c>
      <c r="X2848" s="50">
        <f>0.03/2</f>
        <v>1.4999999999999999E-2</v>
      </c>
      <c r="Y2848" s="74">
        <f>0.03/2</f>
        <v>1.4999999999999999E-2</v>
      </c>
      <c r="Z2848" s="165">
        <v>1</v>
      </c>
      <c r="AA2848" s="271">
        <v>1</v>
      </c>
    </row>
    <row r="2849" spans="1:49" ht="15" customHeight="1">
      <c r="A2849" s="41" t="s">
        <v>183</v>
      </c>
      <c r="B2849" s="402" t="s">
        <v>1950</v>
      </c>
      <c r="C2849" s="113" t="s">
        <v>1406</v>
      </c>
      <c r="D2849" s="393" t="s">
        <v>314</v>
      </c>
      <c r="E2849" s="394" t="s">
        <v>467</v>
      </c>
      <c r="G2849" s="405" t="s">
        <v>1951</v>
      </c>
      <c r="H2849" s="113">
        <v>3724</v>
      </c>
      <c r="I2849" s="49" t="s">
        <v>2</v>
      </c>
      <c r="J2849" s="48" t="s">
        <v>1125</v>
      </c>
      <c r="K2849" s="51">
        <v>41579</v>
      </c>
      <c r="L2849" s="173">
        <v>41553</v>
      </c>
      <c r="M2849" s="50">
        <f t="shared" si="163"/>
        <v>26</v>
      </c>
      <c r="N2849" s="50" t="s">
        <v>2</v>
      </c>
      <c r="O2849" s="74">
        <v>1.5</v>
      </c>
      <c r="P2849" s="50">
        <v>7.2</v>
      </c>
      <c r="Q2849" s="74">
        <v>6.86</v>
      </c>
      <c r="R2849" s="50">
        <v>48</v>
      </c>
      <c r="S2849" s="74">
        <v>40</v>
      </c>
      <c r="T2849" s="50">
        <v>0.22</v>
      </c>
      <c r="U2849" s="131">
        <v>1.33</v>
      </c>
      <c r="V2849" s="50">
        <v>0.37</v>
      </c>
      <c r="W2849" s="74">
        <v>2.3E-2</v>
      </c>
      <c r="X2849" s="50">
        <v>0.64800000000000002</v>
      </c>
      <c r="Y2849" s="74">
        <v>1.2E-2</v>
      </c>
      <c r="Z2849" s="165">
        <v>0.73499999999999999</v>
      </c>
      <c r="AA2849" s="271">
        <v>0.57499999999999996</v>
      </c>
      <c r="AB2849" s="114">
        <v>8</v>
      </c>
      <c r="AC2849" s="50">
        <v>54</v>
      </c>
      <c r="AD2849" s="271">
        <v>0.05</v>
      </c>
    </row>
    <row r="2850" spans="1:49" ht="15" customHeight="1">
      <c r="A2850" s="41" t="s">
        <v>183</v>
      </c>
      <c r="B2850" s="402" t="s">
        <v>1950</v>
      </c>
      <c r="C2850" s="113" t="s">
        <v>1406</v>
      </c>
      <c r="D2850" s="393" t="s">
        <v>314</v>
      </c>
      <c r="E2850" s="394" t="s">
        <v>467</v>
      </c>
      <c r="G2850" s="405" t="s">
        <v>1951</v>
      </c>
      <c r="H2850" s="113">
        <v>3724</v>
      </c>
      <c r="I2850" s="49" t="s">
        <v>2</v>
      </c>
      <c r="J2850" s="48" t="s">
        <v>1952</v>
      </c>
      <c r="K2850" s="51">
        <v>41579</v>
      </c>
      <c r="L2850" s="173">
        <v>41553</v>
      </c>
      <c r="M2850" s="50">
        <f t="shared" si="163"/>
        <v>26</v>
      </c>
      <c r="N2850" s="50" t="s">
        <v>2</v>
      </c>
      <c r="O2850" s="74">
        <f>1.4/2</f>
        <v>0.7</v>
      </c>
      <c r="P2850" s="50">
        <v>7.2</v>
      </c>
      <c r="Q2850" s="74">
        <v>6.32</v>
      </c>
      <c r="R2850" s="50">
        <v>48</v>
      </c>
      <c r="S2850" s="74">
        <v>11</v>
      </c>
      <c r="T2850" s="50">
        <v>0.14000000000000001</v>
      </c>
      <c r="U2850" s="131">
        <v>1.43</v>
      </c>
      <c r="V2850" s="50">
        <v>0.31</v>
      </c>
      <c r="W2850" s="74">
        <v>2.1000000000000001E-2</v>
      </c>
      <c r="X2850" s="50">
        <v>0.17299999999999999</v>
      </c>
      <c r="Y2850" s="74">
        <f>0.002/2</f>
        <v>1E-3</v>
      </c>
      <c r="Z2850" s="165">
        <v>1</v>
      </c>
      <c r="AA2850" s="271">
        <v>1</v>
      </c>
      <c r="AB2850" s="114">
        <v>6</v>
      </c>
      <c r="AC2850" s="50">
        <v>30</v>
      </c>
      <c r="AD2850" s="271">
        <v>0.5</v>
      </c>
    </row>
    <row r="2851" spans="1:49" ht="15" customHeight="1">
      <c r="A2851" s="41" t="s">
        <v>183</v>
      </c>
      <c r="B2851" s="402" t="s">
        <v>2107</v>
      </c>
      <c r="C2851" s="113" t="s">
        <v>1918</v>
      </c>
      <c r="D2851" s="393" t="s">
        <v>884</v>
      </c>
      <c r="E2851" s="394" t="s">
        <v>235</v>
      </c>
      <c r="G2851" s="405" t="s">
        <v>2662</v>
      </c>
      <c r="H2851" s="74"/>
      <c r="I2851" s="50" t="s">
        <v>1</v>
      </c>
      <c r="J2851" s="48" t="s">
        <v>569</v>
      </c>
      <c r="K2851" s="51">
        <v>41345</v>
      </c>
      <c r="L2851" s="173">
        <v>41341</v>
      </c>
      <c r="M2851" s="50">
        <f t="shared" si="163"/>
        <v>4</v>
      </c>
      <c r="N2851" s="50" t="s">
        <v>1</v>
      </c>
      <c r="O2851" s="74">
        <f>2/2</f>
        <v>1</v>
      </c>
      <c r="P2851" s="50">
        <v>6.8</v>
      </c>
      <c r="Q2851" s="74">
        <v>6.9</v>
      </c>
      <c r="R2851" s="50">
        <v>37</v>
      </c>
      <c r="S2851" s="74">
        <v>36</v>
      </c>
      <c r="T2851" s="50">
        <v>0.14000000000000001</v>
      </c>
      <c r="U2851" s="131">
        <v>1.25</v>
      </c>
      <c r="V2851" s="50">
        <v>0.44</v>
      </c>
      <c r="W2851" s="74">
        <v>1.7999999999999999E-2</v>
      </c>
      <c r="X2851" s="50">
        <f>0.053/2</f>
        <v>2.6499999999999999E-2</v>
      </c>
      <c r="Y2851" s="74">
        <f>0.03/2</f>
        <v>1.4999999999999999E-2</v>
      </c>
      <c r="Z2851" s="165">
        <v>1</v>
      </c>
      <c r="AA2851" s="271">
        <v>0.65900000000000003</v>
      </c>
      <c r="AB2851" s="114">
        <v>78</v>
      </c>
      <c r="AC2851" s="50">
        <v>4720</v>
      </c>
      <c r="AD2851" s="271">
        <v>0.1</v>
      </c>
    </row>
    <row r="2852" spans="1:49" ht="15" customHeight="1">
      <c r="A2852" s="41" t="s">
        <v>183</v>
      </c>
      <c r="B2852" s="402" t="s">
        <v>4899</v>
      </c>
      <c r="C2852" s="113" t="s">
        <v>4900</v>
      </c>
      <c r="D2852" s="393" t="s">
        <v>111</v>
      </c>
      <c r="E2852" s="394" t="s">
        <v>112</v>
      </c>
      <c r="G2852" s="405" t="s">
        <v>113</v>
      </c>
      <c r="H2852" s="74">
        <v>3679</v>
      </c>
      <c r="I2852" s="50" t="s">
        <v>1</v>
      </c>
      <c r="J2852" s="339" t="s">
        <v>425</v>
      </c>
      <c r="K2852" s="51">
        <v>41726</v>
      </c>
      <c r="L2852" s="173">
        <v>41718</v>
      </c>
      <c r="M2852" s="50">
        <f t="shared" si="163"/>
        <v>8</v>
      </c>
      <c r="N2852" s="50" t="s">
        <v>1</v>
      </c>
      <c r="P2852" s="50">
        <v>7.7</v>
      </c>
      <c r="Q2852" s="74">
        <v>5.0999999999999996</v>
      </c>
      <c r="Z2852" s="165"/>
    </row>
    <row r="2853" spans="1:49" ht="15" customHeight="1">
      <c r="A2853" s="74" t="s">
        <v>183</v>
      </c>
      <c r="B2853" s="402" t="s">
        <v>207</v>
      </c>
      <c r="C2853" s="113" t="s">
        <v>1821</v>
      </c>
      <c r="D2853" s="393" t="s">
        <v>209</v>
      </c>
      <c r="E2853" s="394" t="s">
        <v>210</v>
      </c>
      <c r="G2853" s="414" t="s">
        <v>211</v>
      </c>
      <c r="H2853" s="49">
        <v>4212</v>
      </c>
      <c r="J2853" s="260" t="s">
        <v>210</v>
      </c>
      <c r="K2853" s="51">
        <v>41759</v>
      </c>
      <c r="L2853" s="173"/>
      <c r="N2853" s="50" t="s">
        <v>2</v>
      </c>
      <c r="O2853" s="74">
        <f>1/2</f>
        <v>0.5</v>
      </c>
      <c r="P2853" s="50">
        <v>6</v>
      </c>
      <c r="Q2853" s="74">
        <v>7.42</v>
      </c>
      <c r="R2853" s="50">
        <v>290</v>
      </c>
      <c r="S2853" s="74">
        <v>3200</v>
      </c>
      <c r="T2853" s="50">
        <v>2.68</v>
      </c>
      <c r="U2853" s="131">
        <v>3</v>
      </c>
      <c r="V2853" s="50">
        <v>0.24</v>
      </c>
      <c r="W2853" s="74">
        <v>0.113</v>
      </c>
      <c r="X2853" s="50">
        <v>0.28199999999999997</v>
      </c>
      <c r="Y2853" s="74">
        <v>0.1</v>
      </c>
      <c r="Z2853" s="165"/>
    </row>
    <row r="2854" spans="1:49" ht="15" customHeight="1">
      <c r="A2854" s="74" t="s">
        <v>5618</v>
      </c>
      <c r="B2854" s="402" t="s">
        <v>3162</v>
      </c>
      <c r="C2854" s="113" t="s">
        <v>3163</v>
      </c>
      <c r="D2854" s="393" t="s">
        <v>133</v>
      </c>
      <c r="E2854" s="394" t="s">
        <v>44</v>
      </c>
      <c r="G2854" s="405" t="s">
        <v>3164</v>
      </c>
      <c r="H2854" s="74">
        <v>5169</v>
      </c>
      <c r="I2854" s="50" t="s">
        <v>2</v>
      </c>
      <c r="J2854" s="339" t="s">
        <v>1125</v>
      </c>
      <c r="K2854" s="51">
        <v>41710</v>
      </c>
      <c r="L2854" s="173">
        <v>41691</v>
      </c>
      <c r="M2854" s="50">
        <f>K2854-L2854</f>
        <v>19</v>
      </c>
      <c r="N2854" s="50" t="s">
        <v>2</v>
      </c>
      <c r="O2854" s="74">
        <f>5/2</f>
        <v>2.5</v>
      </c>
      <c r="Q2854" s="74">
        <v>7.3</v>
      </c>
      <c r="R2854" s="50">
        <v>180</v>
      </c>
      <c r="S2854" s="74">
        <v>170</v>
      </c>
      <c r="T2854" s="50">
        <v>0.12</v>
      </c>
      <c r="U2854" s="131">
        <f>1/2</f>
        <v>0.5</v>
      </c>
      <c r="V2854" s="50">
        <v>0.16</v>
      </c>
      <c r="W2854" s="74">
        <f>0.04/2</f>
        <v>0.02</v>
      </c>
      <c r="X2854" s="50">
        <v>0.11</v>
      </c>
      <c r="Y2854" s="74">
        <v>2.1999999999999999E-2</v>
      </c>
      <c r="Z2854" s="165">
        <v>1</v>
      </c>
      <c r="AA2854" s="271">
        <v>0.59499999999999997</v>
      </c>
      <c r="AB2854" s="114">
        <v>150</v>
      </c>
      <c r="AC2854" s="50">
        <v>3350</v>
      </c>
      <c r="AD2854" s="271">
        <v>0</v>
      </c>
      <c r="AR2854" s="114">
        <v>3200</v>
      </c>
      <c r="AS2854" s="50">
        <v>0.3</v>
      </c>
    </row>
    <row r="2855" spans="1:49" ht="15" customHeight="1">
      <c r="A2855" s="41" t="s">
        <v>5618</v>
      </c>
      <c r="B2855" s="402" t="s">
        <v>2116</v>
      </c>
      <c r="C2855" s="113" t="s">
        <v>2117</v>
      </c>
      <c r="D2855" s="393" t="s">
        <v>56</v>
      </c>
      <c r="E2855" s="394" t="s">
        <v>1831</v>
      </c>
      <c r="G2855" s="405" t="s">
        <v>3608</v>
      </c>
      <c r="H2855" s="113">
        <v>4226</v>
      </c>
      <c r="I2855" s="49" t="s">
        <v>1</v>
      </c>
      <c r="J2855" s="48" t="s">
        <v>2118</v>
      </c>
      <c r="K2855" s="51">
        <v>41170</v>
      </c>
      <c r="L2855" s="173">
        <v>41161</v>
      </c>
      <c r="M2855" s="50">
        <f>K2855-L2855</f>
        <v>9</v>
      </c>
      <c r="N2855" s="50" t="s">
        <v>2</v>
      </c>
      <c r="O2855" s="74">
        <v>1.8</v>
      </c>
      <c r="P2855" s="50">
        <v>7.1</v>
      </c>
      <c r="Q2855" s="74">
        <v>6.8</v>
      </c>
      <c r="R2855" s="50">
        <v>30</v>
      </c>
      <c r="S2855" s="74">
        <v>11</v>
      </c>
      <c r="T2855" s="50">
        <v>0.02</v>
      </c>
      <c r="U2855" s="131">
        <v>0.4</v>
      </c>
      <c r="V2855" s="50">
        <v>0.06</v>
      </c>
      <c r="W2855" s="74">
        <v>1.7999999999999999E-2</v>
      </c>
      <c r="X2855" s="50">
        <v>0.155</v>
      </c>
      <c r="Y2855" s="74">
        <v>1.6E-2</v>
      </c>
      <c r="Z2855" s="165"/>
      <c r="AI2855" s="114" t="s">
        <v>1535</v>
      </c>
      <c r="AJ2855" s="114" t="s">
        <v>1535</v>
      </c>
    </row>
    <row r="2856" spans="1:49" ht="15" customHeight="1">
      <c r="A2856" s="41" t="s">
        <v>183</v>
      </c>
      <c r="B2856" s="402" t="s">
        <v>511</v>
      </c>
      <c r="C2856" s="113" t="s">
        <v>511</v>
      </c>
      <c r="D2856" s="393" t="s">
        <v>156</v>
      </c>
      <c r="E2856" s="394" t="s">
        <v>512</v>
      </c>
      <c r="G2856" s="405" t="s">
        <v>513</v>
      </c>
      <c r="H2856" s="74">
        <v>3398</v>
      </c>
      <c r="I2856" s="50" t="s">
        <v>2</v>
      </c>
      <c r="J2856" s="339" t="s">
        <v>514</v>
      </c>
      <c r="K2856" s="51">
        <v>41759</v>
      </c>
      <c r="L2856" s="173">
        <v>41756</v>
      </c>
      <c r="M2856" s="50">
        <f>K2856-L2856</f>
        <v>3</v>
      </c>
      <c r="N2856" s="50" t="s">
        <v>2</v>
      </c>
      <c r="P2856" s="50">
        <v>5.72</v>
      </c>
      <c r="Q2856" s="74">
        <v>6.17</v>
      </c>
      <c r="R2856" s="50">
        <v>21</v>
      </c>
      <c r="S2856" s="74">
        <v>37</v>
      </c>
      <c r="X2856" s="50">
        <v>5.7000000000000002E-2</v>
      </c>
      <c r="Z2856" s="165"/>
    </row>
    <row r="2857" spans="1:49" ht="15" customHeight="1">
      <c r="A2857" s="41" t="s">
        <v>4668</v>
      </c>
      <c r="B2857" s="385" t="s">
        <v>5622</v>
      </c>
      <c r="C2857" s="18" t="s">
        <v>5623</v>
      </c>
      <c r="D2857" s="377" t="s">
        <v>89</v>
      </c>
      <c r="E2857" s="20" t="s">
        <v>5624</v>
      </c>
      <c r="F2857" s="385"/>
      <c r="G2857" s="15" t="s">
        <v>5625</v>
      </c>
      <c r="H2857" s="7">
        <v>3499</v>
      </c>
      <c r="I2857" s="19" t="s">
        <v>2</v>
      </c>
      <c r="J2857" s="7" t="s">
        <v>5623</v>
      </c>
      <c r="K2857" s="51">
        <v>41529</v>
      </c>
      <c r="L2857" s="115">
        <v>41519</v>
      </c>
      <c r="M2857" s="50">
        <f t="shared" ref="M2857:M2882" si="164">K2857-L2857</f>
        <v>10</v>
      </c>
      <c r="N2857" s="7" t="s">
        <v>2</v>
      </c>
      <c r="O2857" s="74">
        <v>22</v>
      </c>
      <c r="P2857" s="117">
        <v>7.34</v>
      </c>
      <c r="Q2857" s="131">
        <v>5.5</v>
      </c>
      <c r="R2857" s="50">
        <v>10</v>
      </c>
      <c r="S2857" s="74">
        <v>3</v>
      </c>
      <c r="T2857" s="50">
        <v>0.03</v>
      </c>
      <c r="U2857" s="74">
        <v>0.87</v>
      </c>
      <c r="V2857" s="50">
        <v>0.22</v>
      </c>
      <c r="W2857" s="74">
        <f>0.005/2</f>
        <v>2.5000000000000001E-3</v>
      </c>
      <c r="X2857" s="50">
        <f>0.01/2</f>
        <v>5.0000000000000001E-3</v>
      </c>
      <c r="Y2857" s="74">
        <f>0.001/2</f>
        <v>5.0000000000000001E-4</v>
      </c>
      <c r="Z2857" s="164"/>
      <c r="AA2857" s="165"/>
      <c r="AB2857" s="50"/>
      <c r="AC2857" s="74"/>
      <c r="AD2857" s="164"/>
      <c r="AF2857" s="50"/>
      <c r="AG2857" s="74"/>
      <c r="AH2857" s="74"/>
      <c r="AI2857" s="113"/>
      <c r="AJ2857" s="50"/>
      <c r="AK2857" s="74"/>
      <c r="AL2857" s="50"/>
      <c r="AM2857" s="74"/>
      <c r="AN2857" s="50"/>
      <c r="AO2857" s="74"/>
      <c r="AP2857" s="50"/>
      <c r="AQ2857" s="74"/>
      <c r="AR2857" s="50"/>
      <c r="AS2857" s="74"/>
      <c r="AT2857" s="50"/>
      <c r="AU2857" s="74"/>
      <c r="AV2857"/>
      <c r="AW2857"/>
    </row>
    <row r="2858" spans="1:49" ht="15" customHeight="1">
      <c r="A2858" s="41" t="s">
        <v>4668</v>
      </c>
      <c r="B2858" s="385" t="s">
        <v>5622</v>
      </c>
      <c r="C2858" s="18" t="s">
        <v>1882</v>
      </c>
      <c r="D2858" s="377" t="s">
        <v>89</v>
      </c>
      <c r="E2858" s="20" t="s">
        <v>5624</v>
      </c>
      <c r="F2858" s="385"/>
      <c r="G2858" s="15" t="s">
        <v>5625</v>
      </c>
      <c r="H2858" s="7">
        <v>3499</v>
      </c>
      <c r="I2858" s="19" t="s">
        <v>2</v>
      </c>
      <c r="J2858" s="7" t="s">
        <v>5626</v>
      </c>
      <c r="K2858" s="51">
        <v>41529</v>
      </c>
      <c r="L2858" s="115">
        <v>41519</v>
      </c>
      <c r="M2858" s="50">
        <f t="shared" si="164"/>
        <v>10</v>
      </c>
      <c r="N2858" s="7" t="s">
        <v>2</v>
      </c>
      <c r="O2858" s="74">
        <v>2.9</v>
      </c>
      <c r="P2858" s="117">
        <v>7.34</v>
      </c>
      <c r="Q2858" s="131">
        <v>4.5999999999999996</v>
      </c>
      <c r="R2858" s="50">
        <v>8</v>
      </c>
      <c r="S2858" s="74">
        <f>1/2</f>
        <v>0.5</v>
      </c>
      <c r="T2858" s="50">
        <f>0.01/2</f>
        <v>5.0000000000000001E-3</v>
      </c>
      <c r="U2858" s="74">
        <v>0.11</v>
      </c>
      <c r="V2858" s="50">
        <v>0.3</v>
      </c>
      <c r="W2858" s="74">
        <v>0.01</v>
      </c>
      <c r="X2858" s="50">
        <v>0.18</v>
      </c>
      <c r="Y2858" s="74">
        <f>0.001/2</f>
        <v>5.0000000000000001E-4</v>
      </c>
      <c r="Z2858" s="164"/>
      <c r="AA2858" s="165"/>
      <c r="AB2858" s="50"/>
      <c r="AC2858" s="74"/>
      <c r="AD2858" s="164"/>
      <c r="AF2858" s="50"/>
      <c r="AG2858" s="74"/>
      <c r="AH2858" s="74"/>
      <c r="AI2858" s="113"/>
      <c r="AJ2858" s="50"/>
      <c r="AK2858" s="74"/>
      <c r="AL2858" s="50"/>
      <c r="AM2858" s="74"/>
      <c r="AN2858" s="50"/>
      <c r="AO2858" s="74"/>
      <c r="AP2858" s="50"/>
      <c r="AQ2858" s="74"/>
      <c r="AR2858" s="50"/>
      <c r="AS2858" s="74"/>
      <c r="AT2858" s="50"/>
      <c r="AU2858" s="74"/>
      <c r="AV2858"/>
      <c r="AW2858"/>
    </row>
    <row r="2859" spans="1:49" ht="15" customHeight="1">
      <c r="A2859" s="41" t="s">
        <v>4668</v>
      </c>
      <c r="B2859" s="385" t="s">
        <v>4325</v>
      </c>
      <c r="C2859" s="18" t="s">
        <v>4325</v>
      </c>
      <c r="D2859" s="377" t="s">
        <v>1217</v>
      </c>
      <c r="E2859" s="20" t="s">
        <v>1469</v>
      </c>
      <c r="F2859" s="385"/>
      <c r="G2859" s="15" t="s">
        <v>3975</v>
      </c>
      <c r="H2859" s="7">
        <v>212310</v>
      </c>
      <c r="I2859" s="19" t="s">
        <v>2</v>
      </c>
      <c r="J2859" s="7" t="s">
        <v>3976</v>
      </c>
      <c r="K2859" s="51">
        <v>41478</v>
      </c>
      <c r="L2859" s="115">
        <v>41468</v>
      </c>
      <c r="M2859" s="50">
        <f t="shared" si="164"/>
        <v>10</v>
      </c>
      <c r="N2859" s="7" t="s">
        <v>2</v>
      </c>
      <c r="O2859" s="74">
        <f>1.4/2</f>
        <v>0.7</v>
      </c>
      <c r="P2859" s="117">
        <v>7.7</v>
      </c>
      <c r="Q2859" s="131">
        <v>7.78</v>
      </c>
      <c r="R2859" s="50">
        <v>34</v>
      </c>
      <c r="S2859" s="74">
        <v>210</v>
      </c>
      <c r="T2859" s="50">
        <v>0.23</v>
      </c>
      <c r="U2859" s="74">
        <v>0.86</v>
      </c>
      <c r="V2859" s="50">
        <v>5.56</v>
      </c>
      <c r="W2859" s="74">
        <v>2.4E-2</v>
      </c>
      <c r="X2859" s="50">
        <v>6.2E-2</v>
      </c>
      <c r="Y2859" s="74">
        <v>2E-3</v>
      </c>
      <c r="Z2859" s="164"/>
      <c r="AA2859" s="165"/>
      <c r="AB2859" s="50"/>
      <c r="AC2859" s="74"/>
      <c r="AD2859" s="164"/>
      <c r="AF2859" s="50"/>
      <c r="AG2859" s="74"/>
      <c r="AH2859" s="74"/>
      <c r="AI2859" s="113"/>
      <c r="AJ2859" s="50"/>
      <c r="AK2859" s="74"/>
      <c r="AL2859" s="50"/>
      <c r="AM2859" s="74"/>
      <c r="AN2859" s="50"/>
      <c r="AO2859" s="74"/>
      <c r="AP2859" s="50"/>
      <c r="AQ2859" s="74"/>
      <c r="AR2859" s="50"/>
      <c r="AS2859" s="74"/>
      <c r="AT2859" s="50"/>
      <c r="AU2859" s="74"/>
      <c r="AV2859"/>
      <c r="AW2859"/>
    </row>
    <row r="2860" spans="1:49" ht="15" customHeight="1">
      <c r="A2860" s="41" t="s">
        <v>4668</v>
      </c>
      <c r="B2860" s="385" t="s">
        <v>4325</v>
      </c>
      <c r="C2860" s="18" t="s">
        <v>4325</v>
      </c>
      <c r="D2860" s="377" t="s">
        <v>1217</v>
      </c>
      <c r="E2860" s="20" t="s">
        <v>1469</v>
      </c>
      <c r="F2860" s="385"/>
      <c r="G2860" s="15" t="s">
        <v>3975</v>
      </c>
      <c r="H2860" s="7">
        <v>212310</v>
      </c>
      <c r="I2860" s="19" t="s">
        <v>2</v>
      </c>
      <c r="J2860" s="7" t="s">
        <v>3977</v>
      </c>
      <c r="K2860" s="51">
        <v>41478</v>
      </c>
      <c r="L2860" s="115">
        <v>41468</v>
      </c>
      <c r="M2860" s="50">
        <f t="shared" si="164"/>
        <v>10</v>
      </c>
      <c r="N2860" s="7" t="s">
        <v>2</v>
      </c>
      <c r="O2860" s="74">
        <f>1.4/2</f>
        <v>0.7</v>
      </c>
      <c r="P2860" s="117">
        <v>7.7</v>
      </c>
      <c r="Q2860" s="131">
        <v>8.14</v>
      </c>
      <c r="R2860" s="50">
        <v>15</v>
      </c>
      <c r="S2860" s="74">
        <v>5.5</v>
      </c>
      <c r="T2860" s="50">
        <v>7.0000000000000007E-2</v>
      </c>
      <c r="U2860" s="74">
        <v>0.62</v>
      </c>
      <c r="V2860" s="50">
        <v>0.11</v>
      </c>
      <c r="W2860" s="74">
        <f>0.001/2</f>
        <v>5.0000000000000001E-4</v>
      </c>
      <c r="X2860" s="50">
        <f>0.002/2</f>
        <v>1E-3</v>
      </c>
      <c r="Y2860" s="74">
        <f>0.002/2</f>
        <v>1E-3</v>
      </c>
      <c r="Z2860" s="164"/>
      <c r="AA2860" s="165"/>
      <c r="AB2860" s="50"/>
      <c r="AC2860" s="74"/>
      <c r="AD2860" s="164"/>
      <c r="AF2860" s="50"/>
      <c r="AG2860" s="74"/>
      <c r="AH2860" s="74"/>
      <c r="AI2860" s="113"/>
      <c r="AJ2860" s="50"/>
      <c r="AK2860" s="74"/>
      <c r="AL2860" s="50"/>
      <c r="AM2860" s="74"/>
      <c r="AN2860" s="50"/>
      <c r="AO2860" s="74"/>
      <c r="AP2860" s="50"/>
      <c r="AQ2860" s="74"/>
      <c r="AR2860" s="50"/>
      <c r="AS2860" s="74"/>
      <c r="AT2860" s="50"/>
      <c r="AU2860" s="74"/>
      <c r="AV2860"/>
      <c r="AW2860"/>
    </row>
    <row r="2861" spans="1:49" ht="15" customHeight="1">
      <c r="A2861" s="41" t="s">
        <v>4668</v>
      </c>
      <c r="B2861" s="385" t="s">
        <v>5627</v>
      </c>
      <c r="C2861" s="18" t="s">
        <v>5627</v>
      </c>
      <c r="D2861" s="377" t="s">
        <v>156</v>
      </c>
      <c r="E2861" s="20" t="s">
        <v>4039</v>
      </c>
      <c r="F2861" s="385"/>
      <c r="G2861" s="15" t="s">
        <v>4036</v>
      </c>
      <c r="H2861" s="7">
        <v>3441</v>
      </c>
      <c r="I2861" s="19" t="s">
        <v>2</v>
      </c>
      <c r="J2861" s="7" t="s">
        <v>5628</v>
      </c>
      <c r="K2861" s="51">
        <v>41170</v>
      </c>
      <c r="L2861" s="115">
        <v>41160</v>
      </c>
      <c r="M2861" s="50">
        <f t="shared" si="164"/>
        <v>10</v>
      </c>
      <c r="N2861" s="7" t="s">
        <v>2</v>
      </c>
      <c r="O2861" s="74">
        <f>1.4/2</f>
        <v>0.7</v>
      </c>
      <c r="P2861" s="117">
        <v>6.2</v>
      </c>
      <c r="Q2861" s="131">
        <v>7.89</v>
      </c>
      <c r="R2861" s="50">
        <v>15</v>
      </c>
      <c r="S2861" s="74">
        <v>8</v>
      </c>
      <c r="T2861" s="50">
        <v>0.05</v>
      </c>
      <c r="U2861" s="74">
        <v>0.85</v>
      </c>
      <c r="V2861" s="50">
        <v>0.22</v>
      </c>
      <c r="W2861" s="74">
        <f>0.005/2</f>
        <v>2.5000000000000001E-3</v>
      </c>
      <c r="X2861" s="50">
        <v>3.3000000000000002E-2</v>
      </c>
      <c r="Y2861" s="74">
        <v>4.0000000000000001E-3</v>
      </c>
      <c r="Z2861" s="164"/>
      <c r="AA2861" s="165"/>
      <c r="AB2861" s="50"/>
      <c r="AC2861" s="74"/>
      <c r="AD2861" s="164"/>
      <c r="AF2861" s="50"/>
      <c r="AG2861" s="74"/>
      <c r="AH2861" s="74"/>
      <c r="AI2861" s="113"/>
      <c r="AJ2861" s="50"/>
      <c r="AK2861" s="74"/>
      <c r="AL2861" s="50"/>
      <c r="AM2861" s="74"/>
      <c r="AN2861" s="50"/>
      <c r="AO2861" s="74"/>
      <c r="AP2861" s="50"/>
      <c r="AQ2861" s="74"/>
      <c r="AR2861" s="50"/>
      <c r="AS2861" s="74"/>
      <c r="AT2861" s="50"/>
      <c r="AU2861" s="74"/>
      <c r="AV2861"/>
      <c r="AW2861"/>
    </row>
    <row r="2862" spans="1:49" ht="15" customHeight="1">
      <c r="A2862" s="41" t="s">
        <v>4668</v>
      </c>
      <c r="B2862" s="385" t="s">
        <v>5627</v>
      </c>
      <c r="C2862" s="18" t="s">
        <v>5627</v>
      </c>
      <c r="D2862" s="377" t="s">
        <v>156</v>
      </c>
      <c r="E2862" s="20" t="s">
        <v>4039</v>
      </c>
      <c r="F2862" s="385"/>
      <c r="G2862" s="15" t="s">
        <v>4036</v>
      </c>
      <c r="H2862" s="7">
        <v>3441</v>
      </c>
      <c r="I2862" s="19" t="s">
        <v>2</v>
      </c>
      <c r="J2862" s="7" t="s">
        <v>5629</v>
      </c>
      <c r="K2862" s="51">
        <v>41170</v>
      </c>
      <c r="L2862" s="115">
        <v>41160</v>
      </c>
      <c r="M2862" s="50">
        <f t="shared" si="164"/>
        <v>10</v>
      </c>
      <c r="N2862" s="7" t="s">
        <v>2</v>
      </c>
      <c r="O2862" s="74">
        <f>1.6/2</f>
        <v>0.8</v>
      </c>
      <c r="P2862" s="117">
        <v>6.2</v>
      </c>
      <c r="Q2862" s="131">
        <v>7.01</v>
      </c>
      <c r="R2862" s="50">
        <v>20</v>
      </c>
      <c r="S2862" s="74">
        <f>5/2</f>
        <v>2.5</v>
      </c>
      <c r="T2862" s="50">
        <f>0.01/2</f>
        <v>5.0000000000000001E-3</v>
      </c>
      <c r="U2862" s="74">
        <v>0.75</v>
      </c>
      <c r="V2862" s="50">
        <v>0.56999999999999995</v>
      </c>
      <c r="W2862" s="74">
        <f>0.005/2</f>
        <v>2.5000000000000001E-3</v>
      </c>
      <c r="X2862" s="50">
        <v>0.104</v>
      </c>
      <c r="Y2862" s="74">
        <v>5.0000000000000001E-3</v>
      </c>
      <c r="Z2862" s="164"/>
      <c r="AA2862" s="165"/>
      <c r="AB2862" s="50"/>
      <c r="AC2862" s="74"/>
      <c r="AD2862" s="164"/>
      <c r="AF2862" s="50"/>
      <c r="AG2862" s="74"/>
      <c r="AH2862" s="74"/>
      <c r="AI2862" s="113"/>
      <c r="AJ2862" s="50"/>
      <c r="AK2862" s="74"/>
      <c r="AL2862" s="50"/>
      <c r="AM2862" s="74"/>
      <c r="AN2862" s="50"/>
      <c r="AO2862" s="74"/>
      <c r="AP2862" s="50"/>
      <c r="AQ2862" s="74"/>
      <c r="AR2862" s="50"/>
      <c r="AS2862" s="74"/>
      <c r="AT2862" s="50"/>
      <c r="AU2862" s="74"/>
      <c r="AV2862"/>
      <c r="AW2862"/>
    </row>
    <row r="2863" spans="1:49" ht="15" customHeight="1">
      <c r="A2863" s="41" t="s">
        <v>4668</v>
      </c>
      <c r="B2863" s="385" t="s">
        <v>5627</v>
      </c>
      <c r="C2863" s="18" t="s">
        <v>5627</v>
      </c>
      <c r="D2863" s="377" t="s">
        <v>156</v>
      </c>
      <c r="E2863" s="20" t="s">
        <v>4039</v>
      </c>
      <c r="F2863" s="385"/>
      <c r="G2863" s="15" t="s">
        <v>4036</v>
      </c>
      <c r="H2863" s="7">
        <v>3441</v>
      </c>
      <c r="I2863" s="19" t="s">
        <v>2</v>
      </c>
      <c r="J2863" s="7" t="s">
        <v>1503</v>
      </c>
      <c r="K2863" s="51">
        <v>41332</v>
      </c>
      <c r="L2863" s="115">
        <v>41328</v>
      </c>
      <c r="M2863" s="50">
        <f t="shared" si="164"/>
        <v>4</v>
      </c>
      <c r="N2863" s="7" t="s">
        <v>2</v>
      </c>
      <c r="O2863" s="74">
        <f>5/2</f>
        <v>2.5</v>
      </c>
      <c r="P2863" s="117">
        <v>5.97</v>
      </c>
      <c r="Q2863" s="131">
        <v>6.88</v>
      </c>
      <c r="R2863" s="50">
        <f>5/2</f>
        <v>2.5</v>
      </c>
      <c r="S2863" s="74">
        <v>31</v>
      </c>
      <c r="T2863" s="50">
        <f>0.1/2</f>
        <v>0.05</v>
      </c>
      <c r="U2863" s="74">
        <f>1/2</f>
        <v>0.5</v>
      </c>
      <c r="V2863" s="50">
        <f>0.1/2</f>
        <v>0.05</v>
      </c>
      <c r="W2863" s="74">
        <f>0.04/2</f>
        <v>0.02</v>
      </c>
      <c r="X2863" s="50">
        <v>3.3000000000000002E-2</v>
      </c>
      <c r="Y2863" s="74">
        <f>0.013/2</f>
        <v>6.4999999999999997E-3</v>
      </c>
      <c r="Z2863" s="164">
        <v>1</v>
      </c>
      <c r="AA2863" s="165">
        <v>1</v>
      </c>
      <c r="AB2863" s="50">
        <v>15</v>
      </c>
      <c r="AC2863" s="74">
        <v>34</v>
      </c>
      <c r="AD2863" s="164">
        <v>1</v>
      </c>
      <c r="AF2863" s="50"/>
      <c r="AG2863" s="74"/>
      <c r="AH2863" s="74"/>
      <c r="AI2863" s="113"/>
      <c r="AJ2863" s="50"/>
      <c r="AK2863" s="74"/>
      <c r="AL2863" s="50"/>
      <c r="AM2863" s="74"/>
      <c r="AN2863" s="50"/>
      <c r="AO2863" s="74"/>
      <c r="AP2863" s="50"/>
      <c r="AQ2863" s="74"/>
      <c r="AR2863" s="50"/>
      <c r="AS2863" s="74"/>
      <c r="AT2863" s="50"/>
      <c r="AU2863" s="74"/>
      <c r="AV2863"/>
      <c r="AW2863"/>
    </row>
    <row r="2864" spans="1:49" ht="15" customHeight="1">
      <c r="A2864" s="41" t="s">
        <v>4668</v>
      </c>
      <c r="B2864" s="385" t="s">
        <v>5627</v>
      </c>
      <c r="C2864" s="18" t="s">
        <v>5627</v>
      </c>
      <c r="D2864" s="377" t="s">
        <v>156</v>
      </c>
      <c r="E2864" s="20" t="s">
        <v>4039</v>
      </c>
      <c r="F2864" s="385"/>
      <c r="G2864" s="15" t="s">
        <v>4036</v>
      </c>
      <c r="H2864" s="7">
        <v>3441</v>
      </c>
      <c r="I2864" s="19" t="s">
        <v>2</v>
      </c>
      <c r="J2864" s="7" t="s">
        <v>4551</v>
      </c>
      <c r="K2864" s="51">
        <v>41332</v>
      </c>
      <c r="L2864" s="115">
        <v>41328</v>
      </c>
      <c r="M2864" s="50">
        <f t="shared" si="164"/>
        <v>4</v>
      </c>
      <c r="N2864" s="7" t="s">
        <v>2</v>
      </c>
      <c r="O2864" s="74">
        <f>5/2</f>
        <v>2.5</v>
      </c>
      <c r="P2864" s="117">
        <v>5.97</v>
      </c>
      <c r="Q2864" s="131">
        <v>6.9</v>
      </c>
      <c r="R2864" s="50">
        <v>14</v>
      </c>
      <c r="S2864" s="74">
        <v>55</v>
      </c>
      <c r="T2864" s="50">
        <f>0.01/2</f>
        <v>5.0000000000000001E-3</v>
      </c>
      <c r="U2864" s="74">
        <f>1/2</f>
        <v>0.5</v>
      </c>
      <c r="V2864" s="50">
        <f>0.1/2</f>
        <v>0.05</v>
      </c>
      <c r="W2864" s="74">
        <f>0.04/2</f>
        <v>0.02</v>
      </c>
      <c r="X2864" s="50">
        <v>6.2E-2</v>
      </c>
      <c r="Y2864" s="74">
        <v>1.4E-2</v>
      </c>
      <c r="Z2864" s="164">
        <v>1</v>
      </c>
      <c r="AA2864" s="165">
        <v>1</v>
      </c>
      <c r="AB2864" s="50">
        <v>10</v>
      </c>
      <c r="AC2864" s="74">
        <v>21</v>
      </c>
      <c r="AD2864" s="164">
        <v>0.8</v>
      </c>
      <c r="AF2864" s="50"/>
      <c r="AG2864" s="74"/>
      <c r="AH2864" s="74"/>
      <c r="AI2864" s="113"/>
      <c r="AJ2864" s="50"/>
      <c r="AK2864" s="74"/>
      <c r="AL2864" s="50"/>
      <c r="AM2864" s="74"/>
      <c r="AN2864" s="50"/>
      <c r="AO2864" s="74"/>
      <c r="AP2864" s="50"/>
      <c r="AQ2864" s="74"/>
      <c r="AR2864" s="50"/>
      <c r="AS2864" s="74"/>
      <c r="AT2864" s="50"/>
      <c r="AU2864" s="74"/>
      <c r="AV2864"/>
      <c r="AW2864"/>
    </row>
    <row r="2865" spans="1:49" ht="15" customHeight="1">
      <c r="A2865" s="41" t="s">
        <v>4668</v>
      </c>
      <c r="B2865" s="385" t="s">
        <v>5627</v>
      </c>
      <c r="C2865" s="18" t="s">
        <v>5627</v>
      </c>
      <c r="D2865" s="377" t="s">
        <v>156</v>
      </c>
      <c r="E2865" s="20" t="s">
        <v>4039</v>
      </c>
      <c r="F2865" s="385"/>
      <c r="G2865" s="15" t="s">
        <v>4036</v>
      </c>
      <c r="H2865" s="7">
        <v>3441</v>
      </c>
      <c r="I2865" s="19" t="s">
        <v>2</v>
      </c>
      <c r="J2865" s="7" t="s">
        <v>5630</v>
      </c>
      <c r="K2865" s="51">
        <v>41529</v>
      </c>
      <c r="L2865" s="115">
        <v>41518</v>
      </c>
      <c r="M2865" s="50">
        <f t="shared" si="164"/>
        <v>11</v>
      </c>
      <c r="N2865" s="7" t="s">
        <v>2</v>
      </c>
      <c r="O2865" s="74">
        <f>0.5/2</f>
        <v>0.25</v>
      </c>
      <c r="P2865" s="117">
        <v>6.4</v>
      </c>
      <c r="Q2865" s="131">
        <v>6.65</v>
      </c>
      <c r="R2865" s="50">
        <v>43</v>
      </c>
      <c r="S2865" s="74">
        <v>35</v>
      </c>
      <c r="T2865" s="50">
        <v>7.6999999999999999E-2</v>
      </c>
      <c r="U2865" s="74">
        <v>1.2</v>
      </c>
      <c r="V2865" s="50">
        <v>0.67900000000000005</v>
      </c>
      <c r="W2865" s="74">
        <v>6.0000000000000001E-3</v>
      </c>
      <c r="X2865" s="50">
        <v>6.2E-2</v>
      </c>
      <c r="Y2865" s="74">
        <v>5.0000000000000001E-3</v>
      </c>
      <c r="Z2865" s="164"/>
      <c r="AA2865" s="165"/>
      <c r="AB2865" s="50"/>
      <c r="AC2865" s="74"/>
      <c r="AD2865" s="164"/>
      <c r="AF2865" s="50"/>
      <c r="AG2865" s="74"/>
      <c r="AH2865" s="74"/>
      <c r="AI2865" s="113"/>
      <c r="AJ2865" s="50"/>
      <c r="AK2865" s="74"/>
      <c r="AL2865" s="50"/>
      <c r="AM2865" s="74"/>
      <c r="AN2865" s="50"/>
      <c r="AO2865" s="74"/>
      <c r="AP2865" s="50"/>
      <c r="AQ2865" s="74"/>
      <c r="AR2865" s="50"/>
      <c r="AS2865" s="74"/>
      <c r="AT2865" s="50"/>
      <c r="AU2865" s="74"/>
      <c r="AV2865"/>
      <c r="AW2865"/>
    </row>
    <row r="2866" spans="1:49" ht="15" customHeight="1">
      <c r="A2866" s="41" t="s">
        <v>4668</v>
      </c>
      <c r="B2866" s="385" t="s">
        <v>5627</v>
      </c>
      <c r="C2866" s="18" t="s">
        <v>5627</v>
      </c>
      <c r="D2866" s="377" t="s">
        <v>156</v>
      </c>
      <c r="E2866" s="20" t="s">
        <v>4039</v>
      </c>
      <c r="F2866" s="385"/>
      <c r="G2866" s="15" t="s">
        <v>4036</v>
      </c>
      <c r="H2866" s="7">
        <v>3441</v>
      </c>
      <c r="I2866" s="19" t="s">
        <v>2</v>
      </c>
      <c r="J2866" s="7" t="s">
        <v>5631</v>
      </c>
      <c r="K2866" s="51">
        <v>41529</v>
      </c>
      <c r="L2866" s="115">
        <v>41518</v>
      </c>
      <c r="M2866" s="50">
        <f t="shared" si="164"/>
        <v>11</v>
      </c>
      <c r="N2866" s="7" t="s">
        <v>2</v>
      </c>
      <c r="O2866" s="74">
        <f>0.5/2</f>
        <v>0.25</v>
      </c>
      <c r="P2866" s="117">
        <v>6.4</v>
      </c>
      <c r="Q2866" s="131">
        <v>7.29</v>
      </c>
      <c r="R2866" s="50">
        <v>33</v>
      </c>
      <c r="S2866" s="74">
        <v>82</v>
      </c>
      <c r="T2866" s="50">
        <v>0.14499999999999999</v>
      </c>
      <c r="U2866" s="74">
        <v>1.58</v>
      </c>
      <c r="V2866" s="50">
        <v>0.38200000000000001</v>
      </c>
      <c r="W2866" s="74">
        <v>4.0000000000000001E-3</v>
      </c>
      <c r="X2866" s="50">
        <v>8.6999999999999994E-2</v>
      </c>
      <c r="Y2866" s="74">
        <v>6.0000000000000001E-3</v>
      </c>
      <c r="Z2866" s="164"/>
      <c r="AA2866" s="165"/>
      <c r="AB2866" s="50"/>
      <c r="AC2866" s="74"/>
      <c r="AD2866" s="164"/>
      <c r="AF2866" s="50"/>
      <c r="AG2866" s="74"/>
      <c r="AH2866" s="74"/>
      <c r="AI2866" s="113"/>
      <c r="AJ2866" s="50"/>
      <c r="AK2866" s="74"/>
      <c r="AL2866" s="50"/>
      <c r="AM2866" s="74"/>
      <c r="AN2866" s="50"/>
      <c r="AO2866" s="74"/>
      <c r="AP2866" s="50"/>
      <c r="AQ2866" s="74"/>
      <c r="AR2866" s="50"/>
      <c r="AS2866" s="74"/>
      <c r="AT2866" s="50"/>
      <c r="AU2866" s="74"/>
      <c r="AV2866"/>
      <c r="AW2866"/>
    </row>
    <row r="2867" spans="1:49" ht="15" customHeight="1">
      <c r="A2867" s="41" t="s">
        <v>4668</v>
      </c>
      <c r="B2867" s="385" t="s">
        <v>5632</v>
      </c>
      <c r="C2867" s="18" t="s">
        <v>5633</v>
      </c>
      <c r="D2867" s="377" t="s">
        <v>836</v>
      </c>
      <c r="E2867" s="20" t="s">
        <v>3243</v>
      </c>
      <c r="F2867" s="385"/>
      <c r="G2867" s="15" t="s">
        <v>5878</v>
      </c>
      <c r="H2867" s="7">
        <v>2754</v>
      </c>
      <c r="I2867" s="19" t="s">
        <v>2</v>
      </c>
      <c r="J2867" s="7" t="s">
        <v>5634</v>
      </c>
      <c r="K2867" s="51">
        <v>41600</v>
      </c>
      <c r="L2867" s="115">
        <v>41596</v>
      </c>
      <c r="M2867" s="50">
        <f t="shared" si="164"/>
        <v>4</v>
      </c>
      <c r="N2867" s="7" t="s">
        <v>2</v>
      </c>
      <c r="O2867" s="74">
        <f>5/2</f>
        <v>2.5</v>
      </c>
      <c r="P2867" s="117">
        <v>6.4</v>
      </c>
      <c r="Q2867" s="131">
        <v>7.5</v>
      </c>
      <c r="R2867" s="50">
        <v>18</v>
      </c>
      <c r="S2867" s="74">
        <f>5/2</f>
        <v>2.5</v>
      </c>
      <c r="T2867" s="50">
        <f>0.1/2</f>
        <v>0.05</v>
      </c>
      <c r="U2867" s="74">
        <v>3.7</v>
      </c>
      <c r="V2867" s="50">
        <v>0.7</v>
      </c>
      <c r="W2867" s="74">
        <f>0.04/2</f>
        <v>0.02</v>
      </c>
      <c r="X2867" s="50">
        <v>8.3000000000000004E-2</v>
      </c>
      <c r="Y2867" s="74">
        <f>0.013/2</f>
        <v>6.4999999999999997E-3</v>
      </c>
      <c r="Z2867" s="164">
        <v>1</v>
      </c>
      <c r="AA2867" s="165">
        <v>1</v>
      </c>
      <c r="AB2867" s="50">
        <v>22</v>
      </c>
      <c r="AC2867" s="74">
        <v>92</v>
      </c>
      <c r="AD2867" s="164">
        <v>1</v>
      </c>
      <c r="AF2867" s="50"/>
      <c r="AG2867" s="74"/>
      <c r="AH2867" s="74"/>
      <c r="AI2867" s="113"/>
      <c r="AJ2867" s="50"/>
      <c r="AK2867" s="74"/>
      <c r="AL2867" s="50"/>
      <c r="AM2867" s="74"/>
      <c r="AN2867" s="50"/>
      <c r="AO2867" s="74"/>
      <c r="AP2867" s="50"/>
      <c r="AQ2867" s="74"/>
      <c r="AR2867" s="50"/>
      <c r="AS2867" s="74"/>
      <c r="AT2867" s="50"/>
      <c r="AU2867" s="74"/>
      <c r="AV2867"/>
      <c r="AW2867"/>
    </row>
    <row r="2868" spans="1:49" ht="15" customHeight="1">
      <c r="A2868" s="41" t="s">
        <v>4668</v>
      </c>
      <c r="B2868" s="385" t="s">
        <v>5632</v>
      </c>
      <c r="C2868" s="18" t="s">
        <v>5633</v>
      </c>
      <c r="D2868" s="377" t="s">
        <v>836</v>
      </c>
      <c r="E2868" s="20" t="s">
        <v>3243</v>
      </c>
      <c r="F2868" s="385"/>
      <c r="G2868" s="15" t="s">
        <v>5878</v>
      </c>
      <c r="H2868" s="7">
        <v>2754</v>
      </c>
      <c r="I2868" s="19" t="s">
        <v>2</v>
      </c>
      <c r="J2868" s="7" t="s">
        <v>5635</v>
      </c>
      <c r="K2868" s="51">
        <v>41600</v>
      </c>
      <c r="L2868" s="115">
        <v>41596</v>
      </c>
      <c r="M2868" s="50">
        <f t="shared" si="164"/>
        <v>4</v>
      </c>
      <c r="N2868" s="7" t="s">
        <v>2</v>
      </c>
      <c r="O2868" s="74">
        <f>5/2</f>
        <v>2.5</v>
      </c>
      <c r="P2868" s="117">
        <v>6.4</v>
      </c>
      <c r="Q2868" s="131">
        <v>6.9</v>
      </c>
      <c r="R2868" s="50">
        <v>120</v>
      </c>
      <c r="S2868" s="74">
        <v>8</v>
      </c>
      <c r="T2868" s="50">
        <v>0.37</v>
      </c>
      <c r="U2868" s="74">
        <f>1/2</f>
        <v>0.5</v>
      </c>
      <c r="V2868" s="50">
        <v>0.59</v>
      </c>
      <c r="W2868" s="74">
        <f>0.04/2</f>
        <v>0.02</v>
      </c>
      <c r="X2868" s="50">
        <v>0.13</v>
      </c>
      <c r="Y2868" s="74">
        <f>0.013/2</f>
        <v>6.4999999999999997E-3</v>
      </c>
      <c r="Z2868" s="164">
        <v>1</v>
      </c>
      <c r="AA2868" s="165">
        <v>1</v>
      </c>
      <c r="AB2868" s="50">
        <v>7.2</v>
      </c>
      <c r="AC2868" s="74">
        <v>44</v>
      </c>
      <c r="AD2868" s="164">
        <v>1</v>
      </c>
      <c r="AF2868" s="50"/>
      <c r="AG2868" s="74"/>
      <c r="AH2868" s="74"/>
      <c r="AI2868" s="113"/>
      <c r="AJ2868" s="50"/>
      <c r="AK2868" s="74"/>
      <c r="AL2868" s="50"/>
      <c r="AM2868" s="74"/>
      <c r="AN2868" s="50"/>
      <c r="AO2868" s="74"/>
      <c r="AP2868" s="50"/>
      <c r="AQ2868" s="74"/>
      <c r="AR2868" s="50"/>
      <c r="AS2868" s="74"/>
      <c r="AT2868" s="50"/>
      <c r="AU2868" s="74"/>
      <c r="AV2868"/>
      <c r="AW2868"/>
    </row>
    <row r="2869" spans="1:49" ht="15" customHeight="1">
      <c r="A2869" s="41" t="s">
        <v>4668</v>
      </c>
      <c r="B2869" s="385" t="s">
        <v>5632</v>
      </c>
      <c r="C2869" s="18" t="s">
        <v>5633</v>
      </c>
      <c r="D2869" s="377" t="s">
        <v>836</v>
      </c>
      <c r="E2869" s="20" t="s">
        <v>3243</v>
      </c>
      <c r="F2869" s="385"/>
      <c r="G2869" s="15" t="s">
        <v>5878</v>
      </c>
      <c r="H2869" s="7">
        <v>2754</v>
      </c>
      <c r="I2869" s="19" t="s">
        <v>2</v>
      </c>
      <c r="J2869" s="7" t="s">
        <v>5636</v>
      </c>
      <c r="K2869" s="51">
        <v>41495</v>
      </c>
      <c r="L2869" s="115">
        <v>41490</v>
      </c>
      <c r="M2869" s="50">
        <f t="shared" si="164"/>
        <v>5</v>
      </c>
      <c r="N2869" s="7" t="s">
        <v>2</v>
      </c>
      <c r="O2869" s="74">
        <f>5/2</f>
        <v>2.5</v>
      </c>
      <c r="P2869" s="117">
        <v>6.4</v>
      </c>
      <c r="Q2869" s="131">
        <v>6.9</v>
      </c>
      <c r="R2869" s="50">
        <v>23</v>
      </c>
      <c r="S2869" s="74">
        <v>8</v>
      </c>
      <c r="T2869" s="50">
        <f>0.1/2</f>
        <v>0.05</v>
      </c>
      <c r="U2869" s="74">
        <f>1/2</f>
        <v>0.5</v>
      </c>
      <c r="V2869" s="50">
        <v>0.13</v>
      </c>
      <c r="W2869" s="74">
        <f>0.04/2</f>
        <v>0.02</v>
      </c>
      <c r="X2869" s="50">
        <v>0.11</v>
      </c>
      <c r="Y2869" s="74">
        <f>0.013</f>
        <v>1.2999999999999999E-2</v>
      </c>
      <c r="Z2869" s="164"/>
      <c r="AA2869" s="165"/>
      <c r="AB2869" s="50"/>
      <c r="AC2869" s="74"/>
      <c r="AD2869" s="164"/>
      <c r="AF2869" s="50"/>
      <c r="AG2869" s="74"/>
      <c r="AH2869" s="74"/>
      <c r="AI2869" s="113"/>
      <c r="AJ2869" s="50"/>
      <c r="AK2869" s="74"/>
      <c r="AL2869" s="50"/>
      <c r="AM2869" s="74"/>
      <c r="AN2869" s="50"/>
      <c r="AO2869" s="74"/>
      <c r="AP2869" s="50"/>
      <c r="AQ2869" s="74"/>
      <c r="AR2869" s="50"/>
      <c r="AS2869" s="74"/>
      <c r="AT2869" s="50"/>
      <c r="AU2869" s="74"/>
      <c r="AV2869"/>
      <c r="AW2869"/>
    </row>
    <row r="2870" spans="1:49" ht="15" customHeight="1">
      <c r="A2870" s="41" t="s">
        <v>4668</v>
      </c>
      <c r="B2870" s="385" t="s">
        <v>5632</v>
      </c>
      <c r="C2870" s="18" t="s">
        <v>5633</v>
      </c>
      <c r="D2870" s="377" t="s">
        <v>836</v>
      </c>
      <c r="E2870" s="20" t="s">
        <v>3243</v>
      </c>
      <c r="F2870" s="385"/>
      <c r="G2870" s="15" t="s">
        <v>5878</v>
      </c>
      <c r="H2870" s="7">
        <v>2754</v>
      </c>
      <c r="I2870" s="19" t="s">
        <v>2</v>
      </c>
      <c r="J2870" s="7" t="s">
        <v>5637</v>
      </c>
      <c r="K2870" s="51">
        <v>41495</v>
      </c>
      <c r="L2870" s="115">
        <v>41490</v>
      </c>
      <c r="M2870" s="50">
        <f t="shared" si="164"/>
        <v>5</v>
      </c>
      <c r="N2870" s="7" t="s">
        <v>2</v>
      </c>
      <c r="O2870" s="74">
        <f>5/2</f>
        <v>2.5</v>
      </c>
      <c r="P2870" s="117">
        <v>6.4</v>
      </c>
      <c r="Q2870" s="131">
        <v>7</v>
      </c>
      <c r="R2870" s="50">
        <v>16</v>
      </c>
      <c r="S2870" s="74">
        <v>8</v>
      </c>
      <c r="T2870" s="50">
        <v>0.11</v>
      </c>
      <c r="U2870" s="74">
        <f>1/2</f>
        <v>0.5</v>
      </c>
      <c r="V2870" s="50">
        <f>0.1/2</f>
        <v>0.05</v>
      </c>
      <c r="W2870" s="74">
        <f>0.04/2</f>
        <v>0.02</v>
      </c>
      <c r="X2870" s="50">
        <v>3.5999999999999997E-2</v>
      </c>
      <c r="Y2870" s="74">
        <f>0.013/2</f>
        <v>6.4999999999999997E-3</v>
      </c>
      <c r="Z2870" s="164"/>
      <c r="AA2870" s="165"/>
      <c r="AB2870" s="50"/>
      <c r="AC2870" s="74"/>
      <c r="AD2870" s="164"/>
      <c r="AF2870" s="50"/>
      <c r="AG2870" s="74"/>
      <c r="AH2870" s="74"/>
      <c r="AI2870" s="113"/>
      <c r="AJ2870" s="50"/>
      <c r="AK2870" s="74"/>
      <c r="AL2870" s="50"/>
      <c r="AM2870" s="74"/>
      <c r="AN2870" s="50"/>
      <c r="AO2870" s="74"/>
      <c r="AP2870" s="50"/>
      <c r="AQ2870" s="74"/>
      <c r="AR2870" s="50"/>
      <c r="AS2870" s="74"/>
      <c r="AT2870" s="50"/>
      <c r="AU2870" s="74"/>
      <c r="AV2870"/>
      <c r="AW2870"/>
    </row>
    <row r="2871" spans="1:49" ht="15" customHeight="1">
      <c r="A2871" s="41" t="s">
        <v>4668</v>
      </c>
      <c r="B2871" s="385" t="s">
        <v>5638</v>
      </c>
      <c r="C2871" s="18" t="s">
        <v>5639</v>
      </c>
      <c r="D2871" s="377" t="s">
        <v>290</v>
      </c>
      <c r="E2871" s="20" t="s">
        <v>5640</v>
      </c>
      <c r="F2871" s="385"/>
      <c r="G2871" s="15" t="s">
        <v>5641</v>
      </c>
      <c r="H2871" s="7">
        <v>3315</v>
      </c>
      <c r="I2871" s="19" t="s">
        <v>2</v>
      </c>
      <c r="J2871" s="7" t="s">
        <v>5642</v>
      </c>
      <c r="K2871" s="51">
        <v>41529</v>
      </c>
      <c r="L2871" s="115">
        <v>41519</v>
      </c>
      <c r="M2871" s="50">
        <f t="shared" si="164"/>
        <v>10</v>
      </c>
      <c r="N2871" s="7" t="s">
        <v>2</v>
      </c>
      <c r="O2871" s="74">
        <f>0.5/2</f>
        <v>0.25</v>
      </c>
      <c r="P2871" s="117">
        <v>7.23</v>
      </c>
      <c r="Q2871" s="131">
        <v>7.23</v>
      </c>
      <c r="R2871" s="50">
        <v>70</v>
      </c>
      <c r="S2871" s="74">
        <v>24</v>
      </c>
      <c r="T2871" s="50">
        <v>0.21299999999999999</v>
      </c>
      <c r="U2871" s="74">
        <v>1.62</v>
      </c>
      <c r="V2871" s="50">
        <v>0.96799999999999997</v>
      </c>
      <c r="W2871" s="74">
        <v>1.6E-2</v>
      </c>
      <c r="X2871" s="50">
        <v>6.0600000000000001E-2</v>
      </c>
      <c r="Y2871" s="74">
        <f>0.003/2</f>
        <v>1.5E-3</v>
      </c>
      <c r="Z2871" s="164">
        <v>1</v>
      </c>
      <c r="AA2871" s="165">
        <v>1</v>
      </c>
      <c r="AB2871" s="50">
        <v>10</v>
      </c>
      <c r="AC2871" s="74">
        <v>62.1</v>
      </c>
      <c r="AD2871" s="164">
        <v>1</v>
      </c>
      <c r="AF2871" s="50"/>
      <c r="AG2871" s="74"/>
      <c r="AH2871" s="74"/>
      <c r="AI2871" s="113"/>
      <c r="AJ2871" s="50"/>
      <c r="AK2871" s="74"/>
      <c r="AL2871" s="50"/>
      <c r="AM2871" s="74"/>
      <c r="AN2871" s="50"/>
      <c r="AO2871" s="74"/>
      <c r="AP2871" s="50"/>
      <c r="AQ2871" s="74"/>
      <c r="AR2871" s="50"/>
      <c r="AS2871" s="74"/>
      <c r="AT2871" s="50"/>
      <c r="AU2871" s="74"/>
      <c r="AV2871"/>
      <c r="AW2871"/>
    </row>
    <row r="2872" spans="1:49" ht="15" customHeight="1">
      <c r="A2872" s="41" t="s">
        <v>4668</v>
      </c>
      <c r="B2872" s="385" t="s">
        <v>5638</v>
      </c>
      <c r="C2872" s="18" t="s">
        <v>5639</v>
      </c>
      <c r="D2872" s="377" t="s">
        <v>290</v>
      </c>
      <c r="E2872" s="20" t="s">
        <v>5640</v>
      </c>
      <c r="F2872" s="385"/>
      <c r="G2872" s="15" t="s">
        <v>5641</v>
      </c>
      <c r="H2872" s="7">
        <v>3315</v>
      </c>
      <c r="I2872" s="19" t="s">
        <v>2</v>
      </c>
      <c r="J2872" s="7" t="s">
        <v>5643</v>
      </c>
      <c r="K2872" s="51">
        <v>41529</v>
      </c>
      <c r="L2872" s="115">
        <v>41519</v>
      </c>
      <c r="M2872" s="50">
        <f t="shared" si="164"/>
        <v>10</v>
      </c>
      <c r="N2872" s="7" t="s">
        <v>2</v>
      </c>
      <c r="O2872" s="74">
        <f>0.5/2</f>
        <v>0.25</v>
      </c>
      <c r="P2872" s="117">
        <v>6.47</v>
      </c>
      <c r="Q2872" s="131">
        <v>6.47</v>
      </c>
      <c r="R2872" s="50">
        <v>290</v>
      </c>
      <c r="S2872" s="74">
        <v>665</v>
      </c>
      <c r="T2872" s="50">
        <v>1.23</v>
      </c>
      <c r="U2872" s="74">
        <v>2.1</v>
      </c>
      <c r="V2872" s="50">
        <v>0.67800000000000005</v>
      </c>
      <c r="W2872" s="74">
        <v>8.4500000000000006E-2</v>
      </c>
      <c r="X2872" s="50">
        <v>7.0199999999999999E-2</v>
      </c>
      <c r="Y2872" s="74">
        <v>1.0699999999999999E-2</v>
      </c>
      <c r="Z2872" s="164">
        <v>1</v>
      </c>
      <c r="AA2872" s="165">
        <v>1</v>
      </c>
      <c r="AB2872" s="50">
        <v>10.5</v>
      </c>
      <c r="AC2872" s="74">
        <v>106.8</v>
      </c>
      <c r="AD2872" s="164">
        <v>1</v>
      </c>
      <c r="AF2872" s="50"/>
      <c r="AG2872" s="74"/>
      <c r="AH2872" s="74"/>
      <c r="AI2872" s="113"/>
      <c r="AJ2872" s="50"/>
      <c r="AK2872" s="74"/>
      <c r="AL2872" s="50"/>
      <c r="AM2872" s="74"/>
      <c r="AN2872" s="50"/>
      <c r="AO2872" s="74"/>
      <c r="AP2872" s="50"/>
      <c r="AQ2872" s="74"/>
      <c r="AR2872" s="50"/>
      <c r="AS2872" s="74"/>
      <c r="AT2872" s="50"/>
      <c r="AU2872" s="74"/>
      <c r="AV2872"/>
      <c r="AW2872"/>
    </row>
    <row r="2873" spans="1:49" ht="15" customHeight="1">
      <c r="A2873" s="41" t="s">
        <v>4668</v>
      </c>
      <c r="B2873" s="385" t="s">
        <v>2648</v>
      </c>
      <c r="C2873" s="18" t="s">
        <v>2648</v>
      </c>
      <c r="D2873" s="377" t="s">
        <v>1896</v>
      </c>
      <c r="E2873" s="20" t="s">
        <v>1538</v>
      </c>
      <c r="F2873" s="385"/>
      <c r="G2873" s="15" t="s">
        <v>2649</v>
      </c>
      <c r="H2873" s="7">
        <v>4952</v>
      </c>
      <c r="I2873" s="19" t="s">
        <v>1</v>
      </c>
      <c r="J2873" s="7" t="s">
        <v>460</v>
      </c>
      <c r="K2873" s="51">
        <v>41487</v>
      </c>
      <c r="L2873" s="115">
        <v>41477</v>
      </c>
      <c r="M2873" s="50">
        <f t="shared" si="164"/>
        <v>10</v>
      </c>
      <c r="N2873" s="7" t="s">
        <v>2</v>
      </c>
      <c r="O2873" s="74">
        <v>9.8000000000000007</v>
      </c>
      <c r="P2873" s="117">
        <v>4.91</v>
      </c>
      <c r="Q2873" s="131">
        <v>7.04</v>
      </c>
      <c r="R2873" s="50">
        <v>230</v>
      </c>
      <c r="S2873" s="74">
        <v>60</v>
      </c>
      <c r="T2873" s="50">
        <v>0.88</v>
      </c>
      <c r="U2873" s="74">
        <v>7.78</v>
      </c>
      <c r="V2873" s="50">
        <v>0.98</v>
      </c>
      <c r="W2873" s="74">
        <v>5.0999999999999997E-2</v>
      </c>
      <c r="X2873" s="50">
        <v>0.17899999999999999</v>
      </c>
      <c r="Y2873" s="74">
        <v>2.9000000000000001E-2</v>
      </c>
      <c r="Z2873" s="164"/>
      <c r="AA2873" s="165"/>
      <c r="AB2873" s="50"/>
      <c r="AC2873" s="74"/>
      <c r="AD2873" s="164"/>
      <c r="AF2873" s="50"/>
      <c r="AG2873" s="74"/>
      <c r="AH2873" s="74"/>
      <c r="AI2873" s="113"/>
      <c r="AJ2873" s="50"/>
      <c r="AK2873" s="74"/>
      <c r="AL2873" s="50"/>
      <c r="AM2873" s="74"/>
      <c r="AN2873" s="50"/>
      <c r="AO2873" s="74"/>
      <c r="AP2873" s="50"/>
      <c r="AQ2873" s="74"/>
      <c r="AR2873" s="50"/>
      <c r="AS2873" s="74"/>
      <c r="AT2873" s="50"/>
      <c r="AU2873" s="74"/>
      <c r="AV2873"/>
      <c r="AW2873"/>
    </row>
    <row r="2874" spans="1:49" ht="15" customHeight="1">
      <c r="A2874" s="41" t="s">
        <v>4668</v>
      </c>
      <c r="B2874" s="385" t="s">
        <v>1393</v>
      </c>
      <c r="C2874" s="18" t="s">
        <v>5644</v>
      </c>
      <c r="D2874" s="377" t="s">
        <v>56</v>
      </c>
      <c r="E2874" s="20" t="s">
        <v>1538</v>
      </c>
      <c r="F2874" s="385"/>
      <c r="G2874" s="15" t="s">
        <v>3618</v>
      </c>
      <c r="H2874" s="7">
        <v>4311</v>
      </c>
      <c r="I2874" s="19" t="s">
        <v>1</v>
      </c>
      <c r="J2874" s="7" t="s">
        <v>255</v>
      </c>
      <c r="K2874" s="51">
        <v>41495</v>
      </c>
      <c r="L2874" s="115">
        <v>41487</v>
      </c>
      <c r="M2874" s="50">
        <f t="shared" si="164"/>
        <v>8</v>
      </c>
      <c r="N2874" s="7" t="s">
        <v>2</v>
      </c>
      <c r="O2874" s="74">
        <v>2.7</v>
      </c>
      <c r="P2874" s="117">
        <v>6</v>
      </c>
      <c r="Q2874" s="131">
        <v>6.97</v>
      </c>
      <c r="R2874" s="50">
        <v>60</v>
      </c>
      <c r="S2874" s="74">
        <v>25</v>
      </c>
      <c r="T2874" s="50">
        <v>0.12</v>
      </c>
      <c r="U2874" s="74">
        <v>1.68</v>
      </c>
      <c r="V2874" s="50">
        <v>1.27</v>
      </c>
      <c r="W2874" s="74">
        <v>3.2000000000000001E-2</v>
      </c>
      <c r="X2874" s="50">
        <v>7.4999999999999997E-2</v>
      </c>
      <c r="Y2874" s="74">
        <v>0.01</v>
      </c>
      <c r="Z2874" s="164">
        <v>1</v>
      </c>
      <c r="AA2874" s="165">
        <v>1</v>
      </c>
      <c r="AB2874" s="50">
        <v>16</v>
      </c>
      <c r="AC2874" s="74">
        <v>63</v>
      </c>
      <c r="AD2874" s="164">
        <v>1</v>
      </c>
      <c r="AF2874" s="50"/>
      <c r="AG2874" s="74"/>
      <c r="AH2874" s="74"/>
      <c r="AI2874" s="113"/>
      <c r="AJ2874" s="50"/>
      <c r="AK2874" s="74"/>
      <c r="AL2874" s="50"/>
      <c r="AM2874" s="74"/>
      <c r="AN2874" s="50"/>
      <c r="AO2874" s="74"/>
      <c r="AP2874" s="50"/>
      <c r="AQ2874" s="74"/>
      <c r="AR2874" s="50"/>
      <c r="AS2874" s="74"/>
      <c r="AT2874" s="50"/>
      <c r="AU2874" s="74"/>
      <c r="AV2874"/>
      <c r="AW2874"/>
    </row>
    <row r="2875" spans="1:49" ht="15" customHeight="1">
      <c r="A2875" s="41" t="s">
        <v>4668</v>
      </c>
      <c r="B2875" s="385" t="s">
        <v>537</v>
      </c>
      <c r="C2875" s="18" t="s">
        <v>538</v>
      </c>
      <c r="D2875" s="377" t="s">
        <v>89</v>
      </c>
      <c r="E2875" s="20" t="s">
        <v>116</v>
      </c>
      <c r="F2875" s="385"/>
      <c r="G2875" s="15" t="s">
        <v>539</v>
      </c>
      <c r="H2875" s="7">
        <v>3451</v>
      </c>
      <c r="I2875" s="19" t="s">
        <v>1</v>
      </c>
      <c r="J2875" s="7" t="s">
        <v>249</v>
      </c>
      <c r="K2875" s="51">
        <v>41201</v>
      </c>
      <c r="L2875" s="115">
        <v>41198</v>
      </c>
      <c r="M2875" s="50">
        <f t="shared" si="164"/>
        <v>3</v>
      </c>
      <c r="N2875" s="7" t="s">
        <v>2</v>
      </c>
      <c r="O2875" s="74">
        <f>1/2</f>
        <v>0.5</v>
      </c>
      <c r="P2875" s="117">
        <v>6.4</v>
      </c>
      <c r="Q2875" s="131">
        <v>5.9</v>
      </c>
      <c r="R2875" s="50">
        <v>15</v>
      </c>
      <c r="S2875" s="74">
        <v>34</v>
      </c>
      <c r="T2875" s="50">
        <v>0.19</v>
      </c>
      <c r="U2875" s="74">
        <v>0.67</v>
      </c>
      <c r="V2875" s="50">
        <f>0.1/2</f>
        <v>0.05</v>
      </c>
      <c r="W2875" s="74">
        <v>0.05</v>
      </c>
      <c r="X2875" s="50">
        <v>1.4E-2</v>
      </c>
      <c r="Y2875" s="74">
        <v>5.7000000000000002E-2</v>
      </c>
      <c r="Z2875" s="164">
        <v>1</v>
      </c>
      <c r="AA2875" s="165">
        <v>1</v>
      </c>
      <c r="AB2875" s="50">
        <v>23.92</v>
      </c>
      <c r="AC2875" s="74">
        <v>70</v>
      </c>
      <c r="AD2875" s="164">
        <v>1</v>
      </c>
      <c r="AE2875" s="74">
        <v>710</v>
      </c>
      <c r="AF2875" s="50"/>
      <c r="AG2875" s="74"/>
      <c r="AI2875" s="113"/>
      <c r="AJ2875" s="50"/>
      <c r="AK2875" s="74"/>
      <c r="AL2875" s="50"/>
      <c r="AM2875" s="74"/>
      <c r="AN2875" s="50"/>
      <c r="AO2875" s="74"/>
      <c r="AP2875" s="50"/>
      <c r="AQ2875" s="74"/>
      <c r="AR2875" s="50"/>
      <c r="AS2875" s="74"/>
      <c r="AT2875" s="50"/>
      <c r="AU2875" s="74"/>
      <c r="AV2875"/>
      <c r="AW2875"/>
    </row>
    <row r="2876" spans="1:49" ht="15" customHeight="1">
      <c r="A2876" s="41" t="s">
        <v>4668</v>
      </c>
      <c r="B2876" s="385" t="s">
        <v>5645</v>
      </c>
      <c r="C2876" s="18" t="s">
        <v>5645</v>
      </c>
      <c r="D2876" s="377" t="s">
        <v>247</v>
      </c>
      <c r="E2876" s="20" t="s">
        <v>5646</v>
      </c>
      <c r="F2876" s="385"/>
      <c r="G2876" s="15" t="s">
        <v>248</v>
      </c>
      <c r="H2876" s="7">
        <v>2033</v>
      </c>
      <c r="I2876" s="19" t="s">
        <v>2</v>
      </c>
      <c r="J2876" s="7" t="s">
        <v>249</v>
      </c>
      <c r="K2876" s="51">
        <v>41488</v>
      </c>
      <c r="N2876" s="7" t="s">
        <v>2</v>
      </c>
      <c r="O2876" s="74">
        <f>1.4/2</f>
        <v>0.7</v>
      </c>
      <c r="P2876" s="117">
        <v>5.24</v>
      </c>
      <c r="Q2876" s="131">
        <v>8.61</v>
      </c>
      <c r="R2876" s="50">
        <v>69</v>
      </c>
      <c r="S2876" s="74">
        <v>24</v>
      </c>
      <c r="T2876" s="50">
        <v>0.26</v>
      </c>
      <c r="U2876" s="74">
        <v>4.1900000000000004</v>
      </c>
      <c r="V2876" s="50">
        <f>0.01/2</f>
        <v>5.0000000000000001E-3</v>
      </c>
      <c r="W2876" s="74">
        <v>6.0000000000000001E-3</v>
      </c>
      <c r="X2876" s="50">
        <v>1.7000000000000001E-2</v>
      </c>
      <c r="Y2876" s="74">
        <f>0.002/2</f>
        <v>1E-3</v>
      </c>
      <c r="Z2876" s="164">
        <v>1</v>
      </c>
      <c r="AA2876" s="165">
        <v>1</v>
      </c>
      <c r="AB2876" s="50">
        <v>20</v>
      </c>
      <c r="AC2876" s="74">
        <v>76</v>
      </c>
      <c r="AD2876" s="164">
        <v>1</v>
      </c>
      <c r="AF2876" s="50"/>
      <c r="AG2876" s="74"/>
      <c r="AH2876" s="74"/>
      <c r="AI2876" s="113"/>
      <c r="AJ2876" s="50"/>
      <c r="AK2876" s="74"/>
      <c r="AL2876" s="50"/>
      <c r="AM2876" s="74"/>
      <c r="AN2876" s="50"/>
      <c r="AO2876" s="74"/>
      <c r="AP2876" s="50"/>
      <c r="AQ2876" s="74"/>
      <c r="AR2876" s="50"/>
      <c r="AS2876" s="74"/>
      <c r="AT2876" s="50"/>
      <c r="AU2876" s="74"/>
      <c r="AV2876"/>
      <c r="AW2876"/>
    </row>
    <row r="2877" spans="1:49" ht="15" customHeight="1">
      <c r="A2877" s="41" t="s">
        <v>4668</v>
      </c>
      <c r="B2877" s="385" t="s">
        <v>537</v>
      </c>
      <c r="C2877" s="18" t="s">
        <v>538</v>
      </c>
      <c r="D2877" s="377" t="s">
        <v>89</v>
      </c>
      <c r="E2877" s="20" t="s">
        <v>116</v>
      </c>
      <c r="F2877" s="385"/>
      <c r="G2877" s="15" t="s">
        <v>539</v>
      </c>
      <c r="H2877" s="7">
        <v>3451</v>
      </c>
      <c r="I2877" s="19" t="s">
        <v>1</v>
      </c>
      <c r="J2877" s="7" t="s">
        <v>249</v>
      </c>
      <c r="K2877" s="51">
        <v>41417</v>
      </c>
      <c r="L2877" s="115">
        <v>41413</v>
      </c>
      <c r="M2877" s="50">
        <f t="shared" si="164"/>
        <v>4</v>
      </c>
      <c r="N2877" s="7" t="s">
        <v>2</v>
      </c>
      <c r="O2877" s="74">
        <f>5/2</f>
        <v>2.5</v>
      </c>
      <c r="P2877" s="117">
        <v>5.5</v>
      </c>
      <c r="Q2877" s="131">
        <v>7.2</v>
      </c>
      <c r="R2877" s="50">
        <v>210</v>
      </c>
      <c r="S2877" s="74">
        <v>180</v>
      </c>
      <c r="T2877" s="50">
        <v>0.33</v>
      </c>
      <c r="U2877" s="74">
        <v>2.4</v>
      </c>
      <c r="V2877" s="50">
        <v>1.2</v>
      </c>
      <c r="W2877" s="74">
        <v>0.16</v>
      </c>
      <c r="X2877" s="50">
        <v>0.15</v>
      </c>
      <c r="Y2877" s="74">
        <v>1.4999999999999999E-2</v>
      </c>
      <c r="Z2877" s="164"/>
      <c r="AA2877" s="165"/>
      <c r="AB2877" s="50"/>
      <c r="AC2877" s="74"/>
      <c r="AD2877" s="164"/>
      <c r="AF2877" s="50"/>
      <c r="AG2877" s="74"/>
      <c r="AH2877" s="74"/>
      <c r="AI2877" s="113"/>
      <c r="AJ2877" s="50"/>
      <c r="AK2877" s="74"/>
      <c r="AL2877" s="50"/>
      <c r="AM2877" s="74"/>
      <c r="AN2877" s="50"/>
      <c r="AO2877" s="74"/>
      <c r="AP2877" s="50"/>
      <c r="AQ2877" s="74"/>
      <c r="AR2877" s="50"/>
      <c r="AS2877" s="74"/>
      <c r="AT2877" s="50"/>
      <c r="AU2877" s="74"/>
      <c r="AV2877"/>
      <c r="AW2877"/>
    </row>
    <row r="2878" spans="1:49" ht="15" customHeight="1">
      <c r="A2878" s="41" t="s">
        <v>4668</v>
      </c>
      <c r="B2878" s="385" t="s">
        <v>5647</v>
      </c>
      <c r="C2878" s="18" t="s">
        <v>5648</v>
      </c>
      <c r="D2878" s="377" t="s">
        <v>56</v>
      </c>
      <c r="E2878" s="20" t="s">
        <v>5649</v>
      </c>
      <c r="F2878" s="385"/>
      <c r="G2878" s="15" t="s">
        <v>2198</v>
      </c>
      <c r="H2878" s="7">
        <v>325188</v>
      </c>
      <c r="I2878" s="19" t="s">
        <v>2</v>
      </c>
      <c r="J2878" s="7" t="s">
        <v>5650</v>
      </c>
      <c r="K2878" s="51">
        <v>41402</v>
      </c>
      <c r="L2878" s="115">
        <v>41384</v>
      </c>
      <c r="M2878" s="50">
        <f t="shared" si="164"/>
        <v>18</v>
      </c>
      <c r="N2878" s="7" t="s">
        <v>2</v>
      </c>
      <c r="O2878" s="74">
        <f>2/2</f>
        <v>1</v>
      </c>
      <c r="P2878" s="117">
        <v>6.7</v>
      </c>
      <c r="Q2878" s="131">
        <v>4.4000000000000004</v>
      </c>
      <c r="R2878" s="50">
        <v>215</v>
      </c>
      <c r="S2878" s="74">
        <v>36</v>
      </c>
      <c r="T2878" s="50">
        <v>0.1</v>
      </c>
      <c r="U2878" s="74">
        <v>4.7</v>
      </c>
      <c r="V2878" s="50">
        <v>0.46</v>
      </c>
      <c r="W2878" s="74">
        <v>3.4000000000000002E-2</v>
      </c>
      <c r="X2878" s="50">
        <v>0.26700000000000002</v>
      </c>
      <c r="Y2878" s="74">
        <v>3.3000000000000002E-2</v>
      </c>
      <c r="Z2878" s="164">
        <v>0.61599999999999999</v>
      </c>
      <c r="AA2878" s="165">
        <v>0.53600000000000003</v>
      </c>
      <c r="AB2878" s="50">
        <v>21</v>
      </c>
      <c r="AC2878" s="74">
        <v>93</v>
      </c>
      <c r="AD2878" s="164">
        <v>0</v>
      </c>
      <c r="AF2878" s="50"/>
      <c r="AG2878" s="74"/>
      <c r="AH2878" s="74"/>
      <c r="AI2878" s="113"/>
      <c r="AJ2878" s="50"/>
      <c r="AK2878" s="74"/>
      <c r="AL2878" s="50"/>
      <c r="AM2878" s="74"/>
      <c r="AN2878" s="50"/>
      <c r="AO2878" s="74"/>
      <c r="AP2878" s="50"/>
      <c r="AQ2878" s="74"/>
      <c r="AR2878" s="50"/>
      <c r="AS2878" s="74"/>
      <c r="AT2878" s="50"/>
      <c r="AU2878" s="74"/>
      <c r="AV2878"/>
      <c r="AW2878"/>
    </row>
    <row r="2879" spans="1:49" ht="15" customHeight="1">
      <c r="A2879" s="41" t="s">
        <v>4668</v>
      </c>
      <c r="B2879" s="385" t="s">
        <v>5647</v>
      </c>
      <c r="C2879" s="18" t="s">
        <v>5651</v>
      </c>
      <c r="D2879" s="377" t="s">
        <v>56</v>
      </c>
      <c r="E2879" s="20" t="s">
        <v>5649</v>
      </c>
      <c r="F2879" s="385"/>
      <c r="G2879" s="15" t="s">
        <v>2198</v>
      </c>
      <c r="H2879" s="7">
        <v>325188</v>
      </c>
      <c r="I2879" s="19" t="s">
        <v>2</v>
      </c>
      <c r="J2879" s="7" t="s">
        <v>5652</v>
      </c>
      <c r="K2879" s="51">
        <v>41402</v>
      </c>
      <c r="L2879" s="115">
        <v>41384</v>
      </c>
      <c r="M2879" s="50">
        <f t="shared" si="164"/>
        <v>18</v>
      </c>
      <c r="N2879" s="7" t="s">
        <v>2</v>
      </c>
      <c r="O2879" s="74">
        <f>2/2</f>
        <v>1</v>
      </c>
      <c r="P2879" s="117">
        <v>6.7</v>
      </c>
      <c r="Q2879" s="131">
        <v>4.9000000000000004</v>
      </c>
      <c r="R2879" s="50">
        <v>12</v>
      </c>
      <c r="S2879" s="74">
        <v>1</v>
      </c>
      <c r="T2879" s="50">
        <f>0.05/2</f>
        <v>2.5000000000000001E-2</v>
      </c>
      <c r="U2879" s="74">
        <v>0.49</v>
      </c>
      <c r="V2879" s="50">
        <v>0.16</v>
      </c>
      <c r="W2879" s="74">
        <v>1.0999999999999999E-2</v>
      </c>
      <c r="X2879" s="50">
        <f>0.03/2</f>
        <v>1.4999999999999999E-2</v>
      </c>
      <c r="Y2879" s="74">
        <f>0.03/2</f>
        <v>1.4999999999999999E-2</v>
      </c>
      <c r="Z2879" s="164">
        <v>1</v>
      </c>
      <c r="AA2879" s="165">
        <v>1</v>
      </c>
      <c r="AB2879" s="50">
        <v>2</v>
      </c>
      <c r="AC2879" s="74">
        <v>15</v>
      </c>
      <c r="AD2879" s="164">
        <v>0.7</v>
      </c>
      <c r="AF2879" s="50"/>
      <c r="AG2879" s="74"/>
      <c r="AH2879" s="74"/>
      <c r="AI2879" s="113"/>
      <c r="AJ2879" s="50"/>
      <c r="AK2879" s="74"/>
      <c r="AL2879" s="50"/>
      <c r="AM2879" s="74"/>
      <c r="AN2879" s="50"/>
      <c r="AO2879" s="74"/>
      <c r="AP2879" s="50"/>
      <c r="AQ2879" s="74"/>
      <c r="AR2879" s="50"/>
      <c r="AS2879" s="74"/>
      <c r="AT2879" s="50"/>
      <c r="AU2879" s="74"/>
      <c r="AV2879"/>
      <c r="AW2879"/>
    </row>
    <row r="2880" spans="1:49" ht="15" customHeight="1">
      <c r="A2880" s="41" t="s">
        <v>4668</v>
      </c>
      <c r="B2880" s="385" t="s">
        <v>5647</v>
      </c>
      <c r="C2880" s="18" t="s">
        <v>5653</v>
      </c>
      <c r="D2880" s="377" t="s">
        <v>56</v>
      </c>
      <c r="E2880" s="20" t="s">
        <v>5649</v>
      </c>
      <c r="F2880" s="385"/>
      <c r="G2880" s="15" t="s">
        <v>2198</v>
      </c>
      <c r="H2880" s="7">
        <v>325188</v>
      </c>
      <c r="I2880" s="19" t="s">
        <v>2</v>
      </c>
      <c r="J2880" s="7" t="s">
        <v>5654</v>
      </c>
      <c r="K2880" s="51">
        <v>41402</v>
      </c>
      <c r="L2880" s="115">
        <v>41384</v>
      </c>
      <c r="M2880" s="50">
        <f t="shared" si="164"/>
        <v>18</v>
      </c>
      <c r="N2880" s="7" t="s">
        <v>2</v>
      </c>
      <c r="O2880" s="74">
        <f>2/2</f>
        <v>1</v>
      </c>
      <c r="P2880" s="117">
        <v>6.7</v>
      </c>
      <c r="Q2880" s="131">
        <v>5.9</v>
      </c>
      <c r="R2880" s="50">
        <v>22</v>
      </c>
      <c r="S2880" s="74">
        <v>21</v>
      </c>
      <c r="T2880" s="50">
        <v>0.05</v>
      </c>
      <c r="U2880" s="74">
        <v>1.3</v>
      </c>
      <c r="V2880" s="50">
        <v>0.57999999999999996</v>
      </c>
      <c r="W2880" s="74">
        <v>1.2999999999999999E-2</v>
      </c>
      <c r="X2880" s="50">
        <v>1.88</v>
      </c>
      <c r="Y2880" s="74">
        <f>0.03/2</f>
        <v>1.4999999999999999E-2</v>
      </c>
      <c r="Z2880" s="164">
        <v>0.5</v>
      </c>
      <c r="AA2880" s="165">
        <v>0.125</v>
      </c>
      <c r="AB2880" s="50">
        <v>11</v>
      </c>
      <c r="AC2880" s="74">
        <v>67</v>
      </c>
      <c r="AD2880" s="164">
        <v>0</v>
      </c>
      <c r="AF2880" s="50"/>
      <c r="AG2880" s="74"/>
      <c r="AH2880" s="74"/>
      <c r="AI2880" s="113"/>
      <c r="AJ2880" s="50"/>
      <c r="AK2880" s="74"/>
      <c r="AL2880" s="50"/>
      <c r="AM2880" s="74"/>
      <c r="AN2880" s="50"/>
      <c r="AO2880" s="74"/>
      <c r="AP2880" s="50"/>
      <c r="AQ2880" s="74"/>
      <c r="AR2880" s="50"/>
      <c r="AS2880" s="74"/>
      <c r="AT2880" s="50"/>
      <c r="AU2880" s="74"/>
      <c r="AV2880"/>
      <c r="AW2880"/>
    </row>
    <row r="2881" spans="1:49" ht="15" customHeight="1">
      <c r="A2881" s="41" t="s">
        <v>4668</v>
      </c>
      <c r="B2881" s="385" t="s">
        <v>5647</v>
      </c>
      <c r="C2881" s="18" t="s">
        <v>5655</v>
      </c>
      <c r="D2881" s="377" t="s">
        <v>56</v>
      </c>
      <c r="E2881" s="20" t="s">
        <v>5649</v>
      </c>
      <c r="F2881" s="385"/>
      <c r="G2881" s="15" t="s">
        <v>2198</v>
      </c>
      <c r="H2881" s="7">
        <v>325188</v>
      </c>
      <c r="I2881" s="19" t="s">
        <v>2</v>
      </c>
      <c r="J2881" s="7" t="s">
        <v>5656</v>
      </c>
      <c r="K2881" s="51">
        <v>41402</v>
      </c>
      <c r="L2881" s="115">
        <v>41384</v>
      </c>
      <c r="M2881" s="50">
        <f t="shared" si="164"/>
        <v>18</v>
      </c>
      <c r="N2881" s="7" t="s">
        <v>2</v>
      </c>
      <c r="O2881" s="74">
        <f>2/2</f>
        <v>1</v>
      </c>
      <c r="P2881" s="117">
        <v>6.7</v>
      </c>
      <c r="Q2881" s="131">
        <v>5.8</v>
      </c>
      <c r="R2881" s="50">
        <v>17</v>
      </c>
      <c r="S2881" s="74">
        <v>4</v>
      </c>
      <c r="T2881" s="50">
        <f>0.05/2</f>
        <v>2.5000000000000001E-2</v>
      </c>
      <c r="U2881" s="74">
        <v>0.93</v>
      </c>
      <c r="V2881" s="50">
        <v>0.47</v>
      </c>
      <c r="W2881" s="74">
        <v>1.0999999999999999E-2</v>
      </c>
      <c r="X2881" s="50">
        <v>1.17</v>
      </c>
      <c r="Y2881" s="74">
        <f>0.03/2</f>
        <v>1.4999999999999999E-2</v>
      </c>
      <c r="Z2881" s="164">
        <v>0.46700000000000003</v>
      </c>
      <c r="AA2881" s="165">
        <v>0.23300000000000001</v>
      </c>
      <c r="AB2881" s="50">
        <v>7</v>
      </c>
      <c r="AC2881" s="74">
        <v>61</v>
      </c>
      <c r="AD2881" s="164">
        <v>0</v>
      </c>
      <c r="AF2881" s="50"/>
      <c r="AG2881" s="74"/>
      <c r="AH2881" s="74"/>
      <c r="AI2881" s="113"/>
      <c r="AJ2881" s="50"/>
      <c r="AK2881" s="74"/>
      <c r="AL2881" s="50"/>
      <c r="AM2881" s="74"/>
      <c r="AN2881" s="50"/>
      <c r="AO2881" s="74"/>
      <c r="AP2881" s="50"/>
      <c r="AQ2881" s="74"/>
      <c r="AR2881" s="50"/>
      <c r="AS2881" s="74"/>
      <c r="AT2881" s="50"/>
      <c r="AU2881" s="74"/>
      <c r="AV2881"/>
      <c r="AW2881"/>
    </row>
    <row r="2882" spans="1:49" ht="15" customHeight="1">
      <c r="A2882" s="41" t="s">
        <v>4668</v>
      </c>
      <c r="B2882" s="385" t="s">
        <v>5657</v>
      </c>
      <c r="C2882" s="18" t="s">
        <v>850</v>
      </c>
      <c r="D2882" s="377" t="s">
        <v>262</v>
      </c>
      <c r="E2882" s="20" t="s">
        <v>851</v>
      </c>
      <c r="F2882" s="385"/>
      <c r="G2882" s="15" t="s">
        <v>852</v>
      </c>
      <c r="H2882" s="7">
        <v>5171</v>
      </c>
      <c r="I2882" s="19"/>
      <c r="J2882" s="7" t="s">
        <v>853</v>
      </c>
      <c r="K2882" s="51">
        <v>41432</v>
      </c>
      <c r="L2882" s="115">
        <v>41417</v>
      </c>
      <c r="M2882" s="50">
        <f t="shared" si="164"/>
        <v>15</v>
      </c>
      <c r="N2882" s="7" t="s">
        <v>2</v>
      </c>
      <c r="O2882" s="74">
        <v>2.4</v>
      </c>
      <c r="P2882" s="117">
        <v>5</v>
      </c>
      <c r="Q2882" s="131">
        <v>6.66</v>
      </c>
      <c r="R2882" s="50">
        <v>47</v>
      </c>
      <c r="S2882" s="74">
        <v>34</v>
      </c>
      <c r="T2882" s="50">
        <v>3.54</v>
      </c>
      <c r="U2882" s="74">
        <v>1.94</v>
      </c>
      <c r="V2882" s="50">
        <v>0.36</v>
      </c>
      <c r="W2882" s="74">
        <f>0.01/2</f>
        <v>5.0000000000000001E-3</v>
      </c>
      <c r="X2882" s="50">
        <v>0.03</v>
      </c>
      <c r="Y2882" s="74">
        <f>0.02/2</f>
        <v>0.01</v>
      </c>
      <c r="Z2882" s="164">
        <v>0.83299999999999996</v>
      </c>
      <c r="AA2882" s="165">
        <v>0.65</v>
      </c>
      <c r="AB2882" s="50">
        <v>45.6</v>
      </c>
      <c r="AC2882" s="74">
        <v>585</v>
      </c>
      <c r="AD2882" s="164">
        <v>0.3</v>
      </c>
      <c r="AF2882" s="50"/>
      <c r="AG2882" s="74"/>
      <c r="AH2882" s="74"/>
      <c r="AI2882" s="113"/>
      <c r="AJ2882" s="50"/>
      <c r="AK2882" s="74"/>
      <c r="AL2882" s="50"/>
      <c r="AM2882" s="74"/>
      <c r="AN2882" s="50"/>
      <c r="AO2882" s="74"/>
      <c r="AP2882" s="50"/>
      <c r="AQ2882" s="74"/>
      <c r="AR2882" s="50"/>
      <c r="AS2882" s="74"/>
      <c r="AT2882" s="50"/>
      <c r="AU2882" s="74"/>
      <c r="AV2882"/>
      <c r="AW2882"/>
    </row>
    <row r="2883" spans="1:49" ht="15" customHeight="1">
      <c r="A2883" s="41" t="s">
        <v>4668</v>
      </c>
      <c r="B2883" s="385" t="s">
        <v>1278</v>
      </c>
      <c r="C2883" s="18" t="s">
        <v>1278</v>
      </c>
      <c r="D2883" s="377" t="s">
        <v>268</v>
      </c>
      <c r="E2883" s="20" t="s">
        <v>252</v>
      </c>
      <c r="F2883" s="385"/>
      <c r="G2883" s="15" t="s">
        <v>1280</v>
      </c>
      <c r="H2883" s="7">
        <v>3562</v>
      </c>
      <c r="I2883" s="19" t="s">
        <v>2</v>
      </c>
      <c r="J2883" s="7" t="s">
        <v>81</v>
      </c>
      <c r="K2883" s="51">
        <v>41345</v>
      </c>
      <c r="L2883" s="115">
        <v>41339</v>
      </c>
      <c r="M2883" s="50">
        <f t="shared" ref="M2883:M2889" si="165">K2883-L2883</f>
        <v>6</v>
      </c>
      <c r="N2883" s="7" t="s">
        <v>2</v>
      </c>
      <c r="O2883" s="74">
        <f>1.8/2</f>
        <v>0.9</v>
      </c>
      <c r="P2883" s="117">
        <v>6</v>
      </c>
      <c r="Q2883" s="131">
        <v>7.2</v>
      </c>
      <c r="R2883" s="50">
        <v>68</v>
      </c>
      <c r="S2883" s="74">
        <v>28</v>
      </c>
      <c r="T2883" s="50">
        <v>0.21</v>
      </c>
      <c r="U2883" s="74">
        <v>3.3</v>
      </c>
      <c r="V2883" s="50">
        <v>0.47</v>
      </c>
      <c r="W2883" s="74">
        <v>0.04</v>
      </c>
      <c r="X2883" s="50">
        <v>0.106</v>
      </c>
      <c r="Y2883" s="74">
        <v>8.8999999999999999E-3</v>
      </c>
      <c r="Z2883" s="164">
        <v>1</v>
      </c>
      <c r="AA2883" s="165">
        <v>1</v>
      </c>
      <c r="AB2883" s="50">
        <v>42</v>
      </c>
      <c r="AC2883" s="74">
        <v>257</v>
      </c>
      <c r="AD2883" s="164">
        <v>1</v>
      </c>
      <c r="AF2883" s="50"/>
      <c r="AG2883" s="74"/>
      <c r="AH2883" s="74"/>
      <c r="AI2883" s="113"/>
      <c r="AJ2883" s="50"/>
      <c r="AK2883" s="74"/>
      <c r="AL2883" s="50"/>
      <c r="AM2883" s="74"/>
      <c r="AN2883" s="50"/>
      <c r="AO2883" s="74"/>
      <c r="AP2883" s="50"/>
      <c r="AQ2883" s="74"/>
      <c r="AR2883" s="50"/>
      <c r="AS2883" s="74"/>
      <c r="AT2883" s="50"/>
      <c r="AU2883" s="74"/>
      <c r="AV2883"/>
      <c r="AW2883"/>
    </row>
    <row r="2884" spans="1:49" ht="15" customHeight="1">
      <c r="A2884" s="41" t="s">
        <v>4668</v>
      </c>
      <c r="B2884" s="385" t="s">
        <v>1393</v>
      </c>
      <c r="C2884" s="18" t="s">
        <v>1394</v>
      </c>
      <c r="D2884" s="377" t="s">
        <v>372</v>
      </c>
      <c r="E2884" s="20" t="s">
        <v>5658</v>
      </c>
      <c r="F2884" s="385"/>
      <c r="G2884" s="15" t="s">
        <v>1395</v>
      </c>
      <c r="H2884" s="7">
        <v>4311</v>
      </c>
      <c r="I2884" s="19"/>
      <c r="J2884" s="7" t="s">
        <v>255</v>
      </c>
      <c r="K2884" s="51">
        <v>41345</v>
      </c>
      <c r="L2884" s="115">
        <v>41341</v>
      </c>
      <c r="M2884" s="50">
        <f t="shared" si="165"/>
        <v>4</v>
      </c>
      <c r="N2884" s="7" t="s">
        <v>1</v>
      </c>
      <c r="O2884" s="74">
        <v>2.2000000000000002</v>
      </c>
      <c r="P2884" s="117">
        <v>7.06</v>
      </c>
      <c r="Q2884" s="131">
        <v>8.1999999999999993</v>
      </c>
      <c r="R2884" s="50">
        <v>43</v>
      </c>
      <c r="S2884" s="74">
        <v>97</v>
      </c>
      <c r="T2884" s="50">
        <v>0.18</v>
      </c>
      <c r="U2884" s="74">
        <v>0.75</v>
      </c>
      <c r="V2884" s="50">
        <v>0.11</v>
      </c>
      <c r="W2884" s="74">
        <v>1.9E-2</v>
      </c>
      <c r="X2884" s="50">
        <v>0.14799999999999999</v>
      </c>
      <c r="Y2884" s="74">
        <v>2.4E-2</v>
      </c>
      <c r="Z2884" s="164">
        <v>1</v>
      </c>
      <c r="AA2884" s="165">
        <v>1</v>
      </c>
      <c r="AB2884" s="50">
        <v>34</v>
      </c>
      <c r="AC2884" s="74">
        <v>323</v>
      </c>
      <c r="AD2884" s="164">
        <v>1</v>
      </c>
      <c r="AF2884" s="50"/>
      <c r="AG2884" s="74"/>
      <c r="AH2884" s="74"/>
      <c r="AI2884" s="113"/>
      <c r="AJ2884" s="50"/>
      <c r="AK2884" s="74"/>
      <c r="AL2884" s="50"/>
      <c r="AM2884" s="74"/>
      <c r="AN2884" s="50"/>
      <c r="AO2884" s="74"/>
      <c r="AP2884" s="50"/>
      <c r="AQ2884" s="74"/>
      <c r="AR2884" s="50"/>
      <c r="AS2884" s="74"/>
      <c r="AT2884" s="50"/>
      <c r="AU2884" s="74"/>
      <c r="AV2884"/>
      <c r="AW2884"/>
    </row>
    <row r="2885" spans="1:49" ht="15" customHeight="1">
      <c r="A2885" s="41" t="s">
        <v>4668</v>
      </c>
      <c r="B2885" s="385" t="s">
        <v>1393</v>
      </c>
      <c r="C2885" s="18" t="s">
        <v>1394</v>
      </c>
      <c r="D2885" s="377" t="s">
        <v>372</v>
      </c>
      <c r="E2885" s="20" t="s">
        <v>5658</v>
      </c>
      <c r="F2885" s="385"/>
      <c r="G2885" s="15" t="s">
        <v>1395</v>
      </c>
      <c r="H2885" s="7">
        <v>4311</v>
      </c>
      <c r="I2885" s="19"/>
      <c r="J2885" s="7" t="s">
        <v>96</v>
      </c>
      <c r="K2885" s="51">
        <v>41345</v>
      </c>
      <c r="L2885" s="115">
        <v>41341</v>
      </c>
      <c r="M2885" s="50">
        <f t="shared" si="165"/>
        <v>4</v>
      </c>
      <c r="N2885" s="7" t="s">
        <v>1</v>
      </c>
      <c r="O2885" s="74">
        <f>1.4/2</f>
        <v>0.7</v>
      </c>
      <c r="P2885" s="117">
        <v>7.06</v>
      </c>
      <c r="Q2885" s="131">
        <v>7.14</v>
      </c>
      <c r="R2885" s="50">
        <v>361</v>
      </c>
      <c r="S2885" s="74">
        <v>63</v>
      </c>
      <c r="T2885" s="50">
        <v>0.15</v>
      </c>
      <c r="U2885" s="74">
        <v>0.83</v>
      </c>
      <c r="V2885" s="50">
        <v>0.45</v>
      </c>
      <c r="W2885" s="74">
        <v>1.7000000000000001E-2</v>
      </c>
      <c r="X2885" s="50">
        <v>0.16400000000000001</v>
      </c>
      <c r="Y2885" s="74">
        <v>3.1E-2</v>
      </c>
      <c r="Z2885" s="164">
        <v>1</v>
      </c>
      <c r="AA2885" s="165">
        <v>1</v>
      </c>
      <c r="AB2885" s="50">
        <v>16</v>
      </c>
      <c r="AC2885" s="74">
        <v>150</v>
      </c>
      <c r="AD2885" s="164">
        <v>1</v>
      </c>
      <c r="AF2885" s="50"/>
      <c r="AG2885" s="74"/>
      <c r="AH2885" s="74"/>
      <c r="AI2885" s="113"/>
      <c r="AJ2885" s="50"/>
      <c r="AK2885" s="74"/>
      <c r="AL2885" s="50"/>
      <c r="AM2885" s="74"/>
      <c r="AN2885" s="50"/>
      <c r="AO2885" s="74"/>
      <c r="AP2885" s="50"/>
      <c r="AQ2885" s="74"/>
      <c r="AR2885" s="50"/>
      <c r="AS2885" s="74"/>
      <c r="AT2885" s="50"/>
      <c r="AU2885" s="74"/>
      <c r="AV2885"/>
      <c r="AW2885"/>
    </row>
    <row r="2886" spans="1:49" ht="15" customHeight="1">
      <c r="A2886" s="41" t="s">
        <v>4668</v>
      </c>
      <c r="B2886" s="385" t="s">
        <v>1393</v>
      </c>
      <c r="C2886" s="18" t="s">
        <v>5659</v>
      </c>
      <c r="D2886" s="377" t="s">
        <v>1896</v>
      </c>
      <c r="E2886" s="20" t="s">
        <v>1538</v>
      </c>
      <c r="F2886" s="385"/>
      <c r="G2886" s="15" t="s">
        <v>3617</v>
      </c>
      <c r="H2886" s="7">
        <v>4311</v>
      </c>
      <c r="I2886" s="19" t="s">
        <v>2</v>
      </c>
      <c r="J2886" s="7" t="s">
        <v>255</v>
      </c>
      <c r="K2886" s="51">
        <v>41345</v>
      </c>
      <c r="L2886" s="115">
        <v>41341</v>
      </c>
      <c r="M2886" s="50">
        <f t="shared" si="165"/>
        <v>4</v>
      </c>
      <c r="N2886" s="7" t="s">
        <v>1</v>
      </c>
      <c r="O2886" s="74">
        <v>3.4</v>
      </c>
      <c r="P2886" s="117">
        <v>7.59</v>
      </c>
      <c r="Q2886" s="131">
        <v>7.64</v>
      </c>
      <c r="R2886" s="50">
        <v>92</v>
      </c>
      <c r="S2886" s="74">
        <v>53</v>
      </c>
      <c r="T2886" s="50">
        <v>0.31</v>
      </c>
      <c r="U2886" s="74">
        <v>1.4</v>
      </c>
      <c r="V2886" s="50">
        <v>0.51</v>
      </c>
      <c r="W2886" s="74">
        <v>1.4E-2</v>
      </c>
      <c r="X2886" s="50">
        <v>6.4000000000000001E-2</v>
      </c>
      <c r="Y2886" s="74">
        <v>6.0000000000000001E-3</v>
      </c>
      <c r="Z2886" s="164">
        <v>1</v>
      </c>
      <c r="AA2886" s="165">
        <v>1</v>
      </c>
      <c r="AB2886" s="50">
        <v>36</v>
      </c>
      <c r="AC2886" s="74">
        <v>561</v>
      </c>
      <c r="AD2886" s="164">
        <v>1</v>
      </c>
      <c r="AF2886" s="50"/>
      <c r="AG2886" s="74"/>
      <c r="AH2886" s="74"/>
      <c r="AI2886" s="113"/>
      <c r="AJ2886" s="50"/>
      <c r="AK2886" s="74"/>
      <c r="AL2886" s="50"/>
      <c r="AM2886" s="74"/>
      <c r="AN2886" s="50"/>
      <c r="AO2886" s="74"/>
      <c r="AP2886" s="50"/>
      <c r="AQ2886" s="74"/>
      <c r="AR2886" s="50"/>
      <c r="AS2886" s="74"/>
      <c r="AT2886" s="50"/>
      <c r="AU2886" s="74"/>
      <c r="AV2886"/>
      <c r="AW2886"/>
    </row>
    <row r="2887" spans="1:49" ht="15" customHeight="1">
      <c r="A2887" s="41" t="s">
        <v>4668</v>
      </c>
      <c r="B2887" s="385" t="s">
        <v>5660</v>
      </c>
      <c r="C2887" s="18" t="s">
        <v>5661</v>
      </c>
      <c r="D2887" s="377" t="s">
        <v>1830</v>
      </c>
      <c r="E2887" s="20" t="s">
        <v>4671</v>
      </c>
      <c r="F2887" s="385"/>
      <c r="G2887" s="15" t="s">
        <v>4672</v>
      </c>
      <c r="H2887" s="7">
        <v>3390</v>
      </c>
      <c r="I2887" s="19" t="s">
        <v>2</v>
      </c>
      <c r="J2887" s="7" t="s">
        <v>510</v>
      </c>
      <c r="K2887" s="51">
        <v>41345</v>
      </c>
      <c r="L2887" s="115">
        <v>40976</v>
      </c>
      <c r="N2887" s="7" t="s">
        <v>2</v>
      </c>
      <c r="O2887" s="74">
        <f>5/2</f>
        <v>2.5</v>
      </c>
      <c r="P2887" s="117">
        <v>6.57</v>
      </c>
      <c r="Q2887" s="131">
        <v>6.51</v>
      </c>
      <c r="R2887" s="50">
        <v>36</v>
      </c>
      <c r="S2887" s="74">
        <v>84</v>
      </c>
      <c r="T2887" s="50">
        <f>0.1/2</f>
        <v>0.05</v>
      </c>
      <c r="U2887" s="74">
        <f>1/2</f>
        <v>0.5</v>
      </c>
      <c r="V2887" s="50">
        <v>1.6</v>
      </c>
      <c r="W2887" s="74">
        <f>0.04/2</f>
        <v>0.02</v>
      </c>
      <c r="X2887" s="50">
        <v>0.21</v>
      </c>
      <c r="Y2887" s="74">
        <f>0.013/2</f>
        <v>6.4999999999999997E-3</v>
      </c>
      <c r="Z2887" s="164">
        <v>1</v>
      </c>
      <c r="AA2887" s="165">
        <v>1</v>
      </c>
      <c r="AB2887" s="50">
        <v>150</v>
      </c>
      <c r="AC2887" s="74">
        <v>953</v>
      </c>
      <c r="AD2887" s="164">
        <v>1</v>
      </c>
      <c r="AF2887" s="50"/>
      <c r="AG2887" s="74"/>
      <c r="AH2887" s="74"/>
      <c r="AI2887" s="113"/>
      <c r="AJ2887" s="50"/>
      <c r="AK2887" s="74"/>
      <c r="AL2887" s="50"/>
      <c r="AM2887" s="74"/>
      <c r="AN2887" s="50"/>
      <c r="AO2887" s="74"/>
      <c r="AP2887" s="50"/>
      <c r="AQ2887" s="74"/>
      <c r="AR2887" s="50"/>
      <c r="AS2887" s="74"/>
      <c r="AT2887" s="50"/>
      <c r="AU2887" s="74"/>
      <c r="AV2887"/>
      <c r="AW2887"/>
    </row>
    <row r="2888" spans="1:49" ht="15" customHeight="1">
      <c r="A2888" s="41" t="s">
        <v>4668</v>
      </c>
      <c r="B2888" s="385" t="s">
        <v>1393</v>
      </c>
      <c r="C2888" s="18" t="s">
        <v>5644</v>
      </c>
      <c r="D2888" s="377" t="s">
        <v>56</v>
      </c>
      <c r="E2888" s="20" t="s">
        <v>1538</v>
      </c>
      <c r="F2888" s="385"/>
      <c r="G2888" s="15" t="s">
        <v>3618</v>
      </c>
      <c r="H2888" s="7">
        <v>4311</v>
      </c>
      <c r="I2888" s="19" t="s">
        <v>1</v>
      </c>
      <c r="J2888" s="7" t="s">
        <v>255</v>
      </c>
      <c r="K2888" s="51">
        <v>41324</v>
      </c>
      <c r="L2888" s="115">
        <v>41316</v>
      </c>
      <c r="M2888" s="50">
        <f t="shared" si="165"/>
        <v>8</v>
      </c>
      <c r="N2888" s="7" t="s">
        <v>1</v>
      </c>
      <c r="O2888" s="74">
        <v>3.4</v>
      </c>
      <c r="P2888" s="117">
        <v>6.72</v>
      </c>
      <c r="Q2888" s="131">
        <v>6.89</v>
      </c>
      <c r="R2888" s="50">
        <v>90</v>
      </c>
      <c r="S2888" s="74">
        <v>120</v>
      </c>
      <c r="T2888" s="50">
        <v>0.28999999999999998</v>
      </c>
      <c r="U2888" s="74">
        <v>2.23</v>
      </c>
      <c r="V2888" s="50">
        <v>0.64</v>
      </c>
      <c r="W2888" s="74">
        <v>3.9E-2</v>
      </c>
      <c r="X2888" s="50">
        <v>0.27</v>
      </c>
      <c r="Y2888" s="74">
        <v>0.02</v>
      </c>
      <c r="Z2888" s="164">
        <v>1</v>
      </c>
      <c r="AA2888" s="165">
        <v>1</v>
      </c>
      <c r="AB2888" s="50">
        <v>90</v>
      </c>
      <c r="AC2888" s="74">
        <v>1464</v>
      </c>
      <c r="AD2888" s="164">
        <v>1</v>
      </c>
      <c r="AF2888" s="50"/>
      <c r="AG2888" s="74"/>
      <c r="AH2888" s="74"/>
      <c r="AI2888" s="113"/>
      <c r="AJ2888" s="50"/>
      <c r="AK2888" s="74"/>
      <c r="AL2888" s="50"/>
      <c r="AM2888" s="74"/>
      <c r="AN2888" s="50"/>
      <c r="AO2888" s="74"/>
      <c r="AP2888" s="50"/>
      <c r="AQ2888" s="74"/>
      <c r="AR2888" s="50"/>
      <c r="AS2888" s="74"/>
      <c r="AT2888" s="50"/>
      <c r="AU2888" s="74"/>
      <c r="AV2888"/>
      <c r="AW2888"/>
    </row>
    <row r="2889" spans="1:49" ht="15" customHeight="1">
      <c r="A2889" s="41" t="s">
        <v>4668</v>
      </c>
      <c r="B2889" s="385" t="s">
        <v>1393</v>
      </c>
      <c r="C2889" s="18" t="s">
        <v>5659</v>
      </c>
      <c r="D2889" s="377" t="s">
        <v>1896</v>
      </c>
      <c r="E2889" s="20" t="s">
        <v>1538</v>
      </c>
      <c r="F2889" s="385"/>
      <c r="G2889" s="15" t="s">
        <v>3617</v>
      </c>
      <c r="H2889" s="7">
        <v>4311</v>
      </c>
      <c r="I2889" s="19" t="s">
        <v>2</v>
      </c>
      <c r="J2889" s="7" t="s">
        <v>255</v>
      </c>
      <c r="K2889" s="51">
        <v>41487</v>
      </c>
      <c r="L2889" s="115">
        <v>41478</v>
      </c>
      <c r="M2889" s="50">
        <f t="shared" si="165"/>
        <v>9</v>
      </c>
      <c r="N2889" s="7" t="s">
        <v>2</v>
      </c>
      <c r="O2889" s="74">
        <f>1.4/2</f>
        <v>0.7</v>
      </c>
      <c r="P2889" s="117">
        <v>7</v>
      </c>
      <c r="Q2889" s="131">
        <v>7.78</v>
      </c>
      <c r="R2889" s="50">
        <v>63</v>
      </c>
      <c r="S2889" s="74">
        <v>12</v>
      </c>
      <c r="T2889" s="50">
        <v>7.0000000000000007E-2</v>
      </c>
      <c r="U2889" s="74">
        <v>0.86</v>
      </c>
      <c r="V2889" s="50">
        <v>1.1200000000000001</v>
      </c>
      <c r="W2889" s="74">
        <v>7.0000000000000001E-3</v>
      </c>
      <c r="X2889" s="50">
        <v>4.3999999999999997E-2</v>
      </c>
      <c r="Y2889" s="74">
        <v>5.0000000000000001E-3</v>
      </c>
      <c r="Z2889" s="164"/>
      <c r="AA2889" s="165"/>
      <c r="AB2889" s="50"/>
      <c r="AC2889" s="74"/>
      <c r="AD2889" s="164"/>
      <c r="AF2889" s="50"/>
      <c r="AG2889" s="74"/>
      <c r="AH2889" s="74"/>
      <c r="AI2889" s="113"/>
      <c r="AJ2889" s="50"/>
      <c r="AK2889" s="74"/>
      <c r="AL2889" s="50"/>
      <c r="AM2889" s="74"/>
      <c r="AN2889" s="50"/>
      <c r="AO2889" s="74"/>
      <c r="AP2889" s="50"/>
      <c r="AQ2889" s="74"/>
      <c r="AR2889" s="50"/>
      <c r="AS2889" s="74"/>
      <c r="AT2889" s="50"/>
      <c r="AU2889" s="74"/>
      <c r="AV2889"/>
      <c r="AW2889"/>
    </row>
    <row r="2890" spans="1:49" ht="15" customHeight="1">
      <c r="A2890" s="41" t="s">
        <v>4668</v>
      </c>
      <c r="B2890" s="385" t="s">
        <v>349</v>
      </c>
      <c r="C2890" s="18" t="s">
        <v>349</v>
      </c>
      <c r="D2890" s="377" t="s">
        <v>192</v>
      </c>
      <c r="E2890" s="20"/>
      <c r="F2890" s="385"/>
      <c r="G2890" s="15" t="s">
        <v>351</v>
      </c>
      <c r="H2890" s="7">
        <v>3724</v>
      </c>
      <c r="I2890" s="19" t="s">
        <v>2</v>
      </c>
      <c r="J2890" s="7" t="s">
        <v>5662</v>
      </c>
      <c r="K2890" s="51">
        <v>41358</v>
      </c>
      <c r="L2890" s="115">
        <v>41354</v>
      </c>
      <c r="M2890" s="50">
        <f t="shared" ref="M2890:M2896" si="166">K2890-L2890</f>
        <v>4</v>
      </c>
      <c r="N2890" s="7" t="s">
        <v>2</v>
      </c>
      <c r="O2890" s="74">
        <f>1/2</f>
        <v>0.5</v>
      </c>
      <c r="P2890" s="117">
        <v>6.28</v>
      </c>
      <c r="Q2890" s="131">
        <v>5.91</v>
      </c>
      <c r="R2890" s="50">
        <v>8.67</v>
      </c>
      <c r="S2890" s="74">
        <f>5/2</f>
        <v>2.5</v>
      </c>
      <c r="T2890" s="50">
        <v>2.5899999999999999E-2</v>
      </c>
      <c r="U2890" s="74">
        <f>0.2/2</f>
        <v>0.1</v>
      </c>
      <c r="V2890" s="50">
        <v>0.43</v>
      </c>
      <c r="W2890" s="74">
        <f>0.005/2</f>
        <v>2.5000000000000001E-3</v>
      </c>
      <c r="X2890" s="50">
        <f>0.035/2</f>
        <v>1.7500000000000002E-2</v>
      </c>
      <c r="Y2890" s="74">
        <f>0.0075/2</f>
        <v>3.7499999999999999E-3</v>
      </c>
      <c r="Z2890" s="164">
        <v>1</v>
      </c>
      <c r="AA2890" s="165">
        <v>1</v>
      </c>
      <c r="AB2890" s="50">
        <v>54</v>
      </c>
      <c r="AC2890" s="74">
        <v>202</v>
      </c>
      <c r="AD2890" s="164">
        <v>1</v>
      </c>
      <c r="AF2890" s="50"/>
      <c r="AG2890" s="74"/>
      <c r="AH2890" s="74"/>
      <c r="AI2890" s="113"/>
      <c r="AJ2890" s="50"/>
      <c r="AK2890" s="74"/>
      <c r="AL2890" s="50"/>
      <c r="AM2890" s="74"/>
      <c r="AN2890" s="50"/>
      <c r="AO2890" s="74"/>
      <c r="AP2890" s="50"/>
      <c r="AQ2890" s="74"/>
      <c r="AR2890" s="50"/>
      <c r="AS2890" s="74"/>
      <c r="AT2890" s="50"/>
      <c r="AU2890" s="74"/>
      <c r="AV2890"/>
      <c r="AW2890"/>
    </row>
    <row r="2891" spans="1:49" ht="15" customHeight="1">
      <c r="A2891" s="41" t="s">
        <v>4668</v>
      </c>
      <c r="B2891" s="385" t="s">
        <v>349</v>
      </c>
      <c r="C2891" s="18" t="s">
        <v>349</v>
      </c>
      <c r="D2891" s="377" t="s">
        <v>192</v>
      </c>
      <c r="E2891" s="20"/>
      <c r="F2891" s="385"/>
      <c r="G2891" s="15" t="s">
        <v>351</v>
      </c>
      <c r="H2891" s="7">
        <v>3724</v>
      </c>
      <c r="I2891" s="19" t="s">
        <v>2</v>
      </c>
      <c r="J2891" s="7" t="s">
        <v>5663</v>
      </c>
      <c r="K2891" s="51">
        <v>41358</v>
      </c>
      <c r="L2891" s="115">
        <v>41354</v>
      </c>
      <c r="M2891" s="50">
        <f t="shared" si="166"/>
        <v>4</v>
      </c>
      <c r="N2891" s="7" t="s">
        <v>2</v>
      </c>
      <c r="O2891" s="74">
        <f>1/2</f>
        <v>0.5</v>
      </c>
      <c r="P2891" s="117">
        <v>6.28</v>
      </c>
      <c r="Q2891" s="131">
        <v>6.32</v>
      </c>
      <c r="R2891" s="50">
        <f>5/2</f>
        <v>2.5</v>
      </c>
      <c r="S2891" s="74">
        <f>5/2</f>
        <v>2.5</v>
      </c>
      <c r="T2891" s="50">
        <v>8.9999999999999993E-3</v>
      </c>
      <c r="U2891" s="74">
        <f>0.2/2</f>
        <v>0.1</v>
      </c>
      <c r="V2891" s="50">
        <v>0.68</v>
      </c>
      <c r="W2891" s="74">
        <f>0.005/2</f>
        <v>2.5000000000000001E-3</v>
      </c>
      <c r="X2891" s="50">
        <f>0.035/2</f>
        <v>1.7500000000000002E-2</v>
      </c>
      <c r="Y2891" s="74">
        <f>0.0075/2</f>
        <v>3.7499999999999999E-3</v>
      </c>
      <c r="Z2891" s="164">
        <v>1</v>
      </c>
      <c r="AA2891" s="165">
        <v>1</v>
      </c>
      <c r="AB2891" s="50">
        <v>54</v>
      </c>
      <c r="AC2891" s="74">
        <v>205</v>
      </c>
      <c r="AD2891" s="164">
        <v>1</v>
      </c>
      <c r="AF2891" s="50"/>
      <c r="AG2891" s="74"/>
      <c r="AH2891" s="74"/>
      <c r="AI2891" s="113"/>
      <c r="AJ2891" s="50"/>
      <c r="AK2891" s="74"/>
      <c r="AL2891" s="50"/>
      <c r="AM2891" s="74"/>
      <c r="AN2891" s="50"/>
      <c r="AO2891" s="74"/>
      <c r="AP2891" s="50"/>
      <c r="AQ2891" s="74"/>
      <c r="AR2891" s="50"/>
      <c r="AS2891" s="74"/>
      <c r="AT2891" s="50"/>
      <c r="AU2891" s="74"/>
      <c r="AV2891"/>
      <c r="AW2891"/>
    </row>
    <row r="2892" spans="1:49" ht="15" customHeight="1">
      <c r="A2892" s="41" t="s">
        <v>4668</v>
      </c>
      <c r="B2892" s="385" t="s">
        <v>1220</v>
      </c>
      <c r="C2892" s="18" t="s">
        <v>5664</v>
      </c>
      <c r="D2892" s="377" t="s">
        <v>111</v>
      </c>
      <c r="E2892" s="20" t="s">
        <v>1237</v>
      </c>
      <c r="F2892" s="385"/>
      <c r="G2892" s="15" t="s">
        <v>1238</v>
      </c>
      <c r="H2892" s="7">
        <v>4215</v>
      </c>
      <c r="I2892" s="19" t="s">
        <v>2</v>
      </c>
      <c r="J2892" s="7" t="s">
        <v>1223</v>
      </c>
      <c r="K2892" s="51">
        <v>41402</v>
      </c>
      <c r="L2892" s="115">
        <v>41384</v>
      </c>
      <c r="M2892" s="50">
        <f t="shared" si="166"/>
        <v>18</v>
      </c>
      <c r="N2892" s="7" t="s">
        <v>2</v>
      </c>
      <c r="O2892" s="74">
        <f>1.4/2</f>
        <v>0.7</v>
      </c>
      <c r="P2892" s="117">
        <v>6.36</v>
      </c>
      <c r="Q2892" s="131">
        <v>5.87</v>
      </c>
      <c r="R2892" s="50">
        <v>229</v>
      </c>
      <c r="S2892" s="74">
        <v>817</v>
      </c>
      <c r="T2892" s="50">
        <v>0.97</v>
      </c>
      <c r="U2892" s="74">
        <v>6.5</v>
      </c>
      <c r="V2892" s="50">
        <v>1.1000000000000001</v>
      </c>
      <c r="W2892" s="74">
        <v>0.2</v>
      </c>
      <c r="X2892" s="50">
        <v>1.6</v>
      </c>
      <c r="Y2892" s="74">
        <v>4.1000000000000002E-2</v>
      </c>
      <c r="Z2892" s="164"/>
      <c r="AA2892" s="165"/>
      <c r="AB2892" s="50"/>
      <c r="AC2892" s="74"/>
      <c r="AD2892" s="164"/>
      <c r="AF2892" s="50"/>
      <c r="AG2892" s="74"/>
      <c r="AH2892" s="74"/>
      <c r="AI2892" s="113"/>
      <c r="AJ2892" s="50"/>
      <c r="AK2892" s="74"/>
      <c r="AL2892" s="50"/>
      <c r="AM2892" s="74"/>
      <c r="AN2892" s="50"/>
      <c r="AO2892" s="74"/>
      <c r="AP2892" s="50"/>
      <c r="AQ2892" s="74"/>
      <c r="AR2892" s="50"/>
      <c r="AS2892" s="74"/>
      <c r="AT2892" s="50"/>
      <c r="AU2892" s="74"/>
      <c r="AV2892"/>
      <c r="AW2892"/>
    </row>
    <row r="2893" spans="1:49" ht="15" customHeight="1">
      <c r="A2893" s="41" t="s">
        <v>4668</v>
      </c>
      <c r="B2893" s="385" t="s">
        <v>1220</v>
      </c>
      <c r="C2893" s="18" t="s">
        <v>5664</v>
      </c>
      <c r="D2893" s="377" t="s">
        <v>111</v>
      </c>
      <c r="E2893" s="20" t="s">
        <v>1237</v>
      </c>
      <c r="F2893" s="385"/>
      <c r="G2893" s="15" t="s">
        <v>1238</v>
      </c>
      <c r="H2893" s="7">
        <v>4215</v>
      </c>
      <c r="I2893" s="19" t="s">
        <v>2</v>
      </c>
      <c r="J2893" s="7" t="s">
        <v>1224</v>
      </c>
      <c r="K2893" s="51">
        <v>41402</v>
      </c>
      <c r="L2893" s="115">
        <v>41384</v>
      </c>
      <c r="M2893" s="50">
        <f t="shared" si="166"/>
        <v>18</v>
      </c>
      <c r="N2893" s="7" t="s">
        <v>2</v>
      </c>
      <c r="O2893" s="74">
        <f>1.4/2</f>
        <v>0.7</v>
      </c>
      <c r="P2893" s="117">
        <v>6.36</v>
      </c>
      <c r="Q2893" s="131">
        <v>5.65</v>
      </c>
      <c r="R2893" s="50">
        <v>85</v>
      </c>
      <c r="S2893" s="74">
        <v>258</v>
      </c>
      <c r="T2893" s="50">
        <v>0.41</v>
      </c>
      <c r="U2893" s="74">
        <v>3.5</v>
      </c>
      <c r="V2893" s="50">
        <v>0.35</v>
      </c>
      <c r="W2893" s="74">
        <v>3.5000000000000003E-2</v>
      </c>
      <c r="X2893" s="50">
        <v>0.17</v>
      </c>
      <c r="Y2893" s="74">
        <v>1.4999999999999999E-2</v>
      </c>
      <c r="Z2893" s="164"/>
      <c r="AA2893" s="165"/>
      <c r="AB2893" s="50"/>
      <c r="AC2893" s="74"/>
      <c r="AD2893" s="164"/>
      <c r="AF2893" s="50"/>
      <c r="AG2893" s="74"/>
      <c r="AH2893" s="74"/>
      <c r="AI2893" s="113"/>
      <c r="AJ2893" s="50"/>
      <c r="AK2893" s="74"/>
      <c r="AL2893" s="50"/>
      <c r="AM2893" s="74"/>
      <c r="AN2893" s="50"/>
      <c r="AO2893" s="74"/>
      <c r="AP2893" s="50"/>
      <c r="AQ2893" s="74"/>
      <c r="AR2893" s="50"/>
      <c r="AS2893" s="74"/>
      <c r="AT2893" s="50"/>
      <c r="AU2893" s="74"/>
      <c r="AV2893"/>
      <c r="AW2893"/>
    </row>
    <row r="2894" spans="1:49" ht="15" customHeight="1">
      <c r="A2894" s="41" t="s">
        <v>4668</v>
      </c>
      <c r="B2894" s="385" t="s">
        <v>1220</v>
      </c>
      <c r="C2894" s="18" t="s">
        <v>5664</v>
      </c>
      <c r="D2894" s="377" t="s">
        <v>111</v>
      </c>
      <c r="E2894" s="20" t="s">
        <v>1237</v>
      </c>
      <c r="F2894" s="385"/>
      <c r="G2894" s="15" t="s">
        <v>1238</v>
      </c>
      <c r="H2894" s="7">
        <v>4215</v>
      </c>
      <c r="I2894" s="19" t="s">
        <v>2</v>
      </c>
      <c r="J2894" s="7" t="s">
        <v>1223</v>
      </c>
      <c r="K2894" s="51">
        <v>41131</v>
      </c>
      <c r="L2894" s="115">
        <v>41127</v>
      </c>
      <c r="M2894" s="50">
        <f t="shared" si="166"/>
        <v>4</v>
      </c>
      <c r="N2894" s="7" t="s">
        <v>2</v>
      </c>
      <c r="O2894" s="74">
        <f>1.4/2</f>
        <v>0.7</v>
      </c>
      <c r="P2894" s="117">
        <v>6.14</v>
      </c>
      <c r="Q2894" s="131">
        <v>6.51</v>
      </c>
      <c r="R2894" s="50">
        <v>75.099999999999994</v>
      </c>
      <c r="S2894" s="74">
        <v>65.2</v>
      </c>
      <c r="T2894" s="50">
        <v>0.21</v>
      </c>
      <c r="U2894" s="74">
        <v>1.1000000000000001</v>
      </c>
      <c r="V2894" s="50">
        <v>0.61</v>
      </c>
      <c r="W2894" s="74">
        <v>3.3000000000000002E-2</v>
      </c>
      <c r="X2894" s="50">
        <v>0.28999999999999998</v>
      </c>
      <c r="Y2894" s="74">
        <v>5.1999999999999998E-3</v>
      </c>
      <c r="Z2894" s="164"/>
      <c r="AA2894" s="165"/>
      <c r="AB2894" s="50"/>
      <c r="AC2894" s="74"/>
      <c r="AD2894" s="164"/>
      <c r="AF2894" s="50"/>
      <c r="AG2894" s="74"/>
      <c r="AH2894" s="74"/>
      <c r="AI2894" s="113"/>
      <c r="AJ2894" s="50"/>
      <c r="AK2894" s="74"/>
      <c r="AL2894" s="50"/>
      <c r="AM2894" s="74"/>
      <c r="AN2894" s="50"/>
      <c r="AO2894" s="74"/>
      <c r="AP2894" s="50"/>
      <c r="AQ2894" s="74"/>
      <c r="AR2894" s="50"/>
      <c r="AS2894" s="74"/>
      <c r="AT2894" s="50"/>
      <c r="AU2894" s="74"/>
      <c r="AV2894"/>
      <c r="AW2894"/>
    </row>
    <row r="2895" spans="1:49" ht="15" customHeight="1">
      <c r="A2895" s="41" t="s">
        <v>4668</v>
      </c>
      <c r="B2895" s="385" t="s">
        <v>1220</v>
      </c>
      <c r="C2895" s="18" t="s">
        <v>5664</v>
      </c>
      <c r="D2895" s="377" t="s">
        <v>111</v>
      </c>
      <c r="E2895" s="20" t="s">
        <v>1237</v>
      </c>
      <c r="F2895" s="385"/>
      <c r="G2895" s="15" t="s">
        <v>1238</v>
      </c>
      <c r="H2895" s="7">
        <v>4215</v>
      </c>
      <c r="I2895" s="19" t="s">
        <v>2</v>
      </c>
      <c r="J2895" s="7" t="s">
        <v>1224</v>
      </c>
      <c r="K2895" s="51">
        <v>41131</v>
      </c>
      <c r="L2895" s="115">
        <v>41127</v>
      </c>
      <c r="M2895" s="50">
        <f t="shared" si="166"/>
        <v>4</v>
      </c>
      <c r="N2895" s="7" t="s">
        <v>2</v>
      </c>
      <c r="O2895" s="74">
        <f>1.4/2</f>
        <v>0.7</v>
      </c>
      <c r="P2895" s="117">
        <v>6.14</v>
      </c>
      <c r="Q2895" s="131">
        <v>6.17</v>
      </c>
      <c r="R2895" s="50">
        <v>102</v>
      </c>
      <c r="S2895" s="74">
        <v>57.6</v>
      </c>
      <c r="T2895" s="50">
        <v>0.15</v>
      </c>
      <c r="U2895" s="74">
        <v>1.3</v>
      </c>
      <c r="V2895" s="50">
        <v>0.92</v>
      </c>
      <c r="W2895" s="74">
        <v>3.3000000000000002E-2</v>
      </c>
      <c r="X2895" s="50">
        <v>0.27</v>
      </c>
      <c r="Y2895" s="74">
        <v>9.2999999999999992E-3</v>
      </c>
      <c r="Z2895" s="164"/>
      <c r="AA2895" s="165"/>
      <c r="AB2895" s="50"/>
      <c r="AC2895" s="74"/>
      <c r="AD2895" s="164"/>
      <c r="AF2895" s="50"/>
      <c r="AG2895" s="74"/>
      <c r="AH2895" s="74"/>
      <c r="AI2895" s="113"/>
      <c r="AJ2895" s="50"/>
      <c r="AK2895" s="74"/>
      <c r="AL2895" s="50"/>
      <c r="AM2895" s="74"/>
      <c r="AN2895" s="50"/>
      <c r="AO2895" s="74"/>
      <c r="AP2895" s="50"/>
      <c r="AQ2895" s="74"/>
      <c r="AR2895" s="50"/>
      <c r="AS2895" s="74"/>
      <c r="AT2895" s="50"/>
      <c r="AU2895" s="74"/>
      <c r="AV2895"/>
      <c r="AW2895"/>
    </row>
    <row r="2896" spans="1:49" ht="15" customHeight="1">
      <c r="A2896" s="41" t="s">
        <v>4668</v>
      </c>
      <c r="B2896" s="385" t="s">
        <v>5660</v>
      </c>
      <c r="C2896" s="18" t="s">
        <v>5661</v>
      </c>
      <c r="D2896" s="377" t="s">
        <v>1830</v>
      </c>
      <c r="E2896" s="20" t="s">
        <v>4671</v>
      </c>
      <c r="F2896" s="385"/>
      <c r="G2896" s="15" t="s">
        <v>4672</v>
      </c>
      <c r="H2896" s="7">
        <v>3390</v>
      </c>
      <c r="I2896" s="19" t="s">
        <v>1</v>
      </c>
      <c r="J2896" s="7" t="s">
        <v>510</v>
      </c>
      <c r="K2896" s="51">
        <v>41050</v>
      </c>
      <c r="L2896" s="115">
        <v>41044</v>
      </c>
      <c r="M2896" s="50">
        <f t="shared" si="166"/>
        <v>6</v>
      </c>
      <c r="N2896" s="7" t="s">
        <v>2</v>
      </c>
      <c r="O2896" s="74">
        <f>5/2</f>
        <v>2.5</v>
      </c>
      <c r="P2896" s="117">
        <v>5.3</v>
      </c>
      <c r="Q2896" s="131">
        <v>5.32</v>
      </c>
      <c r="R2896" s="50">
        <v>65</v>
      </c>
      <c r="S2896" s="74">
        <v>30</v>
      </c>
      <c r="T2896" s="50">
        <f>0.1/2</f>
        <v>0.05</v>
      </c>
      <c r="U2896" s="74">
        <v>2.1</v>
      </c>
      <c r="V2896" s="50">
        <v>0.63</v>
      </c>
      <c r="W2896" s="74">
        <f>0.04/2</f>
        <v>0.02</v>
      </c>
      <c r="X2896" s="50">
        <v>0.19</v>
      </c>
      <c r="Y2896" s="74">
        <f>0.013/2</f>
        <v>6.4999999999999997E-3</v>
      </c>
      <c r="Z2896" s="164"/>
      <c r="AA2896" s="165"/>
      <c r="AB2896" s="50"/>
      <c r="AC2896" s="74"/>
      <c r="AD2896" s="164"/>
      <c r="AF2896" s="50"/>
      <c r="AG2896" s="74"/>
      <c r="AH2896" s="74"/>
      <c r="AI2896" s="113"/>
      <c r="AJ2896" s="50"/>
      <c r="AK2896" s="74"/>
      <c r="AL2896" s="50"/>
      <c r="AM2896" s="74"/>
      <c r="AN2896" s="50"/>
      <c r="AO2896" s="74"/>
      <c r="AP2896" s="50"/>
      <c r="AQ2896" s="74"/>
      <c r="AR2896" s="50"/>
      <c r="AS2896" s="74"/>
      <c r="AT2896" s="50"/>
      <c r="AU2896" s="74"/>
      <c r="AV2896"/>
      <c r="AW2896"/>
    </row>
    <row r="2897" spans="1:79" ht="15" customHeight="1">
      <c r="A2897" s="41" t="s">
        <v>183</v>
      </c>
      <c r="B2897" s="402" t="s">
        <v>2004</v>
      </c>
      <c r="D2897" s="393" t="s">
        <v>1830</v>
      </c>
      <c r="E2897" s="394" t="s">
        <v>2005</v>
      </c>
      <c r="G2897" s="405" t="s">
        <v>2006</v>
      </c>
      <c r="H2897" s="74">
        <v>3496</v>
      </c>
      <c r="I2897" s="50" t="s">
        <v>2</v>
      </c>
      <c r="J2897" s="339" t="s">
        <v>510</v>
      </c>
      <c r="K2897" s="51">
        <v>41710</v>
      </c>
      <c r="L2897" s="173">
        <v>41692</v>
      </c>
      <c r="M2897" s="50">
        <f>K2897-L2897</f>
        <v>18</v>
      </c>
      <c r="N2897" s="50" t="s">
        <v>1</v>
      </c>
      <c r="R2897" s="50">
        <v>3.7</v>
      </c>
      <c r="V2897" s="50">
        <v>2.08</v>
      </c>
      <c r="W2897" s="74">
        <v>1.6E-2</v>
      </c>
      <c r="Y2897" s="74">
        <f>0.002/2</f>
        <v>1E-3</v>
      </c>
      <c r="Z2897" s="165"/>
    </row>
    <row r="2898" spans="1:79" s="400" customFormat="1" ht="15" customHeight="1">
      <c r="A2898" s="41" t="s">
        <v>183</v>
      </c>
      <c r="B2898" s="402" t="s">
        <v>5665</v>
      </c>
      <c r="C2898" s="113" t="s">
        <v>5665</v>
      </c>
      <c r="D2898" s="393" t="s">
        <v>4742</v>
      </c>
      <c r="E2898" s="394" t="s">
        <v>1107</v>
      </c>
      <c r="F2898" s="402"/>
      <c r="G2898" s="405" t="s">
        <v>5666</v>
      </c>
      <c r="H2898" s="404">
        <v>3469</v>
      </c>
      <c r="I2898" s="402" t="s">
        <v>2</v>
      </c>
      <c r="J2898" s="406" t="s">
        <v>81</v>
      </c>
      <c r="K2898" s="403">
        <v>41136</v>
      </c>
      <c r="L2898" s="398">
        <v>41132</v>
      </c>
      <c r="M2898" s="402">
        <f t="shared" ref="M2898:M2908" si="167">K2898-L2898</f>
        <v>4</v>
      </c>
      <c r="N2898" s="402" t="s">
        <v>2</v>
      </c>
      <c r="O2898" s="404">
        <f>1/2</f>
        <v>0.5</v>
      </c>
      <c r="P2898" s="402"/>
      <c r="Q2898" s="404">
        <v>6.9</v>
      </c>
      <c r="R2898" s="402">
        <v>30</v>
      </c>
      <c r="S2898" s="404">
        <v>20</v>
      </c>
      <c r="T2898" s="402">
        <v>0.06</v>
      </c>
      <c r="U2898" s="395">
        <v>1.47</v>
      </c>
      <c r="V2898" s="402">
        <f>0.5/2</f>
        <v>0.25</v>
      </c>
      <c r="W2898" s="404">
        <v>7.0000000000000001E-3</v>
      </c>
      <c r="X2898" s="402">
        <v>0.1</v>
      </c>
      <c r="Y2898" s="404">
        <f>0.001/2</f>
        <v>5.0000000000000001E-4</v>
      </c>
      <c r="Z2898" s="397">
        <v>1</v>
      </c>
      <c r="AA2898" s="399">
        <v>1</v>
      </c>
      <c r="AB2898" s="394">
        <v>36</v>
      </c>
      <c r="AC2898" s="402">
        <v>128</v>
      </c>
      <c r="AD2898" s="399">
        <v>0.85</v>
      </c>
      <c r="AE2898" s="402"/>
      <c r="AF2898" s="391"/>
      <c r="AG2898" s="394"/>
      <c r="AH2898" s="394"/>
      <c r="AI2898" s="394"/>
      <c r="AJ2898" s="394"/>
      <c r="AK2898" s="394"/>
      <c r="AL2898" s="394"/>
      <c r="AM2898" s="394"/>
      <c r="AN2898" s="394"/>
      <c r="AO2898" s="394"/>
      <c r="AP2898" s="394"/>
      <c r="AQ2898" s="394"/>
      <c r="AR2898" s="394"/>
      <c r="AS2898" s="402"/>
      <c r="AT2898" s="404"/>
      <c r="AU2898" s="394"/>
      <c r="AV2898" s="394"/>
      <c r="AW2898" s="394"/>
      <c r="AX2898" s="5"/>
      <c r="AY2898" s="5"/>
      <c r="AZ2898" s="5"/>
      <c r="BA2898" s="5"/>
      <c r="BB2898" s="5"/>
      <c r="BC2898" s="5"/>
      <c r="BD2898" s="5"/>
      <c r="BE2898" s="5"/>
      <c r="BF2898" s="5"/>
      <c r="BG2898" s="5"/>
      <c r="BH2898" s="5"/>
      <c r="BI2898" s="5"/>
      <c r="BJ2898" s="5"/>
      <c r="BK2898" s="5"/>
      <c r="BL2898" s="5"/>
      <c r="BM2898" s="5"/>
      <c r="BN2898" s="5"/>
      <c r="BO2898" s="5"/>
      <c r="BP2898" s="5"/>
      <c r="BQ2898" s="5"/>
      <c r="BR2898" s="5"/>
      <c r="BS2898" s="5"/>
      <c r="BT2898" s="5"/>
      <c r="BU2898" s="5"/>
      <c r="BV2898" s="5"/>
      <c r="BW2898" s="5"/>
      <c r="BX2898" s="5"/>
      <c r="BY2898" s="5"/>
      <c r="BZ2898" s="5"/>
      <c r="CA2898" s="5"/>
    </row>
    <row r="2899" spans="1:79" s="400" customFormat="1" ht="15" customHeight="1">
      <c r="A2899" s="41" t="s">
        <v>183</v>
      </c>
      <c r="B2899" s="402" t="s">
        <v>5665</v>
      </c>
      <c r="C2899" s="113" t="s">
        <v>5665</v>
      </c>
      <c r="D2899" s="393" t="s">
        <v>4742</v>
      </c>
      <c r="E2899" s="394" t="s">
        <v>1107</v>
      </c>
      <c r="F2899" s="402"/>
      <c r="G2899" s="405" t="s">
        <v>5666</v>
      </c>
      <c r="H2899" s="404">
        <v>3496</v>
      </c>
      <c r="I2899" s="402" t="s">
        <v>2</v>
      </c>
      <c r="J2899" s="406" t="s">
        <v>114</v>
      </c>
      <c r="K2899" s="403">
        <v>41136</v>
      </c>
      <c r="L2899" s="398">
        <v>41132</v>
      </c>
      <c r="M2899" s="402">
        <f t="shared" si="167"/>
        <v>4</v>
      </c>
      <c r="N2899" s="402" t="s">
        <v>2</v>
      </c>
      <c r="O2899" s="404">
        <v>1.8</v>
      </c>
      <c r="P2899" s="402"/>
      <c r="Q2899" s="404">
        <v>3.5</v>
      </c>
      <c r="R2899" s="402">
        <v>34</v>
      </c>
      <c r="S2899" s="404">
        <v>9.3000000000000007</v>
      </c>
      <c r="T2899" s="402">
        <f>0.01/2</f>
        <v>5.0000000000000001E-3</v>
      </c>
      <c r="U2899" s="395">
        <v>2.06</v>
      </c>
      <c r="V2899" s="402">
        <v>6.25</v>
      </c>
      <c r="W2899" s="404">
        <f>0.005/2</f>
        <v>2.5000000000000001E-3</v>
      </c>
      <c r="X2899" s="402">
        <v>0.12</v>
      </c>
      <c r="Y2899" s="404">
        <f>0.001/2</f>
        <v>5.0000000000000001E-4</v>
      </c>
      <c r="Z2899" s="397">
        <v>0.68300000000000005</v>
      </c>
      <c r="AA2899" s="399">
        <v>0.64300000000000002</v>
      </c>
      <c r="AB2899" s="394">
        <v>24</v>
      </c>
      <c r="AC2899" s="402">
        <v>194</v>
      </c>
      <c r="AD2899" s="399">
        <v>0</v>
      </c>
      <c r="AE2899" s="402"/>
      <c r="AF2899" s="391"/>
      <c r="AG2899" s="394"/>
      <c r="AH2899" s="394"/>
      <c r="AI2899" s="394"/>
      <c r="AJ2899" s="394"/>
      <c r="AK2899" s="394"/>
      <c r="AL2899" s="394"/>
      <c r="AM2899" s="394"/>
      <c r="AN2899" s="394"/>
      <c r="AO2899" s="394"/>
      <c r="AP2899" s="394"/>
      <c r="AQ2899" s="394"/>
      <c r="AR2899" s="394"/>
      <c r="AS2899" s="402"/>
      <c r="AT2899" s="404"/>
      <c r="AU2899" s="394"/>
      <c r="AV2899" s="394"/>
      <c r="AW2899" s="394"/>
      <c r="AX2899" s="5"/>
      <c r="AY2899" s="5"/>
      <c r="AZ2899" s="5"/>
      <c r="BA2899" s="5"/>
      <c r="BB2899" s="5"/>
      <c r="BC2899" s="5"/>
      <c r="BD2899" s="5"/>
      <c r="BE2899" s="5"/>
      <c r="BF2899" s="5"/>
      <c r="BG2899" s="5"/>
      <c r="BH2899" s="5"/>
      <c r="BI2899" s="5"/>
      <c r="BJ2899" s="5"/>
      <c r="BK2899" s="5"/>
      <c r="BL2899" s="5"/>
      <c r="BM2899" s="5"/>
      <c r="BN2899" s="5"/>
      <c r="BO2899" s="5"/>
      <c r="BP2899" s="5"/>
      <c r="BQ2899" s="5"/>
      <c r="BR2899" s="5"/>
      <c r="BS2899" s="5"/>
      <c r="BT2899" s="5"/>
      <c r="BU2899" s="5"/>
      <c r="BV2899" s="5"/>
      <c r="BW2899" s="5"/>
      <c r="BX2899" s="5"/>
      <c r="BY2899" s="5"/>
      <c r="BZ2899" s="5"/>
      <c r="CA2899" s="5"/>
    </row>
    <row r="2900" spans="1:79" s="400" customFormat="1" ht="15" customHeight="1">
      <c r="A2900" s="41" t="s">
        <v>183</v>
      </c>
      <c r="B2900" s="402" t="s">
        <v>5665</v>
      </c>
      <c r="C2900" s="113" t="s">
        <v>5665</v>
      </c>
      <c r="D2900" s="393" t="s">
        <v>4742</v>
      </c>
      <c r="E2900" s="394" t="s">
        <v>1107</v>
      </c>
      <c r="F2900" s="402"/>
      <c r="G2900" s="405" t="s">
        <v>5666</v>
      </c>
      <c r="H2900" s="404">
        <v>3496</v>
      </c>
      <c r="I2900" s="402" t="s">
        <v>2</v>
      </c>
      <c r="J2900" s="406" t="s">
        <v>115</v>
      </c>
      <c r="K2900" s="403">
        <v>41136</v>
      </c>
      <c r="L2900" s="398">
        <v>41132</v>
      </c>
      <c r="M2900" s="402">
        <f t="shared" si="167"/>
        <v>4</v>
      </c>
      <c r="N2900" s="402" t="s">
        <v>2</v>
      </c>
      <c r="O2900" s="404">
        <v>1.6</v>
      </c>
      <c r="P2900" s="402"/>
      <c r="Q2900" s="404">
        <v>4.5</v>
      </c>
      <c r="R2900" s="402">
        <v>8</v>
      </c>
      <c r="S2900" s="404">
        <v>3.1</v>
      </c>
      <c r="T2900" s="402">
        <v>0.05</v>
      </c>
      <c r="U2900" s="395">
        <v>1.26</v>
      </c>
      <c r="V2900" s="402">
        <f>0.5/2</f>
        <v>0.25</v>
      </c>
      <c r="W2900" s="404">
        <f>0.005/2</f>
        <v>2.5000000000000001E-3</v>
      </c>
      <c r="X2900" s="402">
        <v>0.02</v>
      </c>
      <c r="Y2900" s="404">
        <f>0.001/2</f>
        <v>5.0000000000000001E-4</v>
      </c>
      <c r="Z2900" s="397">
        <v>0.73199999999999998</v>
      </c>
      <c r="AA2900" s="399">
        <v>0.61299999999999999</v>
      </c>
      <c r="AB2900" s="394">
        <f>2/2</f>
        <v>1</v>
      </c>
      <c r="AC2900" s="402">
        <v>17</v>
      </c>
      <c r="AD2900" s="399">
        <v>0.05</v>
      </c>
      <c r="AE2900" s="402"/>
      <c r="AF2900" s="391"/>
      <c r="AG2900" s="394"/>
      <c r="AH2900" s="394"/>
      <c r="AI2900" s="394"/>
      <c r="AJ2900" s="394"/>
      <c r="AK2900" s="394"/>
      <c r="AL2900" s="394"/>
      <c r="AM2900" s="394"/>
      <c r="AN2900" s="394"/>
      <c r="AO2900" s="394"/>
      <c r="AP2900" s="394"/>
      <c r="AQ2900" s="394"/>
      <c r="AR2900" s="394"/>
      <c r="AS2900" s="402"/>
      <c r="AT2900" s="404"/>
      <c r="AU2900" s="394"/>
      <c r="AV2900" s="394"/>
      <c r="AW2900" s="394"/>
      <c r="AX2900" s="5"/>
      <c r="AY2900" s="5"/>
      <c r="AZ2900" s="5"/>
      <c r="BA2900" s="5"/>
      <c r="BB2900" s="5"/>
      <c r="BC2900" s="5"/>
      <c r="BD2900" s="5"/>
      <c r="BE2900" s="5"/>
      <c r="BF2900" s="5"/>
      <c r="BG2900" s="5"/>
      <c r="BH2900" s="5"/>
      <c r="BI2900" s="5"/>
      <c r="BJ2900" s="5"/>
      <c r="BK2900" s="5"/>
      <c r="BL2900" s="5"/>
      <c r="BM2900" s="5"/>
      <c r="BN2900" s="5"/>
      <c r="BO2900" s="5"/>
      <c r="BP2900" s="5"/>
      <c r="BQ2900" s="5"/>
      <c r="BR2900" s="5"/>
      <c r="BS2900" s="5"/>
      <c r="BT2900" s="5"/>
      <c r="BU2900" s="5"/>
      <c r="BV2900" s="5"/>
      <c r="BW2900" s="5"/>
      <c r="BX2900" s="5"/>
      <c r="BY2900" s="5"/>
      <c r="BZ2900" s="5"/>
      <c r="CA2900" s="5"/>
    </row>
    <row r="2901" spans="1:79" s="400" customFormat="1" ht="15" customHeight="1">
      <c r="A2901" s="41" t="s">
        <v>183</v>
      </c>
      <c r="B2901" s="402" t="s">
        <v>3248</v>
      </c>
      <c r="C2901" s="113" t="s">
        <v>3248</v>
      </c>
      <c r="D2901" s="393" t="s">
        <v>347</v>
      </c>
      <c r="E2901" s="394" t="s">
        <v>3249</v>
      </c>
      <c r="F2901" s="402"/>
      <c r="G2901" s="405" t="s">
        <v>3250</v>
      </c>
      <c r="H2901" s="404">
        <v>5171</v>
      </c>
      <c r="I2901" s="402" t="s">
        <v>1</v>
      </c>
      <c r="J2901" s="401" t="s">
        <v>3251</v>
      </c>
      <c r="K2901" s="403">
        <v>41170</v>
      </c>
      <c r="L2901" s="398">
        <v>41160</v>
      </c>
      <c r="M2901" s="402">
        <f t="shared" si="167"/>
        <v>10</v>
      </c>
      <c r="N2901" s="402" t="s">
        <v>2</v>
      </c>
      <c r="O2901" s="404">
        <f>2/2</f>
        <v>1</v>
      </c>
      <c r="P2901" s="402">
        <v>6.88</v>
      </c>
      <c r="Q2901" s="404">
        <v>6.9</v>
      </c>
      <c r="R2901" s="402">
        <v>57</v>
      </c>
      <c r="S2901" s="404">
        <v>27</v>
      </c>
      <c r="T2901" s="402">
        <v>0.24</v>
      </c>
      <c r="U2901" s="395">
        <v>1.89</v>
      </c>
      <c r="V2901" s="402">
        <v>0.74</v>
      </c>
      <c r="W2901" s="404">
        <v>2.1000000000000001E-2</v>
      </c>
      <c r="X2901" s="402">
        <v>0.05</v>
      </c>
      <c r="Y2901" s="404">
        <f>0.03/2</f>
        <v>1.4999999999999999E-2</v>
      </c>
      <c r="Z2901" s="397"/>
      <c r="AA2901" s="399"/>
      <c r="AB2901" s="394"/>
      <c r="AC2901" s="402"/>
      <c r="AD2901" s="399"/>
      <c r="AE2901" s="402">
        <v>200</v>
      </c>
      <c r="AF2901" s="391"/>
      <c r="AG2901" s="394"/>
      <c r="AH2901" s="394"/>
      <c r="AI2901" s="394"/>
      <c r="AJ2901" s="394"/>
      <c r="AK2901" s="394"/>
      <c r="AL2901" s="394"/>
      <c r="AM2901" s="394"/>
      <c r="AN2901" s="394"/>
      <c r="AO2901" s="394"/>
      <c r="AP2901" s="394"/>
      <c r="AQ2901" s="394"/>
      <c r="AR2901" s="394"/>
      <c r="AS2901" s="402"/>
      <c r="AT2901" s="404"/>
      <c r="AU2901" s="394"/>
      <c r="AV2901" s="394"/>
      <c r="AW2901" s="394"/>
      <c r="AX2901" s="5"/>
      <c r="AY2901" s="5"/>
      <c r="AZ2901" s="5"/>
      <c r="BA2901" s="5"/>
      <c r="BB2901" s="5"/>
      <c r="BC2901" s="5"/>
      <c r="BD2901" s="5"/>
      <c r="BE2901" s="5"/>
      <c r="BF2901" s="5"/>
      <c r="BG2901" s="5"/>
      <c r="BH2901" s="5"/>
      <c r="BI2901" s="5"/>
      <c r="BJ2901" s="5"/>
      <c r="BK2901" s="5"/>
      <c r="BL2901" s="5"/>
      <c r="BM2901" s="5"/>
      <c r="BN2901" s="5"/>
      <c r="BO2901" s="5"/>
      <c r="BP2901" s="5"/>
      <c r="BQ2901" s="5"/>
      <c r="BR2901" s="5"/>
      <c r="BS2901" s="5"/>
      <c r="BT2901" s="5"/>
      <c r="BU2901" s="5"/>
      <c r="BV2901" s="5"/>
      <c r="BW2901" s="5"/>
      <c r="BX2901" s="5"/>
      <c r="BY2901" s="5"/>
      <c r="BZ2901" s="5"/>
      <c r="CA2901" s="5"/>
    </row>
    <row r="2902" spans="1:79" s="400" customFormat="1" ht="15" customHeight="1">
      <c r="A2902" s="41" t="s">
        <v>183</v>
      </c>
      <c r="B2902" s="402" t="s">
        <v>4901</v>
      </c>
      <c r="C2902" s="113" t="s">
        <v>4902</v>
      </c>
      <c r="D2902" s="393" t="s">
        <v>372</v>
      </c>
      <c r="E2902" s="394" t="s">
        <v>235</v>
      </c>
      <c r="F2902" s="402"/>
      <c r="G2902" s="405" t="s">
        <v>3605</v>
      </c>
      <c r="H2902" s="404">
        <v>3471</v>
      </c>
      <c r="I2902" s="402"/>
      <c r="J2902" s="406" t="s">
        <v>81</v>
      </c>
      <c r="K2902" s="403">
        <v>41170</v>
      </c>
      <c r="L2902" s="398">
        <v>41160</v>
      </c>
      <c r="M2902" s="402">
        <f t="shared" si="167"/>
        <v>10</v>
      </c>
      <c r="N2902" s="402" t="s">
        <v>2</v>
      </c>
      <c r="O2902" s="404">
        <v>2.8</v>
      </c>
      <c r="P2902" s="402">
        <v>6.1</v>
      </c>
      <c r="Q2902" s="404">
        <v>6.8</v>
      </c>
      <c r="R2902" s="402">
        <v>26</v>
      </c>
      <c r="S2902" s="404">
        <v>6</v>
      </c>
      <c r="T2902" s="402">
        <v>0.08</v>
      </c>
      <c r="U2902" s="395">
        <v>1.36</v>
      </c>
      <c r="V2902" s="402">
        <v>0.67</v>
      </c>
      <c r="W2902" s="404">
        <v>2.5999999999999999E-2</v>
      </c>
      <c r="X2902" s="402">
        <f>0.03/2</f>
        <v>1.4999999999999999E-2</v>
      </c>
      <c r="Y2902" s="404">
        <f>0.03/2</f>
        <v>1.4999999999999999E-2</v>
      </c>
      <c r="Z2902" s="397">
        <v>1</v>
      </c>
      <c r="AA2902" s="399">
        <v>0.91700000000000004</v>
      </c>
      <c r="AB2902" s="394">
        <v>8</v>
      </c>
      <c r="AC2902" s="402">
        <v>50</v>
      </c>
      <c r="AD2902" s="399">
        <v>0.45</v>
      </c>
      <c r="AE2902" s="402"/>
      <c r="AF2902" s="391"/>
      <c r="AG2902" s="394"/>
      <c r="AH2902" s="394"/>
      <c r="AI2902" s="394"/>
      <c r="AJ2902" s="394"/>
      <c r="AK2902" s="394"/>
      <c r="AL2902" s="394"/>
      <c r="AM2902" s="394"/>
      <c r="AN2902" s="394"/>
      <c r="AO2902" s="394"/>
      <c r="AP2902" s="394"/>
      <c r="AQ2902" s="394"/>
      <c r="AR2902" s="394"/>
      <c r="AS2902" s="402"/>
      <c r="AT2902" s="404"/>
      <c r="AU2902" s="394"/>
      <c r="AV2902" s="394"/>
      <c r="AW2902" s="394"/>
      <c r="AX2902" s="5"/>
      <c r="AY2902" s="5"/>
      <c r="AZ2902" s="5"/>
      <c r="BA2902" s="5"/>
      <c r="BB2902" s="5"/>
      <c r="BC2902" s="5"/>
      <c r="BD2902" s="5"/>
      <c r="BE2902" s="5"/>
      <c r="BF2902" s="5"/>
      <c r="BG2902" s="5"/>
      <c r="BH2902" s="5"/>
      <c r="BI2902" s="5"/>
      <c r="BJ2902" s="5"/>
      <c r="BK2902" s="5"/>
      <c r="BL2902" s="5"/>
      <c r="BM2902" s="5"/>
      <c r="BN2902" s="5"/>
      <c r="BO2902" s="5"/>
      <c r="BP2902" s="5"/>
      <c r="BQ2902" s="5"/>
      <c r="BR2902" s="5"/>
      <c r="BS2902" s="5"/>
      <c r="BT2902" s="5"/>
      <c r="BU2902" s="5"/>
      <c r="BV2902" s="5"/>
      <c r="BW2902" s="5"/>
      <c r="BX2902" s="5"/>
      <c r="BY2902" s="5"/>
      <c r="BZ2902" s="5"/>
      <c r="CA2902" s="5"/>
    </row>
    <row r="2903" spans="1:79" s="400" customFormat="1" ht="15" customHeight="1">
      <c r="A2903" s="41" t="s">
        <v>183</v>
      </c>
      <c r="B2903" s="402" t="s">
        <v>5667</v>
      </c>
      <c r="C2903" s="113" t="s">
        <v>5667</v>
      </c>
      <c r="D2903" s="393" t="s">
        <v>534</v>
      </c>
      <c r="E2903" s="394" t="s">
        <v>304</v>
      </c>
      <c r="F2903" s="402">
        <v>6000</v>
      </c>
      <c r="G2903" s="405" t="s">
        <v>5668</v>
      </c>
      <c r="H2903" s="404" t="s">
        <v>5669</v>
      </c>
      <c r="I2903" s="402" t="s">
        <v>1</v>
      </c>
      <c r="J2903" s="406" t="s">
        <v>3251</v>
      </c>
      <c r="K2903" s="403">
        <v>41156</v>
      </c>
      <c r="L2903" s="398">
        <v>41138</v>
      </c>
      <c r="M2903" s="402">
        <f t="shared" si="167"/>
        <v>18</v>
      </c>
      <c r="N2903" s="402" t="s">
        <v>2</v>
      </c>
      <c r="O2903" s="404">
        <f>5/2</f>
        <v>2.5</v>
      </c>
      <c r="P2903" s="402"/>
      <c r="Q2903" s="404">
        <v>6.98</v>
      </c>
      <c r="R2903" s="402">
        <v>14</v>
      </c>
      <c r="S2903" s="404">
        <v>8</v>
      </c>
      <c r="T2903" s="402">
        <f>0.1/2</f>
        <v>0.05</v>
      </c>
      <c r="U2903" s="395">
        <f>1/2</f>
        <v>0.5</v>
      </c>
      <c r="V2903" s="402">
        <v>0.21</v>
      </c>
      <c r="W2903" s="404">
        <v>9.6000000000000002E-2</v>
      </c>
      <c r="X2903" s="402">
        <v>3.6999999999999998E-2</v>
      </c>
      <c r="Y2903" s="404">
        <f>0.013/2</f>
        <v>6.4999999999999997E-3</v>
      </c>
      <c r="Z2903" s="397"/>
      <c r="AA2903" s="399"/>
      <c r="AB2903" s="394"/>
      <c r="AC2903" s="402"/>
      <c r="AD2903" s="399"/>
      <c r="AE2903" s="402"/>
      <c r="AF2903" s="391"/>
      <c r="AG2903" s="394"/>
      <c r="AH2903" s="394"/>
      <c r="AI2903" s="394"/>
      <c r="AJ2903" s="394"/>
      <c r="AK2903" s="394"/>
      <c r="AL2903" s="394"/>
      <c r="AM2903" s="394"/>
      <c r="AN2903" s="394"/>
      <c r="AO2903" s="394"/>
      <c r="AP2903" s="394"/>
      <c r="AQ2903" s="394"/>
      <c r="AR2903" s="394"/>
      <c r="AS2903" s="402"/>
      <c r="AT2903" s="404"/>
      <c r="AU2903" s="394"/>
      <c r="AV2903" s="394"/>
      <c r="AW2903" s="394"/>
      <c r="AX2903" s="5"/>
      <c r="AY2903" s="5"/>
      <c r="AZ2903" s="5"/>
      <c r="BA2903" s="5"/>
      <c r="BB2903" s="5"/>
      <c r="BC2903" s="5"/>
      <c r="BD2903" s="5"/>
      <c r="BE2903" s="5"/>
      <c r="BF2903" s="5"/>
      <c r="BG2903" s="5"/>
      <c r="BH2903" s="5"/>
      <c r="BI2903" s="5"/>
      <c r="BJ2903" s="5"/>
      <c r="BK2903" s="5"/>
      <c r="BL2903" s="5"/>
      <c r="BM2903" s="5"/>
      <c r="BN2903" s="5"/>
      <c r="BO2903" s="5"/>
      <c r="BP2903" s="5"/>
      <c r="BQ2903" s="5"/>
      <c r="BR2903" s="5"/>
      <c r="BS2903" s="5"/>
      <c r="BT2903" s="5"/>
      <c r="BU2903" s="5"/>
      <c r="BV2903" s="5"/>
      <c r="BW2903" s="5"/>
      <c r="BX2903" s="5"/>
      <c r="BY2903" s="5"/>
      <c r="BZ2903" s="5"/>
      <c r="CA2903" s="5"/>
    </row>
    <row r="2904" spans="1:79" s="400" customFormat="1" ht="15" customHeight="1">
      <c r="A2904" s="41" t="s">
        <v>183</v>
      </c>
      <c r="B2904" s="402" t="s">
        <v>801</v>
      </c>
      <c r="C2904" s="113" t="s">
        <v>801</v>
      </c>
      <c r="D2904" s="393" t="s">
        <v>200</v>
      </c>
      <c r="E2904" s="394" t="s">
        <v>112</v>
      </c>
      <c r="F2904" s="402">
        <v>5200</v>
      </c>
      <c r="G2904" s="405" t="s">
        <v>802</v>
      </c>
      <c r="H2904" s="404">
        <v>3272</v>
      </c>
      <c r="I2904" s="402" t="s">
        <v>2</v>
      </c>
      <c r="J2904" s="404" t="s">
        <v>4999</v>
      </c>
      <c r="K2904" s="403">
        <v>41072</v>
      </c>
      <c r="L2904" s="398" t="s">
        <v>5380</v>
      </c>
      <c r="M2904" s="402"/>
      <c r="N2904" s="402" t="s">
        <v>2</v>
      </c>
      <c r="O2904" s="404">
        <f>2/2</f>
        <v>1</v>
      </c>
      <c r="P2904" s="402">
        <v>7.2</v>
      </c>
      <c r="Q2904" s="404">
        <v>10.199999999999999</v>
      </c>
      <c r="R2904" s="402">
        <v>97</v>
      </c>
      <c r="S2904" s="404">
        <v>566</v>
      </c>
      <c r="T2904" s="402">
        <v>0.43</v>
      </c>
      <c r="U2904" s="395">
        <v>5.78</v>
      </c>
      <c r="V2904" s="402">
        <v>1.69</v>
      </c>
      <c r="W2904" s="404">
        <v>5.0999999999999997E-2</v>
      </c>
      <c r="X2904" s="402">
        <v>5.8000000000000003E-2</v>
      </c>
      <c r="Y2904" s="404">
        <f>0.03/2</f>
        <v>1.4999999999999999E-2</v>
      </c>
      <c r="Z2904" s="397"/>
      <c r="AA2904" s="399"/>
      <c r="AB2904" s="394"/>
      <c r="AC2904" s="402"/>
      <c r="AD2904" s="399"/>
      <c r="AE2904" s="402"/>
      <c r="AF2904" s="391"/>
      <c r="AG2904" s="394"/>
      <c r="AH2904" s="394"/>
      <c r="AI2904" s="394"/>
      <c r="AJ2904" s="394"/>
      <c r="AK2904" s="394"/>
      <c r="AL2904" s="394"/>
      <c r="AM2904" s="394"/>
      <c r="AN2904" s="394"/>
      <c r="AO2904" s="394"/>
      <c r="AP2904" s="394"/>
      <c r="AQ2904" s="394"/>
      <c r="AR2904" s="394"/>
      <c r="AS2904" s="402"/>
      <c r="AT2904" s="404"/>
      <c r="AU2904" s="394"/>
      <c r="AV2904" s="394"/>
      <c r="AW2904" s="394"/>
      <c r="AX2904" s="5"/>
      <c r="AY2904" s="5"/>
      <c r="AZ2904" s="5"/>
      <c r="BA2904" s="5"/>
      <c r="BB2904" s="5"/>
      <c r="BC2904" s="5"/>
      <c r="BD2904" s="5"/>
      <c r="BE2904" s="5"/>
      <c r="BF2904" s="5"/>
      <c r="BG2904" s="5"/>
      <c r="BH2904" s="5"/>
      <c r="BI2904" s="5"/>
      <c r="BJ2904" s="5"/>
      <c r="BK2904" s="5"/>
      <c r="BL2904" s="5"/>
      <c r="BM2904" s="5"/>
      <c r="BN2904" s="5"/>
      <c r="BO2904" s="5"/>
      <c r="BP2904" s="5"/>
      <c r="BQ2904" s="5"/>
      <c r="BR2904" s="5"/>
      <c r="BS2904" s="5"/>
      <c r="BT2904" s="5"/>
      <c r="BU2904" s="5"/>
      <c r="BV2904" s="5"/>
      <c r="BW2904" s="5"/>
      <c r="BX2904" s="5"/>
      <c r="BY2904" s="5"/>
      <c r="BZ2904" s="5"/>
      <c r="CA2904" s="5"/>
    </row>
    <row r="2905" spans="1:79" s="400" customFormat="1" ht="15" customHeight="1">
      <c r="A2905" s="41" t="s">
        <v>183</v>
      </c>
      <c r="B2905" s="402" t="s">
        <v>801</v>
      </c>
      <c r="C2905" s="113" t="s">
        <v>801</v>
      </c>
      <c r="D2905" s="393" t="s">
        <v>200</v>
      </c>
      <c r="E2905" s="394" t="s">
        <v>112</v>
      </c>
      <c r="F2905" s="402">
        <v>5200</v>
      </c>
      <c r="G2905" s="405" t="s">
        <v>802</v>
      </c>
      <c r="H2905" s="404">
        <v>3272</v>
      </c>
      <c r="I2905" s="402" t="s">
        <v>2</v>
      </c>
      <c r="J2905" s="404" t="s">
        <v>5000</v>
      </c>
      <c r="K2905" s="403">
        <v>41072</v>
      </c>
      <c r="L2905" s="398" t="s">
        <v>5380</v>
      </c>
      <c r="M2905" s="402"/>
      <c r="N2905" s="402" t="s">
        <v>2</v>
      </c>
      <c r="O2905" s="404">
        <f>2/2</f>
        <v>1</v>
      </c>
      <c r="P2905" s="402">
        <v>7.2</v>
      </c>
      <c r="Q2905" s="404">
        <v>10</v>
      </c>
      <c r="R2905" s="402">
        <v>91</v>
      </c>
      <c r="S2905" s="404">
        <v>1096</v>
      </c>
      <c r="T2905" s="402">
        <v>0.96</v>
      </c>
      <c r="U2905" s="395">
        <v>3.89</v>
      </c>
      <c r="V2905" s="402">
        <v>3.05</v>
      </c>
      <c r="W2905" s="404">
        <v>0.125</v>
      </c>
      <c r="X2905" s="402">
        <v>0.23499999999999999</v>
      </c>
      <c r="Y2905" s="404">
        <v>4.4999999999999998E-2</v>
      </c>
      <c r="Z2905" s="397"/>
      <c r="AA2905" s="399"/>
      <c r="AB2905" s="394"/>
      <c r="AC2905" s="402"/>
      <c r="AD2905" s="399"/>
      <c r="AE2905" s="402"/>
      <c r="AF2905" s="391"/>
      <c r="AG2905" s="394"/>
      <c r="AH2905" s="394"/>
      <c r="AI2905" s="394"/>
      <c r="AJ2905" s="394"/>
      <c r="AK2905" s="394"/>
      <c r="AL2905" s="394"/>
      <c r="AM2905" s="394"/>
      <c r="AN2905" s="394"/>
      <c r="AO2905" s="394"/>
      <c r="AP2905" s="394"/>
      <c r="AQ2905" s="394"/>
      <c r="AR2905" s="394"/>
      <c r="AS2905" s="402"/>
      <c r="AT2905" s="404"/>
      <c r="AU2905" s="394"/>
      <c r="AV2905" s="394"/>
      <c r="AW2905" s="394"/>
      <c r="AX2905" s="5"/>
      <c r="AY2905" s="5"/>
      <c r="AZ2905" s="5"/>
      <c r="BA2905" s="5"/>
      <c r="BB2905" s="5"/>
      <c r="BC2905" s="5"/>
      <c r="BD2905" s="5"/>
      <c r="BE2905" s="5"/>
      <c r="BF2905" s="5"/>
      <c r="BG2905" s="5"/>
      <c r="BH2905" s="5"/>
      <c r="BI2905" s="5"/>
      <c r="BJ2905" s="5"/>
      <c r="BK2905" s="5"/>
      <c r="BL2905" s="5"/>
      <c r="BM2905" s="5"/>
      <c r="BN2905" s="5"/>
      <c r="BO2905" s="5"/>
      <c r="BP2905" s="5"/>
      <c r="BQ2905" s="5"/>
      <c r="BR2905" s="5"/>
      <c r="BS2905" s="5"/>
      <c r="BT2905" s="5"/>
      <c r="BU2905" s="5"/>
      <c r="BV2905" s="5"/>
      <c r="BW2905" s="5"/>
      <c r="BX2905" s="5"/>
      <c r="BY2905" s="5"/>
      <c r="BZ2905" s="5"/>
      <c r="CA2905" s="5"/>
    </row>
    <row r="2906" spans="1:79" s="400" customFormat="1" ht="15" customHeight="1">
      <c r="A2906" s="41" t="s">
        <v>183</v>
      </c>
      <c r="B2906" s="402" t="s">
        <v>220</v>
      </c>
      <c r="C2906" s="113" t="s">
        <v>220</v>
      </c>
      <c r="D2906" s="393" t="s">
        <v>41</v>
      </c>
      <c r="E2906" s="394" t="s">
        <v>221</v>
      </c>
      <c r="F2906" s="402"/>
      <c r="G2906" s="405" t="s">
        <v>222</v>
      </c>
      <c r="H2906" s="404" t="s">
        <v>223</v>
      </c>
      <c r="I2906" s="402" t="s">
        <v>1</v>
      </c>
      <c r="J2906" s="406" t="s">
        <v>224</v>
      </c>
      <c r="K2906" s="403">
        <v>41072</v>
      </c>
      <c r="L2906" s="398">
        <v>41066</v>
      </c>
      <c r="M2906" s="402">
        <f t="shared" si="167"/>
        <v>6</v>
      </c>
      <c r="N2906" s="402" t="s">
        <v>2</v>
      </c>
      <c r="O2906" s="404">
        <f>1.4/2</f>
        <v>0.7</v>
      </c>
      <c r="P2906" s="402">
        <v>8.6</v>
      </c>
      <c r="Q2906" s="404">
        <v>8.41</v>
      </c>
      <c r="R2906" s="402">
        <v>29</v>
      </c>
      <c r="S2906" s="404">
        <v>12</v>
      </c>
      <c r="T2906" s="402">
        <v>0.13</v>
      </c>
      <c r="U2906" s="395">
        <v>1.03</v>
      </c>
      <c r="V2906" s="402">
        <v>0.84</v>
      </c>
      <c r="W2906" s="404">
        <v>2.9000000000000001E-2</v>
      </c>
      <c r="X2906" s="402">
        <v>6.9000000000000006E-2</v>
      </c>
      <c r="Y2906" s="404">
        <v>0.02</v>
      </c>
      <c r="Z2906" s="397"/>
      <c r="AA2906" s="399"/>
      <c r="AB2906" s="394"/>
      <c r="AC2906" s="402"/>
      <c r="AD2906" s="399"/>
      <c r="AE2906" s="402"/>
      <c r="AF2906" s="391"/>
      <c r="AG2906" s="394"/>
      <c r="AH2906" s="394"/>
      <c r="AI2906" s="394"/>
      <c r="AJ2906" s="394"/>
      <c r="AK2906" s="394"/>
      <c r="AL2906" s="394"/>
      <c r="AM2906" s="394"/>
      <c r="AN2906" s="394"/>
      <c r="AO2906" s="394"/>
      <c r="AP2906" s="394"/>
      <c r="AQ2906" s="394"/>
      <c r="AR2906" s="394"/>
      <c r="AS2906" s="402"/>
      <c r="AT2906" s="404"/>
      <c r="AU2906" s="394"/>
      <c r="AV2906" s="394"/>
      <c r="AW2906" s="394"/>
      <c r="AX2906" s="5"/>
      <c r="AY2906" s="5"/>
      <c r="AZ2906" s="5"/>
      <c r="BA2906" s="5"/>
      <c r="BB2906" s="5"/>
      <c r="BC2906" s="5"/>
      <c r="BD2906" s="5"/>
      <c r="BE2906" s="5"/>
      <c r="BF2906" s="5"/>
      <c r="BG2906" s="5"/>
      <c r="BH2906" s="5"/>
      <c r="BI2906" s="5"/>
      <c r="BJ2906" s="5"/>
      <c r="BK2906" s="5"/>
      <c r="BL2906" s="5"/>
      <c r="BM2906" s="5"/>
      <c r="BN2906" s="5"/>
      <c r="BO2906" s="5"/>
      <c r="BP2906" s="5"/>
      <c r="BQ2906" s="5"/>
      <c r="BR2906" s="5"/>
      <c r="BS2906" s="5"/>
      <c r="BT2906" s="5"/>
      <c r="BU2906" s="5"/>
      <c r="BV2906" s="5"/>
      <c r="BW2906" s="5"/>
      <c r="BX2906" s="5"/>
      <c r="BY2906" s="5"/>
      <c r="BZ2906" s="5"/>
      <c r="CA2906" s="5"/>
    </row>
    <row r="2907" spans="1:79" s="400" customFormat="1" ht="15" customHeight="1">
      <c r="A2907" s="41" t="s">
        <v>183</v>
      </c>
      <c r="B2907" s="402" t="s">
        <v>220</v>
      </c>
      <c r="C2907" s="113" t="s">
        <v>220</v>
      </c>
      <c r="D2907" s="393" t="s">
        <v>41</v>
      </c>
      <c r="E2907" s="394" t="s">
        <v>221</v>
      </c>
      <c r="F2907" s="402"/>
      <c r="G2907" s="405" t="s">
        <v>222</v>
      </c>
      <c r="H2907" s="404" t="s">
        <v>223</v>
      </c>
      <c r="I2907" s="402" t="s">
        <v>1</v>
      </c>
      <c r="J2907" s="406" t="s">
        <v>225</v>
      </c>
      <c r="K2907" s="403">
        <v>41072</v>
      </c>
      <c r="L2907" s="398">
        <v>41066</v>
      </c>
      <c r="M2907" s="402">
        <f t="shared" si="167"/>
        <v>6</v>
      </c>
      <c r="N2907" s="402" t="s">
        <v>2</v>
      </c>
      <c r="O2907" s="404">
        <f>1.4/2</f>
        <v>0.7</v>
      </c>
      <c r="P2907" s="402">
        <v>8.6</v>
      </c>
      <c r="Q2907" s="404">
        <v>8.7100000000000009</v>
      </c>
      <c r="R2907" s="402">
        <v>88</v>
      </c>
      <c r="S2907" s="404">
        <v>10</v>
      </c>
      <c r="T2907" s="402">
        <v>0.12</v>
      </c>
      <c r="U2907" s="395">
        <v>1.87</v>
      </c>
      <c r="V2907" s="402">
        <v>0.31</v>
      </c>
      <c r="W2907" s="404">
        <v>1.0999999999999999E-2</v>
      </c>
      <c r="X2907" s="402">
        <v>0.33100000000000002</v>
      </c>
      <c r="Y2907" s="404">
        <f>0.002/2</f>
        <v>1E-3</v>
      </c>
      <c r="Z2907" s="397"/>
      <c r="AA2907" s="399"/>
      <c r="AB2907" s="394"/>
      <c r="AC2907" s="402"/>
      <c r="AD2907" s="399"/>
      <c r="AE2907" s="402"/>
      <c r="AF2907" s="391"/>
      <c r="AG2907" s="394"/>
      <c r="AH2907" s="394"/>
      <c r="AI2907" s="394"/>
      <c r="AJ2907" s="394"/>
      <c r="AK2907" s="394"/>
      <c r="AL2907" s="394"/>
      <c r="AM2907" s="394"/>
      <c r="AN2907" s="394"/>
      <c r="AO2907" s="394"/>
      <c r="AP2907" s="394"/>
      <c r="AQ2907" s="394"/>
      <c r="AR2907" s="394"/>
      <c r="AS2907" s="402"/>
      <c r="AT2907" s="404"/>
      <c r="AU2907" s="394"/>
      <c r="AV2907" s="394"/>
      <c r="AW2907" s="394"/>
      <c r="AX2907" s="5"/>
      <c r="AY2907" s="5"/>
      <c r="AZ2907" s="5"/>
      <c r="BA2907" s="5"/>
      <c r="BB2907" s="5"/>
      <c r="BC2907" s="5"/>
      <c r="BD2907" s="5"/>
      <c r="BE2907" s="5"/>
      <c r="BF2907" s="5"/>
      <c r="BG2907" s="5"/>
      <c r="BH2907" s="5"/>
      <c r="BI2907" s="5"/>
      <c r="BJ2907" s="5"/>
      <c r="BK2907" s="5"/>
      <c r="BL2907" s="5"/>
      <c r="BM2907" s="5"/>
      <c r="BN2907" s="5"/>
      <c r="BO2907" s="5"/>
      <c r="BP2907" s="5"/>
      <c r="BQ2907" s="5"/>
      <c r="BR2907" s="5"/>
      <c r="BS2907" s="5"/>
      <c r="BT2907" s="5"/>
      <c r="BU2907" s="5"/>
      <c r="BV2907" s="5"/>
      <c r="BW2907" s="5"/>
      <c r="BX2907" s="5"/>
      <c r="BY2907" s="5"/>
      <c r="BZ2907" s="5"/>
      <c r="CA2907" s="5"/>
    </row>
    <row r="2908" spans="1:79" s="400" customFormat="1" ht="15" customHeight="1">
      <c r="A2908" s="41" t="s">
        <v>183</v>
      </c>
      <c r="B2908" s="402" t="s">
        <v>220</v>
      </c>
      <c r="C2908" s="113" t="s">
        <v>220</v>
      </c>
      <c r="D2908" s="393" t="s">
        <v>41</v>
      </c>
      <c r="E2908" s="394" t="s">
        <v>221</v>
      </c>
      <c r="F2908" s="402"/>
      <c r="G2908" s="405" t="s">
        <v>222</v>
      </c>
      <c r="H2908" s="404" t="s">
        <v>223</v>
      </c>
      <c r="I2908" s="402" t="s">
        <v>1</v>
      </c>
      <c r="J2908" s="406" t="s">
        <v>226</v>
      </c>
      <c r="K2908" s="403">
        <v>41082</v>
      </c>
      <c r="L2908" s="398">
        <v>41073</v>
      </c>
      <c r="M2908" s="402">
        <f t="shared" si="167"/>
        <v>9</v>
      </c>
      <c r="N2908" s="402" t="s">
        <v>2</v>
      </c>
      <c r="O2908" s="404">
        <f>1.4/2</f>
        <v>0.7</v>
      </c>
      <c r="P2908" s="402">
        <v>5.77</v>
      </c>
      <c r="Q2908" s="404">
        <v>5.36</v>
      </c>
      <c r="R2908" s="402">
        <v>47</v>
      </c>
      <c r="S2908" s="404">
        <v>59</v>
      </c>
      <c r="T2908" s="402">
        <v>0.25</v>
      </c>
      <c r="U2908" s="395">
        <v>1.39</v>
      </c>
      <c r="V2908" s="402">
        <v>0.38</v>
      </c>
      <c r="W2908" s="404">
        <f>0.005/2</f>
        <v>2.5000000000000001E-3</v>
      </c>
      <c r="X2908" s="402">
        <v>7.2999999999999995E-2</v>
      </c>
      <c r="Y2908" s="404">
        <f>0.002/2</f>
        <v>1E-3</v>
      </c>
      <c r="Z2908" s="397"/>
      <c r="AA2908" s="399"/>
      <c r="AB2908" s="394"/>
      <c r="AC2908" s="402"/>
      <c r="AD2908" s="399"/>
      <c r="AE2908" s="402"/>
      <c r="AF2908" s="391"/>
      <c r="AG2908" s="394"/>
      <c r="AH2908" s="394"/>
      <c r="AI2908" s="394"/>
      <c r="AJ2908" s="394"/>
      <c r="AK2908" s="394"/>
      <c r="AL2908" s="394"/>
      <c r="AM2908" s="394"/>
      <c r="AN2908" s="394"/>
      <c r="AO2908" s="394"/>
      <c r="AP2908" s="394"/>
      <c r="AQ2908" s="394"/>
      <c r="AR2908" s="394"/>
      <c r="AS2908" s="402"/>
      <c r="AT2908" s="404"/>
      <c r="AU2908" s="394"/>
      <c r="AV2908" s="394"/>
      <c r="AW2908" s="394"/>
      <c r="AX2908" s="5"/>
      <c r="AY2908" s="5"/>
      <c r="AZ2908" s="5"/>
      <c r="BA2908" s="5"/>
      <c r="BB2908" s="5"/>
      <c r="BC2908" s="5"/>
      <c r="BD2908" s="5"/>
      <c r="BE2908" s="5"/>
      <c r="BF2908" s="5"/>
      <c r="BG2908" s="5"/>
      <c r="BH2908" s="5"/>
      <c r="BI2908" s="5"/>
      <c r="BJ2908" s="5"/>
      <c r="BK2908" s="5"/>
      <c r="BL2908" s="5"/>
      <c r="BM2908" s="5"/>
      <c r="BN2908" s="5"/>
      <c r="BO2908" s="5"/>
      <c r="BP2908" s="5"/>
      <c r="BQ2908" s="5"/>
      <c r="BR2908" s="5"/>
      <c r="BS2908" s="5"/>
      <c r="BT2908" s="5"/>
      <c r="BU2908" s="5"/>
      <c r="BV2908" s="5"/>
      <c r="BW2908" s="5"/>
      <c r="BX2908" s="5"/>
      <c r="BY2908" s="5"/>
      <c r="BZ2908" s="5"/>
      <c r="CA2908" s="5"/>
    </row>
    <row r="2909" spans="1:79" ht="15" customHeight="1">
      <c r="A2909" s="41" t="s">
        <v>183</v>
      </c>
      <c r="B2909" s="402" t="s">
        <v>5429</v>
      </c>
      <c r="C2909" s="113" t="s">
        <v>5429</v>
      </c>
      <c r="D2909" s="393" t="s">
        <v>213</v>
      </c>
      <c r="E2909" s="394" t="s">
        <v>364</v>
      </c>
      <c r="G2909" s="405" t="s">
        <v>5430</v>
      </c>
      <c r="H2909" s="74">
        <v>3931</v>
      </c>
      <c r="I2909" s="50" t="s">
        <v>2</v>
      </c>
      <c r="J2909" s="339" t="s">
        <v>255</v>
      </c>
      <c r="K2909" s="51">
        <v>41085</v>
      </c>
      <c r="L2909" s="173">
        <v>41083</v>
      </c>
      <c r="M2909" s="50">
        <f t="shared" ref="M2909:M2961" si="168">K2909-L2909</f>
        <v>2</v>
      </c>
      <c r="N2909" s="50" t="s">
        <v>2</v>
      </c>
      <c r="O2909" s="74">
        <f>1.4/2</f>
        <v>0.7</v>
      </c>
      <c r="P2909" s="50">
        <v>8.23</v>
      </c>
      <c r="Q2909" s="74">
        <v>7.82</v>
      </c>
      <c r="R2909" s="50">
        <v>61</v>
      </c>
      <c r="S2909" s="74">
        <v>18</v>
      </c>
      <c r="U2909" s="131">
        <v>2.02</v>
      </c>
      <c r="V2909" s="50">
        <v>0.62</v>
      </c>
      <c r="W2909" s="74">
        <v>1.2999999999999999E-2</v>
      </c>
      <c r="X2909" s="50">
        <v>0.22600000000000001</v>
      </c>
      <c r="Y2909" s="74">
        <f>0.002/2</f>
        <v>1E-3</v>
      </c>
      <c r="Z2909" s="165">
        <v>1</v>
      </c>
      <c r="AA2909" s="271">
        <v>0.72</v>
      </c>
      <c r="AB2909" s="114">
        <v>6</v>
      </c>
      <c r="AC2909" s="50">
        <v>28</v>
      </c>
      <c r="AD2909" s="271">
        <v>0.05</v>
      </c>
    </row>
    <row r="2910" spans="1:79" s="400" customFormat="1" ht="15" customHeight="1">
      <c r="A2910" s="41" t="s">
        <v>183</v>
      </c>
      <c r="B2910" s="386" t="s">
        <v>857</v>
      </c>
      <c r="C2910" s="149" t="s">
        <v>857</v>
      </c>
      <c r="D2910" s="392" t="s">
        <v>268</v>
      </c>
      <c r="E2910" s="258" t="s">
        <v>858</v>
      </c>
      <c r="F2910" s="402"/>
      <c r="G2910" s="405" t="s">
        <v>859</v>
      </c>
      <c r="H2910" s="404">
        <v>3318</v>
      </c>
      <c r="I2910" s="402" t="s">
        <v>2</v>
      </c>
      <c r="J2910" s="406" t="s">
        <v>81</v>
      </c>
      <c r="K2910" s="403">
        <v>41113</v>
      </c>
      <c r="L2910" s="398">
        <v>41110</v>
      </c>
      <c r="M2910" s="402">
        <f t="shared" si="168"/>
        <v>3</v>
      </c>
      <c r="N2910" s="402" t="s">
        <v>2</v>
      </c>
      <c r="O2910" s="404">
        <f>2/2</f>
        <v>1</v>
      </c>
      <c r="P2910" s="402">
        <v>3</v>
      </c>
      <c r="Q2910" s="404">
        <v>3.5</v>
      </c>
      <c r="R2910" s="402">
        <v>35</v>
      </c>
      <c r="S2910" s="404">
        <v>12</v>
      </c>
      <c r="T2910" s="402">
        <v>7.0000000000000007E-2</v>
      </c>
      <c r="U2910" s="395">
        <v>2.2200000000000002</v>
      </c>
      <c r="V2910" s="402">
        <v>0.4</v>
      </c>
      <c r="W2910" s="404">
        <v>1.4999999999999999E-2</v>
      </c>
      <c r="X2910" s="402">
        <v>5.1999999999999998E-2</v>
      </c>
      <c r="Y2910" s="404">
        <f>0.03/2</f>
        <v>1.4999999999999999E-2</v>
      </c>
      <c r="Z2910" s="397">
        <v>1</v>
      </c>
      <c r="AA2910" s="399">
        <v>1</v>
      </c>
      <c r="AB2910" s="394">
        <v>4</v>
      </c>
      <c r="AC2910" s="402">
        <v>29</v>
      </c>
      <c r="AD2910" s="399">
        <v>0.85</v>
      </c>
      <c r="AE2910" s="402"/>
      <c r="AF2910" s="391"/>
      <c r="AG2910" s="394"/>
      <c r="AH2910" s="394"/>
      <c r="AI2910" s="394"/>
      <c r="AJ2910" s="394"/>
      <c r="AK2910" s="394"/>
      <c r="AL2910" s="394"/>
      <c r="AM2910" s="394"/>
      <c r="AN2910" s="394"/>
      <c r="AO2910" s="394"/>
      <c r="AP2910" s="394"/>
      <c r="AQ2910" s="394"/>
      <c r="AR2910" s="394"/>
      <c r="AS2910" s="402"/>
      <c r="AT2910" s="404"/>
      <c r="AU2910" s="394"/>
      <c r="AV2910" s="394"/>
      <c r="AW2910" s="394"/>
      <c r="AX2910" s="5"/>
      <c r="AY2910" s="5"/>
      <c r="AZ2910" s="5"/>
      <c r="BA2910" s="5"/>
      <c r="BB2910" s="5"/>
      <c r="BC2910" s="5"/>
      <c r="BD2910" s="5"/>
      <c r="BE2910" s="5"/>
      <c r="BF2910" s="5"/>
      <c r="BG2910" s="5"/>
      <c r="BH2910" s="5"/>
      <c r="BI2910" s="5"/>
      <c r="BJ2910" s="5"/>
      <c r="BK2910" s="5"/>
      <c r="BL2910" s="5"/>
      <c r="BM2910" s="5"/>
      <c r="BN2910" s="5"/>
      <c r="BO2910" s="5"/>
      <c r="BP2910" s="5"/>
      <c r="BQ2910" s="5"/>
      <c r="BR2910" s="5"/>
      <c r="BS2910" s="5"/>
      <c r="BT2910" s="5"/>
      <c r="BU2910" s="5"/>
      <c r="BV2910" s="5"/>
      <c r="BW2910" s="5"/>
      <c r="BX2910" s="5"/>
      <c r="BY2910" s="5"/>
      <c r="BZ2910" s="5"/>
      <c r="CA2910" s="5"/>
    </row>
    <row r="2911" spans="1:79" s="400" customFormat="1" ht="15" customHeight="1">
      <c r="A2911" s="404" t="s">
        <v>4668</v>
      </c>
      <c r="B2911" s="402" t="s">
        <v>5670</v>
      </c>
      <c r="C2911" s="113" t="s">
        <v>5670</v>
      </c>
      <c r="D2911" s="393" t="s">
        <v>347</v>
      </c>
      <c r="E2911" s="394" t="s">
        <v>5671</v>
      </c>
      <c r="F2911" s="402"/>
      <c r="G2911" s="405" t="s">
        <v>5672</v>
      </c>
      <c r="H2911" s="404"/>
      <c r="I2911" s="402" t="s">
        <v>2</v>
      </c>
      <c r="J2911" s="406"/>
      <c r="K2911" s="403">
        <v>41108</v>
      </c>
      <c r="L2911" s="398"/>
      <c r="M2911" s="402"/>
      <c r="N2911" s="402" t="s">
        <v>2</v>
      </c>
      <c r="O2911" s="404">
        <f>2/2</f>
        <v>1</v>
      </c>
      <c r="P2911" s="402">
        <v>5</v>
      </c>
      <c r="Q2911" s="404">
        <v>4.3</v>
      </c>
      <c r="R2911" s="402">
        <f>10/2</f>
        <v>5</v>
      </c>
      <c r="S2911" s="404">
        <v>9</v>
      </c>
      <c r="T2911" s="402">
        <f>0.05/2</f>
        <v>2.5000000000000001E-2</v>
      </c>
      <c r="U2911" s="395">
        <v>0.9</v>
      </c>
      <c r="V2911" s="402">
        <v>0.4</v>
      </c>
      <c r="W2911" s="404">
        <v>1.6E-2</v>
      </c>
      <c r="X2911" s="402">
        <v>3.5000000000000003E-2</v>
      </c>
      <c r="Y2911" s="404">
        <f>0.03/2</f>
        <v>1.4999999999999999E-2</v>
      </c>
      <c r="Z2911" s="397"/>
      <c r="AA2911" s="399"/>
      <c r="AB2911" s="394"/>
      <c r="AC2911" s="402"/>
      <c r="AD2911" s="399"/>
      <c r="AE2911" s="402"/>
      <c r="AF2911" s="391"/>
      <c r="AG2911" s="394"/>
      <c r="AH2911" s="394"/>
      <c r="AI2911" s="394"/>
      <c r="AJ2911" s="394"/>
      <c r="AK2911" s="394"/>
      <c r="AL2911" s="394"/>
      <c r="AM2911" s="394"/>
      <c r="AN2911" s="394"/>
      <c r="AO2911" s="394"/>
      <c r="AP2911" s="394"/>
      <c r="AQ2911" s="394"/>
      <c r="AR2911" s="394"/>
      <c r="AS2911" s="402"/>
      <c r="AT2911" s="404"/>
      <c r="AU2911" s="394"/>
      <c r="AV2911" s="394"/>
      <c r="AW2911" s="394"/>
      <c r="AX2911" s="5"/>
      <c r="AY2911" s="5"/>
      <c r="AZ2911" s="5"/>
      <c r="BA2911" s="5"/>
      <c r="BB2911" s="5"/>
      <c r="BC2911" s="5"/>
      <c r="BD2911" s="5"/>
      <c r="BE2911" s="5"/>
      <c r="BF2911" s="5"/>
      <c r="BG2911" s="5"/>
      <c r="BH2911" s="5"/>
      <c r="BI2911" s="5"/>
      <c r="BJ2911" s="5"/>
      <c r="BK2911" s="5"/>
      <c r="BL2911" s="5"/>
      <c r="BM2911" s="5"/>
      <c r="BN2911" s="5"/>
      <c r="BO2911" s="5"/>
      <c r="BP2911" s="5"/>
      <c r="BQ2911" s="5"/>
      <c r="BR2911" s="5"/>
      <c r="BS2911" s="5"/>
      <c r="BT2911" s="5"/>
      <c r="BU2911" s="5"/>
      <c r="BV2911" s="5"/>
      <c r="BW2911" s="5"/>
      <c r="BX2911" s="5"/>
      <c r="BY2911" s="5"/>
      <c r="BZ2911" s="5"/>
      <c r="CA2911" s="5"/>
    </row>
    <row r="2912" spans="1:79" ht="15" customHeight="1">
      <c r="A2912" s="404" t="s">
        <v>4668</v>
      </c>
      <c r="B2912" s="402" t="s">
        <v>313</v>
      </c>
      <c r="C2912" s="113" t="s">
        <v>313</v>
      </c>
      <c r="D2912" s="393" t="s">
        <v>314</v>
      </c>
      <c r="E2912" s="394" t="s">
        <v>315</v>
      </c>
      <c r="G2912" s="405" t="s">
        <v>994</v>
      </c>
      <c r="H2912" s="74">
        <v>3728</v>
      </c>
      <c r="I2912" s="50" t="s">
        <v>2</v>
      </c>
      <c r="J2912" s="339" t="s">
        <v>81</v>
      </c>
      <c r="K2912" s="51">
        <v>41037</v>
      </c>
      <c r="L2912" s="173">
        <v>41032</v>
      </c>
      <c r="M2912" s="50">
        <f t="shared" si="168"/>
        <v>5</v>
      </c>
      <c r="N2912" s="50" t="s">
        <v>2</v>
      </c>
      <c r="O2912" s="74">
        <v>1.7</v>
      </c>
      <c r="P2912" s="50">
        <v>7.15</v>
      </c>
      <c r="Q2912" s="74">
        <v>6.05</v>
      </c>
      <c r="R2912" s="50">
        <v>200</v>
      </c>
      <c r="S2912" s="74">
        <v>19</v>
      </c>
      <c r="T2912" s="50">
        <v>0.14000000000000001</v>
      </c>
      <c r="U2912" s="131">
        <v>3.5</v>
      </c>
      <c r="V2912" s="50">
        <v>2.97</v>
      </c>
      <c r="W2912" s="74">
        <v>5.8000000000000003E-2</v>
      </c>
      <c r="X2912" s="50">
        <v>0.25</v>
      </c>
      <c r="Y2912" s="74">
        <v>4.0000000000000001E-3</v>
      </c>
      <c r="Z2912" s="165"/>
    </row>
    <row r="2913" spans="1:79" s="400" customFormat="1" ht="15" customHeight="1">
      <c r="A2913" s="404" t="s">
        <v>4668</v>
      </c>
      <c r="B2913" s="402" t="s">
        <v>5673</v>
      </c>
      <c r="C2913" s="113" t="s">
        <v>5674</v>
      </c>
      <c r="D2913" s="393"/>
      <c r="E2913" s="394" t="s">
        <v>112</v>
      </c>
      <c r="F2913" s="402"/>
      <c r="G2913" s="405" t="s">
        <v>5675</v>
      </c>
      <c r="H2913" s="404" t="s">
        <v>5676</v>
      </c>
      <c r="I2913" s="402" t="s">
        <v>2</v>
      </c>
      <c r="J2913" s="406" t="s">
        <v>5677</v>
      </c>
      <c r="K2913" s="403">
        <v>41264</v>
      </c>
      <c r="L2913" s="398">
        <v>41261</v>
      </c>
      <c r="M2913" s="402">
        <f t="shared" si="168"/>
        <v>3</v>
      </c>
      <c r="N2913" s="402" t="s">
        <v>2</v>
      </c>
      <c r="O2913" s="404">
        <v>4.4000000000000004</v>
      </c>
      <c r="P2913" s="402">
        <v>6.17</v>
      </c>
      <c r="Q2913" s="404">
        <v>6.08</v>
      </c>
      <c r="R2913" s="402">
        <v>22.2</v>
      </c>
      <c r="S2913" s="404">
        <v>15</v>
      </c>
      <c r="T2913" s="402">
        <f>0.05/2</f>
        <v>2.5000000000000001E-2</v>
      </c>
      <c r="U2913" s="395">
        <v>0.56000000000000005</v>
      </c>
      <c r="V2913" s="402">
        <f>0.1/2</f>
        <v>0.05</v>
      </c>
      <c r="W2913" s="404">
        <f>0.005/2</f>
        <v>2.5000000000000001E-3</v>
      </c>
      <c r="X2913" s="402">
        <v>4.4999999999999998E-2</v>
      </c>
      <c r="Y2913" s="404">
        <v>4.0000000000000001E-3</v>
      </c>
      <c r="Z2913" s="397"/>
      <c r="AA2913" s="399"/>
      <c r="AB2913" s="394"/>
      <c r="AC2913" s="402"/>
      <c r="AD2913" s="399"/>
      <c r="AE2913" s="402"/>
      <c r="AF2913" s="391"/>
      <c r="AG2913" s="394"/>
      <c r="AH2913" s="394"/>
      <c r="AI2913" s="394"/>
      <c r="AJ2913" s="394"/>
      <c r="AK2913" s="394"/>
      <c r="AL2913" s="394"/>
      <c r="AM2913" s="394"/>
      <c r="AN2913" s="394"/>
      <c r="AO2913" s="394"/>
      <c r="AP2913" s="394"/>
      <c r="AQ2913" s="394"/>
      <c r="AR2913" s="394"/>
      <c r="AS2913" s="402"/>
      <c r="AT2913" s="404"/>
      <c r="AU2913" s="394"/>
      <c r="AV2913" s="394"/>
      <c r="AW2913" s="394"/>
      <c r="AX2913" s="5"/>
      <c r="AY2913" s="5"/>
      <c r="AZ2913" s="5"/>
      <c r="BA2913" s="5"/>
      <c r="BB2913" s="5"/>
      <c r="BC2913" s="5"/>
      <c r="BD2913" s="5"/>
      <c r="BE2913" s="5"/>
      <c r="BF2913" s="5"/>
      <c r="BG2913" s="5"/>
      <c r="BH2913" s="5"/>
      <c r="BI2913" s="5"/>
      <c r="BJ2913" s="5"/>
      <c r="BK2913" s="5"/>
      <c r="BL2913" s="5"/>
      <c r="BM2913" s="5"/>
      <c r="BN2913" s="5"/>
      <c r="BO2913" s="5"/>
      <c r="BP2913" s="5"/>
      <c r="BQ2913" s="5"/>
      <c r="BR2913" s="5"/>
      <c r="BS2913" s="5"/>
      <c r="BT2913" s="5"/>
      <c r="BU2913" s="5"/>
      <c r="BV2913" s="5"/>
      <c r="BW2913" s="5"/>
      <c r="BX2913" s="5"/>
      <c r="BY2913" s="5"/>
      <c r="BZ2913" s="5"/>
      <c r="CA2913" s="5"/>
    </row>
    <row r="2914" spans="1:79" s="400" customFormat="1" ht="15" customHeight="1">
      <c r="A2914" s="404" t="s">
        <v>4668</v>
      </c>
      <c r="B2914" s="402" t="s">
        <v>2153</v>
      </c>
      <c r="C2914" s="113" t="s">
        <v>2154</v>
      </c>
      <c r="D2914" s="393" t="s">
        <v>350</v>
      </c>
      <c r="E2914" s="394" t="s">
        <v>5678</v>
      </c>
      <c r="F2914" s="402"/>
      <c r="G2914" s="405" t="s">
        <v>3619</v>
      </c>
      <c r="H2914" s="404">
        <v>3251</v>
      </c>
      <c r="I2914" s="402"/>
      <c r="J2914" s="406" t="s">
        <v>96</v>
      </c>
      <c r="K2914" s="403">
        <v>41157</v>
      </c>
      <c r="L2914" s="398">
        <v>41149</v>
      </c>
      <c r="M2914" s="402">
        <f t="shared" si="168"/>
        <v>8</v>
      </c>
      <c r="N2914" s="402" t="s">
        <v>2</v>
      </c>
      <c r="O2914" s="404">
        <f>1.5/2</f>
        <v>0.75</v>
      </c>
      <c r="P2914" s="402">
        <v>7.1</v>
      </c>
      <c r="Q2914" s="404">
        <v>7.43</v>
      </c>
      <c r="R2914" s="402">
        <v>26</v>
      </c>
      <c r="S2914" s="404">
        <v>660</v>
      </c>
      <c r="T2914" s="402">
        <v>0.55000000000000004</v>
      </c>
      <c r="U2914" s="395">
        <v>0.69</v>
      </c>
      <c r="V2914" s="402">
        <v>0.09</v>
      </c>
      <c r="W2914" s="404">
        <v>4.2999999999999997E-2</v>
      </c>
      <c r="X2914" s="402">
        <v>0.224</v>
      </c>
      <c r="Y2914" s="404">
        <v>1.2E-2</v>
      </c>
      <c r="Z2914" s="397">
        <v>1</v>
      </c>
      <c r="AA2914" s="399">
        <v>1</v>
      </c>
      <c r="AB2914" s="394">
        <v>22</v>
      </c>
      <c r="AC2914" s="402">
        <v>44</v>
      </c>
      <c r="AD2914" s="399">
        <v>1</v>
      </c>
      <c r="AE2914" s="402"/>
      <c r="AF2914" s="391"/>
      <c r="AG2914" s="394"/>
      <c r="AH2914" s="394"/>
      <c r="AI2914" s="394"/>
      <c r="AJ2914" s="394"/>
      <c r="AK2914" s="394"/>
      <c r="AL2914" s="394"/>
      <c r="AM2914" s="394"/>
      <c r="AN2914" s="394"/>
      <c r="AO2914" s="394"/>
      <c r="AP2914" s="394"/>
      <c r="AQ2914" s="394"/>
      <c r="AR2914" s="394"/>
      <c r="AS2914" s="402"/>
      <c r="AT2914" s="404"/>
      <c r="AU2914" s="394"/>
      <c r="AV2914" s="394"/>
      <c r="AW2914" s="394"/>
      <c r="AX2914" s="5"/>
      <c r="AY2914" s="5"/>
      <c r="AZ2914" s="5"/>
      <c r="BA2914" s="5"/>
      <c r="BB2914" s="5"/>
      <c r="BC2914" s="5"/>
      <c r="BD2914" s="5"/>
      <c r="BE2914" s="5"/>
      <c r="BF2914" s="5"/>
      <c r="BG2914" s="5"/>
      <c r="BH2914" s="5"/>
      <c r="BI2914" s="5"/>
      <c r="BJ2914" s="5"/>
      <c r="BK2914" s="5"/>
      <c r="BL2914" s="5"/>
      <c r="BM2914" s="5"/>
      <c r="BN2914" s="5"/>
      <c r="BO2914" s="5"/>
      <c r="BP2914" s="5"/>
      <c r="BQ2914" s="5"/>
      <c r="BR2914" s="5"/>
      <c r="BS2914" s="5"/>
      <c r="BT2914" s="5"/>
      <c r="BU2914" s="5"/>
      <c r="BV2914" s="5"/>
      <c r="BW2914" s="5"/>
      <c r="BX2914" s="5"/>
      <c r="BY2914" s="5"/>
      <c r="BZ2914" s="5"/>
      <c r="CA2914" s="5"/>
    </row>
    <row r="2915" spans="1:79" s="400" customFormat="1" ht="15" customHeight="1">
      <c r="A2915" s="404" t="s">
        <v>4668</v>
      </c>
      <c r="B2915" s="402" t="s">
        <v>2153</v>
      </c>
      <c r="C2915" s="113" t="s">
        <v>2154</v>
      </c>
      <c r="D2915" s="393" t="s">
        <v>350</v>
      </c>
      <c r="E2915" s="394" t="s">
        <v>5678</v>
      </c>
      <c r="F2915" s="402"/>
      <c r="G2915" s="405" t="s">
        <v>3619</v>
      </c>
      <c r="H2915" s="404">
        <v>3251</v>
      </c>
      <c r="I2915" s="402"/>
      <c r="J2915" s="406" t="s">
        <v>255</v>
      </c>
      <c r="K2915" s="403">
        <v>41157</v>
      </c>
      <c r="L2915" s="398">
        <v>41149</v>
      </c>
      <c r="M2915" s="402">
        <f t="shared" si="168"/>
        <v>8</v>
      </c>
      <c r="N2915" s="402" t="s">
        <v>2</v>
      </c>
      <c r="O2915" s="404">
        <f>1.5/2</f>
        <v>0.75</v>
      </c>
      <c r="P2915" s="402">
        <v>7.1</v>
      </c>
      <c r="Q2915" s="404">
        <v>7.76</v>
      </c>
      <c r="R2915" s="402">
        <v>18</v>
      </c>
      <c r="S2915" s="404">
        <v>7</v>
      </c>
      <c r="T2915" s="402">
        <v>0.06</v>
      </c>
      <c r="U2915" s="395">
        <v>0.74</v>
      </c>
      <c r="V2915" s="402">
        <f>0.01/2</f>
        <v>5.0000000000000001E-3</v>
      </c>
      <c r="W2915" s="404">
        <v>2E-3</v>
      </c>
      <c r="X2915" s="402">
        <v>6.0000000000000001E-3</v>
      </c>
      <c r="Y2915" s="404">
        <v>2E-3</v>
      </c>
      <c r="Z2915" s="397">
        <v>1</v>
      </c>
      <c r="AA2915" s="399">
        <v>1</v>
      </c>
      <c r="AB2915" s="394">
        <v>58</v>
      </c>
      <c r="AC2915" s="402">
        <v>362</v>
      </c>
      <c r="AD2915" s="399">
        <v>1</v>
      </c>
      <c r="AE2915" s="402"/>
      <c r="AF2915" s="391"/>
      <c r="AG2915" s="394"/>
      <c r="AH2915" s="394"/>
      <c r="AI2915" s="394"/>
      <c r="AJ2915" s="394"/>
      <c r="AK2915" s="394"/>
      <c r="AL2915" s="394"/>
      <c r="AM2915" s="394"/>
      <c r="AN2915" s="394"/>
      <c r="AO2915" s="394"/>
      <c r="AP2915" s="394"/>
      <c r="AQ2915" s="394"/>
      <c r="AR2915" s="394"/>
      <c r="AS2915" s="402"/>
      <c r="AT2915" s="404"/>
      <c r="AU2915" s="394"/>
      <c r="AV2915" s="394"/>
      <c r="AW2915" s="394"/>
      <c r="AX2915" s="5"/>
      <c r="AY2915" s="5"/>
      <c r="AZ2915" s="5"/>
      <c r="BA2915" s="5"/>
      <c r="BB2915" s="5"/>
      <c r="BC2915" s="5"/>
      <c r="BD2915" s="5"/>
      <c r="BE2915" s="5"/>
      <c r="BF2915" s="5"/>
      <c r="BG2915" s="5"/>
      <c r="BH2915" s="5"/>
      <c r="BI2915" s="5"/>
      <c r="BJ2915" s="5"/>
      <c r="BK2915" s="5"/>
      <c r="BL2915" s="5"/>
      <c r="BM2915" s="5"/>
      <c r="BN2915" s="5"/>
      <c r="BO2915" s="5"/>
      <c r="BP2915" s="5"/>
      <c r="BQ2915" s="5"/>
      <c r="BR2915" s="5"/>
      <c r="BS2915" s="5"/>
      <c r="BT2915" s="5"/>
      <c r="BU2915" s="5"/>
      <c r="BV2915" s="5"/>
      <c r="BW2915" s="5"/>
      <c r="BX2915" s="5"/>
      <c r="BY2915" s="5"/>
      <c r="BZ2915" s="5"/>
      <c r="CA2915" s="5"/>
    </row>
    <row r="2916" spans="1:79" s="400" customFormat="1" ht="15" customHeight="1">
      <c r="A2916" s="404" t="s">
        <v>4668</v>
      </c>
      <c r="B2916" s="402" t="s">
        <v>4719</v>
      </c>
      <c r="C2916" s="113" t="s">
        <v>4719</v>
      </c>
      <c r="D2916" s="393" t="s">
        <v>133</v>
      </c>
      <c r="E2916" s="394" t="s">
        <v>1247</v>
      </c>
      <c r="F2916" s="402">
        <v>4005</v>
      </c>
      <c r="G2916" s="405" t="s">
        <v>4720</v>
      </c>
      <c r="H2916" s="404">
        <v>3441</v>
      </c>
      <c r="I2916" s="402"/>
      <c r="J2916" s="406" t="s">
        <v>5679</v>
      </c>
      <c r="K2916" s="403">
        <v>41030</v>
      </c>
      <c r="L2916" s="398">
        <v>41026</v>
      </c>
      <c r="M2916" s="402">
        <f t="shared" si="168"/>
        <v>4</v>
      </c>
      <c r="N2916" s="402" t="s">
        <v>2</v>
      </c>
      <c r="O2916" s="404">
        <v>16.100000000000001</v>
      </c>
      <c r="P2916" s="402"/>
      <c r="Q2916" s="404">
        <v>9.1</v>
      </c>
      <c r="R2916" s="402">
        <v>105</v>
      </c>
      <c r="S2916" s="404">
        <v>1182</v>
      </c>
      <c r="T2916" s="402">
        <v>0.72</v>
      </c>
      <c r="U2916" s="395">
        <v>2.5499999999999998</v>
      </c>
      <c r="V2916" s="402">
        <v>0.53</v>
      </c>
      <c r="W2916" s="404">
        <v>0.16300000000000001</v>
      </c>
      <c r="X2916" s="402">
        <v>0.57699999999999996</v>
      </c>
      <c r="Y2916" s="404">
        <v>0.5</v>
      </c>
      <c r="Z2916" s="397">
        <v>0.70699999999999996</v>
      </c>
      <c r="AA2916" s="399">
        <v>0.70699999999999996</v>
      </c>
      <c r="AB2916" s="394">
        <v>98</v>
      </c>
      <c r="AC2916" s="402">
        <v>135</v>
      </c>
      <c r="AD2916" s="399">
        <v>0</v>
      </c>
      <c r="AE2916" s="402"/>
      <c r="AF2916" s="391"/>
      <c r="AG2916" s="394"/>
      <c r="AH2916" s="394"/>
      <c r="AI2916" s="394"/>
      <c r="AJ2916" s="394"/>
      <c r="AK2916" s="394"/>
      <c r="AL2916" s="394"/>
      <c r="AM2916" s="394"/>
      <c r="AN2916" s="394"/>
      <c r="AO2916" s="394"/>
      <c r="AP2916" s="394"/>
      <c r="AQ2916" s="394"/>
      <c r="AR2916" s="394"/>
      <c r="AS2916" s="402"/>
      <c r="AT2916" s="404"/>
      <c r="AU2916" s="394"/>
      <c r="AV2916" s="394"/>
      <c r="AW2916" s="394"/>
      <c r="AX2916" s="5"/>
      <c r="AY2916" s="5"/>
      <c r="AZ2916" s="5"/>
      <c r="BA2916" s="5"/>
      <c r="BB2916" s="5"/>
      <c r="BC2916" s="5"/>
      <c r="BD2916" s="5"/>
      <c r="BE2916" s="5"/>
      <c r="BF2916" s="5"/>
      <c r="BG2916" s="5"/>
      <c r="BH2916" s="5"/>
      <c r="BI2916" s="5"/>
      <c r="BJ2916" s="5"/>
      <c r="BK2916" s="5"/>
      <c r="BL2916" s="5"/>
      <c r="BM2916" s="5"/>
      <c r="BN2916" s="5"/>
      <c r="BO2916" s="5"/>
      <c r="BP2916" s="5"/>
      <c r="BQ2916" s="5"/>
      <c r="BR2916" s="5"/>
      <c r="BS2916" s="5"/>
      <c r="BT2916" s="5"/>
      <c r="BU2916" s="5"/>
      <c r="BV2916" s="5"/>
      <c r="BW2916" s="5"/>
      <c r="BX2916" s="5"/>
      <c r="BY2916" s="5"/>
      <c r="BZ2916" s="5"/>
      <c r="CA2916" s="5"/>
    </row>
    <row r="2917" spans="1:79" s="400" customFormat="1" ht="15" customHeight="1">
      <c r="A2917" s="404" t="s">
        <v>4668</v>
      </c>
      <c r="B2917" s="402" t="s">
        <v>1296</v>
      </c>
      <c r="C2917" s="113" t="s">
        <v>1296</v>
      </c>
      <c r="D2917" s="393" t="s">
        <v>89</v>
      </c>
      <c r="E2917" s="394" t="s">
        <v>535</v>
      </c>
      <c r="F2917" s="402"/>
      <c r="G2917" s="405" t="s">
        <v>1298</v>
      </c>
      <c r="H2917" s="404">
        <v>3562</v>
      </c>
      <c r="I2917" s="402" t="s">
        <v>2</v>
      </c>
      <c r="J2917" s="406"/>
      <c r="K2917" s="403">
        <v>41105</v>
      </c>
      <c r="L2917" s="398">
        <v>41095</v>
      </c>
      <c r="M2917" s="402">
        <f t="shared" si="168"/>
        <v>10</v>
      </c>
      <c r="N2917" s="402" t="s">
        <v>2</v>
      </c>
      <c r="O2917" s="404">
        <f>5/2</f>
        <v>2.5</v>
      </c>
      <c r="P2917" s="402">
        <v>6.91</v>
      </c>
      <c r="Q2917" s="404">
        <v>7.65</v>
      </c>
      <c r="R2917" s="402">
        <v>43</v>
      </c>
      <c r="S2917" s="404">
        <v>5</v>
      </c>
      <c r="T2917" s="402">
        <f>0.1/2</f>
        <v>0.05</v>
      </c>
      <c r="U2917" s="395">
        <f>1/2</f>
        <v>0.5</v>
      </c>
      <c r="V2917" s="402">
        <v>0.14000000000000001</v>
      </c>
      <c r="W2917" s="404">
        <f>0.04/2</f>
        <v>0.02</v>
      </c>
      <c r="X2917" s="402">
        <v>3.1E-2</v>
      </c>
      <c r="Y2917" s="404">
        <f>0.013/2</f>
        <v>6.4999999999999997E-3</v>
      </c>
      <c r="Z2917" s="397">
        <v>1</v>
      </c>
      <c r="AA2917" s="399">
        <v>1</v>
      </c>
      <c r="AB2917" s="394">
        <v>5.7</v>
      </c>
      <c r="AC2917" s="402">
        <v>37</v>
      </c>
      <c r="AD2917" s="399">
        <v>0.95</v>
      </c>
      <c r="AE2917" s="402"/>
      <c r="AF2917" s="391"/>
      <c r="AG2917" s="394"/>
      <c r="AH2917" s="394"/>
      <c r="AI2917" s="394"/>
      <c r="AJ2917" s="394"/>
      <c r="AK2917" s="394"/>
      <c r="AL2917" s="394"/>
      <c r="AM2917" s="394"/>
      <c r="AN2917" s="394"/>
      <c r="AO2917" s="394"/>
      <c r="AP2917" s="394"/>
      <c r="AQ2917" s="394"/>
      <c r="AR2917" s="394"/>
      <c r="AS2917" s="402"/>
      <c r="AT2917" s="404"/>
      <c r="AU2917" s="394"/>
      <c r="AV2917" s="394"/>
      <c r="AW2917" s="394"/>
      <c r="AX2917" s="5"/>
      <c r="AY2917" s="5"/>
      <c r="AZ2917" s="5"/>
      <c r="BA2917" s="5"/>
      <c r="BB2917" s="5"/>
      <c r="BC2917" s="5"/>
      <c r="BD2917" s="5"/>
      <c r="BE2917" s="5"/>
      <c r="BF2917" s="5"/>
      <c r="BG2917" s="5"/>
      <c r="BH2917" s="5"/>
      <c r="BI2917" s="5"/>
      <c r="BJ2917" s="5"/>
      <c r="BK2917" s="5"/>
      <c r="BL2917" s="5"/>
      <c r="BM2917" s="5"/>
      <c r="BN2917" s="5"/>
      <c r="BO2917" s="5"/>
      <c r="BP2917" s="5"/>
      <c r="BQ2917" s="5"/>
      <c r="BR2917" s="5"/>
      <c r="BS2917" s="5"/>
      <c r="BT2917" s="5"/>
      <c r="BU2917" s="5"/>
      <c r="BV2917" s="5"/>
      <c r="BW2917" s="5"/>
      <c r="BX2917" s="5"/>
      <c r="BY2917" s="5"/>
      <c r="BZ2917" s="5"/>
      <c r="CA2917" s="5"/>
    </row>
    <row r="2918" spans="1:79" s="400" customFormat="1" ht="15" customHeight="1">
      <c r="A2918" s="41" t="s">
        <v>183</v>
      </c>
      <c r="B2918" s="402" t="s">
        <v>5673</v>
      </c>
      <c r="C2918" s="113" t="s">
        <v>5674</v>
      </c>
      <c r="D2918" s="393"/>
      <c r="E2918" s="394" t="s">
        <v>112</v>
      </c>
      <c r="F2918" s="402"/>
      <c r="G2918" s="405" t="s">
        <v>5675</v>
      </c>
      <c r="H2918" s="404" t="s">
        <v>5676</v>
      </c>
      <c r="I2918" s="402" t="s">
        <v>2</v>
      </c>
      <c r="J2918" s="406" t="s">
        <v>5677</v>
      </c>
      <c r="K2918" s="403">
        <v>41073</v>
      </c>
      <c r="L2918" s="398">
        <v>41066</v>
      </c>
      <c r="M2918" s="402">
        <f t="shared" si="168"/>
        <v>7</v>
      </c>
      <c r="N2918" s="402" t="s">
        <v>2</v>
      </c>
      <c r="O2918" s="404">
        <f>1/2</f>
        <v>0.5</v>
      </c>
      <c r="P2918" s="402">
        <v>6</v>
      </c>
      <c r="Q2918" s="404">
        <v>5.42</v>
      </c>
      <c r="R2918" s="402">
        <v>3.7</v>
      </c>
      <c r="S2918" s="404">
        <f>1/2</f>
        <v>0.5</v>
      </c>
      <c r="T2918" s="402">
        <v>0.27</v>
      </c>
      <c r="U2918" s="395">
        <v>0.63</v>
      </c>
      <c r="V2918" s="402">
        <f>0.1/2</f>
        <v>0.05</v>
      </c>
      <c r="W2918" s="404">
        <v>2.4E-2</v>
      </c>
      <c r="X2918" s="402">
        <v>2.5000000000000001E-2</v>
      </c>
      <c r="Y2918" s="404">
        <v>8.9999999999999993E-3</v>
      </c>
      <c r="Z2918" s="397">
        <v>0.73499999999999999</v>
      </c>
      <c r="AA2918" s="399">
        <v>0.70699999999999996</v>
      </c>
      <c r="AB2918" s="394">
        <v>153</v>
      </c>
      <c r="AC2918" s="402">
        <v>9</v>
      </c>
      <c r="AD2918" s="399">
        <v>0</v>
      </c>
      <c r="AE2918" s="402"/>
      <c r="AF2918" s="391"/>
      <c r="AG2918" s="394"/>
      <c r="AH2918" s="394"/>
      <c r="AI2918" s="394"/>
      <c r="AJ2918" s="394"/>
      <c r="AK2918" s="394"/>
      <c r="AL2918" s="394"/>
      <c r="AM2918" s="394"/>
      <c r="AN2918" s="394"/>
      <c r="AO2918" s="394"/>
      <c r="AP2918" s="394"/>
      <c r="AQ2918" s="394"/>
      <c r="AR2918" s="394"/>
      <c r="AS2918" s="402"/>
      <c r="AT2918" s="404"/>
      <c r="AU2918" s="394"/>
      <c r="AV2918" s="394"/>
      <c r="AW2918" s="394"/>
      <c r="AX2918" s="5"/>
      <c r="AY2918" s="5"/>
      <c r="AZ2918" s="5"/>
      <c r="BA2918" s="5"/>
      <c r="BB2918" s="5"/>
      <c r="BC2918" s="5"/>
      <c r="BD2918" s="5"/>
      <c r="BE2918" s="5"/>
      <c r="BF2918" s="5"/>
      <c r="BG2918" s="5"/>
      <c r="BH2918" s="5"/>
      <c r="BI2918" s="5"/>
      <c r="BJ2918" s="5"/>
      <c r="BK2918" s="5"/>
      <c r="BL2918" s="5"/>
      <c r="BM2918" s="5"/>
      <c r="BN2918" s="5"/>
      <c r="BO2918" s="5"/>
      <c r="BP2918" s="5"/>
      <c r="BQ2918" s="5"/>
      <c r="BR2918" s="5"/>
      <c r="BS2918" s="5"/>
      <c r="BT2918" s="5"/>
      <c r="BU2918" s="5"/>
      <c r="BV2918" s="5"/>
      <c r="BW2918" s="5"/>
      <c r="BX2918" s="5"/>
      <c r="BY2918" s="5"/>
      <c r="BZ2918" s="5"/>
      <c r="CA2918" s="5"/>
    </row>
    <row r="2919" spans="1:79" s="400" customFormat="1" ht="15" customHeight="1">
      <c r="A2919" s="404" t="s">
        <v>4668</v>
      </c>
      <c r="B2919" s="402" t="s">
        <v>4881</v>
      </c>
      <c r="C2919" s="113" t="s">
        <v>4886</v>
      </c>
      <c r="D2919" s="393" t="s">
        <v>133</v>
      </c>
      <c r="E2919" s="394" t="s">
        <v>1546</v>
      </c>
      <c r="F2919" s="402"/>
      <c r="G2919" s="405" t="s">
        <v>4887</v>
      </c>
      <c r="H2919" s="404">
        <v>4952</v>
      </c>
      <c r="I2919" s="402" t="s">
        <v>2</v>
      </c>
      <c r="J2919" s="406" t="s">
        <v>96</v>
      </c>
      <c r="K2919" s="403">
        <v>41157</v>
      </c>
      <c r="L2919" s="398">
        <v>41139</v>
      </c>
      <c r="M2919" s="402">
        <f t="shared" si="168"/>
        <v>18</v>
      </c>
      <c r="N2919" s="402" t="s">
        <v>2</v>
      </c>
      <c r="O2919" s="404">
        <f>0.5/2</f>
        <v>0.25</v>
      </c>
      <c r="P2919" s="402">
        <v>5.96</v>
      </c>
      <c r="Q2919" s="404">
        <v>6.84</v>
      </c>
      <c r="R2919" s="402">
        <v>17</v>
      </c>
      <c r="S2919" s="404">
        <v>56</v>
      </c>
      <c r="T2919" s="402">
        <f>0.05/2</f>
        <v>2.5000000000000001E-2</v>
      </c>
      <c r="U2919" s="395">
        <v>3.42</v>
      </c>
      <c r="V2919" s="402">
        <v>0.3</v>
      </c>
      <c r="W2919" s="404">
        <v>1.23E-2</v>
      </c>
      <c r="X2919" s="402">
        <v>6.9099999999999995E-2</v>
      </c>
      <c r="Y2919" s="404">
        <v>4.1399999999999996E-3</v>
      </c>
      <c r="Z2919" s="397">
        <v>1</v>
      </c>
      <c r="AA2919" s="399">
        <v>1</v>
      </c>
      <c r="AB2919" s="394">
        <v>64</v>
      </c>
      <c r="AC2919" s="402">
        <v>224</v>
      </c>
      <c r="AD2919" s="399">
        <v>0.95</v>
      </c>
      <c r="AE2919" s="402"/>
      <c r="AF2919" s="391"/>
      <c r="AG2919" s="394"/>
      <c r="AH2919" s="394"/>
      <c r="AI2919" s="394"/>
      <c r="AJ2919" s="394"/>
      <c r="AK2919" s="394"/>
      <c r="AL2919" s="394"/>
      <c r="AM2919" s="394"/>
      <c r="AN2919" s="394"/>
      <c r="AO2919" s="394"/>
      <c r="AP2919" s="394"/>
      <c r="AQ2919" s="394"/>
      <c r="AR2919" s="394"/>
      <c r="AS2919" s="402"/>
      <c r="AT2919" s="404"/>
      <c r="AU2919" s="394"/>
      <c r="AV2919" s="394"/>
      <c r="AW2919" s="394"/>
      <c r="AX2919" s="5"/>
      <c r="AY2919" s="5"/>
      <c r="AZ2919" s="5"/>
      <c r="BA2919" s="5"/>
      <c r="BB2919" s="5"/>
      <c r="BC2919" s="5"/>
      <c r="BD2919" s="5"/>
      <c r="BE2919" s="5"/>
      <c r="BF2919" s="5"/>
      <c r="BG2919" s="5"/>
      <c r="BH2919" s="5"/>
      <c r="BI2919" s="5"/>
      <c r="BJ2919" s="5"/>
      <c r="BK2919" s="5"/>
      <c r="BL2919" s="5"/>
      <c r="BM2919" s="5"/>
      <c r="BN2919" s="5"/>
      <c r="BO2919" s="5"/>
      <c r="BP2919" s="5"/>
      <c r="BQ2919" s="5"/>
      <c r="BR2919" s="5"/>
      <c r="BS2919" s="5"/>
      <c r="BT2919" s="5"/>
      <c r="BU2919" s="5"/>
      <c r="BV2919" s="5"/>
      <c r="BW2919" s="5"/>
      <c r="BX2919" s="5"/>
      <c r="BY2919" s="5"/>
      <c r="BZ2919" s="5"/>
      <c r="CA2919" s="5"/>
    </row>
    <row r="2920" spans="1:79" s="400" customFormat="1" ht="15" customHeight="1">
      <c r="A2920" s="404" t="s">
        <v>4668</v>
      </c>
      <c r="B2920" s="402" t="s">
        <v>4881</v>
      </c>
      <c r="C2920" s="113" t="s">
        <v>4886</v>
      </c>
      <c r="D2920" s="393" t="s">
        <v>133</v>
      </c>
      <c r="E2920" s="394" t="s">
        <v>1546</v>
      </c>
      <c r="F2920" s="402"/>
      <c r="G2920" s="405" t="s">
        <v>4887</v>
      </c>
      <c r="H2920" s="404">
        <v>4952</v>
      </c>
      <c r="I2920" s="402" t="s">
        <v>2</v>
      </c>
      <c r="J2920" s="406" t="s">
        <v>254</v>
      </c>
      <c r="K2920" s="403">
        <v>41157</v>
      </c>
      <c r="L2920" s="398">
        <v>41139</v>
      </c>
      <c r="M2920" s="402">
        <f t="shared" si="168"/>
        <v>18</v>
      </c>
      <c r="N2920" s="402" t="s">
        <v>2</v>
      </c>
      <c r="O2920" s="404">
        <f>0.5/2</f>
        <v>0.25</v>
      </c>
      <c r="P2920" s="402">
        <v>5.96</v>
      </c>
      <c r="Q2920" s="404">
        <v>7.4</v>
      </c>
      <c r="R2920" s="402">
        <f>10/2</f>
        <v>5</v>
      </c>
      <c r="S2920" s="404">
        <v>32</v>
      </c>
      <c r="T2920" s="402">
        <v>7.0000000000000007E-2</v>
      </c>
      <c r="U2920" s="395">
        <v>0.88400000000000001</v>
      </c>
      <c r="V2920" s="402">
        <v>0.39</v>
      </c>
      <c r="W2920" s="404">
        <v>1.29E-2</v>
      </c>
      <c r="X2920" s="402">
        <v>8.2400000000000001E-2</v>
      </c>
      <c r="Y2920" s="404">
        <v>1.5599999999999999E-2</v>
      </c>
      <c r="Z2920" s="397">
        <v>1</v>
      </c>
      <c r="AA2920" s="399">
        <v>1</v>
      </c>
      <c r="AB2920" s="394">
        <v>6</v>
      </c>
      <c r="AC2920" s="402">
        <v>24</v>
      </c>
      <c r="AD2920" s="399">
        <v>1</v>
      </c>
      <c r="AE2920" s="402"/>
      <c r="AF2920" s="391"/>
      <c r="AG2920" s="394"/>
      <c r="AH2920" s="394"/>
      <c r="AI2920" s="394"/>
      <c r="AJ2920" s="394"/>
      <c r="AK2920" s="394"/>
      <c r="AL2920" s="394"/>
      <c r="AM2920" s="394"/>
      <c r="AN2920" s="394"/>
      <c r="AO2920" s="394"/>
      <c r="AP2920" s="394"/>
      <c r="AQ2920" s="394"/>
      <c r="AR2920" s="394"/>
      <c r="AS2920" s="402"/>
      <c r="AT2920" s="404"/>
      <c r="AU2920" s="394"/>
      <c r="AV2920" s="394"/>
      <c r="AW2920" s="394"/>
      <c r="AX2920" s="5"/>
      <c r="AY2920" s="5"/>
      <c r="AZ2920" s="5"/>
      <c r="BA2920" s="5"/>
      <c r="BB2920" s="5"/>
      <c r="BC2920" s="5"/>
      <c r="BD2920" s="5"/>
      <c r="BE2920" s="5"/>
      <c r="BF2920" s="5"/>
      <c r="BG2920" s="5"/>
      <c r="BH2920" s="5"/>
      <c r="BI2920" s="5"/>
      <c r="BJ2920" s="5"/>
      <c r="BK2920" s="5"/>
      <c r="BL2920" s="5"/>
      <c r="BM2920" s="5"/>
      <c r="BN2920" s="5"/>
      <c r="BO2920" s="5"/>
      <c r="BP2920" s="5"/>
      <c r="BQ2920" s="5"/>
      <c r="BR2920" s="5"/>
      <c r="BS2920" s="5"/>
      <c r="BT2920" s="5"/>
      <c r="BU2920" s="5"/>
      <c r="BV2920" s="5"/>
      <c r="BW2920" s="5"/>
      <c r="BX2920" s="5"/>
      <c r="BY2920" s="5"/>
      <c r="BZ2920" s="5"/>
      <c r="CA2920" s="5"/>
    </row>
    <row r="2921" spans="1:79" s="400" customFormat="1" ht="15" customHeight="1">
      <c r="A2921" s="404" t="s">
        <v>4668</v>
      </c>
      <c r="B2921" s="402" t="s">
        <v>4881</v>
      </c>
      <c r="C2921" s="113" t="s">
        <v>4886</v>
      </c>
      <c r="D2921" s="393" t="s">
        <v>133</v>
      </c>
      <c r="E2921" s="394" t="s">
        <v>1546</v>
      </c>
      <c r="F2921" s="402"/>
      <c r="G2921" s="405" t="s">
        <v>4887</v>
      </c>
      <c r="H2921" s="404">
        <v>4952</v>
      </c>
      <c r="I2921" s="402" t="s">
        <v>2</v>
      </c>
      <c r="J2921" s="406" t="s">
        <v>1867</v>
      </c>
      <c r="K2921" s="403">
        <v>41157</v>
      </c>
      <c r="L2921" s="398">
        <v>41139</v>
      </c>
      <c r="M2921" s="402">
        <f t="shared" si="168"/>
        <v>18</v>
      </c>
      <c r="N2921" s="402" t="s">
        <v>2</v>
      </c>
      <c r="O2921" s="404">
        <v>0.61</v>
      </c>
      <c r="P2921" s="402">
        <v>5.96</v>
      </c>
      <c r="Q2921" s="404">
        <v>6.79</v>
      </c>
      <c r="R2921" s="402">
        <v>58</v>
      </c>
      <c r="S2921" s="404">
        <v>141</v>
      </c>
      <c r="T2921" s="402">
        <v>6.34</v>
      </c>
      <c r="U2921" s="395">
        <v>2.04</v>
      </c>
      <c r="V2921" s="402">
        <v>0.46</v>
      </c>
      <c r="W2921" s="404">
        <v>0.155</v>
      </c>
      <c r="X2921" s="402">
        <v>0.182</v>
      </c>
      <c r="Y2921" s="404">
        <v>2.06E-2</v>
      </c>
      <c r="Z2921" s="397">
        <v>1</v>
      </c>
      <c r="AA2921" s="399">
        <v>1</v>
      </c>
      <c r="AB2921" s="394">
        <v>22</v>
      </c>
      <c r="AC2921" s="402">
        <v>89</v>
      </c>
      <c r="AD2921" s="399">
        <v>1</v>
      </c>
      <c r="AE2921" s="402"/>
      <c r="AF2921" s="391"/>
      <c r="AG2921" s="394"/>
      <c r="AH2921" s="394"/>
      <c r="AI2921" s="394"/>
      <c r="AJ2921" s="394"/>
      <c r="AK2921" s="394"/>
      <c r="AL2921" s="394"/>
      <c r="AM2921" s="394"/>
      <c r="AN2921" s="394"/>
      <c r="AO2921" s="394"/>
      <c r="AP2921" s="394"/>
      <c r="AQ2921" s="394"/>
      <c r="AR2921" s="394"/>
      <c r="AS2921" s="402"/>
      <c r="AT2921" s="404"/>
      <c r="AU2921" s="394"/>
      <c r="AV2921" s="394"/>
      <c r="AW2921" s="394"/>
      <c r="AX2921" s="5"/>
      <c r="AY2921" s="5"/>
      <c r="AZ2921" s="5"/>
      <c r="BA2921" s="5"/>
      <c r="BB2921" s="5"/>
      <c r="BC2921" s="5"/>
      <c r="BD2921" s="5"/>
      <c r="BE2921" s="5"/>
      <c r="BF2921" s="5"/>
      <c r="BG2921" s="5"/>
      <c r="BH2921" s="5"/>
      <c r="BI2921" s="5"/>
      <c r="BJ2921" s="5"/>
      <c r="BK2921" s="5"/>
      <c r="BL2921" s="5"/>
      <c r="BM2921" s="5"/>
      <c r="BN2921" s="5"/>
      <c r="BO2921" s="5"/>
      <c r="BP2921" s="5"/>
      <c r="BQ2921" s="5"/>
      <c r="BR2921" s="5"/>
      <c r="BS2921" s="5"/>
      <c r="BT2921" s="5"/>
      <c r="BU2921" s="5"/>
      <c r="BV2921" s="5"/>
      <c r="BW2921" s="5"/>
      <c r="BX2921" s="5"/>
      <c r="BY2921" s="5"/>
      <c r="BZ2921" s="5"/>
      <c r="CA2921" s="5"/>
    </row>
    <row r="2922" spans="1:79" s="400" customFormat="1" ht="15" customHeight="1">
      <c r="A2922" s="404" t="s">
        <v>4668</v>
      </c>
      <c r="B2922" s="386" t="s">
        <v>633</v>
      </c>
      <c r="C2922" s="149" t="s">
        <v>633</v>
      </c>
      <c r="D2922" s="392" t="s">
        <v>314</v>
      </c>
      <c r="E2922" s="258" t="s">
        <v>634</v>
      </c>
      <c r="F2922" s="402"/>
      <c r="G2922" s="405" t="s">
        <v>5810</v>
      </c>
      <c r="H2922" s="404">
        <v>3087</v>
      </c>
      <c r="I2922" s="402"/>
      <c r="J2922" s="406" t="s">
        <v>272</v>
      </c>
      <c r="K2922" s="403">
        <v>41030</v>
      </c>
      <c r="L2922" s="398">
        <v>41022</v>
      </c>
      <c r="M2922" s="402">
        <f t="shared" si="168"/>
        <v>8</v>
      </c>
      <c r="N2922" s="402" t="s">
        <v>2</v>
      </c>
      <c r="O2922" s="404">
        <v>2.5</v>
      </c>
      <c r="P2922" s="402">
        <v>4.7699999999999996</v>
      </c>
      <c r="Q2922" s="404">
        <v>6.32</v>
      </c>
      <c r="R2922" s="402">
        <v>200</v>
      </c>
      <c r="S2922" s="404">
        <v>56</v>
      </c>
      <c r="T2922" s="402">
        <v>0.97</v>
      </c>
      <c r="U2922" s="395">
        <v>7.42</v>
      </c>
      <c r="V2922" s="402">
        <v>1.48</v>
      </c>
      <c r="W2922" s="404">
        <v>2.8000000000000001E-2</v>
      </c>
      <c r="X2922" s="402">
        <v>0.10299999999999999</v>
      </c>
      <c r="Y2922" s="404">
        <v>3.0000000000000001E-3</v>
      </c>
      <c r="Z2922" s="397"/>
      <c r="AA2922" s="399"/>
      <c r="AB2922" s="394"/>
      <c r="AC2922" s="402"/>
      <c r="AD2922" s="399"/>
      <c r="AE2922" s="402"/>
      <c r="AF2922" s="391"/>
      <c r="AG2922" s="394"/>
      <c r="AH2922" s="394"/>
      <c r="AI2922" s="394"/>
      <c r="AJ2922" s="394"/>
      <c r="AK2922" s="394"/>
      <c r="AL2922" s="394"/>
      <c r="AM2922" s="394"/>
      <c r="AN2922" s="394"/>
      <c r="AO2922" s="394"/>
      <c r="AP2922" s="394"/>
      <c r="AQ2922" s="394"/>
      <c r="AR2922" s="394"/>
      <c r="AS2922" s="402"/>
      <c r="AT2922" s="404"/>
      <c r="AU2922" s="394"/>
      <c r="AV2922" s="394"/>
      <c r="AW2922" s="394"/>
      <c r="AX2922" s="5"/>
      <c r="AY2922" s="5"/>
      <c r="AZ2922" s="5"/>
      <c r="BA2922" s="5"/>
      <c r="BB2922" s="5"/>
      <c r="BC2922" s="5"/>
      <c r="BD2922" s="5"/>
      <c r="BE2922" s="5"/>
      <c r="BF2922" s="5"/>
      <c r="BG2922" s="5"/>
      <c r="BH2922" s="5"/>
      <c r="BI2922" s="5"/>
      <c r="BJ2922" s="5"/>
      <c r="BK2922" s="5"/>
      <c r="BL2922" s="5"/>
      <c r="BM2922" s="5"/>
      <c r="BN2922" s="5"/>
      <c r="BO2922" s="5"/>
      <c r="BP2922" s="5"/>
      <c r="BQ2922" s="5"/>
      <c r="BR2922" s="5"/>
      <c r="BS2922" s="5"/>
      <c r="BT2922" s="5"/>
      <c r="BU2922" s="5"/>
      <c r="BV2922" s="5"/>
      <c r="BW2922" s="5"/>
      <c r="BX2922" s="5"/>
      <c r="BY2922" s="5"/>
      <c r="BZ2922" s="5"/>
      <c r="CA2922" s="5"/>
    </row>
    <row r="2923" spans="1:79" s="400" customFormat="1" ht="15" customHeight="1">
      <c r="A2923" s="404" t="s">
        <v>4668</v>
      </c>
      <c r="B2923" s="386" t="s">
        <v>633</v>
      </c>
      <c r="C2923" s="149" t="s">
        <v>633</v>
      </c>
      <c r="D2923" s="392" t="s">
        <v>314</v>
      </c>
      <c r="E2923" s="258" t="s">
        <v>634</v>
      </c>
      <c r="F2923" s="402"/>
      <c r="G2923" s="405" t="s">
        <v>5810</v>
      </c>
      <c r="H2923" s="404">
        <v>3087</v>
      </c>
      <c r="I2923" s="402"/>
      <c r="J2923" s="406" t="s">
        <v>270</v>
      </c>
      <c r="K2923" s="403">
        <v>41030</v>
      </c>
      <c r="L2923" s="398">
        <v>41022</v>
      </c>
      <c r="M2923" s="402">
        <f t="shared" si="168"/>
        <v>8</v>
      </c>
      <c r="N2923" s="402" t="s">
        <v>2</v>
      </c>
      <c r="O2923" s="404">
        <v>1.7</v>
      </c>
      <c r="P2923" s="402">
        <v>4.7699999999999996</v>
      </c>
      <c r="Q2923" s="404">
        <v>6.39</v>
      </c>
      <c r="R2923" s="402">
        <v>58</v>
      </c>
      <c r="S2923" s="404">
        <v>60</v>
      </c>
      <c r="T2923" s="402">
        <v>0.45</v>
      </c>
      <c r="U2923" s="395">
        <v>3.99</v>
      </c>
      <c r="V2923" s="402">
        <v>1.17</v>
      </c>
      <c r="W2923" s="404">
        <v>2.3E-2</v>
      </c>
      <c r="X2923" s="402">
        <v>0.44400000000000001</v>
      </c>
      <c r="Y2923" s="404">
        <f>0.002/2</f>
        <v>1E-3</v>
      </c>
      <c r="Z2923" s="397"/>
      <c r="AA2923" s="399"/>
      <c r="AB2923" s="394"/>
      <c r="AC2923" s="402"/>
      <c r="AD2923" s="399"/>
      <c r="AE2923" s="402"/>
      <c r="AF2923" s="391"/>
      <c r="AG2923" s="394"/>
      <c r="AH2923" s="394"/>
      <c r="AI2923" s="394"/>
      <c r="AJ2923" s="394"/>
      <c r="AK2923" s="394"/>
      <c r="AL2923" s="394"/>
      <c r="AM2923" s="394"/>
      <c r="AN2923" s="394"/>
      <c r="AO2923" s="394"/>
      <c r="AP2923" s="394"/>
      <c r="AQ2923" s="394"/>
      <c r="AR2923" s="394"/>
      <c r="AS2923" s="402"/>
      <c r="AT2923" s="404"/>
      <c r="AU2923" s="394"/>
      <c r="AV2923" s="394"/>
      <c r="AW2923" s="394"/>
      <c r="AX2923" s="5"/>
      <c r="AY2923" s="5"/>
      <c r="AZ2923" s="5"/>
      <c r="BA2923" s="5"/>
      <c r="BB2923" s="5"/>
      <c r="BC2923" s="5"/>
      <c r="BD2923" s="5"/>
      <c r="BE2923" s="5"/>
      <c r="BF2923" s="5"/>
      <c r="BG2923" s="5"/>
      <c r="BH2923" s="5"/>
      <c r="BI2923" s="5"/>
      <c r="BJ2923" s="5"/>
      <c r="BK2923" s="5"/>
      <c r="BL2923" s="5"/>
      <c r="BM2923" s="5"/>
      <c r="BN2923" s="5"/>
      <c r="BO2923" s="5"/>
      <c r="BP2923" s="5"/>
      <c r="BQ2923" s="5"/>
      <c r="BR2923" s="5"/>
      <c r="BS2923" s="5"/>
      <c r="BT2923" s="5"/>
      <c r="BU2923" s="5"/>
      <c r="BV2923" s="5"/>
      <c r="BW2923" s="5"/>
      <c r="BX2923" s="5"/>
      <c r="BY2923" s="5"/>
      <c r="BZ2923" s="5"/>
      <c r="CA2923" s="5"/>
    </row>
    <row r="2924" spans="1:79" s="400" customFormat="1" ht="15" customHeight="1">
      <c r="A2924" s="404" t="s">
        <v>4668</v>
      </c>
      <c r="B2924" s="402" t="s">
        <v>4881</v>
      </c>
      <c r="C2924" s="113" t="s">
        <v>4886</v>
      </c>
      <c r="D2924" s="393" t="s">
        <v>133</v>
      </c>
      <c r="E2924" s="394" t="s">
        <v>1546</v>
      </c>
      <c r="F2924" s="402"/>
      <c r="G2924" s="405" t="s">
        <v>4887</v>
      </c>
      <c r="H2924" s="404">
        <v>4952</v>
      </c>
      <c r="I2924" s="402" t="s">
        <v>2</v>
      </c>
      <c r="J2924" s="406" t="s">
        <v>96</v>
      </c>
      <c r="K2924" s="403">
        <v>41072</v>
      </c>
      <c r="L2924" s="398">
        <v>41062</v>
      </c>
      <c r="M2924" s="402">
        <f t="shared" si="168"/>
        <v>10</v>
      </c>
      <c r="N2924" s="402" t="s">
        <v>2</v>
      </c>
      <c r="O2924" s="404">
        <v>0.76</v>
      </c>
      <c r="P2924" s="402">
        <v>5.15</v>
      </c>
      <c r="Q2924" s="404">
        <v>7.04</v>
      </c>
      <c r="R2924" s="402">
        <v>100</v>
      </c>
      <c r="S2924" s="404">
        <v>35</v>
      </c>
      <c r="T2924" s="402">
        <v>1.49</v>
      </c>
      <c r="U2924" s="395">
        <v>1</v>
      </c>
      <c r="V2924" s="402">
        <v>0.60399999999999998</v>
      </c>
      <c r="W2924" s="404">
        <v>3.6400000000000002E-2</v>
      </c>
      <c r="X2924" s="402">
        <v>6.0699999999999997E-2</v>
      </c>
      <c r="Y2924" s="404">
        <v>8.1600000000000006E-3</v>
      </c>
      <c r="Z2924" s="397"/>
      <c r="AA2924" s="399"/>
      <c r="AB2924" s="394"/>
      <c r="AC2924" s="402"/>
      <c r="AD2924" s="399"/>
      <c r="AE2924" s="402"/>
      <c r="AF2924" s="391"/>
      <c r="AG2924" s="394"/>
      <c r="AH2924" s="394"/>
      <c r="AI2924" s="394"/>
      <c r="AJ2924" s="394"/>
      <c r="AK2924" s="394"/>
      <c r="AL2924" s="394"/>
      <c r="AM2924" s="394"/>
      <c r="AN2924" s="394"/>
      <c r="AO2924" s="394"/>
      <c r="AP2924" s="394"/>
      <c r="AQ2924" s="394"/>
      <c r="AR2924" s="394"/>
      <c r="AS2924" s="402"/>
      <c r="AT2924" s="404"/>
      <c r="AU2924" s="394"/>
      <c r="AV2924" s="394"/>
      <c r="AW2924" s="394"/>
      <c r="AX2924" s="5"/>
      <c r="AY2924" s="5"/>
      <c r="AZ2924" s="5"/>
      <c r="BA2924" s="5"/>
      <c r="BB2924" s="5"/>
      <c r="BC2924" s="5"/>
      <c r="BD2924" s="5"/>
      <c r="BE2924" s="5"/>
      <c r="BF2924" s="5"/>
      <c r="BG2924" s="5"/>
      <c r="BH2924" s="5"/>
      <c r="BI2924" s="5"/>
      <c r="BJ2924" s="5"/>
      <c r="BK2924" s="5"/>
      <c r="BL2924" s="5"/>
      <c r="BM2924" s="5"/>
      <c r="BN2924" s="5"/>
      <c r="BO2924" s="5"/>
      <c r="BP2924" s="5"/>
      <c r="BQ2924" s="5"/>
      <c r="BR2924" s="5"/>
      <c r="BS2924" s="5"/>
      <c r="BT2924" s="5"/>
      <c r="BU2924" s="5"/>
      <c r="BV2924" s="5"/>
      <c r="BW2924" s="5"/>
      <c r="BX2924" s="5"/>
      <c r="BY2924" s="5"/>
      <c r="BZ2924" s="5"/>
      <c r="CA2924" s="5"/>
    </row>
    <row r="2925" spans="1:79" s="400" customFormat="1" ht="15" customHeight="1">
      <c r="A2925" s="404" t="s">
        <v>4668</v>
      </c>
      <c r="B2925" s="402" t="s">
        <v>4881</v>
      </c>
      <c r="C2925" s="113" t="s">
        <v>4886</v>
      </c>
      <c r="D2925" s="393" t="s">
        <v>133</v>
      </c>
      <c r="E2925" s="394" t="s">
        <v>1546</v>
      </c>
      <c r="F2925" s="402"/>
      <c r="G2925" s="405" t="s">
        <v>4887</v>
      </c>
      <c r="H2925" s="404">
        <v>4952</v>
      </c>
      <c r="I2925" s="402" t="s">
        <v>2</v>
      </c>
      <c r="J2925" s="406" t="s">
        <v>1867</v>
      </c>
      <c r="K2925" s="403">
        <v>41072</v>
      </c>
      <c r="L2925" s="398">
        <v>41062</v>
      </c>
      <c r="M2925" s="402">
        <f t="shared" si="168"/>
        <v>10</v>
      </c>
      <c r="N2925" s="402" t="s">
        <v>2</v>
      </c>
      <c r="O2925" s="404">
        <v>3.33</v>
      </c>
      <c r="P2925" s="402">
        <v>5.15</v>
      </c>
      <c r="Q2925" s="404">
        <v>6.85</v>
      </c>
      <c r="R2925" s="402">
        <v>210</v>
      </c>
      <c r="S2925" s="404">
        <v>42</v>
      </c>
      <c r="T2925" s="402">
        <v>0.19</v>
      </c>
      <c r="U2925" s="395">
        <v>2.2000000000000002</v>
      </c>
      <c r="V2925" s="402">
        <v>0.747</v>
      </c>
      <c r="W2925" s="404">
        <v>2.1399999999999999E-2</v>
      </c>
      <c r="X2925" s="402">
        <v>9.74E-2</v>
      </c>
      <c r="Y2925" s="404">
        <f>0.003/2</f>
        <v>1.5E-3</v>
      </c>
      <c r="Z2925" s="397"/>
      <c r="AA2925" s="399"/>
      <c r="AB2925" s="394"/>
      <c r="AC2925" s="402"/>
      <c r="AD2925" s="399"/>
      <c r="AE2925" s="402"/>
      <c r="AF2925" s="391"/>
      <c r="AG2925" s="394"/>
      <c r="AH2925" s="394"/>
      <c r="AI2925" s="394"/>
      <c r="AJ2925" s="394"/>
      <c r="AK2925" s="394"/>
      <c r="AL2925" s="394"/>
      <c r="AM2925" s="394"/>
      <c r="AN2925" s="394"/>
      <c r="AO2925" s="394"/>
      <c r="AP2925" s="394"/>
      <c r="AQ2925" s="394"/>
      <c r="AR2925" s="394"/>
      <c r="AS2925" s="402"/>
      <c r="AT2925" s="404"/>
      <c r="AU2925" s="394"/>
      <c r="AV2925" s="394"/>
      <c r="AW2925" s="394"/>
      <c r="AX2925" s="5"/>
      <c r="AY2925" s="5"/>
      <c r="AZ2925" s="5"/>
      <c r="BA2925" s="5"/>
      <c r="BB2925" s="5"/>
      <c r="BC2925" s="5"/>
      <c r="BD2925" s="5"/>
      <c r="BE2925" s="5"/>
      <c r="BF2925" s="5"/>
      <c r="BG2925" s="5"/>
      <c r="BH2925" s="5"/>
      <c r="BI2925" s="5"/>
      <c r="BJ2925" s="5"/>
      <c r="BK2925" s="5"/>
      <c r="BL2925" s="5"/>
      <c r="BM2925" s="5"/>
      <c r="BN2925" s="5"/>
      <c r="BO2925" s="5"/>
      <c r="BP2925" s="5"/>
      <c r="BQ2925" s="5"/>
      <c r="BR2925" s="5"/>
      <c r="BS2925" s="5"/>
      <c r="BT2925" s="5"/>
      <c r="BU2925" s="5"/>
      <c r="BV2925" s="5"/>
      <c r="BW2925" s="5"/>
      <c r="BX2925" s="5"/>
      <c r="BY2925" s="5"/>
      <c r="BZ2925" s="5"/>
      <c r="CA2925" s="5"/>
    </row>
    <row r="2926" spans="1:79" s="400" customFormat="1" ht="15" customHeight="1">
      <c r="A2926" s="404" t="s">
        <v>4668</v>
      </c>
      <c r="B2926" s="402" t="s">
        <v>5680</v>
      </c>
      <c r="C2926" s="113" t="s">
        <v>5680</v>
      </c>
      <c r="D2926" s="393"/>
      <c r="E2926" s="394" t="s">
        <v>269</v>
      </c>
      <c r="F2926" s="402"/>
      <c r="G2926" s="405" t="s">
        <v>5681</v>
      </c>
      <c r="H2926" s="404">
        <v>3484</v>
      </c>
      <c r="I2926" s="402"/>
      <c r="J2926" s="406" t="s">
        <v>271</v>
      </c>
      <c r="K2926" s="403">
        <v>41030</v>
      </c>
      <c r="L2926" s="398">
        <v>41022</v>
      </c>
      <c r="M2926" s="402">
        <f t="shared" si="168"/>
        <v>8</v>
      </c>
      <c r="N2926" s="402" t="s">
        <v>2</v>
      </c>
      <c r="O2926" s="404">
        <v>5.3</v>
      </c>
      <c r="P2926" s="402">
        <v>4.79</v>
      </c>
      <c r="Q2926" s="404">
        <v>6.51</v>
      </c>
      <c r="R2926" s="402">
        <v>38.799999999999997</v>
      </c>
      <c r="S2926" s="404">
        <v>34</v>
      </c>
      <c r="T2926" s="402">
        <v>0.24</v>
      </c>
      <c r="U2926" s="395">
        <v>1.51</v>
      </c>
      <c r="V2926" s="402">
        <v>0.24</v>
      </c>
      <c r="W2926" s="404">
        <v>0.02</v>
      </c>
      <c r="X2926" s="402">
        <v>0.15</v>
      </c>
      <c r="Y2926" s="404">
        <v>0.02</v>
      </c>
      <c r="Z2926" s="397">
        <v>1</v>
      </c>
      <c r="AA2926" s="399">
        <v>1</v>
      </c>
      <c r="AB2926" s="394">
        <v>6.44</v>
      </c>
      <c r="AC2926" s="402">
        <v>32.700000000000003</v>
      </c>
      <c r="AD2926" s="399">
        <v>0.95</v>
      </c>
      <c r="AE2926" s="402"/>
      <c r="AF2926" s="391"/>
      <c r="AG2926" s="394"/>
      <c r="AH2926" s="394"/>
      <c r="AI2926" s="394"/>
      <c r="AJ2926" s="394"/>
      <c r="AK2926" s="394"/>
      <c r="AL2926" s="394"/>
      <c r="AM2926" s="394"/>
      <c r="AN2926" s="394"/>
      <c r="AO2926" s="394"/>
      <c r="AP2926" s="394"/>
      <c r="AQ2926" s="394"/>
      <c r="AR2926" s="394"/>
      <c r="AS2926" s="402"/>
      <c r="AT2926" s="404"/>
      <c r="AU2926" s="394"/>
      <c r="AV2926" s="394"/>
      <c r="AW2926" s="394"/>
      <c r="AX2926" s="5"/>
      <c r="AY2926" s="5"/>
      <c r="AZ2926" s="5"/>
      <c r="BA2926" s="5"/>
      <c r="BB2926" s="5"/>
      <c r="BC2926" s="5"/>
      <c r="BD2926" s="5"/>
      <c r="BE2926" s="5"/>
      <c r="BF2926" s="5"/>
      <c r="BG2926" s="5"/>
      <c r="BH2926" s="5"/>
      <c r="BI2926" s="5"/>
      <c r="BJ2926" s="5"/>
      <c r="BK2926" s="5"/>
      <c r="BL2926" s="5"/>
      <c r="BM2926" s="5"/>
      <c r="BN2926" s="5"/>
      <c r="BO2926" s="5"/>
      <c r="BP2926" s="5"/>
      <c r="BQ2926" s="5"/>
      <c r="BR2926" s="5"/>
      <c r="BS2926" s="5"/>
      <c r="BT2926" s="5"/>
      <c r="BU2926" s="5"/>
      <c r="BV2926" s="5"/>
      <c r="BW2926" s="5"/>
      <c r="BX2926" s="5"/>
      <c r="BY2926" s="5"/>
      <c r="BZ2926" s="5"/>
      <c r="CA2926" s="5"/>
    </row>
    <row r="2927" spans="1:79" s="400" customFormat="1" ht="15" customHeight="1">
      <c r="A2927" s="404" t="s">
        <v>4668</v>
      </c>
      <c r="B2927" s="402" t="s">
        <v>5680</v>
      </c>
      <c r="C2927" s="113" t="s">
        <v>5680</v>
      </c>
      <c r="D2927" s="393"/>
      <c r="E2927" s="394" t="s">
        <v>269</v>
      </c>
      <c r="F2927" s="402"/>
      <c r="G2927" s="405" t="s">
        <v>5681</v>
      </c>
      <c r="H2927" s="404">
        <v>3484</v>
      </c>
      <c r="I2927" s="402"/>
      <c r="J2927" s="406" t="s">
        <v>272</v>
      </c>
      <c r="K2927" s="403">
        <v>41030</v>
      </c>
      <c r="L2927" s="398">
        <v>41022</v>
      </c>
      <c r="M2927" s="402">
        <f t="shared" si="168"/>
        <v>8</v>
      </c>
      <c r="N2927" s="402" t="s">
        <v>2</v>
      </c>
      <c r="O2927" s="404">
        <v>3.4</v>
      </c>
      <c r="P2927" s="402">
        <v>4.79</v>
      </c>
      <c r="Q2927" s="404">
        <v>7.52</v>
      </c>
      <c r="R2927" s="402">
        <v>47</v>
      </c>
      <c r="S2927" s="404">
        <v>61</v>
      </c>
      <c r="T2927" s="402">
        <v>0.16</v>
      </c>
      <c r="U2927" s="395">
        <v>0.95</v>
      </c>
      <c r="V2927" s="402">
        <f>0.2/2</f>
        <v>0.1</v>
      </c>
      <c r="W2927" s="404">
        <v>0.03</v>
      </c>
      <c r="X2927" s="402">
        <v>0.12</v>
      </c>
      <c r="Y2927" s="404">
        <v>0.06</v>
      </c>
      <c r="Z2927" s="397">
        <v>1</v>
      </c>
      <c r="AA2927" s="399">
        <v>1</v>
      </c>
      <c r="AB2927" s="394">
        <v>17.100000000000001</v>
      </c>
      <c r="AC2927" s="402">
        <v>190</v>
      </c>
      <c r="AD2927" s="399">
        <v>1</v>
      </c>
      <c r="AE2927" s="402"/>
      <c r="AF2927" s="391"/>
      <c r="AG2927" s="394"/>
      <c r="AH2927" s="394"/>
      <c r="AI2927" s="394"/>
      <c r="AJ2927" s="394"/>
      <c r="AK2927" s="394"/>
      <c r="AL2927" s="394"/>
      <c r="AM2927" s="394"/>
      <c r="AN2927" s="394"/>
      <c r="AO2927" s="394"/>
      <c r="AP2927" s="394"/>
      <c r="AQ2927" s="394"/>
      <c r="AR2927" s="394"/>
      <c r="AS2927" s="402"/>
      <c r="AT2927" s="404"/>
      <c r="AU2927" s="394"/>
      <c r="AV2927" s="394"/>
      <c r="AW2927" s="394"/>
      <c r="AX2927" s="5"/>
      <c r="AY2927" s="5"/>
      <c r="AZ2927" s="5"/>
      <c r="BA2927" s="5"/>
      <c r="BB2927" s="5"/>
      <c r="BC2927" s="5"/>
      <c r="BD2927" s="5"/>
      <c r="BE2927" s="5"/>
      <c r="BF2927" s="5"/>
      <c r="BG2927" s="5"/>
      <c r="BH2927" s="5"/>
      <c r="BI2927" s="5"/>
      <c r="BJ2927" s="5"/>
      <c r="BK2927" s="5"/>
      <c r="BL2927" s="5"/>
      <c r="BM2927" s="5"/>
      <c r="BN2927" s="5"/>
      <c r="BO2927" s="5"/>
      <c r="BP2927" s="5"/>
      <c r="BQ2927" s="5"/>
      <c r="BR2927" s="5"/>
      <c r="BS2927" s="5"/>
      <c r="BT2927" s="5"/>
      <c r="BU2927" s="5"/>
      <c r="BV2927" s="5"/>
      <c r="BW2927" s="5"/>
      <c r="BX2927" s="5"/>
      <c r="BY2927" s="5"/>
      <c r="BZ2927" s="5"/>
      <c r="CA2927" s="5"/>
    </row>
    <row r="2928" spans="1:79" s="400" customFormat="1" ht="15" customHeight="1">
      <c r="A2928" s="404" t="s">
        <v>4668</v>
      </c>
      <c r="B2928" s="402" t="s">
        <v>5680</v>
      </c>
      <c r="C2928" s="113" t="s">
        <v>5680</v>
      </c>
      <c r="D2928" s="393"/>
      <c r="E2928" s="394" t="s">
        <v>269</v>
      </c>
      <c r="F2928" s="402"/>
      <c r="G2928" s="405" t="s">
        <v>5681</v>
      </c>
      <c r="H2928" s="404">
        <v>3484</v>
      </c>
      <c r="I2928" s="402"/>
      <c r="J2928" s="406" t="s">
        <v>270</v>
      </c>
      <c r="K2928" s="403">
        <v>41030</v>
      </c>
      <c r="L2928" s="398">
        <v>41022</v>
      </c>
      <c r="M2928" s="402">
        <f t="shared" si="168"/>
        <v>8</v>
      </c>
      <c r="N2928" s="402" t="s">
        <v>2</v>
      </c>
      <c r="O2928" s="404">
        <v>4</v>
      </c>
      <c r="P2928" s="402">
        <v>6</v>
      </c>
      <c r="Q2928" s="404">
        <v>4.7300000000000004</v>
      </c>
      <c r="R2928" s="402">
        <v>208</v>
      </c>
      <c r="S2928" s="404">
        <f>1/2</f>
        <v>0.5</v>
      </c>
      <c r="T2928" s="402">
        <v>0.19</v>
      </c>
      <c r="U2928" s="395">
        <v>4.96</v>
      </c>
      <c r="V2928" s="402">
        <v>1.8</v>
      </c>
      <c r="W2928" s="404">
        <v>0.52</v>
      </c>
      <c r="X2928" s="402">
        <v>0.95</v>
      </c>
      <c r="Y2928" s="404">
        <v>1.85</v>
      </c>
      <c r="Z2928" s="397">
        <v>6.25E-2</v>
      </c>
      <c r="AA2928" s="399">
        <v>6.25E-2</v>
      </c>
      <c r="AB2928" s="394">
        <v>23.7</v>
      </c>
      <c r="AC2928" s="402">
        <v>99.9</v>
      </c>
      <c r="AD2928" s="399">
        <v>0</v>
      </c>
      <c r="AE2928" s="402"/>
      <c r="AF2928" s="391"/>
      <c r="AG2928" s="394"/>
      <c r="AH2928" s="394"/>
      <c r="AI2928" s="394"/>
      <c r="AJ2928" s="394"/>
      <c r="AK2928" s="394"/>
      <c r="AL2928" s="394"/>
      <c r="AM2928" s="394"/>
      <c r="AN2928" s="394"/>
      <c r="AO2928" s="394"/>
      <c r="AP2928" s="394"/>
      <c r="AQ2928" s="394"/>
      <c r="AR2928" s="394"/>
      <c r="AS2928" s="402"/>
      <c r="AT2928" s="404"/>
      <c r="AU2928" s="394"/>
      <c r="AV2928" s="394"/>
      <c r="AW2928" s="394"/>
      <c r="AX2928" s="5"/>
      <c r="AY2928" s="5"/>
      <c r="AZ2928" s="5"/>
      <c r="BA2928" s="5"/>
      <c r="BB2928" s="5"/>
      <c r="BC2928" s="5"/>
      <c r="BD2928" s="5"/>
      <c r="BE2928" s="5"/>
      <c r="BF2928" s="5"/>
      <c r="BG2928" s="5"/>
      <c r="BH2928" s="5"/>
      <c r="BI2928" s="5"/>
      <c r="BJ2928" s="5"/>
      <c r="BK2928" s="5"/>
      <c r="BL2928" s="5"/>
      <c r="BM2928" s="5"/>
      <c r="BN2928" s="5"/>
      <c r="BO2928" s="5"/>
      <c r="BP2928" s="5"/>
      <c r="BQ2928" s="5"/>
      <c r="BR2928" s="5"/>
      <c r="BS2928" s="5"/>
      <c r="BT2928" s="5"/>
      <c r="BU2928" s="5"/>
      <c r="BV2928" s="5"/>
      <c r="BW2928" s="5"/>
      <c r="BX2928" s="5"/>
      <c r="BY2928" s="5"/>
      <c r="BZ2928" s="5"/>
      <c r="CA2928" s="5"/>
    </row>
    <row r="2929" spans="1:79" s="400" customFormat="1" ht="15" customHeight="1">
      <c r="A2929" s="404" t="s">
        <v>4668</v>
      </c>
      <c r="B2929" s="402" t="s">
        <v>5680</v>
      </c>
      <c r="C2929" s="113" t="s">
        <v>5680</v>
      </c>
      <c r="D2929" s="393"/>
      <c r="E2929" s="394" t="s">
        <v>269</v>
      </c>
      <c r="F2929" s="402"/>
      <c r="G2929" s="405" t="s">
        <v>5681</v>
      </c>
      <c r="H2929" s="404">
        <v>3484</v>
      </c>
      <c r="I2929" s="402"/>
      <c r="J2929" s="406" t="s">
        <v>273</v>
      </c>
      <c r="K2929" s="403">
        <v>41030</v>
      </c>
      <c r="L2929" s="398">
        <v>41022</v>
      </c>
      <c r="M2929" s="402">
        <f t="shared" si="168"/>
        <v>8</v>
      </c>
      <c r="N2929" s="402" t="s">
        <v>2</v>
      </c>
      <c r="O2929" s="404">
        <v>3.8</v>
      </c>
      <c r="P2929" s="402">
        <v>6</v>
      </c>
      <c r="Q2929" s="404">
        <v>7.44</v>
      </c>
      <c r="R2929" s="402">
        <v>74.599999999999994</v>
      </c>
      <c r="S2929" s="404">
        <v>66.5</v>
      </c>
      <c r="T2929" s="402">
        <v>0.27</v>
      </c>
      <c r="U2929" s="395">
        <v>2.2400000000000002</v>
      </c>
      <c r="V2929" s="402">
        <v>0.93</v>
      </c>
      <c r="W2929" s="404">
        <v>0.21</v>
      </c>
      <c r="X2929" s="402">
        <v>0.19</v>
      </c>
      <c r="Y2929" s="404">
        <v>1.02</v>
      </c>
      <c r="Z2929" s="397">
        <v>1</v>
      </c>
      <c r="AA2929" s="399">
        <v>1</v>
      </c>
      <c r="AB2929" s="394">
        <v>129</v>
      </c>
      <c r="AC2929" s="402">
        <v>1302</v>
      </c>
      <c r="AD2929" s="399">
        <v>1</v>
      </c>
      <c r="AE2929" s="402"/>
      <c r="AF2929" s="391"/>
      <c r="AG2929" s="394"/>
      <c r="AH2929" s="394"/>
      <c r="AI2929" s="394"/>
      <c r="AJ2929" s="394"/>
      <c r="AK2929" s="394"/>
      <c r="AL2929" s="394"/>
      <c r="AM2929" s="394"/>
      <c r="AN2929" s="394"/>
      <c r="AO2929" s="394"/>
      <c r="AP2929" s="394"/>
      <c r="AQ2929" s="394"/>
      <c r="AR2929" s="394"/>
      <c r="AS2929" s="402"/>
      <c r="AT2929" s="404"/>
      <c r="AU2929" s="394"/>
      <c r="AV2929" s="394"/>
      <c r="AW2929" s="394"/>
      <c r="AX2929" s="5"/>
      <c r="AY2929" s="5"/>
      <c r="AZ2929" s="5"/>
      <c r="BA2929" s="5"/>
      <c r="BB2929" s="5"/>
      <c r="BC2929" s="5"/>
      <c r="BD2929" s="5"/>
      <c r="BE2929" s="5"/>
      <c r="BF2929" s="5"/>
      <c r="BG2929" s="5"/>
      <c r="BH2929" s="5"/>
      <c r="BI2929" s="5"/>
      <c r="BJ2929" s="5"/>
      <c r="BK2929" s="5"/>
      <c r="BL2929" s="5"/>
      <c r="BM2929" s="5"/>
      <c r="BN2929" s="5"/>
      <c r="BO2929" s="5"/>
      <c r="BP2929" s="5"/>
      <c r="BQ2929" s="5"/>
      <c r="BR2929" s="5"/>
      <c r="BS2929" s="5"/>
      <c r="BT2929" s="5"/>
      <c r="BU2929" s="5"/>
      <c r="BV2929" s="5"/>
      <c r="BW2929" s="5"/>
      <c r="BX2929" s="5"/>
      <c r="BY2929" s="5"/>
      <c r="BZ2929" s="5"/>
      <c r="CA2929" s="5"/>
    </row>
    <row r="2930" spans="1:79" s="400" customFormat="1" ht="15" customHeight="1">
      <c r="A2930" s="404" t="s">
        <v>4668</v>
      </c>
      <c r="B2930" s="385" t="s">
        <v>4356</v>
      </c>
      <c r="C2930" s="18" t="s">
        <v>4356</v>
      </c>
      <c r="D2930" s="377" t="s">
        <v>262</v>
      </c>
      <c r="E2930" s="20" t="s">
        <v>4357</v>
      </c>
      <c r="F2930" s="385" t="s">
        <v>4358</v>
      </c>
      <c r="G2930" s="405" t="s">
        <v>4359</v>
      </c>
      <c r="H2930" s="404" t="s">
        <v>5682</v>
      </c>
      <c r="I2930" s="402" t="s">
        <v>1</v>
      </c>
      <c r="J2930" s="406" t="s">
        <v>4360</v>
      </c>
      <c r="K2930" s="403">
        <v>41376</v>
      </c>
      <c r="L2930" s="398">
        <v>41373</v>
      </c>
      <c r="M2930" s="402">
        <f t="shared" si="168"/>
        <v>3</v>
      </c>
      <c r="N2930" s="402" t="s">
        <v>2</v>
      </c>
      <c r="O2930" s="404">
        <v>3.33</v>
      </c>
      <c r="P2930" s="402">
        <v>5.8</v>
      </c>
      <c r="Q2930" s="404">
        <v>6.77</v>
      </c>
      <c r="R2930" s="402">
        <v>99</v>
      </c>
      <c r="S2930" s="404">
        <v>117</v>
      </c>
      <c r="T2930" s="402">
        <v>0.18</v>
      </c>
      <c r="U2930" s="395">
        <v>1.79</v>
      </c>
      <c r="V2930" s="402">
        <v>0.504</v>
      </c>
      <c r="W2930" s="404">
        <v>3.2199999999999999E-2</v>
      </c>
      <c r="X2930" s="402">
        <v>0.16800000000000001</v>
      </c>
      <c r="Y2930" s="404">
        <v>3.2000000000000001E-2</v>
      </c>
      <c r="Z2930" s="397"/>
      <c r="AA2930" s="399"/>
      <c r="AB2930" s="394"/>
      <c r="AC2930" s="402"/>
      <c r="AD2930" s="399"/>
      <c r="AE2930" s="402"/>
      <c r="AF2930" s="391"/>
      <c r="AG2930" s="394"/>
      <c r="AH2930" s="394"/>
      <c r="AI2930" s="394"/>
      <c r="AJ2930" s="394"/>
      <c r="AK2930" s="394"/>
      <c r="AL2930" s="394"/>
      <c r="AM2930" s="394"/>
      <c r="AN2930" s="394"/>
      <c r="AO2930" s="394"/>
      <c r="AP2930" s="394"/>
      <c r="AQ2930" s="394"/>
      <c r="AR2930" s="394"/>
      <c r="AS2930" s="402"/>
      <c r="AT2930" s="404"/>
      <c r="AU2930" s="394"/>
      <c r="AV2930" s="394"/>
      <c r="AW2930" s="394"/>
      <c r="AX2930" s="5"/>
      <c r="AY2930" s="5"/>
      <c r="AZ2930" s="5"/>
      <c r="BA2930" s="5"/>
      <c r="BB2930" s="5"/>
      <c r="BC2930" s="5"/>
      <c r="BD2930" s="5"/>
      <c r="BE2930" s="5"/>
      <c r="BF2930" s="5"/>
      <c r="BG2930" s="5"/>
      <c r="BH2930" s="5"/>
      <c r="BI2930" s="5"/>
      <c r="BJ2930" s="5"/>
      <c r="BK2930" s="5"/>
      <c r="BL2930" s="5"/>
      <c r="BM2930" s="5"/>
      <c r="BN2930" s="5"/>
      <c r="BO2930" s="5"/>
      <c r="BP2930" s="5"/>
      <c r="BQ2930" s="5"/>
      <c r="BR2930" s="5"/>
      <c r="BS2930" s="5"/>
      <c r="BT2930" s="5"/>
      <c r="BU2930" s="5"/>
      <c r="BV2930" s="5"/>
      <c r="BW2930" s="5"/>
      <c r="BX2930" s="5"/>
      <c r="BY2930" s="5"/>
      <c r="BZ2930" s="5"/>
      <c r="CA2930" s="5"/>
    </row>
    <row r="2931" spans="1:79" s="400" customFormat="1" ht="15" customHeight="1">
      <c r="A2931" s="404" t="s">
        <v>4668</v>
      </c>
      <c r="B2931" s="402" t="s">
        <v>4881</v>
      </c>
      <c r="C2931" s="113" t="s">
        <v>4886</v>
      </c>
      <c r="D2931" s="393" t="s">
        <v>133</v>
      </c>
      <c r="E2931" s="394" t="s">
        <v>1546</v>
      </c>
      <c r="F2931" s="402"/>
      <c r="G2931" s="405" t="s">
        <v>4887</v>
      </c>
      <c r="H2931" s="404">
        <v>4952</v>
      </c>
      <c r="I2931" s="402" t="s">
        <v>2</v>
      </c>
      <c r="J2931" s="406" t="s">
        <v>96</v>
      </c>
      <c r="K2931" s="403">
        <v>41260</v>
      </c>
      <c r="L2931" s="398">
        <v>41253</v>
      </c>
      <c r="M2931" s="402">
        <f t="shared" si="168"/>
        <v>7</v>
      </c>
      <c r="N2931" s="402"/>
      <c r="O2931" s="404">
        <v>3.68</v>
      </c>
      <c r="P2931" s="402">
        <v>10.210000000000001</v>
      </c>
      <c r="Q2931" s="404">
        <v>6.68</v>
      </c>
      <c r="R2931" s="402">
        <v>150</v>
      </c>
      <c r="S2931" s="404">
        <v>132</v>
      </c>
      <c r="T2931" s="402">
        <v>7.06</v>
      </c>
      <c r="U2931" s="395">
        <v>5.62</v>
      </c>
      <c r="V2931" s="402">
        <v>1.1000000000000001</v>
      </c>
      <c r="W2931" s="404">
        <v>1.7000000000000001E-2</v>
      </c>
      <c r="X2931" s="402">
        <v>4.7300000000000002E-2</v>
      </c>
      <c r="Y2931" s="404">
        <v>5.28E-3</v>
      </c>
      <c r="Z2931" s="397">
        <v>1</v>
      </c>
      <c r="AA2931" s="399">
        <v>1</v>
      </c>
      <c r="AB2931" s="394">
        <v>84</v>
      </c>
      <c r="AC2931" s="402">
        <v>317</v>
      </c>
      <c r="AD2931" s="399">
        <v>1</v>
      </c>
      <c r="AE2931" s="402"/>
      <c r="AF2931" s="391"/>
      <c r="AG2931" s="394"/>
      <c r="AH2931" s="394"/>
      <c r="AI2931" s="394"/>
      <c r="AJ2931" s="394"/>
      <c r="AK2931" s="394"/>
      <c r="AL2931" s="394"/>
      <c r="AM2931" s="394"/>
      <c r="AN2931" s="394"/>
      <c r="AO2931" s="394"/>
      <c r="AP2931" s="394"/>
      <c r="AQ2931" s="394"/>
      <c r="AR2931" s="394"/>
      <c r="AS2931" s="402"/>
      <c r="AT2931" s="404"/>
      <c r="AU2931" s="394"/>
      <c r="AV2931" s="394"/>
      <c r="AW2931" s="394"/>
      <c r="AX2931" s="5"/>
      <c r="AY2931" s="5"/>
      <c r="AZ2931" s="5"/>
      <c r="BA2931" s="5"/>
      <c r="BB2931" s="5"/>
      <c r="BC2931" s="5"/>
      <c r="BD2931" s="5"/>
      <c r="BE2931" s="5"/>
      <c r="BF2931" s="5"/>
      <c r="BG2931" s="5"/>
      <c r="BH2931" s="5"/>
      <c r="BI2931" s="5"/>
      <c r="BJ2931" s="5"/>
      <c r="BK2931" s="5"/>
      <c r="BL2931" s="5"/>
      <c r="BM2931" s="5"/>
      <c r="BN2931" s="5"/>
      <c r="BO2931" s="5"/>
      <c r="BP2931" s="5"/>
      <c r="BQ2931" s="5"/>
      <c r="BR2931" s="5"/>
      <c r="BS2931" s="5"/>
      <c r="BT2931" s="5"/>
      <c r="BU2931" s="5"/>
      <c r="BV2931" s="5"/>
      <c r="BW2931" s="5"/>
      <c r="BX2931" s="5"/>
      <c r="BY2931" s="5"/>
      <c r="BZ2931" s="5"/>
      <c r="CA2931" s="5"/>
    </row>
    <row r="2932" spans="1:79" s="400" customFormat="1" ht="15" customHeight="1">
      <c r="A2932" s="404" t="s">
        <v>4668</v>
      </c>
      <c r="B2932" s="402" t="s">
        <v>4881</v>
      </c>
      <c r="C2932" s="113" t="s">
        <v>4886</v>
      </c>
      <c r="D2932" s="393" t="s">
        <v>133</v>
      </c>
      <c r="E2932" s="394" t="s">
        <v>1546</v>
      </c>
      <c r="F2932" s="402"/>
      <c r="G2932" s="405" t="s">
        <v>4887</v>
      </c>
      <c r="H2932" s="404">
        <v>4952</v>
      </c>
      <c r="I2932" s="402" t="s">
        <v>2</v>
      </c>
      <c r="J2932" s="406" t="s">
        <v>254</v>
      </c>
      <c r="K2932" s="403">
        <v>41260</v>
      </c>
      <c r="L2932" s="398">
        <v>41253</v>
      </c>
      <c r="M2932" s="402">
        <f t="shared" si="168"/>
        <v>7</v>
      </c>
      <c r="N2932" s="402"/>
      <c r="O2932" s="404">
        <v>9.3000000000000007</v>
      </c>
      <c r="P2932" s="402">
        <v>10.210000000000001</v>
      </c>
      <c r="Q2932" s="404">
        <v>6.52</v>
      </c>
      <c r="R2932" s="402">
        <v>43</v>
      </c>
      <c r="S2932" s="404">
        <v>17.2</v>
      </c>
      <c r="T2932" s="402">
        <v>0.55000000000000004</v>
      </c>
      <c r="U2932" s="395">
        <v>1.17</v>
      </c>
      <c r="V2932" s="402">
        <v>0.41299999999999998</v>
      </c>
      <c r="W2932" s="404">
        <f>0.005/2</f>
        <v>2.5000000000000001E-3</v>
      </c>
      <c r="X2932" s="402">
        <v>0.35199999999999998</v>
      </c>
      <c r="Y2932" s="404">
        <f>0.003/2</f>
        <v>1.5E-3</v>
      </c>
      <c r="Z2932" s="397">
        <v>1</v>
      </c>
      <c r="AA2932" s="399">
        <v>1</v>
      </c>
      <c r="AB2932" s="394">
        <v>28</v>
      </c>
      <c r="AC2932" s="402">
        <v>102</v>
      </c>
      <c r="AD2932" s="399">
        <v>1</v>
      </c>
      <c r="AE2932" s="402"/>
      <c r="AF2932" s="391"/>
      <c r="AG2932" s="394"/>
      <c r="AH2932" s="394"/>
      <c r="AI2932" s="394"/>
      <c r="AJ2932" s="394"/>
      <c r="AK2932" s="394"/>
      <c r="AL2932" s="394"/>
      <c r="AM2932" s="394"/>
      <c r="AN2932" s="394"/>
      <c r="AO2932" s="394"/>
      <c r="AP2932" s="394"/>
      <c r="AQ2932" s="394"/>
      <c r="AR2932" s="394"/>
      <c r="AS2932" s="402"/>
      <c r="AT2932" s="404"/>
      <c r="AU2932" s="394"/>
      <c r="AV2932" s="394"/>
      <c r="AW2932" s="394"/>
      <c r="AX2932" s="5"/>
      <c r="AY2932" s="5"/>
      <c r="AZ2932" s="5"/>
      <c r="BA2932" s="5"/>
      <c r="BB2932" s="5"/>
      <c r="BC2932" s="5"/>
      <c r="BD2932" s="5"/>
      <c r="BE2932" s="5"/>
      <c r="BF2932" s="5"/>
      <c r="BG2932" s="5"/>
      <c r="BH2932" s="5"/>
      <c r="BI2932" s="5"/>
      <c r="BJ2932" s="5"/>
      <c r="BK2932" s="5"/>
      <c r="BL2932" s="5"/>
      <c r="BM2932" s="5"/>
      <c r="BN2932" s="5"/>
      <c r="BO2932" s="5"/>
      <c r="BP2932" s="5"/>
      <c r="BQ2932" s="5"/>
      <c r="BR2932" s="5"/>
      <c r="BS2932" s="5"/>
      <c r="BT2932" s="5"/>
      <c r="BU2932" s="5"/>
      <c r="BV2932" s="5"/>
      <c r="BW2932" s="5"/>
      <c r="BX2932" s="5"/>
      <c r="BY2932" s="5"/>
      <c r="BZ2932" s="5"/>
      <c r="CA2932" s="5"/>
    </row>
    <row r="2933" spans="1:79" s="400" customFormat="1" ht="15" customHeight="1">
      <c r="A2933" s="404" t="s">
        <v>4668</v>
      </c>
      <c r="B2933" s="402" t="s">
        <v>4881</v>
      </c>
      <c r="C2933" s="113" t="s">
        <v>4886</v>
      </c>
      <c r="D2933" s="393" t="s">
        <v>133</v>
      </c>
      <c r="E2933" s="394" t="s">
        <v>1546</v>
      </c>
      <c r="F2933" s="402"/>
      <c r="G2933" s="405" t="s">
        <v>4887</v>
      </c>
      <c r="H2933" s="404">
        <v>4952</v>
      </c>
      <c r="I2933" s="402" t="s">
        <v>2</v>
      </c>
      <c r="J2933" s="406" t="s">
        <v>1867</v>
      </c>
      <c r="K2933" s="403">
        <v>41260</v>
      </c>
      <c r="L2933" s="398">
        <v>41253</v>
      </c>
      <c r="M2933" s="402">
        <f t="shared" si="168"/>
        <v>7</v>
      </c>
      <c r="N2933" s="402"/>
      <c r="O2933" s="404">
        <v>6.9</v>
      </c>
      <c r="P2933" s="402">
        <v>10.210000000000001</v>
      </c>
      <c r="Q2933" s="404">
        <v>6.61</v>
      </c>
      <c r="R2933" s="402">
        <v>20</v>
      </c>
      <c r="S2933" s="404">
        <v>9.5</v>
      </c>
      <c r="T2933" s="402">
        <v>0.1</v>
      </c>
      <c r="U2933" s="395">
        <v>0.71799999999999997</v>
      </c>
      <c r="V2933" s="402">
        <v>0.53800000000000003</v>
      </c>
      <c r="W2933" s="404">
        <f>0.005/2</f>
        <v>2.5000000000000001E-3</v>
      </c>
      <c r="X2933" s="402">
        <v>9.5699999999999993E-2</v>
      </c>
      <c r="Y2933" s="404">
        <f>0.003/2</f>
        <v>1.5E-3</v>
      </c>
      <c r="Z2933" s="397">
        <v>1</v>
      </c>
      <c r="AA2933" s="399">
        <v>1</v>
      </c>
      <c r="AB2933" s="394">
        <v>40</v>
      </c>
      <c r="AC2933" s="402">
        <v>161</v>
      </c>
      <c r="AD2933" s="399">
        <v>0.95</v>
      </c>
      <c r="AE2933" s="402"/>
      <c r="AF2933" s="391"/>
      <c r="AG2933" s="394"/>
      <c r="AH2933" s="394"/>
      <c r="AI2933" s="394"/>
      <c r="AJ2933" s="394"/>
      <c r="AK2933" s="394"/>
      <c r="AL2933" s="394"/>
      <c r="AM2933" s="394"/>
      <c r="AN2933" s="394"/>
      <c r="AO2933" s="394"/>
      <c r="AP2933" s="394"/>
      <c r="AQ2933" s="394"/>
      <c r="AR2933" s="394"/>
      <c r="AS2933" s="402"/>
      <c r="AT2933" s="404"/>
      <c r="AU2933" s="394"/>
      <c r="AV2933" s="394"/>
      <c r="AW2933" s="394"/>
      <c r="AX2933" s="5"/>
      <c r="AY2933" s="5"/>
      <c r="AZ2933" s="5"/>
      <c r="BA2933" s="5"/>
      <c r="BB2933" s="5"/>
      <c r="BC2933" s="5"/>
      <c r="BD2933" s="5"/>
      <c r="BE2933" s="5"/>
      <c r="BF2933" s="5"/>
      <c r="BG2933" s="5"/>
      <c r="BH2933" s="5"/>
      <c r="BI2933" s="5"/>
      <c r="BJ2933" s="5"/>
      <c r="BK2933" s="5"/>
      <c r="BL2933" s="5"/>
      <c r="BM2933" s="5"/>
      <c r="BN2933" s="5"/>
      <c r="BO2933" s="5"/>
      <c r="BP2933" s="5"/>
      <c r="BQ2933" s="5"/>
      <c r="BR2933" s="5"/>
      <c r="BS2933" s="5"/>
      <c r="BT2933" s="5"/>
      <c r="BU2933" s="5"/>
      <c r="BV2933" s="5"/>
      <c r="BW2933" s="5"/>
      <c r="BX2933" s="5"/>
      <c r="BY2933" s="5"/>
      <c r="BZ2933" s="5"/>
      <c r="CA2933" s="5"/>
    </row>
    <row r="2934" spans="1:79" s="400" customFormat="1" ht="15" customHeight="1">
      <c r="A2934" s="404" t="s">
        <v>4668</v>
      </c>
      <c r="B2934" s="402" t="s">
        <v>1296</v>
      </c>
      <c r="C2934" s="113" t="s">
        <v>1296</v>
      </c>
      <c r="D2934" s="393" t="s">
        <v>89</v>
      </c>
      <c r="E2934" s="394" t="s">
        <v>535</v>
      </c>
      <c r="F2934" s="402"/>
      <c r="G2934" s="405" t="s">
        <v>1298</v>
      </c>
      <c r="H2934" s="404">
        <v>3562</v>
      </c>
      <c r="I2934" s="402" t="s">
        <v>2</v>
      </c>
      <c r="J2934" s="406"/>
      <c r="K2934" s="403">
        <v>41373</v>
      </c>
      <c r="L2934" s="398">
        <v>41365</v>
      </c>
      <c r="M2934" s="402">
        <f t="shared" si="168"/>
        <v>8</v>
      </c>
      <c r="N2934" s="402" t="s">
        <v>2</v>
      </c>
      <c r="O2934" s="404">
        <f>5/2</f>
        <v>2.5</v>
      </c>
      <c r="P2934" s="402">
        <v>7.24</v>
      </c>
      <c r="Q2934" s="404">
        <v>7.52</v>
      </c>
      <c r="R2934" s="402">
        <f>5/2</f>
        <v>2.5</v>
      </c>
      <c r="S2934" s="404">
        <v>15</v>
      </c>
      <c r="T2934" s="402">
        <f>0.1/2</f>
        <v>0.05</v>
      </c>
      <c r="U2934" s="395">
        <f>1/2</f>
        <v>0.5</v>
      </c>
      <c r="V2934" s="402">
        <v>1.1000000000000001</v>
      </c>
      <c r="W2934" s="404">
        <f>0.04/2</f>
        <v>0.02</v>
      </c>
      <c r="X2934" s="402">
        <v>7.6999999999999999E-2</v>
      </c>
      <c r="Y2934" s="404">
        <f>0.013/2</f>
        <v>6.4999999999999997E-3</v>
      </c>
      <c r="Z2934" s="397">
        <v>1</v>
      </c>
      <c r="AA2934" s="399">
        <v>1</v>
      </c>
      <c r="AB2934" s="394">
        <v>120</v>
      </c>
      <c r="AC2934" s="402">
        <v>423</v>
      </c>
      <c r="AD2934" s="399">
        <v>1</v>
      </c>
      <c r="AE2934" s="402"/>
      <c r="AF2934" s="391"/>
      <c r="AG2934" s="394"/>
      <c r="AH2934" s="394"/>
      <c r="AI2934" s="394"/>
      <c r="AJ2934" s="394"/>
      <c r="AK2934" s="394"/>
      <c r="AL2934" s="394"/>
      <c r="AM2934" s="394"/>
      <c r="AN2934" s="394"/>
      <c r="AO2934" s="394"/>
      <c r="AP2934" s="394"/>
      <c r="AQ2934" s="394"/>
      <c r="AR2934" s="394"/>
      <c r="AS2934" s="402"/>
      <c r="AT2934" s="404"/>
      <c r="AU2934" s="394"/>
      <c r="AV2934" s="394"/>
      <c r="AW2934" s="394"/>
      <c r="AX2934" s="5"/>
      <c r="AY2934" s="5"/>
      <c r="AZ2934" s="5"/>
      <c r="BA2934" s="5"/>
      <c r="BB2934" s="5"/>
      <c r="BC2934" s="5"/>
      <c r="BD2934" s="5"/>
      <c r="BE2934" s="5"/>
      <c r="BF2934" s="5"/>
      <c r="BG2934" s="5"/>
      <c r="BH2934" s="5"/>
      <c r="BI2934" s="5"/>
      <c r="BJ2934" s="5"/>
      <c r="BK2934" s="5"/>
      <c r="BL2934" s="5"/>
      <c r="BM2934" s="5"/>
      <c r="BN2934" s="5"/>
      <c r="BO2934" s="5"/>
      <c r="BP2934" s="5"/>
      <c r="BQ2934" s="5"/>
      <c r="BR2934" s="5"/>
      <c r="BS2934" s="5"/>
      <c r="BT2934" s="5"/>
      <c r="BU2934" s="5"/>
      <c r="BV2934" s="5"/>
      <c r="BW2934" s="5"/>
      <c r="BX2934" s="5"/>
      <c r="BY2934" s="5"/>
      <c r="BZ2934" s="5"/>
      <c r="CA2934" s="5"/>
    </row>
    <row r="2935" spans="1:79" s="400" customFormat="1" ht="15" customHeight="1">
      <c r="A2935" s="404" t="s">
        <v>4668</v>
      </c>
      <c r="B2935" s="402" t="s">
        <v>5670</v>
      </c>
      <c r="C2935" s="113" t="s">
        <v>5670</v>
      </c>
      <c r="D2935" s="393" t="s">
        <v>347</v>
      </c>
      <c r="E2935" s="394" t="s">
        <v>5671</v>
      </c>
      <c r="F2935" s="402"/>
      <c r="G2935" s="405" t="s">
        <v>5672</v>
      </c>
      <c r="H2935" s="404"/>
      <c r="I2935" s="402" t="s">
        <v>2</v>
      </c>
      <c r="J2935" s="406" t="s">
        <v>5683</v>
      </c>
      <c r="K2935" s="403">
        <v>41332</v>
      </c>
      <c r="L2935" s="398"/>
      <c r="M2935" s="402"/>
      <c r="N2935" s="402"/>
      <c r="O2935" s="404">
        <f>2/2</f>
        <v>1</v>
      </c>
      <c r="P2935" s="402">
        <v>6.2</v>
      </c>
      <c r="Q2935" s="404">
        <v>6.4</v>
      </c>
      <c r="R2935" s="402">
        <f>10/2</f>
        <v>5</v>
      </c>
      <c r="S2935" s="404">
        <v>3</v>
      </c>
      <c r="T2935" s="402">
        <f>0.05/2</f>
        <v>2.5000000000000001E-2</v>
      </c>
      <c r="U2935" s="395">
        <v>0.15</v>
      </c>
      <c r="V2935" s="402">
        <f>0.1/2</f>
        <v>0.05</v>
      </c>
      <c r="W2935" s="404">
        <f>0.01/2</f>
        <v>5.0000000000000001E-3</v>
      </c>
      <c r="X2935" s="402">
        <v>0.05</v>
      </c>
      <c r="Y2935" s="404">
        <f>0.03/2</f>
        <v>1.4999999999999999E-2</v>
      </c>
      <c r="Z2935" s="397">
        <v>1</v>
      </c>
      <c r="AA2935" s="399">
        <v>0.69799999999999995</v>
      </c>
      <c r="AB2935" s="394">
        <f>2/2</f>
        <v>1</v>
      </c>
      <c r="AC2935" s="402">
        <v>17</v>
      </c>
      <c r="AD2935" s="399">
        <v>0.35</v>
      </c>
      <c r="AE2935" s="402"/>
      <c r="AF2935" s="391"/>
      <c r="AG2935" s="394"/>
      <c r="AH2935" s="394"/>
      <c r="AI2935" s="394"/>
      <c r="AJ2935" s="394"/>
      <c r="AK2935" s="394"/>
      <c r="AL2935" s="394"/>
      <c r="AM2935" s="394"/>
      <c r="AN2935" s="394"/>
      <c r="AO2935" s="394"/>
      <c r="AP2935" s="394"/>
      <c r="AQ2935" s="394"/>
      <c r="AR2935" s="394"/>
      <c r="AS2935" s="402"/>
      <c r="AT2935" s="404"/>
      <c r="AU2935" s="394"/>
      <c r="AV2935" s="394"/>
      <c r="AW2935" s="394"/>
      <c r="AX2935" s="5"/>
      <c r="AY2935" s="5"/>
      <c r="AZ2935" s="5"/>
      <c r="BA2935" s="5"/>
      <c r="BB2935" s="5"/>
      <c r="BC2935" s="5"/>
      <c r="BD2935" s="5"/>
      <c r="BE2935" s="5"/>
      <c r="BF2935" s="5"/>
      <c r="BG2935" s="5"/>
      <c r="BH2935" s="5"/>
      <c r="BI2935" s="5"/>
      <c r="BJ2935" s="5"/>
      <c r="BK2935" s="5"/>
      <c r="BL2935" s="5"/>
      <c r="BM2935" s="5"/>
      <c r="BN2935" s="5"/>
      <c r="BO2935" s="5"/>
      <c r="BP2935" s="5"/>
      <c r="BQ2935" s="5"/>
      <c r="BR2935" s="5"/>
      <c r="BS2935" s="5"/>
      <c r="BT2935" s="5"/>
      <c r="BU2935" s="5"/>
      <c r="BV2935" s="5"/>
      <c r="BW2935" s="5"/>
      <c r="BX2935" s="5"/>
      <c r="BY2935" s="5"/>
      <c r="BZ2935" s="5"/>
      <c r="CA2935" s="5"/>
    </row>
    <row r="2936" spans="1:79" s="400" customFormat="1" ht="15" customHeight="1">
      <c r="A2936" s="404" t="s">
        <v>4668</v>
      </c>
      <c r="B2936" s="402" t="s">
        <v>2153</v>
      </c>
      <c r="C2936" s="113" t="s">
        <v>2154</v>
      </c>
      <c r="D2936" s="393" t="s">
        <v>350</v>
      </c>
      <c r="E2936" s="394" t="s">
        <v>5678</v>
      </c>
      <c r="F2936" s="402"/>
      <c r="G2936" s="405" t="s">
        <v>3619</v>
      </c>
      <c r="H2936" s="404">
        <v>3251</v>
      </c>
      <c r="I2936" s="402"/>
      <c r="J2936" s="406" t="s">
        <v>255</v>
      </c>
      <c r="K2936" s="403">
        <v>41324</v>
      </c>
      <c r="L2936" s="398">
        <v>41316</v>
      </c>
      <c r="M2936" s="402">
        <f t="shared" si="168"/>
        <v>8</v>
      </c>
      <c r="N2936" s="402"/>
      <c r="O2936" s="404">
        <f>1.4/2</f>
        <v>0.7</v>
      </c>
      <c r="P2936" s="402">
        <v>6.3</v>
      </c>
      <c r="Q2936" s="404">
        <v>7.61</v>
      </c>
      <c r="R2936" s="402">
        <v>15</v>
      </c>
      <c r="S2936" s="404">
        <f>5/2</f>
        <v>2.5</v>
      </c>
      <c r="T2936" s="402">
        <v>0.03</v>
      </c>
      <c r="U2936" s="395">
        <v>1.1399999999999999</v>
      </c>
      <c r="V2936" s="402">
        <v>0.71</v>
      </c>
      <c r="W2936" s="404">
        <f>0.001/2</f>
        <v>5.0000000000000001E-4</v>
      </c>
      <c r="X2936" s="402">
        <v>2E-3</v>
      </c>
      <c r="Y2936" s="404">
        <f>0.002/2</f>
        <v>1E-3</v>
      </c>
      <c r="Z2936" s="397"/>
      <c r="AA2936" s="399"/>
      <c r="AB2936" s="394"/>
      <c r="AC2936" s="402"/>
      <c r="AD2936" s="399"/>
      <c r="AE2936" s="402"/>
      <c r="AF2936" s="391"/>
      <c r="AG2936" s="394"/>
      <c r="AH2936" s="394"/>
      <c r="AI2936" s="394"/>
      <c r="AJ2936" s="394"/>
      <c r="AK2936" s="394"/>
      <c r="AL2936" s="394"/>
      <c r="AM2936" s="394"/>
      <c r="AN2936" s="394"/>
      <c r="AO2936" s="394"/>
      <c r="AP2936" s="394"/>
      <c r="AQ2936" s="394"/>
      <c r="AR2936" s="394"/>
      <c r="AS2936" s="402"/>
      <c r="AT2936" s="404"/>
      <c r="AU2936" s="394"/>
      <c r="AV2936" s="394"/>
      <c r="AW2936" s="394"/>
      <c r="AX2936" s="5"/>
      <c r="AY2936" s="5"/>
      <c r="AZ2936" s="5"/>
      <c r="BA2936" s="5"/>
      <c r="BB2936" s="5"/>
      <c r="BC2936" s="5"/>
      <c r="BD2936" s="5"/>
      <c r="BE2936" s="5"/>
      <c r="BF2936" s="5"/>
      <c r="BG2936" s="5"/>
      <c r="BH2936" s="5"/>
      <c r="BI2936" s="5"/>
      <c r="BJ2936" s="5"/>
      <c r="BK2936" s="5"/>
      <c r="BL2936" s="5"/>
      <c r="BM2936" s="5"/>
      <c r="BN2936" s="5"/>
      <c r="BO2936" s="5"/>
      <c r="BP2936" s="5"/>
      <c r="BQ2936" s="5"/>
      <c r="BR2936" s="5"/>
      <c r="BS2936" s="5"/>
      <c r="BT2936" s="5"/>
      <c r="BU2936" s="5"/>
      <c r="BV2936" s="5"/>
      <c r="BW2936" s="5"/>
      <c r="BX2936" s="5"/>
      <c r="BY2936" s="5"/>
      <c r="BZ2936" s="5"/>
      <c r="CA2936" s="5"/>
    </row>
    <row r="2937" spans="1:79" s="400" customFormat="1" ht="15" customHeight="1">
      <c r="A2937" s="404" t="s">
        <v>4668</v>
      </c>
      <c r="B2937" s="402" t="s">
        <v>2153</v>
      </c>
      <c r="C2937" s="113" t="s">
        <v>2154</v>
      </c>
      <c r="D2937" s="393" t="s">
        <v>350</v>
      </c>
      <c r="E2937" s="394" t="s">
        <v>5678</v>
      </c>
      <c r="F2937" s="402"/>
      <c r="G2937" s="405" t="s">
        <v>3619</v>
      </c>
      <c r="H2937" s="404">
        <v>3251</v>
      </c>
      <c r="I2937" s="402"/>
      <c r="J2937" s="406" t="s">
        <v>96</v>
      </c>
      <c r="K2937" s="403">
        <v>41324</v>
      </c>
      <c r="L2937" s="398">
        <v>41316</v>
      </c>
      <c r="M2937" s="402">
        <f t="shared" si="168"/>
        <v>8</v>
      </c>
      <c r="N2937" s="402"/>
      <c r="O2937" s="404">
        <f>1.4/2</f>
        <v>0.7</v>
      </c>
      <c r="P2937" s="402">
        <v>6.3</v>
      </c>
      <c r="Q2937" s="404">
        <v>7.02</v>
      </c>
      <c r="R2937" s="402">
        <v>21</v>
      </c>
      <c r="S2937" s="404">
        <v>110</v>
      </c>
      <c r="T2937" s="402">
        <v>0.23</v>
      </c>
      <c r="U2937" s="395">
        <v>0.97</v>
      </c>
      <c r="V2937" s="402">
        <v>0.54</v>
      </c>
      <c r="W2937" s="404">
        <v>0.01</v>
      </c>
      <c r="X2937" s="402">
        <v>0.151</v>
      </c>
      <c r="Y2937" s="404">
        <v>7.0000000000000001E-3</v>
      </c>
      <c r="Z2937" s="397"/>
      <c r="AA2937" s="399"/>
      <c r="AB2937" s="394"/>
      <c r="AC2937" s="402"/>
      <c r="AD2937" s="399"/>
      <c r="AE2937" s="402"/>
      <c r="AF2937" s="391"/>
      <c r="AG2937" s="394"/>
      <c r="AH2937" s="394"/>
      <c r="AI2937" s="394"/>
      <c r="AJ2937" s="394"/>
      <c r="AK2937" s="394"/>
      <c r="AL2937" s="394"/>
      <c r="AM2937" s="394"/>
      <c r="AN2937" s="394"/>
      <c r="AO2937" s="394"/>
      <c r="AP2937" s="394"/>
      <c r="AQ2937" s="394"/>
      <c r="AR2937" s="394"/>
      <c r="AS2937" s="402"/>
      <c r="AT2937" s="404"/>
      <c r="AU2937" s="394"/>
      <c r="AV2937" s="394"/>
      <c r="AW2937" s="394"/>
      <c r="AX2937" s="5"/>
      <c r="AY2937" s="5"/>
      <c r="AZ2937" s="5"/>
      <c r="BA2937" s="5"/>
      <c r="BB2937" s="5"/>
      <c r="BC2937" s="5"/>
      <c r="BD2937" s="5"/>
      <c r="BE2937" s="5"/>
      <c r="BF2937" s="5"/>
      <c r="BG2937" s="5"/>
      <c r="BH2937" s="5"/>
      <c r="BI2937" s="5"/>
      <c r="BJ2937" s="5"/>
      <c r="BK2937" s="5"/>
      <c r="BL2937" s="5"/>
      <c r="BM2937" s="5"/>
      <c r="BN2937" s="5"/>
      <c r="BO2937" s="5"/>
      <c r="BP2937" s="5"/>
      <c r="BQ2937" s="5"/>
      <c r="BR2937" s="5"/>
      <c r="BS2937" s="5"/>
      <c r="BT2937" s="5"/>
      <c r="BU2937" s="5"/>
      <c r="BV2937" s="5"/>
      <c r="BW2937" s="5"/>
      <c r="BX2937" s="5"/>
      <c r="BY2937" s="5"/>
      <c r="BZ2937" s="5"/>
      <c r="CA2937" s="5"/>
    </row>
    <row r="2938" spans="1:79" s="400" customFormat="1" ht="15" customHeight="1">
      <c r="A2938" s="41" t="s">
        <v>183</v>
      </c>
      <c r="B2938" s="402" t="s">
        <v>5149</v>
      </c>
      <c r="C2938" s="113" t="s">
        <v>5149</v>
      </c>
      <c r="D2938" s="393" t="s">
        <v>1484</v>
      </c>
      <c r="E2938" s="394" t="s">
        <v>5684</v>
      </c>
      <c r="F2938" s="402"/>
      <c r="G2938" s="405" t="s">
        <v>5150</v>
      </c>
      <c r="H2938" s="404"/>
      <c r="I2938" s="402"/>
      <c r="J2938" s="406" t="s">
        <v>5165</v>
      </c>
      <c r="K2938" s="403">
        <v>41184</v>
      </c>
      <c r="L2938" s="398">
        <v>41180</v>
      </c>
      <c r="M2938" s="402">
        <f t="shared" si="168"/>
        <v>4</v>
      </c>
      <c r="N2938" s="402" t="s">
        <v>2</v>
      </c>
      <c r="O2938" s="404">
        <v>4.5999999999999996</v>
      </c>
      <c r="P2938" s="402">
        <v>5.88</v>
      </c>
      <c r="Q2938" s="404">
        <v>5.79</v>
      </c>
      <c r="R2938" s="402">
        <v>378</v>
      </c>
      <c r="S2938" s="404">
        <v>27</v>
      </c>
      <c r="T2938" s="402">
        <v>1.39</v>
      </c>
      <c r="U2938" s="395">
        <v>3.4</v>
      </c>
      <c r="V2938" s="402">
        <f>0.2/2</f>
        <v>0.1</v>
      </c>
      <c r="W2938" s="404">
        <v>0.13</v>
      </c>
      <c r="X2938" s="402">
        <v>0.43</v>
      </c>
      <c r="Y2938" s="404">
        <f>0.02/2</f>
        <v>0.01</v>
      </c>
      <c r="Z2938" s="397"/>
      <c r="AA2938" s="399"/>
      <c r="AB2938" s="394"/>
      <c r="AC2938" s="402"/>
      <c r="AD2938" s="399"/>
      <c r="AE2938" s="402"/>
      <c r="AF2938" s="391"/>
      <c r="AG2938" s="394"/>
      <c r="AH2938" s="394"/>
      <c r="AI2938" s="394"/>
      <c r="AJ2938" s="394"/>
      <c r="AK2938" s="394"/>
      <c r="AL2938" s="394"/>
      <c r="AM2938" s="394"/>
      <c r="AN2938" s="394"/>
      <c r="AO2938" s="394"/>
      <c r="AP2938" s="394"/>
      <c r="AQ2938" s="394"/>
      <c r="AR2938" s="394"/>
      <c r="AS2938" s="402"/>
      <c r="AT2938" s="404"/>
      <c r="AU2938" s="394"/>
      <c r="AV2938" s="394"/>
      <c r="AW2938" s="394"/>
      <c r="AX2938" s="5"/>
      <c r="AY2938" s="5"/>
      <c r="AZ2938" s="5"/>
      <c r="BA2938" s="5"/>
      <c r="BB2938" s="5"/>
      <c r="BC2938" s="5"/>
      <c r="BD2938" s="5"/>
      <c r="BE2938" s="5"/>
      <c r="BF2938" s="5"/>
      <c r="BG2938" s="5"/>
      <c r="BH2938" s="5"/>
      <c r="BI2938" s="5"/>
      <c r="BJ2938" s="5"/>
      <c r="BK2938" s="5"/>
      <c r="BL2938" s="5"/>
      <c r="BM2938" s="5"/>
      <c r="BN2938" s="5"/>
      <c r="BO2938" s="5"/>
      <c r="BP2938" s="5"/>
      <c r="BQ2938" s="5"/>
      <c r="BR2938" s="5"/>
      <c r="BS2938" s="5"/>
      <c r="BT2938" s="5"/>
      <c r="BU2938" s="5"/>
      <c r="BV2938" s="5"/>
      <c r="BW2938" s="5"/>
      <c r="BX2938" s="5"/>
      <c r="BY2938" s="5"/>
      <c r="BZ2938" s="5"/>
      <c r="CA2938" s="5"/>
    </row>
    <row r="2939" spans="1:79" s="400" customFormat="1" ht="15" customHeight="1">
      <c r="A2939" s="41" t="s">
        <v>183</v>
      </c>
      <c r="B2939" s="402" t="s">
        <v>5149</v>
      </c>
      <c r="C2939" s="113" t="s">
        <v>5149</v>
      </c>
      <c r="D2939" s="393" t="s">
        <v>1484</v>
      </c>
      <c r="E2939" s="394" t="s">
        <v>5685</v>
      </c>
      <c r="F2939" s="402"/>
      <c r="G2939" s="405" t="s">
        <v>5150</v>
      </c>
      <c r="H2939" s="404"/>
      <c r="I2939" s="402"/>
      <c r="J2939" s="406" t="s">
        <v>5164</v>
      </c>
      <c r="K2939" s="403">
        <v>41184</v>
      </c>
      <c r="L2939" s="398">
        <v>41180</v>
      </c>
      <c r="M2939" s="402">
        <f t="shared" si="168"/>
        <v>4</v>
      </c>
      <c r="N2939" s="402" t="s">
        <v>2</v>
      </c>
      <c r="O2939" s="404">
        <v>5.5</v>
      </c>
      <c r="P2939" s="402">
        <v>6.06</v>
      </c>
      <c r="Q2939" s="404">
        <v>6.72</v>
      </c>
      <c r="R2939" s="402">
        <v>25.3</v>
      </c>
      <c r="S2939" s="404">
        <v>35.5</v>
      </c>
      <c r="T2939" s="402">
        <v>0.14000000000000001</v>
      </c>
      <c r="U2939" s="395">
        <v>0.94</v>
      </c>
      <c r="V2939" s="402">
        <v>0.52</v>
      </c>
      <c r="W2939" s="404">
        <v>0.02</v>
      </c>
      <c r="X2939" s="402">
        <v>0.16</v>
      </c>
      <c r="Y2939" s="404">
        <f>0.02/2</f>
        <v>0.01</v>
      </c>
      <c r="Z2939" s="397"/>
      <c r="AA2939" s="399"/>
      <c r="AB2939" s="394"/>
      <c r="AC2939" s="402"/>
      <c r="AD2939" s="399"/>
      <c r="AE2939" s="402"/>
      <c r="AF2939" s="391"/>
      <c r="AG2939" s="394"/>
      <c r="AH2939" s="394"/>
      <c r="AI2939" s="394"/>
      <c r="AJ2939" s="394"/>
      <c r="AK2939" s="394"/>
      <c r="AL2939" s="394"/>
      <c r="AM2939" s="394"/>
      <c r="AN2939" s="394"/>
      <c r="AO2939" s="394"/>
      <c r="AP2939" s="394"/>
      <c r="AQ2939" s="394"/>
      <c r="AR2939" s="394"/>
      <c r="AS2939" s="402"/>
      <c r="AT2939" s="404"/>
      <c r="AU2939" s="394"/>
      <c r="AV2939" s="394"/>
      <c r="AW2939" s="394"/>
      <c r="AX2939" s="5"/>
      <c r="AY2939" s="5"/>
      <c r="AZ2939" s="5"/>
      <c r="BA2939" s="5"/>
      <c r="BB2939" s="5"/>
      <c r="BC2939" s="5"/>
      <c r="BD2939" s="5"/>
      <c r="BE2939" s="5"/>
      <c r="BF2939" s="5"/>
      <c r="BG2939" s="5"/>
      <c r="BH2939" s="5"/>
      <c r="BI2939" s="5"/>
      <c r="BJ2939" s="5"/>
      <c r="BK2939" s="5"/>
      <c r="BL2939" s="5"/>
      <c r="BM2939" s="5"/>
      <c r="BN2939" s="5"/>
      <c r="BO2939" s="5"/>
      <c r="BP2939" s="5"/>
      <c r="BQ2939" s="5"/>
      <c r="BR2939" s="5"/>
      <c r="BS2939" s="5"/>
      <c r="BT2939" s="5"/>
      <c r="BU2939" s="5"/>
      <c r="BV2939" s="5"/>
      <c r="BW2939" s="5"/>
      <c r="BX2939" s="5"/>
      <c r="BY2939" s="5"/>
      <c r="BZ2939" s="5"/>
      <c r="CA2939" s="5"/>
    </row>
    <row r="2940" spans="1:79" ht="15" customHeight="1">
      <c r="A2940" s="404" t="s">
        <v>4668</v>
      </c>
      <c r="B2940" s="402" t="s">
        <v>313</v>
      </c>
      <c r="C2940" s="113" t="s">
        <v>313</v>
      </c>
      <c r="D2940" s="393" t="s">
        <v>314</v>
      </c>
      <c r="E2940" s="394" t="s">
        <v>315</v>
      </c>
      <c r="G2940" s="405" t="s">
        <v>994</v>
      </c>
      <c r="H2940" s="74">
        <v>3728</v>
      </c>
      <c r="I2940" s="50" t="s">
        <v>2</v>
      </c>
      <c r="J2940" s="339" t="s">
        <v>81</v>
      </c>
      <c r="K2940" s="51">
        <v>41409</v>
      </c>
      <c r="L2940" s="173">
        <v>41405</v>
      </c>
      <c r="M2940" s="50">
        <f t="shared" si="168"/>
        <v>4</v>
      </c>
      <c r="N2940" s="50" t="s">
        <v>2</v>
      </c>
      <c r="O2940" s="74">
        <v>1.4</v>
      </c>
      <c r="P2940" s="50">
        <v>5.92</v>
      </c>
      <c r="Q2940" s="74">
        <v>5.89</v>
      </c>
      <c r="R2940" s="50">
        <v>127</v>
      </c>
      <c r="S2940" s="74">
        <v>27</v>
      </c>
      <c r="T2940" s="50">
        <v>0.26</v>
      </c>
      <c r="U2940" s="131">
        <v>4.09</v>
      </c>
      <c r="V2940" s="50">
        <v>0.8</v>
      </c>
      <c r="W2940" s="74">
        <v>4.2000000000000003E-2</v>
      </c>
      <c r="X2940" s="50">
        <v>9.1999999999999998E-2</v>
      </c>
      <c r="Y2940" s="74">
        <v>3.0000000000000001E-3</v>
      </c>
      <c r="Z2940" s="165"/>
    </row>
    <row r="2941" spans="1:79" ht="15" customHeight="1">
      <c r="A2941" s="404" t="s">
        <v>4668</v>
      </c>
      <c r="B2941" s="402" t="s">
        <v>313</v>
      </c>
      <c r="C2941" s="113" t="s">
        <v>313</v>
      </c>
      <c r="D2941" s="393" t="s">
        <v>314</v>
      </c>
      <c r="E2941" s="394" t="s">
        <v>315</v>
      </c>
      <c r="G2941" s="405" t="s">
        <v>994</v>
      </c>
      <c r="H2941" s="74">
        <v>3728</v>
      </c>
      <c r="I2941" s="50" t="s">
        <v>2</v>
      </c>
      <c r="J2941" s="339" t="s">
        <v>81</v>
      </c>
      <c r="K2941" s="51">
        <v>41250</v>
      </c>
      <c r="L2941" s="173">
        <v>41245</v>
      </c>
      <c r="M2941" s="50">
        <f t="shared" si="168"/>
        <v>5</v>
      </c>
      <c r="O2941" s="74">
        <v>3</v>
      </c>
      <c r="P2941" s="50">
        <v>5.1100000000000003</v>
      </c>
      <c r="Q2941" s="74">
        <v>7.38</v>
      </c>
      <c r="R2941" s="50">
        <v>120</v>
      </c>
      <c r="S2941" s="74">
        <v>79</v>
      </c>
      <c r="T2941" s="50">
        <v>0.19</v>
      </c>
      <c r="U2941" s="131">
        <v>13.5</v>
      </c>
      <c r="V2941" s="50">
        <v>0.26</v>
      </c>
      <c r="W2941" s="74">
        <v>3.3000000000000002E-2</v>
      </c>
      <c r="X2941" s="50">
        <v>5.6000000000000001E-2</v>
      </c>
      <c r="Y2941" s="74">
        <v>3.0000000000000001E-3</v>
      </c>
      <c r="Z2941" s="165">
        <v>1</v>
      </c>
      <c r="AA2941" s="271">
        <v>1</v>
      </c>
      <c r="AB2941" s="114">
        <v>8</v>
      </c>
      <c r="AC2941" s="50">
        <v>283</v>
      </c>
      <c r="AD2941" s="271">
        <v>1</v>
      </c>
    </row>
    <row r="2942" spans="1:79" s="400" customFormat="1" ht="15" customHeight="1">
      <c r="A2942" s="404" t="s">
        <v>4668</v>
      </c>
      <c r="B2942" s="402" t="s">
        <v>590</v>
      </c>
      <c r="C2942" s="113" t="s">
        <v>591</v>
      </c>
      <c r="D2942" s="393" t="s">
        <v>89</v>
      </c>
      <c r="E2942" s="394" t="s">
        <v>535</v>
      </c>
      <c r="F2942" s="402"/>
      <c r="G2942" s="405" t="s">
        <v>592</v>
      </c>
      <c r="H2942" s="404">
        <v>3273</v>
      </c>
      <c r="I2942" s="402" t="s">
        <v>1</v>
      </c>
      <c r="J2942" s="260" t="s">
        <v>366</v>
      </c>
      <c r="K2942" s="403">
        <v>41345</v>
      </c>
      <c r="L2942" s="398">
        <v>41341</v>
      </c>
      <c r="M2942" s="402">
        <f t="shared" si="168"/>
        <v>4</v>
      </c>
      <c r="N2942" s="402" t="s">
        <v>2</v>
      </c>
      <c r="O2942" s="404">
        <f>1.3/2</f>
        <v>0.65</v>
      </c>
      <c r="P2942" s="402">
        <v>5.5</v>
      </c>
      <c r="Q2942" s="404">
        <v>7.74</v>
      </c>
      <c r="R2942" s="402">
        <v>28</v>
      </c>
      <c r="S2942" s="404">
        <v>40</v>
      </c>
      <c r="T2942" s="402">
        <v>0.11</v>
      </c>
      <c r="U2942" s="395">
        <v>0.56000000000000005</v>
      </c>
      <c r="V2942" s="402">
        <v>0.49</v>
      </c>
      <c r="W2942" s="404">
        <f>0.005/2</f>
        <v>2.5000000000000001E-3</v>
      </c>
      <c r="X2942" s="402">
        <v>8.0000000000000002E-3</v>
      </c>
      <c r="Y2942" s="404">
        <f>0.002/2</f>
        <v>1E-3</v>
      </c>
      <c r="Z2942" s="397">
        <v>1</v>
      </c>
      <c r="AA2942" s="399">
        <v>1</v>
      </c>
      <c r="AB2942" s="394">
        <v>284</v>
      </c>
      <c r="AC2942" s="402">
        <v>1047</v>
      </c>
      <c r="AD2942" s="399">
        <v>0.95</v>
      </c>
      <c r="AE2942" s="402">
        <v>10</v>
      </c>
      <c r="AF2942" s="391"/>
      <c r="AG2942" s="394"/>
      <c r="AH2942" s="394"/>
      <c r="AI2942" s="394"/>
      <c r="AJ2942" s="394"/>
      <c r="AK2942" s="394"/>
      <c r="AL2942" s="394"/>
      <c r="AM2942" s="394"/>
      <c r="AN2942" s="394"/>
      <c r="AO2942" s="394"/>
      <c r="AP2942" s="394"/>
      <c r="AQ2942" s="394"/>
      <c r="AR2942" s="394"/>
      <c r="AS2942" s="402"/>
      <c r="AT2942" s="404"/>
      <c r="AU2942" s="394"/>
      <c r="AV2942" s="394"/>
      <c r="AW2942" s="394"/>
      <c r="AX2942" s="5"/>
      <c r="AY2942" s="5"/>
      <c r="AZ2942" s="5"/>
      <c r="BA2942" s="5"/>
      <c r="BB2942" s="5"/>
      <c r="BC2942" s="5"/>
      <c r="BD2942" s="5"/>
      <c r="BE2942" s="5"/>
      <c r="BF2942" s="5"/>
      <c r="BG2942" s="5"/>
      <c r="BH2942" s="5"/>
      <c r="BI2942" s="5"/>
      <c r="BJ2942" s="5"/>
      <c r="BK2942" s="5"/>
      <c r="BL2942" s="5"/>
      <c r="BM2942" s="5"/>
      <c r="BN2942" s="5"/>
      <c r="BO2942" s="5"/>
      <c r="BP2942" s="5"/>
      <c r="BQ2942" s="5"/>
      <c r="BR2942" s="5"/>
      <c r="BS2942" s="5"/>
      <c r="BT2942" s="5"/>
      <c r="BU2942" s="5"/>
      <c r="BV2942" s="5"/>
      <c r="BW2942" s="5"/>
      <c r="BX2942" s="5"/>
      <c r="BY2942" s="5"/>
      <c r="BZ2942" s="5"/>
      <c r="CA2942" s="5"/>
    </row>
    <row r="2943" spans="1:79" s="400" customFormat="1" ht="15" customHeight="1">
      <c r="A2943" s="404" t="s">
        <v>4668</v>
      </c>
      <c r="B2943" s="402" t="s">
        <v>590</v>
      </c>
      <c r="C2943" s="113" t="s">
        <v>591</v>
      </c>
      <c r="D2943" s="393" t="s">
        <v>89</v>
      </c>
      <c r="E2943" s="394" t="s">
        <v>535</v>
      </c>
      <c r="F2943" s="402"/>
      <c r="G2943" s="405" t="s">
        <v>592</v>
      </c>
      <c r="H2943" s="404">
        <v>3273</v>
      </c>
      <c r="I2943" s="402" t="s">
        <v>1</v>
      </c>
      <c r="J2943" s="260" t="s">
        <v>593</v>
      </c>
      <c r="K2943" s="403">
        <v>41345</v>
      </c>
      <c r="L2943" s="398">
        <v>41341</v>
      </c>
      <c r="M2943" s="402">
        <f t="shared" si="168"/>
        <v>4</v>
      </c>
      <c r="N2943" s="402" t="s">
        <v>2</v>
      </c>
      <c r="O2943" s="404">
        <f>1.4/2</f>
        <v>0.7</v>
      </c>
      <c r="P2943" s="402">
        <v>5.5</v>
      </c>
      <c r="Q2943" s="404">
        <v>8.76</v>
      </c>
      <c r="R2943" s="402">
        <f>10/2</f>
        <v>5</v>
      </c>
      <c r="S2943" s="404">
        <f>5/2</f>
        <v>2.5</v>
      </c>
      <c r="T2943" s="402">
        <v>0.11</v>
      </c>
      <c r="U2943" s="395">
        <v>0.41</v>
      </c>
      <c r="V2943" s="402">
        <v>0.63</v>
      </c>
      <c r="W2943" s="404">
        <f>0.005/2</f>
        <v>2.5000000000000001E-3</v>
      </c>
      <c r="X2943" s="402">
        <v>4.0000000000000001E-3</v>
      </c>
      <c r="Y2943" s="404">
        <f>0.002/2</f>
        <v>1E-3</v>
      </c>
      <c r="Z2943" s="397">
        <v>1</v>
      </c>
      <c r="AA2943" s="399">
        <v>1</v>
      </c>
      <c r="AB2943" s="394">
        <v>68</v>
      </c>
      <c r="AC2943" s="402">
        <v>321</v>
      </c>
      <c r="AD2943" s="399">
        <v>1</v>
      </c>
      <c r="AE2943" s="402">
        <f>10/2</f>
        <v>5</v>
      </c>
      <c r="AF2943" s="391"/>
      <c r="AG2943" s="394"/>
      <c r="AH2943" s="394"/>
      <c r="AI2943" s="394"/>
      <c r="AJ2943" s="394"/>
      <c r="AK2943" s="394"/>
      <c r="AL2943" s="394"/>
      <c r="AM2943" s="394"/>
      <c r="AN2943" s="394"/>
      <c r="AO2943" s="394"/>
      <c r="AP2943" s="394"/>
      <c r="AQ2943" s="394"/>
      <c r="AR2943" s="394"/>
      <c r="AS2943" s="402"/>
      <c r="AT2943" s="404"/>
      <c r="AU2943" s="394"/>
      <c r="AV2943" s="394"/>
      <c r="AW2943" s="394"/>
      <c r="AX2943" s="5"/>
      <c r="AY2943" s="5"/>
      <c r="AZ2943" s="5"/>
      <c r="BA2943" s="5"/>
      <c r="BB2943" s="5"/>
      <c r="BC2943" s="5"/>
      <c r="BD2943" s="5"/>
      <c r="BE2943" s="5"/>
      <c r="BF2943" s="5"/>
      <c r="BG2943" s="5"/>
      <c r="BH2943" s="5"/>
      <c r="BI2943" s="5"/>
      <c r="BJ2943" s="5"/>
      <c r="BK2943" s="5"/>
      <c r="BL2943" s="5"/>
      <c r="BM2943" s="5"/>
      <c r="BN2943" s="5"/>
      <c r="BO2943" s="5"/>
      <c r="BP2943" s="5"/>
      <c r="BQ2943" s="5"/>
      <c r="BR2943" s="5"/>
      <c r="BS2943" s="5"/>
      <c r="BT2943" s="5"/>
      <c r="BU2943" s="5"/>
      <c r="BV2943" s="5"/>
      <c r="BW2943" s="5"/>
      <c r="BX2943" s="5"/>
      <c r="BY2943" s="5"/>
      <c r="BZ2943" s="5"/>
      <c r="CA2943" s="5"/>
    </row>
    <row r="2944" spans="1:79" s="400" customFormat="1" ht="15" customHeight="1">
      <c r="A2944" s="41" t="s">
        <v>183</v>
      </c>
      <c r="B2944" s="402" t="s">
        <v>5686</v>
      </c>
      <c r="C2944" s="113" t="s">
        <v>5686</v>
      </c>
      <c r="D2944" s="393" t="s">
        <v>372</v>
      </c>
      <c r="E2944" s="394" t="s">
        <v>235</v>
      </c>
      <c r="F2944" s="402"/>
      <c r="G2944" s="405" t="s">
        <v>5615</v>
      </c>
      <c r="H2944" s="404">
        <v>3316</v>
      </c>
      <c r="I2944" s="402" t="s">
        <v>1</v>
      </c>
      <c r="J2944" s="406" t="s">
        <v>96</v>
      </c>
      <c r="K2944" s="403">
        <v>41529</v>
      </c>
      <c r="L2944" s="398">
        <v>41519</v>
      </c>
      <c r="M2944" s="402">
        <f t="shared" si="168"/>
        <v>10</v>
      </c>
      <c r="N2944" s="402" t="s">
        <v>2</v>
      </c>
      <c r="O2944" s="404">
        <f>1.7/2</f>
        <v>0.85</v>
      </c>
      <c r="P2944" s="402">
        <v>5.8</v>
      </c>
      <c r="Q2944" s="404">
        <v>5.3</v>
      </c>
      <c r="R2944" s="402">
        <f>20/2</f>
        <v>10</v>
      </c>
      <c r="S2944" s="404">
        <v>2.2000000000000002</v>
      </c>
      <c r="T2944" s="402">
        <v>3.5000000000000003E-2</v>
      </c>
      <c r="U2944" s="395">
        <v>1.3</v>
      </c>
      <c r="V2944" s="402">
        <v>0.95</v>
      </c>
      <c r="W2944" s="404">
        <v>0.04</v>
      </c>
      <c r="X2944" s="402">
        <v>0.77700000000000002</v>
      </c>
      <c r="Y2944" s="404">
        <f>0.005/2</f>
        <v>2.5000000000000001E-3</v>
      </c>
      <c r="Z2944" s="397"/>
      <c r="AA2944" s="399"/>
      <c r="AB2944" s="394"/>
      <c r="AC2944" s="402"/>
      <c r="AD2944" s="399"/>
      <c r="AE2944" s="391">
        <v>50</v>
      </c>
      <c r="AF2944" s="391"/>
      <c r="AG2944" s="394"/>
      <c r="AH2944" s="394"/>
      <c r="AI2944" s="394"/>
      <c r="AJ2944" s="394"/>
      <c r="AK2944" s="394"/>
      <c r="AL2944" s="394"/>
      <c r="AM2944" s="394"/>
      <c r="AN2944" s="394"/>
      <c r="AO2944" s="394"/>
      <c r="AP2944" s="394"/>
      <c r="AQ2944" s="394"/>
      <c r="AR2944" s="394"/>
      <c r="AS2944" s="402"/>
      <c r="AT2944" s="404"/>
      <c r="AU2944" s="394"/>
      <c r="AV2944" s="394"/>
      <c r="AW2944" s="394"/>
      <c r="AX2944" s="5"/>
      <c r="AY2944" s="5"/>
      <c r="AZ2944" s="5"/>
      <c r="BA2944" s="5"/>
      <c r="BB2944" s="5"/>
      <c r="BC2944" s="5"/>
      <c r="BD2944" s="5"/>
      <c r="BE2944" s="5"/>
      <c r="BF2944" s="5"/>
      <c r="BG2944" s="5"/>
      <c r="BH2944" s="5"/>
      <c r="BI2944" s="5"/>
      <c r="BJ2944" s="5"/>
      <c r="BK2944" s="5"/>
      <c r="BL2944" s="5"/>
      <c r="BM2944" s="5"/>
      <c r="BN2944" s="5"/>
      <c r="BO2944" s="5"/>
      <c r="BP2944" s="5"/>
      <c r="BQ2944" s="5"/>
      <c r="BR2944" s="5"/>
      <c r="BS2944" s="5"/>
      <c r="BT2944" s="5"/>
      <c r="BU2944" s="5"/>
      <c r="BV2944" s="5"/>
      <c r="BW2944" s="5"/>
      <c r="BX2944" s="5"/>
      <c r="BY2944" s="5"/>
      <c r="BZ2944" s="5"/>
      <c r="CA2944" s="5"/>
    </row>
    <row r="2945" spans="1:79" s="400" customFormat="1" ht="15" customHeight="1">
      <c r="A2945" s="41" t="s">
        <v>183</v>
      </c>
      <c r="B2945" s="402" t="s">
        <v>5686</v>
      </c>
      <c r="C2945" s="113" t="s">
        <v>5686</v>
      </c>
      <c r="D2945" s="393" t="s">
        <v>372</v>
      </c>
      <c r="E2945" s="394" t="s">
        <v>235</v>
      </c>
      <c r="F2945" s="402"/>
      <c r="G2945" s="405" t="s">
        <v>5615</v>
      </c>
      <c r="H2945" s="404">
        <v>3316</v>
      </c>
      <c r="I2945" s="402" t="s">
        <v>1</v>
      </c>
      <c r="J2945" s="406" t="s">
        <v>690</v>
      </c>
      <c r="K2945" s="403">
        <v>41529</v>
      </c>
      <c r="L2945" s="398">
        <v>41519</v>
      </c>
      <c r="M2945" s="402">
        <f t="shared" si="168"/>
        <v>10</v>
      </c>
      <c r="N2945" s="402" t="s">
        <v>2</v>
      </c>
      <c r="O2945" s="404">
        <f>1.6/2</f>
        <v>0.8</v>
      </c>
      <c r="P2945" s="402">
        <v>5.8</v>
      </c>
      <c r="Q2945" s="404">
        <v>6</v>
      </c>
      <c r="R2945" s="402">
        <f>20/2</f>
        <v>10</v>
      </c>
      <c r="S2945" s="404">
        <v>2.8</v>
      </c>
      <c r="T2945" s="402">
        <v>0.115</v>
      </c>
      <c r="U2945" s="395">
        <f>1/2</f>
        <v>0.5</v>
      </c>
      <c r="V2945" s="402">
        <f>0.46/2</f>
        <v>0.23</v>
      </c>
      <c r="W2945" s="404">
        <v>0.19500000000000001</v>
      </c>
      <c r="X2945" s="402">
        <v>0.121</v>
      </c>
      <c r="Y2945" s="404">
        <f>0.005/2</f>
        <v>2.5000000000000001E-3</v>
      </c>
      <c r="Z2945" s="397"/>
      <c r="AA2945" s="399"/>
      <c r="AB2945" s="394"/>
      <c r="AC2945" s="402"/>
      <c r="AD2945" s="399"/>
      <c r="AE2945" s="391">
        <f>50/2</f>
        <v>25</v>
      </c>
      <c r="AF2945" s="391"/>
      <c r="AG2945" s="394"/>
      <c r="AH2945" s="394"/>
      <c r="AI2945" s="394"/>
      <c r="AJ2945" s="394"/>
      <c r="AK2945" s="394"/>
      <c r="AL2945" s="394"/>
      <c r="AM2945" s="394"/>
      <c r="AN2945" s="394"/>
      <c r="AO2945" s="394"/>
      <c r="AP2945" s="394"/>
      <c r="AQ2945" s="394"/>
      <c r="AR2945" s="394"/>
      <c r="AS2945" s="402"/>
      <c r="AT2945" s="404"/>
      <c r="AU2945" s="394"/>
      <c r="AV2945" s="394"/>
      <c r="AW2945" s="394"/>
      <c r="AX2945" s="5"/>
      <c r="AY2945" s="5"/>
      <c r="AZ2945" s="5"/>
      <c r="BA2945" s="5"/>
      <c r="BB2945" s="5"/>
      <c r="BC2945" s="5"/>
      <c r="BD2945" s="5"/>
      <c r="BE2945" s="5"/>
      <c r="BF2945" s="5"/>
      <c r="BG2945" s="5"/>
      <c r="BH2945" s="5"/>
      <c r="BI2945" s="5"/>
      <c r="BJ2945" s="5"/>
      <c r="BK2945" s="5"/>
      <c r="BL2945" s="5"/>
      <c r="BM2945" s="5"/>
      <c r="BN2945" s="5"/>
      <c r="BO2945" s="5"/>
      <c r="BP2945" s="5"/>
      <c r="BQ2945" s="5"/>
      <c r="BR2945" s="5"/>
      <c r="BS2945" s="5"/>
      <c r="BT2945" s="5"/>
      <c r="BU2945" s="5"/>
      <c r="BV2945" s="5"/>
      <c r="BW2945" s="5"/>
      <c r="BX2945" s="5"/>
      <c r="BY2945" s="5"/>
      <c r="BZ2945" s="5"/>
      <c r="CA2945" s="5"/>
    </row>
    <row r="2946" spans="1:79" s="400" customFormat="1" ht="15" customHeight="1">
      <c r="A2946" s="41" t="s">
        <v>183</v>
      </c>
      <c r="B2946" s="402" t="s">
        <v>5686</v>
      </c>
      <c r="C2946" s="113" t="s">
        <v>5686</v>
      </c>
      <c r="D2946" s="393" t="s">
        <v>372</v>
      </c>
      <c r="E2946" s="394" t="s">
        <v>235</v>
      </c>
      <c r="F2946" s="402"/>
      <c r="G2946" s="405" t="s">
        <v>5615</v>
      </c>
      <c r="H2946" s="404">
        <v>3316</v>
      </c>
      <c r="I2946" s="402" t="s">
        <v>1</v>
      </c>
      <c r="J2946" s="406" t="s">
        <v>254</v>
      </c>
      <c r="K2946" s="403">
        <v>41529</v>
      </c>
      <c r="L2946" s="398">
        <v>41519</v>
      </c>
      <c r="M2946" s="402">
        <f t="shared" si="168"/>
        <v>10</v>
      </c>
      <c r="N2946" s="402" t="s">
        <v>2</v>
      </c>
      <c r="O2946" s="404">
        <f>1.6/2</f>
        <v>0.8</v>
      </c>
      <c r="P2946" s="402">
        <v>5.8</v>
      </c>
      <c r="Q2946" s="404">
        <v>6</v>
      </c>
      <c r="R2946" s="402">
        <f>20/2</f>
        <v>10</v>
      </c>
      <c r="S2946" s="404">
        <v>3.2</v>
      </c>
      <c r="T2946" s="402">
        <v>8.3000000000000004E-2</v>
      </c>
      <c r="U2946" s="395">
        <f>1/2</f>
        <v>0.5</v>
      </c>
      <c r="V2946" s="402">
        <f>0.46/2</f>
        <v>0.23</v>
      </c>
      <c r="W2946" s="404">
        <v>3.1E-2</v>
      </c>
      <c r="X2946" s="402">
        <v>0.127</v>
      </c>
      <c r="Y2946" s="404">
        <v>7.9000000000000008E-3</v>
      </c>
      <c r="Z2946" s="397"/>
      <c r="AA2946" s="399"/>
      <c r="AB2946" s="394"/>
      <c r="AC2946" s="402"/>
      <c r="AD2946" s="399"/>
      <c r="AE2946" s="391">
        <f>50/2</f>
        <v>25</v>
      </c>
      <c r="AF2946" s="391"/>
      <c r="AG2946" s="394"/>
      <c r="AH2946" s="394"/>
      <c r="AI2946" s="394"/>
      <c r="AJ2946" s="394"/>
      <c r="AK2946" s="394"/>
      <c r="AL2946" s="394"/>
      <c r="AM2946" s="394"/>
      <c r="AN2946" s="394"/>
      <c r="AO2946" s="394"/>
      <c r="AP2946" s="394"/>
      <c r="AQ2946" s="394"/>
      <c r="AR2946" s="394"/>
      <c r="AS2946" s="402"/>
      <c r="AT2946" s="404"/>
      <c r="AU2946" s="394"/>
      <c r="AV2946" s="394"/>
      <c r="AW2946" s="394"/>
      <c r="AX2946" s="5"/>
      <c r="AY2946" s="5"/>
      <c r="AZ2946" s="5"/>
      <c r="BA2946" s="5"/>
      <c r="BB2946" s="5"/>
      <c r="BC2946" s="5"/>
      <c r="BD2946" s="5"/>
      <c r="BE2946" s="5"/>
      <c r="BF2946" s="5"/>
      <c r="BG2946" s="5"/>
      <c r="BH2946" s="5"/>
      <c r="BI2946" s="5"/>
      <c r="BJ2946" s="5"/>
      <c r="BK2946" s="5"/>
      <c r="BL2946" s="5"/>
      <c r="BM2946" s="5"/>
      <c r="BN2946" s="5"/>
      <c r="BO2946" s="5"/>
      <c r="BP2946" s="5"/>
      <c r="BQ2946" s="5"/>
      <c r="BR2946" s="5"/>
      <c r="BS2946" s="5"/>
      <c r="BT2946" s="5"/>
      <c r="BU2946" s="5"/>
      <c r="BV2946" s="5"/>
      <c r="BW2946" s="5"/>
      <c r="BX2946" s="5"/>
      <c r="BY2946" s="5"/>
      <c r="BZ2946" s="5"/>
      <c r="CA2946" s="5"/>
    </row>
    <row r="2947" spans="1:79" ht="15" customHeight="1">
      <c r="A2947" s="41" t="s">
        <v>183</v>
      </c>
      <c r="B2947" s="402" t="s">
        <v>5686</v>
      </c>
      <c r="C2947" s="113" t="s">
        <v>5686</v>
      </c>
      <c r="D2947" s="393" t="s">
        <v>372</v>
      </c>
      <c r="E2947" s="394" t="s">
        <v>235</v>
      </c>
      <c r="G2947" s="405" t="s">
        <v>5615</v>
      </c>
      <c r="H2947" s="74">
        <v>3316</v>
      </c>
      <c r="I2947" s="50" t="s">
        <v>1</v>
      </c>
      <c r="J2947" s="339" t="s">
        <v>96</v>
      </c>
      <c r="K2947" s="51">
        <v>41324</v>
      </c>
      <c r="L2947" s="173">
        <v>41317</v>
      </c>
      <c r="M2947" s="50">
        <f t="shared" si="168"/>
        <v>7</v>
      </c>
      <c r="N2947" s="50" t="s">
        <v>1</v>
      </c>
      <c r="O2947" s="74">
        <f>1.7/2</f>
        <v>0.85</v>
      </c>
      <c r="P2947" s="50">
        <v>8.1999999999999993</v>
      </c>
      <c r="Q2947" s="74">
        <v>6.6</v>
      </c>
      <c r="R2947" s="50">
        <f>20/2</f>
        <v>10</v>
      </c>
      <c r="S2947" s="74">
        <v>2</v>
      </c>
      <c r="T2947" s="50">
        <v>1.4999999999999999E-2</v>
      </c>
      <c r="U2947" s="131">
        <v>1.1000000000000001</v>
      </c>
      <c r="V2947" s="50">
        <v>0.83</v>
      </c>
      <c r="W2947" s="74">
        <v>5.0999999999999997E-2</v>
      </c>
      <c r="X2947" s="50">
        <v>9.7000000000000003E-2</v>
      </c>
      <c r="Y2947" s="74">
        <v>1.8499999999999999E-2</v>
      </c>
      <c r="Z2947" s="165"/>
      <c r="AF2947" s="49">
        <f>50/2</f>
        <v>25</v>
      </c>
    </row>
    <row r="2948" spans="1:79" ht="15" customHeight="1">
      <c r="A2948" s="41" t="s">
        <v>183</v>
      </c>
      <c r="B2948" s="402" t="s">
        <v>5686</v>
      </c>
      <c r="C2948" s="113" t="s">
        <v>5686</v>
      </c>
      <c r="D2948" s="393" t="s">
        <v>372</v>
      </c>
      <c r="E2948" s="394" t="s">
        <v>235</v>
      </c>
      <c r="G2948" s="405" t="s">
        <v>5615</v>
      </c>
      <c r="H2948" s="74">
        <v>3316</v>
      </c>
      <c r="I2948" s="50" t="s">
        <v>1</v>
      </c>
      <c r="J2948" s="339" t="s">
        <v>690</v>
      </c>
      <c r="K2948" s="51">
        <v>41324</v>
      </c>
      <c r="L2948" s="173">
        <v>41317</v>
      </c>
      <c r="M2948" s="50">
        <f t="shared" si="168"/>
        <v>7</v>
      </c>
      <c r="N2948" s="50" t="s">
        <v>1</v>
      </c>
      <c r="O2948" s="74">
        <f>1.7/2</f>
        <v>0.85</v>
      </c>
      <c r="P2948" s="50">
        <v>8.1999999999999993</v>
      </c>
      <c r="Q2948" s="74">
        <v>6.6</v>
      </c>
      <c r="R2948" s="50">
        <v>41</v>
      </c>
      <c r="S2948" s="74">
        <v>45.3</v>
      </c>
      <c r="T2948" s="50">
        <v>0.111</v>
      </c>
      <c r="U2948" s="131">
        <v>1.3</v>
      </c>
      <c r="V2948" s="50">
        <v>0.93</v>
      </c>
      <c r="W2948" s="74">
        <v>0.17299999999999999</v>
      </c>
      <c r="X2948" s="50">
        <v>0.435</v>
      </c>
      <c r="Y2948" s="74">
        <v>8.8999999999999999E-3</v>
      </c>
      <c r="Z2948" s="165"/>
      <c r="AF2948" s="49">
        <f>50/2</f>
        <v>25</v>
      </c>
    </row>
    <row r="2949" spans="1:79" ht="15" customHeight="1">
      <c r="A2949" s="41" t="s">
        <v>183</v>
      </c>
      <c r="B2949" s="402" t="s">
        <v>5686</v>
      </c>
      <c r="C2949" s="113" t="s">
        <v>5686</v>
      </c>
      <c r="D2949" s="393" t="s">
        <v>372</v>
      </c>
      <c r="E2949" s="394" t="s">
        <v>235</v>
      </c>
      <c r="G2949" s="405" t="s">
        <v>5615</v>
      </c>
      <c r="H2949" s="74">
        <v>3316</v>
      </c>
      <c r="I2949" s="50" t="s">
        <v>1</v>
      </c>
      <c r="J2949" s="339" t="s">
        <v>254</v>
      </c>
      <c r="K2949" s="51">
        <v>41324</v>
      </c>
      <c r="L2949" s="173">
        <v>41317</v>
      </c>
      <c r="M2949" s="50">
        <f t="shared" si="168"/>
        <v>7</v>
      </c>
      <c r="N2949" s="50" t="s">
        <v>1</v>
      </c>
      <c r="O2949" s="74">
        <v>5.5</v>
      </c>
      <c r="P2949" s="50">
        <v>8.1999999999999993</v>
      </c>
      <c r="Q2949" s="74">
        <v>7</v>
      </c>
      <c r="R2949" s="50">
        <v>220</v>
      </c>
      <c r="S2949" s="74">
        <v>71</v>
      </c>
      <c r="T2949" s="50">
        <v>0.19500000000000001</v>
      </c>
      <c r="U2949" s="131">
        <v>2.2000000000000002</v>
      </c>
      <c r="V2949" s="50">
        <v>0.66</v>
      </c>
      <c r="W2949" s="74">
        <v>0.247</v>
      </c>
      <c r="X2949" s="50">
        <v>0.29699999999999999</v>
      </c>
      <c r="Y2949" s="74">
        <v>4.9200000000000001E-2</v>
      </c>
      <c r="Z2949" s="165"/>
      <c r="AF2949" s="49">
        <f>50/2</f>
        <v>25</v>
      </c>
    </row>
    <row r="2950" spans="1:79" s="400" customFormat="1" ht="15" customHeight="1">
      <c r="A2950" s="41" t="s">
        <v>183</v>
      </c>
      <c r="B2950" s="402" t="s">
        <v>5686</v>
      </c>
      <c r="C2950" s="113" t="s">
        <v>5686</v>
      </c>
      <c r="D2950" s="393" t="s">
        <v>372</v>
      </c>
      <c r="E2950" s="394" t="s">
        <v>235</v>
      </c>
      <c r="F2950" s="402"/>
      <c r="G2950" s="405" t="s">
        <v>5615</v>
      </c>
      <c r="H2950" s="404">
        <v>3316</v>
      </c>
      <c r="I2950" s="402" t="s">
        <v>1</v>
      </c>
      <c r="J2950" s="406" t="s">
        <v>96</v>
      </c>
      <c r="K2950" s="403">
        <v>41170</v>
      </c>
      <c r="L2950" s="398">
        <v>41165</v>
      </c>
      <c r="M2950" s="402">
        <f t="shared" si="168"/>
        <v>5</v>
      </c>
      <c r="N2950" s="402" t="s">
        <v>2</v>
      </c>
      <c r="O2950" s="404">
        <f>1.7/2</f>
        <v>0.85</v>
      </c>
      <c r="P2950" s="402">
        <v>5.4</v>
      </c>
      <c r="Q2950" s="404">
        <v>5</v>
      </c>
      <c r="R2950" s="402">
        <v>23</v>
      </c>
      <c r="S2950" s="404">
        <v>2.6</v>
      </c>
      <c r="T2950" s="402">
        <v>2.3E-2</v>
      </c>
      <c r="U2950" s="395">
        <f>1/2</f>
        <v>0.5</v>
      </c>
      <c r="V2950" s="402">
        <v>0.91</v>
      </c>
      <c r="W2950" s="404">
        <v>7.6999999999999999E-2</v>
      </c>
      <c r="X2950" s="402">
        <v>8.5000000000000006E-2</v>
      </c>
      <c r="Y2950" s="404">
        <v>5.8999999999999999E-3</v>
      </c>
      <c r="Z2950" s="397">
        <v>0.34200000000000003</v>
      </c>
      <c r="AA2950" s="399">
        <v>0.13400000000000001</v>
      </c>
      <c r="AB2950" s="394">
        <v>14</v>
      </c>
      <c r="AC2950" s="402">
        <v>38</v>
      </c>
      <c r="AD2950" s="399">
        <v>0</v>
      </c>
      <c r="AE2950" s="402"/>
      <c r="AF2950" s="391"/>
      <c r="AG2950" s="394"/>
      <c r="AH2950" s="394"/>
      <c r="AI2950" s="394"/>
      <c r="AJ2950" s="394"/>
      <c r="AK2950" s="394"/>
      <c r="AL2950" s="394"/>
      <c r="AM2950" s="394"/>
      <c r="AN2950" s="394"/>
      <c r="AO2950" s="394"/>
      <c r="AP2950" s="394"/>
      <c r="AQ2950" s="394"/>
      <c r="AR2950" s="394"/>
      <c r="AS2950" s="402"/>
      <c r="AT2950" s="404"/>
      <c r="AU2950" s="394"/>
      <c r="AV2950" s="394"/>
      <c r="AW2950" s="394"/>
      <c r="AX2950" s="5"/>
      <c r="AY2950" s="5"/>
      <c r="AZ2950" s="5"/>
      <c r="BA2950" s="5"/>
      <c r="BB2950" s="5"/>
      <c r="BC2950" s="5"/>
      <c r="BD2950" s="5"/>
      <c r="BE2950" s="5"/>
      <c r="BF2950" s="5"/>
      <c r="BG2950" s="5"/>
      <c r="BH2950" s="5"/>
      <c r="BI2950" s="5"/>
      <c r="BJ2950" s="5"/>
      <c r="BK2950" s="5"/>
      <c r="BL2950" s="5"/>
      <c r="BM2950" s="5"/>
      <c r="BN2950" s="5"/>
      <c r="BO2950" s="5"/>
      <c r="BP2950" s="5"/>
      <c r="BQ2950" s="5"/>
      <c r="BR2950" s="5"/>
      <c r="BS2950" s="5"/>
      <c r="BT2950" s="5"/>
      <c r="BU2950" s="5"/>
      <c r="BV2950" s="5"/>
      <c r="BW2950" s="5"/>
      <c r="BX2950" s="5"/>
      <c r="BY2950" s="5"/>
      <c r="BZ2950" s="5"/>
      <c r="CA2950" s="5"/>
    </row>
    <row r="2951" spans="1:79" s="400" customFormat="1" ht="15" customHeight="1">
      <c r="A2951" s="41" t="s">
        <v>183</v>
      </c>
      <c r="B2951" s="402" t="s">
        <v>5686</v>
      </c>
      <c r="C2951" s="113" t="s">
        <v>5686</v>
      </c>
      <c r="D2951" s="393" t="s">
        <v>372</v>
      </c>
      <c r="E2951" s="394" t="s">
        <v>235</v>
      </c>
      <c r="F2951" s="402"/>
      <c r="G2951" s="405" t="s">
        <v>5615</v>
      </c>
      <c r="H2951" s="404">
        <v>3316</v>
      </c>
      <c r="I2951" s="402" t="s">
        <v>1</v>
      </c>
      <c r="J2951" s="406" t="s">
        <v>690</v>
      </c>
      <c r="K2951" s="403">
        <v>41170</v>
      </c>
      <c r="L2951" s="398">
        <v>41165</v>
      </c>
      <c r="M2951" s="402">
        <f t="shared" si="168"/>
        <v>5</v>
      </c>
      <c r="N2951" s="402" t="s">
        <v>2</v>
      </c>
      <c r="O2951" s="404">
        <f>1.7/2</f>
        <v>0.85</v>
      </c>
      <c r="P2951" s="402">
        <v>5.4</v>
      </c>
      <c r="Q2951" s="404">
        <v>6.6</v>
      </c>
      <c r="R2951" s="402">
        <v>110</v>
      </c>
      <c r="S2951" s="404">
        <v>15.5</v>
      </c>
      <c r="T2951" s="402">
        <v>2.25</v>
      </c>
      <c r="U2951" s="395">
        <v>2.7</v>
      </c>
      <c r="V2951" s="402">
        <v>1.06</v>
      </c>
      <c r="W2951" s="404">
        <v>0.96799999999999997</v>
      </c>
      <c r="X2951" s="402">
        <v>0.49299999999999999</v>
      </c>
      <c r="Y2951" s="404">
        <v>0.127</v>
      </c>
      <c r="Z2951" s="397">
        <v>6.25E-2</v>
      </c>
      <c r="AA2951" s="399">
        <v>6.25E-2</v>
      </c>
      <c r="AB2951" s="394">
        <v>198</v>
      </c>
      <c r="AC2951" s="402">
        <v>142</v>
      </c>
      <c r="AD2951" s="399">
        <v>0</v>
      </c>
      <c r="AE2951" s="402"/>
      <c r="AF2951" s="391"/>
      <c r="AG2951" s="394"/>
      <c r="AH2951" s="394"/>
      <c r="AI2951" s="394"/>
      <c r="AJ2951" s="394"/>
      <c r="AK2951" s="394"/>
      <c r="AL2951" s="394"/>
      <c r="AM2951" s="394"/>
      <c r="AN2951" s="394"/>
      <c r="AO2951" s="394"/>
      <c r="AP2951" s="394"/>
      <c r="AQ2951" s="394"/>
      <c r="AR2951" s="394"/>
      <c r="AS2951" s="402"/>
      <c r="AT2951" s="404"/>
      <c r="AU2951" s="394"/>
      <c r="AV2951" s="394"/>
      <c r="AW2951" s="394"/>
      <c r="AX2951" s="5"/>
      <c r="AY2951" s="5"/>
      <c r="AZ2951" s="5"/>
      <c r="BA2951" s="5"/>
      <c r="BB2951" s="5"/>
      <c r="BC2951" s="5"/>
      <c r="BD2951" s="5"/>
      <c r="BE2951" s="5"/>
      <c r="BF2951" s="5"/>
      <c r="BG2951" s="5"/>
      <c r="BH2951" s="5"/>
      <c r="BI2951" s="5"/>
      <c r="BJ2951" s="5"/>
      <c r="BK2951" s="5"/>
      <c r="BL2951" s="5"/>
      <c r="BM2951" s="5"/>
      <c r="BN2951" s="5"/>
      <c r="BO2951" s="5"/>
      <c r="BP2951" s="5"/>
      <c r="BQ2951" s="5"/>
      <c r="BR2951" s="5"/>
      <c r="BS2951" s="5"/>
      <c r="BT2951" s="5"/>
      <c r="BU2951" s="5"/>
      <c r="BV2951" s="5"/>
      <c r="BW2951" s="5"/>
      <c r="BX2951" s="5"/>
      <c r="BY2951" s="5"/>
      <c r="BZ2951" s="5"/>
      <c r="CA2951" s="5"/>
    </row>
    <row r="2952" spans="1:79" s="400" customFormat="1" ht="15" customHeight="1">
      <c r="A2952" s="41" t="s">
        <v>183</v>
      </c>
      <c r="B2952" s="402" t="s">
        <v>5686</v>
      </c>
      <c r="C2952" s="113" t="s">
        <v>5686</v>
      </c>
      <c r="D2952" s="393" t="s">
        <v>372</v>
      </c>
      <c r="E2952" s="394" t="s">
        <v>235</v>
      </c>
      <c r="F2952" s="402"/>
      <c r="G2952" s="405" t="s">
        <v>5615</v>
      </c>
      <c r="H2952" s="404">
        <v>3316</v>
      </c>
      <c r="I2952" s="402" t="s">
        <v>1</v>
      </c>
      <c r="J2952" s="406" t="s">
        <v>254</v>
      </c>
      <c r="K2952" s="403">
        <v>41170</v>
      </c>
      <c r="L2952" s="398">
        <v>41165</v>
      </c>
      <c r="M2952" s="402">
        <f t="shared" si="168"/>
        <v>5</v>
      </c>
      <c r="N2952" s="402" t="s">
        <v>2</v>
      </c>
      <c r="O2952" s="404">
        <f>1.7/2</f>
        <v>0.85</v>
      </c>
      <c r="P2952" s="402">
        <v>5.4</v>
      </c>
      <c r="Q2952" s="404">
        <v>5.8</v>
      </c>
      <c r="R2952" s="402">
        <v>69</v>
      </c>
      <c r="S2952" s="404">
        <v>20</v>
      </c>
      <c r="T2952" s="402">
        <v>0.14099999999999999</v>
      </c>
      <c r="U2952" s="395">
        <v>1.3</v>
      </c>
      <c r="V2952" s="402">
        <v>1.0900000000000001</v>
      </c>
      <c r="W2952" s="404">
        <v>0.29499999999999998</v>
      </c>
      <c r="X2952" s="402">
        <v>0.23300000000000001</v>
      </c>
      <c r="Y2952" s="404">
        <v>4.2200000000000001E-2</v>
      </c>
      <c r="Z2952" s="397">
        <v>6.25E-2</v>
      </c>
      <c r="AA2952" s="399">
        <v>6.25E-2</v>
      </c>
      <c r="AB2952" s="394">
        <v>66</v>
      </c>
      <c r="AC2952" s="402">
        <v>100</v>
      </c>
      <c r="AD2952" s="399">
        <v>0</v>
      </c>
      <c r="AE2952" s="402"/>
      <c r="AF2952" s="391"/>
      <c r="AG2952" s="394"/>
      <c r="AH2952" s="394"/>
      <c r="AI2952" s="394"/>
      <c r="AJ2952" s="394"/>
      <c r="AK2952" s="394"/>
      <c r="AL2952" s="394"/>
      <c r="AM2952" s="394"/>
      <c r="AN2952" s="394"/>
      <c r="AO2952" s="394"/>
      <c r="AP2952" s="394"/>
      <c r="AQ2952" s="394"/>
      <c r="AR2952" s="394"/>
      <c r="AS2952" s="402"/>
      <c r="AT2952" s="404"/>
      <c r="AU2952" s="394"/>
      <c r="AV2952" s="394"/>
      <c r="AW2952" s="394"/>
      <c r="AX2952" s="5"/>
      <c r="AY2952" s="5"/>
      <c r="AZ2952" s="5"/>
      <c r="BA2952" s="5"/>
      <c r="BB2952" s="5"/>
      <c r="BC2952" s="5"/>
      <c r="BD2952" s="5"/>
      <c r="BE2952" s="5"/>
      <c r="BF2952" s="5"/>
      <c r="BG2952" s="5"/>
      <c r="BH2952" s="5"/>
      <c r="BI2952" s="5"/>
      <c r="BJ2952" s="5"/>
      <c r="BK2952" s="5"/>
      <c r="BL2952" s="5"/>
      <c r="BM2952" s="5"/>
      <c r="BN2952" s="5"/>
      <c r="BO2952" s="5"/>
      <c r="BP2952" s="5"/>
      <c r="BQ2952" s="5"/>
      <c r="BR2952" s="5"/>
      <c r="BS2952" s="5"/>
      <c r="BT2952" s="5"/>
      <c r="BU2952" s="5"/>
      <c r="BV2952" s="5"/>
      <c r="BW2952" s="5"/>
      <c r="BX2952" s="5"/>
      <c r="BY2952" s="5"/>
      <c r="BZ2952" s="5"/>
      <c r="CA2952" s="5"/>
    </row>
    <row r="2953" spans="1:79" ht="15" customHeight="1">
      <c r="A2953" s="41" t="s">
        <v>183</v>
      </c>
      <c r="B2953" s="402" t="s">
        <v>5142</v>
      </c>
      <c r="C2953" s="113" t="s">
        <v>5142</v>
      </c>
      <c r="D2953" s="393" t="s">
        <v>213</v>
      </c>
      <c r="E2953" s="394" t="s">
        <v>5143</v>
      </c>
      <c r="G2953" s="405" t="s">
        <v>5144</v>
      </c>
      <c r="H2953" s="74">
        <v>3273</v>
      </c>
      <c r="I2953" s="50" t="s">
        <v>2</v>
      </c>
      <c r="J2953" s="339" t="s">
        <v>5145</v>
      </c>
      <c r="K2953" s="51">
        <v>41264</v>
      </c>
      <c r="L2953" s="173">
        <v>41260</v>
      </c>
      <c r="M2953" s="50">
        <f t="shared" si="168"/>
        <v>4</v>
      </c>
      <c r="N2953" s="50" t="s">
        <v>2</v>
      </c>
      <c r="O2953" s="74">
        <f>1.8/2</f>
        <v>0.9</v>
      </c>
      <c r="P2953" s="50">
        <v>7</v>
      </c>
      <c r="Q2953" s="74">
        <v>7.1</v>
      </c>
      <c r="R2953" s="50">
        <v>30</v>
      </c>
      <c r="S2953" s="74">
        <v>7.3</v>
      </c>
      <c r="T2953" s="50">
        <v>0.11799999999999999</v>
      </c>
      <c r="U2953" s="131">
        <v>1.4</v>
      </c>
      <c r="V2953" s="50">
        <v>0.54</v>
      </c>
      <c r="W2953" s="74">
        <f>0.007/2</f>
        <v>3.5000000000000001E-3</v>
      </c>
      <c r="X2953" s="50">
        <f>0.016/2</f>
        <v>8.0000000000000002E-3</v>
      </c>
      <c r="Y2953" s="74">
        <f>0.005/2</f>
        <v>2.5000000000000001E-3</v>
      </c>
      <c r="Z2953" s="165"/>
    </row>
    <row r="2954" spans="1:79" s="400" customFormat="1" ht="15" customHeight="1">
      <c r="A2954" s="41" t="s">
        <v>183</v>
      </c>
      <c r="B2954" s="402" t="s">
        <v>5142</v>
      </c>
      <c r="C2954" s="113" t="s">
        <v>5142</v>
      </c>
      <c r="D2954" s="393" t="s">
        <v>213</v>
      </c>
      <c r="E2954" s="394" t="s">
        <v>5143</v>
      </c>
      <c r="F2954" s="402"/>
      <c r="G2954" s="405" t="s">
        <v>5144</v>
      </c>
      <c r="H2954" s="404">
        <v>3273</v>
      </c>
      <c r="I2954" s="402" t="s">
        <v>2</v>
      </c>
      <c r="J2954" s="406" t="s">
        <v>5145</v>
      </c>
      <c r="K2954" s="403">
        <v>41444</v>
      </c>
      <c r="L2954" s="398">
        <v>41439</v>
      </c>
      <c r="M2954" s="402">
        <f t="shared" si="168"/>
        <v>5</v>
      </c>
      <c r="N2954" s="402" t="s">
        <v>2</v>
      </c>
      <c r="O2954" s="404">
        <f>1.9/2</f>
        <v>0.95</v>
      </c>
      <c r="P2954" s="402">
        <v>7.1</v>
      </c>
      <c r="Q2954" s="404">
        <v>7.3</v>
      </c>
      <c r="R2954" s="402">
        <f>20/2</f>
        <v>10</v>
      </c>
      <c r="S2954" s="404">
        <v>8</v>
      </c>
      <c r="T2954" s="402">
        <v>5.5E-2</v>
      </c>
      <c r="U2954" s="395">
        <f>1/2</f>
        <v>0.5</v>
      </c>
      <c r="V2954" s="402">
        <v>0.89</v>
      </c>
      <c r="W2954" s="404">
        <f>0.005/2</f>
        <v>2.5000000000000001E-3</v>
      </c>
      <c r="X2954" s="402">
        <f>0.01/2</f>
        <v>5.0000000000000001E-3</v>
      </c>
      <c r="Y2954" s="404">
        <f>0.005/2</f>
        <v>2.5000000000000001E-3</v>
      </c>
      <c r="Z2954" s="397">
        <v>1</v>
      </c>
      <c r="AA2954" s="399">
        <v>1</v>
      </c>
      <c r="AB2954" s="394">
        <v>52</v>
      </c>
      <c r="AC2954" s="402">
        <v>187</v>
      </c>
      <c r="AD2954" s="399">
        <v>1</v>
      </c>
      <c r="AE2954" s="402"/>
      <c r="AF2954" s="391"/>
      <c r="AG2954" s="394"/>
      <c r="AH2954" s="394"/>
      <c r="AI2954" s="394"/>
      <c r="AJ2954" s="394"/>
      <c r="AK2954" s="394"/>
      <c r="AL2954" s="394"/>
      <c r="AM2954" s="394"/>
      <c r="AN2954" s="394"/>
      <c r="AO2954" s="394"/>
      <c r="AP2954" s="394"/>
      <c r="AQ2954" s="394"/>
      <c r="AR2954" s="394"/>
      <c r="AS2954" s="402"/>
      <c r="AT2954" s="404"/>
      <c r="AU2954" s="394"/>
      <c r="AV2954" s="394"/>
      <c r="AW2954" s="394"/>
      <c r="AX2954" s="5"/>
      <c r="AY2954" s="5"/>
      <c r="AZ2954" s="5"/>
      <c r="BA2954" s="5"/>
      <c r="BB2954" s="5"/>
      <c r="BC2954" s="5"/>
      <c r="BD2954" s="5"/>
      <c r="BE2954" s="5"/>
      <c r="BF2954" s="5"/>
      <c r="BG2954" s="5"/>
      <c r="BH2954" s="5"/>
      <c r="BI2954" s="5"/>
      <c r="BJ2954" s="5"/>
      <c r="BK2954" s="5"/>
      <c r="BL2954" s="5"/>
      <c r="BM2954" s="5"/>
      <c r="BN2954" s="5"/>
      <c r="BO2954" s="5"/>
      <c r="BP2954" s="5"/>
      <c r="BQ2954" s="5"/>
      <c r="BR2954" s="5"/>
      <c r="BS2954" s="5"/>
      <c r="BT2954" s="5"/>
      <c r="BU2954" s="5"/>
      <c r="BV2954" s="5"/>
      <c r="BW2954" s="5"/>
      <c r="BX2954" s="5"/>
      <c r="BY2954" s="5"/>
      <c r="BZ2954" s="5"/>
      <c r="CA2954" s="5"/>
    </row>
    <row r="2955" spans="1:79" s="400" customFormat="1" ht="15" customHeight="1">
      <c r="A2955" s="404" t="s">
        <v>4668</v>
      </c>
      <c r="B2955" s="402" t="s">
        <v>2153</v>
      </c>
      <c r="C2955" s="113" t="s">
        <v>2154</v>
      </c>
      <c r="D2955" s="393" t="s">
        <v>350</v>
      </c>
      <c r="E2955" s="394" t="s">
        <v>5678</v>
      </c>
      <c r="F2955" s="402"/>
      <c r="G2955" s="405" t="s">
        <v>3619</v>
      </c>
      <c r="H2955" s="404">
        <v>3251</v>
      </c>
      <c r="I2955" s="402"/>
      <c r="J2955" s="406" t="s">
        <v>255</v>
      </c>
      <c r="K2955" s="403">
        <v>41527</v>
      </c>
      <c r="L2955" s="398">
        <v>41519</v>
      </c>
      <c r="M2955" s="402">
        <f t="shared" si="168"/>
        <v>8</v>
      </c>
      <c r="N2955" s="402"/>
      <c r="O2955" s="404">
        <f>1.4/2</f>
        <v>0.7</v>
      </c>
      <c r="P2955" s="402">
        <v>5.3</v>
      </c>
      <c r="Q2955" s="404">
        <v>7.82</v>
      </c>
      <c r="R2955" s="402">
        <v>28</v>
      </c>
      <c r="S2955" s="404">
        <v>8.5</v>
      </c>
      <c r="T2955" s="402">
        <v>0.04</v>
      </c>
      <c r="U2955" s="395">
        <v>0.67</v>
      </c>
      <c r="V2955" s="402">
        <f>0.01/2</f>
        <v>5.0000000000000001E-3</v>
      </c>
      <c r="W2955" s="404">
        <f>0.005/2</f>
        <v>2.5000000000000001E-3</v>
      </c>
      <c r="X2955" s="402">
        <v>3.0000000000000001E-3</v>
      </c>
      <c r="Y2955" s="404">
        <f>0.002/2</f>
        <v>1E-3</v>
      </c>
      <c r="Z2955" s="397">
        <v>1</v>
      </c>
      <c r="AA2955" s="399">
        <v>1</v>
      </c>
      <c r="AB2955" s="394">
        <v>58</v>
      </c>
      <c r="AC2955" s="402">
        <v>358</v>
      </c>
      <c r="AD2955" s="399">
        <v>1</v>
      </c>
      <c r="AE2955" s="402"/>
      <c r="AF2955" s="391"/>
      <c r="AG2955" s="394"/>
      <c r="AH2955" s="394"/>
      <c r="AI2955" s="394"/>
      <c r="AJ2955" s="394"/>
      <c r="AK2955" s="394"/>
      <c r="AL2955" s="394"/>
      <c r="AM2955" s="394"/>
      <c r="AN2955" s="394"/>
      <c r="AO2955" s="394"/>
      <c r="AP2955" s="394"/>
      <c r="AQ2955" s="394"/>
      <c r="AR2955" s="394"/>
      <c r="AS2955" s="402"/>
      <c r="AT2955" s="404"/>
      <c r="AU2955" s="394"/>
      <c r="AV2955" s="394"/>
      <c r="AW2955" s="394"/>
      <c r="AX2955" s="5"/>
      <c r="AY2955" s="5"/>
      <c r="AZ2955" s="5"/>
      <c r="BA2955" s="5"/>
      <c r="BB2955" s="5"/>
      <c r="BC2955" s="5"/>
      <c r="BD2955" s="5"/>
      <c r="BE2955" s="5"/>
      <c r="BF2955" s="5"/>
      <c r="BG2955" s="5"/>
      <c r="BH2955" s="5"/>
      <c r="BI2955" s="5"/>
      <c r="BJ2955" s="5"/>
      <c r="BK2955" s="5"/>
      <c r="BL2955" s="5"/>
      <c r="BM2955" s="5"/>
      <c r="BN2955" s="5"/>
      <c r="BO2955" s="5"/>
      <c r="BP2955" s="5"/>
      <c r="BQ2955" s="5"/>
      <c r="BR2955" s="5"/>
      <c r="BS2955" s="5"/>
      <c r="BT2955" s="5"/>
      <c r="BU2955" s="5"/>
      <c r="BV2955" s="5"/>
      <c r="BW2955" s="5"/>
      <c r="BX2955" s="5"/>
      <c r="BY2955" s="5"/>
      <c r="BZ2955" s="5"/>
      <c r="CA2955" s="5"/>
    </row>
    <row r="2956" spans="1:79" s="400" customFormat="1" ht="15" customHeight="1">
      <c r="A2956" s="404" t="s">
        <v>4668</v>
      </c>
      <c r="B2956" s="402" t="s">
        <v>2153</v>
      </c>
      <c r="C2956" s="113" t="s">
        <v>2154</v>
      </c>
      <c r="D2956" s="393" t="s">
        <v>350</v>
      </c>
      <c r="E2956" s="394" t="s">
        <v>5678</v>
      </c>
      <c r="F2956" s="402"/>
      <c r="G2956" s="405" t="s">
        <v>3619</v>
      </c>
      <c r="H2956" s="404">
        <v>3251</v>
      </c>
      <c r="I2956" s="402"/>
      <c r="J2956" s="406" t="s">
        <v>96</v>
      </c>
      <c r="K2956" s="403">
        <v>41527</v>
      </c>
      <c r="L2956" s="398">
        <v>41519</v>
      </c>
      <c r="M2956" s="402">
        <f t="shared" si="168"/>
        <v>8</v>
      </c>
      <c r="N2956" s="402" t="s">
        <v>2</v>
      </c>
      <c r="O2956" s="404">
        <f>1.5/2</f>
        <v>0.75</v>
      </c>
      <c r="P2956" s="402">
        <v>5.3</v>
      </c>
      <c r="Q2956" s="404">
        <v>7.07</v>
      </c>
      <c r="R2956" s="402">
        <v>15</v>
      </c>
      <c r="S2956" s="404">
        <v>220</v>
      </c>
      <c r="T2956" s="402">
        <v>0.27</v>
      </c>
      <c r="U2956" s="395">
        <v>0.98</v>
      </c>
      <c r="V2956" s="402">
        <v>0.66</v>
      </c>
      <c r="W2956" s="404">
        <v>1.4E-2</v>
      </c>
      <c r="X2956" s="402">
        <v>0.14199999999999999</v>
      </c>
      <c r="Y2956" s="404">
        <v>3.0000000000000001E-3</v>
      </c>
      <c r="Z2956" s="397">
        <v>1</v>
      </c>
      <c r="AA2956" s="399">
        <v>1</v>
      </c>
      <c r="AB2956" s="394">
        <v>12</v>
      </c>
      <c r="AC2956" s="402">
        <v>41</v>
      </c>
      <c r="AD2956" s="399">
        <v>1</v>
      </c>
      <c r="AE2956" s="402"/>
      <c r="AF2956" s="391"/>
      <c r="AG2956" s="394"/>
      <c r="AH2956" s="394"/>
      <c r="AI2956" s="394"/>
      <c r="AJ2956" s="394"/>
      <c r="AK2956" s="394"/>
      <c r="AL2956" s="394"/>
      <c r="AM2956" s="394"/>
      <c r="AN2956" s="394"/>
      <c r="AO2956" s="394"/>
      <c r="AP2956" s="394"/>
      <c r="AQ2956" s="394"/>
      <c r="AR2956" s="394"/>
      <c r="AS2956" s="402"/>
      <c r="AT2956" s="404"/>
      <c r="AU2956" s="394"/>
      <c r="AV2956" s="394"/>
      <c r="AW2956" s="394"/>
      <c r="AX2956" s="5"/>
      <c r="AY2956" s="5"/>
      <c r="AZ2956" s="5"/>
      <c r="BA2956" s="5"/>
      <c r="BB2956" s="5"/>
      <c r="BC2956" s="5"/>
      <c r="BD2956" s="5"/>
      <c r="BE2956" s="5"/>
      <c r="BF2956" s="5"/>
      <c r="BG2956" s="5"/>
      <c r="BH2956" s="5"/>
      <c r="BI2956" s="5"/>
      <c r="BJ2956" s="5"/>
      <c r="BK2956" s="5"/>
      <c r="BL2956" s="5"/>
      <c r="BM2956" s="5"/>
      <c r="BN2956" s="5"/>
      <c r="BO2956" s="5"/>
      <c r="BP2956" s="5"/>
      <c r="BQ2956" s="5"/>
      <c r="BR2956" s="5"/>
      <c r="BS2956" s="5"/>
      <c r="BT2956" s="5"/>
      <c r="BU2956" s="5"/>
      <c r="BV2956" s="5"/>
      <c r="BW2956" s="5"/>
      <c r="BX2956" s="5"/>
      <c r="BY2956" s="5"/>
      <c r="BZ2956" s="5"/>
      <c r="CA2956" s="5"/>
    </row>
    <row r="2957" spans="1:79" s="400" customFormat="1" ht="15" customHeight="1">
      <c r="A2957" s="404" t="s">
        <v>4668</v>
      </c>
      <c r="B2957" s="402" t="s">
        <v>5673</v>
      </c>
      <c r="C2957" s="113" t="s">
        <v>5674</v>
      </c>
      <c r="D2957" s="393"/>
      <c r="E2957" s="394" t="s">
        <v>112</v>
      </c>
      <c r="F2957" s="402"/>
      <c r="G2957" s="405" t="s">
        <v>5675</v>
      </c>
      <c r="H2957" s="404" t="s">
        <v>5676</v>
      </c>
      <c r="I2957" s="402" t="s">
        <v>2</v>
      </c>
      <c r="J2957" s="406" t="s">
        <v>5677</v>
      </c>
      <c r="K2957" s="403">
        <v>41529</v>
      </c>
      <c r="L2957" s="398">
        <v>41518</v>
      </c>
      <c r="M2957" s="402">
        <f t="shared" si="168"/>
        <v>11</v>
      </c>
      <c r="N2957" s="402" t="s">
        <v>2</v>
      </c>
      <c r="O2957" s="404">
        <f>1/2</f>
        <v>0.5</v>
      </c>
      <c r="P2957" s="402">
        <v>4.67</v>
      </c>
      <c r="Q2957" s="404">
        <v>7.38</v>
      </c>
      <c r="R2957" s="402">
        <v>3.7</v>
      </c>
      <c r="S2957" s="404">
        <v>2</v>
      </c>
      <c r="T2957" s="402">
        <f>0.05/2</f>
        <v>2.5000000000000001E-2</v>
      </c>
      <c r="U2957" s="395">
        <v>1.08</v>
      </c>
      <c r="V2957" s="402">
        <v>2.57</v>
      </c>
      <c r="W2957" s="404">
        <f>0.005/2</f>
        <v>2.5000000000000001E-3</v>
      </c>
      <c r="X2957" s="402">
        <v>3.5999999999999997E-2</v>
      </c>
      <c r="Y2957" s="404">
        <f>0.002/2</f>
        <v>1E-3</v>
      </c>
      <c r="Z2957" s="397">
        <v>1</v>
      </c>
      <c r="AA2957" s="399">
        <v>1</v>
      </c>
      <c r="AB2957" s="394">
        <v>2.15</v>
      </c>
      <c r="AC2957" s="402">
        <v>26</v>
      </c>
      <c r="AD2957" s="399">
        <v>1</v>
      </c>
      <c r="AE2957" s="402"/>
      <c r="AF2957" s="391"/>
      <c r="AG2957" s="394"/>
      <c r="AH2957" s="394"/>
      <c r="AI2957" s="394"/>
      <c r="AJ2957" s="394"/>
      <c r="AK2957" s="394"/>
      <c r="AL2957" s="394"/>
      <c r="AM2957" s="394"/>
      <c r="AN2957" s="394"/>
      <c r="AO2957" s="394"/>
      <c r="AP2957" s="394"/>
      <c r="AQ2957" s="394"/>
      <c r="AR2957" s="394"/>
      <c r="AS2957" s="402"/>
      <c r="AT2957" s="404"/>
      <c r="AU2957" s="394"/>
      <c r="AV2957" s="394"/>
      <c r="AW2957" s="394"/>
      <c r="AX2957" s="5"/>
      <c r="AY2957" s="5"/>
      <c r="AZ2957" s="5"/>
      <c r="BA2957" s="5"/>
      <c r="BB2957" s="5"/>
      <c r="BC2957" s="5"/>
      <c r="BD2957" s="5"/>
      <c r="BE2957" s="5"/>
      <c r="BF2957" s="5"/>
      <c r="BG2957" s="5"/>
      <c r="BH2957" s="5"/>
      <c r="BI2957" s="5"/>
      <c r="BJ2957" s="5"/>
      <c r="BK2957" s="5"/>
      <c r="BL2957" s="5"/>
      <c r="BM2957" s="5"/>
      <c r="BN2957" s="5"/>
      <c r="BO2957" s="5"/>
      <c r="BP2957" s="5"/>
      <c r="BQ2957" s="5"/>
      <c r="BR2957" s="5"/>
      <c r="BS2957" s="5"/>
      <c r="BT2957" s="5"/>
      <c r="BU2957" s="5"/>
      <c r="BV2957" s="5"/>
      <c r="BW2957" s="5"/>
      <c r="BX2957" s="5"/>
      <c r="BY2957" s="5"/>
      <c r="BZ2957" s="5"/>
      <c r="CA2957" s="5"/>
    </row>
    <row r="2958" spans="1:79" s="400" customFormat="1" ht="15" customHeight="1">
      <c r="A2958" s="404" t="s">
        <v>4668</v>
      </c>
      <c r="B2958" s="402" t="s">
        <v>5296</v>
      </c>
      <c r="C2958" s="113" t="s">
        <v>5296</v>
      </c>
      <c r="D2958" s="393" t="s">
        <v>5297</v>
      </c>
      <c r="E2958" s="394" t="s">
        <v>5687</v>
      </c>
      <c r="F2958" s="402"/>
      <c r="G2958" s="405" t="s">
        <v>5295</v>
      </c>
      <c r="H2958" s="404">
        <v>3315</v>
      </c>
      <c r="I2958" s="402" t="s">
        <v>2</v>
      </c>
      <c r="J2958" s="406" t="s">
        <v>2100</v>
      </c>
      <c r="K2958" s="403">
        <v>41226</v>
      </c>
      <c r="L2958" s="398">
        <v>41192</v>
      </c>
      <c r="M2958" s="402">
        <f t="shared" si="168"/>
        <v>34</v>
      </c>
      <c r="N2958" s="402" t="s">
        <v>2</v>
      </c>
      <c r="O2958" s="404">
        <f>1/2</f>
        <v>0.5</v>
      </c>
      <c r="P2958" s="402">
        <v>5.5</v>
      </c>
      <c r="Q2958" s="404">
        <v>6.1</v>
      </c>
      <c r="R2958" s="402">
        <v>36</v>
      </c>
      <c r="S2958" s="404">
        <v>13</v>
      </c>
      <c r="T2958" s="402">
        <v>8.2000000000000003E-2</v>
      </c>
      <c r="U2958" s="395">
        <v>0.77</v>
      </c>
      <c r="V2958" s="402">
        <v>0.53</v>
      </c>
      <c r="W2958" s="404">
        <v>2.5999999999999999E-2</v>
      </c>
      <c r="X2958" s="402">
        <v>1.5</v>
      </c>
      <c r="Y2958" s="404">
        <v>2E-3</v>
      </c>
      <c r="Z2958" s="397">
        <v>0.42899999999999999</v>
      </c>
      <c r="AA2958" s="399">
        <v>0.17699999999999999</v>
      </c>
      <c r="AB2958" s="394">
        <v>12</v>
      </c>
      <c r="AC2958" s="402">
        <v>62</v>
      </c>
      <c r="AD2958" s="399">
        <v>0</v>
      </c>
      <c r="AE2958" s="402"/>
      <c r="AF2958" s="391"/>
      <c r="AG2958" s="394"/>
      <c r="AH2958" s="394"/>
      <c r="AI2958" s="394"/>
      <c r="AJ2958" s="394"/>
      <c r="AK2958" s="394"/>
      <c r="AL2958" s="394"/>
      <c r="AM2958" s="394"/>
      <c r="AN2958" s="394"/>
      <c r="AO2958" s="394"/>
      <c r="AP2958" s="394"/>
      <c r="AQ2958" s="394"/>
      <c r="AR2958" s="394"/>
      <c r="AS2958" s="402"/>
      <c r="AT2958" s="404"/>
      <c r="AU2958" s="394"/>
      <c r="AV2958" s="394"/>
      <c r="AW2958" s="394"/>
      <c r="AX2958" s="5"/>
      <c r="AY2958" s="5"/>
      <c r="AZ2958" s="5"/>
      <c r="BA2958" s="5"/>
      <c r="BB2958" s="5"/>
      <c r="BC2958" s="5"/>
      <c r="BD2958" s="5"/>
      <c r="BE2958" s="5"/>
      <c r="BF2958" s="5"/>
      <c r="BG2958" s="5"/>
      <c r="BH2958" s="5"/>
      <c r="BI2958" s="5"/>
      <c r="BJ2958" s="5"/>
      <c r="BK2958" s="5"/>
      <c r="BL2958" s="5"/>
      <c r="BM2958" s="5"/>
      <c r="BN2958" s="5"/>
      <c r="BO2958" s="5"/>
      <c r="BP2958" s="5"/>
      <c r="BQ2958" s="5"/>
      <c r="BR2958" s="5"/>
      <c r="BS2958" s="5"/>
      <c r="BT2958" s="5"/>
      <c r="BU2958" s="5"/>
      <c r="BV2958" s="5"/>
      <c r="BW2958" s="5"/>
      <c r="BX2958" s="5"/>
      <c r="BY2958" s="5"/>
      <c r="BZ2958" s="5"/>
      <c r="CA2958" s="5"/>
    </row>
    <row r="2959" spans="1:79" s="400" customFormat="1" ht="15" customHeight="1">
      <c r="A2959" s="404" t="s">
        <v>4668</v>
      </c>
      <c r="B2959" s="402" t="s">
        <v>5296</v>
      </c>
      <c r="C2959" s="113" t="s">
        <v>5296</v>
      </c>
      <c r="D2959" s="393" t="s">
        <v>5297</v>
      </c>
      <c r="E2959" s="394" t="s">
        <v>5687</v>
      </c>
      <c r="F2959" s="402"/>
      <c r="G2959" s="405" t="s">
        <v>5295</v>
      </c>
      <c r="H2959" s="404">
        <v>3315</v>
      </c>
      <c r="I2959" s="402" t="s">
        <v>2</v>
      </c>
      <c r="J2959" s="406" t="s">
        <v>5321</v>
      </c>
      <c r="K2959" s="403">
        <v>41226</v>
      </c>
      <c r="L2959" s="398">
        <v>41192</v>
      </c>
      <c r="M2959" s="402">
        <f t="shared" si="168"/>
        <v>34</v>
      </c>
      <c r="N2959" s="402" t="s">
        <v>2</v>
      </c>
      <c r="O2959" s="404">
        <f>1/2</f>
        <v>0.5</v>
      </c>
      <c r="P2959" s="402">
        <v>5.5</v>
      </c>
      <c r="Q2959" s="404">
        <v>4.3</v>
      </c>
      <c r="R2959" s="402">
        <v>7.33</v>
      </c>
      <c r="S2959" s="404">
        <f>5/2</f>
        <v>2.5</v>
      </c>
      <c r="T2959" s="402">
        <v>2.7E-2</v>
      </c>
      <c r="U2959" s="395">
        <f>0.5/2</f>
        <v>0.25</v>
      </c>
      <c r="V2959" s="402">
        <v>7.3999999999999996E-2</v>
      </c>
      <c r="W2959" s="404">
        <v>2.8000000000000001E-2</v>
      </c>
      <c r="X2959" s="402">
        <v>0.44</v>
      </c>
      <c r="Y2959" s="404">
        <f>0.002/2</f>
        <v>1E-3</v>
      </c>
      <c r="Z2959" s="397">
        <v>0.14899999999999999</v>
      </c>
      <c r="AA2959" s="399">
        <v>9.2299999999999993E-2</v>
      </c>
      <c r="AB2959" s="394">
        <v>2</v>
      </c>
      <c r="AC2959" s="402">
        <v>25</v>
      </c>
      <c r="AD2959" s="399">
        <v>0</v>
      </c>
      <c r="AE2959" s="402"/>
      <c r="AF2959" s="391"/>
      <c r="AG2959" s="394"/>
      <c r="AH2959" s="394"/>
      <c r="AI2959" s="394"/>
      <c r="AJ2959" s="394"/>
      <c r="AK2959" s="394"/>
      <c r="AL2959" s="394"/>
      <c r="AM2959" s="394"/>
      <c r="AN2959" s="394"/>
      <c r="AO2959" s="394"/>
      <c r="AP2959" s="394"/>
      <c r="AQ2959" s="394"/>
      <c r="AR2959" s="394"/>
      <c r="AS2959" s="402"/>
      <c r="AT2959" s="404"/>
      <c r="AU2959" s="394"/>
      <c r="AV2959" s="394"/>
      <c r="AW2959" s="394"/>
      <c r="AX2959" s="5"/>
      <c r="AY2959" s="5"/>
      <c r="AZ2959" s="5"/>
      <c r="BA2959" s="5"/>
      <c r="BB2959" s="5"/>
      <c r="BC2959" s="5"/>
      <c r="BD2959" s="5"/>
      <c r="BE2959" s="5"/>
      <c r="BF2959" s="5"/>
      <c r="BG2959" s="5"/>
      <c r="BH2959" s="5"/>
      <c r="BI2959" s="5"/>
      <c r="BJ2959" s="5"/>
      <c r="BK2959" s="5"/>
      <c r="BL2959" s="5"/>
      <c r="BM2959" s="5"/>
      <c r="BN2959" s="5"/>
      <c r="BO2959" s="5"/>
      <c r="BP2959" s="5"/>
      <c r="BQ2959" s="5"/>
      <c r="BR2959" s="5"/>
      <c r="BS2959" s="5"/>
      <c r="BT2959" s="5"/>
      <c r="BU2959" s="5"/>
      <c r="BV2959" s="5"/>
      <c r="BW2959" s="5"/>
      <c r="BX2959" s="5"/>
      <c r="BY2959" s="5"/>
      <c r="BZ2959" s="5"/>
      <c r="CA2959" s="5"/>
    </row>
    <row r="2960" spans="1:79" s="400" customFormat="1" ht="15" customHeight="1">
      <c r="A2960" s="404" t="s">
        <v>4668</v>
      </c>
      <c r="B2960" s="402" t="s">
        <v>590</v>
      </c>
      <c r="C2960" s="113" t="s">
        <v>591</v>
      </c>
      <c r="D2960" s="393" t="s">
        <v>89</v>
      </c>
      <c r="E2960" s="394" t="s">
        <v>535</v>
      </c>
      <c r="F2960" s="402"/>
      <c r="G2960" s="405" t="s">
        <v>592</v>
      </c>
      <c r="H2960" s="404">
        <v>3273</v>
      </c>
      <c r="I2960" s="402" t="s">
        <v>1</v>
      </c>
      <c r="J2960" s="406" t="s">
        <v>255</v>
      </c>
      <c r="K2960" s="403">
        <v>41529</v>
      </c>
      <c r="L2960" s="398">
        <v>41520</v>
      </c>
      <c r="M2960" s="402">
        <f t="shared" si="168"/>
        <v>9</v>
      </c>
      <c r="N2960" s="402" t="s">
        <v>2</v>
      </c>
      <c r="O2960" s="404">
        <f>1.4/2</f>
        <v>0.7</v>
      </c>
      <c r="P2960" s="402">
        <v>6</v>
      </c>
      <c r="Q2960" s="404">
        <v>8.7100000000000009</v>
      </c>
      <c r="R2960" s="402">
        <v>54</v>
      </c>
      <c r="S2960" s="404">
        <v>56</v>
      </c>
      <c r="T2960" s="402">
        <v>0.28999999999999998</v>
      </c>
      <c r="U2960" s="395">
        <v>1.68</v>
      </c>
      <c r="V2960" s="402">
        <v>0.41</v>
      </c>
      <c r="W2960" s="404">
        <v>7.0000000000000001E-3</v>
      </c>
      <c r="X2960" s="402">
        <v>3.5000000000000003E-2</v>
      </c>
      <c r="Y2960" s="404">
        <v>4.0000000000000001E-3</v>
      </c>
      <c r="Z2960" s="397"/>
      <c r="AA2960" s="399"/>
      <c r="AB2960" s="394"/>
      <c r="AC2960" s="402"/>
      <c r="AD2960" s="399"/>
      <c r="AE2960" s="402"/>
      <c r="AF2960" s="391"/>
      <c r="AG2960" s="394"/>
      <c r="AH2960" s="394"/>
      <c r="AI2960" s="394"/>
      <c r="AJ2960" s="394"/>
      <c r="AK2960" s="394"/>
      <c r="AL2960" s="394"/>
      <c r="AM2960" s="394"/>
      <c r="AN2960" s="394"/>
      <c r="AO2960" s="394"/>
      <c r="AP2960" s="394"/>
      <c r="AQ2960" s="394"/>
      <c r="AR2960" s="394"/>
      <c r="AS2960" s="402"/>
      <c r="AT2960" s="404"/>
      <c r="AU2960" s="394"/>
      <c r="AV2960" s="394"/>
      <c r="AW2960" s="394"/>
      <c r="AX2960" s="5"/>
      <c r="AY2960" s="5"/>
      <c r="AZ2960" s="5"/>
      <c r="BA2960" s="5"/>
      <c r="BB2960" s="5"/>
      <c r="BC2960" s="5"/>
      <c r="BD2960" s="5"/>
      <c r="BE2960" s="5"/>
      <c r="BF2960" s="5"/>
      <c r="BG2960" s="5"/>
      <c r="BH2960" s="5"/>
      <c r="BI2960" s="5"/>
      <c r="BJ2960" s="5"/>
      <c r="BK2960" s="5"/>
      <c r="BL2960" s="5"/>
      <c r="BM2960" s="5"/>
      <c r="BN2960" s="5"/>
      <c r="BO2960" s="5"/>
      <c r="BP2960" s="5"/>
      <c r="BQ2960" s="5"/>
      <c r="BR2960" s="5"/>
      <c r="BS2960" s="5"/>
      <c r="BT2960" s="5"/>
      <c r="BU2960" s="5"/>
      <c r="BV2960" s="5"/>
      <c r="BW2960" s="5"/>
      <c r="BX2960" s="5"/>
      <c r="BY2960" s="5"/>
      <c r="BZ2960" s="5"/>
      <c r="CA2960" s="5"/>
    </row>
    <row r="2961" spans="1:79" s="400" customFormat="1" ht="15" customHeight="1">
      <c r="A2961" s="404" t="s">
        <v>4668</v>
      </c>
      <c r="B2961" s="402" t="s">
        <v>590</v>
      </c>
      <c r="C2961" s="113" t="s">
        <v>591</v>
      </c>
      <c r="D2961" s="393" t="s">
        <v>89</v>
      </c>
      <c r="E2961" s="394" t="s">
        <v>535</v>
      </c>
      <c r="F2961" s="402"/>
      <c r="G2961" s="405" t="s">
        <v>592</v>
      </c>
      <c r="H2961" s="404">
        <v>3273</v>
      </c>
      <c r="I2961" s="402" t="s">
        <v>1</v>
      </c>
      <c r="J2961" s="406" t="s">
        <v>96</v>
      </c>
      <c r="K2961" s="403">
        <v>41529</v>
      </c>
      <c r="L2961" s="398">
        <v>41520</v>
      </c>
      <c r="M2961" s="402">
        <f t="shared" si="168"/>
        <v>9</v>
      </c>
      <c r="N2961" s="402" t="s">
        <v>2</v>
      </c>
      <c r="O2961" s="404">
        <f>1.7/2</f>
        <v>0.85</v>
      </c>
      <c r="P2961" s="402">
        <v>6</v>
      </c>
      <c r="Q2961" s="404">
        <v>9.42</v>
      </c>
      <c r="R2961" s="402">
        <v>34</v>
      </c>
      <c r="S2961" s="404">
        <v>11</v>
      </c>
      <c r="T2961" s="402">
        <v>0.14000000000000001</v>
      </c>
      <c r="U2961" s="395">
        <v>0.67</v>
      </c>
      <c r="V2961" s="402">
        <v>0.42</v>
      </c>
      <c r="W2961" s="404">
        <v>7.0000000000000001E-3</v>
      </c>
      <c r="X2961" s="402">
        <v>0.02</v>
      </c>
      <c r="Y2961" s="404">
        <v>5.0000000000000001E-3</v>
      </c>
      <c r="Z2961" s="397"/>
      <c r="AA2961" s="399"/>
      <c r="AB2961" s="394"/>
      <c r="AC2961" s="402"/>
      <c r="AD2961" s="399"/>
      <c r="AE2961" s="402"/>
      <c r="AF2961" s="391"/>
      <c r="AG2961" s="394"/>
      <c r="AH2961" s="394"/>
      <c r="AI2961" s="394"/>
      <c r="AJ2961" s="394"/>
      <c r="AK2961" s="394"/>
      <c r="AL2961" s="394"/>
      <c r="AM2961" s="394"/>
      <c r="AN2961" s="394"/>
      <c r="AO2961" s="394"/>
      <c r="AP2961" s="394"/>
      <c r="AQ2961" s="394"/>
      <c r="AR2961" s="394"/>
      <c r="AS2961" s="402"/>
      <c r="AT2961" s="404"/>
      <c r="AU2961" s="394"/>
      <c r="AV2961" s="394"/>
      <c r="AW2961" s="394"/>
      <c r="AX2961" s="5"/>
      <c r="AY2961" s="5"/>
      <c r="AZ2961" s="5"/>
      <c r="BA2961" s="5"/>
      <c r="BB2961" s="5"/>
      <c r="BC2961" s="5"/>
      <c r="BD2961" s="5"/>
      <c r="BE2961" s="5"/>
      <c r="BF2961" s="5"/>
      <c r="BG2961" s="5"/>
      <c r="BH2961" s="5"/>
      <c r="BI2961" s="5"/>
      <c r="BJ2961" s="5"/>
      <c r="BK2961" s="5"/>
      <c r="BL2961" s="5"/>
      <c r="BM2961" s="5"/>
      <c r="BN2961" s="5"/>
      <c r="BO2961" s="5"/>
      <c r="BP2961" s="5"/>
      <c r="BQ2961" s="5"/>
      <c r="BR2961" s="5"/>
      <c r="BS2961" s="5"/>
      <c r="BT2961" s="5"/>
      <c r="BU2961" s="5"/>
      <c r="BV2961" s="5"/>
      <c r="BW2961" s="5"/>
      <c r="BX2961" s="5"/>
      <c r="BY2961" s="5"/>
      <c r="BZ2961" s="5"/>
      <c r="CA2961" s="5"/>
    </row>
    <row r="2962" spans="1:79" s="400" customFormat="1" ht="15" customHeight="1">
      <c r="A2962" s="404" t="s">
        <v>4668</v>
      </c>
      <c r="B2962" s="402" t="s">
        <v>3220</v>
      </c>
      <c r="C2962" s="113" t="s">
        <v>3220</v>
      </c>
      <c r="D2962" s="393" t="s">
        <v>295</v>
      </c>
      <c r="E2962" s="394" t="s">
        <v>535</v>
      </c>
      <c r="F2962" s="402"/>
      <c r="G2962" s="405" t="s">
        <v>3221</v>
      </c>
      <c r="H2962" s="404">
        <v>2834</v>
      </c>
      <c r="I2962" s="402" t="s">
        <v>1</v>
      </c>
      <c r="J2962" s="406" t="s">
        <v>4736</v>
      </c>
      <c r="K2962" s="403">
        <v>41487</v>
      </c>
      <c r="L2962" s="398" t="s">
        <v>5380</v>
      </c>
      <c r="M2962" s="402"/>
      <c r="N2962" s="402" t="s">
        <v>2</v>
      </c>
      <c r="O2962" s="404">
        <f>1.4/2</f>
        <v>0.7</v>
      </c>
      <c r="P2962" s="402">
        <v>7.29</v>
      </c>
      <c r="Q2962" s="404">
        <v>8.06</v>
      </c>
      <c r="R2962" s="402">
        <v>13</v>
      </c>
      <c r="S2962" s="404">
        <f>5/2</f>
        <v>2.5</v>
      </c>
      <c r="T2962" s="402">
        <v>0.04</v>
      </c>
      <c r="U2962" s="395">
        <v>0.3</v>
      </c>
      <c r="V2962" s="402">
        <v>0.48</v>
      </c>
      <c r="W2962" s="404">
        <f>0.005/2</f>
        <v>2.5000000000000001E-3</v>
      </c>
      <c r="X2962" s="402">
        <f>0.002/2</f>
        <v>1E-3</v>
      </c>
      <c r="Y2962" s="404">
        <f>0.002/2</f>
        <v>1E-3</v>
      </c>
      <c r="Z2962" s="397"/>
      <c r="AA2962" s="399"/>
      <c r="AB2962" s="394"/>
      <c r="AC2962" s="402"/>
      <c r="AD2962" s="399"/>
      <c r="AE2962" s="402">
        <v>579</v>
      </c>
      <c r="AF2962" s="391"/>
      <c r="AG2962" s="394"/>
      <c r="AH2962" s="394"/>
      <c r="AI2962" s="394"/>
      <c r="AJ2962" s="394"/>
      <c r="AK2962" s="394"/>
      <c r="AL2962" s="394"/>
      <c r="AM2962" s="394"/>
      <c r="AN2962" s="394"/>
      <c r="AO2962" s="394"/>
      <c r="AP2962" s="394"/>
      <c r="AQ2962" s="394"/>
      <c r="AR2962" s="394"/>
      <c r="AS2962" s="402"/>
      <c r="AT2962" s="404"/>
      <c r="AU2962" s="394"/>
      <c r="AV2962" s="394"/>
      <c r="AW2962" s="394"/>
      <c r="AX2962" s="5"/>
      <c r="AY2962" s="5"/>
      <c r="AZ2962" s="5"/>
      <c r="BA2962" s="5"/>
      <c r="BB2962" s="5"/>
      <c r="BC2962" s="5"/>
      <c r="BD2962" s="5"/>
      <c r="BE2962" s="5"/>
      <c r="BF2962" s="5"/>
      <c r="BG2962" s="5"/>
      <c r="BH2962" s="5"/>
      <c r="BI2962" s="5"/>
      <c r="BJ2962" s="5"/>
      <c r="BK2962" s="5"/>
      <c r="BL2962" s="5"/>
      <c r="BM2962" s="5"/>
      <c r="BN2962" s="5"/>
      <c r="BO2962" s="5"/>
      <c r="BP2962" s="5"/>
      <c r="BQ2962" s="5"/>
      <c r="BR2962" s="5"/>
      <c r="BS2962" s="5"/>
      <c r="BT2962" s="5"/>
      <c r="BU2962" s="5"/>
      <c r="BV2962" s="5"/>
      <c r="BW2962" s="5"/>
      <c r="BX2962" s="5"/>
      <c r="BY2962" s="5"/>
      <c r="BZ2962" s="5"/>
      <c r="CA2962" s="5"/>
    </row>
    <row r="2963" spans="1:79" s="400" customFormat="1" ht="15" customHeight="1">
      <c r="A2963" s="404" t="s">
        <v>4668</v>
      </c>
      <c r="B2963" s="402" t="s">
        <v>3220</v>
      </c>
      <c r="C2963" s="113" t="s">
        <v>3220</v>
      </c>
      <c r="D2963" s="393" t="s">
        <v>295</v>
      </c>
      <c r="E2963" s="394" t="s">
        <v>535</v>
      </c>
      <c r="F2963" s="402"/>
      <c r="G2963" s="405" t="s">
        <v>3221</v>
      </c>
      <c r="H2963" s="404">
        <v>2834</v>
      </c>
      <c r="I2963" s="402" t="s">
        <v>1</v>
      </c>
      <c r="J2963" s="406" t="s">
        <v>2362</v>
      </c>
      <c r="K2963" s="403">
        <v>41487</v>
      </c>
      <c r="L2963" s="398" t="s">
        <v>5380</v>
      </c>
      <c r="M2963" s="402"/>
      <c r="N2963" s="402" t="s">
        <v>2</v>
      </c>
      <c r="O2963" s="404">
        <f>1.4/2</f>
        <v>0.7</v>
      </c>
      <c r="P2963" s="402">
        <v>7.29</v>
      </c>
      <c r="Q2963" s="404">
        <v>7.96</v>
      </c>
      <c r="R2963" s="402">
        <v>17</v>
      </c>
      <c r="S2963" s="404">
        <v>22</v>
      </c>
      <c r="T2963" s="402">
        <v>0.1</v>
      </c>
      <c r="U2963" s="395">
        <v>0.5</v>
      </c>
      <c r="V2963" s="402">
        <v>0.06</v>
      </c>
      <c r="W2963" s="404">
        <f>0.005/2</f>
        <v>2.5000000000000001E-3</v>
      </c>
      <c r="X2963" s="402">
        <f>0.002/2</f>
        <v>1E-3</v>
      </c>
      <c r="Y2963" s="404">
        <f>0.002/2</f>
        <v>1E-3</v>
      </c>
      <c r="Z2963" s="397"/>
      <c r="AA2963" s="399"/>
      <c r="AB2963" s="394"/>
      <c r="AC2963" s="402"/>
      <c r="AD2963" s="399"/>
      <c r="AE2963" s="402" t="s">
        <v>5688</v>
      </c>
      <c r="AF2963" s="391"/>
      <c r="AG2963" s="394"/>
      <c r="AH2963" s="394"/>
      <c r="AI2963" s="394"/>
      <c r="AJ2963" s="394"/>
      <c r="AK2963" s="394"/>
      <c r="AL2963" s="394"/>
      <c r="AM2963" s="394"/>
      <c r="AN2963" s="394"/>
      <c r="AO2963" s="394"/>
      <c r="AP2963" s="394"/>
      <c r="AQ2963" s="394"/>
      <c r="AR2963" s="394"/>
      <c r="AS2963" s="402"/>
      <c r="AT2963" s="404"/>
      <c r="AU2963" s="394"/>
      <c r="AV2963" s="394"/>
      <c r="AW2963" s="394"/>
      <c r="AX2963" s="5"/>
      <c r="AY2963" s="5"/>
      <c r="AZ2963" s="5"/>
      <c r="BA2963" s="5"/>
      <c r="BB2963" s="5"/>
      <c r="BC2963" s="5"/>
      <c r="BD2963" s="5"/>
      <c r="BE2963" s="5"/>
      <c r="BF2963" s="5"/>
      <c r="BG2963" s="5"/>
      <c r="BH2963" s="5"/>
      <c r="BI2963" s="5"/>
      <c r="BJ2963" s="5"/>
      <c r="BK2963" s="5"/>
      <c r="BL2963" s="5"/>
      <c r="BM2963" s="5"/>
      <c r="BN2963" s="5"/>
      <c r="BO2963" s="5"/>
      <c r="BP2963" s="5"/>
      <c r="BQ2963" s="5"/>
      <c r="BR2963" s="5"/>
      <c r="BS2963" s="5"/>
      <c r="BT2963" s="5"/>
      <c r="BU2963" s="5"/>
      <c r="BV2963" s="5"/>
      <c r="BW2963" s="5"/>
      <c r="BX2963" s="5"/>
      <c r="BY2963" s="5"/>
      <c r="BZ2963" s="5"/>
      <c r="CA2963" s="5"/>
    </row>
    <row r="2964" spans="1:79" s="400" customFormat="1" ht="15" customHeight="1">
      <c r="A2964" s="404" t="s">
        <v>4668</v>
      </c>
      <c r="B2964" s="402" t="s">
        <v>3220</v>
      </c>
      <c r="C2964" s="113" t="s">
        <v>3220</v>
      </c>
      <c r="D2964" s="393" t="s">
        <v>295</v>
      </c>
      <c r="E2964" s="394" t="s">
        <v>535</v>
      </c>
      <c r="F2964" s="402"/>
      <c r="G2964" s="405" t="s">
        <v>3221</v>
      </c>
      <c r="H2964" s="404">
        <v>2834</v>
      </c>
      <c r="I2964" s="402" t="s">
        <v>1</v>
      </c>
      <c r="J2964" s="406" t="s">
        <v>3223</v>
      </c>
      <c r="K2964" s="403">
        <v>41487</v>
      </c>
      <c r="L2964" s="398" t="s">
        <v>5380</v>
      </c>
      <c r="M2964" s="402"/>
      <c r="N2964" s="402" t="s">
        <v>2</v>
      </c>
      <c r="O2964" s="404">
        <f>1.4/2</f>
        <v>0.7</v>
      </c>
      <c r="P2964" s="402">
        <v>7.29</v>
      </c>
      <c r="Q2964" s="404">
        <v>7.82</v>
      </c>
      <c r="R2964" s="402">
        <v>10</v>
      </c>
      <c r="S2964" s="404">
        <f>5/2</f>
        <v>2.5</v>
      </c>
      <c r="T2964" s="402">
        <v>0.05</v>
      </c>
      <c r="U2964" s="395">
        <v>0.35</v>
      </c>
      <c r="V2964" s="402">
        <v>7.0000000000000007E-2</v>
      </c>
      <c r="W2964" s="404">
        <f>0.005/2</f>
        <v>2.5000000000000001E-3</v>
      </c>
      <c r="X2964" s="402">
        <v>4.0000000000000001E-3</v>
      </c>
      <c r="Y2964" s="404">
        <f>0.002/2</f>
        <v>1E-3</v>
      </c>
      <c r="Z2964" s="397"/>
      <c r="AA2964" s="399"/>
      <c r="AB2964" s="394"/>
      <c r="AC2964" s="402"/>
      <c r="AD2964" s="399"/>
      <c r="AE2964" s="402">
        <v>19</v>
      </c>
      <c r="AF2964" s="391"/>
      <c r="AG2964" s="394"/>
      <c r="AH2964" s="394"/>
      <c r="AI2964" s="394"/>
      <c r="AJ2964" s="394"/>
      <c r="AK2964" s="394"/>
      <c r="AL2964" s="394"/>
      <c r="AM2964" s="394"/>
      <c r="AN2964" s="394"/>
      <c r="AO2964" s="394"/>
      <c r="AP2964" s="394"/>
      <c r="AQ2964" s="394"/>
      <c r="AR2964" s="394"/>
      <c r="AS2964" s="402"/>
      <c r="AT2964" s="404"/>
      <c r="AU2964" s="394"/>
      <c r="AV2964" s="394"/>
      <c r="AW2964" s="394"/>
      <c r="AX2964" s="5"/>
      <c r="AY2964" s="5"/>
      <c r="AZ2964" s="5"/>
      <c r="BA2964" s="5"/>
      <c r="BB2964" s="5"/>
      <c r="BC2964" s="5"/>
      <c r="BD2964" s="5"/>
      <c r="BE2964" s="5"/>
      <c r="BF2964" s="5"/>
      <c r="BG2964" s="5"/>
      <c r="BH2964" s="5"/>
      <c r="BI2964" s="5"/>
      <c r="BJ2964" s="5"/>
      <c r="BK2964" s="5"/>
      <c r="BL2964" s="5"/>
      <c r="BM2964" s="5"/>
      <c r="BN2964" s="5"/>
      <c r="BO2964" s="5"/>
      <c r="BP2964" s="5"/>
      <c r="BQ2964" s="5"/>
      <c r="BR2964" s="5"/>
      <c r="BS2964" s="5"/>
      <c r="BT2964" s="5"/>
      <c r="BU2964" s="5"/>
      <c r="BV2964" s="5"/>
      <c r="BW2964" s="5"/>
      <c r="BX2964" s="5"/>
      <c r="BY2964" s="5"/>
      <c r="BZ2964" s="5"/>
      <c r="CA2964" s="5"/>
    </row>
    <row r="2965" spans="1:79" s="400" customFormat="1" ht="15" customHeight="1">
      <c r="A2965" s="404" t="s">
        <v>4668</v>
      </c>
      <c r="B2965" s="402" t="s">
        <v>3220</v>
      </c>
      <c r="C2965" s="113" t="s">
        <v>3220</v>
      </c>
      <c r="D2965" s="393" t="s">
        <v>295</v>
      </c>
      <c r="E2965" s="394" t="s">
        <v>535</v>
      </c>
      <c r="F2965" s="402"/>
      <c r="G2965" s="405" t="s">
        <v>3221</v>
      </c>
      <c r="H2965" s="404">
        <v>2834</v>
      </c>
      <c r="I2965" s="402" t="s">
        <v>1</v>
      </c>
      <c r="J2965" s="406" t="s">
        <v>3224</v>
      </c>
      <c r="K2965" s="403">
        <v>41487</v>
      </c>
      <c r="L2965" s="398" t="s">
        <v>5380</v>
      </c>
      <c r="M2965" s="402"/>
      <c r="N2965" s="402" t="s">
        <v>2</v>
      </c>
      <c r="O2965" s="404">
        <f>1.4/2</f>
        <v>0.7</v>
      </c>
      <c r="P2965" s="402">
        <v>7.29</v>
      </c>
      <c r="Q2965" s="404">
        <v>8.1999999999999993</v>
      </c>
      <c r="R2965" s="402">
        <v>19</v>
      </c>
      <c r="S2965" s="404">
        <v>6.5</v>
      </c>
      <c r="T2965" s="402">
        <v>0.05</v>
      </c>
      <c r="U2965" s="395">
        <v>0.74</v>
      </c>
      <c r="V2965" s="402">
        <v>0.03</v>
      </c>
      <c r="W2965" s="404">
        <f>0.005/2</f>
        <v>2.5000000000000001E-3</v>
      </c>
      <c r="X2965" s="402">
        <f>0.002/2</f>
        <v>1E-3</v>
      </c>
      <c r="Y2965" s="404">
        <v>2E-3</v>
      </c>
      <c r="Z2965" s="397"/>
      <c r="AA2965" s="399"/>
      <c r="AB2965" s="394"/>
      <c r="AC2965" s="402"/>
      <c r="AD2965" s="399"/>
      <c r="AE2965" s="402">
        <v>40</v>
      </c>
      <c r="AF2965" s="391"/>
      <c r="AG2965" s="394"/>
      <c r="AH2965" s="394"/>
      <c r="AI2965" s="394"/>
      <c r="AJ2965" s="394"/>
      <c r="AK2965" s="394"/>
      <c r="AL2965" s="394"/>
      <c r="AM2965" s="394"/>
      <c r="AN2965" s="394"/>
      <c r="AO2965" s="394"/>
      <c r="AP2965" s="394"/>
      <c r="AQ2965" s="394"/>
      <c r="AR2965" s="394"/>
      <c r="AS2965" s="402"/>
      <c r="AT2965" s="404"/>
      <c r="AU2965" s="394"/>
      <c r="AV2965" s="394"/>
      <c r="AW2965" s="394"/>
      <c r="AX2965" s="5"/>
      <c r="AY2965" s="5"/>
      <c r="AZ2965" s="5"/>
      <c r="BA2965" s="5"/>
      <c r="BB2965" s="5"/>
      <c r="BC2965" s="5"/>
      <c r="BD2965" s="5"/>
      <c r="BE2965" s="5"/>
      <c r="BF2965" s="5"/>
      <c r="BG2965" s="5"/>
      <c r="BH2965" s="5"/>
      <c r="BI2965" s="5"/>
      <c r="BJ2965" s="5"/>
      <c r="BK2965" s="5"/>
      <c r="BL2965" s="5"/>
      <c r="BM2965" s="5"/>
      <c r="BN2965" s="5"/>
      <c r="BO2965" s="5"/>
      <c r="BP2965" s="5"/>
      <c r="BQ2965" s="5"/>
      <c r="BR2965" s="5"/>
      <c r="BS2965" s="5"/>
      <c r="BT2965" s="5"/>
      <c r="BU2965" s="5"/>
      <c r="BV2965" s="5"/>
      <c r="BW2965" s="5"/>
      <c r="BX2965" s="5"/>
      <c r="BY2965" s="5"/>
      <c r="BZ2965" s="5"/>
      <c r="CA2965" s="5"/>
    </row>
    <row r="2966" spans="1:79" s="400" customFormat="1" ht="15" customHeight="1">
      <c r="A2966" s="404" t="s">
        <v>4668</v>
      </c>
      <c r="B2966" s="402" t="s">
        <v>2120</v>
      </c>
      <c r="C2966" s="113" t="s">
        <v>2117</v>
      </c>
      <c r="D2966" s="393" t="s">
        <v>56</v>
      </c>
      <c r="E2966" s="394" t="s">
        <v>95</v>
      </c>
      <c r="F2966" s="402"/>
      <c r="G2966" s="405" t="s">
        <v>3610</v>
      </c>
      <c r="H2966" s="404">
        <v>5171</v>
      </c>
      <c r="I2966" s="402" t="s">
        <v>1</v>
      </c>
      <c r="J2966" s="406" t="s">
        <v>1376</v>
      </c>
      <c r="K2966" s="403">
        <v>41170</v>
      </c>
      <c r="L2966" s="398">
        <v>41161</v>
      </c>
      <c r="M2966" s="402">
        <f t="shared" ref="M2966:M2974" si="169">K2966-L2966</f>
        <v>9</v>
      </c>
      <c r="N2966" s="402" t="s">
        <v>2</v>
      </c>
      <c r="O2966" s="404">
        <v>6.1</v>
      </c>
      <c r="P2966" s="402">
        <v>7.4</v>
      </c>
      <c r="Q2966" s="404">
        <v>6.5</v>
      </c>
      <c r="R2966" s="402">
        <v>78</v>
      </c>
      <c r="S2966" s="404">
        <v>91</v>
      </c>
      <c r="T2966" s="402">
        <v>0.1</v>
      </c>
      <c r="U2966" s="395">
        <v>0.61</v>
      </c>
      <c r="V2966" s="402">
        <v>0.14000000000000001</v>
      </c>
      <c r="W2966" s="404">
        <v>1.0999999999999999E-2</v>
      </c>
      <c r="X2966" s="402">
        <v>0.151</v>
      </c>
      <c r="Y2966" s="404">
        <v>1.6E-2</v>
      </c>
      <c r="Z2966" s="397"/>
      <c r="AA2966" s="399"/>
      <c r="AB2966" s="394"/>
      <c r="AC2966" s="402"/>
      <c r="AD2966" s="399"/>
      <c r="AE2966" s="402"/>
      <c r="AF2966" s="391"/>
      <c r="AG2966" s="394"/>
      <c r="AH2966" s="394"/>
      <c r="AI2966" s="394" t="s">
        <v>1535</v>
      </c>
      <c r="AJ2966" s="394">
        <v>1900</v>
      </c>
      <c r="AK2966" s="394"/>
      <c r="AL2966" s="394"/>
      <c r="AM2966" s="394"/>
      <c r="AN2966" s="394"/>
      <c r="AO2966" s="394"/>
      <c r="AP2966" s="394"/>
      <c r="AQ2966" s="394"/>
      <c r="AR2966" s="394"/>
      <c r="AS2966" s="402"/>
      <c r="AT2966" s="404"/>
      <c r="AU2966" s="394"/>
      <c r="AV2966" s="394"/>
      <c r="AW2966" s="394"/>
      <c r="AX2966" s="5"/>
      <c r="AY2966" s="5"/>
      <c r="AZ2966" s="5"/>
      <c r="BA2966" s="5"/>
      <c r="BB2966" s="5"/>
      <c r="BC2966" s="5"/>
      <c r="BD2966" s="5"/>
      <c r="BE2966" s="5"/>
      <c r="BF2966" s="5"/>
      <c r="BG2966" s="5"/>
      <c r="BH2966" s="5"/>
      <c r="BI2966" s="5"/>
      <c r="BJ2966" s="5"/>
      <c r="BK2966" s="5"/>
      <c r="BL2966" s="5"/>
      <c r="BM2966" s="5"/>
      <c r="BN2966" s="5"/>
      <c r="BO2966" s="5"/>
      <c r="BP2966" s="5"/>
      <c r="BQ2966" s="5"/>
      <c r="BR2966" s="5"/>
      <c r="BS2966" s="5"/>
      <c r="BT2966" s="5"/>
      <c r="BU2966" s="5"/>
      <c r="BV2966" s="5"/>
      <c r="BW2966" s="5"/>
      <c r="BX2966" s="5"/>
      <c r="BY2966" s="5"/>
      <c r="BZ2966" s="5"/>
      <c r="CA2966" s="5"/>
    </row>
    <row r="2967" spans="1:79" s="400" customFormat="1" ht="15" customHeight="1">
      <c r="A2967" s="404" t="s">
        <v>4668</v>
      </c>
      <c r="B2967" s="402" t="s">
        <v>2120</v>
      </c>
      <c r="C2967" s="113" t="s">
        <v>2117</v>
      </c>
      <c r="D2967" s="393" t="s">
        <v>56</v>
      </c>
      <c r="E2967" s="394" t="s">
        <v>95</v>
      </c>
      <c r="F2967" s="402"/>
      <c r="G2967" s="405" t="s">
        <v>3610</v>
      </c>
      <c r="H2967" s="404">
        <v>5171</v>
      </c>
      <c r="I2967" s="402" t="s">
        <v>1</v>
      </c>
      <c r="J2967" s="406" t="s">
        <v>335</v>
      </c>
      <c r="K2967" s="403">
        <v>41170</v>
      </c>
      <c r="L2967" s="398">
        <v>41161</v>
      </c>
      <c r="M2967" s="402">
        <f t="shared" si="169"/>
        <v>9</v>
      </c>
      <c r="N2967" s="402" t="s">
        <v>2</v>
      </c>
      <c r="O2967" s="404">
        <v>2.4</v>
      </c>
      <c r="P2967" s="402">
        <v>7.2</v>
      </c>
      <c r="Q2967" s="404">
        <v>6.8</v>
      </c>
      <c r="R2967" s="402">
        <v>36</v>
      </c>
      <c r="S2967" s="404">
        <v>17</v>
      </c>
      <c r="T2967" s="402">
        <v>0.03</v>
      </c>
      <c r="U2967" s="395">
        <v>0.44</v>
      </c>
      <c r="V2967" s="402">
        <v>7.0000000000000007E-2</v>
      </c>
      <c r="W2967" s="404">
        <v>1.4E-2</v>
      </c>
      <c r="X2967" s="402">
        <v>0.182</v>
      </c>
      <c r="Y2967" s="404">
        <v>2.1999999999999999E-2</v>
      </c>
      <c r="Z2967" s="397"/>
      <c r="AA2967" s="399"/>
      <c r="AB2967" s="394"/>
      <c r="AC2967" s="402"/>
      <c r="AD2967" s="399"/>
      <c r="AE2967" s="402"/>
      <c r="AF2967" s="391"/>
      <c r="AG2967" s="394"/>
      <c r="AH2967" s="394"/>
      <c r="AI2967" s="394" t="s">
        <v>1535</v>
      </c>
      <c r="AJ2967" s="394" t="s">
        <v>1535</v>
      </c>
      <c r="AK2967" s="394"/>
      <c r="AL2967" s="394"/>
      <c r="AM2967" s="394"/>
      <c r="AN2967" s="394"/>
      <c r="AO2967" s="394"/>
      <c r="AP2967" s="394"/>
      <c r="AQ2967" s="394"/>
      <c r="AR2967" s="394"/>
      <c r="AS2967" s="402"/>
      <c r="AT2967" s="404"/>
      <c r="AU2967" s="394"/>
      <c r="AV2967" s="394"/>
      <c r="AW2967" s="394"/>
      <c r="AX2967" s="5"/>
      <c r="AY2967" s="5"/>
      <c r="AZ2967" s="5"/>
      <c r="BA2967" s="5"/>
      <c r="BB2967" s="5"/>
      <c r="BC2967" s="5"/>
      <c r="BD2967" s="5"/>
      <c r="BE2967" s="5"/>
      <c r="BF2967" s="5"/>
      <c r="BG2967" s="5"/>
      <c r="BH2967" s="5"/>
      <c r="BI2967" s="5"/>
      <c r="BJ2967" s="5"/>
      <c r="BK2967" s="5"/>
      <c r="BL2967" s="5"/>
      <c r="BM2967" s="5"/>
      <c r="BN2967" s="5"/>
      <c r="BO2967" s="5"/>
      <c r="BP2967" s="5"/>
      <c r="BQ2967" s="5"/>
      <c r="BR2967" s="5"/>
      <c r="BS2967" s="5"/>
      <c r="BT2967" s="5"/>
      <c r="BU2967" s="5"/>
      <c r="BV2967" s="5"/>
      <c r="BW2967" s="5"/>
      <c r="BX2967" s="5"/>
      <c r="BY2967" s="5"/>
      <c r="BZ2967" s="5"/>
      <c r="CA2967" s="5"/>
    </row>
    <row r="2968" spans="1:79" s="400" customFormat="1" ht="15" customHeight="1">
      <c r="A2968" s="404" t="s">
        <v>4668</v>
      </c>
      <c r="B2968" s="402" t="s">
        <v>5689</v>
      </c>
      <c r="C2968" s="113" t="s">
        <v>5689</v>
      </c>
      <c r="D2968" s="393" t="s">
        <v>338</v>
      </c>
      <c r="E2968" s="394" t="s">
        <v>4295</v>
      </c>
      <c r="F2968" s="402"/>
      <c r="G2968" s="405" t="s">
        <v>5690</v>
      </c>
      <c r="H2968" s="404">
        <v>3469</v>
      </c>
      <c r="I2968" s="402" t="s">
        <v>2</v>
      </c>
      <c r="J2968" s="406" t="s">
        <v>1943</v>
      </c>
      <c r="K2968" s="403">
        <v>41021</v>
      </c>
      <c r="L2968" s="398">
        <v>40999</v>
      </c>
      <c r="M2968" s="402">
        <f t="shared" si="169"/>
        <v>22</v>
      </c>
      <c r="N2968" s="402" t="s">
        <v>2</v>
      </c>
      <c r="O2968" s="404">
        <f>1.6/2</f>
        <v>0.8</v>
      </c>
      <c r="P2968" s="402">
        <v>5.8</v>
      </c>
      <c r="Q2968" s="404">
        <v>6.1</v>
      </c>
      <c r="R2968" s="402">
        <f>15/2</f>
        <v>7.5</v>
      </c>
      <c r="S2968" s="404">
        <v>8</v>
      </c>
      <c r="T2968" s="402">
        <f>0.062/2</f>
        <v>3.1E-2</v>
      </c>
      <c r="U2968" s="395">
        <f>1/2</f>
        <v>0.5</v>
      </c>
      <c r="V2968" s="402">
        <v>0.23</v>
      </c>
      <c r="W2968" s="404">
        <v>1.2E-2</v>
      </c>
      <c r="X2968" s="402">
        <v>1.6E-2</v>
      </c>
      <c r="Y2968" s="404">
        <f>0.005/2</f>
        <v>2.5000000000000001E-3</v>
      </c>
      <c r="Z2968" s="397"/>
      <c r="AA2968" s="399"/>
      <c r="AB2968" s="394"/>
      <c r="AC2968" s="402"/>
      <c r="AD2968" s="399"/>
      <c r="AE2968" s="402"/>
      <c r="AF2968" s="391"/>
      <c r="AG2968" s="394"/>
      <c r="AH2968" s="394"/>
      <c r="AI2968" s="394"/>
      <c r="AJ2968" s="394"/>
      <c r="AK2968" s="394"/>
      <c r="AL2968" s="394"/>
      <c r="AM2968" s="394"/>
      <c r="AN2968" s="394"/>
      <c r="AO2968" s="394"/>
      <c r="AP2968" s="394"/>
      <c r="AQ2968" s="394"/>
      <c r="AR2968" s="394"/>
      <c r="AS2968" s="402"/>
      <c r="AT2968" s="404"/>
      <c r="AU2968" s="394"/>
      <c r="AV2968" s="394"/>
      <c r="AW2968" s="394"/>
      <c r="AX2968" s="5"/>
      <c r="AY2968" s="5"/>
      <c r="AZ2968" s="5"/>
      <c r="BA2968" s="5"/>
      <c r="BB2968" s="5"/>
      <c r="BC2968" s="5"/>
      <c r="BD2968" s="5"/>
      <c r="BE2968" s="5"/>
      <c r="BF2968" s="5"/>
      <c r="BG2968" s="5"/>
      <c r="BH2968" s="5"/>
      <c r="BI2968" s="5"/>
      <c r="BJ2968" s="5"/>
      <c r="BK2968" s="5"/>
      <c r="BL2968" s="5"/>
      <c r="BM2968" s="5"/>
      <c r="BN2968" s="5"/>
      <c r="BO2968" s="5"/>
      <c r="BP2968" s="5"/>
      <c r="BQ2968" s="5"/>
      <c r="BR2968" s="5"/>
      <c r="BS2968" s="5"/>
      <c r="BT2968" s="5"/>
      <c r="BU2968" s="5"/>
      <c r="BV2968" s="5"/>
      <c r="BW2968" s="5"/>
      <c r="BX2968" s="5"/>
      <c r="BY2968" s="5"/>
      <c r="BZ2968" s="5"/>
      <c r="CA2968" s="5"/>
    </row>
    <row r="2969" spans="1:79" s="400" customFormat="1" ht="15" customHeight="1">
      <c r="A2969" s="404" t="s">
        <v>4668</v>
      </c>
      <c r="B2969" s="402" t="s">
        <v>5691</v>
      </c>
      <c r="C2969" s="113" t="s">
        <v>5691</v>
      </c>
      <c r="D2969" s="393" t="s">
        <v>2328</v>
      </c>
      <c r="E2969" s="394" t="s">
        <v>2329</v>
      </c>
      <c r="F2969" s="402"/>
      <c r="G2969" s="405" t="s">
        <v>5692</v>
      </c>
      <c r="H2969" s="404">
        <v>3089</v>
      </c>
      <c r="I2969" s="402" t="s">
        <v>1</v>
      </c>
      <c r="J2969" s="406" t="s">
        <v>255</v>
      </c>
      <c r="K2969" s="403">
        <v>41030</v>
      </c>
      <c r="L2969" s="398">
        <v>41022</v>
      </c>
      <c r="M2969" s="402">
        <f t="shared" si="169"/>
        <v>8</v>
      </c>
      <c r="N2969" s="402" t="s">
        <v>2</v>
      </c>
      <c r="O2969" s="404">
        <v>8.6</v>
      </c>
      <c r="P2969" s="402">
        <v>5.4</v>
      </c>
      <c r="Q2969" s="404">
        <v>6.3</v>
      </c>
      <c r="R2969" s="402">
        <v>118</v>
      </c>
      <c r="S2969" s="404">
        <v>212</v>
      </c>
      <c r="T2969" s="402">
        <v>0.34</v>
      </c>
      <c r="U2969" s="395">
        <v>1.46</v>
      </c>
      <c r="V2969" s="402">
        <v>0.41</v>
      </c>
      <c r="W2969" s="404">
        <v>8.8999999999999996E-2</v>
      </c>
      <c r="X2969" s="402">
        <v>0.12</v>
      </c>
      <c r="Y2969" s="404">
        <f>0.03/2</f>
        <v>1.4999999999999999E-2</v>
      </c>
      <c r="Z2969" s="397"/>
      <c r="AA2969" s="399"/>
      <c r="AB2969" s="394"/>
      <c r="AC2969" s="402"/>
      <c r="AD2969" s="399"/>
      <c r="AE2969" s="402"/>
      <c r="AF2969" s="391"/>
      <c r="AG2969" s="394"/>
      <c r="AH2969" s="394"/>
      <c r="AI2969" s="394"/>
      <c r="AJ2969" s="394"/>
      <c r="AK2969" s="394"/>
      <c r="AL2969" s="394"/>
      <c r="AM2969" s="394"/>
      <c r="AN2969" s="394"/>
      <c r="AO2969" s="394"/>
      <c r="AP2969" s="394"/>
      <c r="AQ2969" s="394"/>
      <c r="AR2969" s="394"/>
      <c r="AS2969" s="402"/>
      <c r="AT2969" s="404"/>
      <c r="AU2969" s="394"/>
      <c r="AV2969" s="394"/>
      <c r="AW2969" s="394"/>
      <c r="AX2969" s="5"/>
      <c r="AY2969" s="5"/>
      <c r="AZ2969" s="5"/>
      <c r="BA2969" s="5"/>
      <c r="BB2969" s="5"/>
      <c r="BC2969" s="5"/>
      <c r="BD2969" s="5"/>
      <c r="BE2969" s="5"/>
      <c r="BF2969" s="5"/>
      <c r="BG2969" s="5"/>
      <c r="BH2969" s="5"/>
      <c r="BI2969" s="5"/>
      <c r="BJ2969" s="5"/>
      <c r="BK2969" s="5"/>
      <c r="BL2969" s="5"/>
      <c r="BM2969" s="5"/>
      <c r="BN2969" s="5"/>
      <c r="BO2969" s="5"/>
      <c r="BP2969" s="5"/>
      <c r="BQ2969" s="5"/>
      <c r="BR2969" s="5"/>
      <c r="BS2969" s="5"/>
      <c r="BT2969" s="5"/>
      <c r="BU2969" s="5"/>
      <c r="BV2969" s="5"/>
      <c r="BW2969" s="5"/>
      <c r="BX2969" s="5"/>
      <c r="BY2969" s="5"/>
      <c r="BZ2969" s="5"/>
      <c r="CA2969" s="5"/>
    </row>
    <row r="2970" spans="1:79" s="400" customFormat="1" ht="15" customHeight="1">
      <c r="A2970" s="404" t="s">
        <v>4668</v>
      </c>
      <c r="B2970" s="402" t="s">
        <v>2022</v>
      </c>
      <c r="C2970" s="113" t="s">
        <v>2022</v>
      </c>
      <c r="D2970" s="393" t="s">
        <v>636</v>
      </c>
      <c r="E2970" s="394" t="s">
        <v>1859</v>
      </c>
      <c r="F2970" s="402">
        <v>3700</v>
      </c>
      <c r="G2970" s="405" t="s">
        <v>2023</v>
      </c>
      <c r="H2970" s="113">
        <v>3965</v>
      </c>
      <c r="I2970" s="402" t="s">
        <v>2</v>
      </c>
      <c r="J2970" s="406"/>
      <c r="K2970" s="403">
        <v>41085</v>
      </c>
      <c r="L2970" s="398">
        <v>41073</v>
      </c>
      <c r="M2970" s="402">
        <f t="shared" si="169"/>
        <v>12</v>
      </c>
      <c r="N2970" s="402" t="s">
        <v>2</v>
      </c>
      <c r="O2970" s="404">
        <f>5/2</f>
        <v>2.5</v>
      </c>
      <c r="P2970" s="402">
        <v>5.8</v>
      </c>
      <c r="Q2970" s="404">
        <v>5.8</v>
      </c>
      <c r="R2970" s="402">
        <v>44</v>
      </c>
      <c r="S2970" s="404">
        <v>18</v>
      </c>
      <c r="T2970" s="402">
        <v>0.1</v>
      </c>
      <c r="U2970" s="395">
        <v>4.5</v>
      </c>
      <c r="V2970" s="402">
        <v>0.38</v>
      </c>
      <c r="W2970" s="404">
        <v>7.0000000000000001E-3</v>
      </c>
      <c r="X2970" s="402">
        <v>5.8000000000000003E-2</v>
      </c>
      <c r="Y2970" s="404">
        <v>3.2000000000000002E-3</v>
      </c>
      <c r="Z2970" s="397">
        <v>1</v>
      </c>
      <c r="AA2970" s="399">
        <v>1</v>
      </c>
      <c r="AB2970" s="394">
        <v>4</v>
      </c>
      <c r="AC2970" s="402">
        <v>17</v>
      </c>
      <c r="AD2970" s="399"/>
      <c r="AE2970" s="402"/>
      <c r="AF2970" s="391"/>
      <c r="AG2970" s="394"/>
      <c r="AH2970" s="394"/>
      <c r="AI2970" s="394"/>
      <c r="AJ2970" s="394"/>
      <c r="AK2970" s="394"/>
      <c r="AL2970" s="394"/>
      <c r="AM2970" s="394"/>
      <c r="AN2970" s="394"/>
      <c r="AO2970" s="394"/>
      <c r="AP2970" s="394"/>
      <c r="AQ2970" s="394"/>
      <c r="AR2970" s="394"/>
      <c r="AS2970" s="402"/>
      <c r="AT2970" s="404"/>
      <c r="AU2970" s="394"/>
      <c r="AV2970" s="394"/>
      <c r="AW2970" s="394"/>
      <c r="AX2970" s="5"/>
      <c r="AY2970" s="5"/>
      <c r="AZ2970" s="5"/>
      <c r="BA2970" s="5"/>
      <c r="BB2970" s="5"/>
      <c r="BC2970" s="5"/>
      <c r="BD2970" s="5"/>
      <c r="BE2970" s="5"/>
      <c r="BF2970" s="5"/>
      <c r="BG2970" s="5"/>
      <c r="BH2970" s="5"/>
      <c r="BI2970" s="5"/>
      <c r="BJ2970" s="5"/>
      <c r="BK2970" s="5"/>
      <c r="BL2970" s="5"/>
      <c r="BM2970" s="5"/>
      <c r="BN2970" s="5"/>
      <c r="BO2970" s="5"/>
      <c r="BP2970" s="5"/>
      <c r="BQ2970" s="5"/>
      <c r="BR2970" s="5"/>
      <c r="BS2970" s="5"/>
      <c r="BT2970" s="5"/>
      <c r="BU2970" s="5"/>
      <c r="BV2970" s="5"/>
      <c r="BW2970" s="5"/>
      <c r="BX2970" s="5"/>
      <c r="BY2970" s="5"/>
      <c r="BZ2970" s="5"/>
      <c r="CA2970" s="5"/>
    </row>
    <row r="2971" spans="1:79" s="400" customFormat="1" ht="15" customHeight="1">
      <c r="A2971" s="404" t="s">
        <v>4668</v>
      </c>
      <c r="B2971" s="402" t="s">
        <v>5693</v>
      </c>
      <c r="C2971" s="113" t="s">
        <v>5693</v>
      </c>
      <c r="D2971" s="393" t="s">
        <v>372</v>
      </c>
      <c r="E2971" s="394" t="s">
        <v>599</v>
      </c>
      <c r="F2971" s="402">
        <v>6900</v>
      </c>
      <c r="G2971" s="405" t="s">
        <v>1319</v>
      </c>
      <c r="H2971" s="404">
        <v>3356</v>
      </c>
      <c r="I2971" s="402"/>
      <c r="J2971" s="406" t="s">
        <v>1320</v>
      </c>
      <c r="K2971" s="403">
        <v>41170</v>
      </c>
      <c r="L2971" s="398">
        <v>41160</v>
      </c>
      <c r="M2971" s="402">
        <f t="shared" si="169"/>
        <v>10</v>
      </c>
      <c r="N2971" s="402" t="s">
        <v>2</v>
      </c>
      <c r="O2971" s="404">
        <v>2.2000000000000002</v>
      </c>
      <c r="P2971" s="402">
        <v>6.1</v>
      </c>
      <c r="Q2971" s="404">
        <v>5</v>
      </c>
      <c r="R2971" s="402">
        <v>10.3</v>
      </c>
      <c r="S2971" s="404">
        <f>1/2</f>
        <v>0.5</v>
      </c>
      <c r="T2971" s="402">
        <f>0.05/2</f>
        <v>2.5000000000000001E-2</v>
      </c>
      <c r="U2971" s="395">
        <v>0.42</v>
      </c>
      <c r="V2971" s="402">
        <f>0.2/2</f>
        <v>0.1</v>
      </c>
      <c r="W2971" s="404">
        <v>0.04</v>
      </c>
      <c r="X2971" s="402">
        <v>0.01</v>
      </c>
      <c r="Y2971" s="404">
        <f>0.02/2</f>
        <v>0.01</v>
      </c>
      <c r="Z2971" s="397">
        <v>0.70799999999999996</v>
      </c>
      <c r="AA2971" s="399">
        <v>0.61299999999999999</v>
      </c>
      <c r="AB2971" s="394">
        <v>1.07</v>
      </c>
      <c r="AC2971" s="402">
        <v>27.9</v>
      </c>
      <c r="AD2971" s="399">
        <v>0.05</v>
      </c>
      <c r="AE2971" s="402"/>
      <c r="AF2971" s="391"/>
      <c r="AG2971" s="394"/>
      <c r="AH2971" s="394"/>
      <c r="AI2971" s="394"/>
      <c r="AJ2971" s="394"/>
      <c r="AK2971" s="394"/>
      <c r="AL2971" s="394"/>
      <c r="AM2971" s="394"/>
      <c r="AN2971" s="394"/>
      <c r="AO2971" s="394"/>
      <c r="AP2971" s="394"/>
      <c r="AQ2971" s="394"/>
      <c r="AR2971" s="394"/>
      <c r="AS2971" s="402"/>
      <c r="AT2971" s="404"/>
      <c r="AU2971" s="394"/>
      <c r="AV2971" s="394"/>
      <c r="AW2971" s="394"/>
      <c r="AX2971" s="5"/>
      <c r="AY2971" s="5"/>
      <c r="AZ2971" s="5"/>
      <c r="BA2971" s="5"/>
      <c r="BB2971" s="5"/>
      <c r="BC2971" s="5"/>
      <c r="BD2971" s="5"/>
      <c r="BE2971" s="5"/>
      <c r="BF2971" s="5"/>
      <c r="BG2971" s="5"/>
      <c r="BH2971" s="5"/>
      <c r="BI2971" s="5"/>
      <c r="BJ2971" s="5"/>
      <c r="BK2971" s="5"/>
      <c r="BL2971" s="5"/>
      <c r="BM2971" s="5"/>
      <c r="BN2971" s="5"/>
      <c r="BO2971" s="5"/>
      <c r="BP2971" s="5"/>
      <c r="BQ2971" s="5"/>
      <c r="BR2971" s="5"/>
      <c r="BS2971" s="5"/>
      <c r="BT2971" s="5"/>
      <c r="BU2971" s="5"/>
      <c r="BV2971" s="5"/>
      <c r="BW2971" s="5"/>
      <c r="BX2971" s="5"/>
      <c r="BY2971" s="5"/>
      <c r="BZ2971" s="5"/>
      <c r="CA2971" s="5"/>
    </row>
    <row r="2972" spans="1:79" s="400" customFormat="1" ht="15" customHeight="1">
      <c r="A2972" s="404" t="s">
        <v>4668</v>
      </c>
      <c r="B2972" s="386" t="s">
        <v>411</v>
      </c>
      <c r="C2972" s="149" t="s">
        <v>411</v>
      </c>
      <c r="D2972" s="392" t="s">
        <v>111</v>
      </c>
      <c r="E2972" s="258" t="s">
        <v>982</v>
      </c>
      <c r="F2972" s="402"/>
      <c r="G2972" s="405" t="s">
        <v>412</v>
      </c>
      <c r="H2972" s="404">
        <v>3841</v>
      </c>
      <c r="I2972" s="402" t="s">
        <v>2</v>
      </c>
      <c r="J2972" s="392" t="s">
        <v>81</v>
      </c>
      <c r="K2972" s="403">
        <v>41072</v>
      </c>
      <c r="L2972" s="398">
        <v>41063</v>
      </c>
      <c r="M2972" s="402">
        <f t="shared" si="169"/>
        <v>9</v>
      </c>
      <c r="N2972" s="402" t="s">
        <v>2</v>
      </c>
      <c r="O2972" s="404">
        <f>2/2</f>
        <v>1</v>
      </c>
      <c r="P2972" s="402">
        <v>6.2</v>
      </c>
      <c r="Q2972" s="404">
        <v>6.6</v>
      </c>
      <c r="R2972" s="402">
        <f>10/2</f>
        <v>5</v>
      </c>
      <c r="S2972" s="404">
        <v>3</v>
      </c>
      <c r="T2972" s="402">
        <v>0.16</v>
      </c>
      <c r="U2972" s="395">
        <v>0.49</v>
      </c>
      <c r="V2972" s="402">
        <f>0.1/2</f>
        <v>0.05</v>
      </c>
      <c r="W2972" s="404">
        <f>0.01/2</f>
        <v>5.0000000000000001E-3</v>
      </c>
      <c r="X2972" s="402">
        <v>3.4000000000000002E-2</v>
      </c>
      <c r="Y2972" s="404">
        <f>0.03/2</f>
        <v>1.4999999999999999E-2</v>
      </c>
      <c r="Z2972" s="397">
        <v>1</v>
      </c>
      <c r="AA2972" s="399">
        <v>1</v>
      </c>
      <c r="AB2972" s="394">
        <v>3</v>
      </c>
      <c r="AC2972" s="402">
        <v>20</v>
      </c>
      <c r="AD2972" s="399">
        <v>1</v>
      </c>
      <c r="AE2972" s="402"/>
      <c r="AF2972" s="391"/>
      <c r="AG2972" s="394"/>
      <c r="AH2972" s="394"/>
      <c r="AI2972" s="394"/>
      <c r="AJ2972" s="394"/>
      <c r="AK2972" s="394"/>
      <c r="AL2972" s="394"/>
      <c r="AM2972" s="394"/>
      <c r="AN2972" s="394"/>
      <c r="AO2972" s="394"/>
      <c r="AP2972" s="394"/>
      <c r="AQ2972" s="394"/>
      <c r="AR2972" s="394"/>
      <c r="AS2972" s="402"/>
      <c r="AT2972" s="404"/>
      <c r="AU2972" s="394"/>
      <c r="AV2972" s="394"/>
      <c r="AW2972" s="394"/>
      <c r="AX2972" s="5"/>
      <c r="AY2972" s="5"/>
      <c r="AZ2972" s="5"/>
      <c r="BA2972" s="5"/>
      <c r="BB2972" s="5"/>
      <c r="BC2972" s="5"/>
      <c r="BD2972" s="5"/>
      <c r="BE2972" s="5"/>
      <c r="BF2972" s="5"/>
      <c r="BG2972" s="5"/>
      <c r="BH2972" s="5"/>
      <c r="BI2972" s="5"/>
      <c r="BJ2972" s="5"/>
      <c r="BK2972" s="5"/>
      <c r="BL2972" s="5"/>
      <c r="BM2972" s="5"/>
      <c r="BN2972" s="5"/>
      <c r="BO2972" s="5"/>
      <c r="BP2972" s="5"/>
      <c r="BQ2972" s="5"/>
      <c r="BR2972" s="5"/>
      <c r="BS2972" s="5"/>
      <c r="BT2972" s="5"/>
      <c r="BU2972" s="5"/>
      <c r="BV2972" s="5"/>
      <c r="BW2972" s="5"/>
      <c r="BX2972" s="5"/>
      <c r="BY2972" s="5"/>
      <c r="BZ2972" s="5"/>
      <c r="CA2972" s="5"/>
    </row>
    <row r="2973" spans="1:79" s="400" customFormat="1" ht="15" customHeight="1">
      <c r="A2973" s="404" t="s">
        <v>4668</v>
      </c>
      <c r="B2973" s="402" t="s">
        <v>4016</v>
      </c>
      <c r="C2973" s="113" t="s">
        <v>4017</v>
      </c>
      <c r="D2973" s="393" t="s">
        <v>559</v>
      </c>
      <c r="E2973" s="394" t="s">
        <v>5694</v>
      </c>
      <c r="F2973" s="424" t="s">
        <v>4018</v>
      </c>
      <c r="G2973" s="405" t="s">
        <v>4019</v>
      </c>
      <c r="H2973" s="404">
        <v>3271</v>
      </c>
      <c r="I2973" s="402" t="s">
        <v>2</v>
      </c>
      <c r="J2973" s="406" t="s">
        <v>510</v>
      </c>
      <c r="K2973" s="403">
        <v>41332</v>
      </c>
      <c r="L2973" s="398">
        <v>41329</v>
      </c>
      <c r="M2973" s="402">
        <f t="shared" si="169"/>
        <v>3</v>
      </c>
      <c r="N2973" s="402"/>
      <c r="O2973" s="404">
        <f>1.4/2</f>
        <v>0.7</v>
      </c>
      <c r="P2973" s="402">
        <v>6.5</v>
      </c>
      <c r="Q2973" s="404">
        <v>8.75</v>
      </c>
      <c r="R2973" s="402">
        <v>17</v>
      </c>
      <c r="S2973" s="404">
        <v>25</v>
      </c>
      <c r="T2973" s="402">
        <v>0.06</v>
      </c>
      <c r="U2973" s="395">
        <v>0.42</v>
      </c>
      <c r="V2973" s="402">
        <v>0.14000000000000001</v>
      </c>
      <c r="W2973" s="404">
        <f>0.005/2</f>
        <v>2.5000000000000001E-3</v>
      </c>
      <c r="X2973" s="402">
        <v>1.6E-2</v>
      </c>
      <c r="Y2973" s="404">
        <v>6.0000000000000001E-3</v>
      </c>
      <c r="Z2973" s="397">
        <v>1</v>
      </c>
      <c r="AA2973" s="399">
        <v>1</v>
      </c>
      <c r="AB2973" s="394">
        <v>36</v>
      </c>
      <c r="AC2973" s="402">
        <v>217</v>
      </c>
      <c r="AD2973" s="399">
        <v>1</v>
      </c>
      <c r="AE2973" s="402"/>
      <c r="AF2973" s="391"/>
      <c r="AG2973" s="394"/>
      <c r="AH2973" s="394"/>
      <c r="AI2973" s="394"/>
      <c r="AJ2973" s="394"/>
      <c r="AK2973" s="394"/>
      <c r="AL2973" s="394"/>
      <c r="AM2973" s="394"/>
      <c r="AN2973" s="394"/>
      <c r="AO2973" s="394"/>
      <c r="AP2973" s="394"/>
      <c r="AQ2973" s="394"/>
      <c r="AR2973" s="394"/>
      <c r="AS2973" s="402"/>
      <c r="AT2973" s="404"/>
      <c r="AU2973" s="394"/>
      <c r="AV2973" s="394"/>
      <c r="AW2973" s="394"/>
      <c r="AX2973" s="5"/>
      <c r="AY2973" s="5"/>
      <c r="AZ2973" s="5"/>
      <c r="BA2973" s="5"/>
      <c r="BB2973" s="5"/>
      <c r="BC2973" s="5"/>
      <c r="BD2973" s="5"/>
      <c r="BE2973" s="5"/>
      <c r="BF2973" s="5"/>
      <c r="BG2973" s="5"/>
      <c r="BH2973" s="5"/>
      <c r="BI2973" s="5"/>
      <c r="BJ2973" s="5"/>
      <c r="BK2973" s="5"/>
      <c r="BL2973" s="5"/>
      <c r="BM2973" s="5"/>
      <c r="BN2973" s="5"/>
      <c r="BO2973" s="5"/>
      <c r="BP2973" s="5"/>
      <c r="BQ2973" s="5"/>
      <c r="BR2973" s="5"/>
      <c r="BS2973" s="5"/>
      <c r="BT2973" s="5"/>
      <c r="BU2973" s="5"/>
      <c r="BV2973" s="5"/>
      <c r="BW2973" s="5"/>
      <c r="BX2973" s="5"/>
      <c r="BY2973" s="5"/>
      <c r="BZ2973" s="5"/>
      <c r="CA2973" s="5"/>
    </row>
    <row r="2974" spans="1:79" s="400" customFormat="1" ht="15" customHeight="1">
      <c r="A2974" s="404" t="s">
        <v>4668</v>
      </c>
      <c r="B2974" s="402" t="s">
        <v>4016</v>
      </c>
      <c r="C2974" s="113" t="s">
        <v>4017</v>
      </c>
      <c r="D2974" s="393" t="s">
        <v>559</v>
      </c>
      <c r="E2974" s="394" t="s">
        <v>5694</v>
      </c>
      <c r="F2974" s="424" t="s">
        <v>4018</v>
      </c>
      <c r="G2974" s="405" t="s">
        <v>4019</v>
      </c>
      <c r="H2974" s="404">
        <v>3271</v>
      </c>
      <c r="I2974" s="402" t="s">
        <v>2</v>
      </c>
      <c r="J2974" s="406" t="s">
        <v>460</v>
      </c>
      <c r="K2974" s="403">
        <v>41332</v>
      </c>
      <c r="L2974" s="398">
        <v>41329</v>
      </c>
      <c r="M2974" s="402">
        <f t="shared" si="169"/>
        <v>3</v>
      </c>
      <c r="N2974" s="402"/>
      <c r="O2974" s="404">
        <v>5.4</v>
      </c>
      <c r="P2974" s="402">
        <v>7.73</v>
      </c>
      <c r="Q2974" s="404">
        <v>9.82</v>
      </c>
      <c r="R2974" s="402">
        <v>107</v>
      </c>
      <c r="S2974" s="404">
        <v>300</v>
      </c>
      <c r="T2974" s="402">
        <v>0.27</v>
      </c>
      <c r="U2974" s="395">
        <v>0.72</v>
      </c>
      <c r="V2974" s="402">
        <f>0.01/2</f>
        <v>5.0000000000000001E-3</v>
      </c>
      <c r="W2974" s="404">
        <v>0.03</v>
      </c>
      <c r="X2974" s="402">
        <v>7.3999999999999996E-2</v>
      </c>
      <c r="Y2974" s="404">
        <v>1.2E-2</v>
      </c>
      <c r="Z2974" s="397">
        <v>1</v>
      </c>
      <c r="AA2974" s="399">
        <v>1</v>
      </c>
      <c r="AB2974" s="394">
        <v>34</v>
      </c>
      <c r="AC2974" s="402">
        <v>280</v>
      </c>
      <c r="AD2974" s="399">
        <v>1</v>
      </c>
      <c r="AE2974" s="402"/>
      <c r="AF2974" s="391"/>
      <c r="AG2974" s="394"/>
      <c r="AH2974" s="394"/>
      <c r="AI2974" s="394"/>
      <c r="AJ2974" s="394"/>
      <c r="AK2974" s="394"/>
      <c r="AL2974" s="394"/>
      <c r="AM2974" s="394"/>
      <c r="AN2974" s="394"/>
      <c r="AO2974" s="394"/>
      <c r="AP2974" s="394"/>
      <c r="AQ2974" s="394"/>
      <c r="AR2974" s="394"/>
      <c r="AS2974" s="402"/>
      <c r="AT2974" s="404"/>
      <c r="AU2974" s="394"/>
      <c r="AV2974" s="394"/>
      <c r="AW2974" s="394"/>
      <c r="AX2974" s="5"/>
      <c r="AY2974" s="5"/>
      <c r="AZ2974" s="5"/>
      <c r="BA2974" s="5"/>
      <c r="BB2974" s="5"/>
      <c r="BC2974" s="5"/>
      <c r="BD2974" s="5"/>
      <c r="BE2974" s="5"/>
      <c r="BF2974" s="5"/>
      <c r="BG2974" s="5"/>
      <c r="BH2974" s="5"/>
      <c r="BI2974" s="5"/>
      <c r="BJ2974" s="5"/>
      <c r="BK2974" s="5"/>
      <c r="BL2974" s="5"/>
      <c r="BM2974" s="5"/>
      <c r="BN2974" s="5"/>
      <c r="BO2974" s="5"/>
      <c r="BP2974" s="5"/>
      <c r="BQ2974" s="5"/>
      <c r="BR2974" s="5"/>
      <c r="BS2974" s="5"/>
      <c r="BT2974" s="5"/>
      <c r="BU2974" s="5"/>
      <c r="BV2974" s="5"/>
      <c r="BW2974" s="5"/>
      <c r="BX2974" s="5"/>
      <c r="BY2974" s="5"/>
      <c r="BZ2974" s="5"/>
      <c r="CA2974" s="5"/>
    </row>
    <row r="2975" spans="1:79" s="400" customFormat="1" ht="15" customHeight="1">
      <c r="A2975" s="404" t="s">
        <v>4668</v>
      </c>
      <c r="B2975" s="402" t="s">
        <v>355</v>
      </c>
      <c r="C2975" s="113" t="s">
        <v>355</v>
      </c>
      <c r="D2975" s="393" t="s">
        <v>356</v>
      </c>
      <c r="E2975" s="394" t="s">
        <v>359</v>
      </c>
      <c r="F2975" s="402"/>
      <c r="G2975" s="405" t="s">
        <v>358</v>
      </c>
      <c r="H2975" s="404">
        <v>3479</v>
      </c>
      <c r="I2975" s="402" t="s">
        <v>2</v>
      </c>
      <c r="J2975" s="406" t="s">
        <v>357</v>
      </c>
      <c r="K2975" s="403">
        <v>41352</v>
      </c>
      <c r="L2975" s="398" t="s">
        <v>5380</v>
      </c>
      <c r="M2975" s="402"/>
      <c r="N2975" s="402" t="s">
        <v>1</v>
      </c>
      <c r="O2975" s="404">
        <f>1.4/2</f>
        <v>0.7</v>
      </c>
      <c r="P2975" s="402">
        <v>4.1900000000000004</v>
      </c>
      <c r="Q2975" s="404">
        <v>4.8499999999999996</v>
      </c>
      <c r="R2975" s="402">
        <f>10/2</f>
        <v>5</v>
      </c>
      <c r="S2975" s="404">
        <f>5/2</f>
        <v>2.5</v>
      </c>
      <c r="T2975" s="402">
        <v>0.02</v>
      </c>
      <c r="U2975" s="395">
        <v>0.44</v>
      </c>
      <c r="V2975" s="402">
        <v>0.13</v>
      </c>
      <c r="W2975" s="404">
        <v>1.2E-2</v>
      </c>
      <c r="X2975" s="402">
        <v>0.432</v>
      </c>
      <c r="Y2975" s="404">
        <f>0.002/2</f>
        <v>1E-3</v>
      </c>
      <c r="Z2975" s="397"/>
      <c r="AA2975" s="399"/>
      <c r="AB2975" s="394"/>
      <c r="AC2975" s="402"/>
      <c r="AD2975" s="399"/>
      <c r="AE2975" s="402"/>
      <c r="AF2975" s="391"/>
      <c r="AG2975" s="394"/>
      <c r="AH2975" s="394"/>
      <c r="AI2975" s="394"/>
      <c r="AJ2975" s="394"/>
      <c r="AK2975" s="394"/>
      <c r="AL2975" s="394"/>
      <c r="AM2975" s="394"/>
      <c r="AN2975" s="394"/>
      <c r="AO2975" s="394"/>
      <c r="AP2975" s="394"/>
      <c r="AQ2975" s="394"/>
      <c r="AR2975" s="394"/>
      <c r="AS2975" s="402"/>
      <c r="AT2975" s="404"/>
      <c r="AU2975" s="394"/>
      <c r="AV2975" s="394"/>
      <c r="AW2975" s="394"/>
      <c r="AX2975" s="5"/>
      <c r="AY2975" s="5"/>
      <c r="AZ2975" s="5"/>
      <c r="BA2975" s="5"/>
      <c r="BB2975" s="5"/>
      <c r="BC2975" s="5"/>
      <c r="BD2975" s="5"/>
      <c r="BE2975" s="5"/>
      <c r="BF2975" s="5"/>
      <c r="BG2975" s="5"/>
      <c r="BH2975" s="5"/>
      <c r="BI2975" s="5"/>
      <c r="BJ2975" s="5"/>
      <c r="BK2975" s="5"/>
      <c r="BL2975" s="5"/>
      <c r="BM2975" s="5"/>
      <c r="BN2975" s="5"/>
      <c r="BO2975" s="5"/>
      <c r="BP2975" s="5"/>
      <c r="BQ2975" s="5"/>
      <c r="BR2975" s="5"/>
      <c r="BS2975" s="5"/>
      <c r="BT2975" s="5"/>
      <c r="BU2975" s="5"/>
      <c r="BV2975" s="5"/>
      <c r="BW2975" s="5"/>
      <c r="BX2975" s="5"/>
      <c r="BY2975" s="5"/>
      <c r="BZ2975" s="5"/>
      <c r="CA2975" s="5"/>
    </row>
    <row r="2976" spans="1:79" s="400" customFormat="1" ht="15" customHeight="1">
      <c r="A2976" s="404" t="s">
        <v>4668</v>
      </c>
      <c r="B2976" s="402" t="s">
        <v>355</v>
      </c>
      <c r="C2976" s="113" t="s">
        <v>355</v>
      </c>
      <c r="D2976" s="393" t="s">
        <v>356</v>
      </c>
      <c r="E2976" s="394" t="s">
        <v>359</v>
      </c>
      <c r="F2976" s="402"/>
      <c r="G2976" s="405" t="s">
        <v>358</v>
      </c>
      <c r="H2976" s="404">
        <v>3479</v>
      </c>
      <c r="I2976" s="402" t="s">
        <v>2</v>
      </c>
      <c r="J2976" s="406" t="s">
        <v>360</v>
      </c>
      <c r="K2976" s="403">
        <v>41352</v>
      </c>
      <c r="L2976" s="398" t="s">
        <v>5380</v>
      </c>
      <c r="M2976" s="402"/>
      <c r="N2976" s="402" t="s">
        <v>1</v>
      </c>
      <c r="O2976" s="404">
        <f>1.4/2</f>
        <v>0.7</v>
      </c>
      <c r="P2976" s="402">
        <v>4.6399999999999997</v>
      </c>
      <c r="Q2976" s="404">
        <v>4.66</v>
      </c>
      <c r="R2976" s="402">
        <v>21</v>
      </c>
      <c r="S2976" s="404">
        <f>5/2</f>
        <v>2.5</v>
      </c>
      <c r="T2976" s="402">
        <v>0.04</v>
      </c>
      <c r="U2976" s="395">
        <v>0.56999999999999995</v>
      </c>
      <c r="V2976" s="402">
        <v>0.24</v>
      </c>
      <c r="W2976" s="404">
        <v>1.6E-2</v>
      </c>
      <c r="X2976" s="402">
        <v>0.26200000000000001</v>
      </c>
      <c r="Y2976" s="404">
        <f>0.002/2</f>
        <v>1E-3</v>
      </c>
      <c r="Z2976" s="397"/>
      <c r="AA2976" s="399"/>
      <c r="AB2976" s="394"/>
      <c r="AC2976" s="402"/>
      <c r="AD2976" s="399"/>
      <c r="AE2976" s="402"/>
      <c r="AF2976" s="391"/>
      <c r="AG2976" s="394"/>
      <c r="AH2976" s="394"/>
      <c r="AI2976" s="394"/>
      <c r="AJ2976" s="394"/>
      <c r="AK2976" s="394"/>
      <c r="AL2976" s="394"/>
      <c r="AM2976" s="394"/>
      <c r="AN2976" s="394"/>
      <c r="AO2976" s="394"/>
      <c r="AP2976" s="394"/>
      <c r="AQ2976" s="394"/>
      <c r="AR2976" s="394"/>
      <c r="AS2976" s="402"/>
      <c r="AT2976" s="404"/>
      <c r="AU2976" s="394"/>
      <c r="AV2976" s="394"/>
      <c r="AW2976" s="394"/>
      <c r="AX2976" s="5"/>
      <c r="AY2976" s="5"/>
      <c r="AZ2976" s="5"/>
      <c r="BA2976" s="5"/>
      <c r="BB2976" s="5"/>
      <c r="BC2976" s="5"/>
      <c r="BD2976" s="5"/>
      <c r="BE2976" s="5"/>
      <c r="BF2976" s="5"/>
      <c r="BG2976" s="5"/>
      <c r="BH2976" s="5"/>
      <c r="BI2976" s="5"/>
      <c r="BJ2976" s="5"/>
      <c r="BK2976" s="5"/>
      <c r="BL2976" s="5"/>
      <c r="BM2976" s="5"/>
      <c r="BN2976" s="5"/>
      <c r="BO2976" s="5"/>
      <c r="BP2976" s="5"/>
      <c r="BQ2976" s="5"/>
      <c r="BR2976" s="5"/>
      <c r="BS2976" s="5"/>
      <c r="BT2976" s="5"/>
      <c r="BU2976" s="5"/>
      <c r="BV2976" s="5"/>
      <c r="BW2976" s="5"/>
      <c r="BX2976" s="5"/>
      <c r="BY2976" s="5"/>
      <c r="BZ2976" s="5"/>
      <c r="CA2976" s="5"/>
    </row>
    <row r="2977" spans="1:79" s="400" customFormat="1" ht="15" customHeight="1">
      <c r="A2977" s="404" t="s">
        <v>4668</v>
      </c>
      <c r="B2977" s="402" t="s">
        <v>355</v>
      </c>
      <c r="C2977" s="113" t="s">
        <v>355</v>
      </c>
      <c r="D2977" s="393" t="s">
        <v>356</v>
      </c>
      <c r="E2977" s="394" t="s">
        <v>359</v>
      </c>
      <c r="F2977" s="402"/>
      <c r="G2977" s="405" t="s">
        <v>358</v>
      </c>
      <c r="H2977" s="404">
        <v>3479</v>
      </c>
      <c r="I2977" s="402" t="s">
        <v>2</v>
      </c>
      <c r="J2977" s="406" t="s">
        <v>361</v>
      </c>
      <c r="K2977" s="403">
        <v>41352</v>
      </c>
      <c r="L2977" s="398" t="s">
        <v>5380</v>
      </c>
      <c r="M2977" s="402"/>
      <c r="N2977" s="402" t="s">
        <v>1</v>
      </c>
      <c r="O2977" s="404">
        <f>1.4/2</f>
        <v>0.7</v>
      </c>
      <c r="P2977" s="402">
        <v>5.12</v>
      </c>
      <c r="Q2977" s="404">
        <v>4.97</v>
      </c>
      <c r="R2977" s="402">
        <v>16</v>
      </c>
      <c r="S2977" s="404">
        <f>5/2</f>
        <v>2.5</v>
      </c>
      <c r="T2977" s="402">
        <v>0.02</v>
      </c>
      <c r="U2977" s="395">
        <v>0.44</v>
      </c>
      <c r="V2977" s="402">
        <v>0.22</v>
      </c>
      <c r="W2977" s="404">
        <v>6.0000000000000001E-3</v>
      </c>
      <c r="X2977" s="402">
        <v>6.8000000000000005E-2</v>
      </c>
      <c r="Y2977" s="404">
        <f>0.002/2</f>
        <v>1E-3</v>
      </c>
      <c r="Z2977" s="397"/>
      <c r="AA2977" s="399"/>
      <c r="AB2977" s="394"/>
      <c r="AC2977" s="402"/>
      <c r="AD2977" s="399"/>
      <c r="AE2977" s="402"/>
      <c r="AF2977" s="391"/>
      <c r="AG2977" s="394"/>
      <c r="AH2977" s="394"/>
      <c r="AI2977" s="394"/>
      <c r="AJ2977" s="394"/>
      <c r="AK2977" s="394"/>
      <c r="AL2977" s="394"/>
      <c r="AM2977" s="394"/>
      <c r="AN2977" s="394"/>
      <c r="AO2977" s="394"/>
      <c r="AP2977" s="394"/>
      <c r="AQ2977" s="394"/>
      <c r="AR2977" s="394"/>
      <c r="AS2977" s="402"/>
      <c r="AT2977" s="404"/>
      <c r="AU2977" s="394"/>
      <c r="AV2977" s="394"/>
      <c r="AW2977" s="394"/>
      <c r="AX2977" s="5"/>
      <c r="AY2977" s="5"/>
      <c r="AZ2977" s="5"/>
      <c r="BA2977" s="5"/>
      <c r="BB2977" s="5"/>
      <c r="BC2977" s="5"/>
      <c r="BD2977" s="5"/>
      <c r="BE2977" s="5"/>
      <c r="BF2977" s="5"/>
      <c r="BG2977" s="5"/>
      <c r="BH2977" s="5"/>
      <c r="BI2977" s="5"/>
      <c r="BJ2977" s="5"/>
      <c r="BK2977" s="5"/>
      <c r="BL2977" s="5"/>
      <c r="BM2977" s="5"/>
      <c r="BN2977" s="5"/>
      <c r="BO2977" s="5"/>
      <c r="BP2977" s="5"/>
      <c r="BQ2977" s="5"/>
      <c r="BR2977" s="5"/>
      <c r="BS2977" s="5"/>
      <c r="BT2977" s="5"/>
      <c r="BU2977" s="5"/>
      <c r="BV2977" s="5"/>
      <c r="BW2977" s="5"/>
      <c r="BX2977" s="5"/>
      <c r="BY2977" s="5"/>
      <c r="BZ2977" s="5"/>
      <c r="CA2977" s="5"/>
    </row>
    <row r="2978" spans="1:79" s="400" customFormat="1" ht="15" customHeight="1">
      <c r="A2978" s="404" t="s">
        <v>4668</v>
      </c>
      <c r="B2978" s="386" t="s">
        <v>411</v>
      </c>
      <c r="C2978" s="149" t="s">
        <v>411</v>
      </c>
      <c r="D2978" s="392" t="s">
        <v>111</v>
      </c>
      <c r="E2978" s="258" t="s">
        <v>982</v>
      </c>
      <c r="F2978" s="402"/>
      <c r="G2978" s="405" t="s">
        <v>412</v>
      </c>
      <c r="H2978" s="404">
        <v>3841</v>
      </c>
      <c r="I2978" s="402" t="s">
        <v>2</v>
      </c>
      <c r="J2978" s="392" t="s">
        <v>81</v>
      </c>
      <c r="K2978" s="403">
        <v>41201</v>
      </c>
      <c r="L2978" s="398">
        <v>41197</v>
      </c>
      <c r="M2978" s="402">
        <f t="shared" ref="M2978:M2993" si="170">K2978-L2978</f>
        <v>4</v>
      </c>
      <c r="N2978" s="402" t="s">
        <v>2</v>
      </c>
      <c r="O2978" s="404">
        <f>2/2</f>
        <v>1</v>
      </c>
      <c r="P2978" s="402">
        <v>6.9</v>
      </c>
      <c r="Q2978" s="404">
        <v>6.4</v>
      </c>
      <c r="R2978" s="402">
        <f>10/2</f>
        <v>5</v>
      </c>
      <c r="S2978" s="404">
        <v>4</v>
      </c>
      <c r="T2978" s="402">
        <f>0.05/2</f>
        <v>2.5000000000000001E-2</v>
      </c>
      <c r="U2978" s="395">
        <v>0.33</v>
      </c>
      <c r="V2978" s="402">
        <v>0.16</v>
      </c>
      <c r="W2978" s="404">
        <f>0.01/2</f>
        <v>5.0000000000000001E-3</v>
      </c>
      <c r="X2978" s="402">
        <v>4.8000000000000001E-2</v>
      </c>
      <c r="Y2978" s="404">
        <f>0.03/2</f>
        <v>1.4999999999999999E-2</v>
      </c>
      <c r="Z2978" s="397">
        <v>1</v>
      </c>
      <c r="AA2978" s="399">
        <v>1</v>
      </c>
      <c r="AB2978" s="394">
        <v>3</v>
      </c>
      <c r="AC2978" s="402">
        <v>18</v>
      </c>
      <c r="AD2978" s="399">
        <v>1</v>
      </c>
      <c r="AE2978" s="402"/>
      <c r="AF2978" s="391"/>
      <c r="AG2978" s="394"/>
      <c r="AH2978" s="394"/>
      <c r="AI2978" s="394"/>
      <c r="AJ2978" s="394"/>
      <c r="AK2978" s="394"/>
      <c r="AL2978" s="394"/>
      <c r="AM2978" s="394"/>
      <c r="AN2978" s="394"/>
      <c r="AO2978" s="394"/>
      <c r="AP2978" s="394"/>
      <c r="AQ2978" s="394"/>
      <c r="AR2978" s="394"/>
      <c r="AS2978" s="402"/>
      <c r="AT2978" s="404"/>
      <c r="AU2978" s="394"/>
      <c r="AV2978" s="394"/>
      <c r="AW2978" s="394"/>
      <c r="AX2978" s="5"/>
      <c r="AY2978" s="5"/>
      <c r="AZ2978" s="5"/>
      <c r="BA2978" s="5"/>
      <c r="BB2978" s="5"/>
      <c r="BC2978" s="5"/>
      <c r="BD2978" s="5"/>
      <c r="BE2978" s="5"/>
      <c r="BF2978" s="5"/>
      <c r="BG2978" s="5"/>
      <c r="BH2978" s="5"/>
      <c r="BI2978" s="5"/>
      <c r="BJ2978" s="5"/>
      <c r="BK2978" s="5"/>
      <c r="BL2978" s="5"/>
      <c r="BM2978" s="5"/>
      <c r="BN2978" s="5"/>
      <c r="BO2978" s="5"/>
      <c r="BP2978" s="5"/>
      <c r="BQ2978" s="5"/>
      <c r="BR2978" s="5"/>
      <c r="BS2978" s="5"/>
      <c r="BT2978" s="5"/>
      <c r="BU2978" s="5"/>
      <c r="BV2978" s="5"/>
      <c r="BW2978" s="5"/>
      <c r="BX2978" s="5"/>
      <c r="BY2978" s="5"/>
      <c r="BZ2978" s="5"/>
      <c r="CA2978" s="5"/>
    </row>
    <row r="2979" spans="1:79" s="400" customFormat="1" ht="15" customHeight="1">
      <c r="A2979" s="404" t="s">
        <v>4668</v>
      </c>
      <c r="B2979" s="402" t="s">
        <v>2022</v>
      </c>
      <c r="C2979" s="113" t="s">
        <v>2022</v>
      </c>
      <c r="D2979" s="393" t="s">
        <v>636</v>
      </c>
      <c r="E2979" s="394" t="s">
        <v>1859</v>
      </c>
      <c r="F2979" s="402">
        <v>3700</v>
      </c>
      <c r="G2979" s="405" t="s">
        <v>2023</v>
      </c>
      <c r="H2979" s="404">
        <v>3965</v>
      </c>
      <c r="I2979" s="402" t="s">
        <v>2</v>
      </c>
      <c r="J2979" s="406"/>
      <c r="K2979" s="403">
        <v>41264</v>
      </c>
      <c r="L2979" s="398">
        <v>41253</v>
      </c>
      <c r="M2979" s="402">
        <f t="shared" si="170"/>
        <v>11</v>
      </c>
      <c r="N2979" s="402" t="s">
        <v>2</v>
      </c>
      <c r="O2979" s="404">
        <f>1/2</f>
        <v>0.5</v>
      </c>
      <c r="P2979" s="402">
        <v>6.3</v>
      </c>
      <c r="Q2979" s="404">
        <v>6</v>
      </c>
      <c r="R2979" s="402">
        <v>12</v>
      </c>
      <c r="S2979" s="404">
        <v>17</v>
      </c>
      <c r="T2979" s="402">
        <v>4.8000000000000001E-2</v>
      </c>
      <c r="U2979" s="395">
        <v>3.2</v>
      </c>
      <c r="V2979" s="402">
        <v>5.8000000000000003E-2</v>
      </c>
      <c r="W2979" s="404">
        <v>1.2E-2</v>
      </c>
      <c r="X2979" s="402">
        <v>6.6000000000000003E-2</v>
      </c>
      <c r="Y2979" s="404">
        <v>9.5999999999999992E-3</v>
      </c>
      <c r="Z2979" s="397"/>
      <c r="AA2979" s="399"/>
      <c r="AB2979" s="394">
        <v>4</v>
      </c>
      <c r="AC2979" s="402">
        <v>17</v>
      </c>
      <c r="AD2979" s="399">
        <v>0.95</v>
      </c>
      <c r="AE2979" s="402"/>
      <c r="AF2979" s="391"/>
      <c r="AG2979" s="394"/>
      <c r="AH2979" s="394"/>
      <c r="AI2979" s="394"/>
      <c r="AJ2979" s="394"/>
      <c r="AK2979" s="394"/>
      <c r="AL2979" s="394"/>
      <c r="AM2979" s="394"/>
      <c r="AN2979" s="394"/>
      <c r="AO2979" s="394"/>
      <c r="AP2979" s="394"/>
      <c r="AQ2979" s="394"/>
      <c r="AR2979" s="394"/>
      <c r="AS2979" s="402"/>
      <c r="AT2979" s="404"/>
      <c r="AU2979" s="394"/>
      <c r="AV2979" s="394"/>
      <c r="AW2979" s="394"/>
      <c r="AX2979" s="5"/>
      <c r="AY2979" s="5"/>
      <c r="AZ2979" s="5"/>
      <c r="BA2979" s="5"/>
      <c r="BB2979" s="5"/>
      <c r="BC2979" s="5"/>
      <c r="BD2979" s="5"/>
      <c r="BE2979" s="5"/>
      <c r="BF2979" s="5"/>
      <c r="BG2979" s="5"/>
      <c r="BH2979" s="5"/>
      <c r="BI2979" s="5"/>
      <c r="BJ2979" s="5"/>
      <c r="BK2979" s="5"/>
      <c r="BL2979" s="5"/>
      <c r="BM2979" s="5"/>
      <c r="BN2979" s="5"/>
      <c r="BO2979" s="5"/>
      <c r="BP2979" s="5"/>
      <c r="BQ2979" s="5"/>
      <c r="BR2979" s="5"/>
      <c r="BS2979" s="5"/>
      <c r="BT2979" s="5"/>
      <c r="BU2979" s="5"/>
      <c r="BV2979" s="5"/>
      <c r="BW2979" s="5"/>
      <c r="BX2979" s="5"/>
      <c r="BY2979" s="5"/>
      <c r="BZ2979" s="5"/>
      <c r="CA2979" s="5"/>
    </row>
    <row r="2980" spans="1:79" s="400" customFormat="1" ht="15" customHeight="1">
      <c r="A2980" s="404" t="s">
        <v>4668</v>
      </c>
      <c r="B2980" s="402" t="s">
        <v>139</v>
      </c>
      <c r="C2980" s="113"/>
      <c r="D2980" s="393" t="s">
        <v>133</v>
      </c>
      <c r="E2980" s="394" t="s">
        <v>140</v>
      </c>
      <c r="F2980" s="402" t="s">
        <v>971</v>
      </c>
      <c r="G2980" s="405" t="s">
        <v>141</v>
      </c>
      <c r="H2980" s="404"/>
      <c r="I2980" s="402" t="s">
        <v>2</v>
      </c>
      <c r="J2980" s="406" t="s">
        <v>74</v>
      </c>
      <c r="K2980" s="403">
        <v>41432</v>
      </c>
      <c r="L2980" s="398">
        <v>41428</v>
      </c>
      <c r="M2980" s="402">
        <f t="shared" si="170"/>
        <v>4</v>
      </c>
      <c r="N2980" s="402" t="s">
        <v>2</v>
      </c>
      <c r="O2980" s="404">
        <f>2/2</f>
        <v>1</v>
      </c>
      <c r="P2980" s="402"/>
      <c r="Q2980" s="404">
        <v>7.2</v>
      </c>
      <c r="R2980" s="402">
        <v>14</v>
      </c>
      <c r="S2980" s="404">
        <v>5</v>
      </c>
      <c r="T2980" s="402">
        <v>7.0000000000000007E-2</v>
      </c>
      <c r="U2980" s="395">
        <v>0.73</v>
      </c>
      <c r="V2980" s="402">
        <v>0.21</v>
      </c>
      <c r="W2980" s="404">
        <f>0.01/2</f>
        <v>5.0000000000000001E-3</v>
      </c>
      <c r="X2980" s="402">
        <v>3.7999999999999999E-2</v>
      </c>
      <c r="Y2980" s="404">
        <f>0.03/2</f>
        <v>1.4999999999999999E-2</v>
      </c>
      <c r="Z2980" s="397"/>
      <c r="AA2980" s="399"/>
      <c r="AB2980" s="394"/>
      <c r="AC2980" s="402"/>
      <c r="AD2980" s="399"/>
      <c r="AE2980" s="402"/>
      <c r="AF2980" s="391"/>
      <c r="AG2980" s="394"/>
      <c r="AH2980" s="394"/>
      <c r="AI2980" s="394"/>
      <c r="AJ2980" s="394"/>
      <c r="AK2980" s="394"/>
      <c r="AL2980" s="394"/>
      <c r="AM2980" s="394"/>
      <c r="AN2980" s="394"/>
      <c r="AO2980" s="394"/>
      <c r="AP2980" s="394"/>
      <c r="AQ2980" s="394"/>
      <c r="AR2980" s="394"/>
      <c r="AS2980" s="402"/>
      <c r="AT2980" s="404"/>
      <c r="AU2980" s="394"/>
      <c r="AV2980" s="394"/>
      <c r="AW2980" s="394"/>
      <c r="AX2980" s="5"/>
      <c r="AY2980" s="5"/>
      <c r="AZ2980" s="5"/>
      <c r="BA2980" s="5"/>
      <c r="BB2980" s="5"/>
      <c r="BC2980" s="5"/>
      <c r="BD2980" s="5"/>
      <c r="BE2980" s="5"/>
      <c r="BF2980" s="5"/>
      <c r="BG2980" s="5"/>
      <c r="BH2980" s="5"/>
      <c r="BI2980" s="5"/>
      <c r="BJ2980" s="5"/>
      <c r="BK2980" s="5"/>
      <c r="BL2980" s="5"/>
      <c r="BM2980" s="5"/>
      <c r="BN2980" s="5"/>
      <c r="BO2980" s="5"/>
      <c r="BP2980" s="5"/>
      <c r="BQ2980" s="5"/>
      <c r="BR2980" s="5"/>
      <c r="BS2980" s="5"/>
      <c r="BT2980" s="5"/>
      <c r="BU2980" s="5"/>
      <c r="BV2980" s="5"/>
      <c r="BW2980" s="5"/>
      <c r="BX2980" s="5"/>
      <c r="BY2980" s="5"/>
      <c r="BZ2980" s="5"/>
      <c r="CA2980" s="5"/>
    </row>
    <row r="2981" spans="1:79" s="400" customFormat="1" ht="15" customHeight="1">
      <c r="A2981" s="404" t="s">
        <v>4668</v>
      </c>
      <c r="B2981" s="402" t="s">
        <v>139</v>
      </c>
      <c r="C2981" s="113"/>
      <c r="D2981" s="393" t="s">
        <v>133</v>
      </c>
      <c r="E2981" s="394" t="s">
        <v>140</v>
      </c>
      <c r="F2981" s="402" t="s">
        <v>971</v>
      </c>
      <c r="G2981" s="405" t="s">
        <v>141</v>
      </c>
      <c r="H2981" s="404"/>
      <c r="I2981" s="402" t="s">
        <v>2</v>
      </c>
      <c r="J2981" s="406" t="s">
        <v>75</v>
      </c>
      <c r="K2981" s="403">
        <v>41432</v>
      </c>
      <c r="L2981" s="398">
        <v>41428</v>
      </c>
      <c r="M2981" s="402">
        <f t="shared" si="170"/>
        <v>4</v>
      </c>
      <c r="N2981" s="402" t="s">
        <v>2</v>
      </c>
      <c r="O2981" s="404">
        <f>2/1</f>
        <v>2</v>
      </c>
      <c r="P2981" s="402"/>
      <c r="Q2981" s="404">
        <v>6.9</v>
      </c>
      <c r="R2981" s="402">
        <v>11</v>
      </c>
      <c r="S2981" s="404">
        <v>1</v>
      </c>
      <c r="T2981" s="402">
        <f>0.05/2</f>
        <v>2.5000000000000001E-2</v>
      </c>
      <c r="U2981" s="395">
        <v>0.56000000000000005</v>
      </c>
      <c r="V2981" s="402">
        <v>0.16</v>
      </c>
      <c r="W2981" s="404">
        <v>1.4999999999999999E-2</v>
      </c>
      <c r="X2981" s="402">
        <v>3.7999999999999999E-2</v>
      </c>
      <c r="Y2981" s="404">
        <f>0.03/2</f>
        <v>1.4999999999999999E-2</v>
      </c>
      <c r="Z2981" s="397"/>
      <c r="AA2981" s="399"/>
      <c r="AB2981" s="394"/>
      <c r="AC2981" s="402"/>
      <c r="AD2981" s="399"/>
      <c r="AE2981" s="402"/>
      <c r="AF2981" s="391"/>
      <c r="AG2981" s="394"/>
      <c r="AH2981" s="394"/>
      <c r="AI2981" s="394"/>
      <c r="AJ2981" s="394"/>
      <c r="AK2981" s="394"/>
      <c r="AL2981" s="394"/>
      <c r="AM2981" s="394"/>
      <c r="AN2981" s="394"/>
      <c r="AO2981" s="394"/>
      <c r="AP2981" s="394"/>
      <c r="AQ2981" s="394"/>
      <c r="AR2981" s="394"/>
      <c r="AS2981" s="402"/>
      <c r="AT2981" s="404"/>
      <c r="AU2981" s="394"/>
      <c r="AV2981" s="394"/>
      <c r="AW2981" s="394"/>
      <c r="AX2981" s="5"/>
      <c r="AY2981" s="5"/>
      <c r="AZ2981" s="5"/>
      <c r="BA2981" s="5"/>
      <c r="BB2981" s="5"/>
      <c r="BC2981" s="5"/>
      <c r="BD2981" s="5"/>
      <c r="BE2981" s="5"/>
      <c r="BF2981" s="5"/>
      <c r="BG2981" s="5"/>
      <c r="BH2981" s="5"/>
      <c r="BI2981" s="5"/>
      <c r="BJ2981" s="5"/>
      <c r="BK2981" s="5"/>
      <c r="BL2981" s="5"/>
      <c r="BM2981" s="5"/>
      <c r="BN2981" s="5"/>
      <c r="BO2981" s="5"/>
      <c r="BP2981" s="5"/>
      <c r="BQ2981" s="5"/>
      <c r="BR2981" s="5"/>
      <c r="BS2981" s="5"/>
      <c r="BT2981" s="5"/>
      <c r="BU2981" s="5"/>
      <c r="BV2981" s="5"/>
      <c r="BW2981" s="5"/>
      <c r="BX2981" s="5"/>
      <c r="BY2981" s="5"/>
      <c r="BZ2981" s="5"/>
      <c r="CA2981" s="5"/>
    </row>
    <row r="2982" spans="1:79" s="400" customFormat="1" ht="15" customHeight="1">
      <c r="A2982" s="404" t="s">
        <v>4668</v>
      </c>
      <c r="B2982" s="402" t="s">
        <v>139</v>
      </c>
      <c r="C2982" s="113"/>
      <c r="D2982" s="393" t="s">
        <v>133</v>
      </c>
      <c r="E2982" s="394" t="s">
        <v>140</v>
      </c>
      <c r="F2982" s="402" t="s">
        <v>971</v>
      </c>
      <c r="G2982" s="405" t="s">
        <v>141</v>
      </c>
      <c r="H2982" s="404"/>
      <c r="I2982" s="402" t="s">
        <v>2</v>
      </c>
      <c r="J2982" s="406" t="s">
        <v>687</v>
      </c>
      <c r="K2982" s="403">
        <v>41432</v>
      </c>
      <c r="L2982" s="398">
        <v>41428</v>
      </c>
      <c r="M2982" s="402">
        <f t="shared" si="170"/>
        <v>4</v>
      </c>
      <c r="N2982" s="402" t="s">
        <v>2</v>
      </c>
      <c r="O2982" s="404">
        <f>2/2</f>
        <v>1</v>
      </c>
      <c r="P2982" s="402"/>
      <c r="Q2982" s="404">
        <v>7.5</v>
      </c>
      <c r="R2982" s="402">
        <f>10/2</f>
        <v>5</v>
      </c>
      <c r="S2982" s="404">
        <v>12</v>
      </c>
      <c r="T2982" s="402">
        <f>0.05/2</f>
        <v>2.5000000000000001E-2</v>
      </c>
      <c r="U2982" s="395">
        <v>0.63</v>
      </c>
      <c r="V2982" s="402">
        <v>0.91</v>
      </c>
      <c r="W2982" s="404">
        <v>1.4E-2</v>
      </c>
      <c r="X2982" s="402">
        <v>5.5E-2</v>
      </c>
      <c r="Y2982" s="404">
        <f>0.03/2</f>
        <v>1.4999999999999999E-2</v>
      </c>
      <c r="Z2982" s="397"/>
      <c r="AA2982" s="399"/>
      <c r="AB2982" s="394"/>
      <c r="AC2982" s="402"/>
      <c r="AD2982" s="399"/>
      <c r="AE2982" s="402"/>
      <c r="AF2982" s="391"/>
      <c r="AG2982" s="394"/>
      <c r="AH2982" s="394"/>
      <c r="AI2982" s="394"/>
      <c r="AJ2982" s="394"/>
      <c r="AK2982" s="394"/>
      <c r="AL2982" s="394"/>
      <c r="AM2982" s="394"/>
      <c r="AN2982" s="394"/>
      <c r="AO2982" s="394"/>
      <c r="AP2982" s="394"/>
      <c r="AQ2982" s="394"/>
      <c r="AR2982" s="394"/>
      <c r="AS2982" s="402"/>
      <c r="AT2982" s="404"/>
      <c r="AU2982" s="394"/>
      <c r="AV2982" s="394"/>
      <c r="AW2982" s="394"/>
      <c r="AX2982" s="5"/>
      <c r="AY2982" s="5"/>
      <c r="AZ2982" s="5"/>
      <c r="BA2982" s="5"/>
      <c r="BB2982" s="5"/>
      <c r="BC2982" s="5"/>
      <c r="BD2982" s="5"/>
      <c r="BE2982" s="5"/>
      <c r="BF2982" s="5"/>
      <c r="BG2982" s="5"/>
      <c r="BH2982" s="5"/>
      <c r="BI2982" s="5"/>
      <c r="BJ2982" s="5"/>
      <c r="BK2982" s="5"/>
      <c r="BL2982" s="5"/>
      <c r="BM2982" s="5"/>
      <c r="BN2982" s="5"/>
      <c r="BO2982" s="5"/>
      <c r="BP2982" s="5"/>
      <c r="BQ2982" s="5"/>
      <c r="BR2982" s="5"/>
      <c r="BS2982" s="5"/>
      <c r="BT2982" s="5"/>
      <c r="BU2982" s="5"/>
      <c r="BV2982" s="5"/>
      <c r="BW2982" s="5"/>
      <c r="BX2982" s="5"/>
      <c r="BY2982" s="5"/>
      <c r="BZ2982" s="5"/>
      <c r="CA2982" s="5"/>
    </row>
    <row r="2983" spans="1:79" s="400" customFormat="1" ht="15" customHeight="1">
      <c r="A2983" s="404" t="s">
        <v>4668</v>
      </c>
      <c r="B2983" s="402" t="s">
        <v>139</v>
      </c>
      <c r="C2983" s="113"/>
      <c r="D2983" s="393" t="s">
        <v>133</v>
      </c>
      <c r="E2983" s="394" t="s">
        <v>140</v>
      </c>
      <c r="F2983" s="402" t="s">
        <v>971</v>
      </c>
      <c r="G2983" s="405" t="s">
        <v>141</v>
      </c>
      <c r="H2983" s="404"/>
      <c r="I2983" s="402" t="s">
        <v>2</v>
      </c>
      <c r="J2983" s="406" t="s">
        <v>135</v>
      </c>
      <c r="K2983" s="403">
        <v>41432</v>
      </c>
      <c r="L2983" s="398">
        <v>41428</v>
      </c>
      <c r="M2983" s="402">
        <f t="shared" si="170"/>
        <v>4</v>
      </c>
      <c r="N2983" s="402" t="s">
        <v>2</v>
      </c>
      <c r="O2983" s="404">
        <f>2/2</f>
        <v>1</v>
      </c>
      <c r="P2983" s="402"/>
      <c r="Q2983" s="404">
        <v>6.9</v>
      </c>
      <c r="R2983" s="402">
        <f>10/2</f>
        <v>5</v>
      </c>
      <c r="S2983" s="404">
        <v>10</v>
      </c>
      <c r="T2983" s="402">
        <f>0.05/2</f>
        <v>2.5000000000000001E-2</v>
      </c>
      <c r="U2983" s="395">
        <v>0.31</v>
      </c>
      <c r="V2983" s="402">
        <v>0.13</v>
      </c>
      <c r="W2983" s="404">
        <f>0.01</f>
        <v>0.01</v>
      </c>
      <c r="X2983" s="402">
        <v>4.5999999999999999E-2</v>
      </c>
      <c r="Y2983" s="404">
        <f>0.03/2</f>
        <v>1.4999999999999999E-2</v>
      </c>
      <c r="Z2983" s="397"/>
      <c r="AA2983" s="399"/>
      <c r="AB2983" s="394"/>
      <c r="AC2983" s="402"/>
      <c r="AD2983" s="399"/>
      <c r="AE2983" s="402"/>
      <c r="AF2983" s="391"/>
      <c r="AG2983" s="394"/>
      <c r="AH2983" s="394"/>
      <c r="AI2983" s="394"/>
      <c r="AJ2983" s="394"/>
      <c r="AK2983" s="394"/>
      <c r="AL2983" s="394"/>
      <c r="AM2983" s="394"/>
      <c r="AN2983" s="394"/>
      <c r="AO2983" s="394"/>
      <c r="AP2983" s="394"/>
      <c r="AQ2983" s="394"/>
      <c r="AR2983" s="394"/>
      <c r="AS2983" s="402"/>
      <c r="AT2983" s="404"/>
      <c r="AU2983" s="394"/>
      <c r="AV2983" s="394"/>
      <c r="AW2983" s="394"/>
      <c r="AX2983" s="5"/>
      <c r="AY2983" s="5"/>
      <c r="AZ2983" s="5"/>
      <c r="BA2983" s="5"/>
      <c r="BB2983" s="5"/>
      <c r="BC2983" s="5"/>
      <c r="BD2983" s="5"/>
      <c r="BE2983" s="5"/>
      <c r="BF2983" s="5"/>
      <c r="BG2983" s="5"/>
      <c r="BH2983" s="5"/>
      <c r="BI2983" s="5"/>
      <c r="BJ2983" s="5"/>
      <c r="BK2983" s="5"/>
      <c r="BL2983" s="5"/>
      <c r="BM2983" s="5"/>
      <c r="BN2983" s="5"/>
      <c r="BO2983" s="5"/>
      <c r="BP2983" s="5"/>
      <c r="BQ2983" s="5"/>
      <c r="BR2983" s="5"/>
      <c r="BS2983" s="5"/>
      <c r="BT2983" s="5"/>
      <c r="BU2983" s="5"/>
      <c r="BV2983" s="5"/>
      <c r="BW2983" s="5"/>
      <c r="BX2983" s="5"/>
      <c r="BY2983" s="5"/>
      <c r="BZ2983" s="5"/>
      <c r="CA2983" s="5"/>
    </row>
    <row r="2984" spans="1:79" s="400" customFormat="1" ht="15" customHeight="1">
      <c r="A2984" s="41" t="s">
        <v>183</v>
      </c>
      <c r="B2984" s="402" t="s">
        <v>5691</v>
      </c>
      <c r="C2984" s="113" t="s">
        <v>5691</v>
      </c>
      <c r="D2984" s="393" t="s">
        <v>2328</v>
      </c>
      <c r="E2984" s="394" t="s">
        <v>2329</v>
      </c>
      <c r="F2984" s="402"/>
      <c r="G2984" s="405" t="s">
        <v>5692</v>
      </c>
      <c r="H2984" s="404">
        <v>3089</v>
      </c>
      <c r="I2984" s="402" t="s">
        <v>1</v>
      </c>
      <c r="J2984" s="406" t="s">
        <v>255</v>
      </c>
      <c r="K2984" s="403">
        <v>41495</v>
      </c>
      <c r="L2984" s="398">
        <v>41438</v>
      </c>
      <c r="M2984" s="402">
        <f t="shared" si="170"/>
        <v>57</v>
      </c>
      <c r="N2984" s="402" t="s">
        <v>2</v>
      </c>
      <c r="O2984" s="404">
        <v>2.8</v>
      </c>
      <c r="P2984" s="402">
        <v>7</v>
      </c>
      <c r="Q2984" s="404">
        <v>5.0999999999999996</v>
      </c>
      <c r="R2984" s="402">
        <v>210</v>
      </c>
      <c r="S2984" s="404">
        <v>341</v>
      </c>
      <c r="T2984" s="402">
        <v>0.3</v>
      </c>
      <c r="U2984" s="395">
        <v>1.54</v>
      </c>
      <c r="V2984" s="402">
        <v>0.76</v>
      </c>
      <c r="W2984" s="404">
        <v>0.29199999999999998</v>
      </c>
      <c r="X2984" s="402">
        <v>0.53</v>
      </c>
      <c r="Y2984" s="404">
        <f>0.03/2</f>
        <v>1.4999999999999999E-2</v>
      </c>
      <c r="Z2984" s="397">
        <v>1</v>
      </c>
      <c r="AA2984" s="399">
        <v>0.70699999999999996</v>
      </c>
      <c r="AB2984" s="394">
        <v>64</v>
      </c>
      <c r="AC2984" s="402">
        <v>83</v>
      </c>
      <c r="AD2984" s="399">
        <v>0.05</v>
      </c>
      <c r="AE2984" s="402"/>
      <c r="AF2984" s="391"/>
      <c r="AG2984" s="394"/>
      <c r="AH2984" s="394"/>
      <c r="AI2984" s="394"/>
      <c r="AJ2984" s="394"/>
      <c r="AK2984" s="394"/>
      <c r="AL2984" s="394"/>
      <c r="AM2984" s="394"/>
      <c r="AN2984" s="394"/>
      <c r="AO2984" s="394"/>
      <c r="AP2984" s="394"/>
      <c r="AQ2984" s="394"/>
      <c r="AR2984" s="394"/>
      <c r="AS2984" s="402"/>
      <c r="AT2984" s="404"/>
      <c r="AU2984" s="394"/>
      <c r="AV2984" s="394"/>
      <c r="AW2984" s="394"/>
      <c r="AX2984" s="5"/>
      <c r="AY2984" s="5"/>
      <c r="AZ2984" s="5"/>
      <c r="BA2984" s="5"/>
      <c r="BB2984" s="5"/>
      <c r="BC2984" s="5"/>
      <c r="BD2984" s="5"/>
      <c r="BE2984" s="5"/>
      <c r="BF2984" s="5"/>
      <c r="BG2984" s="5"/>
      <c r="BH2984" s="5"/>
      <c r="BI2984" s="5"/>
      <c r="BJ2984" s="5"/>
      <c r="BK2984" s="5"/>
      <c r="BL2984" s="5"/>
      <c r="BM2984" s="5"/>
      <c r="BN2984" s="5"/>
      <c r="BO2984" s="5"/>
      <c r="BP2984" s="5"/>
      <c r="BQ2984" s="5"/>
      <c r="BR2984" s="5"/>
      <c r="BS2984" s="5"/>
      <c r="BT2984" s="5"/>
      <c r="BU2984" s="5"/>
      <c r="BV2984" s="5"/>
      <c r="BW2984" s="5"/>
      <c r="BX2984" s="5"/>
      <c r="BY2984" s="5"/>
      <c r="BZ2984" s="5"/>
      <c r="CA2984" s="5"/>
    </row>
    <row r="2985" spans="1:79" s="400" customFormat="1" ht="15" customHeight="1">
      <c r="A2985" s="404" t="s">
        <v>4668</v>
      </c>
      <c r="B2985" s="386" t="s">
        <v>666</v>
      </c>
      <c r="C2985" s="149" t="s">
        <v>673</v>
      </c>
      <c r="D2985" s="392" t="s">
        <v>213</v>
      </c>
      <c r="E2985" s="258" t="s">
        <v>674</v>
      </c>
      <c r="F2985" s="386"/>
      <c r="G2985" s="405" t="s">
        <v>675</v>
      </c>
      <c r="H2985" s="404">
        <v>3724</v>
      </c>
      <c r="I2985" s="402" t="s">
        <v>2</v>
      </c>
      <c r="J2985" s="392" t="s">
        <v>669</v>
      </c>
      <c r="K2985" s="403">
        <v>41402</v>
      </c>
      <c r="L2985" s="398">
        <v>41389</v>
      </c>
      <c r="M2985" s="402">
        <f t="shared" si="170"/>
        <v>13</v>
      </c>
      <c r="N2985" s="402" t="s">
        <v>2</v>
      </c>
      <c r="O2985" s="404">
        <f>5/2</f>
        <v>2.5</v>
      </c>
      <c r="P2985" s="402">
        <v>6.59</v>
      </c>
      <c r="Q2985" s="404">
        <v>5.83</v>
      </c>
      <c r="R2985" s="402">
        <v>44</v>
      </c>
      <c r="S2985" s="404">
        <v>24</v>
      </c>
      <c r="T2985" s="402">
        <v>0.15</v>
      </c>
      <c r="U2985" s="395">
        <v>1.7</v>
      </c>
      <c r="V2985" s="402">
        <v>0.24</v>
      </c>
      <c r="W2985" s="404">
        <f>0.04/2</f>
        <v>0.02</v>
      </c>
      <c r="X2985" s="402">
        <v>0.11</v>
      </c>
      <c r="Y2985" s="404">
        <f>0.013/2</f>
        <v>6.4999999999999997E-3</v>
      </c>
      <c r="Z2985" s="397">
        <v>1</v>
      </c>
      <c r="AA2985" s="399">
        <v>1</v>
      </c>
      <c r="AB2985" s="394">
        <v>6.1</v>
      </c>
      <c r="AC2985" s="402">
        <v>55</v>
      </c>
      <c r="AD2985" s="399">
        <v>1</v>
      </c>
      <c r="AE2985" s="402"/>
      <c r="AF2985" s="391"/>
      <c r="AG2985" s="394"/>
      <c r="AH2985" s="394"/>
      <c r="AI2985" s="394"/>
      <c r="AJ2985" s="394"/>
      <c r="AK2985" s="394"/>
      <c r="AL2985" s="394"/>
      <c r="AM2985" s="394"/>
      <c r="AN2985" s="394"/>
      <c r="AO2985" s="394"/>
      <c r="AP2985" s="394"/>
      <c r="AQ2985" s="394"/>
      <c r="AR2985" s="394"/>
      <c r="AS2985" s="402"/>
      <c r="AT2985" s="404"/>
      <c r="AU2985" s="394"/>
      <c r="AV2985" s="394"/>
      <c r="AW2985" s="394"/>
      <c r="AX2985" s="5"/>
      <c r="AY2985" s="5"/>
      <c r="AZ2985" s="5"/>
      <c r="BA2985" s="5"/>
      <c r="BB2985" s="5"/>
      <c r="BC2985" s="5"/>
      <c r="BD2985" s="5"/>
      <c r="BE2985" s="5"/>
      <c r="BF2985" s="5"/>
      <c r="BG2985" s="5"/>
      <c r="BH2985" s="5"/>
      <c r="BI2985" s="5"/>
      <c r="BJ2985" s="5"/>
      <c r="BK2985" s="5"/>
      <c r="BL2985" s="5"/>
      <c r="BM2985" s="5"/>
      <c r="BN2985" s="5"/>
      <c r="BO2985" s="5"/>
      <c r="BP2985" s="5"/>
      <c r="BQ2985" s="5"/>
      <c r="BR2985" s="5"/>
      <c r="BS2985" s="5"/>
      <c r="BT2985" s="5"/>
      <c r="BU2985" s="5"/>
      <c r="BV2985" s="5"/>
      <c r="BW2985" s="5"/>
      <c r="BX2985" s="5"/>
      <c r="BY2985" s="5"/>
      <c r="BZ2985" s="5"/>
      <c r="CA2985" s="5"/>
    </row>
    <row r="2986" spans="1:79" s="400" customFormat="1" ht="15" customHeight="1">
      <c r="A2986" s="404" t="s">
        <v>4668</v>
      </c>
      <c r="B2986" s="402" t="s">
        <v>1296</v>
      </c>
      <c r="C2986" s="113" t="s">
        <v>1296</v>
      </c>
      <c r="D2986" s="393" t="s">
        <v>89</v>
      </c>
      <c r="E2986" s="394" t="s">
        <v>535</v>
      </c>
      <c r="F2986" s="402"/>
      <c r="G2986" s="405" t="s">
        <v>1298</v>
      </c>
      <c r="H2986" s="404">
        <v>3562</v>
      </c>
      <c r="I2986" s="402" t="s">
        <v>2</v>
      </c>
      <c r="J2986" s="406"/>
      <c r="K2986" s="403">
        <v>41443</v>
      </c>
      <c r="L2986" s="398">
        <v>41439</v>
      </c>
      <c r="M2986" s="402">
        <f t="shared" si="170"/>
        <v>4</v>
      </c>
      <c r="N2986" s="402" t="s">
        <v>2</v>
      </c>
      <c r="O2986" s="404">
        <f>5/2</f>
        <v>2.5</v>
      </c>
      <c r="P2986" s="402">
        <v>7.37</v>
      </c>
      <c r="Q2986" s="404">
        <v>7.42</v>
      </c>
      <c r="R2986" s="402">
        <v>44</v>
      </c>
      <c r="S2986" s="404">
        <v>10</v>
      </c>
      <c r="T2986" s="402">
        <f>0.1/2</f>
        <v>0.05</v>
      </c>
      <c r="U2986" s="395">
        <v>1.4</v>
      </c>
      <c r="V2986" s="402">
        <v>1.1000000000000001</v>
      </c>
      <c r="W2986" s="404">
        <f>0.04/2</f>
        <v>0.02</v>
      </c>
      <c r="X2986" s="402">
        <v>0.16</v>
      </c>
      <c r="Y2986" s="404">
        <f>0.013/2</f>
        <v>6.4999999999999997E-3</v>
      </c>
      <c r="Z2986" s="397">
        <v>1</v>
      </c>
      <c r="AA2986" s="399">
        <v>1</v>
      </c>
      <c r="AB2986" s="394">
        <v>62</v>
      </c>
      <c r="AC2986" s="402">
        <v>274</v>
      </c>
      <c r="AD2986" s="399">
        <v>0.75</v>
      </c>
      <c r="AE2986" s="402"/>
      <c r="AF2986" s="391"/>
      <c r="AG2986" s="394"/>
      <c r="AH2986" s="394"/>
      <c r="AI2986" s="394"/>
      <c r="AJ2986" s="394"/>
      <c r="AK2986" s="394"/>
      <c r="AL2986" s="394"/>
      <c r="AM2986" s="394"/>
      <c r="AN2986" s="394"/>
      <c r="AO2986" s="394"/>
      <c r="AP2986" s="394"/>
      <c r="AQ2986" s="394"/>
      <c r="AR2986" s="394"/>
      <c r="AS2986" s="402"/>
      <c r="AT2986" s="404"/>
      <c r="AU2986" s="394"/>
      <c r="AV2986" s="394"/>
      <c r="AW2986" s="394"/>
      <c r="AX2986" s="5"/>
      <c r="AY2986" s="5"/>
      <c r="AZ2986" s="5"/>
      <c r="BA2986" s="5"/>
      <c r="BB2986" s="5"/>
      <c r="BC2986" s="5"/>
      <c r="BD2986" s="5"/>
      <c r="BE2986" s="5"/>
      <c r="BF2986" s="5"/>
      <c r="BG2986" s="5"/>
      <c r="BH2986" s="5"/>
      <c r="BI2986" s="5"/>
      <c r="BJ2986" s="5"/>
      <c r="BK2986" s="5"/>
      <c r="BL2986" s="5"/>
      <c r="BM2986" s="5"/>
      <c r="BN2986" s="5"/>
      <c r="BO2986" s="5"/>
      <c r="BP2986" s="5"/>
      <c r="BQ2986" s="5"/>
      <c r="BR2986" s="5"/>
      <c r="BS2986" s="5"/>
      <c r="BT2986" s="5"/>
      <c r="BU2986" s="5"/>
      <c r="BV2986" s="5"/>
      <c r="BW2986" s="5"/>
      <c r="BX2986" s="5"/>
      <c r="BY2986" s="5"/>
      <c r="BZ2986" s="5"/>
      <c r="CA2986" s="5"/>
    </row>
    <row r="2987" spans="1:79" s="400" customFormat="1" ht="15" customHeight="1">
      <c r="A2987" s="404" t="s">
        <v>4668</v>
      </c>
      <c r="B2987" s="402" t="s">
        <v>4856</v>
      </c>
      <c r="C2987" s="113" t="s">
        <v>4856</v>
      </c>
      <c r="D2987" s="393" t="s">
        <v>41</v>
      </c>
      <c r="E2987" s="394" t="s">
        <v>4857</v>
      </c>
      <c r="F2987" s="402"/>
      <c r="G2987" s="405" t="s">
        <v>4858</v>
      </c>
      <c r="H2987" s="404">
        <v>3471</v>
      </c>
      <c r="I2987" s="402" t="s">
        <v>2</v>
      </c>
      <c r="J2987" s="406"/>
      <c r="K2987" s="403">
        <v>40996</v>
      </c>
      <c r="L2987" s="398" t="s">
        <v>5695</v>
      </c>
      <c r="M2987" s="402"/>
      <c r="N2987" s="402" t="s">
        <v>2</v>
      </c>
      <c r="O2987" s="404">
        <f>5/2</f>
        <v>2.5</v>
      </c>
      <c r="P2987" s="402">
        <v>6.15</v>
      </c>
      <c r="Q2987" s="404">
        <v>7.68</v>
      </c>
      <c r="R2987" s="402">
        <v>150</v>
      </c>
      <c r="S2987" s="404">
        <v>240</v>
      </c>
      <c r="T2987" s="402">
        <f>0.1/2</f>
        <v>0.05</v>
      </c>
      <c r="U2987" s="395">
        <v>2.6</v>
      </c>
      <c r="V2987" s="402">
        <v>1.3</v>
      </c>
      <c r="W2987" s="404">
        <v>6.8000000000000005E-2</v>
      </c>
      <c r="X2987" s="402">
        <v>0.61</v>
      </c>
      <c r="Y2987" s="404">
        <v>3.3000000000000002E-2</v>
      </c>
      <c r="Z2987" s="397">
        <v>1</v>
      </c>
      <c r="AA2987" s="399">
        <v>1</v>
      </c>
      <c r="AB2987" s="394">
        <v>48</v>
      </c>
      <c r="AC2987" s="402">
        <v>132</v>
      </c>
      <c r="AD2987" s="399">
        <v>1</v>
      </c>
      <c r="AE2987" s="402"/>
      <c r="AF2987" s="391"/>
      <c r="AG2987" s="394"/>
      <c r="AH2987" s="394"/>
      <c r="AI2987" s="394"/>
      <c r="AJ2987" s="394"/>
      <c r="AK2987" s="394"/>
      <c r="AL2987" s="394"/>
      <c r="AM2987" s="394"/>
      <c r="AN2987" s="394"/>
      <c r="AO2987" s="394"/>
      <c r="AP2987" s="394"/>
      <c r="AQ2987" s="394"/>
      <c r="AR2987" s="394"/>
      <c r="AS2987" s="402"/>
      <c r="AT2987" s="404"/>
      <c r="AU2987" s="394"/>
      <c r="AV2987" s="394"/>
      <c r="AW2987" s="394"/>
      <c r="AX2987" s="5"/>
      <c r="AY2987" s="5"/>
      <c r="AZ2987" s="5"/>
      <c r="BA2987" s="5"/>
      <c r="BB2987" s="5"/>
      <c r="BC2987" s="5"/>
      <c r="BD2987" s="5"/>
      <c r="BE2987" s="5"/>
      <c r="BF2987" s="5"/>
      <c r="BG2987" s="5"/>
      <c r="BH2987" s="5"/>
      <c r="BI2987" s="5"/>
      <c r="BJ2987" s="5"/>
      <c r="BK2987" s="5"/>
      <c r="BL2987" s="5"/>
      <c r="BM2987" s="5"/>
      <c r="BN2987" s="5"/>
      <c r="BO2987" s="5"/>
      <c r="BP2987" s="5"/>
      <c r="BQ2987" s="5"/>
      <c r="BR2987" s="5"/>
      <c r="BS2987" s="5"/>
      <c r="BT2987" s="5"/>
      <c r="BU2987" s="5"/>
      <c r="BV2987" s="5"/>
      <c r="BW2987" s="5"/>
      <c r="BX2987" s="5"/>
      <c r="BY2987" s="5"/>
      <c r="BZ2987" s="5"/>
      <c r="CA2987" s="5"/>
    </row>
    <row r="2988" spans="1:79" s="400" customFormat="1" ht="15" customHeight="1">
      <c r="A2988" s="404" t="s">
        <v>4668</v>
      </c>
      <c r="B2988" s="402" t="s">
        <v>4856</v>
      </c>
      <c r="C2988" s="113" t="s">
        <v>4856</v>
      </c>
      <c r="D2988" s="393" t="s">
        <v>41</v>
      </c>
      <c r="E2988" s="394" t="s">
        <v>4857</v>
      </c>
      <c r="F2988" s="402"/>
      <c r="G2988" s="405" t="s">
        <v>4858</v>
      </c>
      <c r="H2988" s="404">
        <v>3471</v>
      </c>
      <c r="I2988" s="402" t="s">
        <v>2</v>
      </c>
      <c r="J2988" s="406" t="s">
        <v>4859</v>
      </c>
      <c r="K2988" s="403">
        <v>41264</v>
      </c>
      <c r="L2988" s="398">
        <v>41261</v>
      </c>
      <c r="M2988" s="402">
        <f t="shared" si="170"/>
        <v>3</v>
      </c>
      <c r="N2988" s="402" t="s">
        <v>2</v>
      </c>
      <c r="O2988" s="404">
        <f>5/2</f>
        <v>2.5</v>
      </c>
      <c r="P2988" s="402">
        <v>6.43</v>
      </c>
      <c r="Q2988" s="404">
        <v>5.52</v>
      </c>
      <c r="R2988" s="402">
        <v>7.4</v>
      </c>
      <c r="S2988" s="404">
        <v>20</v>
      </c>
      <c r="T2988" s="402">
        <f>0.1/2</f>
        <v>0.05</v>
      </c>
      <c r="U2988" s="395">
        <f>1/2</f>
        <v>0.5</v>
      </c>
      <c r="V2988" s="402">
        <f>0.1/2</f>
        <v>0.05</v>
      </c>
      <c r="W2988" s="404">
        <f>0.04/2</f>
        <v>0.02</v>
      </c>
      <c r="X2988" s="402">
        <v>0.12</v>
      </c>
      <c r="Y2988" s="404">
        <f>0.013/2</f>
        <v>6.4999999999999997E-3</v>
      </c>
      <c r="Z2988" s="397">
        <v>1</v>
      </c>
      <c r="AA2988" s="399">
        <v>0.88200000000000001</v>
      </c>
      <c r="AB2988" s="394">
        <v>2.9</v>
      </c>
      <c r="AC2988" s="402">
        <v>15</v>
      </c>
      <c r="AD2988" s="399">
        <v>0.4</v>
      </c>
      <c r="AE2988" s="402"/>
      <c r="AF2988" s="391"/>
      <c r="AG2988" s="394"/>
      <c r="AH2988" s="394"/>
      <c r="AI2988" s="394"/>
      <c r="AJ2988" s="394"/>
      <c r="AK2988" s="394"/>
      <c r="AL2988" s="394"/>
      <c r="AM2988" s="394"/>
      <c r="AN2988" s="394"/>
      <c r="AO2988" s="394"/>
      <c r="AP2988" s="394"/>
      <c r="AQ2988" s="394"/>
      <c r="AR2988" s="394"/>
      <c r="AS2988" s="402"/>
      <c r="AT2988" s="404"/>
      <c r="AU2988" s="394"/>
      <c r="AV2988" s="394"/>
      <c r="AW2988" s="394"/>
      <c r="AX2988" s="5"/>
      <c r="AY2988" s="5"/>
      <c r="AZ2988" s="5"/>
      <c r="BA2988" s="5"/>
      <c r="BB2988" s="5"/>
      <c r="BC2988" s="5"/>
      <c r="BD2988" s="5"/>
      <c r="BE2988" s="5"/>
      <c r="BF2988" s="5"/>
      <c r="BG2988" s="5"/>
      <c r="BH2988" s="5"/>
      <c r="BI2988" s="5"/>
      <c r="BJ2988" s="5"/>
      <c r="BK2988" s="5"/>
      <c r="BL2988" s="5"/>
      <c r="BM2988" s="5"/>
      <c r="BN2988" s="5"/>
      <c r="BO2988" s="5"/>
      <c r="BP2988" s="5"/>
      <c r="BQ2988" s="5"/>
      <c r="BR2988" s="5"/>
      <c r="BS2988" s="5"/>
      <c r="BT2988" s="5"/>
      <c r="BU2988" s="5"/>
      <c r="BV2988" s="5"/>
      <c r="BW2988" s="5"/>
      <c r="BX2988" s="5"/>
      <c r="BY2988" s="5"/>
      <c r="BZ2988" s="5"/>
      <c r="CA2988" s="5"/>
    </row>
    <row r="2989" spans="1:79" s="400" customFormat="1" ht="15" customHeight="1">
      <c r="A2989" s="404" t="s">
        <v>4668</v>
      </c>
      <c r="B2989" s="402" t="s">
        <v>4856</v>
      </c>
      <c r="C2989" s="113" t="s">
        <v>4856</v>
      </c>
      <c r="D2989" s="393" t="s">
        <v>41</v>
      </c>
      <c r="E2989" s="394" t="s">
        <v>4857</v>
      </c>
      <c r="F2989" s="402"/>
      <c r="G2989" s="405" t="s">
        <v>4858</v>
      </c>
      <c r="H2989" s="404">
        <v>3471</v>
      </c>
      <c r="I2989" s="402" t="s">
        <v>2</v>
      </c>
      <c r="J2989" s="406" t="s">
        <v>5696</v>
      </c>
      <c r="K2989" s="403">
        <v>41264</v>
      </c>
      <c r="L2989" s="398">
        <v>41261</v>
      </c>
      <c r="M2989" s="402">
        <f t="shared" si="170"/>
        <v>3</v>
      </c>
      <c r="N2989" s="402" t="s">
        <v>2</v>
      </c>
      <c r="O2989" s="404">
        <f>5/2</f>
        <v>2.5</v>
      </c>
      <c r="P2989" s="402">
        <v>6.09</v>
      </c>
      <c r="Q2989" s="404">
        <v>4.41</v>
      </c>
      <c r="R2989" s="402">
        <v>20</v>
      </c>
      <c r="S2989" s="404">
        <f>5/2</f>
        <v>2.5</v>
      </c>
      <c r="T2989" s="402">
        <f>0.1/2</f>
        <v>0.05</v>
      </c>
      <c r="U2989" s="395">
        <f>1/2</f>
        <v>0.5</v>
      </c>
      <c r="V2989" s="402">
        <f>0.1/2</f>
        <v>0.05</v>
      </c>
      <c r="W2989" s="404">
        <f>0.04/2</f>
        <v>0.02</v>
      </c>
      <c r="X2989" s="402">
        <v>0.1</v>
      </c>
      <c r="Y2989" s="404">
        <f>0.013/2</f>
        <v>6.4999999999999997E-3</v>
      </c>
      <c r="Z2989" s="397">
        <v>1</v>
      </c>
      <c r="AA2989" s="399">
        <v>0.84099999999999997</v>
      </c>
      <c r="AB2989" s="394">
        <v>3</v>
      </c>
      <c r="AC2989" s="402">
        <v>30</v>
      </c>
      <c r="AD2989" s="399">
        <v>0.4</v>
      </c>
      <c r="AE2989" s="402"/>
      <c r="AF2989" s="391"/>
      <c r="AG2989" s="394"/>
      <c r="AH2989" s="394"/>
      <c r="AI2989" s="394"/>
      <c r="AJ2989" s="394"/>
      <c r="AK2989" s="394"/>
      <c r="AL2989" s="394"/>
      <c r="AM2989" s="394"/>
      <c r="AN2989" s="394"/>
      <c r="AO2989" s="394"/>
      <c r="AP2989" s="394"/>
      <c r="AQ2989" s="394"/>
      <c r="AR2989" s="394"/>
      <c r="AS2989" s="402"/>
      <c r="AT2989" s="404"/>
      <c r="AU2989" s="394"/>
      <c r="AV2989" s="394"/>
      <c r="AW2989" s="394"/>
      <c r="AX2989" s="5"/>
      <c r="AY2989" s="5"/>
      <c r="AZ2989" s="5"/>
      <c r="BA2989" s="5"/>
      <c r="BB2989" s="5"/>
      <c r="BC2989" s="5"/>
      <c r="BD2989" s="5"/>
      <c r="BE2989" s="5"/>
      <c r="BF2989" s="5"/>
      <c r="BG2989" s="5"/>
      <c r="BH2989" s="5"/>
      <c r="BI2989" s="5"/>
      <c r="BJ2989" s="5"/>
      <c r="BK2989" s="5"/>
      <c r="BL2989" s="5"/>
      <c r="BM2989" s="5"/>
      <c r="BN2989" s="5"/>
      <c r="BO2989" s="5"/>
      <c r="BP2989" s="5"/>
      <c r="BQ2989" s="5"/>
      <c r="BR2989" s="5"/>
      <c r="BS2989" s="5"/>
      <c r="BT2989" s="5"/>
      <c r="BU2989" s="5"/>
      <c r="BV2989" s="5"/>
      <c r="BW2989" s="5"/>
      <c r="BX2989" s="5"/>
      <c r="BY2989" s="5"/>
      <c r="BZ2989" s="5"/>
      <c r="CA2989" s="5"/>
    </row>
    <row r="2990" spans="1:79" s="400" customFormat="1" ht="15" customHeight="1">
      <c r="A2990" s="404" t="s">
        <v>4668</v>
      </c>
      <c r="B2990" s="402" t="s">
        <v>355</v>
      </c>
      <c r="C2990" s="113" t="s">
        <v>355</v>
      </c>
      <c r="D2990" s="393" t="s">
        <v>356</v>
      </c>
      <c r="E2990" s="394" t="s">
        <v>359</v>
      </c>
      <c r="F2990" s="402"/>
      <c r="G2990" s="405" t="s">
        <v>358</v>
      </c>
      <c r="H2990" s="404">
        <v>3479</v>
      </c>
      <c r="I2990" s="402" t="s">
        <v>2</v>
      </c>
      <c r="J2990" s="406" t="s">
        <v>357</v>
      </c>
      <c r="K2990" s="403">
        <v>41514</v>
      </c>
      <c r="L2990" s="398" t="s">
        <v>5380</v>
      </c>
      <c r="M2990" s="402"/>
      <c r="N2990" s="402" t="s">
        <v>2</v>
      </c>
      <c r="O2990" s="404">
        <f>1.4/2</f>
        <v>0.7</v>
      </c>
      <c r="P2990" s="402">
        <v>4.68</v>
      </c>
      <c r="Q2990" s="404">
        <v>4.71</v>
      </c>
      <c r="R2990" s="402">
        <v>41</v>
      </c>
      <c r="S2990" s="404">
        <v>20</v>
      </c>
      <c r="T2990" s="402">
        <v>7.0000000000000007E-2</v>
      </c>
      <c r="U2990" s="395">
        <v>1.82</v>
      </c>
      <c r="V2990" s="402">
        <v>0.5</v>
      </c>
      <c r="W2990" s="404">
        <v>4.8000000000000001E-2</v>
      </c>
      <c r="X2990" s="402">
        <v>0.16900000000000001</v>
      </c>
      <c r="Y2990" s="404">
        <f>0.002/2</f>
        <v>1E-3</v>
      </c>
      <c r="Z2990" s="397">
        <v>0.27900000000000003</v>
      </c>
      <c r="AA2990" s="399">
        <v>0.218</v>
      </c>
      <c r="AB2990" s="394">
        <v>10</v>
      </c>
      <c r="AC2990" s="402">
        <v>21</v>
      </c>
      <c r="AD2990" s="399">
        <v>0</v>
      </c>
      <c r="AE2990" s="402"/>
      <c r="AF2990" s="391"/>
      <c r="AG2990" s="394"/>
      <c r="AH2990" s="394"/>
      <c r="AI2990" s="394"/>
      <c r="AJ2990" s="394"/>
      <c r="AK2990" s="394"/>
      <c r="AL2990" s="394"/>
      <c r="AM2990" s="394"/>
      <c r="AN2990" s="394"/>
      <c r="AO2990" s="394"/>
      <c r="AP2990" s="394"/>
      <c r="AQ2990" s="394"/>
      <c r="AR2990" s="394"/>
      <c r="AS2990" s="402"/>
      <c r="AT2990" s="404"/>
      <c r="AU2990" s="394"/>
      <c r="AV2990" s="394"/>
      <c r="AW2990" s="394"/>
      <c r="AX2990" s="5"/>
      <c r="AY2990" s="5"/>
      <c r="AZ2990" s="5"/>
      <c r="BA2990" s="5"/>
      <c r="BB2990" s="5"/>
      <c r="BC2990" s="5"/>
      <c r="BD2990" s="5"/>
      <c r="BE2990" s="5"/>
      <c r="BF2990" s="5"/>
      <c r="BG2990" s="5"/>
      <c r="BH2990" s="5"/>
      <c r="BI2990" s="5"/>
      <c r="BJ2990" s="5"/>
      <c r="BK2990" s="5"/>
      <c r="BL2990" s="5"/>
      <c r="BM2990" s="5"/>
      <c r="BN2990" s="5"/>
      <c r="BO2990" s="5"/>
      <c r="BP2990" s="5"/>
      <c r="BQ2990" s="5"/>
      <c r="BR2990" s="5"/>
      <c r="BS2990" s="5"/>
      <c r="BT2990" s="5"/>
      <c r="BU2990" s="5"/>
      <c r="BV2990" s="5"/>
      <c r="BW2990" s="5"/>
      <c r="BX2990" s="5"/>
      <c r="BY2990" s="5"/>
      <c r="BZ2990" s="5"/>
      <c r="CA2990" s="5"/>
    </row>
    <row r="2991" spans="1:79" s="400" customFormat="1" ht="15" customHeight="1">
      <c r="A2991" s="404" t="s">
        <v>4668</v>
      </c>
      <c r="B2991" s="402" t="s">
        <v>355</v>
      </c>
      <c r="C2991" s="113" t="s">
        <v>355</v>
      </c>
      <c r="D2991" s="393" t="s">
        <v>356</v>
      </c>
      <c r="E2991" s="394" t="s">
        <v>359</v>
      </c>
      <c r="F2991" s="402"/>
      <c r="G2991" s="405" t="s">
        <v>358</v>
      </c>
      <c r="H2991" s="404">
        <v>3479</v>
      </c>
      <c r="I2991" s="402" t="s">
        <v>2</v>
      </c>
      <c r="J2991" s="406" t="s">
        <v>360</v>
      </c>
      <c r="K2991" s="403">
        <v>41514</v>
      </c>
      <c r="L2991" s="398" t="s">
        <v>5380</v>
      </c>
      <c r="M2991" s="402"/>
      <c r="N2991" s="402" t="s">
        <v>2</v>
      </c>
      <c r="O2991" s="404">
        <f>1.4/2</f>
        <v>0.7</v>
      </c>
      <c r="P2991" s="402">
        <v>4.37</v>
      </c>
      <c r="Q2991" s="404">
        <v>4.54</v>
      </c>
      <c r="R2991" s="402">
        <v>28</v>
      </c>
      <c r="S2991" s="404">
        <v>8</v>
      </c>
      <c r="T2991" s="402">
        <v>0.06</v>
      </c>
      <c r="U2991" s="395">
        <v>1.18</v>
      </c>
      <c r="V2991" s="402">
        <v>0.42</v>
      </c>
      <c r="W2991" s="404">
        <f>0.005/2</f>
        <v>2.5000000000000001E-3</v>
      </c>
      <c r="X2991" s="402">
        <v>5.0999999999999997E-2</v>
      </c>
      <c r="Y2991" s="404">
        <f>0.002/2</f>
        <v>1E-3</v>
      </c>
      <c r="Z2991" s="397">
        <v>0.70699999999999996</v>
      </c>
      <c r="AA2991" s="399">
        <v>0.70699999999999996</v>
      </c>
      <c r="AB2991" s="394">
        <v>6</v>
      </c>
      <c r="AC2991" s="402">
        <v>19</v>
      </c>
      <c r="AD2991" s="399">
        <v>0</v>
      </c>
      <c r="AE2991" s="402"/>
      <c r="AF2991" s="391"/>
      <c r="AG2991" s="394"/>
      <c r="AH2991" s="394"/>
      <c r="AI2991" s="394"/>
      <c r="AJ2991" s="394"/>
      <c r="AK2991" s="394"/>
      <c r="AL2991" s="394"/>
      <c r="AM2991" s="394"/>
      <c r="AN2991" s="394"/>
      <c r="AO2991" s="394"/>
      <c r="AP2991" s="394"/>
      <c r="AQ2991" s="394"/>
      <c r="AR2991" s="394"/>
      <c r="AS2991" s="402"/>
      <c r="AT2991" s="404"/>
      <c r="AU2991" s="394"/>
      <c r="AV2991" s="394"/>
      <c r="AW2991" s="394"/>
      <c r="AX2991" s="5"/>
      <c r="AY2991" s="5"/>
      <c r="AZ2991" s="5"/>
      <c r="BA2991" s="5"/>
      <c r="BB2991" s="5"/>
      <c r="BC2991" s="5"/>
      <c r="BD2991" s="5"/>
      <c r="BE2991" s="5"/>
      <c r="BF2991" s="5"/>
      <c r="BG2991" s="5"/>
      <c r="BH2991" s="5"/>
      <c r="BI2991" s="5"/>
      <c r="BJ2991" s="5"/>
      <c r="BK2991" s="5"/>
      <c r="BL2991" s="5"/>
      <c r="BM2991" s="5"/>
      <c r="BN2991" s="5"/>
      <c r="BO2991" s="5"/>
      <c r="BP2991" s="5"/>
      <c r="BQ2991" s="5"/>
      <c r="BR2991" s="5"/>
      <c r="BS2991" s="5"/>
      <c r="BT2991" s="5"/>
      <c r="BU2991" s="5"/>
      <c r="BV2991" s="5"/>
      <c r="BW2991" s="5"/>
      <c r="BX2991" s="5"/>
      <c r="BY2991" s="5"/>
      <c r="BZ2991" s="5"/>
      <c r="CA2991" s="5"/>
    </row>
    <row r="2992" spans="1:79" s="400" customFormat="1" ht="15" customHeight="1">
      <c r="A2992" s="404" t="s">
        <v>4668</v>
      </c>
      <c r="B2992" s="402" t="s">
        <v>355</v>
      </c>
      <c r="C2992" s="113" t="s">
        <v>355</v>
      </c>
      <c r="D2992" s="393" t="s">
        <v>356</v>
      </c>
      <c r="E2992" s="394" t="s">
        <v>359</v>
      </c>
      <c r="F2992" s="402"/>
      <c r="G2992" s="405" t="s">
        <v>358</v>
      </c>
      <c r="H2992" s="404">
        <v>3479</v>
      </c>
      <c r="I2992" s="402" t="s">
        <v>2</v>
      </c>
      <c r="J2992" s="406" t="s">
        <v>361</v>
      </c>
      <c r="K2992" s="403">
        <v>41514</v>
      </c>
      <c r="L2992" s="398" t="s">
        <v>5380</v>
      </c>
      <c r="M2992" s="402"/>
      <c r="N2992" s="402" t="s">
        <v>2</v>
      </c>
      <c r="O2992" s="404">
        <f>1.4/2</f>
        <v>0.7</v>
      </c>
      <c r="P2992" s="402">
        <v>4.45</v>
      </c>
      <c r="Q2992" s="404">
        <v>4.42</v>
      </c>
      <c r="R2992" s="402">
        <v>21</v>
      </c>
      <c r="S2992" s="404">
        <v>5</v>
      </c>
      <c r="T2992" s="402">
        <v>0.04</v>
      </c>
      <c r="U2992" s="395">
        <v>2.2599999999999998</v>
      </c>
      <c r="V2992" s="402">
        <v>0.43</v>
      </c>
      <c r="W2992" s="404">
        <f>0.005/2</f>
        <v>2.5000000000000001E-3</v>
      </c>
      <c r="X2992" s="402">
        <v>2.1000000000000001E-2</v>
      </c>
      <c r="Y2992" s="404">
        <f>0.002/2</f>
        <v>1E-3</v>
      </c>
      <c r="Z2992" s="397">
        <v>0.70699999999999996</v>
      </c>
      <c r="AA2992" s="399">
        <v>0.70699999999999996</v>
      </c>
      <c r="AB2992" s="394">
        <f>5/2</f>
        <v>2.5</v>
      </c>
      <c r="AC2992" s="402">
        <v>18</v>
      </c>
      <c r="AD2992" s="399">
        <v>0</v>
      </c>
      <c r="AE2992" s="402"/>
      <c r="AF2992" s="391"/>
      <c r="AG2992" s="394"/>
      <c r="AH2992" s="394"/>
      <c r="AI2992" s="394"/>
      <c r="AJ2992" s="394"/>
      <c r="AK2992" s="394"/>
      <c r="AL2992" s="394"/>
      <c r="AM2992" s="394"/>
      <c r="AN2992" s="394"/>
      <c r="AO2992" s="394"/>
      <c r="AP2992" s="394"/>
      <c r="AQ2992" s="394"/>
      <c r="AR2992" s="394"/>
      <c r="AS2992" s="402"/>
      <c r="AT2992" s="404"/>
      <c r="AU2992" s="394"/>
      <c r="AV2992" s="394"/>
      <c r="AW2992" s="394"/>
      <c r="AX2992" s="5"/>
      <c r="AY2992" s="5"/>
      <c r="AZ2992" s="5"/>
      <c r="BA2992" s="5"/>
      <c r="BB2992" s="5"/>
      <c r="BC2992" s="5"/>
      <c r="BD2992" s="5"/>
      <c r="BE2992" s="5"/>
      <c r="BF2992" s="5"/>
      <c r="BG2992" s="5"/>
      <c r="BH2992" s="5"/>
      <c r="BI2992" s="5"/>
      <c r="BJ2992" s="5"/>
      <c r="BK2992" s="5"/>
      <c r="BL2992" s="5"/>
      <c r="BM2992" s="5"/>
      <c r="BN2992" s="5"/>
      <c r="BO2992" s="5"/>
      <c r="BP2992" s="5"/>
      <c r="BQ2992" s="5"/>
      <c r="BR2992" s="5"/>
      <c r="BS2992" s="5"/>
      <c r="BT2992" s="5"/>
      <c r="BU2992" s="5"/>
      <c r="BV2992" s="5"/>
      <c r="BW2992" s="5"/>
      <c r="BX2992" s="5"/>
      <c r="BY2992" s="5"/>
      <c r="BZ2992" s="5"/>
      <c r="CA2992" s="5"/>
    </row>
    <row r="2993" spans="1:79" s="400" customFormat="1" ht="15" customHeight="1">
      <c r="A2993" s="404" t="s">
        <v>4668</v>
      </c>
      <c r="B2993" s="402" t="s">
        <v>2544</v>
      </c>
      <c r="C2993" s="113" t="s">
        <v>1823</v>
      </c>
      <c r="D2993" s="393" t="s">
        <v>827</v>
      </c>
      <c r="E2993" s="394" t="s">
        <v>1824</v>
      </c>
      <c r="F2993" s="402"/>
      <c r="G2993" s="405" t="s">
        <v>1795</v>
      </c>
      <c r="H2993" s="404">
        <v>3691</v>
      </c>
      <c r="I2993" s="402" t="s">
        <v>2</v>
      </c>
      <c r="J2993" s="406" t="s">
        <v>1796</v>
      </c>
      <c r="K2993" s="403">
        <v>41539</v>
      </c>
      <c r="L2993" s="398">
        <v>41529</v>
      </c>
      <c r="M2993" s="402">
        <f t="shared" si="170"/>
        <v>10</v>
      </c>
      <c r="N2993" s="402" t="s">
        <v>2</v>
      </c>
      <c r="O2993" s="404">
        <v>1.5</v>
      </c>
      <c r="P2993" s="402">
        <v>6</v>
      </c>
      <c r="Q2993" s="404"/>
      <c r="R2993" s="402">
        <v>41</v>
      </c>
      <c r="S2993" s="404">
        <v>230</v>
      </c>
      <c r="T2993" s="402">
        <v>0.24</v>
      </c>
      <c r="U2993" s="395">
        <v>2.42</v>
      </c>
      <c r="V2993" s="402"/>
      <c r="W2993" s="404">
        <v>2.4E-2</v>
      </c>
      <c r="X2993" s="402">
        <v>0.32800000000000001</v>
      </c>
      <c r="Y2993" s="404">
        <v>1.0999999999999999E-2</v>
      </c>
      <c r="Z2993" s="397"/>
      <c r="AA2993" s="399"/>
      <c r="AB2993" s="394"/>
      <c r="AC2993" s="402"/>
      <c r="AD2993" s="399"/>
      <c r="AE2993" s="402"/>
      <c r="AF2993" s="391"/>
      <c r="AG2993" s="394"/>
      <c r="AH2993" s="394"/>
      <c r="AI2993" s="394"/>
      <c r="AJ2993" s="394"/>
      <c r="AK2993" s="394"/>
      <c r="AL2993" s="394"/>
      <c r="AM2993" s="394"/>
      <c r="AN2993" s="394"/>
      <c r="AO2993" s="394"/>
      <c r="AP2993" s="394"/>
      <c r="AQ2993" s="394"/>
      <c r="AR2993" s="394"/>
      <c r="AS2993" s="402"/>
      <c r="AT2993" s="404">
        <f>0.0002/2</f>
        <v>1E-4</v>
      </c>
      <c r="AU2993" s="394"/>
      <c r="AV2993" s="394"/>
      <c r="AW2993" s="394"/>
      <c r="AX2993" s="5"/>
      <c r="AY2993" s="5"/>
      <c r="AZ2993" s="5"/>
      <c r="BA2993" s="5"/>
      <c r="BB2993" s="5"/>
      <c r="BC2993" s="5"/>
      <c r="BD2993" s="5"/>
      <c r="BE2993" s="5"/>
      <c r="BF2993" s="5"/>
      <c r="BG2993" s="5"/>
      <c r="BH2993" s="5"/>
      <c r="BI2993" s="5"/>
      <c r="BJ2993" s="5"/>
      <c r="BK2993" s="5"/>
      <c r="BL2993" s="5"/>
      <c r="BM2993" s="5"/>
      <c r="BN2993" s="5"/>
      <c r="BO2993" s="5"/>
      <c r="BP2993" s="5"/>
      <c r="BQ2993" s="5"/>
      <c r="BR2993" s="5"/>
      <c r="BS2993" s="5"/>
      <c r="BT2993" s="5"/>
      <c r="BU2993" s="5"/>
      <c r="BV2993" s="5"/>
      <c r="BW2993" s="5"/>
      <c r="BX2993" s="5"/>
      <c r="BY2993" s="5"/>
      <c r="BZ2993" s="5"/>
      <c r="CA2993" s="5"/>
    </row>
    <row r="2994" spans="1:79" s="400" customFormat="1" ht="15" customHeight="1">
      <c r="A2994" s="404" t="s">
        <v>4668</v>
      </c>
      <c r="B2994" s="402" t="s">
        <v>1082</v>
      </c>
      <c r="C2994" s="113" t="s">
        <v>645</v>
      </c>
      <c r="D2994" s="393" t="s">
        <v>303</v>
      </c>
      <c r="E2994" s="394" t="s">
        <v>645</v>
      </c>
      <c r="F2994" s="402"/>
      <c r="G2994" s="405" t="s">
        <v>1083</v>
      </c>
      <c r="H2994" s="404">
        <v>3469</v>
      </c>
      <c r="I2994" s="402" t="s">
        <v>2</v>
      </c>
      <c r="J2994" s="406" t="s">
        <v>5697</v>
      </c>
      <c r="K2994" s="403">
        <v>41539</v>
      </c>
      <c r="L2994" s="398" t="s">
        <v>3434</v>
      </c>
      <c r="M2994" s="402"/>
      <c r="N2994" s="402" t="s">
        <v>2</v>
      </c>
      <c r="O2994" s="404">
        <f>1/2</f>
        <v>0.5</v>
      </c>
      <c r="P2994" s="402">
        <v>6.79</v>
      </c>
      <c r="Q2994" s="404">
        <v>5.94</v>
      </c>
      <c r="R2994" s="402">
        <f>1/2</f>
        <v>0.5</v>
      </c>
      <c r="S2994" s="404">
        <f>1/2</f>
        <v>0.5</v>
      </c>
      <c r="T2994" s="402">
        <f>0.1/2</f>
        <v>0.05</v>
      </c>
      <c r="U2994" s="395">
        <v>4.62</v>
      </c>
      <c r="V2994" s="402">
        <v>0.17</v>
      </c>
      <c r="W2994" s="404">
        <v>7.0000000000000007E-2</v>
      </c>
      <c r="X2994" s="402">
        <v>0.17</v>
      </c>
      <c r="Y2994" s="404">
        <f>0.05/2</f>
        <v>2.5000000000000001E-2</v>
      </c>
      <c r="Z2994" s="397">
        <v>1</v>
      </c>
      <c r="AA2994" s="399">
        <v>0.89100000000000001</v>
      </c>
      <c r="AB2994" s="394">
        <v>15</v>
      </c>
      <c r="AC2994" s="402">
        <v>6</v>
      </c>
      <c r="AD2994" s="399">
        <v>0.4</v>
      </c>
      <c r="AE2994" s="402"/>
      <c r="AF2994" s="391"/>
      <c r="AG2994" s="394"/>
      <c r="AH2994" s="394"/>
      <c r="AI2994" s="394"/>
      <c r="AJ2994" s="394"/>
      <c r="AK2994" s="394"/>
      <c r="AL2994" s="394"/>
      <c r="AM2994" s="394">
        <f>0.05/2</f>
        <v>2.5000000000000001E-2</v>
      </c>
      <c r="AN2994" s="394">
        <v>0.13</v>
      </c>
      <c r="AO2994" s="394">
        <f>0.05/2</f>
        <v>2.5000000000000001E-2</v>
      </c>
      <c r="AP2994" s="394">
        <f>0.02/2</f>
        <v>0.01</v>
      </c>
      <c r="AQ2994" s="394"/>
      <c r="AR2994" s="394"/>
      <c r="AS2994" s="402"/>
      <c r="AT2994" s="404"/>
      <c r="AU2994" s="394"/>
      <c r="AV2994" s="394"/>
      <c r="AW2994" s="394"/>
      <c r="AX2994" s="5"/>
      <c r="AY2994" s="5"/>
      <c r="AZ2994" s="5"/>
      <c r="BA2994" s="5"/>
      <c r="BB2994" s="5"/>
      <c r="BC2994" s="5"/>
      <c r="BD2994" s="5"/>
      <c r="BE2994" s="5"/>
      <c r="BF2994" s="5"/>
      <c r="BG2994" s="5"/>
      <c r="BH2994" s="5"/>
      <c r="BI2994" s="5"/>
      <c r="BJ2994" s="5"/>
      <c r="BK2994" s="5"/>
      <c r="BL2994" s="5"/>
      <c r="BM2994" s="5"/>
      <c r="BN2994" s="5"/>
      <c r="BO2994" s="5"/>
      <c r="BP2994" s="5"/>
      <c r="BQ2994" s="5"/>
      <c r="BR2994" s="5"/>
      <c r="BS2994" s="5"/>
      <c r="BT2994" s="5"/>
      <c r="BU2994" s="5"/>
      <c r="BV2994" s="5"/>
      <c r="BW2994" s="5"/>
      <c r="BX2994" s="5"/>
      <c r="BY2994" s="5"/>
      <c r="BZ2994" s="5"/>
      <c r="CA2994" s="5"/>
    </row>
    <row r="2995" spans="1:79" s="400" customFormat="1" ht="15" customHeight="1">
      <c r="A2995" s="404" t="s">
        <v>4668</v>
      </c>
      <c r="B2995" s="402" t="s">
        <v>1082</v>
      </c>
      <c r="C2995" s="113" t="s">
        <v>645</v>
      </c>
      <c r="D2995" s="393" t="s">
        <v>303</v>
      </c>
      <c r="E2995" s="394" t="s">
        <v>645</v>
      </c>
      <c r="F2995" s="402"/>
      <c r="G2995" s="405" t="s">
        <v>1083</v>
      </c>
      <c r="H2995" s="404">
        <v>3469</v>
      </c>
      <c r="I2995" s="402" t="s">
        <v>2</v>
      </c>
      <c r="J2995" s="406" t="s">
        <v>5698</v>
      </c>
      <c r="K2995" s="403">
        <v>41539</v>
      </c>
      <c r="L2995" s="398" t="s">
        <v>5699</v>
      </c>
      <c r="M2995" s="402"/>
      <c r="N2995" s="402" t="s">
        <v>2</v>
      </c>
      <c r="O2995" s="404">
        <v>1.4</v>
      </c>
      <c r="P2995" s="402">
        <v>6.87</v>
      </c>
      <c r="Q2995" s="404">
        <v>6.39</v>
      </c>
      <c r="R2995" s="402">
        <v>23</v>
      </c>
      <c r="S2995" s="404">
        <v>8</v>
      </c>
      <c r="T2995" s="402">
        <v>0.1</v>
      </c>
      <c r="U2995" s="395">
        <v>3.5</v>
      </c>
      <c r="V2995" s="402">
        <v>0.17</v>
      </c>
      <c r="W2995" s="404">
        <v>0.08</v>
      </c>
      <c r="X2995" s="402">
        <v>0.13</v>
      </c>
      <c r="Y2995" s="404">
        <f>0.05/2</f>
        <v>2.5000000000000001E-2</v>
      </c>
      <c r="Z2995" s="397">
        <v>1</v>
      </c>
      <c r="AA2995" s="399">
        <v>1</v>
      </c>
      <c r="AB2995" s="394">
        <v>10</v>
      </c>
      <c r="AC2995" s="402">
        <v>13</v>
      </c>
      <c r="AD2995" s="399">
        <v>1</v>
      </c>
      <c r="AE2995" s="402"/>
      <c r="AF2995" s="391"/>
      <c r="AG2995" s="394"/>
      <c r="AH2995" s="394"/>
      <c r="AI2995" s="394"/>
      <c r="AJ2995" s="394"/>
      <c r="AK2995" s="394"/>
      <c r="AL2995" s="394"/>
      <c r="AM2995" s="394">
        <f>0.05/2</f>
        <v>2.5000000000000001E-2</v>
      </c>
      <c r="AN2995" s="394">
        <v>0.46</v>
      </c>
      <c r="AO2995" s="394">
        <f>0.05/2</f>
        <v>2.5000000000000001E-2</v>
      </c>
      <c r="AP2995" s="394">
        <f>0.02/2</f>
        <v>0.01</v>
      </c>
      <c r="AQ2995" s="394"/>
      <c r="AR2995" s="394"/>
      <c r="AS2995" s="402"/>
      <c r="AT2995" s="404"/>
      <c r="AU2995" s="394"/>
      <c r="AV2995" s="394"/>
      <c r="AW2995" s="394"/>
      <c r="AX2995" s="5"/>
      <c r="AY2995" s="5"/>
      <c r="AZ2995" s="5"/>
      <c r="BA2995" s="5"/>
      <c r="BB2995" s="5"/>
      <c r="BC2995" s="5"/>
      <c r="BD2995" s="5"/>
      <c r="BE2995" s="5"/>
      <c r="BF2995" s="5"/>
      <c r="BG2995" s="5"/>
      <c r="BH2995" s="5"/>
      <c r="BI2995" s="5"/>
      <c r="BJ2995" s="5"/>
      <c r="BK2995" s="5"/>
      <c r="BL2995" s="5"/>
      <c r="BM2995" s="5"/>
      <c r="BN2995" s="5"/>
      <c r="BO2995" s="5"/>
      <c r="BP2995" s="5"/>
      <c r="BQ2995" s="5"/>
      <c r="BR2995" s="5"/>
      <c r="BS2995" s="5"/>
      <c r="BT2995" s="5"/>
      <c r="BU2995" s="5"/>
      <c r="BV2995" s="5"/>
      <c r="BW2995" s="5"/>
      <c r="BX2995" s="5"/>
      <c r="BY2995" s="5"/>
      <c r="BZ2995" s="5"/>
      <c r="CA2995" s="5"/>
    </row>
    <row r="2996" spans="1:79" s="400" customFormat="1" ht="15" customHeight="1">
      <c r="A2996" s="404" t="s">
        <v>4668</v>
      </c>
      <c r="B2996" s="402" t="s">
        <v>212</v>
      </c>
      <c r="C2996" s="113" t="s">
        <v>212</v>
      </c>
      <c r="D2996" s="393" t="s">
        <v>213</v>
      </c>
      <c r="E2996" s="394" t="s">
        <v>214</v>
      </c>
      <c r="F2996" s="402"/>
      <c r="G2996" s="405" t="s">
        <v>215</v>
      </c>
      <c r="H2996" s="404">
        <v>3442</v>
      </c>
      <c r="I2996" s="402" t="s">
        <v>2</v>
      </c>
      <c r="J2996" s="406" t="s">
        <v>5700</v>
      </c>
      <c r="K2996" s="403">
        <v>41184</v>
      </c>
      <c r="L2996" s="398">
        <v>41180</v>
      </c>
      <c r="M2996" s="402">
        <f t="shared" ref="M2996:M3005" si="171">K2996-L2996</f>
        <v>4</v>
      </c>
      <c r="N2996" s="402" t="s">
        <v>2</v>
      </c>
      <c r="O2996" s="404">
        <f>1.6/2</f>
        <v>0.8</v>
      </c>
      <c r="P2996" s="402"/>
      <c r="Q2996" s="404">
        <v>6.6</v>
      </c>
      <c r="R2996" s="402">
        <v>440</v>
      </c>
      <c r="S2996" s="404">
        <v>90.8</v>
      </c>
      <c r="T2996" s="402">
        <v>0.45600000000000002</v>
      </c>
      <c r="U2996" s="395">
        <v>14</v>
      </c>
      <c r="V2996" s="402">
        <f>0.46/2</f>
        <v>0.23</v>
      </c>
      <c r="W2996" s="404">
        <v>1.2E-2</v>
      </c>
      <c r="X2996" s="402">
        <v>0.20499999999999999</v>
      </c>
      <c r="Y2996" s="404">
        <f>0.005/2</f>
        <v>2.5000000000000001E-3</v>
      </c>
      <c r="Z2996" s="397">
        <v>1</v>
      </c>
      <c r="AA2996" s="399">
        <v>1</v>
      </c>
      <c r="AB2996" s="394">
        <v>104</v>
      </c>
      <c r="AC2996" s="402">
        <v>261</v>
      </c>
      <c r="AD2996" s="399">
        <v>1</v>
      </c>
      <c r="AE2996" s="402"/>
      <c r="AF2996" s="391"/>
      <c r="AG2996" s="394"/>
      <c r="AH2996" s="394"/>
      <c r="AI2996" s="394"/>
      <c r="AJ2996" s="394"/>
      <c r="AK2996" s="394"/>
      <c r="AL2996" s="394"/>
      <c r="AM2996" s="394"/>
      <c r="AN2996" s="394"/>
      <c r="AO2996" s="394"/>
      <c r="AP2996" s="394"/>
      <c r="AQ2996" s="394"/>
      <c r="AR2996" s="394"/>
      <c r="AS2996" s="402"/>
      <c r="AT2996" s="404"/>
      <c r="AU2996" s="394"/>
      <c r="AV2996" s="394"/>
      <c r="AW2996" s="394"/>
      <c r="AX2996" s="5"/>
      <c r="AY2996" s="5"/>
      <c r="AZ2996" s="5"/>
      <c r="BA2996" s="5"/>
      <c r="BB2996" s="5"/>
      <c r="BC2996" s="5"/>
      <c r="BD2996" s="5"/>
      <c r="BE2996" s="5"/>
      <c r="BF2996" s="5"/>
      <c r="BG2996" s="5"/>
      <c r="BH2996" s="5"/>
      <c r="BI2996" s="5"/>
      <c r="BJ2996" s="5"/>
      <c r="BK2996" s="5"/>
      <c r="BL2996" s="5"/>
      <c r="BM2996" s="5"/>
      <c r="BN2996" s="5"/>
      <c r="BO2996" s="5"/>
      <c r="BP2996" s="5"/>
      <c r="BQ2996" s="5"/>
      <c r="BR2996" s="5"/>
      <c r="BS2996" s="5"/>
      <c r="BT2996" s="5"/>
      <c r="BU2996" s="5"/>
      <c r="BV2996" s="5"/>
      <c r="BW2996" s="5"/>
      <c r="BX2996" s="5"/>
      <c r="BY2996" s="5"/>
      <c r="BZ2996" s="5"/>
      <c r="CA2996" s="5"/>
    </row>
    <row r="2997" spans="1:79" s="400" customFormat="1" ht="15" customHeight="1">
      <c r="A2997" s="404" t="s">
        <v>4668</v>
      </c>
      <c r="B2997" s="402" t="s">
        <v>212</v>
      </c>
      <c r="C2997" s="113" t="s">
        <v>212</v>
      </c>
      <c r="D2997" s="393" t="s">
        <v>213</v>
      </c>
      <c r="E2997" s="394" t="s">
        <v>214</v>
      </c>
      <c r="F2997" s="402"/>
      <c r="G2997" s="405" t="s">
        <v>215</v>
      </c>
      <c r="H2997" s="404">
        <v>3442</v>
      </c>
      <c r="I2997" s="402" t="s">
        <v>2</v>
      </c>
      <c r="J2997" s="406" t="s">
        <v>5701</v>
      </c>
      <c r="K2997" s="403">
        <v>41184</v>
      </c>
      <c r="L2997" s="398">
        <v>41180</v>
      </c>
      <c r="M2997" s="402">
        <f t="shared" si="171"/>
        <v>4</v>
      </c>
      <c r="N2997" s="402" t="s">
        <v>2</v>
      </c>
      <c r="O2997" s="404">
        <f>1.9/2</f>
        <v>0.95</v>
      </c>
      <c r="P2997" s="402"/>
      <c r="Q2997" s="404">
        <v>4.5999999999999996</v>
      </c>
      <c r="R2997" s="402">
        <v>41</v>
      </c>
      <c r="S2997" s="404">
        <v>3.8</v>
      </c>
      <c r="T2997" s="402">
        <v>0.03</v>
      </c>
      <c r="U2997" s="395">
        <v>1.6</v>
      </c>
      <c r="V2997" s="402">
        <f>0.005/2</f>
        <v>2.5000000000000001E-3</v>
      </c>
      <c r="W2997" s="404">
        <v>7.0000000000000001E-3</v>
      </c>
      <c r="X2997" s="402">
        <v>0.317</v>
      </c>
      <c r="Y2997" s="404">
        <f>0.005/2</f>
        <v>2.5000000000000001E-3</v>
      </c>
      <c r="Z2997" s="397">
        <v>0.70699999999999996</v>
      </c>
      <c r="AA2997" s="399">
        <v>0.57499999999999996</v>
      </c>
      <c r="AB2997" s="394">
        <v>10</v>
      </c>
      <c r="AC2997" s="402">
        <v>26</v>
      </c>
      <c r="AD2997" s="399">
        <v>0.25</v>
      </c>
      <c r="AE2997" s="402"/>
      <c r="AF2997" s="391"/>
      <c r="AG2997" s="394"/>
      <c r="AH2997" s="394"/>
      <c r="AI2997" s="394"/>
      <c r="AJ2997" s="394"/>
      <c r="AK2997" s="394"/>
      <c r="AL2997" s="394"/>
      <c r="AM2997" s="394"/>
      <c r="AN2997" s="394"/>
      <c r="AO2997" s="394"/>
      <c r="AP2997" s="394"/>
      <c r="AQ2997" s="394"/>
      <c r="AR2997" s="394"/>
      <c r="AS2997" s="402"/>
      <c r="AT2997" s="404"/>
      <c r="AU2997" s="394"/>
      <c r="AV2997" s="394"/>
      <c r="AW2997" s="394"/>
      <c r="AX2997" s="5"/>
      <c r="AY2997" s="5"/>
      <c r="AZ2997" s="5"/>
      <c r="BA2997" s="5"/>
      <c r="BB2997" s="5"/>
      <c r="BC2997" s="5"/>
      <c r="BD2997" s="5"/>
      <c r="BE2997" s="5"/>
      <c r="BF2997" s="5"/>
      <c r="BG2997" s="5"/>
      <c r="BH2997" s="5"/>
      <c r="BI2997" s="5"/>
      <c r="BJ2997" s="5"/>
      <c r="BK2997" s="5"/>
      <c r="BL2997" s="5"/>
      <c r="BM2997" s="5"/>
      <c r="BN2997" s="5"/>
      <c r="BO2997" s="5"/>
      <c r="BP2997" s="5"/>
      <c r="BQ2997" s="5"/>
      <c r="BR2997" s="5"/>
      <c r="BS2997" s="5"/>
      <c r="BT2997" s="5"/>
      <c r="BU2997" s="5"/>
      <c r="BV2997" s="5"/>
      <c r="BW2997" s="5"/>
      <c r="BX2997" s="5"/>
      <c r="BY2997" s="5"/>
      <c r="BZ2997" s="5"/>
      <c r="CA2997" s="5"/>
    </row>
    <row r="2998" spans="1:79" s="400" customFormat="1" ht="15" customHeight="1">
      <c r="A2998" s="404" t="s">
        <v>4668</v>
      </c>
      <c r="B2998" s="402" t="s">
        <v>212</v>
      </c>
      <c r="C2998" s="113" t="s">
        <v>212</v>
      </c>
      <c r="D2998" s="393" t="s">
        <v>213</v>
      </c>
      <c r="E2998" s="394" t="s">
        <v>214</v>
      </c>
      <c r="F2998" s="402"/>
      <c r="G2998" s="405" t="s">
        <v>215</v>
      </c>
      <c r="H2998" s="404">
        <v>3442</v>
      </c>
      <c r="I2998" s="402" t="s">
        <v>2</v>
      </c>
      <c r="J2998" s="406" t="s">
        <v>219</v>
      </c>
      <c r="K2998" s="403">
        <v>41184</v>
      </c>
      <c r="L2998" s="398">
        <v>41180</v>
      </c>
      <c r="M2998" s="402">
        <f t="shared" si="171"/>
        <v>4</v>
      </c>
      <c r="N2998" s="402" t="s">
        <v>2</v>
      </c>
      <c r="O2998" s="404">
        <f>1.6/2</f>
        <v>0.8</v>
      </c>
      <c r="P2998" s="402"/>
      <c r="Q2998" s="404">
        <v>6.7</v>
      </c>
      <c r="R2998" s="402">
        <v>23</v>
      </c>
      <c r="S2998" s="404">
        <v>11.2</v>
      </c>
      <c r="T2998" s="402">
        <v>4.2999999999999997E-2</v>
      </c>
      <c r="U2998" s="395">
        <v>1.3</v>
      </c>
      <c r="V2998" s="402">
        <f>0.46/2</f>
        <v>0.23</v>
      </c>
      <c r="W2998" s="404">
        <v>8.0000000000000002E-3</v>
      </c>
      <c r="X2998" s="402">
        <v>4.7E-2</v>
      </c>
      <c r="Y2998" s="404">
        <f>0.005/2</f>
        <v>2.5000000000000001E-3</v>
      </c>
      <c r="Z2998" s="397">
        <v>1</v>
      </c>
      <c r="AA2998" s="399">
        <v>0.93899999999999995</v>
      </c>
      <c r="AB2998" s="394">
        <v>20</v>
      </c>
      <c r="AC2998" s="402">
        <v>19</v>
      </c>
      <c r="AD2998" s="399">
        <v>0.45</v>
      </c>
      <c r="AE2998" s="402"/>
      <c r="AF2998" s="391"/>
      <c r="AG2998" s="394"/>
      <c r="AH2998" s="394"/>
      <c r="AI2998" s="394"/>
      <c r="AJ2998" s="394"/>
      <c r="AK2998" s="394"/>
      <c r="AL2998" s="394"/>
      <c r="AM2998" s="394"/>
      <c r="AN2998" s="394"/>
      <c r="AO2998" s="394"/>
      <c r="AP2998" s="394"/>
      <c r="AQ2998" s="394"/>
      <c r="AR2998" s="394"/>
      <c r="AS2998" s="402"/>
      <c r="AT2998" s="404"/>
      <c r="AU2998" s="394"/>
      <c r="AV2998" s="394"/>
      <c r="AW2998" s="394"/>
      <c r="AX2998" s="5"/>
      <c r="AY2998" s="5"/>
      <c r="AZ2998" s="5"/>
      <c r="BA2998" s="5"/>
      <c r="BB2998" s="5"/>
      <c r="BC2998" s="5"/>
      <c r="BD2998" s="5"/>
      <c r="BE2998" s="5"/>
      <c r="BF2998" s="5"/>
      <c r="BG2998" s="5"/>
      <c r="BH2998" s="5"/>
      <c r="BI2998" s="5"/>
      <c r="BJ2998" s="5"/>
      <c r="BK2998" s="5"/>
      <c r="BL2998" s="5"/>
      <c r="BM2998" s="5"/>
      <c r="BN2998" s="5"/>
      <c r="BO2998" s="5"/>
      <c r="BP2998" s="5"/>
      <c r="BQ2998" s="5"/>
      <c r="BR2998" s="5"/>
      <c r="BS2998" s="5"/>
      <c r="BT2998" s="5"/>
      <c r="BU2998" s="5"/>
      <c r="BV2998" s="5"/>
      <c r="BW2998" s="5"/>
      <c r="BX2998" s="5"/>
      <c r="BY2998" s="5"/>
      <c r="BZ2998" s="5"/>
      <c r="CA2998" s="5"/>
    </row>
    <row r="2999" spans="1:79" s="400" customFormat="1" ht="15" customHeight="1">
      <c r="A2999" s="404" t="s">
        <v>4668</v>
      </c>
      <c r="B2999" s="402" t="s">
        <v>212</v>
      </c>
      <c r="C2999" s="113" t="s">
        <v>212</v>
      </c>
      <c r="D2999" s="393" t="s">
        <v>213</v>
      </c>
      <c r="E2999" s="394" t="s">
        <v>214</v>
      </c>
      <c r="F2999" s="402"/>
      <c r="G2999" s="405" t="s">
        <v>215</v>
      </c>
      <c r="H2999" s="404">
        <v>3442</v>
      </c>
      <c r="I2999" s="402" t="s">
        <v>2</v>
      </c>
      <c r="J2999" s="406" t="s">
        <v>5702</v>
      </c>
      <c r="K2999" s="403">
        <v>41184</v>
      </c>
      <c r="L2999" s="398">
        <v>41180</v>
      </c>
      <c r="M2999" s="402">
        <f t="shared" si="171"/>
        <v>4</v>
      </c>
      <c r="N2999" s="402" t="s">
        <v>2</v>
      </c>
      <c r="O2999" s="404">
        <f>1.6/2</f>
        <v>0.8</v>
      </c>
      <c r="P2999" s="402"/>
      <c r="Q2999" s="404">
        <v>5.7</v>
      </c>
      <c r="R2999" s="402">
        <v>44</v>
      </c>
      <c r="S2999" s="404">
        <v>41.3</v>
      </c>
      <c r="T2999" s="402">
        <v>6.6000000000000003E-2</v>
      </c>
      <c r="U2999" s="395">
        <v>1.3</v>
      </c>
      <c r="V2999" s="402">
        <v>0.48</v>
      </c>
      <c r="W2999" s="404">
        <v>6.0000000000000001E-3</v>
      </c>
      <c r="X2999" s="402">
        <v>3.3000000000000002E-2</v>
      </c>
      <c r="Y2999" s="404">
        <f>0.005/2</f>
        <v>2.5000000000000001E-3</v>
      </c>
      <c r="Z2999" s="397">
        <v>1</v>
      </c>
      <c r="AA2999" s="399">
        <v>1</v>
      </c>
      <c r="AB2999" s="394">
        <v>18</v>
      </c>
      <c r="AC2999" s="402">
        <v>16</v>
      </c>
      <c r="AD2999" s="399">
        <v>1</v>
      </c>
      <c r="AE2999" s="402"/>
      <c r="AF2999" s="391"/>
      <c r="AG2999" s="394"/>
      <c r="AH2999" s="394"/>
      <c r="AI2999" s="394"/>
      <c r="AJ2999" s="394"/>
      <c r="AK2999" s="394"/>
      <c r="AL2999" s="394"/>
      <c r="AM2999" s="394"/>
      <c r="AN2999" s="394"/>
      <c r="AO2999" s="394"/>
      <c r="AP2999" s="394"/>
      <c r="AQ2999" s="394"/>
      <c r="AR2999" s="394"/>
      <c r="AS2999" s="402"/>
      <c r="AT2999" s="404"/>
      <c r="AU2999" s="394"/>
      <c r="AV2999" s="394"/>
      <c r="AW2999" s="394"/>
      <c r="AX2999" s="5"/>
      <c r="AY2999" s="5"/>
      <c r="AZ2999" s="5"/>
      <c r="BA2999" s="5"/>
      <c r="BB2999" s="5"/>
      <c r="BC2999" s="5"/>
      <c r="BD2999" s="5"/>
      <c r="BE2999" s="5"/>
      <c r="BF2999" s="5"/>
      <c r="BG2999" s="5"/>
      <c r="BH2999" s="5"/>
      <c r="BI2999" s="5"/>
      <c r="BJ2999" s="5"/>
      <c r="BK2999" s="5"/>
      <c r="BL2999" s="5"/>
      <c r="BM2999" s="5"/>
      <c r="BN2999" s="5"/>
      <c r="BO2999" s="5"/>
      <c r="BP2999" s="5"/>
      <c r="BQ2999" s="5"/>
      <c r="BR2999" s="5"/>
      <c r="BS2999" s="5"/>
      <c r="BT2999" s="5"/>
      <c r="BU2999" s="5"/>
      <c r="BV2999" s="5"/>
      <c r="BW2999" s="5"/>
      <c r="BX2999" s="5"/>
      <c r="BY2999" s="5"/>
      <c r="BZ2999" s="5"/>
      <c r="CA2999" s="5"/>
    </row>
    <row r="3000" spans="1:79" s="400" customFormat="1" ht="15" customHeight="1">
      <c r="A3000" s="404" t="s">
        <v>4668</v>
      </c>
      <c r="B3000" s="402" t="s">
        <v>3241</v>
      </c>
      <c r="C3000" s="113" t="s">
        <v>3242</v>
      </c>
      <c r="D3000" s="393" t="s">
        <v>836</v>
      </c>
      <c r="E3000" s="394" t="s">
        <v>3243</v>
      </c>
      <c r="F3000" s="402"/>
      <c r="G3000" s="405" t="s">
        <v>3244</v>
      </c>
      <c r="H3000" s="404">
        <v>2754</v>
      </c>
      <c r="I3000" s="402" t="s">
        <v>2</v>
      </c>
      <c r="J3000" s="406" t="s">
        <v>81</v>
      </c>
      <c r="K3000" s="403">
        <v>41184</v>
      </c>
      <c r="L3000" s="398">
        <v>41180</v>
      </c>
      <c r="M3000" s="402">
        <f t="shared" si="171"/>
        <v>4</v>
      </c>
      <c r="N3000" s="402" t="s">
        <v>2</v>
      </c>
      <c r="O3000" s="404">
        <f>5/2</f>
        <v>2.5</v>
      </c>
      <c r="P3000" s="402">
        <v>6</v>
      </c>
      <c r="Q3000" s="404">
        <v>6.9</v>
      </c>
      <c r="R3000" s="402">
        <f>5/2</f>
        <v>2.5</v>
      </c>
      <c r="S3000" s="404">
        <v>34</v>
      </c>
      <c r="T3000" s="402">
        <f>0.1/2</f>
        <v>0.05</v>
      </c>
      <c r="U3000" s="395">
        <f>1/2</f>
        <v>0.5</v>
      </c>
      <c r="V3000" s="402">
        <v>0.34</v>
      </c>
      <c r="W3000" s="404">
        <f>0.04/2</f>
        <v>0.02</v>
      </c>
      <c r="X3000" s="402">
        <v>5.6000000000000001E-2</v>
      </c>
      <c r="Y3000" s="404">
        <f>0.013/2</f>
        <v>6.4999999999999997E-3</v>
      </c>
      <c r="Z3000" s="397">
        <v>1</v>
      </c>
      <c r="AA3000" s="399">
        <v>1</v>
      </c>
      <c r="AB3000" s="394">
        <v>4.2</v>
      </c>
      <c r="AC3000" s="402">
        <v>28</v>
      </c>
      <c r="AD3000" s="399">
        <v>1</v>
      </c>
      <c r="AE3000" s="402"/>
      <c r="AF3000" s="391"/>
      <c r="AG3000" s="394"/>
      <c r="AH3000" s="394"/>
      <c r="AI3000" s="394"/>
      <c r="AJ3000" s="394"/>
      <c r="AK3000" s="394"/>
      <c r="AL3000" s="394"/>
      <c r="AM3000" s="394"/>
      <c r="AN3000" s="394"/>
      <c r="AO3000" s="394"/>
      <c r="AP3000" s="394"/>
      <c r="AQ3000" s="394"/>
      <c r="AR3000" s="394"/>
      <c r="AS3000" s="402"/>
      <c r="AT3000" s="404"/>
      <c r="AU3000" s="394"/>
      <c r="AV3000" s="394"/>
      <c r="AW3000" s="394"/>
      <c r="AX3000" s="5"/>
      <c r="AY3000" s="5"/>
      <c r="AZ3000" s="5"/>
      <c r="BA3000" s="5"/>
      <c r="BB3000" s="5"/>
      <c r="BC3000" s="5"/>
      <c r="BD3000" s="5"/>
      <c r="BE3000" s="5"/>
      <c r="BF3000" s="5"/>
      <c r="BG3000" s="5"/>
      <c r="BH3000" s="5"/>
      <c r="BI3000" s="5"/>
      <c r="BJ3000" s="5"/>
      <c r="BK3000" s="5"/>
      <c r="BL3000" s="5"/>
      <c r="BM3000" s="5"/>
      <c r="BN3000" s="5"/>
      <c r="BO3000" s="5"/>
      <c r="BP3000" s="5"/>
      <c r="BQ3000" s="5"/>
      <c r="BR3000" s="5"/>
      <c r="BS3000" s="5"/>
      <c r="BT3000" s="5"/>
      <c r="BU3000" s="5"/>
      <c r="BV3000" s="5"/>
      <c r="BW3000" s="5"/>
      <c r="BX3000" s="5"/>
      <c r="BY3000" s="5"/>
      <c r="BZ3000" s="5"/>
      <c r="CA3000" s="5"/>
    </row>
    <row r="3001" spans="1:79" s="400" customFormat="1" ht="15" customHeight="1">
      <c r="A3001" s="404" t="s">
        <v>4668</v>
      </c>
      <c r="B3001" s="402" t="s">
        <v>3241</v>
      </c>
      <c r="C3001" s="113" t="s">
        <v>3242</v>
      </c>
      <c r="D3001" s="393" t="s">
        <v>836</v>
      </c>
      <c r="E3001" s="394" t="s">
        <v>3243</v>
      </c>
      <c r="F3001" s="402"/>
      <c r="G3001" s="405" t="s">
        <v>3244</v>
      </c>
      <c r="H3001" s="404">
        <v>2754</v>
      </c>
      <c r="I3001" s="402" t="s">
        <v>2</v>
      </c>
      <c r="J3001" s="406" t="s">
        <v>114</v>
      </c>
      <c r="K3001" s="403">
        <v>41184</v>
      </c>
      <c r="L3001" s="398">
        <v>41180</v>
      </c>
      <c r="M3001" s="402">
        <f t="shared" si="171"/>
        <v>4</v>
      </c>
      <c r="N3001" s="402"/>
      <c r="O3001" s="404">
        <f>5/2</f>
        <v>2.5</v>
      </c>
      <c r="P3001" s="402">
        <v>6</v>
      </c>
      <c r="Q3001" s="404">
        <v>7</v>
      </c>
      <c r="R3001" s="402">
        <f>5/2</f>
        <v>2.5</v>
      </c>
      <c r="S3001" s="404">
        <v>160</v>
      </c>
      <c r="T3001" s="402">
        <f>0.1/2</f>
        <v>0.05</v>
      </c>
      <c r="U3001" s="395">
        <f>1/2</f>
        <v>0.5</v>
      </c>
      <c r="V3001" s="402">
        <f>0.1/2</f>
        <v>0.05</v>
      </c>
      <c r="W3001" s="404">
        <f>0.04/2</f>
        <v>0.02</v>
      </c>
      <c r="X3001" s="402">
        <v>0.12</v>
      </c>
      <c r="Y3001" s="404">
        <f>0.013/2</f>
        <v>6.4999999999999997E-3</v>
      </c>
      <c r="Z3001" s="397">
        <v>1</v>
      </c>
      <c r="AA3001" s="399">
        <v>1</v>
      </c>
      <c r="AB3001" s="394">
        <v>6.1</v>
      </c>
      <c r="AC3001" s="402">
        <v>14</v>
      </c>
      <c r="AD3001" s="399">
        <v>1</v>
      </c>
      <c r="AE3001" s="402"/>
      <c r="AF3001" s="391"/>
      <c r="AG3001" s="394"/>
      <c r="AH3001" s="394"/>
      <c r="AI3001" s="394"/>
      <c r="AJ3001" s="394"/>
      <c r="AK3001" s="394"/>
      <c r="AL3001" s="394"/>
      <c r="AM3001" s="394"/>
      <c r="AN3001" s="394"/>
      <c r="AO3001" s="394"/>
      <c r="AP3001" s="394"/>
      <c r="AQ3001" s="394"/>
      <c r="AR3001" s="394"/>
      <c r="AS3001" s="402"/>
      <c r="AT3001" s="404"/>
      <c r="AU3001" s="394"/>
      <c r="AV3001" s="394"/>
      <c r="AW3001" s="394"/>
      <c r="AX3001" s="5"/>
      <c r="AY3001" s="5"/>
      <c r="AZ3001" s="5"/>
      <c r="BA3001" s="5"/>
      <c r="BB3001" s="5"/>
      <c r="BC3001" s="5"/>
      <c r="BD3001" s="5"/>
      <c r="BE3001" s="5"/>
      <c r="BF3001" s="5"/>
      <c r="BG3001" s="5"/>
      <c r="BH3001" s="5"/>
      <c r="BI3001" s="5"/>
      <c r="BJ3001" s="5"/>
      <c r="BK3001" s="5"/>
      <c r="BL3001" s="5"/>
      <c r="BM3001" s="5"/>
      <c r="BN3001" s="5"/>
      <c r="BO3001" s="5"/>
      <c r="BP3001" s="5"/>
      <c r="BQ3001" s="5"/>
      <c r="BR3001" s="5"/>
      <c r="BS3001" s="5"/>
      <c r="BT3001" s="5"/>
      <c r="BU3001" s="5"/>
      <c r="BV3001" s="5"/>
      <c r="BW3001" s="5"/>
      <c r="BX3001" s="5"/>
      <c r="BY3001" s="5"/>
      <c r="BZ3001" s="5"/>
      <c r="CA3001" s="5"/>
    </row>
    <row r="3002" spans="1:79" s="400" customFormat="1" ht="15" customHeight="1">
      <c r="A3002" s="404" t="s">
        <v>4668</v>
      </c>
      <c r="B3002" s="402" t="s">
        <v>5406</v>
      </c>
      <c r="C3002" s="113" t="s">
        <v>5406</v>
      </c>
      <c r="D3002" s="393" t="s">
        <v>314</v>
      </c>
      <c r="E3002" s="394" t="s">
        <v>49</v>
      </c>
      <c r="F3002" s="402"/>
      <c r="G3002" s="405" t="s">
        <v>4434</v>
      </c>
      <c r="H3002" s="404">
        <v>3479</v>
      </c>
      <c r="I3002" s="402" t="s">
        <v>2</v>
      </c>
      <c r="J3002" s="406" t="s">
        <v>255</v>
      </c>
      <c r="K3002" s="403">
        <v>41345</v>
      </c>
      <c r="L3002" s="398">
        <v>41341</v>
      </c>
      <c r="M3002" s="402">
        <f t="shared" si="171"/>
        <v>4</v>
      </c>
      <c r="N3002" s="402" t="s">
        <v>1</v>
      </c>
      <c r="O3002" s="404">
        <f>2/2</f>
        <v>1</v>
      </c>
      <c r="P3002" s="402">
        <v>6</v>
      </c>
      <c r="Q3002" s="404">
        <v>6.3</v>
      </c>
      <c r="R3002" s="402">
        <f>10/2</f>
        <v>5</v>
      </c>
      <c r="S3002" s="404">
        <v>14</v>
      </c>
      <c r="T3002" s="402">
        <f>0.05/2</f>
        <v>2.5000000000000001E-2</v>
      </c>
      <c r="U3002" s="395">
        <v>0.37</v>
      </c>
      <c r="V3002" s="402">
        <v>0.39</v>
      </c>
      <c r="W3002" s="404">
        <v>3.6999999999999998E-2</v>
      </c>
      <c r="X3002" s="402">
        <v>0.58599999999999997</v>
      </c>
      <c r="Y3002" s="404">
        <f>0.03/2</f>
        <v>1.4999999999999999E-2</v>
      </c>
      <c r="Z3002" s="397">
        <v>0.17699999999999999</v>
      </c>
      <c r="AA3002" s="399">
        <v>0.125</v>
      </c>
      <c r="AB3002" s="394">
        <v>4</v>
      </c>
      <c r="AC3002" s="402">
        <v>54</v>
      </c>
      <c r="AD3002" s="399">
        <v>0</v>
      </c>
      <c r="AE3002" s="402"/>
      <c r="AF3002" s="391"/>
      <c r="AG3002" s="394"/>
      <c r="AH3002" s="394"/>
      <c r="AI3002" s="394"/>
      <c r="AJ3002" s="394"/>
      <c r="AK3002" s="394"/>
      <c r="AL3002" s="394"/>
      <c r="AM3002" s="394"/>
      <c r="AN3002" s="394"/>
      <c r="AO3002" s="394"/>
      <c r="AP3002" s="394"/>
      <c r="AQ3002" s="394"/>
      <c r="AR3002" s="394"/>
      <c r="AS3002" s="402"/>
      <c r="AT3002" s="404"/>
      <c r="AU3002" s="394"/>
      <c r="AV3002" s="394"/>
      <c r="AW3002" s="394"/>
      <c r="AX3002" s="5"/>
      <c r="AY3002" s="5"/>
      <c r="AZ3002" s="5"/>
      <c r="BA3002" s="5"/>
      <c r="BB3002" s="5"/>
      <c r="BC3002" s="5"/>
      <c r="BD3002" s="5"/>
      <c r="BE3002" s="5"/>
      <c r="BF3002" s="5"/>
      <c r="BG3002" s="5"/>
      <c r="BH3002" s="5"/>
      <c r="BI3002" s="5"/>
      <c r="BJ3002" s="5"/>
      <c r="BK3002" s="5"/>
      <c r="BL3002" s="5"/>
      <c r="BM3002" s="5"/>
      <c r="BN3002" s="5"/>
      <c r="BO3002" s="5"/>
      <c r="BP3002" s="5"/>
      <c r="BQ3002" s="5"/>
      <c r="BR3002" s="5"/>
      <c r="BS3002" s="5"/>
      <c r="BT3002" s="5"/>
      <c r="BU3002" s="5"/>
      <c r="BV3002" s="5"/>
      <c r="BW3002" s="5"/>
      <c r="BX3002" s="5"/>
      <c r="BY3002" s="5"/>
      <c r="BZ3002" s="5"/>
      <c r="CA3002" s="5"/>
    </row>
    <row r="3003" spans="1:79" s="400" customFormat="1" ht="15" customHeight="1">
      <c r="A3003" s="41" t="s">
        <v>183</v>
      </c>
      <c r="B3003" s="402" t="s">
        <v>4780</v>
      </c>
      <c r="C3003" s="113" t="s">
        <v>4780</v>
      </c>
      <c r="D3003" s="393" t="s">
        <v>636</v>
      </c>
      <c r="E3003" s="394" t="s">
        <v>4781</v>
      </c>
      <c r="F3003" s="402" t="s">
        <v>4916</v>
      </c>
      <c r="G3003" s="405" t="s">
        <v>2046</v>
      </c>
      <c r="H3003" s="404">
        <v>2653</v>
      </c>
      <c r="I3003" s="402" t="s">
        <v>2</v>
      </c>
      <c r="J3003" s="406" t="s">
        <v>194</v>
      </c>
      <c r="K3003" s="403">
        <v>41201</v>
      </c>
      <c r="L3003" s="398">
        <v>41197</v>
      </c>
      <c r="M3003" s="402">
        <f t="shared" si="171"/>
        <v>4</v>
      </c>
      <c r="N3003" s="402" t="s">
        <v>2</v>
      </c>
      <c r="O3003" s="404">
        <v>2</v>
      </c>
      <c r="P3003" s="402">
        <v>5.77</v>
      </c>
      <c r="Q3003" s="404">
        <v>6.55</v>
      </c>
      <c r="R3003" s="402">
        <v>14</v>
      </c>
      <c r="S3003" s="404">
        <v>7</v>
      </c>
      <c r="T3003" s="402">
        <v>0.09</v>
      </c>
      <c r="U3003" s="395">
        <v>0.94</v>
      </c>
      <c r="V3003" s="402">
        <v>0.39</v>
      </c>
      <c r="W3003" s="404">
        <v>1.7000000000000001E-2</v>
      </c>
      <c r="X3003" s="402">
        <v>0.36099999999999999</v>
      </c>
      <c r="Y3003" s="404">
        <v>1.2999999999999999E-2</v>
      </c>
      <c r="Z3003" s="397">
        <v>1</v>
      </c>
      <c r="AA3003" s="399">
        <v>1</v>
      </c>
      <c r="AB3003" s="394">
        <v>4</v>
      </c>
      <c r="AC3003" s="402">
        <v>32</v>
      </c>
      <c r="AD3003" s="399">
        <v>1</v>
      </c>
      <c r="AE3003" s="402"/>
      <c r="AF3003" s="391"/>
      <c r="AG3003" s="394"/>
      <c r="AH3003" s="394"/>
      <c r="AI3003" s="394"/>
      <c r="AJ3003" s="394"/>
      <c r="AK3003" s="394"/>
      <c r="AL3003" s="394"/>
      <c r="AM3003" s="394"/>
      <c r="AN3003" s="394"/>
      <c r="AO3003" s="394"/>
      <c r="AP3003" s="394"/>
      <c r="AQ3003" s="394"/>
      <c r="AR3003" s="394"/>
      <c r="AS3003" s="402"/>
      <c r="AT3003" s="404"/>
      <c r="AU3003" s="394"/>
      <c r="AV3003" s="394"/>
      <c r="AW3003" s="394"/>
      <c r="AX3003" s="5"/>
      <c r="AY3003" s="5"/>
      <c r="AZ3003" s="5"/>
      <c r="BA3003" s="5"/>
      <c r="BB3003" s="5"/>
      <c r="BC3003" s="5"/>
      <c r="BD3003" s="5"/>
      <c r="BE3003" s="5"/>
      <c r="BF3003" s="5"/>
      <c r="BG3003" s="5"/>
      <c r="BH3003" s="5"/>
      <c r="BI3003" s="5"/>
      <c r="BJ3003" s="5"/>
      <c r="BK3003" s="5"/>
      <c r="BL3003" s="5"/>
      <c r="BM3003" s="5"/>
      <c r="BN3003" s="5"/>
      <c r="BO3003" s="5"/>
      <c r="BP3003" s="5"/>
      <c r="BQ3003" s="5"/>
      <c r="BR3003" s="5"/>
      <c r="BS3003" s="5"/>
      <c r="BT3003" s="5"/>
      <c r="BU3003" s="5"/>
      <c r="BV3003" s="5"/>
      <c r="BW3003" s="5"/>
      <c r="BX3003" s="5"/>
      <c r="BY3003" s="5"/>
      <c r="BZ3003" s="5"/>
      <c r="CA3003" s="5"/>
    </row>
    <row r="3004" spans="1:79" s="400" customFormat="1" ht="15" customHeight="1">
      <c r="A3004" s="41" t="s">
        <v>183</v>
      </c>
      <c r="B3004" s="402" t="s">
        <v>4780</v>
      </c>
      <c r="C3004" s="113" t="s">
        <v>4780</v>
      </c>
      <c r="D3004" s="393" t="s">
        <v>636</v>
      </c>
      <c r="E3004" s="394" t="s">
        <v>4781</v>
      </c>
      <c r="F3004" s="402" t="s">
        <v>4916</v>
      </c>
      <c r="G3004" s="405" t="s">
        <v>2046</v>
      </c>
      <c r="H3004" s="404">
        <v>2653</v>
      </c>
      <c r="I3004" s="402" t="s">
        <v>2</v>
      </c>
      <c r="J3004" s="406" t="s">
        <v>586</v>
      </c>
      <c r="K3004" s="403">
        <v>41201</v>
      </c>
      <c r="L3004" s="398">
        <v>41197</v>
      </c>
      <c r="M3004" s="402">
        <f t="shared" si="171"/>
        <v>4</v>
      </c>
      <c r="N3004" s="402" t="s">
        <v>2</v>
      </c>
      <c r="O3004" s="404">
        <f>1.4/2</f>
        <v>0.7</v>
      </c>
      <c r="P3004" s="402">
        <v>5.77</v>
      </c>
      <c r="Q3004" s="404">
        <v>5.21</v>
      </c>
      <c r="R3004" s="402">
        <v>18</v>
      </c>
      <c r="S3004" s="404">
        <f>5/2</f>
        <v>2.5</v>
      </c>
      <c r="T3004" s="402">
        <v>0.01</v>
      </c>
      <c r="U3004" s="395">
        <v>0.42</v>
      </c>
      <c r="V3004" s="402">
        <f>0.01/2</f>
        <v>5.0000000000000001E-3</v>
      </c>
      <c r="W3004" s="404">
        <v>7.0000000000000001E-3</v>
      </c>
      <c r="X3004" s="402">
        <v>4.4999999999999998E-2</v>
      </c>
      <c r="Y3004" s="404">
        <f>0.002/2</f>
        <v>1E-3</v>
      </c>
      <c r="Z3004" s="397">
        <v>1</v>
      </c>
      <c r="AA3004" s="399">
        <v>1</v>
      </c>
      <c r="AB3004" s="394">
        <v>2</v>
      </c>
      <c r="AC3004" s="402">
        <v>22</v>
      </c>
      <c r="AD3004" s="399">
        <v>0.9</v>
      </c>
      <c r="AE3004" s="402"/>
      <c r="AF3004" s="391"/>
      <c r="AG3004" s="394"/>
      <c r="AH3004" s="394"/>
      <c r="AI3004" s="394"/>
      <c r="AJ3004" s="394"/>
      <c r="AK3004" s="394"/>
      <c r="AL3004" s="394"/>
      <c r="AM3004" s="394"/>
      <c r="AN3004" s="394"/>
      <c r="AO3004" s="394"/>
      <c r="AP3004" s="394"/>
      <c r="AQ3004" s="394"/>
      <c r="AR3004" s="394"/>
      <c r="AS3004" s="402"/>
      <c r="AT3004" s="404"/>
      <c r="AU3004" s="394"/>
      <c r="AV3004" s="394"/>
      <c r="AW3004" s="394"/>
      <c r="AX3004" s="5"/>
      <c r="AY3004" s="5"/>
      <c r="AZ3004" s="5"/>
      <c r="BA3004" s="5"/>
      <c r="BB3004" s="5"/>
      <c r="BC3004" s="5"/>
      <c r="BD3004" s="5"/>
      <c r="BE3004" s="5"/>
      <c r="BF3004" s="5"/>
      <c r="BG3004" s="5"/>
      <c r="BH3004" s="5"/>
      <c r="BI3004" s="5"/>
      <c r="BJ3004" s="5"/>
      <c r="BK3004" s="5"/>
      <c r="BL3004" s="5"/>
      <c r="BM3004" s="5"/>
      <c r="BN3004" s="5"/>
      <c r="BO3004" s="5"/>
      <c r="BP3004" s="5"/>
      <c r="BQ3004" s="5"/>
      <c r="BR3004" s="5"/>
      <c r="BS3004" s="5"/>
      <c r="BT3004" s="5"/>
      <c r="BU3004" s="5"/>
      <c r="BV3004" s="5"/>
      <c r="BW3004" s="5"/>
      <c r="BX3004" s="5"/>
      <c r="BY3004" s="5"/>
      <c r="BZ3004" s="5"/>
      <c r="CA3004" s="5"/>
    </row>
    <row r="3005" spans="1:79" s="400" customFormat="1" ht="15" customHeight="1">
      <c r="A3005" s="404" t="s">
        <v>4668</v>
      </c>
      <c r="B3005" s="402" t="s">
        <v>2060</v>
      </c>
      <c r="C3005" s="113" t="s">
        <v>2061</v>
      </c>
      <c r="D3005" s="393" t="s">
        <v>156</v>
      </c>
      <c r="E3005" s="394"/>
      <c r="F3005" s="402"/>
      <c r="G3005" s="405" t="s">
        <v>2062</v>
      </c>
      <c r="H3005" s="404"/>
      <c r="I3005" s="402"/>
      <c r="J3005" s="406"/>
      <c r="K3005" s="403">
        <v>41345</v>
      </c>
      <c r="L3005" s="398">
        <v>41341</v>
      </c>
      <c r="M3005" s="402">
        <f t="shared" si="171"/>
        <v>4</v>
      </c>
      <c r="N3005" s="402" t="s">
        <v>2</v>
      </c>
      <c r="O3005" s="404">
        <v>2</v>
      </c>
      <c r="P3005" s="402">
        <v>6.41</v>
      </c>
      <c r="Q3005" s="404">
        <v>7.21</v>
      </c>
      <c r="R3005" s="402">
        <f>1/2</f>
        <v>0.5</v>
      </c>
      <c r="S3005" s="404">
        <v>25</v>
      </c>
      <c r="T3005" s="402">
        <v>0.28000000000000003</v>
      </c>
      <c r="U3005" s="395">
        <v>0.42</v>
      </c>
      <c r="V3005" s="402">
        <v>0.2</v>
      </c>
      <c r="W3005" s="404">
        <v>6.0000000000000001E-3</v>
      </c>
      <c r="X3005" s="402">
        <v>3.9E-2</v>
      </c>
      <c r="Y3005" s="404">
        <v>3.0000000000000001E-3</v>
      </c>
      <c r="Z3005" s="397">
        <v>1</v>
      </c>
      <c r="AA3005" s="399">
        <v>1</v>
      </c>
      <c r="AB3005" s="394"/>
      <c r="AC3005" s="402">
        <v>33</v>
      </c>
      <c r="AD3005" s="399">
        <v>1</v>
      </c>
      <c r="AE3005" s="402"/>
      <c r="AF3005" s="391"/>
      <c r="AG3005" s="394"/>
      <c r="AH3005" s="394"/>
      <c r="AI3005" s="394"/>
      <c r="AJ3005" s="394"/>
      <c r="AK3005" s="394"/>
      <c r="AL3005" s="394"/>
      <c r="AM3005" s="394"/>
      <c r="AN3005" s="394"/>
      <c r="AO3005" s="394"/>
      <c r="AP3005" s="394"/>
      <c r="AQ3005" s="394"/>
      <c r="AR3005" s="394"/>
      <c r="AS3005" s="402"/>
      <c r="AT3005" s="404"/>
      <c r="AU3005" s="394"/>
      <c r="AV3005" s="394"/>
      <c r="AW3005" s="394"/>
      <c r="AX3005" s="5"/>
      <c r="AY3005" s="5"/>
      <c r="AZ3005" s="5"/>
      <c r="BA3005" s="5"/>
      <c r="BB3005" s="5"/>
      <c r="BC3005" s="5"/>
      <c r="BD3005" s="5"/>
      <c r="BE3005" s="5"/>
      <c r="BF3005" s="5"/>
      <c r="BG3005" s="5"/>
      <c r="BH3005" s="5"/>
      <c r="BI3005" s="5"/>
      <c r="BJ3005" s="5"/>
      <c r="BK3005" s="5"/>
      <c r="BL3005" s="5"/>
      <c r="BM3005" s="5"/>
      <c r="BN3005" s="5"/>
      <c r="BO3005" s="5"/>
      <c r="BP3005" s="5"/>
      <c r="BQ3005" s="5"/>
      <c r="BR3005" s="5"/>
      <c r="BS3005" s="5"/>
      <c r="BT3005" s="5"/>
      <c r="BU3005" s="5"/>
      <c r="BV3005" s="5"/>
      <c r="BW3005" s="5"/>
      <c r="BX3005" s="5"/>
      <c r="BY3005" s="5"/>
      <c r="BZ3005" s="5"/>
      <c r="CA3005" s="5"/>
    </row>
    <row r="3006" spans="1:79" ht="15" customHeight="1">
      <c r="A3006" s="404" t="s">
        <v>4668</v>
      </c>
      <c r="B3006" s="402" t="s">
        <v>3918</v>
      </c>
      <c r="C3006" s="113" t="s">
        <v>5347</v>
      </c>
      <c r="D3006" s="393" t="s">
        <v>735</v>
      </c>
      <c r="E3006" s="394" t="s">
        <v>1293</v>
      </c>
      <c r="G3006" s="405" t="s">
        <v>3919</v>
      </c>
      <c r="H3006" s="74">
        <v>3351</v>
      </c>
      <c r="I3006" s="50" t="s">
        <v>2</v>
      </c>
      <c r="J3006" s="339" t="s">
        <v>173</v>
      </c>
      <c r="K3006" s="51">
        <v>41345</v>
      </c>
      <c r="L3006" s="173">
        <v>41341</v>
      </c>
      <c r="M3006" s="50">
        <f t="shared" ref="M3006:M3059" si="172">K3006-L3006</f>
        <v>4</v>
      </c>
      <c r="N3006" s="50" t="s">
        <v>2</v>
      </c>
      <c r="O3006" s="74">
        <v>9</v>
      </c>
      <c r="P3006" s="50">
        <v>6.2</v>
      </c>
      <c r="Q3006" s="74">
        <v>8.9</v>
      </c>
      <c r="R3006" s="50">
        <v>30.8</v>
      </c>
      <c r="S3006" s="74">
        <v>32</v>
      </c>
      <c r="T3006" s="50">
        <v>0.112</v>
      </c>
      <c r="U3006" s="131">
        <v>0.91</v>
      </c>
      <c r="V3006" s="50">
        <v>0.98</v>
      </c>
      <c r="W3006" s="74">
        <v>3.29</v>
      </c>
      <c r="X3006" s="50">
        <v>0.17199999999999999</v>
      </c>
      <c r="Y3006" s="74">
        <v>1.06E-2</v>
      </c>
      <c r="Z3006" s="165">
        <v>6.25E-2</v>
      </c>
      <c r="AA3006" s="271">
        <v>6.25E-2</v>
      </c>
      <c r="AB3006" s="114">
        <v>42</v>
      </c>
      <c r="AC3006" s="50">
        <v>390</v>
      </c>
      <c r="AD3006" s="271">
        <v>0</v>
      </c>
    </row>
    <row r="3007" spans="1:79" ht="15" customHeight="1">
      <c r="A3007" s="404" t="s">
        <v>4668</v>
      </c>
      <c r="B3007" s="402" t="s">
        <v>3918</v>
      </c>
      <c r="C3007" s="113" t="s">
        <v>5347</v>
      </c>
      <c r="D3007" s="393" t="s">
        <v>735</v>
      </c>
      <c r="E3007" s="394" t="s">
        <v>1293</v>
      </c>
      <c r="G3007" s="405" t="s">
        <v>3919</v>
      </c>
      <c r="H3007" s="74">
        <v>3351</v>
      </c>
      <c r="I3007" s="50" t="s">
        <v>2</v>
      </c>
      <c r="J3007" s="339" t="s">
        <v>3920</v>
      </c>
      <c r="K3007" s="51">
        <v>41345</v>
      </c>
      <c r="L3007" s="173">
        <v>41341</v>
      </c>
      <c r="M3007" s="50">
        <f t="shared" si="172"/>
        <v>4</v>
      </c>
      <c r="N3007" s="50" t="s">
        <v>2</v>
      </c>
      <c r="O3007" s="74">
        <v>2.8</v>
      </c>
      <c r="P3007" s="50">
        <v>6.2</v>
      </c>
      <c r="Q3007" s="74">
        <v>6.7</v>
      </c>
      <c r="R3007" s="50">
        <v>29.4</v>
      </c>
      <c r="S3007" s="74">
        <v>72</v>
      </c>
      <c r="T3007" s="50">
        <v>0.14799999999999999</v>
      </c>
      <c r="U3007" s="131">
        <v>0.7</v>
      </c>
      <c r="V3007" s="50">
        <v>0.55000000000000004</v>
      </c>
      <c r="W3007" s="74">
        <v>2.33</v>
      </c>
      <c r="X3007" s="50">
        <v>0.254</v>
      </c>
      <c r="Y3007" s="74">
        <v>1.34E-2</v>
      </c>
      <c r="Z3007" s="165">
        <v>6.25E-2</v>
      </c>
      <c r="AA3007" s="271">
        <v>6.25E-2</v>
      </c>
      <c r="AB3007" s="114">
        <v>56</v>
      </c>
      <c r="AC3007" s="50">
        <v>365</v>
      </c>
      <c r="AD3007" s="271">
        <v>0</v>
      </c>
    </row>
    <row r="3008" spans="1:79" ht="15" customHeight="1">
      <c r="A3008" s="404" t="s">
        <v>4668</v>
      </c>
      <c r="B3008" s="402" t="s">
        <v>3918</v>
      </c>
      <c r="C3008" s="113" t="s">
        <v>5347</v>
      </c>
      <c r="D3008" s="393" t="s">
        <v>735</v>
      </c>
      <c r="E3008" s="394" t="s">
        <v>1293</v>
      </c>
      <c r="G3008" s="405" t="s">
        <v>3919</v>
      </c>
      <c r="H3008" s="74">
        <v>3351</v>
      </c>
      <c r="I3008" s="50" t="s">
        <v>2</v>
      </c>
      <c r="J3008" s="339" t="s">
        <v>176</v>
      </c>
      <c r="K3008" s="51">
        <v>41345</v>
      </c>
      <c r="L3008" s="173">
        <v>41341</v>
      </c>
      <c r="M3008" s="50">
        <f t="shared" si="172"/>
        <v>4</v>
      </c>
      <c r="N3008" s="50" t="s">
        <v>2</v>
      </c>
      <c r="O3008" s="74">
        <v>1.3</v>
      </c>
      <c r="P3008" s="50">
        <v>6.2</v>
      </c>
      <c r="R3008" s="50">
        <v>6.33</v>
      </c>
      <c r="S3008" s="74">
        <v>24</v>
      </c>
      <c r="T3008" s="50">
        <v>4.6300000000000001E-2</v>
      </c>
      <c r="U3008" s="131">
        <v>0.28000000000000003</v>
      </c>
      <c r="V3008" s="50">
        <v>0.3</v>
      </c>
      <c r="W3008" s="74">
        <v>0.29199999999999998</v>
      </c>
      <c r="X3008" s="50">
        <v>5.4100000000000002E-2</v>
      </c>
      <c r="Y3008" s="74">
        <f>0.0075/2</f>
        <v>3.7499999999999999E-3</v>
      </c>
      <c r="Z3008" s="165">
        <v>6.25E-2</v>
      </c>
      <c r="AA3008" s="271">
        <v>6.25E-2</v>
      </c>
      <c r="AB3008" s="114">
        <v>16</v>
      </c>
      <c r="AC3008" s="50">
        <v>127</v>
      </c>
      <c r="AD3008" s="271">
        <v>0</v>
      </c>
    </row>
    <row r="3009" spans="1:79" ht="15" customHeight="1">
      <c r="A3009" s="41" t="s">
        <v>183</v>
      </c>
      <c r="B3009" s="402" t="s">
        <v>1346</v>
      </c>
      <c r="C3009" s="113" t="s">
        <v>1893</v>
      </c>
      <c r="D3009" s="393" t="s">
        <v>251</v>
      </c>
      <c r="E3009" s="394" t="s">
        <v>252</v>
      </c>
      <c r="F3009" s="402">
        <v>4402</v>
      </c>
      <c r="G3009" s="405" t="s">
        <v>1348</v>
      </c>
      <c r="H3009" s="49">
        <v>3432</v>
      </c>
      <c r="I3009" s="50" t="s">
        <v>2</v>
      </c>
      <c r="J3009" s="339" t="s">
        <v>5703</v>
      </c>
      <c r="K3009" s="51">
        <v>41345</v>
      </c>
      <c r="L3009" s="173">
        <v>41341</v>
      </c>
      <c r="M3009" s="50">
        <f t="shared" si="172"/>
        <v>4</v>
      </c>
      <c r="N3009" s="50" t="s">
        <v>2</v>
      </c>
      <c r="O3009" s="74">
        <f>1.4/2</f>
        <v>0.7</v>
      </c>
      <c r="P3009" s="50">
        <v>6.53</v>
      </c>
      <c r="Q3009" s="74">
        <v>7.05</v>
      </c>
      <c r="R3009" s="50">
        <v>19</v>
      </c>
      <c r="S3009" s="74">
        <v>48</v>
      </c>
      <c r="T3009" s="50">
        <v>0.12</v>
      </c>
      <c r="U3009" s="131">
        <v>0.52</v>
      </c>
      <c r="V3009" s="50">
        <f>0.01/2</f>
        <v>5.0000000000000001E-3</v>
      </c>
      <c r="W3009" s="74">
        <v>0.156</v>
      </c>
      <c r="X3009" s="50">
        <v>0.24099999999999999</v>
      </c>
      <c r="Y3009" s="74">
        <v>1.0999999999999999E-2</v>
      </c>
      <c r="Z3009" s="165"/>
    </row>
    <row r="3010" spans="1:79" ht="15" customHeight="1">
      <c r="A3010" s="41" t="s">
        <v>183</v>
      </c>
      <c r="B3010" s="402" t="s">
        <v>1346</v>
      </c>
      <c r="C3010" s="113" t="s">
        <v>1893</v>
      </c>
      <c r="D3010" s="393" t="s">
        <v>251</v>
      </c>
      <c r="E3010" s="394" t="s">
        <v>252</v>
      </c>
      <c r="F3010" s="402">
        <v>4402</v>
      </c>
      <c r="G3010" s="405" t="s">
        <v>1348</v>
      </c>
      <c r="H3010" s="49">
        <v>3432</v>
      </c>
      <c r="I3010" s="50" t="s">
        <v>2</v>
      </c>
      <c r="J3010" s="339" t="s">
        <v>6026</v>
      </c>
      <c r="K3010" s="51">
        <v>41345</v>
      </c>
      <c r="L3010" s="173">
        <v>41341</v>
      </c>
      <c r="M3010" s="50">
        <f>K3010-L3010</f>
        <v>4</v>
      </c>
      <c r="N3010" s="50" t="s">
        <v>2</v>
      </c>
      <c r="O3010" s="74">
        <f>2/2</f>
        <v>1</v>
      </c>
      <c r="P3010" s="50">
        <v>6.53</v>
      </c>
      <c r="Q3010" s="74">
        <v>7.11</v>
      </c>
      <c r="R3010" s="50">
        <v>12</v>
      </c>
      <c r="S3010" s="74">
        <v>20</v>
      </c>
      <c r="T3010" s="50">
        <v>7.0000000000000007E-2</v>
      </c>
      <c r="U3010" s="131">
        <v>0.3</v>
      </c>
      <c r="V3010" s="50">
        <v>0.14000000000000001</v>
      </c>
      <c r="W3010" s="74">
        <v>0.04</v>
      </c>
      <c r="X3010" s="50">
        <v>7.3999999999999996E-2</v>
      </c>
      <c r="Y3010" s="74">
        <v>7.0000000000000001E-3</v>
      </c>
      <c r="Z3010" s="165"/>
    </row>
    <row r="3011" spans="1:79" s="400" customFormat="1" ht="15" customHeight="1">
      <c r="A3011" s="404" t="s">
        <v>4668</v>
      </c>
      <c r="B3011" s="402" t="s">
        <v>515</v>
      </c>
      <c r="C3011" s="113" t="s">
        <v>515</v>
      </c>
      <c r="D3011" s="393" t="s">
        <v>516</v>
      </c>
      <c r="E3011" s="394" t="s">
        <v>517</v>
      </c>
      <c r="F3011" s="402"/>
      <c r="G3011" s="405" t="s">
        <v>518</v>
      </c>
      <c r="H3011" s="404">
        <v>3357</v>
      </c>
      <c r="I3011" s="402" t="s">
        <v>1</v>
      </c>
      <c r="J3011" s="406" t="s">
        <v>81</v>
      </c>
      <c r="K3011" s="403">
        <v>41402</v>
      </c>
      <c r="L3011" s="398">
        <v>41384</v>
      </c>
      <c r="M3011" s="402">
        <f t="shared" ref="M3011:M3015" si="173">K3011-L3011</f>
        <v>18</v>
      </c>
      <c r="N3011" s="402" t="s">
        <v>2</v>
      </c>
      <c r="O3011" s="404">
        <f>1.4/2</f>
        <v>0.7</v>
      </c>
      <c r="P3011" s="402">
        <v>5.53</v>
      </c>
      <c r="Q3011" s="404">
        <v>6.22</v>
      </c>
      <c r="R3011" s="402">
        <v>42</v>
      </c>
      <c r="S3011" s="404">
        <v>88</v>
      </c>
      <c r="T3011" s="402">
        <v>0.22</v>
      </c>
      <c r="U3011" s="395">
        <v>1.89</v>
      </c>
      <c r="V3011" s="402">
        <v>0.41</v>
      </c>
      <c r="W3011" s="404">
        <v>4.2000000000000003E-2</v>
      </c>
      <c r="X3011" s="402">
        <v>0.155</v>
      </c>
      <c r="Y3011" s="404">
        <v>1.7999999999999999E-2</v>
      </c>
      <c r="Z3011" s="397"/>
      <c r="AA3011" s="399"/>
      <c r="AB3011" s="394"/>
      <c r="AC3011" s="402"/>
      <c r="AD3011" s="399"/>
      <c r="AE3011" s="402"/>
      <c r="AF3011" s="391"/>
      <c r="AG3011" s="394"/>
      <c r="AH3011" s="394"/>
      <c r="AI3011" s="394"/>
      <c r="AJ3011" s="394"/>
      <c r="AK3011" s="394"/>
      <c r="AL3011" s="394"/>
      <c r="AM3011" s="394"/>
      <c r="AN3011" s="394"/>
      <c r="AO3011" s="394"/>
      <c r="AP3011" s="394"/>
      <c r="AQ3011" s="394"/>
      <c r="AR3011" s="394"/>
      <c r="AS3011" s="402"/>
      <c r="AT3011" s="404"/>
      <c r="AU3011" s="394"/>
      <c r="AV3011" s="394"/>
      <c r="AW3011" s="394"/>
      <c r="AX3011" s="5"/>
      <c r="AY3011" s="5"/>
      <c r="AZ3011" s="5"/>
      <c r="BA3011" s="5"/>
      <c r="BB3011" s="5"/>
      <c r="BC3011" s="5"/>
      <c r="BD3011" s="5"/>
      <c r="BE3011" s="5"/>
      <c r="BF3011" s="5"/>
      <c r="BG3011" s="5"/>
      <c r="BH3011" s="5"/>
      <c r="BI3011" s="5"/>
      <c r="BJ3011" s="5"/>
      <c r="BK3011" s="5"/>
      <c r="BL3011" s="5"/>
      <c r="BM3011" s="5"/>
      <c r="BN3011" s="5"/>
      <c r="BO3011" s="5"/>
      <c r="BP3011" s="5"/>
      <c r="BQ3011" s="5"/>
      <c r="BR3011" s="5"/>
      <c r="BS3011" s="5"/>
      <c r="BT3011" s="5"/>
      <c r="BU3011" s="5"/>
      <c r="BV3011" s="5"/>
      <c r="BW3011" s="5"/>
      <c r="BX3011" s="5"/>
      <c r="BY3011" s="5"/>
      <c r="BZ3011" s="5"/>
      <c r="CA3011" s="5"/>
    </row>
    <row r="3012" spans="1:79" s="400" customFormat="1" ht="15" customHeight="1">
      <c r="A3012" s="404" t="s">
        <v>4668</v>
      </c>
      <c r="B3012" s="402" t="s">
        <v>5310</v>
      </c>
      <c r="C3012" s="113" t="s">
        <v>5310</v>
      </c>
      <c r="D3012" s="393" t="s">
        <v>308</v>
      </c>
      <c r="E3012" s="394"/>
      <c r="F3012" s="402" t="s">
        <v>5311</v>
      </c>
      <c r="G3012" s="405" t="s">
        <v>5312</v>
      </c>
      <c r="H3012" s="404">
        <v>3272</v>
      </c>
      <c r="I3012" s="402" t="s">
        <v>2</v>
      </c>
      <c r="J3012" s="406" t="s">
        <v>510</v>
      </c>
      <c r="K3012" s="403">
        <v>41345</v>
      </c>
      <c r="L3012" s="398">
        <v>41341</v>
      </c>
      <c r="M3012" s="402">
        <f t="shared" si="173"/>
        <v>4</v>
      </c>
      <c r="N3012" s="402" t="s">
        <v>2</v>
      </c>
      <c r="O3012" s="404">
        <v>1.7</v>
      </c>
      <c r="P3012" s="402">
        <v>6.5</v>
      </c>
      <c r="Q3012" s="404">
        <v>8.06</v>
      </c>
      <c r="R3012" s="402">
        <v>14</v>
      </c>
      <c r="S3012" s="404">
        <v>630</v>
      </c>
      <c r="T3012" s="402">
        <v>0.15</v>
      </c>
      <c r="U3012" s="395">
        <v>0.34</v>
      </c>
      <c r="V3012" s="402">
        <v>0.06</v>
      </c>
      <c r="W3012" s="404">
        <f>0.005/2</f>
        <v>2.5000000000000001E-3</v>
      </c>
      <c r="X3012" s="402">
        <v>2.7E-2</v>
      </c>
      <c r="Y3012" s="404">
        <v>3.0000000000000001E-3</v>
      </c>
      <c r="Z3012" s="397">
        <v>1</v>
      </c>
      <c r="AA3012" s="399">
        <v>1</v>
      </c>
      <c r="AB3012" s="394">
        <v>22</v>
      </c>
      <c r="AC3012" s="402">
        <v>88</v>
      </c>
      <c r="AD3012" s="399">
        <v>1</v>
      </c>
      <c r="AE3012" s="402"/>
      <c r="AF3012" s="391"/>
      <c r="AG3012" s="394"/>
      <c r="AH3012" s="394"/>
      <c r="AI3012" s="394"/>
      <c r="AJ3012" s="394"/>
      <c r="AK3012" s="394"/>
      <c r="AL3012" s="394"/>
      <c r="AM3012" s="394"/>
      <c r="AN3012" s="394"/>
      <c r="AO3012" s="394"/>
      <c r="AP3012" s="394"/>
      <c r="AQ3012" s="394"/>
      <c r="AR3012" s="394"/>
      <c r="AS3012" s="402"/>
      <c r="AT3012" s="404"/>
      <c r="AU3012" s="394"/>
      <c r="AV3012" s="394"/>
      <c r="AW3012" s="394"/>
      <c r="AX3012" s="5"/>
      <c r="AY3012" s="5"/>
      <c r="AZ3012" s="5"/>
      <c r="BA3012" s="5"/>
      <c r="BB3012" s="5"/>
      <c r="BC3012" s="5"/>
      <c r="BD3012" s="5"/>
      <c r="BE3012" s="5"/>
      <c r="BF3012" s="5"/>
      <c r="BG3012" s="5"/>
      <c r="BH3012" s="5"/>
      <c r="BI3012" s="5"/>
      <c r="BJ3012" s="5"/>
      <c r="BK3012" s="5"/>
      <c r="BL3012" s="5"/>
      <c r="BM3012" s="5"/>
      <c r="BN3012" s="5"/>
      <c r="BO3012" s="5"/>
      <c r="BP3012" s="5"/>
      <c r="BQ3012" s="5"/>
      <c r="BR3012" s="5"/>
      <c r="BS3012" s="5"/>
      <c r="BT3012" s="5"/>
      <c r="BU3012" s="5"/>
      <c r="BV3012" s="5"/>
      <c r="BW3012" s="5"/>
      <c r="BX3012" s="5"/>
      <c r="BY3012" s="5"/>
      <c r="BZ3012" s="5"/>
      <c r="CA3012" s="5"/>
    </row>
    <row r="3013" spans="1:79" s="400" customFormat="1" ht="15" customHeight="1">
      <c r="A3013" s="404" t="s">
        <v>4668</v>
      </c>
      <c r="B3013" s="402" t="s">
        <v>5704</v>
      </c>
      <c r="C3013" s="113" t="s">
        <v>5704</v>
      </c>
      <c r="D3013" s="393" t="s">
        <v>861</v>
      </c>
      <c r="E3013" s="394" t="s">
        <v>5705</v>
      </c>
      <c r="F3013" s="402"/>
      <c r="G3013" s="405" t="s">
        <v>5706</v>
      </c>
      <c r="H3013" s="404">
        <v>3471</v>
      </c>
      <c r="I3013" s="402" t="s">
        <v>2</v>
      </c>
      <c r="J3013" s="406" t="s">
        <v>5707</v>
      </c>
      <c r="K3013" s="403">
        <v>41427</v>
      </c>
      <c r="L3013" s="398">
        <v>41422</v>
      </c>
      <c r="M3013" s="402">
        <f t="shared" si="173"/>
        <v>5</v>
      </c>
      <c r="N3013" s="402" t="s">
        <v>2</v>
      </c>
      <c r="O3013" s="404">
        <f>5/2</f>
        <v>2.5</v>
      </c>
      <c r="P3013" s="402">
        <v>5.04</v>
      </c>
      <c r="Q3013" s="404">
        <v>5.05</v>
      </c>
      <c r="R3013" s="402">
        <v>35</v>
      </c>
      <c r="S3013" s="404">
        <v>6</v>
      </c>
      <c r="T3013" s="402">
        <f>0.1/2</f>
        <v>0.05</v>
      </c>
      <c r="U3013" s="395">
        <v>1.5</v>
      </c>
      <c r="V3013" s="402">
        <v>0.21</v>
      </c>
      <c r="W3013" s="404">
        <f>0.04/2</f>
        <v>0.02</v>
      </c>
      <c r="X3013" s="402">
        <v>8.5999999999999993E-2</v>
      </c>
      <c r="Y3013" s="404">
        <f>0.013/2</f>
        <v>6.4999999999999997E-3</v>
      </c>
      <c r="Z3013" s="397">
        <v>1</v>
      </c>
      <c r="AA3013" s="399">
        <v>1</v>
      </c>
      <c r="AB3013" s="394">
        <v>4.5</v>
      </c>
      <c r="AC3013" s="402">
        <v>20</v>
      </c>
      <c r="AD3013" s="399">
        <v>0.85</v>
      </c>
      <c r="AE3013" s="402"/>
      <c r="AF3013" s="391"/>
      <c r="AG3013" s="394"/>
      <c r="AH3013" s="394"/>
      <c r="AI3013" s="394"/>
      <c r="AJ3013" s="394"/>
      <c r="AK3013" s="394"/>
      <c r="AL3013" s="394"/>
      <c r="AM3013" s="394"/>
      <c r="AN3013" s="394"/>
      <c r="AO3013" s="394"/>
      <c r="AP3013" s="394"/>
      <c r="AQ3013" s="394"/>
      <c r="AR3013" s="394"/>
      <c r="AS3013" s="402"/>
      <c r="AT3013" s="404"/>
      <c r="AU3013" s="394"/>
      <c r="AV3013" s="394"/>
      <c r="AW3013" s="394"/>
      <c r="AX3013" s="5"/>
      <c r="AY3013" s="5"/>
      <c r="AZ3013" s="5"/>
      <c r="BA3013" s="5"/>
      <c r="BB3013" s="5"/>
      <c r="BC3013" s="5"/>
      <c r="BD3013" s="5"/>
      <c r="BE3013" s="5"/>
      <c r="BF3013" s="5"/>
      <c r="BG3013" s="5"/>
      <c r="BH3013" s="5"/>
      <c r="BI3013" s="5"/>
      <c r="BJ3013" s="5"/>
      <c r="BK3013" s="5"/>
      <c r="BL3013" s="5"/>
      <c r="BM3013" s="5"/>
      <c r="BN3013" s="5"/>
      <c r="BO3013" s="5"/>
      <c r="BP3013" s="5"/>
      <c r="BQ3013" s="5"/>
      <c r="BR3013" s="5"/>
      <c r="BS3013" s="5"/>
      <c r="BT3013" s="5"/>
      <c r="BU3013" s="5"/>
      <c r="BV3013" s="5"/>
      <c r="BW3013" s="5"/>
      <c r="BX3013" s="5"/>
      <c r="BY3013" s="5"/>
      <c r="BZ3013" s="5"/>
      <c r="CA3013" s="5"/>
    </row>
    <row r="3014" spans="1:79" s="400" customFormat="1" ht="15" customHeight="1">
      <c r="A3014" s="404" t="s">
        <v>4668</v>
      </c>
      <c r="B3014" s="402" t="s">
        <v>515</v>
      </c>
      <c r="C3014" s="113" t="s">
        <v>515</v>
      </c>
      <c r="D3014" s="393" t="s">
        <v>516</v>
      </c>
      <c r="E3014" s="394" t="s">
        <v>517</v>
      </c>
      <c r="F3014" s="402"/>
      <c r="G3014" s="405" t="s">
        <v>518</v>
      </c>
      <c r="H3014" s="404">
        <v>3357</v>
      </c>
      <c r="I3014" s="402" t="s">
        <v>1</v>
      </c>
      <c r="J3014" s="406" t="s">
        <v>81</v>
      </c>
      <c r="K3014" s="403">
        <v>41044</v>
      </c>
      <c r="L3014" s="398">
        <v>41038</v>
      </c>
      <c r="M3014" s="402">
        <f t="shared" si="173"/>
        <v>6</v>
      </c>
      <c r="N3014" s="402" t="s">
        <v>2</v>
      </c>
      <c r="O3014" s="404">
        <f>1.4/2</f>
        <v>0.7</v>
      </c>
      <c r="P3014" s="402">
        <v>5.33</v>
      </c>
      <c r="Q3014" s="404">
        <v>6.05</v>
      </c>
      <c r="R3014" s="402">
        <v>39</v>
      </c>
      <c r="S3014" s="404">
        <v>8.5</v>
      </c>
      <c r="T3014" s="402">
        <v>0.02</v>
      </c>
      <c r="U3014" s="395">
        <v>0.52</v>
      </c>
      <c r="V3014" s="402">
        <v>4.04</v>
      </c>
      <c r="W3014" s="404">
        <v>6.0000000000000001E-3</v>
      </c>
      <c r="X3014" s="402">
        <v>5.7000000000000002E-2</v>
      </c>
      <c r="Y3014" s="404">
        <f>0.002/2</f>
        <v>1E-3</v>
      </c>
      <c r="Z3014" s="397"/>
      <c r="AA3014" s="399"/>
      <c r="AB3014" s="394"/>
      <c r="AC3014" s="402"/>
      <c r="AD3014" s="399"/>
      <c r="AE3014" s="402">
        <v>490</v>
      </c>
      <c r="AF3014" s="391"/>
      <c r="AG3014" s="394"/>
      <c r="AH3014" s="394"/>
      <c r="AI3014" s="394"/>
      <c r="AJ3014" s="394"/>
      <c r="AK3014" s="394"/>
      <c r="AL3014" s="394"/>
      <c r="AM3014" s="394"/>
      <c r="AN3014" s="394"/>
      <c r="AO3014" s="394"/>
      <c r="AP3014" s="394"/>
      <c r="AQ3014" s="394"/>
      <c r="AR3014" s="394"/>
      <c r="AS3014" s="402"/>
      <c r="AT3014" s="404"/>
      <c r="AU3014" s="394"/>
      <c r="AV3014" s="394"/>
      <c r="AW3014" s="394"/>
      <c r="AX3014" s="5"/>
      <c r="AY3014" s="5"/>
      <c r="AZ3014" s="5"/>
      <c r="BA3014" s="5"/>
      <c r="BB3014" s="5"/>
      <c r="BC3014" s="5"/>
      <c r="BD3014" s="5"/>
      <c r="BE3014" s="5"/>
      <c r="BF3014" s="5"/>
      <c r="BG3014" s="5"/>
      <c r="BH3014" s="5"/>
      <c r="BI3014" s="5"/>
      <c r="BJ3014" s="5"/>
      <c r="BK3014" s="5"/>
      <c r="BL3014" s="5"/>
      <c r="BM3014" s="5"/>
      <c r="BN3014" s="5"/>
      <c r="BO3014" s="5"/>
      <c r="BP3014" s="5"/>
      <c r="BQ3014" s="5"/>
      <c r="BR3014" s="5"/>
      <c r="BS3014" s="5"/>
      <c r="BT3014" s="5"/>
      <c r="BU3014" s="5"/>
      <c r="BV3014" s="5"/>
      <c r="BW3014" s="5"/>
      <c r="BX3014" s="5"/>
      <c r="BY3014" s="5"/>
      <c r="BZ3014" s="5"/>
      <c r="CA3014" s="5"/>
    </row>
    <row r="3015" spans="1:79" s="400" customFormat="1" ht="15" customHeight="1">
      <c r="A3015" s="404" t="s">
        <v>4668</v>
      </c>
      <c r="B3015" s="402" t="s">
        <v>5708</v>
      </c>
      <c r="C3015" s="113" t="s">
        <v>5708</v>
      </c>
      <c r="D3015" s="393" t="s">
        <v>640</v>
      </c>
      <c r="E3015" s="394" t="s">
        <v>5709</v>
      </c>
      <c r="F3015" s="402"/>
      <c r="G3015" s="405" t="s">
        <v>5710</v>
      </c>
      <c r="H3015" s="404">
        <v>2842</v>
      </c>
      <c r="I3015" s="402" t="s">
        <v>2</v>
      </c>
      <c r="J3015" s="406" t="s">
        <v>5711</v>
      </c>
      <c r="K3015" s="403">
        <v>41030</v>
      </c>
      <c r="L3015" s="398">
        <v>41022</v>
      </c>
      <c r="M3015" s="402">
        <f t="shared" si="173"/>
        <v>8</v>
      </c>
      <c r="N3015" s="402" t="s">
        <v>2</v>
      </c>
      <c r="O3015" s="404">
        <f>1/2</f>
        <v>0.5</v>
      </c>
      <c r="P3015" s="402">
        <v>5.78</v>
      </c>
      <c r="Q3015" s="404">
        <v>7.14</v>
      </c>
      <c r="R3015" s="402">
        <v>41</v>
      </c>
      <c r="S3015" s="404">
        <v>7</v>
      </c>
      <c r="T3015" s="402">
        <v>0.26</v>
      </c>
      <c r="U3015" s="395">
        <v>0.7</v>
      </c>
      <c r="V3015" s="402">
        <v>1.1100000000000001</v>
      </c>
      <c r="W3015" s="404">
        <v>7.0000000000000007E-2</v>
      </c>
      <c r="X3015" s="402">
        <v>7.0000000000000007E-2</v>
      </c>
      <c r="Y3015" s="404">
        <f>0.05/2</f>
        <v>2.5000000000000001E-2</v>
      </c>
      <c r="Z3015" s="397">
        <v>1</v>
      </c>
      <c r="AA3015" s="399">
        <v>1</v>
      </c>
      <c r="AB3015" s="394">
        <f>1/2</f>
        <v>0.5</v>
      </c>
      <c r="AC3015" s="402">
        <v>104</v>
      </c>
      <c r="AD3015" s="399">
        <v>1</v>
      </c>
      <c r="AE3015" s="402"/>
      <c r="AF3015" s="391"/>
      <c r="AG3015" s="394"/>
      <c r="AH3015" s="394"/>
      <c r="AI3015" s="394"/>
      <c r="AJ3015" s="394"/>
      <c r="AK3015" s="394"/>
      <c r="AL3015" s="394"/>
      <c r="AM3015" s="394"/>
      <c r="AN3015" s="394"/>
      <c r="AO3015" s="394"/>
      <c r="AP3015" s="394"/>
      <c r="AQ3015" s="394"/>
      <c r="AR3015" s="394"/>
      <c r="AS3015" s="402"/>
      <c r="AT3015" s="404"/>
      <c r="AU3015" s="394"/>
      <c r="AV3015" s="394"/>
      <c r="AW3015" s="394"/>
      <c r="AX3015" s="5"/>
      <c r="AY3015" s="5"/>
      <c r="AZ3015" s="5"/>
      <c r="BA3015" s="5"/>
      <c r="BB3015" s="5"/>
      <c r="BC3015" s="5"/>
      <c r="BD3015" s="5"/>
      <c r="BE3015" s="5"/>
      <c r="BF3015" s="5"/>
      <c r="BG3015" s="5"/>
      <c r="BH3015" s="5"/>
      <c r="BI3015" s="5"/>
      <c r="BJ3015" s="5"/>
      <c r="BK3015" s="5"/>
      <c r="BL3015" s="5"/>
      <c r="BM3015" s="5"/>
      <c r="BN3015" s="5"/>
      <c r="BO3015" s="5"/>
      <c r="BP3015" s="5"/>
      <c r="BQ3015" s="5"/>
      <c r="BR3015" s="5"/>
      <c r="BS3015" s="5"/>
      <c r="BT3015" s="5"/>
      <c r="BU3015" s="5"/>
      <c r="BV3015" s="5"/>
      <c r="BW3015" s="5"/>
      <c r="BX3015" s="5"/>
      <c r="BY3015" s="5"/>
      <c r="BZ3015" s="5"/>
      <c r="CA3015" s="5"/>
    </row>
    <row r="3016" spans="1:79" ht="15" customHeight="1">
      <c r="A3016" s="41" t="s">
        <v>183</v>
      </c>
      <c r="B3016" s="402" t="s">
        <v>5712</v>
      </c>
      <c r="C3016" s="113" t="s">
        <v>5712</v>
      </c>
      <c r="D3016" s="393" t="s">
        <v>379</v>
      </c>
      <c r="E3016" s="394" t="s">
        <v>1301</v>
      </c>
      <c r="G3016" s="405" t="s">
        <v>1302</v>
      </c>
      <c r="H3016" s="74">
        <v>4953</v>
      </c>
      <c r="I3016" s="50" t="s">
        <v>2</v>
      </c>
      <c r="J3016" s="339" t="s">
        <v>5713</v>
      </c>
      <c r="K3016" s="51">
        <v>41180</v>
      </c>
      <c r="L3016" s="173">
        <v>41178</v>
      </c>
      <c r="M3016" s="50">
        <f t="shared" si="172"/>
        <v>2</v>
      </c>
      <c r="N3016" s="50" t="s">
        <v>2</v>
      </c>
      <c r="O3016" s="74">
        <f>5/2</f>
        <v>2.5</v>
      </c>
      <c r="Q3016" s="74">
        <v>5.99</v>
      </c>
      <c r="R3016" s="50">
        <v>28.4</v>
      </c>
      <c r="S3016" s="74">
        <f>6.25/2</f>
        <v>3.125</v>
      </c>
      <c r="T3016" s="50">
        <v>0.23699999999999999</v>
      </c>
      <c r="U3016" s="131">
        <v>0.92100000000000004</v>
      </c>
      <c r="V3016" s="50">
        <v>0.78400000000000003</v>
      </c>
      <c r="W3016" s="74">
        <v>1.7500000000000002E-2</v>
      </c>
      <c r="X3016" s="50">
        <v>0.20499999999999999</v>
      </c>
      <c r="Y3016" s="74">
        <v>4.6600000000000001E-3</v>
      </c>
      <c r="Z3016" s="165">
        <v>1</v>
      </c>
      <c r="AA3016" s="271">
        <v>0.79100000000000004</v>
      </c>
      <c r="AB3016" s="114">
        <v>10</v>
      </c>
      <c r="AC3016" s="50">
        <v>96.48</v>
      </c>
      <c r="AD3016" s="271">
        <v>0.2</v>
      </c>
    </row>
    <row r="3017" spans="1:79" s="400" customFormat="1" ht="15" customHeight="1">
      <c r="A3017" s="41" t="s">
        <v>183</v>
      </c>
      <c r="B3017" s="402" t="s">
        <v>4780</v>
      </c>
      <c r="C3017" s="113" t="s">
        <v>4780</v>
      </c>
      <c r="D3017" s="393" t="s">
        <v>636</v>
      </c>
      <c r="E3017" s="394" t="s">
        <v>4781</v>
      </c>
      <c r="F3017" s="402" t="s">
        <v>4916</v>
      </c>
      <c r="G3017" s="405" t="s">
        <v>2046</v>
      </c>
      <c r="H3017" s="404">
        <v>2653</v>
      </c>
      <c r="I3017" s="402" t="s">
        <v>2</v>
      </c>
      <c r="J3017" s="406" t="s">
        <v>194</v>
      </c>
      <c r="K3017" s="403">
        <v>41030</v>
      </c>
      <c r="L3017" s="398">
        <v>41021</v>
      </c>
      <c r="M3017" s="402">
        <f t="shared" si="172"/>
        <v>9</v>
      </c>
      <c r="N3017" s="402" t="s">
        <v>2</v>
      </c>
      <c r="O3017" s="404">
        <f>1.4/2</f>
        <v>0.7</v>
      </c>
      <c r="P3017" s="402">
        <v>5.22</v>
      </c>
      <c r="Q3017" s="404">
        <v>5.83</v>
      </c>
      <c r="R3017" s="402">
        <v>55</v>
      </c>
      <c r="S3017" s="404">
        <v>18</v>
      </c>
      <c r="T3017" s="402">
        <v>0.15</v>
      </c>
      <c r="U3017" s="395">
        <v>5.52</v>
      </c>
      <c r="V3017" s="402">
        <v>0.78</v>
      </c>
      <c r="W3017" s="404">
        <v>1.6E-2</v>
      </c>
      <c r="X3017" s="402">
        <v>0.107</v>
      </c>
      <c r="Y3017" s="404">
        <v>4.0000000000000001E-3</v>
      </c>
      <c r="Z3017" s="397"/>
      <c r="AA3017" s="399"/>
      <c r="AB3017" s="394"/>
      <c r="AC3017" s="402"/>
      <c r="AD3017" s="399"/>
      <c r="AE3017" s="402"/>
      <c r="AF3017" s="391"/>
      <c r="AG3017" s="394"/>
      <c r="AH3017" s="394"/>
      <c r="AI3017" s="394"/>
      <c r="AJ3017" s="394"/>
      <c r="AK3017" s="394"/>
      <c r="AL3017" s="394"/>
      <c r="AM3017" s="394"/>
      <c r="AN3017" s="394"/>
      <c r="AO3017" s="394"/>
      <c r="AP3017" s="394"/>
      <c r="AQ3017" s="394"/>
      <c r="AR3017" s="394"/>
      <c r="AS3017" s="402"/>
      <c r="AT3017" s="404"/>
      <c r="AU3017" s="394"/>
      <c r="AV3017" s="394"/>
      <c r="AW3017" s="394"/>
      <c r="AX3017" s="5"/>
      <c r="AY3017" s="5"/>
      <c r="AZ3017" s="5"/>
      <c r="BA3017" s="5"/>
      <c r="BB3017" s="5"/>
      <c r="BC3017" s="5"/>
      <c r="BD3017" s="5"/>
      <c r="BE3017" s="5"/>
      <c r="BF3017" s="5"/>
      <c r="BG3017" s="5"/>
      <c r="BH3017" s="5"/>
      <c r="BI3017" s="5"/>
      <c r="BJ3017" s="5"/>
      <c r="BK3017" s="5"/>
      <c r="BL3017" s="5"/>
      <c r="BM3017" s="5"/>
      <c r="BN3017" s="5"/>
      <c r="BO3017" s="5"/>
      <c r="BP3017" s="5"/>
      <c r="BQ3017" s="5"/>
      <c r="BR3017" s="5"/>
      <c r="BS3017" s="5"/>
      <c r="BT3017" s="5"/>
      <c r="BU3017" s="5"/>
      <c r="BV3017" s="5"/>
      <c r="BW3017" s="5"/>
      <c r="BX3017" s="5"/>
      <c r="BY3017" s="5"/>
      <c r="BZ3017" s="5"/>
      <c r="CA3017" s="5"/>
    </row>
    <row r="3018" spans="1:79" s="400" customFormat="1" ht="15" customHeight="1">
      <c r="A3018" s="41" t="s">
        <v>183</v>
      </c>
      <c r="B3018" s="402" t="s">
        <v>4780</v>
      </c>
      <c r="C3018" s="113" t="s">
        <v>4780</v>
      </c>
      <c r="D3018" s="393" t="s">
        <v>636</v>
      </c>
      <c r="E3018" s="394" t="s">
        <v>4781</v>
      </c>
      <c r="F3018" s="402" t="s">
        <v>4916</v>
      </c>
      <c r="G3018" s="405" t="s">
        <v>2046</v>
      </c>
      <c r="H3018" s="404">
        <v>2653</v>
      </c>
      <c r="I3018" s="402" t="s">
        <v>2</v>
      </c>
      <c r="J3018" s="406" t="s">
        <v>586</v>
      </c>
      <c r="K3018" s="403">
        <v>41030</v>
      </c>
      <c r="L3018" s="398">
        <v>41021</v>
      </c>
      <c r="M3018" s="402">
        <f t="shared" si="172"/>
        <v>9</v>
      </c>
      <c r="N3018" s="402" t="s">
        <v>2</v>
      </c>
      <c r="O3018" s="404">
        <f>1.4/2</f>
        <v>0.7</v>
      </c>
      <c r="P3018" s="402">
        <v>5.22</v>
      </c>
      <c r="Q3018" s="404">
        <v>5.21</v>
      </c>
      <c r="R3018" s="402">
        <v>22</v>
      </c>
      <c r="S3018" s="404">
        <v>25</v>
      </c>
      <c r="T3018" s="402">
        <v>0.12</v>
      </c>
      <c r="U3018" s="395">
        <v>0.82</v>
      </c>
      <c r="V3018" s="402">
        <v>0.23</v>
      </c>
      <c r="W3018" s="404">
        <v>1.2999999999999999E-2</v>
      </c>
      <c r="X3018" s="402">
        <v>3.1E-2</v>
      </c>
      <c r="Y3018" s="404">
        <v>5.0000000000000001E-3</v>
      </c>
      <c r="Z3018" s="397"/>
      <c r="AA3018" s="399"/>
      <c r="AB3018" s="394"/>
      <c r="AC3018" s="402"/>
      <c r="AD3018" s="399"/>
      <c r="AE3018" s="402"/>
      <c r="AF3018" s="391"/>
      <c r="AG3018" s="394"/>
      <c r="AH3018" s="394"/>
      <c r="AI3018" s="394"/>
      <c r="AJ3018" s="394"/>
      <c r="AK3018" s="394"/>
      <c r="AL3018" s="394"/>
      <c r="AM3018" s="394"/>
      <c r="AN3018" s="394"/>
      <c r="AO3018" s="394"/>
      <c r="AP3018" s="394"/>
      <c r="AQ3018" s="394"/>
      <c r="AR3018" s="394"/>
      <c r="AS3018" s="402"/>
      <c r="AT3018" s="404"/>
      <c r="AU3018" s="394"/>
      <c r="AV3018" s="394"/>
      <c r="AW3018" s="394"/>
      <c r="AX3018" s="5"/>
      <c r="AY3018" s="5"/>
      <c r="AZ3018" s="5"/>
      <c r="BA3018" s="5"/>
      <c r="BB3018" s="5"/>
      <c r="BC3018" s="5"/>
      <c r="BD3018" s="5"/>
      <c r="BE3018" s="5"/>
      <c r="BF3018" s="5"/>
      <c r="BG3018" s="5"/>
      <c r="BH3018" s="5"/>
      <c r="BI3018" s="5"/>
      <c r="BJ3018" s="5"/>
      <c r="BK3018" s="5"/>
      <c r="BL3018" s="5"/>
      <c r="BM3018" s="5"/>
      <c r="BN3018" s="5"/>
      <c r="BO3018" s="5"/>
      <c r="BP3018" s="5"/>
      <c r="BQ3018" s="5"/>
      <c r="BR3018" s="5"/>
      <c r="BS3018" s="5"/>
      <c r="BT3018" s="5"/>
      <c r="BU3018" s="5"/>
      <c r="BV3018" s="5"/>
      <c r="BW3018" s="5"/>
      <c r="BX3018" s="5"/>
      <c r="BY3018" s="5"/>
      <c r="BZ3018" s="5"/>
      <c r="CA3018" s="5"/>
    </row>
    <row r="3019" spans="1:79" s="400" customFormat="1" ht="15" customHeight="1">
      <c r="A3019" s="404" t="s">
        <v>4668</v>
      </c>
      <c r="B3019" s="402" t="s">
        <v>5622</v>
      </c>
      <c r="C3019" s="113" t="s">
        <v>5622</v>
      </c>
      <c r="D3019" s="393" t="s">
        <v>89</v>
      </c>
      <c r="E3019" s="394" t="s">
        <v>5624</v>
      </c>
      <c r="F3019" s="402"/>
      <c r="G3019" s="405" t="s">
        <v>5625</v>
      </c>
      <c r="H3019" s="404">
        <v>3499</v>
      </c>
      <c r="I3019" s="402" t="s">
        <v>1</v>
      </c>
      <c r="J3019" s="406" t="s">
        <v>5714</v>
      </c>
      <c r="K3019" s="403">
        <v>40996</v>
      </c>
      <c r="L3019" s="398">
        <v>40971</v>
      </c>
      <c r="M3019" s="402">
        <f t="shared" si="172"/>
        <v>25</v>
      </c>
      <c r="N3019" s="402" t="s">
        <v>2</v>
      </c>
      <c r="O3019" s="404">
        <v>2.8</v>
      </c>
      <c r="P3019" s="402">
        <v>6.2</v>
      </c>
      <c r="Q3019" s="404">
        <v>5.8</v>
      </c>
      <c r="R3019" s="402">
        <v>16</v>
      </c>
      <c r="S3019" s="404">
        <v>26</v>
      </c>
      <c r="T3019" s="402">
        <v>0.06</v>
      </c>
      <c r="U3019" s="395">
        <v>1.89</v>
      </c>
      <c r="V3019" s="402">
        <v>0.96</v>
      </c>
      <c r="W3019" s="404">
        <v>0.01</v>
      </c>
      <c r="X3019" s="402">
        <v>0.61</v>
      </c>
      <c r="Y3019" s="404">
        <f>0.001/2</f>
        <v>5.0000000000000001E-4</v>
      </c>
      <c r="Z3019" s="397">
        <v>0.70699999999999996</v>
      </c>
      <c r="AA3019" s="399">
        <v>0.70699999999999996</v>
      </c>
      <c r="AB3019" s="394">
        <v>3</v>
      </c>
      <c r="AC3019" s="402">
        <v>39</v>
      </c>
      <c r="AD3019" s="399">
        <v>0</v>
      </c>
      <c r="AE3019" s="402"/>
      <c r="AF3019" s="391"/>
      <c r="AG3019" s="394"/>
      <c r="AH3019" s="394"/>
      <c r="AI3019" s="394"/>
      <c r="AJ3019" s="394"/>
      <c r="AK3019" s="394"/>
      <c r="AL3019" s="394"/>
      <c r="AM3019" s="394"/>
      <c r="AN3019" s="394"/>
      <c r="AO3019" s="394"/>
      <c r="AP3019" s="394"/>
      <c r="AQ3019" s="394"/>
      <c r="AR3019" s="394"/>
      <c r="AS3019" s="402"/>
      <c r="AT3019" s="404"/>
      <c r="AU3019" s="394"/>
      <c r="AV3019" s="394"/>
      <c r="AW3019" s="394"/>
      <c r="AX3019" s="5"/>
      <c r="AY3019" s="5"/>
      <c r="AZ3019" s="5"/>
      <c r="BA3019" s="5"/>
      <c r="BB3019" s="5"/>
      <c r="BC3019" s="5"/>
      <c r="BD3019" s="5"/>
      <c r="BE3019" s="5"/>
      <c r="BF3019" s="5"/>
      <c r="BG3019" s="5"/>
      <c r="BH3019" s="5"/>
      <c r="BI3019" s="5"/>
      <c r="BJ3019" s="5"/>
      <c r="BK3019" s="5"/>
      <c r="BL3019" s="5"/>
      <c r="BM3019" s="5"/>
      <c r="BN3019" s="5"/>
      <c r="BO3019" s="5"/>
      <c r="BP3019" s="5"/>
      <c r="BQ3019" s="5"/>
      <c r="BR3019" s="5"/>
      <c r="BS3019" s="5"/>
      <c r="BT3019" s="5"/>
      <c r="BU3019" s="5"/>
      <c r="BV3019" s="5"/>
      <c r="BW3019" s="5"/>
      <c r="BX3019" s="5"/>
      <c r="BY3019" s="5"/>
      <c r="BZ3019" s="5"/>
      <c r="CA3019" s="5"/>
    </row>
    <row r="3020" spans="1:79" s="400" customFormat="1" ht="15" customHeight="1">
      <c r="A3020" s="404" t="s">
        <v>4668</v>
      </c>
      <c r="B3020" s="402" t="s">
        <v>3241</v>
      </c>
      <c r="C3020" s="113" t="s">
        <v>3242</v>
      </c>
      <c r="D3020" s="393" t="s">
        <v>836</v>
      </c>
      <c r="E3020" s="394" t="s">
        <v>3243</v>
      </c>
      <c r="F3020" s="402"/>
      <c r="G3020" s="405" t="s">
        <v>3244</v>
      </c>
      <c r="H3020" s="404">
        <v>2754</v>
      </c>
      <c r="I3020" s="402" t="s">
        <v>2</v>
      </c>
      <c r="J3020" s="406" t="s">
        <v>81</v>
      </c>
      <c r="K3020" s="403">
        <v>41030</v>
      </c>
      <c r="L3020" s="398">
        <v>41022</v>
      </c>
      <c r="M3020" s="402">
        <f t="shared" si="172"/>
        <v>8</v>
      </c>
      <c r="N3020" s="402" t="s">
        <v>2</v>
      </c>
      <c r="O3020" s="404">
        <f t="shared" ref="O3020:O3026" si="174">5/2</f>
        <v>2.5</v>
      </c>
      <c r="P3020" s="402">
        <v>6</v>
      </c>
      <c r="Q3020" s="404">
        <v>5.96</v>
      </c>
      <c r="R3020" s="402">
        <f>5/2</f>
        <v>2.5</v>
      </c>
      <c r="S3020" s="404">
        <f>5/2</f>
        <v>2.5</v>
      </c>
      <c r="T3020" s="402">
        <f>0.1/2</f>
        <v>0.05</v>
      </c>
      <c r="U3020" s="395">
        <f t="shared" ref="U3020:U3026" si="175">1/2</f>
        <v>0.5</v>
      </c>
      <c r="V3020" s="402">
        <v>0.3</v>
      </c>
      <c r="W3020" s="404">
        <f t="shared" ref="W3020:W3026" si="176">0.04/2</f>
        <v>0.02</v>
      </c>
      <c r="X3020" s="402">
        <v>5.8000000000000003E-2</v>
      </c>
      <c r="Y3020" s="404">
        <f>0.013/2</f>
        <v>6.4999999999999997E-3</v>
      </c>
      <c r="Z3020" s="397"/>
      <c r="AA3020" s="399"/>
      <c r="AB3020" s="394"/>
      <c r="AC3020" s="402"/>
      <c r="AD3020" s="399"/>
      <c r="AE3020" s="402"/>
      <c r="AF3020" s="391"/>
      <c r="AG3020" s="394"/>
      <c r="AH3020" s="394"/>
      <c r="AI3020" s="394"/>
      <c r="AJ3020" s="394"/>
      <c r="AK3020" s="394"/>
      <c r="AL3020" s="394"/>
      <c r="AM3020" s="394"/>
      <c r="AN3020" s="394"/>
      <c r="AO3020" s="394"/>
      <c r="AP3020" s="394"/>
      <c r="AQ3020" s="394"/>
      <c r="AR3020" s="394"/>
      <c r="AS3020" s="402"/>
      <c r="AT3020" s="404"/>
      <c r="AU3020" s="394"/>
      <c r="AV3020" s="394"/>
      <c r="AW3020" s="394"/>
      <c r="AX3020" s="5"/>
      <c r="AY3020" s="5"/>
      <c r="AZ3020" s="5"/>
      <c r="BA3020" s="5"/>
      <c r="BB3020" s="5"/>
      <c r="BC3020" s="5"/>
      <c r="BD3020" s="5"/>
      <c r="BE3020" s="5"/>
      <c r="BF3020" s="5"/>
      <c r="BG3020" s="5"/>
      <c r="BH3020" s="5"/>
      <c r="BI3020" s="5"/>
      <c r="BJ3020" s="5"/>
      <c r="BK3020" s="5"/>
      <c r="BL3020" s="5"/>
      <c r="BM3020" s="5"/>
      <c r="BN3020" s="5"/>
      <c r="BO3020" s="5"/>
      <c r="BP3020" s="5"/>
      <c r="BQ3020" s="5"/>
      <c r="BR3020" s="5"/>
      <c r="BS3020" s="5"/>
      <c r="BT3020" s="5"/>
      <c r="BU3020" s="5"/>
      <c r="BV3020" s="5"/>
      <c r="BW3020" s="5"/>
      <c r="BX3020" s="5"/>
      <c r="BY3020" s="5"/>
      <c r="BZ3020" s="5"/>
      <c r="CA3020" s="5"/>
    </row>
    <row r="3021" spans="1:79" s="400" customFormat="1" ht="15" customHeight="1">
      <c r="A3021" s="404" t="s">
        <v>4668</v>
      </c>
      <c r="B3021" s="402" t="s">
        <v>3241</v>
      </c>
      <c r="C3021" s="113" t="s">
        <v>3242</v>
      </c>
      <c r="D3021" s="393" t="s">
        <v>836</v>
      </c>
      <c r="E3021" s="394" t="s">
        <v>3243</v>
      </c>
      <c r="F3021" s="402"/>
      <c r="G3021" s="405" t="s">
        <v>3244</v>
      </c>
      <c r="H3021" s="404">
        <v>2754</v>
      </c>
      <c r="I3021" s="402" t="s">
        <v>2</v>
      </c>
      <c r="J3021" s="406" t="s">
        <v>114</v>
      </c>
      <c r="K3021" s="403">
        <v>41030</v>
      </c>
      <c r="L3021" s="398">
        <v>41022</v>
      </c>
      <c r="M3021" s="402">
        <f t="shared" si="172"/>
        <v>8</v>
      </c>
      <c r="N3021" s="402" t="s">
        <v>2</v>
      </c>
      <c r="O3021" s="404">
        <f t="shared" si="174"/>
        <v>2.5</v>
      </c>
      <c r="P3021" s="402">
        <v>6</v>
      </c>
      <c r="Q3021" s="404">
        <v>5.83</v>
      </c>
      <c r="R3021" s="402">
        <f>5/2</f>
        <v>2.5</v>
      </c>
      <c r="S3021" s="404">
        <f>5/2</f>
        <v>2.5</v>
      </c>
      <c r="T3021" s="402">
        <f>0.1/2</f>
        <v>0.05</v>
      </c>
      <c r="U3021" s="395">
        <f t="shared" si="175"/>
        <v>0.5</v>
      </c>
      <c r="V3021" s="402">
        <v>0.21</v>
      </c>
      <c r="W3021" s="404">
        <f t="shared" si="176"/>
        <v>0.02</v>
      </c>
      <c r="X3021" s="402">
        <v>4.7E-2</v>
      </c>
      <c r="Y3021" s="404">
        <f>0.013/2</f>
        <v>6.4999999999999997E-3</v>
      </c>
      <c r="Z3021" s="397"/>
      <c r="AA3021" s="399"/>
      <c r="AB3021" s="394"/>
      <c r="AC3021" s="402"/>
      <c r="AD3021" s="399"/>
      <c r="AE3021" s="402"/>
      <c r="AF3021" s="391"/>
      <c r="AG3021" s="394"/>
      <c r="AH3021" s="394"/>
      <c r="AI3021" s="394"/>
      <c r="AJ3021" s="394"/>
      <c r="AK3021" s="394"/>
      <c r="AL3021" s="394"/>
      <c r="AM3021" s="394"/>
      <c r="AN3021" s="394"/>
      <c r="AO3021" s="394"/>
      <c r="AP3021" s="394"/>
      <c r="AQ3021" s="394"/>
      <c r="AR3021" s="394"/>
      <c r="AS3021" s="402"/>
      <c r="AT3021" s="404"/>
      <c r="AU3021" s="394"/>
      <c r="AV3021" s="394"/>
      <c r="AW3021" s="394"/>
      <c r="AX3021" s="5"/>
      <c r="AY3021" s="5"/>
      <c r="AZ3021" s="5"/>
      <c r="BA3021" s="5"/>
      <c r="BB3021" s="5"/>
      <c r="BC3021" s="5"/>
      <c r="BD3021" s="5"/>
      <c r="BE3021" s="5"/>
      <c r="BF3021" s="5"/>
      <c r="BG3021" s="5"/>
      <c r="BH3021" s="5"/>
      <c r="BI3021" s="5"/>
      <c r="BJ3021" s="5"/>
      <c r="BK3021" s="5"/>
      <c r="BL3021" s="5"/>
      <c r="BM3021" s="5"/>
      <c r="BN3021" s="5"/>
      <c r="BO3021" s="5"/>
      <c r="BP3021" s="5"/>
      <c r="BQ3021" s="5"/>
      <c r="BR3021" s="5"/>
      <c r="BS3021" s="5"/>
      <c r="BT3021" s="5"/>
      <c r="BU3021" s="5"/>
      <c r="BV3021" s="5"/>
      <c r="BW3021" s="5"/>
      <c r="BX3021" s="5"/>
      <c r="BY3021" s="5"/>
      <c r="BZ3021" s="5"/>
      <c r="CA3021" s="5"/>
    </row>
    <row r="3022" spans="1:79" s="400" customFormat="1" ht="15" customHeight="1">
      <c r="A3022" s="404" t="s">
        <v>4668</v>
      </c>
      <c r="B3022" s="402" t="s">
        <v>1040</v>
      </c>
      <c r="C3022" s="113" t="s">
        <v>1041</v>
      </c>
      <c r="D3022" s="393" t="s">
        <v>257</v>
      </c>
      <c r="E3022" s="394" t="s">
        <v>512</v>
      </c>
      <c r="F3022" s="402"/>
      <c r="G3022" s="405" t="s">
        <v>1042</v>
      </c>
      <c r="H3022" s="404">
        <v>3089</v>
      </c>
      <c r="I3022" s="402" t="s">
        <v>2</v>
      </c>
      <c r="J3022" s="393" t="s">
        <v>1047</v>
      </c>
      <c r="K3022" s="403">
        <v>41030</v>
      </c>
      <c r="L3022" s="398">
        <v>41022</v>
      </c>
      <c r="M3022" s="402">
        <f t="shared" si="172"/>
        <v>8</v>
      </c>
      <c r="N3022" s="402" t="s">
        <v>2</v>
      </c>
      <c r="O3022" s="404">
        <f t="shared" si="174"/>
        <v>2.5</v>
      </c>
      <c r="P3022" s="402">
        <v>6</v>
      </c>
      <c r="Q3022" s="404">
        <v>6.8</v>
      </c>
      <c r="R3022" s="402">
        <f>5/2</f>
        <v>2.5</v>
      </c>
      <c r="S3022" s="404">
        <v>25</v>
      </c>
      <c r="T3022" s="402">
        <v>0.11</v>
      </c>
      <c r="U3022" s="395">
        <f t="shared" si="175"/>
        <v>0.5</v>
      </c>
      <c r="V3022" s="402">
        <v>0.14000000000000001</v>
      </c>
      <c r="W3022" s="404">
        <f t="shared" si="176"/>
        <v>0.02</v>
      </c>
      <c r="X3022" s="402">
        <v>6.8000000000000005E-2</v>
      </c>
      <c r="Y3022" s="404">
        <v>1.4E-2</v>
      </c>
      <c r="Z3022" s="397"/>
      <c r="AA3022" s="399"/>
      <c r="AB3022" s="394"/>
      <c r="AC3022" s="402"/>
      <c r="AD3022" s="399"/>
      <c r="AE3022" s="402"/>
      <c r="AF3022" s="391"/>
      <c r="AG3022" s="394"/>
      <c r="AH3022" s="394"/>
      <c r="AI3022" s="394"/>
      <c r="AJ3022" s="394"/>
      <c r="AK3022" s="394"/>
      <c r="AL3022" s="394"/>
      <c r="AM3022" s="394"/>
      <c r="AN3022" s="394"/>
      <c r="AO3022" s="394"/>
      <c r="AP3022" s="394"/>
      <c r="AQ3022" s="394"/>
      <c r="AR3022" s="394"/>
      <c r="AS3022" s="402"/>
      <c r="AT3022" s="404"/>
      <c r="AU3022" s="394"/>
      <c r="AV3022" s="394"/>
      <c r="AW3022" s="394"/>
      <c r="AX3022" s="5"/>
      <c r="AY3022" s="5"/>
      <c r="AZ3022" s="5"/>
      <c r="BA3022" s="5"/>
      <c r="BB3022" s="5"/>
      <c r="BC3022" s="5"/>
      <c r="BD3022" s="5"/>
      <c r="BE3022" s="5"/>
      <c r="BF3022" s="5"/>
      <c r="BG3022" s="5"/>
      <c r="BH3022" s="5"/>
      <c r="BI3022" s="5"/>
      <c r="BJ3022" s="5"/>
      <c r="BK3022" s="5"/>
      <c r="BL3022" s="5"/>
      <c r="BM3022" s="5"/>
      <c r="BN3022" s="5"/>
      <c r="BO3022" s="5"/>
      <c r="BP3022" s="5"/>
      <c r="BQ3022" s="5"/>
      <c r="BR3022" s="5"/>
      <c r="BS3022" s="5"/>
      <c r="BT3022" s="5"/>
      <c r="BU3022" s="5"/>
      <c r="BV3022" s="5"/>
      <c r="BW3022" s="5"/>
      <c r="BX3022" s="5"/>
      <c r="BY3022" s="5"/>
      <c r="BZ3022" s="5"/>
      <c r="CA3022" s="5"/>
    </row>
    <row r="3023" spans="1:79" s="400" customFormat="1" ht="15" customHeight="1">
      <c r="A3023" s="404" t="s">
        <v>4668</v>
      </c>
      <c r="B3023" s="402" t="s">
        <v>1040</v>
      </c>
      <c r="C3023" s="113" t="s">
        <v>1041</v>
      </c>
      <c r="D3023" s="393" t="s">
        <v>257</v>
      </c>
      <c r="E3023" s="394" t="s">
        <v>512</v>
      </c>
      <c r="F3023" s="402"/>
      <c r="G3023" s="405" t="s">
        <v>1042</v>
      </c>
      <c r="H3023" s="404">
        <v>3089</v>
      </c>
      <c r="I3023" s="402" t="s">
        <v>2</v>
      </c>
      <c r="J3023" s="393" t="s">
        <v>5715</v>
      </c>
      <c r="K3023" s="403">
        <v>41030</v>
      </c>
      <c r="L3023" s="398">
        <v>41022</v>
      </c>
      <c r="M3023" s="402">
        <f t="shared" si="172"/>
        <v>8</v>
      </c>
      <c r="N3023" s="402" t="s">
        <v>2</v>
      </c>
      <c r="O3023" s="404">
        <f t="shared" si="174"/>
        <v>2.5</v>
      </c>
      <c r="P3023" s="402">
        <v>6</v>
      </c>
      <c r="Q3023" s="404">
        <v>6.41</v>
      </c>
      <c r="R3023" s="402">
        <f>5/2</f>
        <v>2.5</v>
      </c>
      <c r="S3023" s="404">
        <v>20</v>
      </c>
      <c r="T3023" s="402">
        <v>0.26</v>
      </c>
      <c r="U3023" s="395">
        <f t="shared" si="175"/>
        <v>0.5</v>
      </c>
      <c r="V3023" s="402">
        <v>0.13</v>
      </c>
      <c r="W3023" s="404">
        <f t="shared" si="176"/>
        <v>0.02</v>
      </c>
      <c r="X3023" s="402">
        <v>3.5000000000000003E-2</v>
      </c>
      <c r="Y3023" s="404">
        <f>0.013/2</f>
        <v>6.4999999999999997E-3</v>
      </c>
      <c r="Z3023" s="397"/>
      <c r="AA3023" s="399"/>
      <c r="AB3023" s="394"/>
      <c r="AC3023" s="402"/>
      <c r="AD3023" s="399"/>
      <c r="AE3023" s="402"/>
      <c r="AF3023" s="391"/>
      <c r="AG3023" s="394"/>
      <c r="AH3023" s="394"/>
      <c r="AI3023" s="394"/>
      <c r="AJ3023" s="394"/>
      <c r="AK3023" s="394"/>
      <c r="AL3023" s="394"/>
      <c r="AM3023" s="394"/>
      <c r="AN3023" s="394"/>
      <c r="AO3023" s="394"/>
      <c r="AP3023" s="394"/>
      <c r="AQ3023" s="394"/>
      <c r="AR3023" s="394"/>
      <c r="AS3023" s="402"/>
      <c r="AT3023" s="404"/>
      <c r="AU3023" s="394"/>
      <c r="AV3023" s="394"/>
      <c r="AW3023" s="394"/>
      <c r="AX3023" s="5"/>
      <c r="AY3023" s="5"/>
      <c r="AZ3023" s="5"/>
      <c r="BA3023" s="5"/>
      <c r="BB3023" s="5"/>
      <c r="BC3023" s="5"/>
      <c r="BD3023" s="5"/>
      <c r="BE3023" s="5"/>
      <c r="BF3023" s="5"/>
      <c r="BG3023" s="5"/>
      <c r="BH3023" s="5"/>
      <c r="BI3023" s="5"/>
      <c r="BJ3023" s="5"/>
      <c r="BK3023" s="5"/>
      <c r="BL3023" s="5"/>
      <c r="BM3023" s="5"/>
      <c r="BN3023" s="5"/>
      <c r="BO3023" s="5"/>
      <c r="BP3023" s="5"/>
      <c r="BQ3023" s="5"/>
      <c r="BR3023" s="5"/>
      <c r="BS3023" s="5"/>
      <c r="BT3023" s="5"/>
      <c r="BU3023" s="5"/>
      <c r="BV3023" s="5"/>
      <c r="BW3023" s="5"/>
      <c r="BX3023" s="5"/>
      <c r="BY3023" s="5"/>
      <c r="BZ3023" s="5"/>
      <c r="CA3023" s="5"/>
    </row>
    <row r="3024" spans="1:79" s="400" customFormat="1" ht="15" customHeight="1">
      <c r="A3024" s="404" t="s">
        <v>4668</v>
      </c>
      <c r="B3024" s="402" t="s">
        <v>1040</v>
      </c>
      <c r="C3024" s="113" t="s">
        <v>1041</v>
      </c>
      <c r="D3024" s="393" t="s">
        <v>257</v>
      </c>
      <c r="E3024" s="394" t="s">
        <v>512</v>
      </c>
      <c r="F3024" s="402"/>
      <c r="G3024" s="405" t="s">
        <v>1042</v>
      </c>
      <c r="H3024" s="404">
        <v>3089</v>
      </c>
      <c r="I3024" s="402" t="s">
        <v>2</v>
      </c>
      <c r="J3024" s="393" t="s">
        <v>5716</v>
      </c>
      <c r="K3024" s="403">
        <v>41030</v>
      </c>
      <c r="L3024" s="398">
        <v>41022</v>
      </c>
      <c r="M3024" s="402">
        <f t="shared" si="172"/>
        <v>8</v>
      </c>
      <c r="N3024" s="402" t="s">
        <v>2</v>
      </c>
      <c r="O3024" s="404">
        <f t="shared" si="174"/>
        <v>2.5</v>
      </c>
      <c r="P3024" s="402">
        <v>6</v>
      </c>
      <c r="Q3024" s="404">
        <v>7.07</v>
      </c>
      <c r="R3024" s="402">
        <v>14</v>
      </c>
      <c r="S3024" s="404">
        <v>7</v>
      </c>
      <c r="T3024" s="402">
        <f>0.1/2</f>
        <v>0.05</v>
      </c>
      <c r="U3024" s="395">
        <f t="shared" si="175"/>
        <v>0.5</v>
      </c>
      <c r="V3024" s="402">
        <v>0.99</v>
      </c>
      <c r="W3024" s="404">
        <f t="shared" si="176"/>
        <v>0.02</v>
      </c>
      <c r="X3024" s="402">
        <f>0.02/2</f>
        <v>0.01</v>
      </c>
      <c r="Y3024" s="404">
        <f>0.013/2</f>
        <v>6.4999999999999997E-3</v>
      </c>
      <c r="Z3024" s="397"/>
      <c r="AA3024" s="399"/>
      <c r="AB3024" s="394"/>
      <c r="AC3024" s="402"/>
      <c r="AD3024" s="399"/>
      <c r="AE3024" s="402"/>
      <c r="AF3024" s="391"/>
      <c r="AG3024" s="394"/>
      <c r="AH3024" s="394"/>
      <c r="AI3024" s="394"/>
      <c r="AJ3024" s="394"/>
      <c r="AK3024" s="394"/>
      <c r="AL3024" s="394"/>
      <c r="AM3024" s="394"/>
      <c r="AN3024" s="394"/>
      <c r="AO3024" s="394"/>
      <c r="AP3024" s="394"/>
      <c r="AQ3024" s="394"/>
      <c r="AR3024" s="394"/>
      <c r="AS3024" s="402"/>
      <c r="AT3024" s="404"/>
      <c r="AU3024" s="394"/>
      <c r="AV3024" s="394"/>
      <c r="AW3024" s="394"/>
      <c r="AX3024" s="5"/>
      <c r="AY3024" s="5"/>
      <c r="AZ3024" s="5"/>
      <c r="BA3024" s="5"/>
      <c r="BB3024" s="5"/>
      <c r="BC3024" s="5"/>
      <c r="BD3024" s="5"/>
      <c r="BE3024" s="5"/>
      <c r="BF3024" s="5"/>
      <c r="BG3024" s="5"/>
      <c r="BH3024" s="5"/>
      <c r="BI3024" s="5"/>
      <c r="BJ3024" s="5"/>
      <c r="BK3024" s="5"/>
      <c r="BL3024" s="5"/>
      <c r="BM3024" s="5"/>
      <c r="BN3024" s="5"/>
      <c r="BO3024" s="5"/>
      <c r="BP3024" s="5"/>
      <c r="BQ3024" s="5"/>
      <c r="BR3024" s="5"/>
      <c r="BS3024" s="5"/>
      <c r="BT3024" s="5"/>
      <c r="BU3024" s="5"/>
      <c r="BV3024" s="5"/>
      <c r="BW3024" s="5"/>
      <c r="BX3024" s="5"/>
      <c r="BY3024" s="5"/>
      <c r="BZ3024" s="5"/>
      <c r="CA3024" s="5"/>
    </row>
    <row r="3025" spans="1:79" s="400" customFormat="1" ht="15" customHeight="1">
      <c r="A3025" s="404" t="s">
        <v>4668</v>
      </c>
      <c r="B3025" s="402" t="s">
        <v>1040</v>
      </c>
      <c r="C3025" s="113" t="s">
        <v>1041</v>
      </c>
      <c r="D3025" s="393" t="s">
        <v>257</v>
      </c>
      <c r="E3025" s="394" t="s">
        <v>512</v>
      </c>
      <c r="F3025" s="402"/>
      <c r="G3025" s="405" t="s">
        <v>1042</v>
      </c>
      <c r="H3025" s="404">
        <v>3089</v>
      </c>
      <c r="I3025" s="402" t="s">
        <v>2</v>
      </c>
      <c r="J3025" s="393" t="s">
        <v>5717</v>
      </c>
      <c r="K3025" s="403">
        <v>41030</v>
      </c>
      <c r="L3025" s="398">
        <v>41022</v>
      </c>
      <c r="M3025" s="402">
        <f t="shared" si="172"/>
        <v>8</v>
      </c>
      <c r="N3025" s="402" t="s">
        <v>2</v>
      </c>
      <c r="O3025" s="404">
        <f t="shared" si="174"/>
        <v>2.5</v>
      </c>
      <c r="P3025" s="402">
        <v>6</v>
      </c>
      <c r="Q3025" s="404">
        <v>7.78</v>
      </c>
      <c r="R3025" s="402">
        <v>43</v>
      </c>
      <c r="S3025" s="404">
        <v>12</v>
      </c>
      <c r="T3025" s="402">
        <f>0.1/2</f>
        <v>0.05</v>
      </c>
      <c r="U3025" s="395">
        <f t="shared" si="175"/>
        <v>0.5</v>
      </c>
      <c r="V3025" s="402">
        <v>0.73</v>
      </c>
      <c r="W3025" s="404">
        <f t="shared" si="176"/>
        <v>0.02</v>
      </c>
      <c r="X3025" s="402">
        <f>0.02/2</f>
        <v>0.01</v>
      </c>
      <c r="Y3025" s="404">
        <f>0.013/2</f>
        <v>6.4999999999999997E-3</v>
      </c>
      <c r="Z3025" s="397"/>
      <c r="AA3025" s="399"/>
      <c r="AB3025" s="394"/>
      <c r="AC3025" s="402"/>
      <c r="AD3025" s="399"/>
      <c r="AE3025" s="402"/>
      <c r="AF3025" s="391"/>
      <c r="AG3025" s="394"/>
      <c r="AH3025" s="394"/>
      <c r="AI3025" s="394"/>
      <c r="AJ3025" s="394"/>
      <c r="AK3025" s="394"/>
      <c r="AL3025" s="394"/>
      <c r="AM3025" s="394"/>
      <c r="AN3025" s="394"/>
      <c r="AO3025" s="394"/>
      <c r="AP3025" s="394"/>
      <c r="AQ3025" s="394"/>
      <c r="AR3025" s="394"/>
      <c r="AS3025" s="402"/>
      <c r="AT3025" s="404"/>
      <c r="AU3025" s="394"/>
      <c r="AV3025" s="394"/>
      <c r="AW3025" s="394"/>
      <c r="AX3025" s="5"/>
      <c r="AY3025" s="5"/>
      <c r="AZ3025" s="5"/>
      <c r="BA3025" s="5"/>
      <c r="BB3025" s="5"/>
      <c r="BC3025" s="5"/>
      <c r="BD3025" s="5"/>
      <c r="BE3025" s="5"/>
      <c r="BF3025" s="5"/>
      <c r="BG3025" s="5"/>
      <c r="BH3025" s="5"/>
      <c r="BI3025" s="5"/>
      <c r="BJ3025" s="5"/>
      <c r="BK3025" s="5"/>
      <c r="BL3025" s="5"/>
      <c r="BM3025" s="5"/>
      <c r="BN3025" s="5"/>
      <c r="BO3025" s="5"/>
      <c r="BP3025" s="5"/>
      <c r="BQ3025" s="5"/>
      <c r="BR3025" s="5"/>
      <c r="BS3025" s="5"/>
      <c r="BT3025" s="5"/>
      <c r="BU3025" s="5"/>
      <c r="BV3025" s="5"/>
      <c r="BW3025" s="5"/>
      <c r="BX3025" s="5"/>
      <c r="BY3025" s="5"/>
      <c r="BZ3025" s="5"/>
      <c r="CA3025" s="5"/>
    </row>
    <row r="3026" spans="1:79" s="400" customFormat="1" ht="15" customHeight="1">
      <c r="A3026" s="404" t="s">
        <v>4668</v>
      </c>
      <c r="B3026" s="402" t="s">
        <v>1040</v>
      </c>
      <c r="C3026" s="113" t="s">
        <v>1041</v>
      </c>
      <c r="D3026" s="393" t="s">
        <v>257</v>
      </c>
      <c r="E3026" s="394" t="s">
        <v>512</v>
      </c>
      <c r="F3026" s="402"/>
      <c r="G3026" s="405" t="s">
        <v>1042</v>
      </c>
      <c r="H3026" s="404">
        <v>3089</v>
      </c>
      <c r="I3026" s="402" t="s">
        <v>2</v>
      </c>
      <c r="J3026" s="393" t="s">
        <v>5718</v>
      </c>
      <c r="K3026" s="403">
        <v>41030</v>
      </c>
      <c r="L3026" s="398">
        <v>41022</v>
      </c>
      <c r="M3026" s="402">
        <f t="shared" si="172"/>
        <v>8</v>
      </c>
      <c r="N3026" s="402" t="s">
        <v>2</v>
      </c>
      <c r="O3026" s="404">
        <f t="shared" si="174"/>
        <v>2.5</v>
      </c>
      <c r="P3026" s="402">
        <v>6</v>
      </c>
      <c r="Q3026" s="404">
        <v>7.46</v>
      </c>
      <c r="R3026" s="402">
        <v>57</v>
      </c>
      <c r="S3026" s="404">
        <v>61</v>
      </c>
      <c r="T3026" s="402">
        <f>0.1/2</f>
        <v>0.05</v>
      </c>
      <c r="U3026" s="395">
        <f t="shared" si="175"/>
        <v>0.5</v>
      </c>
      <c r="V3026" s="402">
        <v>0.77</v>
      </c>
      <c r="W3026" s="404">
        <f t="shared" si="176"/>
        <v>0.02</v>
      </c>
      <c r="X3026" s="402">
        <v>0.1</v>
      </c>
      <c r="Y3026" s="404">
        <f>0.013/2</f>
        <v>6.4999999999999997E-3</v>
      </c>
      <c r="Z3026" s="397"/>
      <c r="AA3026" s="399"/>
      <c r="AB3026" s="394"/>
      <c r="AC3026" s="402"/>
      <c r="AD3026" s="399"/>
      <c r="AE3026" s="402"/>
      <c r="AF3026" s="391"/>
      <c r="AG3026" s="394"/>
      <c r="AH3026" s="394"/>
      <c r="AI3026" s="394"/>
      <c r="AJ3026" s="394"/>
      <c r="AK3026" s="394"/>
      <c r="AL3026" s="394"/>
      <c r="AM3026" s="394"/>
      <c r="AN3026" s="394"/>
      <c r="AO3026" s="394"/>
      <c r="AP3026" s="394"/>
      <c r="AQ3026" s="394"/>
      <c r="AR3026" s="394"/>
      <c r="AS3026" s="402"/>
      <c r="AT3026" s="404"/>
      <c r="AU3026" s="394"/>
      <c r="AV3026" s="394"/>
      <c r="AW3026" s="394"/>
      <c r="AX3026" s="5"/>
      <c r="AY3026" s="5"/>
      <c r="AZ3026" s="5"/>
      <c r="BA3026" s="5"/>
      <c r="BB3026" s="5"/>
      <c r="BC3026" s="5"/>
      <c r="BD3026" s="5"/>
      <c r="BE3026" s="5"/>
      <c r="BF3026" s="5"/>
      <c r="BG3026" s="5"/>
      <c r="BH3026" s="5"/>
      <c r="BI3026" s="5"/>
      <c r="BJ3026" s="5"/>
      <c r="BK3026" s="5"/>
      <c r="BL3026" s="5"/>
      <c r="BM3026" s="5"/>
      <c r="BN3026" s="5"/>
      <c r="BO3026" s="5"/>
      <c r="BP3026" s="5"/>
      <c r="BQ3026" s="5"/>
      <c r="BR3026" s="5"/>
      <c r="BS3026" s="5"/>
      <c r="BT3026" s="5"/>
      <c r="BU3026" s="5"/>
      <c r="BV3026" s="5"/>
      <c r="BW3026" s="5"/>
      <c r="BX3026" s="5"/>
      <c r="BY3026" s="5"/>
      <c r="BZ3026" s="5"/>
      <c r="CA3026" s="5"/>
    </row>
    <row r="3027" spans="1:79" s="400" customFormat="1" ht="15" customHeight="1">
      <c r="A3027" s="404" t="s">
        <v>4668</v>
      </c>
      <c r="B3027" s="402" t="s">
        <v>3106</v>
      </c>
      <c r="C3027" s="113" t="s">
        <v>5719</v>
      </c>
      <c r="D3027" s="393" t="s">
        <v>262</v>
      </c>
      <c r="E3027" s="394" t="s">
        <v>5720</v>
      </c>
      <c r="F3027" s="402"/>
      <c r="G3027" s="405" t="s">
        <v>5721</v>
      </c>
      <c r="H3027" s="404">
        <v>4214</v>
      </c>
      <c r="I3027" s="402" t="s">
        <v>2</v>
      </c>
      <c r="J3027" s="406" t="s">
        <v>5722</v>
      </c>
      <c r="K3027" s="403">
        <v>40876</v>
      </c>
      <c r="L3027" s="398">
        <v>40870</v>
      </c>
      <c r="M3027" s="402">
        <f t="shared" si="172"/>
        <v>6</v>
      </c>
      <c r="N3027" s="402" t="s">
        <v>2</v>
      </c>
      <c r="O3027" s="404">
        <v>22</v>
      </c>
      <c r="P3027" s="402">
        <v>7.88</v>
      </c>
      <c r="Q3027" s="404">
        <v>7.53</v>
      </c>
      <c r="R3027" s="402">
        <v>410</v>
      </c>
      <c r="S3027" s="404">
        <v>250</v>
      </c>
      <c r="T3027" s="402">
        <f>0.1/2</f>
        <v>0.05</v>
      </c>
      <c r="U3027" s="395">
        <v>2.2000000000000002</v>
      </c>
      <c r="V3027" s="402">
        <v>0.23</v>
      </c>
      <c r="W3027" s="404">
        <v>0.41</v>
      </c>
      <c r="X3027" s="402">
        <v>1.9</v>
      </c>
      <c r="Y3027" s="404">
        <v>0.64</v>
      </c>
      <c r="Z3027" s="397">
        <v>6.25E-2</v>
      </c>
      <c r="AA3027" s="399">
        <v>6.25E-2</v>
      </c>
      <c r="AB3027" s="394">
        <v>350</v>
      </c>
      <c r="AC3027" s="402">
        <v>1125</v>
      </c>
      <c r="AD3027" s="399">
        <v>0</v>
      </c>
      <c r="AE3027" s="402"/>
      <c r="AF3027" s="391"/>
      <c r="AG3027" s="394"/>
      <c r="AH3027" s="394"/>
      <c r="AI3027" s="394"/>
      <c r="AJ3027" s="394"/>
      <c r="AK3027" s="394"/>
      <c r="AL3027" s="394"/>
      <c r="AM3027" s="394"/>
      <c r="AN3027" s="394"/>
      <c r="AO3027" s="394"/>
      <c r="AP3027" s="394"/>
      <c r="AQ3027" s="394"/>
      <c r="AR3027" s="394"/>
      <c r="AS3027" s="402"/>
      <c r="AT3027" s="404"/>
      <c r="AU3027" s="394"/>
      <c r="AV3027" s="394"/>
      <c r="AW3027" s="394"/>
      <c r="AX3027" s="5"/>
      <c r="AY3027" s="5"/>
      <c r="AZ3027" s="5"/>
      <c r="BA3027" s="5"/>
      <c r="BB3027" s="5"/>
      <c r="BC3027" s="5"/>
      <c r="BD3027" s="5"/>
      <c r="BE3027" s="5"/>
      <c r="BF3027" s="5"/>
      <c r="BG3027" s="5"/>
      <c r="BH3027" s="5"/>
      <c r="BI3027" s="5"/>
      <c r="BJ3027" s="5"/>
      <c r="BK3027" s="5"/>
      <c r="BL3027" s="5"/>
      <c r="BM3027" s="5"/>
      <c r="BN3027" s="5"/>
      <c r="BO3027" s="5"/>
      <c r="BP3027" s="5"/>
      <c r="BQ3027" s="5"/>
      <c r="BR3027" s="5"/>
      <c r="BS3027" s="5"/>
      <c r="BT3027" s="5"/>
      <c r="BU3027" s="5"/>
      <c r="BV3027" s="5"/>
      <c r="BW3027" s="5"/>
      <c r="BX3027" s="5"/>
      <c r="BY3027" s="5"/>
      <c r="BZ3027" s="5"/>
      <c r="CA3027" s="5"/>
    </row>
    <row r="3028" spans="1:79" s="400" customFormat="1" ht="15" customHeight="1">
      <c r="A3028" s="404" t="s">
        <v>4668</v>
      </c>
      <c r="B3028" s="402" t="s">
        <v>3106</v>
      </c>
      <c r="C3028" s="113" t="s">
        <v>5719</v>
      </c>
      <c r="D3028" s="393" t="s">
        <v>262</v>
      </c>
      <c r="E3028" s="394" t="s">
        <v>5720</v>
      </c>
      <c r="F3028" s="402"/>
      <c r="G3028" s="405" t="s">
        <v>5721</v>
      </c>
      <c r="H3028" s="404">
        <v>4214</v>
      </c>
      <c r="I3028" s="402" t="s">
        <v>2</v>
      </c>
      <c r="J3028" s="406" t="s">
        <v>886</v>
      </c>
      <c r="K3028" s="403">
        <v>40876</v>
      </c>
      <c r="L3028" s="398">
        <v>40870</v>
      </c>
      <c r="M3028" s="402">
        <f t="shared" si="172"/>
        <v>6</v>
      </c>
      <c r="N3028" s="402" t="s">
        <v>2</v>
      </c>
      <c r="O3028" s="404">
        <v>14</v>
      </c>
      <c r="P3028" s="402">
        <v>7.88</v>
      </c>
      <c r="Q3028" s="404">
        <v>6.87</v>
      </c>
      <c r="R3028" s="402">
        <v>160</v>
      </c>
      <c r="S3028" s="404">
        <v>980</v>
      </c>
      <c r="T3028" s="402">
        <f>0.1/2</f>
        <v>0.05</v>
      </c>
      <c r="U3028" s="395">
        <v>1.5</v>
      </c>
      <c r="V3028" s="402">
        <v>0.13</v>
      </c>
      <c r="W3028" s="404">
        <v>9.2999999999999999E-2</v>
      </c>
      <c r="X3028" s="402">
        <v>1.9</v>
      </c>
      <c r="Y3028" s="404">
        <v>0.12</v>
      </c>
      <c r="Z3028" s="397">
        <v>1</v>
      </c>
      <c r="AA3028" s="399">
        <v>0.46700000000000003</v>
      </c>
      <c r="AB3028" s="394">
        <v>82</v>
      </c>
      <c r="AC3028" s="402">
        <v>320</v>
      </c>
      <c r="AD3028" s="399">
        <v>0.75</v>
      </c>
      <c r="AE3028" s="402"/>
      <c r="AF3028" s="391"/>
      <c r="AG3028" s="394"/>
      <c r="AH3028" s="394"/>
      <c r="AI3028" s="394"/>
      <c r="AJ3028" s="394"/>
      <c r="AK3028" s="394"/>
      <c r="AL3028" s="394"/>
      <c r="AM3028" s="394"/>
      <c r="AN3028" s="394"/>
      <c r="AO3028" s="394"/>
      <c r="AP3028" s="394"/>
      <c r="AQ3028" s="394"/>
      <c r="AR3028" s="394"/>
      <c r="AS3028" s="402"/>
      <c r="AT3028" s="404"/>
      <c r="AU3028" s="394"/>
      <c r="AV3028" s="394"/>
      <c r="AW3028" s="394"/>
      <c r="AX3028" s="5"/>
      <c r="AY3028" s="5"/>
      <c r="AZ3028" s="5"/>
      <c r="BA3028" s="5"/>
      <c r="BB3028" s="5"/>
      <c r="BC3028" s="5"/>
      <c r="BD3028" s="5"/>
      <c r="BE3028" s="5"/>
      <c r="BF3028" s="5"/>
      <c r="BG3028" s="5"/>
      <c r="BH3028" s="5"/>
      <c r="BI3028" s="5"/>
      <c r="BJ3028" s="5"/>
      <c r="BK3028" s="5"/>
      <c r="BL3028" s="5"/>
      <c r="BM3028" s="5"/>
      <c r="BN3028" s="5"/>
      <c r="BO3028" s="5"/>
      <c r="BP3028" s="5"/>
      <c r="BQ3028" s="5"/>
      <c r="BR3028" s="5"/>
      <c r="BS3028" s="5"/>
      <c r="BT3028" s="5"/>
      <c r="BU3028" s="5"/>
      <c r="BV3028" s="5"/>
      <c r="BW3028" s="5"/>
      <c r="BX3028" s="5"/>
      <c r="BY3028" s="5"/>
      <c r="BZ3028" s="5"/>
      <c r="CA3028" s="5"/>
    </row>
    <row r="3029" spans="1:79" s="400" customFormat="1" ht="15" customHeight="1">
      <c r="A3029" s="404" t="s">
        <v>4668</v>
      </c>
      <c r="B3029" s="402" t="s">
        <v>5723</v>
      </c>
      <c r="C3029" s="113" t="s">
        <v>5723</v>
      </c>
      <c r="D3029" s="393" t="s">
        <v>534</v>
      </c>
      <c r="E3029" s="394" t="s">
        <v>304</v>
      </c>
      <c r="F3029" s="402"/>
      <c r="G3029" s="405" t="s">
        <v>5724</v>
      </c>
      <c r="H3029" s="404"/>
      <c r="I3029" s="402" t="s">
        <v>1</v>
      </c>
      <c r="J3029" s="406" t="s">
        <v>5397</v>
      </c>
      <c r="K3029" s="403">
        <v>40996</v>
      </c>
      <c r="L3029" s="398">
        <v>40971</v>
      </c>
      <c r="M3029" s="402">
        <f t="shared" si="172"/>
        <v>25</v>
      </c>
      <c r="N3029" s="402" t="s">
        <v>2</v>
      </c>
      <c r="O3029" s="404">
        <v>7</v>
      </c>
      <c r="P3029" s="402">
        <v>6.6</v>
      </c>
      <c r="Q3029" s="404">
        <v>7.8</v>
      </c>
      <c r="R3029" s="402">
        <v>8</v>
      </c>
      <c r="S3029" s="404">
        <v>5</v>
      </c>
      <c r="T3029" s="402">
        <f>0.01/2</f>
        <v>5.0000000000000001E-3</v>
      </c>
      <c r="U3029" s="395">
        <v>0.57999999999999996</v>
      </c>
      <c r="V3029" s="402">
        <v>1.92</v>
      </c>
      <c r="W3029" s="404">
        <v>0.04</v>
      </c>
      <c r="X3029" s="402">
        <v>0.16</v>
      </c>
      <c r="Y3029" s="404">
        <v>1E-3</v>
      </c>
      <c r="Z3029" s="397">
        <v>1</v>
      </c>
      <c r="AA3029" s="399">
        <v>1</v>
      </c>
      <c r="AB3029" s="394">
        <v>58</v>
      </c>
      <c r="AC3029" s="402">
        <v>240</v>
      </c>
      <c r="AD3029" s="399">
        <v>0.95</v>
      </c>
      <c r="AE3029" s="402"/>
      <c r="AF3029" s="391"/>
      <c r="AG3029" s="394"/>
      <c r="AH3029" s="394"/>
      <c r="AI3029" s="394"/>
      <c r="AJ3029" s="394"/>
      <c r="AK3029" s="394"/>
      <c r="AL3029" s="394"/>
      <c r="AM3029" s="394"/>
      <c r="AN3029" s="394"/>
      <c r="AO3029" s="394"/>
      <c r="AP3029" s="394"/>
      <c r="AQ3029" s="394"/>
      <c r="AR3029" s="394"/>
      <c r="AS3029" s="402"/>
      <c r="AT3029" s="404"/>
      <c r="AU3029" s="394"/>
      <c r="AV3029" s="394"/>
      <c r="AW3029" s="394"/>
      <c r="AX3029" s="5"/>
      <c r="AY3029" s="5"/>
      <c r="AZ3029" s="5"/>
      <c r="BA3029" s="5"/>
      <c r="BB3029" s="5"/>
      <c r="BC3029" s="5"/>
      <c r="BD3029" s="5"/>
      <c r="BE3029" s="5"/>
      <c r="BF3029" s="5"/>
      <c r="BG3029" s="5"/>
      <c r="BH3029" s="5"/>
      <c r="BI3029" s="5"/>
      <c r="BJ3029" s="5"/>
      <c r="BK3029" s="5"/>
      <c r="BL3029" s="5"/>
      <c r="BM3029" s="5"/>
      <c r="BN3029" s="5"/>
      <c r="BO3029" s="5"/>
      <c r="BP3029" s="5"/>
      <c r="BQ3029" s="5"/>
      <c r="BR3029" s="5"/>
      <c r="BS3029" s="5"/>
      <c r="BT3029" s="5"/>
      <c r="BU3029" s="5"/>
      <c r="BV3029" s="5"/>
      <c r="BW3029" s="5"/>
      <c r="BX3029" s="5"/>
      <c r="BY3029" s="5"/>
      <c r="BZ3029" s="5"/>
      <c r="CA3029" s="5"/>
    </row>
    <row r="3030" spans="1:79" ht="15" customHeight="1">
      <c r="A3030" s="41" t="s">
        <v>183</v>
      </c>
      <c r="B3030" s="402" t="s">
        <v>5310</v>
      </c>
      <c r="C3030" s="113" t="s">
        <v>5310</v>
      </c>
      <c r="D3030" s="393" t="s">
        <v>308</v>
      </c>
      <c r="F3030" s="402" t="s">
        <v>5311</v>
      </c>
      <c r="G3030" s="405" t="s">
        <v>5312</v>
      </c>
      <c r="H3030" s="74">
        <v>3272</v>
      </c>
      <c r="J3030" s="339" t="s">
        <v>510</v>
      </c>
      <c r="K3030" s="51">
        <v>40835</v>
      </c>
      <c r="L3030" s="173">
        <v>40830</v>
      </c>
      <c r="M3030" s="50">
        <f t="shared" si="172"/>
        <v>5</v>
      </c>
      <c r="N3030" s="50" t="s">
        <v>2</v>
      </c>
      <c r="O3030" s="74">
        <v>1.8</v>
      </c>
      <c r="P3030" s="50">
        <v>6.5</v>
      </c>
      <c r="Q3030" s="74">
        <v>7.92</v>
      </c>
      <c r="R3030" s="50">
        <v>130</v>
      </c>
      <c r="S3030" s="74">
        <v>320</v>
      </c>
      <c r="T3030" s="50">
        <v>0.49</v>
      </c>
      <c r="U3030" s="131">
        <v>1.1000000000000001</v>
      </c>
      <c r="V3030" s="50">
        <f>0.01/2</f>
        <v>5.0000000000000001E-3</v>
      </c>
      <c r="W3030" s="74">
        <v>1.2E-2</v>
      </c>
      <c r="X3030" s="50">
        <v>0.05</v>
      </c>
      <c r="Y3030" s="74">
        <v>3.0000000000000001E-3</v>
      </c>
      <c r="Z3030" s="165">
        <v>1</v>
      </c>
      <c r="AA3030" s="271">
        <v>1</v>
      </c>
      <c r="AB3030" s="114">
        <v>46</v>
      </c>
      <c r="AC3030" s="50">
        <v>166</v>
      </c>
      <c r="AD3030" s="271">
        <v>1</v>
      </c>
    </row>
    <row r="3031" spans="1:79" s="400" customFormat="1" ht="15" customHeight="1">
      <c r="A3031" s="404" t="s">
        <v>4668</v>
      </c>
      <c r="B3031" s="402" t="s">
        <v>5622</v>
      </c>
      <c r="C3031" s="113" t="s">
        <v>5622</v>
      </c>
      <c r="D3031" s="393" t="s">
        <v>89</v>
      </c>
      <c r="E3031" s="394" t="s">
        <v>5624</v>
      </c>
      <c r="F3031" s="402"/>
      <c r="G3031" s="405" t="s">
        <v>5625</v>
      </c>
      <c r="H3031" s="404">
        <v>3499</v>
      </c>
      <c r="I3031" s="402" t="s">
        <v>1</v>
      </c>
      <c r="J3031" s="406" t="s">
        <v>5725</v>
      </c>
      <c r="K3031" s="403">
        <v>40996</v>
      </c>
      <c r="L3031" s="398">
        <v>40971</v>
      </c>
      <c r="M3031" s="402">
        <f t="shared" si="172"/>
        <v>25</v>
      </c>
      <c r="N3031" s="402" t="s">
        <v>2</v>
      </c>
      <c r="O3031" s="404">
        <v>4.9000000000000004</v>
      </c>
      <c r="P3031" s="402">
        <v>6.2</v>
      </c>
      <c r="Q3031" s="404">
        <v>6.9</v>
      </c>
      <c r="R3031" s="402">
        <v>36</v>
      </c>
      <c r="S3031" s="404">
        <v>151</v>
      </c>
      <c r="T3031" s="402">
        <f>0.01/2</f>
        <v>5.0000000000000001E-3</v>
      </c>
      <c r="U3031" s="395">
        <v>2.34</v>
      </c>
      <c r="V3031" s="402">
        <v>0.95</v>
      </c>
      <c r="W3031" s="404">
        <v>0.05</v>
      </c>
      <c r="X3031" s="402">
        <v>0.06</v>
      </c>
      <c r="Y3031" s="404">
        <f>0.001/2</f>
        <v>5.0000000000000001E-4</v>
      </c>
      <c r="Z3031" s="397">
        <v>1</v>
      </c>
      <c r="AA3031" s="399">
        <v>1</v>
      </c>
      <c r="AB3031" s="394">
        <v>10</v>
      </c>
      <c r="AC3031" s="402">
        <v>71</v>
      </c>
      <c r="AD3031" s="399">
        <v>1</v>
      </c>
      <c r="AE3031" s="402"/>
      <c r="AF3031" s="391"/>
      <c r="AG3031" s="394"/>
      <c r="AH3031" s="394"/>
      <c r="AI3031" s="394"/>
      <c r="AJ3031" s="394"/>
      <c r="AK3031" s="394"/>
      <c r="AL3031" s="394"/>
      <c r="AM3031" s="394"/>
      <c r="AN3031" s="394"/>
      <c r="AO3031" s="394"/>
      <c r="AP3031" s="394"/>
      <c r="AQ3031" s="394"/>
      <c r="AR3031" s="394"/>
      <c r="AS3031" s="402"/>
      <c r="AT3031" s="404"/>
      <c r="AU3031" s="394"/>
      <c r="AV3031" s="394"/>
      <c r="AW3031" s="394"/>
      <c r="AX3031" s="5"/>
      <c r="AY3031" s="5"/>
      <c r="AZ3031" s="5"/>
      <c r="BA3031" s="5"/>
      <c r="BB3031" s="5"/>
      <c r="BC3031" s="5"/>
      <c r="BD3031" s="5"/>
      <c r="BE3031" s="5"/>
      <c r="BF3031" s="5"/>
      <c r="BG3031" s="5"/>
      <c r="BH3031" s="5"/>
      <c r="BI3031" s="5"/>
      <c r="BJ3031" s="5"/>
      <c r="BK3031" s="5"/>
      <c r="BL3031" s="5"/>
      <c r="BM3031" s="5"/>
      <c r="BN3031" s="5"/>
      <c r="BO3031" s="5"/>
      <c r="BP3031" s="5"/>
      <c r="BQ3031" s="5"/>
      <c r="BR3031" s="5"/>
      <c r="BS3031" s="5"/>
      <c r="BT3031" s="5"/>
      <c r="BU3031" s="5"/>
      <c r="BV3031" s="5"/>
      <c r="BW3031" s="5"/>
      <c r="BX3031" s="5"/>
      <c r="BY3031" s="5"/>
      <c r="BZ3031" s="5"/>
      <c r="CA3031" s="5"/>
    </row>
    <row r="3032" spans="1:79" s="400" customFormat="1" ht="15" customHeight="1">
      <c r="A3032" s="404" t="s">
        <v>4668</v>
      </c>
      <c r="B3032" s="402" t="s">
        <v>3098</v>
      </c>
      <c r="C3032" s="113" t="s">
        <v>3098</v>
      </c>
      <c r="D3032" s="393" t="s">
        <v>2501</v>
      </c>
      <c r="E3032" s="394" t="s">
        <v>3099</v>
      </c>
      <c r="F3032" s="402"/>
      <c r="G3032" s="405" t="s">
        <v>3100</v>
      </c>
      <c r="H3032" s="338" t="s">
        <v>5256</v>
      </c>
      <c r="I3032" s="402" t="s">
        <v>2</v>
      </c>
      <c r="J3032" s="406" t="s">
        <v>5726</v>
      </c>
      <c r="K3032" s="403">
        <v>41136</v>
      </c>
      <c r="L3032" s="398">
        <v>41131</v>
      </c>
      <c r="M3032" s="402">
        <f t="shared" si="172"/>
        <v>5</v>
      </c>
      <c r="N3032" s="402" t="s">
        <v>2</v>
      </c>
      <c r="O3032" s="404">
        <f>1/2</f>
        <v>0.5</v>
      </c>
      <c r="P3032" s="402">
        <v>6</v>
      </c>
      <c r="Q3032" s="404">
        <v>6</v>
      </c>
      <c r="R3032" s="402">
        <v>4</v>
      </c>
      <c r="S3032" s="404">
        <v>13</v>
      </c>
      <c r="T3032" s="402">
        <v>4.2999999999999997E-2</v>
      </c>
      <c r="U3032" s="395">
        <f>0.5/2</f>
        <v>0.25</v>
      </c>
      <c r="V3032" s="402">
        <v>6.5000000000000002E-2</v>
      </c>
      <c r="W3032" s="404">
        <f>0.002/2</f>
        <v>1E-3</v>
      </c>
      <c r="X3032" s="402">
        <v>1.2999999999999999E-2</v>
      </c>
      <c r="Y3032" s="404">
        <v>2E-3</v>
      </c>
      <c r="Z3032" s="397">
        <v>1</v>
      </c>
      <c r="AA3032" s="399">
        <v>1</v>
      </c>
      <c r="AB3032" s="394">
        <f>2/1</f>
        <v>2</v>
      </c>
      <c r="AC3032" s="402">
        <v>8</v>
      </c>
      <c r="AD3032" s="399">
        <v>0.75</v>
      </c>
      <c r="AE3032" s="402"/>
      <c r="AF3032" s="391"/>
      <c r="AG3032" s="394"/>
      <c r="AH3032" s="394"/>
      <c r="AI3032" s="394"/>
      <c r="AJ3032" s="394"/>
      <c r="AK3032" s="394"/>
      <c r="AL3032" s="394"/>
      <c r="AM3032" s="394"/>
      <c r="AN3032" s="394"/>
      <c r="AO3032" s="394"/>
      <c r="AP3032" s="394"/>
      <c r="AQ3032" s="394"/>
      <c r="AR3032" s="394"/>
      <c r="AS3032" s="402"/>
      <c r="AT3032" s="404"/>
      <c r="AU3032" s="394"/>
      <c r="AV3032" s="394"/>
      <c r="AW3032" s="394"/>
      <c r="AX3032" s="5"/>
      <c r="AY3032" s="5"/>
      <c r="AZ3032" s="5"/>
      <c r="BA3032" s="5"/>
      <c r="BB3032" s="5"/>
      <c r="BC3032" s="5"/>
      <c r="BD3032" s="5"/>
      <c r="BE3032" s="5"/>
      <c r="BF3032" s="5"/>
      <c r="BG3032" s="5"/>
      <c r="BH3032" s="5"/>
      <c r="BI3032" s="5"/>
      <c r="BJ3032" s="5"/>
      <c r="BK3032" s="5"/>
      <c r="BL3032" s="5"/>
      <c r="BM3032" s="5"/>
      <c r="BN3032" s="5"/>
      <c r="BO3032" s="5"/>
      <c r="BP3032" s="5"/>
      <c r="BQ3032" s="5"/>
      <c r="BR3032" s="5"/>
      <c r="BS3032" s="5"/>
      <c r="BT3032" s="5"/>
      <c r="BU3032" s="5"/>
      <c r="BV3032" s="5"/>
      <c r="BW3032" s="5"/>
      <c r="BX3032" s="5"/>
      <c r="BY3032" s="5"/>
      <c r="BZ3032" s="5"/>
      <c r="CA3032" s="5"/>
    </row>
    <row r="3033" spans="1:79" s="400" customFormat="1" ht="15" customHeight="1">
      <c r="A3033" s="404" t="s">
        <v>4668</v>
      </c>
      <c r="B3033" s="402" t="s">
        <v>2060</v>
      </c>
      <c r="C3033" s="113" t="s">
        <v>2061</v>
      </c>
      <c r="D3033" s="393" t="s">
        <v>156</v>
      </c>
      <c r="E3033" s="394" t="s">
        <v>1305</v>
      </c>
      <c r="F3033" s="402"/>
      <c r="G3033" s="405" t="s">
        <v>2062</v>
      </c>
      <c r="H3033" s="404"/>
      <c r="I3033" s="402"/>
      <c r="J3033" s="406" t="s">
        <v>5727</v>
      </c>
      <c r="K3033" s="403">
        <v>41157</v>
      </c>
      <c r="L3033" s="398">
        <v>41156</v>
      </c>
      <c r="M3033" s="402">
        <f t="shared" si="172"/>
        <v>1</v>
      </c>
      <c r="N3033" s="402" t="s">
        <v>2</v>
      </c>
      <c r="O3033" s="404">
        <f>1/2</f>
        <v>0.5</v>
      </c>
      <c r="P3033" s="402">
        <v>6.5</v>
      </c>
      <c r="Q3033" s="404">
        <v>5.28</v>
      </c>
      <c r="R3033" s="402">
        <v>41.4</v>
      </c>
      <c r="S3033" s="404">
        <v>15</v>
      </c>
      <c r="T3033" s="402">
        <v>0.09</v>
      </c>
      <c r="U3033" s="395">
        <v>2.6</v>
      </c>
      <c r="V3033" s="402">
        <v>0.22</v>
      </c>
      <c r="W3033" s="404">
        <v>1.4E-2</v>
      </c>
      <c r="X3033" s="402">
        <v>8.3000000000000004E-2</v>
      </c>
      <c r="Y3033" s="404">
        <v>3.0000000000000001E-3</v>
      </c>
      <c r="Z3033" s="397"/>
      <c r="AA3033" s="399"/>
      <c r="AB3033" s="394"/>
      <c r="AC3033" s="402"/>
      <c r="AD3033" s="399"/>
      <c r="AE3033" s="402"/>
      <c r="AF3033" s="391"/>
      <c r="AG3033" s="394"/>
      <c r="AH3033" s="394"/>
      <c r="AI3033" s="394"/>
      <c r="AJ3033" s="394"/>
      <c r="AK3033" s="394"/>
      <c r="AL3033" s="394"/>
      <c r="AM3033" s="394"/>
      <c r="AN3033" s="394"/>
      <c r="AO3033" s="394"/>
      <c r="AP3033" s="394"/>
      <c r="AQ3033" s="394"/>
      <c r="AR3033" s="394"/>
      <c r="AS3033" s="402"/>
      <c r="AT3033" s="404"/>
      <c r="AU3033" s="394"/>
      <c r="AV3033" s="394"/>
      <c r="AW3033" s="394"/>
      <c r="AX3033" s="5"/>
      <c r="AY3033" s="5"/>
      <c r="AZ3033" s="5"/>
      <c r="BA3033" s="5"/>
      <c r="BB3033" s="5"/>
      <c r="BC3033" s="5"/>
      <c r="BD3033" s="5"/>
      <c r="BE3033" s="5"/>
      <c r="BF3033" s="5"/>
      <c r="BG3033" s="5"/>
      <c r="BH3033" s="5"/>
      <c r="BI3033" s="5"/>
      <c r="BJ3033" s="5"/>
      <c r="BK3033" s="5"/>
      <c r="BL3033" s="5"/>
      <c r="BM3033" s="5"/>
      <c r="BN3033" s="5"/>
      <c r="BO3033" s="5"/>
      <c r="BP3033" s="5"/>
      <c r="BQ3033" s="5"/>
      <c r="BR3033" s="5"/>
      <c r="BS3033" s="5"/>
      <c r="BT3033" s="5"/>
      <c r="BU3033" s="5"/>
      <c r="BV3033" s="5"/>
      <c r="BW3033" s="5"/>
      <c r="BX3033" s="5"/>
      <c r="BY3033" s="5"/>
      <c r="BZ3033" s="5"/>
      <c r="CA3033" s="5"/>
    </row>
    <row r="3034" spans="1:79" ht="15" customHeight="1">
      <c r="A3034" s="41" t="s">
        <v>183</v>
      </c>
      <c r="B3034" s="402" t="s">
        <v>1411</v>
      </c>
      <c r="C3034" s="113" t="s">
        <v>5728</v>
      </c>
      <c r="D3034" s="393" t="s">
        <v>1484</v>
      </c>
      <c r="E3034" s="394" t="s">
        <v>1954</v>
      </c>
      <c r="G3034" s="405" t="s">
        <v>4757</v>
      </c>
      <c r="H3034" s="74">
        <v>3471</v>
      </c>
      <c r="I3034" s="50" t="s">
        <v>2</v>
      </c>
      <c r="J3034" s="339" t="s">
        <v>5729</v>
      </c>
      <c r="K3034" s="51">
        <v>41180</v>
      </c>
      <c r="L3034" s="173">
        <v>41174</v>
      </c>
      <c r="M3034" s="50">
        <f t="shared" si="172"/>
        <v>6</v>
      </c>
      <c r="N3034" s="50" t="s">
        <v>2</v>
      </c>
      <c r="O3034" s="74">
        <f>1.4/2</f>
        <v>0.7</v>
      </c>
      <c r="P3034" s="50">
        <v>7.2</v>
      </c>
      <c r="Q3034" s="74">
        <v>7.3</v>
      </c>
      <c r="R3034" s="50">
        <f>10/2</f>
        <v>5</v>
      </c>
      <c r="S3034" s="74">
        <f>5/2</f>
        <v>2.5</v>
      </c>
      <c r="T3034" s="50">
        <v>0.02</v>
      </c>
      <c r="U3034" s="131">
        <v>0.59</v>
      </c>
      <c r="V3034" s="50">
        <v>0.76</v>
      </c>
      <c r="W3034" s="74">
        <v>8.9999999999999993E-3</v>
      </c>
      <c r="X3034" s="50">
        <v>0.20699999999999999</v>
      </c>
      <c r="Y3034" s="74">
        <f>0.002/2</f>
        <v>1E-3</v>
      </c>
      <c r="Z3034" s="165">
        <v>1</v>
      </c>
      <c r="AA3034" s="271">
        <v>0.73499999999999999</v>
      </c>
      <c r="AB3034" s="114">
        <v>56</v>
      </c>
      <c r="AC3034" s="50">
        <v>160</v>
      </c>
      <c r="AD3034" s="271">
        <v>0.1</v>
      </c>
    </row>
    <row r="3035" spans="1:79" s="400" customFormat="1" ht="15" customHeight="1">
      <c r="A3035" s="404" t="s">
        <v>4668</v>
      </c>
      <c r="B3035" s="402" t="s">
        <v>5723</v>
      </c>
      <c r="C3035" s="113" t="s">
        <v>5723</v>
      </c>
      <c r="D3035" s="393" t="s">
        <v>534</v>
      </c>
      <c r="E3035" s="394" t="s">
        <v>304</v>
      </c>
      <c r="F3035" s="402"/>
      <c r="G3035" s="405" t="s">
        <v>5724</v>
      </c>
      <c r="H3035" s="404"/>
      <c r="I3035" s="402" t="s">
        <v>1</v>
      </c>
      <c r="J3035" s="406" t="s">
        <v>5397</v>
      </c>
      <c r="K3035" s="403">
        <v>41170</v>
      </c>
      <c r="L3035" s="398">
        <v>41160</v>
      </c>
      <c r="M3035" s="402">
        <f t="shared" si="172"/>
        <v>10</v>
      </c>
      <c r="N3035" s="402" t="s">
        <v>2</v>
      </c>
      <c r="O3035" s="404">
        <v>3.6</v>
      </c>
      <c r="P3035" s="402">
        <v>4.87</v>
      </c>
      <c r="Q3035" s="404">
        <v>7.7</v>
      </c>
      <c r="R3035" s="402">
        <v>10</v>
      </c>
      <c r="S3035" s="404">
        <v>4</v>
      </c>
      <c r="T3035" s="402">
        <f>0.01/2</f>
        <v>5.0000000000000001E-3</v>
      </c>
      <c r="U3035" s="395">
        <v>0.06</v>
      </c>
      <c r="V3035" s="402">
        <v>0.59</v>
      </c>
      <c r="W3035" s="404">
        <v>0.03</v>
      </c>
      <c r="X3035" s="402">
        <v>7.0000000000000007E-2</v>
      </c>
      <c r="Y3035" s="404">
        <v>4.0000000000000001E-3</v>
      </c>
      <c r="Z3035" s="397"/>
      <c r="AA3035" s="399"/>
      <c r="AB3035" s="394"/>
      <c r="AC3035" s="402"/>
      <c r="AD3035" s="399"/>
      <c r="AE3035" s="402"/>
      <c r="AF3035" s="391"/>
      <c r="AG3035" s="394"/>
      <c r="AH3035" s="394"/>
      <c r="AI3035" s="394"/>
      <c r="AJ3035" s="394"/>
      <c r="AK3035" s="394"/>
      <c r="AL3035" s="394"/>
      <c r="AM3035" s="394"/>
      <c r="AN3035" s="394"/>
      <c r="AO3035" s="394"/>
      <c r="AP3035" s="394"/>
      <c r="AQ3035" s="394"/>
      <c r="AR3035" s="394"/>
      <c r="AS3035" s="402"/>
      <c r="AT3035" s="404"/>
      <c r="AU3035" s="394"/>
      <c r="AV3035" s="394"/>
      <c r="AW3035" s="394"/>
      <c r="AX3035" s="5"/>
      <c r="AY3035" s="5"/>
      <c r="AZ3035" s="5"/>
      <c r="BA3035" s="5"/>
      <c r="BB3035" s="5"/>
      <c r="BC3035" s="5"/>
      <c r="BD3035" s="5"/>
      <c r="BE3035" s="5"/>
      <c r="BF3035" s="5"/>
      <c r="BG3035" s="5"/>
      <c r="BH3035" s="5"/>
      <c r="BI3035" s="5"/>
      <c r="BJ3035" s="5"/>
      <c r="BK3035" s="5"/>
      <c r="BL3035" s="5"/>
      <c r="BM3035" s="5"/>
      <c r="BN3035" s="5"/>
      <c r="BO3035" s="5"/>
      <c r="BP3035" s="5"/>
      <c r="BQ3035" s="5"/>
      <c r="BR3035" s="5"/>
      <c r="BS3035" s="5"/>
      <c r="BT3035" s="5"/>
      <c r="BU3035" s="5"/>
      <c r="BV3035" s="5"/>
      <c r="BW3035" s="5"/>
      <c r="BX3035" s="5"/>
      <c r="BY3035" s="5"/>
      <c r="BZ3035" s="5"/>
      <c r="CA3035" s="5"/>
    </row>
    <row r="3036" spans="1:79" s="400" customFormat="1" ht="15" customHeight="1">
      <c r="A3036" s="404" t="s">
        <v>4668</v>
      </c>
      <c r="B3036" s="402" t="s">
        <v>5622</v>
      </c>
      <c r="C3036" s="113" t="s">
        <v>5622</v>
      </c>
      <c r="D3036" s="393" t="s">
        <v>89</v>
      </c>
      <c r="E3036" s="394" t="s">
        <v>5624</v>
      </c>
      <c r="F3036" s="402"/>
      <c r="G3036" s="405" t="s">
        <v>5625</v>
      </c>
      <c r="H3036" s="404">
        <v>3499</v>
      </c>
      <c r="I3036" s="402" t="s">
        <v>1</v>
      </c>
      <c r="J3036" s="406" t="s">
        <v>5725</v>
      </c>
      <c r="K3036" s="403">
        <v>41170</v>
      </c>
      <c r="L3036" s="398">
        <v>41160</v>
      </c>
      <c r="M3036" s="402">
        <f t="shared" si="172"/>
        <v>10</v>
      </c>
      <c r="N3036" s="402" t="s">
        <v>2</v>
      </c>
      <c r="O3036" s="404">
        <v>16.600000000000001</v>
      </c>
      <c r="P3036" s="402">
        <v>4.87</v>
      </c>
      <c r="Q3036" s="404">
        <v>6.8</v>
      </c>
      <c r="R3036" s="402">
        <v>16</v>
      </c>
      <c r="S3036" s="404">
        <v>7</v>
      </c>
      <c r="T3036" s="402">
        <v>5.7000000000000002E-2</v>
      </c>
      <c r="U3036" s="395">
        <f>0.05/2</f>
        <v>2.5000000000000001E-2</v>
      </c>
      <c r="V3036" s="402">
        <v>0.09</v>
      </c>
      <c r="W3036" s="404">
        <v>0.02</v>
      </c>
      <c r="X3036" s="402">
        <v>0.04</v>
      </c>
      <c r="Y3036" s="404">
        <v>0.01</v>
      </c>
      <c r="Z3036" s="397"/>
      <c r="AA3036" s="399"/>
      <c r="AB3036" s="394"/>
      <c r="AC3036" s="402"/>
      <c r="AD3036" s="399"/>
      <c r="AE3036" s="402"/>
      <c r="AF3036" s="391"/>
      <c r="AG3036" s="394"/>
      <c r="AH3036" s="394"/>
      <c r="AI3036" s="394"/>
      <c r="AJ3036" s="394"/>
      <c r="AK3036" s="394"/>
      <c r="AL3036" s="394"/>
      <c r="AM3036" s="394"/>
      <c r="AN3036" s="394"/>
      <c r="AO3036" s="394"/>
      <c r="AP3036" s="394"/>
      <c r="AQ3036" s="394"/>
      <c r="AR3036" s="394"/>
      <c r="AS3036" s="402"/>
      <c r="AT3036" s="404"/>
      <c r="AU3036" s="394"/>
      <c r="AV3036" s="394"/>
      <c r="AW3036" s="394"/>
      <c r="AX3036" s="5"/>
      <c r="AY3036" s="5"/>
      <c r="AZ3036" s="5"/>
      <c r="BA3036" s="5"/>
      <c r="BB3036" s="5"/>
      <c r="BC3036" s="5"/>
      <c r="BD3036" s="5"/>
      <c r="BE3036" s="5"/>
      <c r="BF3036" s="5"/>
      <c r="BG3036" s="5"/>
      <c r="BH3036" s="5"/>
      <c r="BI3036" s="5"/>
      <c r="BJ3036" s="5"/>
      <c r="BK3036" s="5"/>
      <c r="BL3036" s="5"/>
      <c r="BM3036" s="5"/>
      <c r="BN3036" s="5"/>
      <c r="BO3036" s="5"/>
      <c r="BP3036" s="5"/>
      <c r="BQ3036" s="5"/>
      <c r="BR3036" s="5"/>
      <c r="BS3036" s="5"/>
      <c r="BT3036" s="5"/>
      <c r="BU3036" s="5"/>
      <c r="BV3036" s="5"/>
      <c r="BW3036" s="5"/>
      <c r="BX3036" s="5"/>
      <c r="BY3036" s="5"/>
      <c r="BZ3036" s="5"/>
      <c r="CA3036" s="5"/>
    </row>
    <row r="3037" spans="1:79" s="400" customFormat="1" ht="15" customHeight="1">
      <c r="A3037" s="404" t="s">
        <v>4668</v>
      </c>
      <c r="B3037" s="402" t="s">
        <v>5622</v>
      </c>
      <c r="C3037" s="113" t="s">
        <v>5622</v>
      </c>
      <c r="D3037" s="393" t="s">
        <v>89</v>
      </c>
      <c r="E3037" s="394" t="s">
        <v>5624</v>
      </c>
      <c r="F3037" s="402"/>
      <c r="G3037" s="405" t="s">
        <v>5625</v>
      </c>
      <c r="H3037" s="404">
        <v>3499</v>
      </c>
      <c r="I3037" s="402" t="s">
        <v>1</v>
      </c>
      <c r="J3037" s="406" t="s">
        <v>5714</v>
      </c>
      <c r="K3037" s="403">
        <v>41170</v>
      </c>
      <c r="L3037" s="398">
        <v>41160</v>
      </c>
      <c r="M3037" s="402">
        <f t="shared" si="172"/>
        <v>10</v>
      </c>
      <c r="N3037" s="402" t="s">
        <v>2</v>
      </c>
      <c r="O3037" s="404">
        <v>6.1</v>
      </c>
      <c r="P3037" s="402">
        <v>4.87</v>
      </c>
      <c r="Q3037" s="404">
        <v>5.2</v>
      </c>
      <c r="R3037" s="402">
        <v>8</v>
      </c>
      <c r="S3037" s="404">
        <v>8</v>
      </c>
      <c r="T3037" s="402">
        <f>0.001/2</f>
        <v>5.0000000000000001E-4</v>
      </c>
      <c r="U3037" s="395">
        <f>0.05/2</f>
        <v>2.5000000000000001E-2</v>
      </c>
      <c r="V3037" s="402">
        <v>0.27</v>
      </c>
      <c r="W3037" s="404">
        <v>0.03</v>
      </c>
      <c r="X3037" s="402">
        <v>0.38</v>
      </c>
      <c r="Y3037" s="404">
        <f>0.001/2</f>
        <v>5.0000000000000001E-4</v>
      </c>
      <c r="Z3037" s="397"/>
      <c r="AA3037" s="399"/>
      <c r="AB3037" s="394"/>
      <c r="AC3037" s="402"/>
      <c r="AD3037" s="399"/>
      <c r="AE3037" s="402"/>
      <c r="AF3037" s="391"/>
      <c r="AG3037" s="394"/>
      <c r="AH3037" s="394"/>
      <c r="AI3037" s="394"/>
      <c r="AJ3037" s="394"/>
      <c r="AK3037" s="394"/>
      <c r="AL3037" s="394"/>
      <c r="AM3037" s="394"/>
      <c r="AN3037" s="394"/>
      <c r="AO3037" s="394"/>
      <c r="AP3037" s="394"/>
      <c r="AQ3037" s="394"/>
      <c r="AR3037" s="394"/>
      <c r="AS3037" s="402"/>
      <c r="AT3037" s="404"/>
      <c r="AU3037" s="394"/>
      <c r="AV3037" s="394"/>
      <c r="AW3037" s="394"/>
      <c r="AX3037" s="5"/>
      <c r="AY3037" s="5"/>
      <c r="AZ3037" s="5"/>
      <c r="BA3037" s="5"/>
      <c r="BB3037" s="5"/>
      <c r="BC3037" s="5"/>
      <c r="BD3037" s="5"/>
      <c r="BE3037" s="5"/>
      <c r="BF3037" s="5"/>
      <c r="BG3037" s="5"/>
      <c r="BH3037" s="5"/>
      <c r="BI3037" s="5"/>
      <c r="BJ3037" s="5"/>
      <c r="BK3037" s="5"/>
      <c r="BL3037" s="5"/>
      <c r="BM3037" s="5"/>
      <c r="BN3037" s="5"/>
      <c r="BO3037" s="5"/>
      <c r="BP3037" s="5"/>
      <c r="BQ3037" s="5"/>
      <c r="BR3037" s="5"/>
      <c r="BS3037" s="5"/>
      <c r="BT3037" s="5"/>
      <c r="BU3037" s="5"/>
      <c r="BV3037" s="5"/>
      <c r="BW3037" s="5"/>
      <c r="BX3037" s="5"/>
      <c r="BY3037" s="5"/>
      <c r="BZ3037" s="5"/>
      <c r="CA3037" s="5"/>
    </row>
    <row r="3038" spans="1:79" s="400" customFormat="1" ht="15" customHeight="1">
      <c r="A3038" s="404" t="s">
        <v>4668</v>
      </c>
      <c r="B3038" s="402" t="s">
        <v>5704</v>
      </c>
      <c r="C3038" s="113" t="s">
        <v>5704</v>
      </c>
      <c r="D3038" s="393" t="s">
        <v>861</v>
      </c>
      <c r="E3038" s="394" t="s">
        <v>5705</v>
      </c>
      <c r="F3038" s="402"/>
      <c r="G3038" s="405" t="s">
        <v>5706</v>
      </c>
      <c r="H3038" s="404">
        <v>3471</v>
      </c>
      <c r="I3038" s="402" t="s">
        <v>2</v>
      </c>
      <c r="J3038" s="406" t="s">
        <v>5730</v>
      </c>
      <c r="K3038" s="403">
        <v>41085</v>
      </c>
      <c r="L3038" s="398" t="s">
        <v>5731</v>
      </c>
      <c r="M3038" s="402"/>
      <c r="N3038" s="402" t="s">
        <v>2</v>
      </c>
      <c r="O3038" s="404">
        <f>5/2</f>
        <v>2.5</v>
      </c>
      <c r="P3038" s="402">
        <v>5.0999999999999996</v>
      </c>
      <c r="Q3038" s="404">
        <v>5.37</v>
      </c>
      <c r="R3038" s="402">
        <v>43</v>
      </c>
      <c r="S3038" s="404">
        <v>11</v>
      </c>
      <c r="T3038" s="402">
        <f>0.1/2</f>
        <v>0.05</v>
      </c>
      <c r="U3038" s="395">
        <v>1.3</v>
      </c>
      <c r="V3038" s="402">
        <v>0.22</v>
      </c>
      <c r="W3038" s="404">
        <v>0.16</v>
      </c>
      <c r="X3038" s="402">
        <v>9.2999999999999999E-2</v>
      </c>
      <c r="Y3038" s="404">
        <f>0.013/2</f>
        <v>6.4999999999999997E-3</v>
      </c>
      <c r="Z3038" s="397">
        <v>0.183</v>
      </c>
      <c r="AA3038" s="399">
        <v>0.105</v>
      </c>
      <c r="AB3038" s="394">
        <v>7.5</v>
      </c>
      <c r="AC3038" s="402">
        <v>162</v>
      </c>
      <c r="AD3038" s="399">
        <v>0</v>
      </c>
      <c r="AE3038" s="402"/>
      <c r="AF3038" s="391"/>
      <c r="AG3038" s="394"/>
      <c r="AH3038" s="394"/>
      <c r="AI3038" s="394"/>
      <c r="AJ3038" s="394"/>
      <c r="AK3038" s="394"/>
      <c r="AL3038" s="394"/>
      <c r="AM3038" s="394"/>
      <c r="AN3038" s="394"/>
      <c r="AO3038" s="394"/>
      <c r="AP3038" s="394"/>
      <c r="AQ3038" s="394"/>
      <c r="AR3038" s="394"/>
      <c r="AS3038" s="402"/>
      <c r="AT3038" s="404"/>
      <c r="AU3038" s="394"/>
      <c r="AV3038" s="394"/>
      <c r="AW3038" s="394"/>
      <c r="AX3038" s="5"/>
      <c r="AY3038" s="5"/>
      <c r="AZ3038" s="5"/>
      <c r="BA3038" s="5"/>
      <c r="BB3038" s="5"/>
      <c r="BC3038" s="5"/>
      <c r="BD3038" s="5"/>
      <c r="BE3038" s="5"/>
      <c r="BF3038" s="5"/>
      <c r="BG3038" s="5"/>
      <c r="BH3038" s="5"/>
      <c r="BI3038" s="5"/>
      <c r="BJ3038" s="5"/>
      <c r="BK3038" s="5"/>
      <c r="BL3038" s="5"/>
      <c r="BM3038" s="5"/>
      <c r="BN3038" s="5"/>
      <c r="BO3038" s="5"/>
      <c r="BP3038" s="5"/>
      <c r="BQ3038" s="5"/>
      <c r="BR3038" s="5"/>
      <c r="BS3038" s="5"/>
      <c r="BT3038" s="5"/>
      <c r="BU3038" s="5"/>
      <c r="BV3038" s="5"/>
      <c r="BW3038" s="5"/>
      <c r="BX3038" s="5"/>
      <c r="BY3038" s="5"/>
      <c r="BZ3038" s="5"/>
      <c r="CA3038" s="5"/>
    </row>
    <row r="3039" spans="1:79" s="400" customFormat="1" ht="15" customHeight="1">
      <c r="A3039" s="404" t="s">
        <v>4668</v>
      </c>
      <c r="B3039" s="402" t="s">
        <v>5622</v>
      </c>
      <c r="C3039" s="113" t="s">
        <v>5622</v>
      </c>
      <c r="D3039" s="393" t="s">
        <v>89</v>
      </c>
      <c r="E3039" s="394" t="s">
        <v>5624</v>
      </c>
      <c r="F3039" s="402"/>
      <c r="G3039" s="405" t="s">
        <v>5625</v>
      </c>
      <c r="H3039" s="404">
        <v>3499</v>
      </c>
      <c r="I3039" s="402" t="s">
        <v>1</v>
      </c>
      <c r="J3039" s="406" t="s">
        <v>5714</v>
      </c>
      <c r="K3039" s="403">
        <v>41201</v>
      </c>
      <c r="L3039" s="398">
        <v>41197</v>
      </c>
      <c r="M3039" s="402">
        <f t="shared" si="172"/>
        <v>4</v>
      </c>
      <c r="N3039" s="402" t="s">
        <v>2</v>
      </c>
      <c r="O3039" s="404">
        <v>2.5</v>
      </c>
      <c r="P3039" s="402">
        <v>5.98</v>
      </c>
      <c r="Q3039" s="404">
        <v>5.3</v>
      </c>
      <c r="R3039" s="402">
        <v>5</v>
      </c>
      <c r="S3039" s="404">
        <v>1</v>
      </c>
      <c r="T3039" s="402">
        <v>7.0000000000000007E-2</v>
      </c>
      <c r="U3039" s="395">
        <f>0.05/2</f>
        <v>2.5000000000000001E-2</v>
      </c>
      <c r="V3039" s="402">
        <v>0.14000000000000001</v>
      </c>
      <c r="W3039" s="404">
        <v>0.01</v>
      </c>
      <c r="X3039" s="402">
        <v>0.08</v>
      </c>
      <c r="Y3039" s="404">
        <f>0.005/2</f>
        <v>2.5000000000000001E-3</v>
      </c>
      <c r="Z3039" s="397">
        <v>0.70699999999999996</v>
      </c>
      <c r="AA3039" s="399">
        <v>0.55500000000000005</v>
      </c>
      <c r="AB3039" s="394">
        <v>1</v>
      </c>
      <c r="AC3039" s="402">
        <v>9</v>
      </c>
      <c r="AD3039" s="399">
        <v>0</v>
      </c>
      <c r="AE3039" s="402"/>
      <c r="AF3039" s="391"/>
      <c r="AG3039" s="394"/>
      <c r="AH3039" s="394"/>
      <c r="AI3039" s="394"/>
      <c r="AJ3039" s="394"/>
      <c r="AK3039" s="394"/>
      <c r="AL3039" s="394"/>
      <c r="AM3039" s="394"/>
      <c r="AN3039" s="394"/>
      <c r="AO3039" s="394"/>
      <c r="AP3039" s="394"/>
      <c r="AQ3039" s="394"/>
      <c r="AR3039" s="394"/>
      <c r="AS3039" s="402"/>
      <c r="AT3039" s="404"/>
      <c r="AU3039" s="394"/>
      <c r="AV3039" s="394"/>
      <c r="AW3039" s="394"/>
      <c r="AX3039" s="5"/>
      <c r="AY3039" s="5"/>
      <c r="AZ3039" s="5"/>
      <c r="BA3039" s="5"/>
      <c r="BB3039" s="5"/>
      <c r="BC3039" s="5"/>
      <c r="BD3039" s="5"/>
      <c r="BE3039" s="5"/>
      <c r="BF3039" s="5"/>
      <c r="BG3039" s="5"/>
      <c r="BH3039" s="5"/>
      <c r="BI3039" s="5"/>
      <c r="BJ3039" s="5"/>
      <c r="BK3039" s="5"/>
      <c r="BL3039" s="5"/>
      <c r="BM3039" s="5"/>
      <c r="BN3039" s="5"/>
      <c r="BO3039" s="5"/>
      <c r="BP3039" s="5"/>
      <c r="BQ3039" s="5"/>
      <c r="BR3039" s="5"/>
      <c r="BS3039" s="5"/>
      <c r="BT3039" s="5"/>
      <c r="BU3039" s="5"/>
      <c r="BV3039" s="5"/>
      <c r="BW3039" s="5"/>
      <c r="BX3039" s="5"/>
      <c r="BY3039" s="5"/>
      <c r="BZ3039" s="5"/>
      <c r="CA3039" s="5"/>
    </row>
    <row r="3040" spans="1:79" s="400" customFormat="1" ht="15" customHeight="1">
      <c r="A3040" s="404" t="s">
        <v>4668</v>
      </c>
      <c r="B3040" s="402" t="s">
        <v>5622</v>
      </c>
      <c r="C3040" s="113" t="s">
        <v>5622</v>
      </c>
      <c r="D3040" s="393" t="s">
        <v>89</v>
      </c>
      <c r="E3040" s="394" t="s">
        <v>5624</v>
      </c>
      <c r="F3040" s="402"/>
      <c r="G3040" s="405" t="s">
        <v>5625</v>
      </c>
      <c r="H3040" s="404">
        <v>3499</v>
      </c>
      <c r="I3040" s="402" t="s">
        <v>1</v>
      </c>
      <c r="J3040" s="406" t="s">
        <v>5725</v>
      </c>
      <c r="K3040" s="403">
        <v>41201</v>
      </c>
      <c r="L3040" s="398">
        <v>41197</v>
      </c>
      <c r="M3040" s="402">
        <f t="shared" si="172"/>
        <v>4</v>
      </c>
      <c r="N3040" s="402" t="s">
        <v>2</v>
      </c>
      <c r="O3040" s="404">
        <v>1.2</v>
      </c>
      <c r="P3040" s="402">
        <v>5.98</v>
      </c>
      <c r="Q3040" s="404">
        <v>6.2</v>
      </c>
      <c r="R3040" s="402">
        <v>6</v>
      </c>
      <c r="S3040" s="404">
        <v>4</v>
      </c>
      <c r="T3040" s="402">
        <v>0.04</v>
      </c>
      <c r="U3040" s="395">
        <f>0.05/2</f>
        <v>2.5000000000000001E-2</v>
      </c>
      <c r="V3040" s="402">
        <f>0.05/2</f>
        <v>2.5000000000000001E-2</v>
      </c>
      <c r="W3040" s="404">
        <v>0.01</v>
      </c>
      <c r="X3040" s="402">
        <f>0.01/2</f>
        <v>5.0000000000000001E-3</v>
      </c>
      <c r="Y3040" s="404">
        <f>0.005/2</f>
        <v>2.5000000000000001E-3</v>
      </c>
      <c r="Z3040" s="397">
        <v>1</v>
      </c>
      <c r="AA3040" s="399">
        <v>1</v>
      </c>
      <c r="AB3040" s="394">
        <v>5</v>
      </c>
      <c r="AC3040" s="402">
        <v>21</v>
      </c>
      <c r="AD3040" s="399">
        <v>1</v>
      </c>
      <c r="AE3040" s="402"/>
      <c r="AF3040" s="391"/>
      <c r="AG3040" s="394"/>
      <c r="AH3040" s="394"/>
      <c r="AI3040" s="394"/>
      <c r="AJ3040" s="394"/>
      <c r="AK3040" s="394"/>
      <c r="AL3040" s="394"/>
      <c r="AM3040" s="394"/>
      <c r="AN3040" s="394"/>
      <c r="AO3040" s="394"/>
      <c r="AP3040" s="394"/>
      <c r="AQ3040" s="394"/>
      <c r="AR3040" s="394"/>
      <c r="AS3040" s="402"/>
      <c r="AT3040" s="404"/>
      <c r="AU3040" s="394"/>
      <c r="AV3040" s="394"/>
      <c r="AW3040" s="394"/>
      <c r="AX3040" s="5"/>
      <c r="AY3040" s="5"/>
      <c r="AZ3040" s="5"/>
      <c r="BA3040" s="5"/>
      <c r="BB3040" s="5"/>
      <c r="BC3040" s="5"/>
      <c r="BD3040" s="5"/>
      <c r="BE3040" s="5"/>
      <c r="BF3040" s="5"/>
      <c r="BG3040" s="5"/>
      <c r="BH3040" s="5"/>
      <c r="BI3040" s="5"/>
      <c r="BJ3040" s="5"/>
      <c r="BK3040" s="5"/>
      <c r="BL3040" s="5"/>
      <c r="BM3040" s="5"/>
      <c r="BN3040" s="5"/>
      <c r="BO3040" s="5"/>
      <c r="BP3040" s="5"/>
      <c r="BQ3040" s="5"/>
      <c r="BR3040" s="5"/>
      <c r="BS3040" s="5"/>
      <c r="BT3040" s="5"/>
      <c r="BU3040" s="5"/>
      <c r="BV3040" s="5"/>
      <c r="BW3040" s="5"/>
      <c r="BX3040" s="5"/>
      <c r="BY3040" s="5"/>
      <c r="BZ3040" s="5"/>
      <c r="CA3040" s="5"/>
    </row>
    <row r="3041" spans="1:79" s="400" customFormat="1" ht="15" customHeight="1">
      <c r="A3041" s="404" t="s">
        <v>4668</v>
      </c>
      <c r="B3041" s="402" t="s">
        <v>515</v>
      </c>
      <c r="C3041" s="113" t="s">
        <v>515</v>
      </c>
      <c r="D3041" s="393" t="s">
        <v>516</v>
      </c>
      <c r="E3041" s="394" t="s">
        <v>517</v>
      </c>
      <c r="F3041" s="402"/>
      <c r="G3041" s="405" t="s">
        <v>518</v>
      </c>
      <c r="H3041" s="404">
        <v>3357</v>
      </c>
      <c r="I3041" s="402" t="s">
        <v>1</v>
      </c>
      <c r="J3041" s="406" t="s">
        <v>81</v>
      </c>
      <c r="K3041" s="403">
        <v>41590</v>
      </c>
      <c r="L3041" s="398">
        <v>41585</v>
      </c>
      <c r="M3041" s="402">
        <f t="shared" si="172"/>
        <v>5</v>
      </c>
      <c r="N3041" s="402" t="s">
        <v>2</v>
      </c>
      <c r="O3041" s="404"/>
      <c r="P3041" s="402"/>
      <c r="Q3041" s="404"/>
      <c r="R3041" s="402"/>
      <c r="S3041" s="404"/>
      <c r="T3041" s="402"/>
      <c r="U3041" s="395"/>
      <c r="V3041" s="402">
        <v>3.29</v>
      </c>
      <c r="W3041" s="404"/>
      <c r="X3041" s="402"/>
      <c r="Y3041" s="404"/>
      <c r="Z3041" s="397"/>
      <c r="AA3041" s="399"/>
      <c r="AB3041" s="394"/>
      <c r="AC3041" s="402"/>
      <c r="AD3041" s="399"/>
      <c r="AE3041" s="402"/>
      <c r="AF3041" s="391"/>
      <c r="AG3041" s="394"/>
      <c r="AH3041" s="394"/>
      <c r="AI3041" s="394"/>
      <c r="AJ3041" s="394"/>
      <c r="AK3041" s="394"/>
      <c r="AL3041" s="394"/>
      <c r="AM3041" s="394"/>
      <c r="AN3041" s="394"/>
      <c r="AO3041" s="394"/>
      <c r="AP3041" s="394"/>
      <c r="AQ3041" s="394"/>
      <c r="AR3041" s="394"/>
      <c r="AS3041" s="402"/>
      <c r="AT3041" s="404"/>
      <c r="AU3041" s="394"/>
      <c r="AV3041" s="394"/>
      <c r="AW3041" s="394"/>
      <c r="AX3041" s="5"/>
      <c r="AY3041" s="5"/>
      <c r="AZ3041" s="5"/>
      <c r="BA3041" s="5"/>
      <c r="BB3041" s="5"/>
      <c r="BC3041" s="5"/>
      <c r="BD3041" s="5"/>
      <c r="BE3041" s="5"/>
      <c r="BF3041" s="5"/>
      <c r="BG3041" s="5"/>
      <c r="BH3041" s="5"/>
      <c r="BI3041" s="5"/>
      <c r="BJ3041" s="5"/>
      <c r="BK3041" s="5"/>
      <c r="BL3041" s="5"/>
      <c r="BM3041" s="5"/>
      <c r="BN3041" s="5"/>
      <c r="BO3041" s="5"/>
      <c r="BP3041" s="5"/>
      <c r="BQ3041" s="5"/>
      <c r="BR3041" s="5"/>
      <c r="BS3041" s="5"/>
      <c r="BT3041" s="5"/>
      <c r="BU3041" s="5"/>
      <c r="BV3041" s="5"/>
      <c r="BW3041" s="5"/>
      <c r="BX3041" s="5"/>
      <c r="BY3041" s="5"/>
      <c r="BZ3041" s="5"/>
      <c r="CA3041" s="5"/>
    </row>
    <row r="3042" spans="1:79" s="400" customFormat="1" ht="15" customHeight="1">
      <c r="A3042" s="404" t="s">
        <v>4668</v>
      </c>
      <c r="B3042" s="402" t="s">
        <v>4364</v>
      </c>
      <c r="C3042" s="113" t="s">
        <v>4364</v>
      </c>
      <c r="D3042" s="393" t="s">
        <v>2913</v>
      </c>
      <c r="E3042" s="394" t="s">
        <v>4999</v>
      </c>
      <c r="F3042" s="402"/>
      <c r="G3042" s="405" t="s">
        <v>4365</v>
      </c>
      <c r="H3042" s="404"/>
      <c r="I3042" s="402"/>
      <c r="J3042" s="404" t="s">
        <v>4999</v>
      </c>
      <c r="K3042" s="403">
        <v>41578</v>
      </c>
      <c r="L3042" s="398">
        <v>41554</v>
      </c>
      <c r="M3042" s="402">
        <f t="shared" si="172"/>
        <v>24</v>
      </c>
      <c r="N3042" s="402" t="s">
        <v>2</v>
      </c>
      <c r="O3042" s="404">
        <v>1.8</v>
      </c>
      <c r="P3042" s="402">
        <v>4.24</v>
      </c>
      <c r="Q3042" s="404">
        <v>5.2</v>
      </c>
      <c r="R3042" s="402">
        <v>30</v>
      </c>
      <c r="S3042" s="404">
        <v>6.5</v>
      </c>
      <c r="T3042" s="402">
        <v>0.06</v>
      </c>
      <c r="U3042" s="395">
        <v>3.02</v>
      </c>
      <c r="V3042" s="402">
        <v>3</v>
      </c>
      <c r="W3042" s="404">
        <f>0.01/2</f>
        <v>5.0000000000000001E-3</v>
      </c>
      <c r="X3042" s="402">
        <v>7.0000000000000007E-2</v>
      </c>
      <c r="Y3042" s="404">
        <f>0.02/2</f>
        <v>0.01</v>
      </c>
      <c r="Z3042" s="397"/>
      <c r="AA3042" s="399"/>
      <c r="AB3042" s="394"/>
      <c r="AC3042" s="402"/>
      <c r="AD3042" s="399"/>
      <c r="AE3042" s="402"/>
      <c r="AF3042" s="391"/>
      <c r="AG3042" s="394"/>
      <c r="AH3042" s="394"/>
      <c r="AI3042" s="394"/>
      <c r="AJ3042" s="394"/>
      <c r="AK3042" s="394"/>
      <c r="AL3042" s="394"/>
      <c r="AM3042" s="394"/>
      <c r="AN3042" s="394"/>
      <c r="AO3042" s="394"/>
      <c r="AP3042" s="394"/>
      <c r="AQ3042" s="394"/>
      <c r="AR3042" s="394"/>
      <c r="AS3042" s="402"/>
      <c r="AT3042" s="404"/>
      <c r="AU3042" s="394"/>
      <c r="AV3042" s="394"/>
      <c r="AW3042" s="394"/>
      <c r="AX3042" s="5"/>
      <c r="AY3042" s="5"/>
      <c r="AZ3042" s="5"/>
      <c r="BA3042" s="5"/>
      <c r="BB3042" s="5"/>
      <c r="BC3042" s="5"/>
      <c r="BD3042" s="5"/>
      <c r="BE3042" s="5"/>
      <c r="BF3042" s="5"/>
      <c r="BG3042" s="5"/>
      <c r="BH3042" s="5"/>
      <c r="BI3042" s="5"/>
      <c r="BJ3042" s="5"/>
      <c r="BK3042" s="5"/>
      <c r="BL3042" s="5"/>
      <c r="BM3042" s="5"/>
      <c r="BN3042" s="5"/>
      <c r="BO3042" s="5"/>
      <c r="BP3042" s="5"/>
      <c r="BQ3042" s="5"/>
      <c r="BR3042" s="5"/>
      <c r="BS3042" s="5"/>
      <c r="BT3042" s="5"/>
      <c r="BU3042" s="5"/>
      <c r="BV3042" s="5"/>
      <c r="BW3042" s="5"/>
      <c r="BX3042" s="5"/>
      <c r="BY3042" s="5"/>
      <c r="BZ3042" s="5"/>
      <c r="CA3042" s="5"/>
    </row>
    <row r="3043" spans="1:79" s="400" customFormat="1" ht="15" customHeight="1">
      <c r="A3043" s="404" t="s">
        <v>4668</v>
      </c>
      <c r="B3043" s="402" t="s">
        <v>4364</v>
      </c>
      <c r="C3043" s="113" t="s">
        <v>4364</v>
      </c>
      <c r="D3043" s="393" t="s">
        <v>2913</v>
      </c>
      <c r="E3043" s="394" t="s">
        <v>4853</v>
      </c>
      <c r="F3043" s="402"/>
      <c r="G3043" s="405" t="s">
        <v>4365</v>
      </c>
      <c r="H3043" s="404"/>
      <c r="I3043" s="402"/>
      <c r="J3043" s="404" t="s">
        <v>4853</v>
      </c>
      <c r="K3043" s="403">
        <v>41578</v>
      </c>
      <c r="L3043" s="398">
        <v>41554</v>
      </c>
      <c r="M3043" s="402">
        <f t="shared" si="172"/>
        <v>24</v>
      </c>
      <c r="N3043" s="402" t="s">
        <v>2</v>
      </c>
      <c r="O3043" s="404">
        <v>1.9</v>
      </c>
      <c r="P3043" s="402">
        <v>4.04</v>
      </c>
      <c r="Q3043" s="404">
        <v>4.45</v>
      </c>
      <c r="R3043" s="402">
        <v>17.2</v>
      </c>
      <c r="S3043" s="404">
        <f>1/2</f>
        <v>0.5</v>
      </c>
      <c r="T3043" s="402">
        <f>0.05/2</f>
        <v>2.5000000000000001E-2</v>
      </c>
      <c r="U3043" s="395">
        <v>2.42</v>
      </c>
      <c r="V3043" s="402">
        <v>2</v>
      </c>
      <c r="W3043" s="404">
        <f>0.01/2</f>
        <v>5.0000000000000001E-3</v>
      </c>
      <c r="X3043" s="402">
        <v>0.37</v>
      </c>
      <c r="Y3043" s="404">
        <f>0.02/2</f>
        <v>0.01</v>
      </c>
      <c r="Z3043" s="397"/>
      <c r="AA3043" s="399"/>
      <c r="AB3043" s="394"/>
      <c r="AC3043" s="402"/>
      <c r="AD3043" s="399"/>
      <c r="AE3043" s="402"/>
      <c r="AF3043" s="391"/>
      <c r="AG3043" s="394"/>
      <c r="AH3043" s="394"/>
      <c r="AI3043" s="394"/>
      <c r="AJ3043" s="394"/>
      <c r="AK3043" s="394"/>
      <c r="AL3043" s="394"/>
      <c r="AM3043" s="394"/>
      <c r="AN3043" s="394"/>
      <c r="AO3043" s="394"/>
      <c r="AP3043" s="394"/>
      <c r="AQ3043" s="394"/>
      <c r="AR3043" s="394"/>
      <c r="AS3043" s="402"/>
      <c r="AT3043" s="404"/>
      <c r="AU3043" s="394"/>
      <c r="AV3043" s="394"/>
      <c r="AW3043" s="394"/>
      <c r="AX3043" s="5"/>
      <c r="AY3043" s="5"/>
      <c r="AZ3043" s="5"/>
      <c r="BA3043" s="5"/>
      <c r="BB3043" s="5"/>
      <c r="BC3043" s="5"/>
      <c r="BD3043" s="5"/>
      <c r="BE3043" s="5"/>
      <c r="BF3043" s="5"/>
      <c r="BG3043" s="5"/>
      <c r="BH3043" s="5"/>
      <c r="BI3043" s="5"/>
      <c r="BJ3043" s="5"/>
      <c r="BK3043" s="5"/>
      <c r="BL3043" s="5"/>
      <c r="BM3043" s="5"/>
      <c r="BN3043" s="5"/>
      <c r="BO3043" s="5"/>
      <c r="BP3043" s="5"/>
      <c r="BQ3043" s="5"/>
      <c r="BR3043" s="5"/>
      <c r="BS3043" s="5"/>
      <c r="BT3043" s="5"/>
      <c r="BU3043" s="5"/>
      <c r="BV3043" s="5"/>
      <c r="BW3043" s="5"/>
      <c r="BX3043" s="5"/>
      <c r="BY3043" s="5"/>
      <c r="BZ3043" s="5"/>
      <c r="CA3043" s="5"/>
    </row>
    <row r="3044" spans="1:79" s="400" customFormat="1" ht="15" customHeight="1">
      <c r="A3044" s="404" t="s">
        <v>4668</v>
      </c>
      <c r="B3044" s="402" t="s">
        <v>4739</v>
      </c>
      <c r="C3044" s="113" t="s">
        <v>4739</v>
      </c>
      <c r="D3044" s="393" t="s">
        <v>89</v>
      </c>
      <c r="E3044" s="394" t="s">
        <v>3579</v>
      </c>
      <c r="F3044" s="402"/>
      <c r="G3044" s="405" t="s">
        <v>4740</v>
      </c>
      <c r="H3044" s="404">
        <v>2096</v>
      </c>
      <c r="I3044" s="402" t="s">
        <v>2</v>
      </c>
      <c r="J3044" s="406" t="s">
        <v>4741</v>
      </c>
      <c r="K3044" s="403">
        <v>41345</v>
      </c>
      <c r="L3044" s="398">
        <v>41341</v>
      </c>
      <c r="M3044" s="402">
        <f t="shared" si="172"/>
        <v>4</v>
      </c>
      <c r="N3044" s="402" t="s">
        <v>1</v>
      </c>
      <c r="O3044" s="404">
        <f>5/2</f>
        <v>2.5</v>
      </c>
      <c r="P3044" s="402">
        <v>5</v>
      </c>
      <c r="Q3044" s="404">
        <v>6.8</v>
      </c>
      <c r="R3044" s="402">
        <v>78</v>
      </c>
      <c r="S3044" s="404">
        <v>81</v>
      </c>
      <c r="T3044" s="402">
        <v>0.17</v>
      </c>
      <c r="U3044" s="395">
        <f>0.25/2</f>
        <v>0.125</v>
      </c>
      <c r="V3044" s="402">
        <v>0.23</v>
      </c>
      <c r="W3044" s="404">
        <v>1.4999999999999999E-2</v>
      </c>
      <c r="X3044" s="402">
        <v>0.25</v>
      </c>
      <c r="Y3044" s="404">
        <v>6.1999999999999998E-3</v>
      </c>
      <c r="Z3044" s="397"/>
      <c r="AA3044" s="399"/>
      <c r="AB3044" s="394"/>
      <c r="AC3044" s="402"/>
      <c r="AD3044" s="399"/>
      <c r="AE3044" s="402"/>
      <c r="AF3044" s="391"/>
      <c r="AG3044" s="394"/>
      <c r="AH3044" s="394"/>
      <c r="AI3044" s="394"/>
      <c r="AJ3044" s="394"/>
      <c r="AK3044" s="394"/>
      <c r="AL3044" s="394"/>
      <c r="AM3044" s="394"/>
      <c r="AN3044" s="394"/>
      <c r="AO3044" s="394"/>
      <c r="AP3044" s="394"/>
      <c r="AQ3044" s="394"/>
      <c r="AR3044" s="394"/>
      <c r="AS3044" s="402"/>
      <c r="AT3044" s="404"/>
      <c r="AU3044" s="394"/>
      <c r="AV3044" s="394"/>
      <c r="AW3044" s="394"/>
      <c r="AX3044" s="5"/>
      <c r="AY3044" s="5"/>
      <c r="AZ3044" s="5"/>
      <c r="BA3044" s="5"/>
      <c r="BB3044" s="5"/>
      <c r="BC3044" s="5"/>
      <c r="BD3044" s="5"/>
      <c r="BE3044" s="5"/>
      <c r="BF3044" s="5"/>
      <c r="BG3044" s="5"/>
      <c r="BH3044" s="5"/>
      <c r="BI3044" s="5"/>
      <c r="BJ3044" s="5"/>
      <c r="BK3044" s="5"/>
      <c r="BL3044" s="5"/>
      <c r="BM3044" s="5"/>
      <c r="BN3044" s="5"/>
      <c r="BO3044" s="5"/>
      <c r="BP3044" s="5"/>
      <c r="BQ3044" s="5"/>
      <c r="BR3044" s="5"/>
      <c r="BS3044" s="5"/>
      <c r="BT3044" s="5"/>
      <c r="BU3044" s="5"/>
      <c r="BV3044" s="5"/>
      <c r="BW3044" s="5"/>
      <c r="BX3044" s="5"/>
      <c r="BY3044" s="5"/>
      <c r="BZ3044" s="5"/>
      <c r="CA3044" s="5"/>
    </row>
    <row r="3045" spans="1:79" s="400" customFormat="1" ht="15" customHeight="1">
      <c r="A3045" s="404" t="s">
        <v>4668</v>
      </c>
      <c r="B3045" s="402" t="s">
        <v>1825</v>
      </c>
      <c r="C3045" s="113" t="s">
        <v>1826</v>
      </c>
      <c r="D3045" s="393" t="s">
        <v>117</v>
      </c>
      <c r="E3045" s="394" t="s">
        <v>1827</v>
      </c>
      <c r="F3045" s="402"/>
      <c r="G3045" s="405" t="s">
        <v>1797</v>
      </c>
      <c r="H3045" s="404">
        <v>2869</v>
      </c>
      <c r="I3045" s="402" t="s">
        <v>2</v>
      </c>
      <c r="J3045" s="260" t="s">
        <v>1798</v>
      </c>
      <c r="K3045" s="403">
        <v>41529</v>
      </c>
      <c r="L3045" s="398">
        <v>41524</v>
      </c>
      <c r="M3045" s="402">
        <f t="shared" si="172"/>
        <v>5</v>
      </c>
      <c r="N3045" s="402" t="s">
        <v>2</v>
      </c>
      <c r="O3045" s="404">
        <f>5/2</f>
        <v>2.5</v>
      </c>
      <c r="P3045" s="402">
        <v>6.38</v>
      </c>
      <c r="Q3045" s="404">
        <v>6.42</v>
      </c>
      <c r="R3045" s="402">
        <v>16</v>
      </c>
      <c r="S3045" s="404">
        <f>5/2</f>
        <v>2.5</v>
      </c>
      <c r="T3045" s="402">
        <f>0.1/2</f>
        <v>0.05</v>
      </c>
      <c r="U3045" s="395">
        <f>1/2</f>
        <v>0.5</v>
      </c>
      <c r="V3045" s="402">
        <v>0.51</v>
      </c>
      <c r="W3045" s="404">
        <f>0.04/2</f>
        <v>0.02</v>
      </c>
      <c r="X3045" s="402">
        <v>4.2999999999999997E-2</v>
      </c>
      <c r="Y3045" s="404">
        <f>0.013/2</f>
        <v>6.4999999999999997E-3</v>
      </c>
      <c r="Z3045" s="397">
        <v>1</v>
      </c>
      <c r="AA3045" s="399">
        <v>1</v>
      </c>
      <c r="AB3045" s="394">
        <v>12</v>
      </c>
      <c r="AC3045" s="402">
        <v>41</v>
      </c>
      <c r="AD3045" s="399">
        <v>1</v>
      </c>
      <c r="AE3045" s="402"/>
      <c r="AF3045" s="391"/>
      <c r="AG3045" s="394"/>
      <c r="AH3045" s="394"/>
      <c r="AI3045" s="394"/>
      <c r="AJ3045" s="394"/>
      <c r="AK3045" s="394"/>
      <c r="AL3045" s="394"/>
      <c r="AM3045" s="394"/>
      <c r="AN3045" s="394"/>
      <c r="AO3045" s="394"/>
      <c r="AP3045" s="394"/>
      <c r="AQ3045" s="394"/>
      <c r="AR3045" s="394"/>
      <c r="AS3045" s="402"/>
      <c r="AT3045" s="404"/>
      <c r="AU3045" s="394"/>
      <c r="AV3045" s="394"/>
      <c r="AW3045" s="394"/>
      <c r="AX3045" s="5"/>
      <c r="AY3045" s="5"/>
      <c r="AZ3045" s="5"/>
      <c r="BA3045" s="5"/>
      <c r="BB3045" s="5"/>
      <c r="BC3045" s="5"/>
      <c r="BD3045" s="5"/>
      <c r="BE3045" s="5"/>
      <c r="BF3045" s="5"/>
      <c r="BG3045" s="5"/>
      <c r="BH3045" s="5"/>
      <c r="BI3045" s="5"/>
      <c r="BJ3045" s="5"/>
      <c r="BK3045" s="5"/>
      <c r="BL3045" s="5"/>
      <c r="BM3045" s="5"/>
      <c r="BN3045" s="5"/>
      <c r="BO3045" s="5"/>
      <c r="BP3045" s="5"/>
      <c r="BQ3045" s="5"/>
      <c r="BR3045" s="5"/>
      <c r="BS3045" s="5"/>
      <c r="BT3045" s="5"/>
      <c r="BU3045" s="5"/>
      <c r="BV3045" s="5"/>
      <c r="BW3045" s="5"/>
      <c r="BX3045" s="5"/>
      <c r="BY3045" s="5"/>
      <c r="BZ3045" s="5"/>
      <c r="CA3045" s="5"/>
    </row>
    <row r="3046" spans="1:79" s="400" customFormat="1" ht="15" customHeight="1">
      <c r="A3046" s="404" t="s">
        <v>4668</v>
      </c>
      <c r="B3046" s="402" t="s">
        <v>1828</v>
      </c>
      <c r="C3046" s="113" t="s">
        <v>1829</v>
      </c>
      <c r="D3046" s="393" t="s">
        <v>1830</v>
      </c>
      <c r="E3046" s="394" t="s">
        <v>1831</v>
      </c>
      <c r="F3046" s="402"/>
      <c r="G3046" s="405" t="s">
        <v>1799</v>
      </c>
      <c r="H3046" s="404">
        <v>3471</v>
      </c>
      <c r="I3046" s="402" t="s">
        <v>1</v>
      </c>
      <c r="J3046" s="406" t="s">
        <v>425</v>
      </c>
      <c r="K3046" s="403">
        <v>41529</v>
      </c>
      <c r="L3046" s="398">
        <v>41513</v>
      </c>
      <c r="M3046" s="402">
        <f t="shared" si="172"/>
        <v>16</v>
      </c>
      <c r="N3046" s="402" t="s">
        <v>2</v>
      </c>
      <c r="O3046" s="404">
        <f>5/2</f>
        <v>2.5</v>
      </c>
      <c r="P3046" s="402">
        <v>4.37</v>
      </c>
      <c r="Q3046" s="404">
        <v>5.6</v>
      </c>
      <c r="R3046" s="402">
        <v>20</v>
      </c>
      <c r="S3046" s="404">
        <f>5/2</f>
        <v>2.5</v>
      </c>
      <c r="T3046" s="402">
        <f>0.1/2</f>
        <v>0.05</v>
      </c>
      <c r="U3046" s="395">
        <v>1.1000000000000001</v>
      </c>
      <c r="V3046" s="402">
        <v>0.67</v>
      </c>
      <c r="W3046" s="404">
        <f>0.04/2</f>
        <v>0.02</v>
      </c>
      <c r="X3046" s="402">
        <v>0.19500000000000001</v>
      </c>
      <c r="Y3046" s="404">
        <f>0.0013/2</f>
        <v>6.4999999999999997E-4</v>
      </c>
      <c r="Z3046" s="397">
        <v>1</v>
      </c>
      <c r="AA3046" s="399">
        <v>1</v>
      </c>
      <c r="AB3046" s="394">
        <v>3.8</v>
      </c>
      <c r="AC3046" s="402">
        <v>20</v>
      </c>
      <c r="AD3046" s="399">
        <v>0</v>
      </c>
      <c r="AE3046" s="402" t="s">
        <v>2171</v>
      </c>
      <c r="AF3046" s="391"/>
      <c r="AG3046" s="394"/>
      <c r="AH3046" s="394"/>
      <c r="AI3046" s="394"/>
      <c r="AJ3046" s="394"/>
      <c r="AK3046" s="394"/>
      <c r="AL3046" s="394"/>
      <c r="AM3046" s="394"/>
      <c r="AN3046" s="394"/>
      <c r="AO3046" s="394"/>
      <c r="AP3046" s="394"/>
      <c r="AQ3046" s="394"/>
      <c r="AR3046" s="394"/>
      <c r="AS3046" s="402"/>
      <c r="AT3046" s="404"/>
      <c r="AU3046" s="394"/>
      <c r="AV3046" s="394"/>
      <c r="AW3046" s="394"/>
      <c r="AX3046" s="5"/>
      <c r="AY3046" s="5"/>
      <c r="AZ3046" s="5"/>
      <c r="BA3046" s="5"/>
      <c r="BB3046" s="5"/>
      <c r="BC3046" s="5"/>
      <c r="BD3046" s="5"/>
      <c r="BE3046" s="5"/>
      <c r="BF3046" s="5"/>
      <c r="BG3046" s="5"/>
      <c r="BH3046" s="5"/>
      <c r="BI3046" s="5"/>
      <c r="BJ3046" s="5"/>
      <c r="BK3046" s="5"/>
      <c r="BL3046" s="5"/>
      <c r="BM3046" s="5"/>
      <c r="BN3046" s="5"/>
      <c r="BO3046" s="5"/>
      <c r="BP3046" s="5"/>
      <c r="BQ3046" s="5"/>
      <c r="BR3046" s="5"/>
      <c r="BS3046" s="5"/>
      <c r="BT3046" s="5"/>
      <c r="BU3046" s="5"/>
      <c r="BV3046" s="5"/>
      <c r="BW3046" s="5"/>
      <c r="BX3046" s="5"/>
      <c r="BY3046" s="5"/>
      <c r="BZ3046" s="5">
        <f>0.025/2</f>
        <v>1.2500000000000001E-2</v>
      </c>
      <c r="CA3046" s="5"/>
    </row>
    <row r="3047" spans="1:79" s="400" customFormat="1" ht="15" customHeight="1">
      <c r="A3047" s="41" t="s">
        <v>183</v>
      </c>
      <c r="B3047" s="402" t="s">
        <v>3225</v>
      </c>
      <c r="C3047" s="113" t="s">
        <v>3226</v>
      </c>
      <c r="D3047" s="393" t="s">
        <v>818</v>
      </c>
      <c r="E3047" s="394" t="s">
        <v>5732</v>
      </c>
      <c r="F3047" s="402"/>
      <c r="G3047" s="405" t="s">
        <v>3227</v>
      </c>
      <c r="H3047" s="336" t="s">
        <v>5733</v>
      </c>
      <c r="I3047" s="402" t="s">
        <v>2</v>
      </c>
      <c r="J3047" s="401" t="s">
        <v>3144</v>
      </c>
      <c r="K3047" s="403">
        <v>41192</v>
      </c>
      <c r="L3047" s="398">
        <v>41189</v>
      </c>
      <c r="M3047" s="402">
        <f t="shared" si="172"/>
        <v>3</v>
      </c>
      <c r="N3047" s="402" t="s">
        <v>2</v>
      </c>
      <c r="O3047" s="404">
        <f>5/2</f>
        <v>2.5</v>
      </c>
      <c r="P3047" s="402">
        <v>6</v>
      </c>
      <c r="Q3047" s="404">
        <v>6</v>
      </c>
      <c r="R3047" s="402">
        <v>41</v>
      </c>
      <c r="S3047" s="404">
        <f>5/2</f>
        <v>2.5</v>
      </c>
      <c r="T3047" s="402">
        <f>0.1/2</f>
        <v>0.05</v>
      </c>
      <c r="U3047" s="395">
        <v>1.6</v>
      </c>
      <c r="V3047" s="402">
        <v>0.23</v>
      </c>
      <c r="W3047" s="404">
        <f>0.04/2</f>
        <v>0.02</v>
      </c>
      <c r="X3047" s="402">
        <v>3.2000000000000001E-2</v>
      </c>
      <c r="Y3047" s="404">
        <f>0.013/2</f>
        <v>6.4999999999999997E-3</v>
      </c>
      <c r="Z3047" s="397">
        <v>1</v>
      </c>
      <c r="AA3047" s="399">
        <v>1</v>
      </c>
      <c r="AB3047" s="394">
        <v>46</v>
      </c>
      <c r="AC3047" s="402">
        <v>179</v>
      </c>
      <c r="AD3047" s="399">
        <v>0.8</v>
      </c>
      <c r="AE3047" s="402"/>
      <c r="AF3047" s="391"/>
      <c r="AG3047" s="394"/>
      <c r="AH3047" s="394"/>
      <c r="AI3047" s="394"/>
      <c r="AJ3047" s="394"/>
      <c r="AK3047" s="394"/>
      <c r="AL3047" s="394"/>
      <c r="AM3047" s="394"/>
      <c r="AN3047" s="394"/>
      <c r="AO3047" s="394"/>
      <c r="AP3047" s="394"/>
      <c r="AQ3047" s="394"/>
      <c r="AR3047" s="394"/>
      <c r="AS3047" s="402"/>
      <c r="AT3047" s="404"/>
      <c r="AU3047" s="394"/>
      <c r="AV3047" s="394"/>
      <c r="AW3047" s="394"/>
      <c r="AX3047" s="5"/>
      <c r="AY3047" s="5"/>
      <c r="AZ3047" s="5"/>
      <c r="BA3047" s="5"/>
      <c r="BB3047" s="5"/>
      <c r="BC3047" s="5"/>
      <c r="BD3047" s="5"/>
      <c r="BE3047" s="5"/>
      <c r="BF3047" s="5"/>
      <c r="BG3047" s="5"/>
      <c r="BH3047" s="5"/>
      <c r="BI3047" s="5"/>
      <c r="BJ3047" s="5"/>
      <c r="BK3047" s="5"/>
      <c r="BL3047" s="5"/>
      <c r="BM3047" s="5"/>
      <c r="BN3047" s="5"/>
      <c r="BO3047" s="5"/>
      <c r="BP3047" s="5"/>
      <c r="BQ3047" s="5"/>
      <c r="BR3047" s="5"/>
      <c r="BS3047" s="5"/>
      <c r="BT3047" s="5"/>
      <c r="BU3047" s="5"/>
      <c r="BV3047" s="5"/>
      <c r="BW3047" s="5"/>
      <c r="BX3047" s="5"/>
      <c r="BY3047" s="5"/>
      <c r="BZ3047" s="5"/>
      <c r="CA3047" s="5"/>
    </row>
    <row r="3048" spans="1:79" s="400" customFormat="1" ht="15" customHeight="1">
      <c r="A3048" s="41" t="s">
        <v>183</v>
      </c>
      <c r="B3048" s="402" t="s">
        <v>3225</v>
      </c>
      <c r="C3048" s="113" t="s">
        <v>3226</v>
      </c>
      <c r="D3048" s="393" t="s">
        <v>818</v>
      </c>
      <c r="E3048" s="394" t="s">
        <v>5732</v>
      </c>
      <c r="F3048" s="402"/>
      <c r="G3048" s="405" t="s">
        <v>3227</v>
      </c>
      <c r="H3048" s="336" t="s">
        <v>5733</v>
      </c>
      <c r="I3048" s="402" t="s">
        <v>2</v>
      </c>
      <c r="J3048" s="401" t="s">
        <v>3228</v>
      </c>
      <c r="K3048" s="403">
        <v>41192</v>
      </c>
      <c r="L3048" s="398">
        <v>41189</v>
      </c>
      <c r="M3048" s="402">
        <f t="shared" si="172"/>
        <v>3</v>
      </c>
      <c r="N3048" s="402" t="s">
        <v>2</v>
      </c>
      <c r="O3048" s="404">
        <f>5/2</f>
        <v>2.5</v>
      </c>
      <c r="P3048" s="402">
        <v>6</v>
      </c>
      <c r="Q3048" s="404">
        <v>6.4</v>
      </c>
      <c r="R3048" s="402">
        <v>61</v>
      </c>
      <c r="S3048" s="404">
        <v>20</v>
      </c>
      <c r="T3048" s="402">
        <f>0.1/2</f>
        <v>0.05</v>
      </c>
      <c r="U3048" s="395">
        <f>1/2</f>
        <v>0.5</v>
      </c>
      <c r="V3048" s="402">
        <v>0.79</v>
      </c>
      <c r="W3048" s="404">
        <f>0.04/2</f>
        <v>0.02</v>
      </c>
      <c r="X3048" s="402">
        <v>0.13</v>
      </c>
      <c r="Y3048" s="404">
        <f>0.013/2</f>
        <v>6.4999999999999997E-3</v>
      </c>
      <c r="Z3048" s="397">
        <v>1</v>
      </c>
      <c r="AA3048" s="399">
        <v>0.68300000000000005</v>
      </c>
      <c r="AB3048" s="394">
        <v>5.2</v>
      </c>
      <c r="AC3048" s="402">
        <v>31</v>
      </c>
      <c r="AD3048" s="399">
        <v>0</v>
      </c>
      <c r="AE3048" s="402"/>
      <c r="AF3048" s="391"/>
      <c r="AG3048" s="394"/>
      <c r="AH3048" s="394"/>
      <c r="AI3048" s="394"/>
      <c r="AJ3048" s="394"/>
      <c r="AK3048" s="394"/>
      <c r="AL3048" s="394"/>
      <c r="AM3048" s="394"/>
      <c r="AN3048" s="394"/>
      <c r="AO3048" s="394"/>
      <c r="AP3048" s="394"/>
      <c r="AQ3048" s="394"/>
      <c r="AR3048" s="394"/>
      <c r="AS3048" s="402"/>
      <c r="AT3048" s="404"/>
      <c r="AU3048" s="394"/>
      <c r="AV3048" s="394"/>
      <c r="AW3048" s="394"/>
      <c r="AX3048" s="5"/>
      <c r="AY3048" s="5"/>
      <c r="AZ3048" s="5"/>
      <c r="BA3048" s="5"/>
      <c r="BB3048" s="5"/>
      <c r="BC3048" s="5"/>
      <c r="BD3048" s="5"/>
      <c r="BE3048" s="5"/>
      <c r="BF3048" s="5"/>
      <c r="BG3048" s="5"/>
      <c r="BH3048" s="5"/>
      <c r="BI3048" s="5"/>
      <c r="BJ3048" s="5"/>
      <c r="BK3048" s="5"/>
      <c r="BL3048" s="5"/>
      <c r="BM3048" s="5"/>
      <c r="BN3048" s="5"/>
      <c r="BO3048" s="5"/>
      <c r="BP3048" s="5"/>
      <c r="BQ3048" s="5"/>
      <c r="BR3048" s="5"/>
      <c r="BS3048" s="5"/>
      <c r="BT3048" s="5"/>
      <c r="BU3048" s="5"/>
      <c r="BV3048" s="5"/>
      <c r="BW3048" s="5"/>
      <c r="BX3048" s="5"/>
      <c r="BY3048" s="5"/>
      <c r="BZ3048" s="5"/>
      <c r="CA3048" s="5"/>
    </row>
    <row r="3049" spans="1:79" s="400" customFormat="1" ht="15" customHeight="1">
      <c r="A3049" s="41" t="s">
        <v>183</v>
      </c>
      <c r="B3049" s="402" t="s">
        <v>2531</v>
      </c>
      <c r="C3049" s="113" t="s">
        <v>2531</v>
      </c>
      <c r="D3049" s="393"/>
      <c r="E3049" s="394" t="s">
        <v>512</v>
      </c>
      <c r="F3049" s="402" t="s">
        <v>5734</v>
      </c>
      <c r="G3049" s="405" t="s">
        <v>2533</v>
      </c>
      <c r="H3049" s="404">
        <v>3365</v>
      </c>
      <c r="I3049" s="402" t="s">
        <v>1</v>
      </c>
      <c r="J3049" s="406" t="s">
        <v>115</v>
      </c>
      <c r="K3049" s="403">
        <v>41345</v>
      </c>
      <c r="L3049" s="398">
        <v>41341</v>
      </c>
      <c r="M3049" s="402">
        <f t="shared" si="172"/>
        <v>4</v>
      </c>
      <c r="N3049" s="402" t="s">
        <v>2</v>
      </c>
      <c r="O3049" s="404">
        <f>1.5/2</f>
        <v>0.75</v>
      </c>
      <c r="P3049" s="402">
        <v>5.5</v>
      </c>
      <c r="Q3049" s="404">
        <v>5.6</v>
      </c>
      <c r="R3049" s="402">
        <f>20/2</f>
        <v>10</v>
      </c>
      <c r="S3049" s="404">
        <v>3.5</v>
      </c>
      <c r="T3049" s="402">
        <v>1.9E-2</v>
      </c>
      <c r="U3049" s="395">
        <v>2.2000000000000002</v>
      </c>
      <c r="V3049" s="402">
        <v>0.52</v>
      </c>
      <c r="W3049" s="404">
        <v>8.3000000000000004E-2</v>
      </c>
      <c r="X3049" s="402">
        <v>0.13200000000000001</v>
      </c>
      <c r="Y3049" s="404">
        <v>6.6E-3</v>
      </c>
      <c r="Z3049" s="397"/>
      <c r="AA3049" s="399"/>
      <c r="AB3049" s="394"/>
      <c r="AC3049" s="402"/>
      <c r="AD3049" s="399"/>
      <c r="AE3049" s="402"/>
      <c r="AF3049" s="391"/>
      <c r="AG3049" s="394"/>
      <c r="AH3049" s="394"/>
      <c r="AI3049" s="394"/>
      <c r="AJ3049" s="394"/>
      <c r="AK3049" s="394"/>
      <c r="AL3049" s="394"/>
      <c r="AM3049" s="394"/>
      <c r="AN3049" s="394"/>
      <c r="AO3049" s="394"/>
      <c r="AP3049" s="394"/>
      <c r="AQ3049" s="394"/>
      <c r="AR3049" s="394"/>
      <c r="AS3049" s="402"/>
      <c r="AT3049" s="404"/>
      <c r="AU3049" s="394"/>
      <c r="AV3049" s="394"/>
      <c r="AW3049" s="394"/>
      <c r="AX3049" s="5"/>
      <c r="AY3049" s="5"/>
      <c r="AZ3049" s="5"/>
      <c r="BA3049" s="5"/>
      <c r="BB3049" s="5"/>
      <c r="BC3049" s="5"/>
      <c r="BD3049" s="5"/>
      <c r="BE3049" s="5"/>
      <c r="BF3049" s="5"/>
      <c r="BG3049" s="5"/>
      <c r="BH3049" s="5"/>
      <c r="BI3049" s="5"/>
      <c r="BJ3049" s="5"/>
      <c r="BK3049" s="5"/>
      <c r="BL3049" s="5"/>
      <c r="BM3049" s="5"/>
      <c r="BN3049" s="5"/>
      <c r="BO3049" s="5"/>
      <c r="BP3049" s="5"/>
      <c r="BQ3049" s="5"/>
      <c r="BR3049" s="5"/>
      <c r="BS3049" s="5"/>
      <c r="BT3049" s="5"/>
      <c r="BU3049" s="5"/>
      <c r="BV3049" s="5"/>
      <c r="BW3049" s="5"/>
      <c r="BX3049" s="5"/>
      <c r="BY3049" s="5"/>
      <c r="BZ3049" s="5"/>
      <c r="CA3049" s="5"/>
    </row>
    <row r="3050" spans="1:79" s="400" customFormat="1" ht="15" customHeight="1">
      <c r="A3050" s="41" t="s">
        <v>183</v>
      </c>
      <c r="B3050" s="402" t="s">
        <v>1825</v>
      </c>
      <c r="C3050" s="113" t="s">
        <v>1826</v>
      </c>
      <c r="D3050" s="393" t="s">
        <v>117</v>
      </c>
      <c r="E3050" s="394" t="s">
        <v>1827</v>
      </c>
      <c r="F3050" s="402"/>
      <c r="G3050" s="405" t="s">
        <v>1797</v>
      </c>
      <c r="H3050" s="404">
        <v>2869</v>
      </c>
      <c r="I3050" s="402" t="s">
        <v>2</v>
      </c>
      <c r="J3050" s="260" t="s">
        <v>1798</v>
      </c>
      <c r="K3050" s="403">
        <v>41261</v>
      </c>
      <c r="L3050" s="398">
        <v>41252</v>
      </c>
      <c r="M3050" s="402">
        <f t="shared" si="172"/>
        <v>9</v>
      </c>
      <c r="N3050" s="402" t="s">
        <v>2</v>
      </c>
      <c r="O3050" s="404">
        <f>5/2</f>
        <v>2.5</v>
      </c>
      <c r="P3050" s="402">
        <v>5.6</v>
      </c>
      <c r="Q3050" s="404">
        <v>7.35</v>
      </c>
      <c r="R3050" s="402">
        <f>5/2</f>
        <v>2.5</v>
      </c>
      <c r="S3050" s="404">
        <f>5/2</f>
        <v>2.5</v>
      </c>
      <c r="T3050" s="402">
        <f>0.1/2</f>
        <v>0.05</v>
      </c>
      <c r="U3050" s="395">
        <f>1/2</f>
        <v>0.5</v>
      </c>
      <c r="V3050" s="402">
        <v>1.6</v>
      </c>
      <c r="W3050" s="404">
        <f>0.04/2</f>
        <v>0.02</v>
      </c>
      <c r="X3050" s="402">
        <v>4.8000000000000001E-2</v>
      </c>
      <c r="Y3050" s="404">
        <f>0.013/2</f>
        <v>6.4999999999999997E-3</v>
      </c>
      <c r="Z3050" s="397">
        <v>1</v>
      </c>
      <c r="AA3050" s="399">
        <v>1</v>
      </c>
      <c r="AB3050" s="394">
        <v>90</v>
      </c>
      <c r="AC3050" s="402">
        <v>159</v>
      </c>
      <c r="AD3050" s="399">
        <v>1</v>
      </c>
      <c r="AE3050" s="402"/>
      <c r="AF3050" s="391"/>
      <c r="AG3050" s="394"/>
      <c r="AH3050" s="394"/>
      <c r="AI3050" s="394"/>
      <c r="AJ3050" s="394"/>
      <c r="AK3050" s="394"/>
      <c r="AL3050" s="394"/>
      <c r="AM3050" s="394"/>
      <c r="AN3050" s="394"/>
      <c r="AO3050" s="394"/>
      <c r="AP3050" s="394"/>
      <c r="AQ3050" s="394"/>
      <c r="AR3050" s="394"/>
      <c r="AS3050" s="402"/>
      <c r="AT3050" s="404"/>
      <c r="AU3050" s="394"/>
      <c r="AV3050" s="394"/>
      <c r="AW3050" s="394"/>
      <c r="AX3050" s="5"/>
      <c r="AY3050" s="5"/>
      <c r="AZ3050" s="5"/>
      <c r="BA3050" s="5"/>
      <c r="BB3050" s="5"/>
      <c r="BC3050" s="5"/>
      <c r="BD3050" s="5"/>
      <c r="BE3050" s="5"/>
      <c r="BF3050" s="5"/>
      <c r="BG3050" s="5"/>
      <c r="BH3050" s="5"/>
      <c r="BI3050" s="5"/>
      <c r="BJ3050" s="5"/>
      <c r="BK3050" s="5"/>
      <c r="BL3050" s="5"/>
      <c r="BM3050" s="5"/>
      <c r="BN3050" s="5"/>
      <c r="BO3050" s="5"/>
      <c r="BP3050" s="5"/>
      <c r="BQ3050" s="5"/>
      <c r="BR3050" s="5"/>
      <c r="BS3050" s="5"/>
      <c r="BT3050" s="5"/>
      <c r="BU3050" s="5"/>
      <c r="BV3050" s="5"/>
      <c r="BW3050" s="5"/>
      <c r="BX3050" s="5"/>
      <c r="BY3050" s="5"/>
      <c r="BZ3050" s="5"/>
      <c r="CA3050" s="5"/>
    </row>
    <row r="3051" spans="1:79" s="400" customFormat="1" ht="15" customHeight="1">
      <c r="A3051" s="41" t="s">
        <v>183</v>
      </c>
      <c r="B3051" s="402" t="s">
        <v>3225</v>
      </c>
      <c r="C3051" s="113" t="s">
        <v>3226</v>
      </c>
      <c r="D3051" s="393" t="s">
        <v>818</v>
      </c>
      <c r="E3051" s="394" t="s">
        <v>5732</v>
      </c>
      <c r="F3051" s="402"/>
      <c r="G3051" s="405" t="s">
        <v>3227</v>
      </c>
      <c r="H3051" s="404" t="s">
        <v>5733</v>
      </c>
      <c r="I3051" s="402" t="s">
        <v>2</v>
      </c>
      <c r="J3051" s="401" t="s">
        <v>3144</v>
      </c>
      <c r="K3051" s="403">
        <v>41402</v>
      </c>
      <c r="L3051" s="398">
        <v>41384</v>
      </c>
      <c r="M3051" s="402">
        <f t="shared" si="172"/>
        <v>18</v>
      </c>
      <c r="N3051" s="402" t="s">
        <v>2</v>
      </c>
      <c r="O3051" s="404">
        <f>5/2</f>
        <v>2.5</v>
      </c>
      <c r="P3051" s="402">
        <v>7</v>
      </c>
      <c r="Q3051" s="404">
        <v>6.7</v>
      </c>
      <c r="R3051" s="402">
        <v>55</v>
      </c>
      <c r="S3051" s="404">
        <v>41</v>
      </c>
      <c r="T3051" s="402">
        <v>0.22</v>
      </c>
      <c r="U3051" s="395">
        <v>1.6</v>
      </c>
      <c r="V3051" s="402">
        <v>1</v>
      </c>
      <c r="W3051" s="404">
        <f>0.04/2</f>
        <v>0.02</v>
      </c>
      <c r="X3051" s="402">
        <v>2.4E-2</v>
      </c>
      <c r="Y3051" s="404">
        <f>0.013/2</f>
        <v>6.4999999999999997E-3</v>
      </c>
      <c r="Z3051" s="397"/>
      <c r="AA3051" s="399"/>
      <c r="AB3051" s="394"/>
      <c r="AC3051" s="402"/>
      <c r="AD3051" s="399"/>
      <c r="AE3051" s="402"/>
      <c r="AF3051" s="391"/>
      <c r="AG3051" s="394"/>
      <c r="AH3051" s="394"/>
      <c r="AI3051" s="394"/>
      <c r="AJ3051" s="394"/>
      <c r="AK3051" s="394"/>
      <c r="AL3051" s="394"/>
      <c r="AM3051" s="394"/>
      <c r="AN3051" s="394"/>
      <c r="AO3051" s="394"/>
      <c r="AP3051" s="394"/>
      <c r="AQ3051" s="394"/>
      <c r="AR3051" s="394"/>
      <c r="AS3051" s="402"/>
      <c r="AT3051" s="404"/>
      <c r="AU3051" s="394"/>
      <c r="AV3051" s="394"/>
      <c r="AW3051" s="394"/>
      <c r="AX3051" s="5"/>
      <c r="AY3051" s="5"/>
      <c r="AZ3051" s="5"/>
      <c r="BA3051" s="5"/>
      <c r="BB3051" s="5"/>
      <c r="BC3051" s="5"/>
      <c r="BD3051" s="5"/>
      <c r="BE3051" s="5"/>
      <c r="BF3051" s="5"/>
      <c r="BG3051" s="5"/>
      <c r="BH3051" s="5"/>
      <c r="BI3051" s="5"/>
      <c r="BJ3051" s="5"/>
      <c r="BK3051" s="5"/>
      <c r="BL3051" s="5"/>
      <c r="BM3051" s="5"/>
      <c r="BN3051" s="5"/>
      <c r="BO3051" s="5"/>
      <c r="BP3051" s="5"/>
      <c r="BQ3051" s="5"/>
      <c r="BR3051" s="5"/>
      <c r="BS3051" s="5"/>
      <c r="BT3051" s="5"/>
      <c r="BU3051" s="5"/>
      <c r="BV3051" s="5"/>
      <c r="BW3051" s="5"/>
      <c r="BX3051" s="5"/>
      <c r="BY3051" s="5"/>
      <c r="BZ3051" s="5"/>
      <c r="CA3051" s="5"/>
    </row>
    <row r="3052" spans="1:79" s="400" customFormat="1" ht="15" customHeight="1">
      <c r="A3052" s="41" t="s">
        <v>183</v>
      </c>
      <c r="B3052" s="402" t="s">
        <v>3225</v>
      </c>
      <c r="C3052" s="113" t="s">
        <v>3226</v>
      </c>
      <c r="D3052" s="393" t="s">
        <v>818</v>
      </c>
      <c r="E3052" s="394" t="s">
        <v>5732</v>
      </c>
      <c r="F3052" s="402"/>
      <c r="G3052" s="405" t="s">
        <v>3227</v>
      </c>
      <c r="H3052" s="404" t="s">
        <v>5733</v>
      </c>
      <c r="I3052" s="402" t="s">
        <v>2</v>
      </c>
      <c r="J3052" s="401" t="s">
        <v>3228</v>
      </c>
      <c r="K3052" s="403">
        <v>41402</v>
      </c>
      <c r="L3052" s="398">
        <v>41384</v>
      </c>
      <c r="M3052" s="402">
        <f t="shared" si="172"/>
        <v>18</v>
      </c>
      <c r="N3052" s="402" t="s">
        <v>2</v>
      </c>
      <c r="O3052" s="404">
        <f>5/2</f>
        <v>2.5</v>
      </c>
      <c r="P3052" s="402">
        <v>7</v>
      </c>
      <c r="Q3052" s="404">
        <v>6.9</v>
      </c>
      <c r="R3052" s="402">
        <v>130</v>
      </c>
      <c r="S3052" s="404">
        <v>120</v>
      </c>
      <c r="T3052" s="402">
        <v>0.44</v>
      </c>
      <c r="U3052" s="395">
        <v>6</v>
      </c>
      <c r="V3052" s="402">
        <v>3</v>
      </c>
      <c r="W3052" s="404">
        <v>0.18</v>
      </c>
      <c r="X3052" s="402">
        <v>2</v>
      </c>
      <c r="Y3052" s="404">
        <f>0.013/2</f>
        <v>6.4999999999999997E-3</v>
      </c>
      <c r="Z3052" s="397"/>
      <c r="AA3052" s="399"/>
      <c r="AB3052" s="394"/>
      <c r="AC3052" s="402"/>
      <c r="AD3052" s="399"/>
      <c r="AE3052" s="402"/>
      <c r="AF3052" s="391"/>
      <c r="AG3052" s="394"/>
      <c r="AH3052" s="394"/>
      <c r="AI3052" s="394"/>
      <c r="AJ3052" s="394"/>
      <c r="AK3052" s="394"/>
      <c r="AL3052" s="394"/>
      <c r="AM3052" s="394"/>
      <c r="AN3052" s="394"/>
      <c r="AO3052" s="394"/>
      <c r="AP3052" s="394"/>
      <c r="AQ3052" s="394"/>
      <c r="AR3052" s="394"/>
      <c r="AS3052" s="402"/>
      <c r="AT3052" s="404"/>
      <c r="AU3052" s="394"/>
      <c r="AV3052" s="394"/>
      <c r="AW3052" s="394"/>
      <c r="AX3052" s="5"/>
      <c r="AY3052" s="5"/>
      <c r="AZ3052" s="5"/>
      <c r="BA3052" s="5"/>
      <c r="BB3052" s="5"/>
      <c r="BC3052" s="5"/>
      <c r="BD3052" s="5"/>
      <c r="BE3052" s="5"/>
      <c r="BF3052" s="5"/>
      <c r="BG3052" s="5"/>
      <c r="BH3052" s="5"/>
      <c r="BI3052" s="5"/>
      <c r="BJ3052" s="5"/>
      <c r="BK3052" s="5"/>
      <c r="BL3052" s="5"/>
      <c r="BM3052" s="5"/>
      <c r="BN3052" s="5"/>
      <c r="BO3052" s="5"/>
      <c r="BP3052" s="5"/>
      <c r="BQ3052" s="5"/>
      <c r="BR3052" s="5"/>
      <c r="BS3052" s="5"/>
      <c r="BT3052" s="5"/>
      <c r="BU3052" s="5"/>
      <c r="BV3052" s="5"/>
      <c r="BW3052" s="5"/>
      <c r="BX3052" s="5"/>
      <c r="BY3052" s="5"/>
      <c r="BZ3052" s="5"/>
      <c r="CA3052" s="5"/>
    </row>
    <row r="3053" spans="1:79" s="400" customFormat="1" ht="15" customHeight="1">
      <c r="A3053" s="41" t="s">
        <v>183</v>
      </c>
      <c r="B3053" s="402" t="s">
        <v>2182</v>
      </c>
      <c r="C3053" s="113" t="s">
        <v>2182</v>
      </c>
      <c r="D3053" s="393" t="s">
        <v>2377</v>
      </c>
      <c r="E3053" s="394" t="s">
        <v>2183</v>
      </c>
      <c r="F3053" s="402"/>
      <c r="G3053" s="405" t="s">
        <v>2184</v>
      </c>
      <c r="H3053" s="404">
        <v>3499</v>
      </c>
      <c r="I3053" s="402" t="s">
        <v>2</v>
      </c>
      <c r="J3053" s="401" t="s">
        <v>1126</v>
      </c>
      <c r="K3053" s="403">
        <v>41345</v>
      </c>
      <c r="L3053" s="398">
        <v>41341</v>
      </c>
      <c r="M3053" s="402">
        <f t="shared" si="172"/>
        <v>4</v>
      </c>
      <c r="N3053" s="402" t="s">
        <v>2</v>
      </c>
      <c r="O3053" s="404">
        <v>4.5</v>
      </c>
      <c r="P3053" s="402">
        <v>6</v>
      </c>
      <c r="Q3053" s="404">
        <v>7</v>
      </c>
      <c r="R3053" s="402">
        <v>12</v>
      </c>
      <c r="S3053" s="404">
        <v>39</v>
      </c>
      <c r="T3053" s="402">
        <v>0.1</v>
      </c>
      <c r="U3053" s="395">
        <v>0.16</v>
      </c>
      <c r="V3053" s="402">
        <v>2.52</v>
      </c>
      <c r="W3053" s="404">
        <v>6.5000000000000002E-2</v>
      </c>
      <c r="X3053" s="402">
        <v>0.37</v>
      </c>
      <c r="Y3053" s="404">
        <f>0.03/2</f>
        <v>1.4999999999999999E-2</v>
      </c>
      <c r="Z3053" s="397">
        <v>1</v>
      </c>
      <c r="AA3053" s="399">
        <v>1</v>
      </c>
      <c r="AB3053" s="394">
        <v>120</v>
      </c>
      <c r="AC3053" s="402">
        <v>2400</v>
      </c>
      <c r="AD3053" s="399">
        <v>1</v>
      </c>
      <c r="AE3053" s="402"/>
      <c r="AF3053" s="391"/>
      <c r="AG3053" s="394"/>
      <c r="AH3053" s="394"/>
      <c r="AI3053" s="394"/>
      <c r="AJ3053" s="394"/>
      <c r="AK3053" s="394"/>
      <c r="AL3053" s="394"/>
      <c r="AM3053" s="394"/>
      <c r="AN3053" s="394"/>
      <c r="AO3053" s="394"/>
      <c r="AP3053" s="394"/>
      <c r="AQ3053" s="394"/>
      <c r="AR3053" s="394"/>
      <c r="AS3053" s="402"/>
      <c r="AT3053" s="404"/>
      <c r="AU3053" s="394"/>
      <c r="AV3053" s="394"/>
      <c r="AW3053" s="394"/>
      <c r="AX3053" s="5"/>
      <c r="AY3053" s="5"/>
      <c r="AZ3053" s="5"/>
      <c r="BA3053" s="5"/>
      <c r="BB3053" s="5"/>
      <c r="BC3053" s="5"/>
      <c r="BD3053" s="5"/>
      <c r="BE3053" s="5"/>
      <c r="BF3053" s="5"/>
      <c r="BG3053" s="5"/>
      <c r="BH3053" s="5"/>
      <c r="BI3053" s="5"/>
      <c r="BJ3053" s="5"/>
      <c r="BK3053" s="5"/>
      <c r="BL3053" s="5"/>
      <c r="BM3053" s="5"/>
      <c r="BN3053" s="5"/>
      <c r="BO3053" s="5"/>
      <c r="BP3053" s="5"/>
      <c r="BQ3053" s="5"/>
      <c r="BR3053" s="5"/>
      <c r="BS3053" s="5"/>
      <c r="BT3053" s="5"/>
      <c r="BU3053" s="5"/>
      <c r="BV3053" s="5"/>
      <c r="BW3053" s="5"/>
      <c r="BX3053" s="5"/>
      <c r="BY3053" s="5"/>
      <c r="BZ3053" s="5"/>
      <c r="CA3053" s="5"/>
    </row>
    <row r="3054" spans="1:79" s="400" customFormat="1" ht="15" customHeight="1">
      <c r="A3054" s="41" t="s">
        <v>183</v>
      </c>
      <c r="B3054" s="402" t="s">
        <v>2182</v>
      </c>
      <c r="C3054" s="113" t="s">
        <v>2182</v>
      </c>
      <c r="D3054" s="393" t="s">
        <v>2377</v>
      </c>
      <c r="E3054" s="394" t="s">
        <v>2183</v>
      </c>
      <c r="F3054" s="402"/>
      <c r="G3054" s="405" t="s">
        <v>2184</v>
      </c>
      <c r="H3054" s="404">
        <v>3499</v>
      </c>
      <c r="I3054" s="402" t="s">
        <v>2</v>
      </c>
      <c r="J3054" s="401" t="s">
        <v>1125</v>
      </c>
      <c r="K3054" s="403">
        <v>41345</v>
      </c>
      <c r="L3054" s="398">
        <v>41341</v>
      </c>
      <c r="M3054" s="402">
        <f t="shared" si="172"/>
        <v>4</v>
      </c>
      <c r="N3054" s="402" t="s">
        <v>2</v>
      </c>
      <c r="O3054" s="404">
        <f>2/2</f>
        <v>1</v>
      </c>
      <c r="P3054" s="402">
        <v>6</v>
      </c>
      <c r="Q3054" s="404">
        <v>7</v>
      </c>
      <c r="R3054" s="402">
        <v>30</v>
      </c>
      <c r="S3054" s="404">
        <v>126</v>
      </c>
      <c r="T3054" s="402">
        <v>0.39</v>
      </c>
      <c r="U3054" s="395">
        <v>0.97</v>
      </c>
      <c r="V3054" s="402">
        <v>0.62</v>
      </c>
      <c r="W3054" s="404">
        <v>1.4E-2</v>
      </c>
      <c r="X3054" s="402">
        <v>9.1999999999999998E-2</v>
      </c>
      <c r="Y3054" s="404">
        <f>0.03/2</f>
        <v>1.4999999999999999E-2</v>
      </c>
      <c r="Z3054" s="397">
        <v>1</v>
      </c>
      <c r="AA3054" s="399">
        <v>1</v>
      </c>
      <c r="AB3054" s="394">
        <v>120</v>
      </c>
      <c r="AC3054" s="402">
        <v>3150</v>
      </c>
      <c r="AD3054" s="399">
        <v>0.6</v>
      </c>
      <c r="AE3054" s="402"/>
      <c r="AF3054" s="391"/>
      <c r="AG3054" s="394"/>
      <c r="AH3054" s="394"/>
      <c r="AI3054" s="394"/>
      <c r="AJ3054" s="394"/>
      <c r="AK3054" s="394"/>
      <c r="AL3054" s="394"/>
      <c r="AM3054" s="394"/>
      <c r="AN3054" s="394"/>
      <c r="AO3054" s="394"/>
      <c r="AP3054" s="394"/>
      <c r="AQ3054" s="394"/>
      <c r="AR3054" s="394"/>
      <c r="AS3054" s="402"/>
      <c r="AT3054" s="404"/>
      <c r="AU3054" s="394"/>
      <c r="AV3054" s="394"/>
      <c r="AW3054" s="394"/>
      <c r="AX3054" s="5"/>
      <c r="AY3054" s="5"/>
      <c r="AZ3054" s="5"/>
      <c r="BA3054" s="5"/>
      <c r="BB3054" s="5"/>
      <c r="BC3054" s="5"/>
      <c r="BD3054" s="5"/>
      <c r="BE3054" s="5"/>
      <c r="BF3054" s="5"/>
      <c r="BG3054" s="5"/>
      <c r="BH3054" s="5"/>
      <c r="BI3054" s="5"/>
      <c r="BJ3054" s="5"/>
      <c r="BK3054" s="5"/>
      <c r="BL3054" s="5"/>
      <c r="BM3054" s="5"/>
      <c r="BN3054" s="5"/>
      <c r="BO3054" s="5"/>
      <c r="BP3054" s="5"/>
      <c r="BQ3054" s="5"/>
      <c r="BR3054" s="5"/>
      <c r="BS3054" s="5"/>
      <c r="BT3054" s="5"/>
      <c r="BU3054" s="5"/>
      <c r="BV3054" s="5"/>
      <c r="BW3054" s="5"/>
      <c r="BX3054" s="5"/>
      <c r="BY3054" s="5"/>
      <c r="BZ3054" s="5"/>
      <c r="CA3054" s="5"/>
    </row>
    <row r="3055" spans="1:79" s="400" customFormat="1" ht="15" customHeight="1">
      <c r="A3055" s="41" t="s">
        <v>183</v>
      </c>
      <c r="B3055" s="402" t="s">
        <v>5735</v>
      </c>
      <c r="C3055" s="113" t="s">
        <v>5736</v>
      </c>
      <c r="D3055" s="393" t="s">
        <v>1484</v>
      </c>
      <c r="E3055" s="394" t="s">
        <v>235</v>
      </c>
      <c r="F3055" s="402"/>
      <c r="G3055" s="405" t="s">
        <v>5737</v>
      </c>
      <c r="H3055" s="404">
        <v>8731</v>
      </c>
      <c r="I3055" s="402" t="s">
        <v>1</v>
      </c>
      <c r="J3055" s="406" t="s">
        <v>5738</v>
      </c>
      <c r="K3055" s="403">
        <v>41376</v>
      </c>
      <c r="L3055" s="398" t="s">
        <v>5380</v>
      </c>
      <c r="M3055" s="402"/>
      <c r="N3055" s="402" t="s">
        <v>2</v>
      </c>
      <c r="O3055" s="404">
        <f>0.526/2</f>
        <v>0.26300000000000001</v>
      </c>
      <c r="P3055" s="402">
        <v>5.66</v>
      </c>
      <c r="Q3055" s="404">
        <v>6.51</v>
      </c>
      <c r="R3055" s="402">
        <v>20</v>
      </c>
      <c r="S3055" s="404">
        <v>38</v>
      </c>
      <c r="T3055" s="402">
        <v>0.33</v>
      </c>
      <c r="U3055" s="395">
        <v>0.58399999999999996</v>
      </c>
      <c r="V3055" s="402">
        <v>0.27200000000000002</v>
      </c>
      <c r="W3055" s="404">
        <v>1.06E-2</v>
      </c>
      <c r="X3055" s="402">
        <v>0.17</v>
      </c>
      <c r="Y3055" s="404">
        <f>0.003/2</f>
        <v>1.5E-3</v>
      </c>
      <c r="Z3055" s="397">
        <v>1</v>
      </c>
      <c r="AA3055" s="399">
        <v>0.93899999999999995</v>
      </c>
      <c r="AB3055" s="394">
        <v>2.77</v>
      </c>
      <c r="AC3055" s="402">
        <v>51.4</v>
      </c>
      <c r="AD3055" s="399">
        <v>0.45</v>
      </c>
      <c r="AE3055" s="402"/>
      <c r="AF3055" s="391"/>
      <c r="AG3055" s="394"/>
      <c r="AH3055" s="394"/>
      <c r="AI3055" s="394"/>
      <c r="AJ3055" s="394"/>
      <c r="AK3055" s="394"/>
      <c r="AL3055" s="394"/>
      <c r="AM3055" s="394"/>
      <c r="AN3055" s="394"/>
      <c r="AO3055" s="394"/>
      <c r="AP3055" s="394"/>
      <c r="AQ3055" s="394"/>
      <c r="AR3055" s="394"/>
      <c r="AS3055" s="402"/>
      <c r="AT3055" s="404"/>
      <c r="AU3055" s="394"/>
      <c r="AV3055" s="394"/>
      <c r="AW3055" s="394"/>
      <c r="AX3055" s="5"/>
      <c r="AY3055" s="5"/>
      <c r="AZ3055" s="5"/>
      <c r="BA3055" s="5"/>
      <c r="BB3055" s="5"/>
      <c r="BC3055" s="5"/>
      <c r="BD3055" s="5"/>
      <c r="BE3055" s="5"/>
      <c r="BF3055" s="5"/>
      <c r="BG3055" s="5"/>
      <c r="BH3055" s="5"/>
      <c r="BI3055" s="5"/>
      <c r="BJ3055" s="5"/>
      <c r="BK3055" s="5"/>
      <c r="BL3055" s="5"/>
      <c r="BM3055" s="5"/>
      <c r="BN3055" s="5"/>
      <c r="BO3055" s="5"/>
      <c r="BP3055" s="5"/>
      <c r="BQ3055" s="5"/>
      <c r="BR3055" s="5"/>
      <c r="BS3055" s="5"/>
      <c r="BT3055" s="5"/>
      <c r="BU3055" s="5"/>
      <c r="BV3055" s="5"/>
      <c r="BW3055" s="5"/>
      <c r="BX3055" s="5"/>
      <c r="BY3055" s="5"/>
      <c r="BZ3055" s="5"/>
      <c r="CA3055" s="5"/>
    </row>
    <row r="3056" spans="1:79" s="400" customFormat="1" ht="15" customHeight="1">
      <c r="A3056" s="41" t="s">
        <v>183</v>
      </c>
      <c r="B3056" s="402" t="s">
        <v>5735</v>
      </c>
      <c r="C3056" s="113" t="s">
        <v>5736</v>
      </c>
      <c r="D3056" s="393" t="s">
        <v>1484</v>
      </c>
      <c r="E3056" s="394" t="s">
        <v>235</v>
      </c>
      <c r="F3056" s="402"/>
      <c r="G3056" s="405" t="s">
        <v>5737</v>
      </c>
      <c r="H3056" s="404">
        <v>8731</v>
      </c>
      <c r="I3056" s="402" t="s">
        <v>1</v>
      </c>
      <c r="J3056" s="406" t="s">
        <v>569</v>
      </c>
      <c r="K3056" s="403">
        <v>41376</v>
      </c>
      <c r="L3056" s="398" t="s">
        <v>5380</v>
      </c>
      <c r="M3056" s="402"/>
      <c r="N3056" s="402" t="s">
        <v>2</v>
      </c>
      <c r="O3056" s="404">
        <v>1.2</v>
      </c>
      <c r="P3056" s="402">
        <v>5.66</v>
      </c>
      <c r="Q3056" s="404">
        <v>6.87</v>
      </c>
      <c r="R3056" s="402">
        <v>87</v>
      </c>
      <c r="S3056" s="404">
        <v>198</v>
      </c>
      <c r="T3056" s="402">
        <v>1.21</v>
      </c>
      <c r="U3056" s="395">
        <v>2.4</v>
      </c>
      <c r="V3056" s="402">
        <v>0.45</v>
      </c>
      <c r="W3056" s="404">
        <v>2.9600000000000001E-2</v>
      </c>
      <c r="X3056" s="402">
        <v>0.14599999999999999</v>
      </c>
      <c r="Y3056" s="404">
        <v>1.11E-2</v>
      </c>
      <c r="Z3056" s="397">
        <v>1</v>
      </c>
      <c r="AA3056" s="399">
        <v>1</v>
      </c>
      <c r="AB3056" s="394">
        <v>17.8</v>
      </c>
      <c r="AC3056" s="402">
        <v>83.4</v>
      </c>
      <c r="AD3056" s="399">
        <v>1</v>
      </c>
      <c r="AE3056" s="402"/>
      <c r="AF3056" s="391"/>
      <c r="AG3056" s="394"/>
      <c r="AH3056" s="394"/>
      <c r="AI3056" s="394"/>
      <c r="AJ3056" s="394"/>
      <c r="AK3056" s="394"/>
      <c r="AL3056" s="394"/>
      <c r="AM3056" s="394"/>
      <c r="AN3056" s="394"/>
      <c r="AO3056" s="394"/>
      <c r="AP3056" s="394"/>
      <c r="AQ3056" s="394"/>
      <c r="AR3056" s="394"/>
      <c r="AS3056" s="402"/>
      <c r="AT3056" s="404"/>
      <c r="AU3056" s="394"/>
      <c r="AV3056" s="394"/>
      <c r="AW3056" s="394"/>
      <c r="AX3056" s="5"/>
      <c r="AY3056" s="5"/>
      <c r="AZ3056" s="5"/>
      <c r="BA3056" s="5"/>
      <c r="BB3056" s="5"/>
      <c r="BC3056" s="5"/>
      <c r="BD3056" s="5"/>
      <c r="BE3056" s="5"/>
      <c r="BF3056" s="5"/>
      <c r="BG3056" s="5"/>
      <c r="BH3056" s="5"/>
      <c r="BI3056" s="5"/>
      <c r="BJ3056" s="5"/>
      <c r="BK3056" s="5"/>
      <c r="BL3056" s="5"/>
      <c r="BM3056" s="5"/>
      <c r="BN3056" s="5"/>
      <c r="BO3056" s="5"/>
      <c r="BP3056" s="5"/>
      <c r="BQ3056" s="5"/>
      <c r="BR3056" s="5"/>
      <c r="BS3056" s="5"/>
      <c r="BT3056" s="5"/>
      <c r="BU3056" s="5"/>
      <c r="BV3056" s="5"/>
      <c r="BW3056" s="5"/>
      <c r="BX3056" s="5"/>
      <c r="BY3056" s="5"/>
      <c r="BZ3056" s="5"/>
      <c r="CA3056" s="5"/>
    </row>
    <row r="3057" spans="1:79" s="400" customFormat="1" ht="15" customHeight="1">
      <c r="A3057" s="41" t="s">
        <v>183</v>
      </c>
      <c r="B3057" s="402" t="s">
        <v>5735</v>
      </c>
      <c r="C3057" s="113" t="s">
        <v>5736</v>
      </c>
      <c r="D3057" s="393" t="s">
        <v>1484</v>
      </c>
      <c r="E3057" s="394" t="s">
        <v>235</v>
      </c>
      <c r="F3057" s="402"/>
      <c r="G3057" s="405" t="s">
        <v>5737</v>
      </c>
      <c r="H3057" s="404">
        <v>8731</v>
      </c>
      <c r="I3057" s="402" t="s">
        <v>1</v>
      </c>
      <c r="J3057" s="406" t="s">
        <v>5739</v>
      </c>
      <c r="K3057" s="403">
        <v>41376</v>
      </c>
      <c r="L3057" s="398" t="s">
        <v>5380</v>
      </c>
      <c r="M3057" s="402"/>
      <c r="N3057" s="402" t="s">
        <v>2</v>
      </c>
      <c r="O3057" s="404">
        <f>0.541/2</f>
        <v>0.27050000000000002</v>
      </c>
      <c r="P3057" s="402">
        <v>5.66</v>
      </c>
      <c r="Q3057" s="404">
        <v>6.41</v>
      </c>
      <c r="R3057" s="402">
        <f>10/2</f>
        <v>5</v>
      </c>
      <c r="S3057" s="404">
        <v>12</v>
      </c>
      <c r="T3057" s="402">
        <v>0.26</v>
      </c>
      <c r="U3057" s="395">
        <v>0.314</v>
      </c>
      <c r="V3057" s="402">
        <v>0.32100000000000001</v>
      </c>
      <c r="W3057" s="404">
        <f>0.005/2</f>
        <v>2.5000000000000001E-3</v>
      </c>
      <c r="X3057" s="402">
        <v>9.9500000000000005E-2</v>
      </c>
      <c r="Y3057" s="404">
        <f>0.003/2</f>
        <v>1.5E-3</v>
      </c>
      <c r="Z3057" s="397">
        <v>1</v>
      </c>
      <c r="AA3057" s="399">
        <v>0.82</v>
      </c>
      <c r="AB3057" s="394">
        <v>2.2200000000000002</v>
      </c>
      <c r="AC3057" s="402">
        <v>41.7</v>
      </c>
      <c r="AD3057" s="399">
        <v>0.3</v>
      </c>
      <c r="AE3057" s="402"/>
      <c r="AF3057" s="391"/>
      <c r="AG3057" s="394"/>
      <c r="AH3057" s="394"/>
      <c r="AI3057" s="394"/>
      <c r="AJ3057" s="394"/>
      <c r="AK3057" s="394"/>
      <c r="AL3057" s="394"/>
      <c r="AM3057" s="394"/>
      <c r="AN3057" s="394"/>
      <c r="AO3057" s="394"/>
      <c r="AP3057" s="394"/>
      <c r="AQ3057" s="394"/>
      <c r="AR3057" s="394"/>
      <c r="AS3057" s="402"/>
      <c r="AT3057" s="404"/>
      <c r="AU3057" s="394"/>
      <c r="AV3057" s="394"/>
      <c r="AW3057" s="394"/>
      <c r="AX3057" s="5"/>
      <c r="AY3057" s="5"/>
      <c r="AZ3057" s="5"/>
      <c r="BA3057" s="5"/>
      <c r="BB3057" s="5"/>
      <c r="BC3057" s="5"/>
      <c r="BD3057" s="5"/>
      <c r="BE3057" s="5"/>
      <c r="BF3057" s="5"/>
      <c r="BG3057" s="5"/>
      <c r="BH3057" s="5"/>
      <c r="BI3057" s="5"/>
      <c r="BJ3057" s="5"/>
      <c r="BK3057" s="5"/>
      <c r="BL3057" s="5"/>
      <c r="BM3057" s="5"/>
      <c r="BN3057" s="5"/>
      <c r="BO3057" s="5"/>
      <c r="BP3057" s="5"/>
      <c r="BQ3057" s="5"/>
      <c r="BR3057" s="5"/>
      <c r="BS3057" s="5"/>
      <c r="BT3057" s="5"/>
      <c r="BU3057" s="5"/>
      <c r="BV3057" s="5"/>
      <c r="BW3057" s="5"/>
      <c r="BX3057" s="5"/>
      <c r="BY3057" s="5"/>
      <c r="BZ3057" s="5"/>
      <c r="CA3057" s="5"/>
    </row>
    <row r="3058" spans="1:79" s="400" customFormat="1" ht="15" customHeight="1">
      <c r="A3058" s="41" t="s">
        <v>183</v>
      </c>
      <c r="B3058" s="385" t="s">
        <v>4345</v>
      </c>
      <c r="C3058" s="18" t="s">
        <v>4345</v>
      </c>
      <c r="D3058" s="377" t="s">
        <v>303</v>
      </c>
      <c r="E3058" s="20" t="s">
        <v>4346</v>
      </c>
      <c r="F3058" s="385">
        <v>5306</v>
      </c>
      <c r="G3058" s="405" t="s">
        <v>455</v>
      </c>
      <c r="H3058" s="384">
        <v>3421</v>
      </c>
      <c r="I3058" s="402" t="s">
        <v>1</v>
      </c>
      <c r="J3058" s="344" t="s">
        <v>271</v>
      </c>
      <c r="K3058" s="403">
        <v>41184</v>
      </c>
      <c r="L3058" s="398">
        <v>41180</v>
      </c>
      <c r="M3058" s="402">
        <f t="shared" si="172"/>
        <v>4</v>
      </c>
      <c r="N3058" s="402" t="s">
        <v>2</v>
      </c>
      <c r="O3058" s="404">
        <f>5/2</f>
        <v>2.5</v>
      </c>
      <c r="P3058" s="402">
        <v>4.8</v>
      </c>
      <c r="Q3058" s="404">
        <v>5.6</v>
      </c>
      <c r="R3058" s="402">
        <f>5/2</f>
        <v>2.5</v>
      </c>
      <c r="S3058" s="404">
        <v>11</v>
      </c>
      <c r="T3058" s="402">
        <f>0.1/2</f>
        <v>0.05</v>
      </c>
      <c r="U3058" s="395">
        <f>1/2</f>
        <v>0.5</v>
      </c>
      <c r="V3058" s="402">
        <v>0.22</v>
      </c>
      <c r="W3058" s="404">
        <f>0.04/2</f>
        <v>0.02</v>
      </c>
      <c r="X3058" s="402">
        <v>7.0000000000000007E-2</v>
      </c>
      <c r="Y3058" s="404">
        <f>0.013/2</f>
        <v>6.4999999999999997E-3</v>
      </c>
      <c r="Z3058" s="397">
        <v>1</v>
      </c>
      <c r="AA3058" s="399">
        <v>0.89100000000000001</v>
      </c>
      <c r="AB3058" s="394">
        <v>1.9</v>
      </c>
      <c r="AC3058" s="402">
        <v>14</v>
      </c>
      <c r="AD3058" s="399">
        <v>0.4</v>
      </c>
      <c r="AE3058" s="402"/>
      <c r="AF3058" s="391"/>
      <c r="AG3058" s="394"/>
      <c r="AH3058" s="394"/>
      <c r="AI3058" s="394"/>
      <c r="AJ3058" s="394"/>
      <c r="AK3058" s="394"/>
      <c r="AL3058" s="394"/>
      <c r="AM3058" s="394"/>
      <c r="AN3058" s="394"/>
      <c r="AO3058" s="394"/>
      <c r="AP3058" s="394"/>
      <c r="AQ3058" s="394"/>
      <c r="AR3058" s="394"/>
      <c r="AS3058" s="402"/>
      <c r="AT3058" s="404"/>
      <c r="AU3058" s="394"/>
      <c r="AV3058" s="394"/>
      <c r="AW3058" s="394"/>
      <c r="AX3058" s="5"/>
      <c r="AY3058" s="5"/>
      <c r="AZ3058" s="5"/>
      <c r="BA3058" s="5"/>
      <c r="BB3058" s="5"/>
      <c r="BC3058" s="5"/>
      <c r="BD3058" s="5"/>
      <c r="BE3058" s="5"/>
      <c r="BF3058" s="5"/>
      <c r="BG3058" s="5"/>
      <c r="BH3058" s="5"/>
      <c r="BI3058" s="5"/>
      <c r="BJ3058" s="5"/>
      <c r="BK3058" s="5"/>
      <c r="BL3058" s="5"/>
      <c r="BM3058" s="5"/>
      <c r="BN3058" s="5"/>
      <c r="BO3058" s="5"/>
      <c r="BP3058" s="5"/>
      <c r="BQ3058" s="5"/>
      <c r="BR3058" s="5"/>
      <c r="BS3058" s="5"/>
      <c r="BT3058" s="5"/>
      <c r="BU3058" s="5"/>
      <c r="BV3058" s="5"/>
      <c r="BW3058" s="5"/>
      <c r="BX3058" s="5"/>
      <c r="BY3058" s="5"/>
      <c r="BZ3058" s="5"/>
      <c r="CA3058" s="5"/>
    </row>
    <row r="3059" spans="1:79" s="400" customFormat="1" ht="15" customHeight="1">
      <c r="A3059" s="41" t="s">
        <v>183</v>
      </c>
      <c r="B3059" s="385" t="s">
        <v>4345</v>
      </c>
      <c r="C3059" s="18" t="s">
        <v>4345</v>
      </c>
      <c r="D3059" s="377" t="s">
        <v>303</v>
      </c>
      <c r="E3059" s="20" t="s">
        <v>4346</v>
      </c>
      <c r="F3059" s="385">
        <v>5306</v>
      </c>
      <c r="G3059" s="405" t="s">
        <v>455</v>
      </c>
      <c r="H3059" s="384">
        <v>3421</v>
      </c>
      <c r="I3059" s="402" t="s">
        <v>1</v>
      </c>
      <c r="J3059" s="344" t="s">
        <v>272</v>
      </c>
      <c r="K3059" s="403">
        <v>41184</v>
      </c>
      <c r="L3059" s="398">
        <v>41180</v>
      </c>
      <c r="M3059" s="402">
        <f t="shared" si="172"/>
        <v>4</v>
      </c>
      <c r="N3059" s="402" t="s">
        <v>2</v>
      </c>
      <c r="O3059" s="404">
        <f>5/2</f>
        <v>2.5</v>
      </c>
      <c r="P3059" s="402">
        <v>4.8</v>
      </c>
      <c r="Q3059" s="404">
        <v>5.5</v>
      </c>
      <c r="R3059" s="402">
        <f>5/2</f>
        <v>2.5</v>
      </c>
      <c r="S3059" s="404">
        <v>7</v>
      </c>
      <c r="T3059" s="402">
        <f>0.1/2</f>
        <v>0.05</v>
      </c>
      <c r="U3059" s="395">
        <f>1/2</f>
        <v>0.5</v>
      </c>
      <c r="V3059" s="402">
        <v>0.16</v>
      </c>
      <c r="W3059" s="404">
        <f>0.04/2</f>
        <v>0.02</v>
      </c>
      <c r="X3059" s="402">
        <f>0.02/2</f>
        <v>0.01</v>
      </c>
      <c r="Y3059" s="404">
        <f>0.013/2</f>
        <v>6.4999999999999997E-3</v>
      </c>
      <c r="Z3059" s="397">
        <v>1</v>
      </c>
      <c r="AA3059" s="399">
        <v>1</v>
      </c>
      <c r="AB3059" s="394">
        <v>1</v>
      </c>
      <c r="AC3059" s="402">
        <v>9</v>
      </c>
      <c r="AD3059" s="399">
        <v>1</v>
      </c>
      <c r="AE3059" s="402"/>
      <c r="AF3059" s="391"/>
      <c r="AG3059" s="394"/>
      <c r="AH3059" s="394"/>
      <c r="AI3059" s="394"/>
      <c r="AJ3059" s="394"/>
      <c r="AK3059" s="394"/>
      <c r="AL3059" s="394"/>
      <c r="AM3059" s="394"/>
      <c r="AN3059" s="394"/>
      <c r="AO3059" s="394"/>
      <c r="AP3059" s="394"/>
      <c r="AQ3059" s="394"/>
      <c r="AR3059" s="394"/>
      <c r="AS3059" s="402"/>
      <c r="AT3059" s="404"/>
      <c r="AU3059" s="394"/>
      <c r="AV3059" s="394"/>
      <c r="AW3059" s="394"/>
      <c r="AX3059" s="5"/>
      <c r="AY3059" s="5"/>
      <c r="AZ3059" s="5"/>
      <c r="BA3059" s="5"/>
      <c r="BB3059" s="5"/>
      <c r="BC3059" s="5"/>
      <c r="BD3059" s="5"/>
      <c r="BE3059" s="5"/>
      <c r="BF3059" s="5"/>
      <c r="BG3059" s="5"/>
      <c r="BH3059" s="5"/>
      <c r="BI3059" s="5"/>
      <c r="BJ3059" s="5"/>
      <c r="BK3059" s="5"/>
      <c r="BL3059" s="5"/>
      <c r="BM3059" s="5"/>
      <c r="BN3059" s="5"/>
      <c r="BO3059" s="5"/>
      <c r="BP3059" s="5"/>
      <c r="BQ3059" s="5"/>
      <c r="BR3059" s="5"/>
      <c r="BS3059" s="5"/>
      <c r="BT3059" s="5"/>
      <c r="BU3059" s="5"/>
      <c r="BV3059" s="5"/>
      <c r="BW3059" s="5"/>
      <c r="BX3059" s="5"/>
      <c r="BY3059" s="5"/>
      <c r="BZ3059" s="5"/>
      <c r="CA3059" s="5"/>
    </row>
    <row r="3060" spans="1:79" s="400" customFormat="1" ht="15" customHeight="1">
      <c r="A3060" s="41" t="s">
        <v>183</v>
      </c>
      <c r="B3060" s="402" t="s">
        <v>5740</v>
      </c>
      <c r="C3060" s="113" t="s">
        <v>5740</v>
      </c>
      <c r="D3060" s="393" t="s">
        <v>303</v>
      </c>
      <c r="E3060" s="394" t="s">
        <v>5741</v>
      </c>
      <c r="F3060" s="402"/>
      <c r="G3060" s="405" t="s">
        <v>5742</v>
      </c>
      <c r="H3060" s="404">
        <v>2899</v>
      </c>
      <c r="I3060" s="402" t="s">
        <v>2</v>
      </c>
      <c r="J3060" s="406" t="s">
        <v>194</v>
      </c>
      <c r="K3060" s="403">
        <v>41345</v>
      </c>
      <c r="L3060" s="398" t="s">
        <v>5380</v>
      </c>
      <c r="M3060" s="402"/>
      <c r="N3060" s="402" t="s">
        <v>2</v>
      </c>
      <c r="O3060" s="404">
        <f>5/2</f>
        <v>2.5</v>
      </c>
      <c r="P3060" s="402">
        <v>5</v>
      </c>
      <c r="Q3060" s="404">
        <v>6.65</v>
      </c>
      <c r="R3060" s="402">
        <f>5/2</f>
        <v>2.5</v>
      </c>
      <c r="S3060" s="404">
        <v>9</v>
      </c>
      <c r="T3060" s="402">
        <f>0.1/2</f>
        <v>0.05</v>
      </c>
      <c r="U3060" s="395">
        <f>1/2</f>
        <v>0.5</v>
      </c>
      <c r="V3060" s="402">
        <v>0.1</v>
      </c>
      <c r="W3060" s="404">
        <f>0.04/2</f>
        <v>0.02</v>
      </c>
      <c r="X3060" s="402">
        <v>0.11</v>
      </c>
      <c r="Y3060" s="404">
        <f>0.013/2</f>
        <v>6.4999999999999997E-3</v>
      </c>
      <c r="Z3060" s="397">
        <v>1</v>
      </c>
      <c r="AA3060" s="399">
        <v>0.85199999999999998</v>
      </c>
      <c r="AB3060" s="394">
        <v>5.4</v>
      </c>
      <c r="AC3060" s="402">
        <v>46</v>
      </c>
      <c r="AD3060" s="399">
        <v>0.35</v>
      </c>
      <c r="AE3060" s="402"/>
      <c r="AF3060" s="391"/>
      <c r="AG3060" s="394"/>
      <c r="AH3060" s="394"/>
      <c r="AI3060" s="394"/>
      <c r="AJ3060" s="394"/>
      <c r="AK3060" s="394"/>
      <c r="AL3060" s="394"/>
      <c r="AM3060" s="394"/>
      <c r="AN3060" s="394"/>
      <c r="AO3060" s="394"/>
      <c r="AP3060" s="394"/>
      <c r="AQ3060" s="394"/>
      <c r="AR3060" s="394"/>
      <c r="AS3060" s="402"/>
      <c r="AT3060" s="404"/>
      <c r="AU3060" s="394"/>
      <c r="AV3060" s="394"/>
      <c r="AW3060" s="394"/>
      <c r="AX3060" s="5"/>
      <c r="AY3060" s="5"/>
      <c r="AZ3060" s="5"/>
      <c r="BA3060" s="5"/>
      <c r="BB3060" s="5"/>
      <c r="BC3060" s="5"/>
      <c r="BD3060" s="5"/>
      <c r="BE3060" s="5"/>
      <c r="BF3060" s="5"/>
      <c r="BG3060" s="5"/>
      <c r="BH3060" s="5"/>
      <c r="BI3060" s="5"/>
      <c r="BJ3060" s="5"/>
      <c r="BK3060" s="5"/>
      <c r="BL3060" s="5"/>
      <c r="BM3060" s="5"/>
      <c r="BN3060" s="5"/>
      <c r="BO3060" s="5"/>
      <c r="BP3060" s="5"/>
      <c r="BQ3060" s="5"/>
      <c r="BR3060" s="5"/>
      <c r="BS3060" s="5"/>
      <c r="BT3060" s="5"/>
      <c r="BU3060" s="5"/>
      <c r="BV3060" s="5"/>
      <c r="BW3060" s="5"/>
      <c r="BX3060" s="5"/>
      <c r="BY3060" s="5"/>
      <c r="BZ3060" s="5"/>
      <c r="CA3060" s="5"/>
    </row>
    <row r="3061" spans="1:79" s="400" customFormat="1" ht="15" customHeight="1">
      <c r="A3061" s="41" t="s">
        <v>183</v>
      </c>
      <c r="B3061" s="402" t="s">
        <v>5740</v>
      </c>
      <c r="C3061" s="113" t="s">
        <v>5740</v>
      </c>
      <c r="D3061" s="393" t="s">
        <v>303</v>
      </c>
      <c r="E3061" s="394" t="s">
        <v>5741</v>
      </c>
      <c r="F3061" s="402"/>
      <c r="G3061" s="405" t="s">
        <v>5742</v>
      </c>
      <c r="H3061" s="404">
        <v>2899</v>
      </c>
      <c r="I3061" s="402" t="s">
        <v>2</v>
      </c>
      <c r="J3061" s="406" t="s">
        <v>569</v>
      </c>
      <c r="K3061" s="403">
        <v>41345</v>
      </c>
      <c r="L3061" s="398" t="s">
        <v>5380</v>
      </c>
      <c r="M3061" s="402"/>
      <c r="N3061" s="402" t="s">
        <v>2</v>
      </c>
      <c r="O3061" s="404">
        <f>5/2</f>
        <v>2.5</v>
      </c>
      <c r="P3061" s="402">
        <v>5</v>
      </c>
      <c r="Q3061" s="404">
        <v>5.09</v>
      </c>
      <c r="R3061" s="402">
        <f>5/2</f>
        <v>2.5</v>
      </c>
      <c r="S3061" s="404">
        <v>5</v>
      </c>
      <c r="T3061" s="402">
        <f>0.1/2</f>
        <v>0.05</v>
      </c>
      <c r="U3061" s="395">
        <f>1/2</f>
        <v>0.5</v>
      </c>
      <c r="V3061" s="402">
        <f>0.1/2</f>
        <v>0.05</v>
      </c>
      <c r="W3061" s="404">
        <f>0.04/2</f>
        <v>0.02</v>
      </c>
      <c r="X3061" s="402">
        <v>6.4000000000000001E-2</v>
      </c>
      <c r="Y3061" s="404">
        <f>0.013/2</f>
        <v>6.4999999999999997E-3</v>
      </c>
      <c r="Z3061" s="397">
        <v>1</v>
      </c>
      <c r="AA3061" s="399">
        <v>0.79400000000000004</v>
      </c>
      <c r="AB3061" s="394">
        <v>1.8</v>
      </c>
      <c r="AC3061" s="402">
        <v>17</v>
      </c>
      <c r="AD3061" s="399">
        <v>0.3</v>
      </c>
      <c r="AE3061" s="402"/>
      <c r="AF3061" s="391"/>
      <c r="AG3061" s="394"/>
      <c r="AH3061" s="394"/>
      <c r="AI3061" s="394"/>
      <c r="AJ3061" s="394"/>
      <c r="AK3061" s="394"/>
      <c r="AL3061" s="394"/>
      <c r="AM3061" s="394"/>
      <c r="AN3061" s="394"/>
      <c r="AO3061" s="394"/>
      <c r="AP3061" s="394"/>
      <c r="AQ3061" s="394"/>
      <c r="AR3061" s="394"/>
      <c r="AS3061" s="402"/>
      <c r="AT3061" s="404"/>
      <c r="AU3061" s="394"/>
      <c r="AV3061" s="394"/>
      <c r="AW3061" s="394"/>
      <c r="AX3061" s="5"/>
      <c r="AY3061" s="5"/>
      <c r="AZ3061" s="5"/>
      <c r="BA3061" s="5"/>
      <c r="BB3061" s="5"/>
      <c r="BC3061" s="5"/>
      <c r="BD3061" s="5"/>
      <c r="BE3061" s="5"/>
      <c r="BF3061" s="5"/>
      <c r="BG3061" s="5"/>
      <c r="BH3061" s="5"/>
      <c r="BI3061" s="5"/>
      <c r="BJ3061" s="5"/>
      <c r="BK3061" s="5"/>
      <c r="BL3061" s="5"/>
      <c r="BM3061" s="5"/>
      <c r="BN3061" s="5"/>
      <c r="BO3061" s="5"/>
      <c r="BP3061" s="5"/>
      <c r="BQ3061" s="5"/>
      <c r="BR3061" s="5"/>
      <c r="BS3061" s="5"/>
      <c r="BT3061" s="5"/>
      <c r="BU3061" s="5"/>
      <c r="BV3061" s="5"/>
      <c r="BW3061" s="5"/>
      <c r="BX3061" s="5"/>
      <c r="BY3061" s="5"/>
      <c r="BZ3061" s="5"/>
      <c r="CA3061" s="5"/>
    </row>
    <row r="3062" spans="1:79" s="400" customFormat="1" ht="15" customHeight="1">
      <c r="A3062" s="41" t="s">
        <v>183</v>
      </c>
      <c r="B3062" s="402" t="s">
        <v>5740</v>
      </c>
      <c r="C3062" s="113" t="s">
        <v>5740</v>
      </c>
      <c r="D3062" s="393" t="s">
        <v>303</v>
      </c>
      <c r="E3062" s="394" t="s">
        <v>5741</v>
      </c>
      <c r="F3062" s="402"/>
      <c r="G3062" s="405" t="s">
        <v>5742</v>
      </c>
      <c r="H3062" s="404">
        <v>2899</v>
      </c>
      <c r="I3062" s="402" t="s">
        <v>2</v>
      </c>
      <c r="J3062" s="406" t="s">
        <v>586</v>
      </c>
      <c r="K3062" s="403">
        <v>41345</v>
      </c>
      <c r="L3062" s="398" t="s">
        <v>5380</v>
      </c>
      <c r="M3062" s="402"/>
      <c r="N3062" s="402" t="s">
        <v>2</v>
      </c>
      <c r="O3062" s="404">
        <f>5/2</f>
        <v>2.5</v>
      </c>
      <c r="P3062" s="402">
        <v>5</v>
      </c>
      <c r="Q3062" s="404">
        <v>6.17</v>
      </c>
      <c r="R3062" s="402">
        <v>20</v>
      </c>
      <c r="S3062" s="404">
        <v>96</v>
      </c>
      <c r="T3062" s="402">
        <f>0.1/2</f>
        <v>0.05</v>
      </c>
      <c r="U3062" s="395">
        <f>1/2</f>
        <v>0.5</v>
      </c>
      <c r="V3062" s="402">
        <f>0.1/2</f>
        <v>0.05</v>
      </c>
      <c r="W3062" s="404">
        <f>0.04/2</f>
        <v>0.02</v>
      </c>
      <c r="X3062" s="402">
        <v>8.5999999999999993E-2</v>
      </c>
      <c r="Y3062" s="404">
        <v>1.4999999999999999E-2</v>
      </c>
      <c r="Z3062" s="397">
        <v>1</v>
      </c>
      <c r="AA3062" s="399">
        <v>1</v>
      </c>
      <c r="AB3062" s="394">
        <v>12</v>
      </c>
      <c r="AC3062" s="402">
        <v>96</v>
      </c>
      <c r="AD3062" s="399">
        <v>0.55000000000000004</v>
      </c>
      <c r="AE3062" s="402"/>
      <c r="AF3062" s="391"/>
      <c r="AG3062" s="394"/>
      <c r="AH3062" s="394"/>
      <c r="AI3062" s="394"/>
      <c r="AJ3062" s="394"/>
      <c r="AK3062" s="394"/>
      <c r="AL3062" s="394"/>
      <c r="AM3062" s="394"/>
      <c r="AN3062" s="394"/>
      <c r="AO3062" s="394"/>
      <c r="AP3062" s="394"/>
      <c r="AQ3062" s="394"/>
      <c r="AR3062" s="394"/>
      <c r="AS3062" s="402"/>
      <c r="AT3062" s="404"/>
      <c r="AU3062" s="394"/>
      <c r="AV3062" s="394"/>
      <c r="AW3062" s="394"/>
      <c r="AX3062" s="5"/>
      <c r="AY3062" s="5"/>
      <c r="AZ3062" s="5"/>
      <c r="BA3062" s="5"/>
      <c r="BB3062" s="5"/>
      <c r="BC3062" s="5"/>
      <c r="BD3062" s="5"/>
      <c r="BE3062" s="5"/>
      <c r="BF3062" s="5"/>
      <c r="BG3062" s="5"/>
      <c r="BH3062" s="5"/>
      <c r="BI3062" s="5"/>
      <c r="BJ3062" s="5"/>
      <c r="BK3062" s="5"/>
      <c r="BL3062" s="5"/>
      <c r="BM3062" s="5"/>
      <c r="BN3062" s="5"/>
      <c r="BO3062" s="5"/>
      <c r="BP3062" s="5"/>
      <c r="BQ3062" s="5"/>
      <c r="BR3062" s="5"/>
      <c r="BS3062" s="5"/>
      <c r="BT3062" s="5"/>
      <c r="BU3062" s="5"/>
      <c r="BV3062" s="5"/>
      <c r="BW3062" s="5"/>
      <c r="BX3062" s="5"/>
      <c r="BY3062" s="5"/>
      <c r="BZ3062" s="5"/>
      <c r="CA3062" s="5"/>
    </row>
    <row r="3063" spans="1:79" s="400" customFormat="1" ht="15" customHeight="1">
      <c r="A3063" s="41" t="s">
        <v>183</v>
      </c>
      <c r="B3063" s="402" t="s">
        <v>2125</v>
      </c>
      <c r="C3063" s="113" t="s">
        <v>5743</v>
      </c>
      <c r="D3063" s="393" t="s">
        <v>1881</v>
      </c>
      <c r="E3063" s="394" t="s">
        <v>2127</v>
      </c>
      <c r="F3063" s="402"/>
      <c r="G3063" s="405" t="s">
        <v>3612</v>
      </c>
      <c r="H3063" s="404">
        <v>3724</v>
      </c>
      <c r="I3063" s="402" t="s">
        <v>2</v>
      </c>
      <c r="J3063" s="406" t="s">
        <v>2128</v>
      </c>
      <c r="K3063" s="403">
        <v>41324</v>
      </c>
      <c r="L3063" s="398">
        <v>41316</v>
      </c>
      <c r="M3063" s="402">
        <f t="shared" ref="M3063:M3072" si="177">K3063-L3063</f>
        <v>8</v>
      </c>
      <c r="N3063" s="402" t="s">
        <v>1</v>
      </c>
      <c r="O3063" s="404">
        <f>1.7/2</f>
        <v>0.85</v>
      </c>
      <c r="P3063" s="402">
        <v>5.86</v>
      </c>
      <c r="Q3063" s="404">
        <v>6.56</v>
      </c>
      <c r="R3063" s="402">
        <v>62</v>
      </c>
      <c r="S3063" s="404">
        <v>35</v>
      </c>
      <c r="T3063" s="402">
        <v>5.5E-2</v>
      </c>
      <c r="U3063" s="395">
        <v>2</v>
      </c>
      <c r="V3063" s="402">
        <v>0.46</v>
      </c>
      <c r="W3063" s="404">
        <v>1.4999999999999999E-2</v>
      </c>
      <c r="X3063" s="402">
        <v>0.19500000000000001</v>
      </c>
      <c r="Y3063" s="404">
        <v>5.4999999999999997E-3</v>
      </c>
      <c r="Z3063" s="397"/>
      <c r="AA3063" s="399"/>
      <c r="AB3063" s="394"/>
      <c r="AC3063" s="402"/>
      <c r="AD3063" s="399"/>
      <c r="AE3063" s="402"/>
      <c r="AF3063" s="391"/>
      <c r="AG3063" s="394"/>
      <c r="AH3063" s="394"/>
      <c r="AI3063" s="394"/>
      <c r="AJ3063" s="394"/>
      <c r="AK3063" s="394"/>
      <c r="AL3063" s="394"/>
      <c r="AM3063" s="394"/>
      <c r="AN3063" s="394"/>
      <c r="AO3063" s="394"/>
      <c r="AP3063" s="394"/>
      <c r="AQ3063" s="394"/>
      <c r="AR3063" s="394"/>
      <c r="AS3063" s="402"/>
      <c r="AT3063" s="404"/>
      <c r="AU3063" s="394"/>
      <c r="AV3063" s="394"/>
      <c r="AW3063" s="394"/>
      <c r="AX3063" s="5"/>
      <c r="AY3063" s="5"/>
      <c r="AZ3063" s="5"/>
      <c r="BA3063" s="5"/>
      <c r="BB3063" s="5"/>
      <c r="BC3063" s="5"/>
      <c r="BD3063" s="5"/>
      <c r="BE3063" s="5"/>
      <c r="BF3063" s="5"/>
      <c r="BG3063" s="5"/>
      <c r="BH3063" s="5"/>
      <c r="BI3063" s="5"/>
      <c r="BJ3063" s="5"/>
      <c r="BK3063" s="5"/>
      <c r="BL3063" s="5"/>
      <c r="BM3063" s="5"/>
      <c r="BN3063" s="5"/>
      <c r="BO3063" s="5"/>
      <c r="BP3063" s="5"/>
      <c r="BQ3063" s="5"/>
      <c r="BR3063" s="5"/>
      <c r="BS3063" s="5"/>
      <c r="BT3063" s="5"/>
      <c r="BU3063" s="5"/>
      <c r="BV3063" s="5"/>
      <c r="BW3063" s="5"/>
      <c r="BX3063" s="5"/>
      <c r="BY3063" s="5"/>
      <c r="BZ3063" s="5"/>
      <c r="CA3063" s="5"/>
    </row>
    <row r="3064" spans="1:79" s="400" customFormat="1" ht="15" customHeight="1">
      <c r="A3064" s="41" t="s">
        <v>183</v>
      </c>
      <c r="B3064" s="402" t="s">
        <v>2125</v>
      </c>
      <c r="C3064" s="113" t="s">
        <v>5743</v>
      </c>
      <c r="D3064" s="393" t="s">
        <v>1881</v>
      </c>
      <c r="E3064" s="394" t="s">
        <v>2127</v>
      </c>
      <c r="F3064" s="402"/>
      <c r="G3064" s="405" t="s">
        <v>3612</v>
      </c>
      <c r="H3064" s="404">
        <v>3724</v>
      </c>
      <c r="I3064" s="402" t="s">
        <v>2</v>
      </c>
      <c r="J3064" s="406" t="s">
        <v>2129</v>
      </c>
      <c r="K3064" s="403">
        <v>41324</v>
      </c>
      <c r="L3064" s="398">
        <v>41316</v>
      </c>
      <c r="M3064" s="402">
        <f t="shared" si="177"/>
        <v>8</v>
      </c>
      <c r="N3064" s="402" t="s">
        <v>1</v>
      </c>
      <c r="O3064" s="404">
        <f>1.7/2</f>
        <v>0.85</v>
      </c>
      <c r="P3064" s="402">
        <v>5.86</v>
      </c>
      <c r="Q3064" s="404">
        <v>6.6</v>
      </c>
      <c r="R3064" s="402">
        <v>37</v>
      </c>
      <c r="S3064" s="404">
        <v>15.7</v>
      </c>
      <c r="T3064" s="402">
        <v>5.0999999999999997E-2</v>
      </c>
      <c r="U3064" s="395">
        <v>2.2999999999999998</v>
      </c>
      <c r="V3064" s="402">
        <f>0.46/2</f>
        <v>0.23</v>
      </c>
      <c r="W3064" s="404">
        <v>1.7000000000000001E-2</v>
      </c>
      <c r="X3064" s="402">
        <v>5.0999999999999997E-2</v>
      </c>
      <c r="Y3064" s="404">
        <v>5.5E-2</v>
      </c>
      <c r="Z3064" s="397"/>
      <c r="AA3064" s="399"/>
      <c r="AB3064" s="394"/>
      <c r="AC3064" s="402"/>
      <c r="AD3064" s="399"/>
      <c r="AE3064" s="402"/>
      <c r="AF3064" s="391"/>
      <c r="AG3064" s="394"/>
      <c r="AH3064" s="394"/>
      <c r="AI3064" s="394"/>
      <c r="AJ3064" s="394"/>
      <c r="AK3064" s="394"/>
      <c r="AL3064" s="394"/>
      <c r="AM3064" s="394"/>
      <c r="AN3064" s="394"/>
      <c r="AO3064" s="394"/>
      <c r="AP3064" s="394"/>
      <c r="AQ3064" s="394"/>
      <c r="AR3064" s="394"/>
      <c r="AS3064" s="402"/>
      <c r="AT3064" s="404"/>
      <c r="AU3064" s="394"/>
      <c r="AV3064" s="394"/>
      <c r="AW3064" s="394"/>
      <c r="AX3064" s="5"/>
      <c r="AY3064" s="5"/>
      <c r="AZ3064" s="5"/>
      <c r="BA3064" s="5"/>
      <c r="BB3064" s="5"/>
      <c r="BC3064" s="5"/>
      <c r="BD3064" s="5"/>
      <c r="BE3064" s="5"/>
      <c r="BF3064" s="5"/>
      <c r="BG3064" s="5"/>
      <c r="BH3064" s="5"/>
      <c r="BI3064" s="5"/>
      <c r="BJ3064" s="5"/>
      <c r="BK3064" s="5"/>
      <c r="BL3064" s="5"/>
      <c r="BM3064" s="5"/>
      <c r="BN3064" s="5"/>
      <c r="BO3064" s="5"/>
      <c r="BP3064" s="5"/>
      <c r="BQ3064" s="5"/>
      <c r="BR3064" s="5"/>
      <c r="BS3064" s="5"/>
      <c r="BT3064" s="5"/>
      <c r="BU3064" s="5"/>
      <c r="BV3064" s="5"/>
      <c r="BW3064" s="5"/>
      <c r="BX3064" s="5"/>
      <c r="BY3064" s="5"/>
      <c r="BZ3064" s="5"/>
      <c r="CA3064" s="5"/>
    </row>
    <row r="3065" spans="1:79" s="400" customFormat="1" ht="15" customHeight="1">
      <c r="A3065" s="41" t="s">
        <v>183</v>
      </c>
      <c r="B3065" s="402" t="s">
        <v>2125</v>
      </c>
      <c r="C3065" s="113" t="s">
        <v>5743</v>
      </c>
      <c r="D3065" s="393" t="s">
        <v>1881</v>
      </c>
      <c r="E3065" s="394" t="s">
        <v>512</v>
      </c>
      <c r="F3065" s="402"/>
      <c r="G3065" s="405" t="s">
        <v>3612</v>
      </c>
      <c r="H3065" s="404">
        <v>3724</v>
      </c>
      <c r="I3065" s="402" t="s">
        <v>2</v>
      </c>
      <c r="J3065" s="406" t="s">
        <v>2130</v>
      </c>
      <c r="K3065" s="403">
        <v>41324</v>
      </c>
      <c r="L3065" s="398">
        <v>41316</v>
      </c>
      <c r="M3065" s="402">
        <f t="shared" si="177"/>
        <v>8</v>
      </c>
      <c r="N3065" s="402" t="s">
        <v>1</v>
      </c>
      <c r="O3065" s="404">
        <f>1.8/2</f>
        <v>0.9</v>
      </c>
      <c r="P3065" s="402">
        <v>5.86</v>
      </c>
      <c r="Q3065" s="404">
        <v>6.5</v>
      </c>
      <c r="R3065" s="402">
        <v>330</v>
      </c>
      <c r="S3065" s="404">
        <v>956</v>
      </c>
      <c r="T3065" s="402">
        <v>0.43</v>
      </c>
      <c r="U3065" s="395">
        <v>6.6</v>
      </c>
      <c r="V3065" s="402">
        <f>0.46/2</f>
        <v>0.23</v>
      </c>
      <c r="W3065" s="404">
        <v>0.193</v>
      </c>
      <c r="X3065" s="402">
        <v>0.73699999999999999</v>
      </c>
      <c r="Y3065" s="404">
        <v>0.11600000000000001</v>
      </c>
      <c r="Z3065" s="397"/>
      <c r="AA3065" s="399"/>
      <c r="AB3065" s="394"/>
      <c r="AC3065" s="402"/>
      <c r="AD3065" s="399"/>
      <c r="AE3065" s="402"/>
      <c r="AF3065" s="391"/>
      <c r="AG3065" s="394"/>
      <c r="AH3065" s="394"/>
      <c r="AI3065" s="394"/>
      <c r="AJ3065" s="394"/>
      <c r="AK3065" s="394"/>
      <c r="AL3065" s="394"/>
      <c r="AM3065" s="394"/>
      <c r="AN3065" s="394"/>
      <c r="AO3065" s="394"/>
      <c r="AP3065" s="394"/>
      <c r="AQ3065" s="394"/>
      <c r="AR3065" s="394"/>
      <c r="AS3065" s="402"/>
      <c r="AT3065" s="404"/>
      <c r="AU3065" s="394"/>
      <c r="AV3065" s="394"/>
      <c r="AW3065" s="394"/>
      <c r="AX3065" s="5"/>
      <c r="AY3065" s="5"/>
      <c r="AZ3065" s="5"/>
      <c r="BA3065" s="5"/>
      <c r="BB3065" s="5"/>
      <c r="BC3065" s="5"/>
      <c r="BD3065" s="5"/>
      <c r="BE3065" s="5"/>
      <c r="BF3065" s="5"/>
      <c r="BG3065" s="5"/>
      <c r="BH3065" s="5"/>
      <c r="BI3065" s="5"/>
      <c r="BJ3065" s="5"/>
      <c r="BK3065" s="5"/>
      <c r="BL3065" s="5"/>
      <c r="BM3065" s="5"/>
      <c r="BN3065" s="5"/>
      <c r="BO3065" s="5"/>
      <c r="BP3065" s="5"/>
      <c r="BQ3065" s="5"/>
      <c r="BR3065" s="5"/>
      <c r="BS3065" s="5"/>
      <c r="BT3065" s="5"/>
      <c r="BU3065" s="5"/>
      <c r="BV3065" s="5"/>
      <c r="BW3065" s="5"/>
      <c r="BX3065" s="5"/>
      <c r="BY3065" s="5"/>
      <c r="BZ3065" s="5"/>
      <c r="CA3065" s="5"/>
    </row>
    <row r="3066" spans="1:79" s="400" customFormat="1" ht="15" customHeight="1">
      <c r="A3066" s="41" t="s">
        <v>183</v>
      </c>
      <c r="B3066" s="402" t="s">
        <v>2125</v>
      </c>
      <c r="C3066" s="113" t="s">
        <v>5743</v>
      </c>
      <c r="D3066" s="393" t="s">
        <v>1881</v>
      </c>
      <c r="E3066" s="394" t="s">
        <v>512</v>
      </c>
      <c r="F3066" s="402"/>
      <c r="G3066" s="405" t="s">
        <v>3612</v>
      </c>
      <c r="H3066" s="404">
        <v>3724</v>
      </c>
      <c r="I3066" s="402" t="s">
        <v>2</v>
      </c>
      <c r="J3066" s="406" t="s">
        <v>2131</v>
      </c>
      <c r="K3066" s="403">
        <v>41324</v>
      </c>
      <c r="L3066" s="398">
        <v>41316</v>
      </c>
      <c r="M3066" s="402">
        <f t="shared" si="177"/>
        <v>8</v>
      </c>
      <c r="N3066" s="402" t="s">
        <v>1</v>
      </c>
      <c r="O3066" s="404">
        <v>6.8</v>
      </c>
      <c r="P3066" s="402">
        <v>5.29</v>
      </c>
      <c r="Q3066" s="404">
        <v>6.71</v>
      </c>
      <c r="R3066" s="402">
        <v>370</v>
      </c>
      <c r="S3066" s="404">
        <v>319</v>
      </c>
      <c r="T3066" s="402">
        <v>0.93899999999999995</v>
      </c>
      <c r="U3066" s="395">
        <v>6.3</v>
      </c>
      <c r="V3066" s="402">
        <v>0.54</v>
      </c>
      <c r="W3066" s="404">
        <v>6.3E-2</v>
      </c>
      <c r="X3066" s="402">
        <v>0.24399999999999999</v>
      </c>
      <c r="Y3066" s="404">
        <v>0.23400000000000001</v>
      </c>
      <c r="Z3066" s="397"/>
      <c r="AA3066" s="399"/>
      <c r="AB3066" s="394"/>
      <c r="AC3066" s="402"/>
      <c r="AD3066" s="399"/>
      <c r="AE3066" s="402"/>
      <c r="AF3066" s="391"/>
      <c r="AG3066" s="394"/>
      <c r="AH3066" s="394"/>
      <c r="AI3066" s="394"/>
      <c r="AJ3066" s="394"/>
      <c r="AK3066" s="394"/>
      <c r="AL3066" s="394"/>
      <c r="AM3066" s="394"/>
      <c r="AN3066" s="394"/>
      <c r="AO3066" s="394"/>
      <c r="AP3066" s="394"/>
      <c r="AQ3066" s="394"/>
      <c r="AR3066" s="394"/>
      <c r="AS3066" s="402"/>
      <c r="AT3066" s="404"/>
      <c r="AU3066" s="394"/>
      <c r="AV3066" s="394"/>
      <c r="AW3066" s="394"/>
      <c r="AX3066" s="5"/>
      <c r="AY3066" s="5"/>
      <c r="AZ3066" s="5"/>
      <c r="BA3066" s="5"/>
      <c r="BB3066" s="5"/>
      <c r="BC3066" s="5"/>
      <c r="BD3066" s="5"/>
      <c r="BE3066" s="5"/>
      <c r="BF3066" s="5"/>
      <c r="BG3066" s="5"/>
      <c r="BH3066" s="5"/>
      <c r="BI3066" s="5"/>
      <c r="BJ3066" s="5"/>
      <c r="BK3066" s="5"/>
      <c r="BL3066" s="5"/>
      <c r="BM3066" s="5"/>
      <c r="BN3066" s="5"/>
      <c r="BO3066" s="5"/>
      <c r="BP3066" s="5"/>
      <c r="BQ3066" s="5"/>
      <c r="BR3066" s="5"/>
      <c r="BS3066" s="5"/>
      <c r="BT3066" s="5"/>
      <c r="BU3066" s="5"/>
      <c r="BV3066" s="5"/>
      <c r="BW3066" s="5"/>
      <c r="BX3066" s="5"/>
      <c r="BY3066" s="5"/>
      <c r="BZ3066" s="5"/>
      <c r="CA3066" s="5"/>
    </row>
    <row r="3067" spans="1:79" s="400" customFormat="1" ht="15" customHeight="1">
      <c r="A3067" s="41" t="s">
        <v>183</v>
      </c>
      <c r="B3067" s="402" t="s">
        <v>2125</v>
      </c>
      <c r="C3067" s="113" t="s">
        <v>5743</v>
      </c>
      <c r="D3067" s="393" t="s">
        <v>1881</v>
      </c>
      <c r="E3067" s="394" t="s">
        <v>512</v>
      </c>
      <c r="F3067" s="402"/>
      <c r="G3067" s="405" t="s">
        <v>3612</v>
      </c>
      <c r="H3067" s="404">
        <v>3724</v>
      </c>
      <c r="I3067" s="402" t="s">
        <v>2</v>
      </c>
      <c r="J3067" s="406" t="s">
        <v>2133</v>
      </c>
      <c r="K3067" s="403">
        <v>41324</v>
      </c>
      <c r="L3067" s="398">
        <v>41316</v>
      </c>
      <c r="M3067" s="402">
        <f t="shared" si="177"/>
        <v>8</v>
      </c>
      <c r="N3067" s="402" t="s">
        <v>1</v>
      </c>
      <c r="O3067" s="404">
        <f>1.8/2</f>
        <v>0.9</v>
      </c>
      <c r="P3067" s="402">
        <v>5.86</v>
      </c>
      <c r="Q3067" s="404">
        <v>6.54</v>
      </c>
      <c r="R3067" s="402">
        <v>130</v>
      </c>
      <c r="S3067" s="404">
        <v>218</v>
      </c>
      <c r="T3067" s="402">
        <v>0.25600000000000001</v>
      </c>
      <c r="U3067" s="395">
        <v>2.6</v>
      </c>
      <c r="V3067" s="402">
        <v>0.49</v>
      </c>
      <c r="W3067" s="404">
        <v>6.3E-2</v>
      </c>
      <c r="X3067" s="402">
        <v>0.378</v>
      </c>
      <c r="Y3067" s="404">
        <v>3.1600000000000003E-2</v>
      </c>
      <c r="Z3067" s="397"/>
      <c r="AA3067" s="399"/>
      <c r="AB3067" s="394"/>
      <c r="AC3067" s="402"/>
      <c r="AD3067" s="399"/>
      <c r="AE3067" s="402"/>
      <c r="AF3067" s="391"/>
      <c r="AG3067" s="394"/>
      <c r="AH3067" s="394"/>
      <c r="AI3067" s="394"/>
      <c r="AJ3067" s="394"/>
      <c r="AK3067" s="394"/>
      <c r="AL3067" s="394"/>
      <c r="AM3067" s="394"/>
      <c r="AN3067" s="394"/>
      <c r="AO3067" s="394"/>
      <c r="AP3067" s="394"/>
      <c r="AQ3067" s="394"/>
      <c r="AR3067" s="394"/>
      <c r="AS3067" s="402"/>
      <c r="AT3067" s="404"/>
      <c r="AU3067" s="394"/>
      <c r="AV3067" s="394"/>
      <c r="AW3067" s="394"/>
      <c r="AX3067" s="5"/>
      <c r="AY3067" s="5"/>
      <c r="AZ3067" s="5"/>
      <c r="BA3067" s="5"/>
      <c r="BB3067" s="5"/>
      <c r="BC3067" s="5"/>
      <c r="BD3067" s="5"/>
      <c r="BE3067" s="5"/>
      <c r="BF3067" s="5"/>
      <c r="BG3067" s="5"/>
      <c r="BH3067" s="5"/>
      <c r="BI3067" s="5"/>
      <c r="BJ3067" s="5"/>
      <c r="BK3067" s="5"/>
      <c r="BL3067" s="5"/>
      <c r="BM3067" s="5"/>
      <c r="BN3067" s="5"/>
      <c r="BO3067" s="5"/>
      <c r="BP3067" s="5"/>
      <c r="BQ3067" s="5"/>
      <c r="BR3067" s="5"/>
      <c r="BS3067" s="5"/>
      <c r="BT3067" s="5"/>
      <c r="BU3067" s="5"/>
      <c r="BV3067" s="5"/>
      <c r="BW3067" s="5"/>
      <c r="BX3067" s="5"/>
      <c r="BY3067" s="5"/>
      <c r="BZ3067" s="5"/>
      <c r="CA3067" s="5"/>
    </row>
    <row r="3068" spans="1:79" s="400" customFormat="1" ht="15" customHeight="1">
      <c r="A3068" s="41" t="s">
        <v>183</v>
      </c>
      <c r="B3068" s="402" t="s">
        <v>2125</v>
      </c>
      <c r="C3068" s="113" t="s">
        <v>5743</v>
      </c>
      <c r="D3068" s="393" t="s">
        <v>1881</v>
      </c>
      <c r="E3068" s="394" t="s">
        <v>512</v>
      </c>
      <c r="F3068" s="402"/>
      <c r="G3068" s="405" t="s">
        <v>3613</v>
      </c>
      <c r="H3068" s="404">
        <v>3724</v>
      </c>
      <c r="I3068" s="402" t="s">
        <v>2</v>
      </c>
      <c r="J3068" s="406" t="s">
        <v>2135</v>
      </c>
      <c r="K3068" s="403">
        <v>41324</v>
      </c>
      <c r="L3068" s="398">
        <v>41316</v>
      </c>
      <c r="M3068" s="402">
        <f t="shared" si="177"/>
        <v>8</v>
      </c>
      <c r="N3068" s="402" t="s">
        <v>1</v>
      </c>
      <c r="O3068" s="404">
        <f>1.6/2</f>
        <v>0.8</v>
      </c>
      <c r="P3068" s="402">
        <v>5.86</v>
      </c>
      <c r="Q3068" s="404">
        <v>6.91</v>
      </c>
      <c r="R3068" s="402">
        <v>35</v>
      </c>
      <c r="S3068" s="404">
        <v>49</v>
      </c>
      <c r="T3068" s="402">
        <v>8.7999999999999995E-2</v>
      </c>
      <c r="U3068" s="395">
        <v>2</v>
      </c>
      <c r="V3068" s="402">
        <f>0.46/2</f>
        <v>0.23</v>
      </c>
      <c r="W3068" s="404">
        <v>0.01</v>
      </c>
      <c r="X3068" s="402">
        <v>5.7000000000000002E-2</v>
      </c>
      <c r="Y3068" s="404">
        <v>5.8999999999999999E-3</v>
      </c>
      <c r="Z3068" s="397"/>
      <c r="AA3068" s="399"/>
      <c r="AB3068" s="394"/>
      <c r="AC3068" s="402"/>
      <c r="AD3068" s="399"/>
      <c r="AE3068" s="402"/>
      <c r="AF3068" s="391"/>
      <c r="AG3068" s="394"/>
      <c r="AH3068" s="394"/>
      <c r="AI3068" s="394"/>
      <c r="AJ3068" s="394"/>
      <c r="AK3068" s="394"/>
      <c r="AL3068" s="394"/>
      <c r="AM3068" s="394"/>
      <c r="AN3068" s="394"/>
      <c r="AO3068" s="394"/>
      <c r="AP3068" s="394"/>
      <c r="AQ3068" s="394"/>
      <c r="AR3068" s="394"/>
      <c r="AS3068" s="402"/>
      <c r="AT3068" s="404"/>
      <c r="AU3068" s="394"/>
      <c r="AV3068" s="394"/>
      <c r="AW3068" s="394"/>
      <c r="AX3068" s="5"/>
      <c r="AY3068" s="5"/>
      <c r="AZ3068" s="5"/>
      <c r="BA3068" s="5"/>
      <c r="BB3068" s="5"/>
      <c r="BC3068" s="5"/>
      <c r="BD3068" s="5"/>
      <c r="BE3068" s="5"/>
      <c r="BF3068" s="5"/>
      <c r="BG3068" s="5"/>
      <c r="BH3068" s="5"/>
      <c r="BI3068" s="5"/>
      <c r="BJ3068" s="5"/>
      <c r="BK3068" s="5"/>
      <c r="BL3068" s="5"/>
      <c r="BM3068" s="5"/>
      <c r="BN3068" s="5"/>
      <c r="BO3068" s="5"/>
      <c r="BP3068" s="5"/>
      <c r="BQ3068" s="5"/>
      <c r="BR3068" s="5"/>
      <c r="BS3068" s="5"/>
      <c r="BT3068" s="5"/>
      <c r="BU3068" s="5"/>
      <c r="BV3068" s="5"/>
      <c r="BW3068" s="5"/>
      <c r="BX3068" s="5"/>
      <c r="BY3068" s="5"/>
      <c r="BZ3068" s="5"/>
      <c r="CA3068" s="5"/>
    </row>
    <row r="3069" spans="1:79" s="400" customFormat="1" ht="15" customHeight="1">
      <c r="A3069" s="41" t="s">
        <v>183</v>
      </c>
      <c r="B3069" s="402" t="s">
        <v>2125</v>
      </c>
      <c r="C3069" s="113" t="s">
        <v>5744</v>
      </c>
      <c r="D3069" s="393" t="s">
        <v>1881</v>
      </c>
      <c r="E3069" s="394" t="s">
        <v>1546</v>
      </c>
      <c r="F3069" s="402"/>
      <c r="G3069" s="405" t="s">
        <v>3073</v>
      </c>
      <c r="H3069" s="404">
        <v>3724</v>
      </c>
      <c r="I3069" s="402" t="s">
        <v>2</v>
      </c>
      <c r="J3069" s="406" t="s">
        <v>2135</v>
      </c>
      <c r="K3069" s="403">
        <v>41324</v>
      </c>
      <c r="L3069" s="398">
        <v>41316</v>
      </c>
      <c r="M3069" s="402">
        <f t="shared" si="177"/>
        <v>8</v>
      </c>
      <c r="N3069" s="402" t="s">
        <v>1</v>
      </c>
      <c r="O3069" s="404">
        <f>1.9/2</f>
        <v>0.95</v>
      </c>
      <c r="P3069" s="402">
        <v>5.86</v>
      </c>
      <c r="Q3069" s="404">
        <v>6.89</v>
      </c>
      <c r="R3069" s="402">
        <v>46</v>
      </c>
      <c r="S3069" s="404">
        <v>45.3</v>
      </c>
      <c r="T3069" s="402">
        <v>0.16500000000000001</v>
      </c>
      <c r="U3069" s="395">
        <v>2</v>
      </c>
      <c r="V3069" s="402">
        <v>0.62</v>
      </c>
      <c r="W3069" s="404">
        <v>2.1999999999999999E-2</v>
      </c>
      <c r="X3069" s="402">
        <v>0.121</v>
      </c>
      <c r="Y3069" s="404">
        <v>2.6700000000000002E-2</v>
      </c>
      <c r="Z3069" s="397"/>
      <c r="AA3069" s="399"/>
      <c r="AB3069" s="394"/>
      <c r="AC3069" s="402"/>
      <c r="AD3069" s="399"/>
      <c r="AE3069" s="402"/>
      <c r="AF3069" s="391"/>
      <c r="AG3069" s="394"/>
      <c r="AH3069" s="394"/>
      <c r="AI3069" s="394"/>
      <c r="AJ3069" s="394"/>
      <c r="AK3069" s="394"/>
      <c r="AL3069" s="394"/>
      <c r="AM3069" s="394"/>
      <c r="AN3069" s="394"/>
      <c r="AO3069" s="394"/>
      <c r="AP3069" s="394"/>
      <c r="AQ3069" s="394"/>
      <c r="AR3069" s="394"/>
      <c r="AS3069" s="402"/>
      <c r="AT3069" s="404"/>
      <c r="AU3069" s="394"/>
      <c r="AV3069" s="394"/>
      <c r="AW3069" s="394"/>
      <c r="AX3069" s="5"/>
      <c r="AY3069" s="5"/>
      <c r="AZ3069" s="5"/>
      <c r="BA3069" s="5"/>
      <c r="BB3069" s="5"/>
      <c r="BC3069" s="5"/>
      <c r="BD3069" s="5"/>
      <c r="BE3069" s="5"/>
      <c r="BF3069" s="5"/>
      <c r="BG3069" s="5"/>
      <c r="BH3069" s="5"/>
      <c r="BI3069" s="5"/>
      <c r="BJ3069" s="5"/>
      <c r="BK3069" s="5"/>
      <c r="BL3069" s="5"/>
      <c r="BM3069" s="5"/>
      <c r="BN3069" s="5"/>
      <c r="BO3069" s="5"/>
      <c r="BP3069" s="5"/>
      <c r="BQ3069" s="5"/>
      <c r="BR3069" s="5"/>
      <c r="BS3069" s="5"/>
      <c r="BT3069" s="5"/>
      <c r="BU3069" s="5"/>
      <c r="BV3069" s="5"/>
      <c r="BW3069" s="5"/>
      <c r="BX3069" s="5"/>
      <c r="BY3069" s="5"/>
      <c r="BZ3069" s="5"/>
      <c r="CA3069" s="5"/>
    </row>
    <row r="3070" spans="1:79" s="400" customFormat="1" ht="15" customHeight="1">
      <c r="A3070" s="41" t="s">
        <v>183</v>
      </c>
      <c r="B3070" s="385" t="s">
        <v>4345</v>
      </c>
      <c r="C3070" s="18" t="s">
        <v>4345</v>
      </c>
      <c r="D3070" s="377" t="s">
        <v>303</v>
      </c>
      <c r="E3070" s="20" t="s">
        <v>4346</v>
      </c>
      <c r="F3070" s="385">
        <v>5306</v>
      </c>
      <c r="G3070" s="405" t="s">
        <v>455</v>
      </c>
      <c r="H3070" s="384">
        <v>3421</v>
      </c>
      <c r="I3070" s="402" t="s">
        <v>1</v>
      </c>
      <c r="J3070" s="344" t="s">
        <v>271</v>
      </c>
      <c r="K3070" s="403">
        <v>41456</v>
      </c>
      <c r="L3070" s="398">
        <v>41452</v>
      </c>
      <c r="M3070" s="402">
        <f t="shared" si="177"/>
        <v>4</v>
      </c>
      <c r="N3070" s="402" t="s">
        <v>2</v>
      </c>
      <c r="O3070" s="404">
        <f>5/2</f>
        <v>2.5</v>
      </c>
      <c r="P3070" s="402">
        <v>5.8</v>
      </c>
      <c r="Q3070" s="404">
        <v>6.7</v>
      </c>
      <c r="R3070" s="402">
        <v>33</v>
      </c>
      <c r="S3070" s="404">
        <v>8</v>
      </c>
      <c r="T3070" s="402">
        <f>0.1/2</f>
        <v>0.05</v>
      </c>
      <c r="U3070" s="395">
        <v>1.1000000000000001</v>
      </c>
      <c r="V3070" s="402">
        <v>0.39</v>
      </c>
      <c r="W3070" s="404">
        <f>0.04/2</f>
        <v>0.02</v>
      </c>
      <c r="X3070" s="402">
        <v>0.15</v>
      </c>
      <c r="Y3070" s="404">
        <f>0.013/2</f>
        <v>6.4999999999999997E-3</v>
      </c>
      <c r="Z3070" s="397"/>
      <c r="AA3070" s="399"/>
      <c r="AB3070" s="394"/>
      <c r="AC3070" s="402"/>
      <c r="AD3070" s="399"/>
      <c r="AE3070" s="402"/>
      <c r="AF3070" s="391"/>
      <c r="AG3070" s="394"/>
      <c r="AH3070" s="394"/>
      <c r="AI3070" s="394" t="s">
        <v>5688</v>
      </c>
      <c r="AJ3070" s="394"/>
      <c r="AK3070" s="394"/>
      <c r="AL3070" s="394"/>
      <c r="AM3070" s="394"/>
      <c r="AN3070" s="394"/>
      <c r="AO3070" s="394"/>
      <c r="AP3070" s="394"/>
      <c r="AQ3070" s="394"/>
      <c r="AR3070" s="394"/>
      <c r="AS3070" s="402"/>
      <c r="AT3070" s="404"/>
      <c r="AU3070" s="394"/>
      <c r="AV3070" s="394"/>
      <c r="AW3070" s="394"/>
      <c r="AX3070" s="5"/>
      <c r="AY3070" s="5"/>
      <c r="AZ3070" s="5"/>
      <c r="BA3070" s="5"/>
      <c r="BB3070" s="5"/>
      <c r="BC3070" s="5"/>
      <c r="BD3070" s="5"/>
      <c r="BE3070" s="5"/>
      <c r="BF3070" s="5"/>
      <c r="BG3070" s="5"/>
      <c r="BH3070" s="5"/>
      <c r="BI3070" s="5"/>
      <c r="BJ3070" s="5"/>
      <c r="BK3070" s="5"/>
      <c r="BL3070" s="5"/>
      <c r="BM3070" s="5"/>
      <c r="BN3070" s="5"/>
      <c r="BO3070" s="5"/>
      <c r="BP3070" s="5"/>
      <c r="BQ3070" s="5"/>
      <c r="BR3070" s="5"/>
      <c r="BS3070" s="5"/>
      <c r="BT3070" s="5"/>
      <c r="BU3070" s="5"/>
      <c r="BV3070" s="5"/>
      <c r="BW3070" s="5"/>
      <c r="BX3070" s="5"/>
      <c r="BY3070" s="5"/>
      <c r="BZ3070" s="5"/>
      <c r="CA3070" s="5"/>
    </row>
    <row r="3071" spans="1:79" s="400" customFormat="1" ht="15" customHeight="1">
      <c r="A3071" s="41" t="s">
        <v>183</v>
      </c>
      <c r="B3071" s="385" t="s">
        <v>4345</v>
      </c>
      <c r="C3071" s="18" t="s">
        <v>4345</v>
      </c>
      <c r="D3071" s="377" t="s">
        <v>303</v>
      </c>
      <c r="E3071" s="20" t="s">
        <v>4346</v>
      </c>
      <c r="F3071" s="385">
        <v>5306</v>
      </c>
      <c r="G3071" s="405" t="s">
        <v>455</v>
      </c>
      <c r="H3071" s="384">
        <v>3421</v>
      </c>
      <c r="I3071" s="402" t="s">
        <v>1</v>
      </c>
      <c r="J3071" s="344" t="s">
        <v>272</v>
      </c>
      <c r="K3071" s="403">
        <v>41456</v>
      </c>
      <c r="L3071" s="398">
        <v>41452</v>
      </c>
      <c r="M3071" s="402">
        <f t="shared" si="177"/>
        <v>4</v>
      </c>
      <c r="N3071" s="402" t="s">
        <v>2</v>
      </c>
      <c r="O3071" s="404">
        <f>5/2</f>
        <v>2.5</v>
      </c>
      <c r="P3071" s="402">
        <v>5.8</v>
      </c>
      <c r="Q3071" s="404">
        <v>6.1</v>
      </c>
      <c r="R3071" s="402">
        <v>27</v>
      </c>
      <c r="S3071" s="404">
        <v>13</v>
      </c>
      <c r="T3071" s="402">
        <f>0.1/2</f>
        <v>0.05</v>
      </c>
      <c r="U3071" s="395">
        <f>1/2</f>
        <v>0.5</v>
      </c>
      <c r="V3071" s="402">
        <v>0.23</v>
      </c>
      <c r="W3071" s="404">
        <f>0.04/2</f>
        <v>0.02</v>
      </c>
      <c r="X3071" s="402">
        <f>0.02/2</f>
        <v>0.01</v>
      </c>
      <c r="Y3071" s="404">
        <f>0.013/2</f>
        <v>6.4999999999999997E-3</v>
      </c>
      <c r="Z3071" s="397"/>
      <c r="AA3071" s="399"/>
      <c r="AB3071" s="394"/>
      <c r="AC3071" s="402"/>
      <c r="AD3071" s="399"/>
      <c r="AE3071" s="402"/>
      <c r="AF3071" s="391"/>
      <c r="AG3071" s="394"/>
      <c r="AH3071" s="394"/>
      <c r="AI3071" s="394" t="s">
        <v>5688</v>
      </c>
      <c r="AJ3071" s="394"/>
      <c r="AK3071" s="394"/>
      <c r="AL3071" s="394"/>
      <c r="AM3071" s="394"/>
      <c r="AN3071" s="394"/>
      <c r="AO3071" s="394"/>
      <c r="AP3071" s="394"/>
      <c r="AQ3071" s="394"/>
      <c r="AR3071" s="394"/>
      <c r="AS3071" s="402"/>
      <c r="AT3071" s="404"/>
      <c r="AU3071" s="394"/>
      <c r="AV3071" s="394"/>
      <c r="AW3071" s="394"/>
      <c r="AX3071" s="5"/>
      <c r="AY3071" s="5"/>
      <c r="AZ3071" s="5"/>
      <c r="BA3071" s="5"/>
      <c r="BB3071" s="5"/>
      <c r="BC3071" s="5"/>
      <c r="BD3071" s="5"/>
      <c r="BE3071" s="5"/>
      <c r="BF3071" s="5"/>
      <c r="BG3071" s="5"/>
      <c r="BH3071" s="5"/>
      <c r="BI3071" s="5"/>
      <c r="BJ3071" s="5"/>
      <c r="BK3071" s="5"/>
      <c r="BL3071" s="5"/>
      <c r="BM3071" s="5"/>
      <c r="BN3071" s="5"/>
      <c r="BO3071" s="5"/>
      <c r="BP3071" s="5"/>
      <c r="BQ3071" s="5"/>
      <c r="BR3071" s="5"/>
      <c r="BS3071" s="5"/>
      <c r="BT3071" s="5"/>
      <c r="BU3071" s="5"/>
      <c r="BV3071" s="5"/>
      <c r="BW3071" s="5"/>
      <c r="BX3071" s="5"/>
      <c r="BY3071" s="5"/>
      <c r="BZ3071" s="5"/>
      <c r="CA3071" s="5"/>
    </row>
    <row r="3072" spans="1:79" s="400" customFormat="1" ht="15" customHeight="1">
      <c r="A3072" s="41" t="s">
        <v>183</v>
      </c>
      <c r="B3072" s="402" t="s">
        <v>2531</v>
      </c>
      <c r="C3072" s="113" t="s">
        <v>2531</v>
      </c>
      <c r="D3072" s="393" t="s">
        <v>257</v>
      </c>
      <c r="E3072" s="394" t="s">
        <v>512</v>
      </c>
      <c r="F3072" s="402" t="s">
        <v>5734</v>
      </c>
      <c r="G3072" s="405" t="s">
        <v>2533</v>
      </c>
      <c r="H3072" s="404">
        <v>3365</v>
      </c>
      <c r="I3072" s="402" t="s">
        <v>1</v>
      </c>
      <c r="J3072" s="406" t="s">
        <v>115</v>
      </c>
      <c r="K3072" s="403">
        <v>41495</v>
      </c>
      <c r="L3072" s="398">
        <v>41488</v>
      </c>
      <c r="M3072" s="402">
        <f t="shared" si="177"/>
        <v>7</v>
      </c>
      <c r="N3072" s="402" t="s">
        <v>2</v>
      </c>
      <c r="O3072" s="404">
        <f>1.4/2</f>
        <v>0.7</v>
      </c>
      <c r="P3072" s="402">
        <v>4.5</v>
      </c>
      <c r="Q3072" s="404">
        <v>5.2</v>
      </c>
      <c r="R3072" s="402">
        <f>20/2</f>
        <v>10</v>
      </c>
      <c r="S3072" s="404">
        <f>5/2</f>
        <v>2.5</v>
      </c>
      <c r="T3072" s="402">
        <v>2.3E-2</v>
      </c>
      <c r="U3072" s="395">
        <f>1/2</f>
        <v>0.5</v>
      </c>
      <c r="V3072" s="402">
        <f>0.46/2</f>
        <v>0.23</v>
      </c>
      <c r="W3072" s="404">
        <v>0.16800000000000001</v>
      </c>
      <c r="X3072" s="402">
        <v>0.188</v>
      </c>
      <c r="Y3072" s="404">
        <v>1.26E-2</v>
      </c>
      <c r="Z3072" s="397">
        <v>1</v>
      </c>
      <c r="AA3072" s="399">
        <v>1</v>
      </c>
      <c r="AB3072" s="394">
        <f>2/2</f>
        <v>1</v>
      </c>
      <c r="AC3072" s="402">
        <v>5</v>
      </c>
      <c r="AD3072" s="399">
        <v>0.7</v>
      </c>
      <c r="AE3072" s="402">
        <v>260</v>
      </c>
      <c r="AF3072" s="391"/>
      <c r="AG3072" s="394"/>
      <c r="AH3072" s="394"/>
      <c r="AI3072" s="394"/>
      <c r="AJ3072" s="394"/>
      <c r="AK3072" s="394"/>
      <c r="AL3072" s="394"/>
      <c r="AM3072" s="394"/>
      <c r="AN3072" s="394"/>
      <c r="AO3072" s="394"/>
      <c r="AP3072" s="394"/>
      <c r="AQ3072" s="394"/>
      <c r="AR3072" s="394"/>
      <c r="AS3072" s="402"/>
      <c r="AT3072" s="404"/>
      <c r="AU3072" s="394"/>
      <c r="AV3072" s="394"/>
      <c r="AW3072" s="394"/>
      <c r="AX3072" s="5"/>
      <c r="AY3072" s="5"/>
      <c r="AZ3072" s="5"/>
      <c r="BA3072" s="5"/>
      <c r="BB3072" s="5"/>
      <c r="BC3072" s="5"/>
      <c r="BD3072" s="5"/>
      <c r="BE3072" s="5"/>
      <c r="BF3072" s="5"/>
      <c r="BG3072" s="5"/>
      <c r="BH3072" s="5"/>
      <c r="BI3072" s="5"/>
      <c r="BJ3072" s="5"/>
      <c r="BK3072" s="5"/>
      <c r="BL3072" s="5"/>
      <c r="BM3072" s="5"/>
      <c r="BN3072" s="5"/>
      <c r="BO3072" s="5"/>
      <c r="BP3072" s="5"/>
      <c r="BQ3072" s="5"/>
      <c r="BR3072" s="5"/>
      <c r="BS3072" s="5"/>
      <c r="BT3072" s="5"/>
      <c r="BU3072" s="5"/>
      <c r="BV3072" s="5"/>
      <c r="BW3072" s="5"/>
      <c r="BX3072" s="5"/>
      <c r="BY3072" s="5"/>
      <c r="BZ3072" s="5"/>
      <c r="CA3072" s="5"/>
    </row>
    <row r="3073" spans="1:79" s="400" customFormat="1" ht="15" customHeight="1">
      <c r="A3073" s="41" t="s">
        <v>183</v>
      </c>
      <c r="B3073" s="402" t="s">
        <v>5735</v>
      </c>
      <c r="C3073" s="113" t="s">
        <v>5736</v>
      </c>
      <c r="D3073" s="393" t="s">
        <v>1484</v>
      </c>
      <c r="E3073" s="394" t="s">
        <v>235</v>
      </c>
      <c r="F3073" s="402"/>
      <c r="G3073" s="405" t="s">
        <v>5737</v>
      </c>
      <c r="H3073" s="404">
        <v>8731</v>
      </c>
      <c r="I3073" s="402" t="s">
        <v>1</v>
      </c>
      <c r="J3073" s="406" t="s">
        <v>5738</v>
      </c>
      <c r="K3073" s="403">
        <v>41030</v>
      </c>
      <c r="L3073" s="398" t="s">
        <v>5380</v>
      </c>
      <c r="M3073" s="402"/>
      <c r="N3073" s="402" t="s">
        <v>2</v>
      </c>
      <c r="O3073" s="404">
        <v>0.84</v>
      </c>
      <c r="P3073" s="402">
        <v>5.04</v>
      </c>
      <c r="Q3073" s="404">
        <v>6.52</v>
      </c>
      <c r="R3073" s="402">
        <v>24</v>
      </c>
      <c r="S3073" s="404">
        <v>14</v>
      </c>
      <c r="T3073" s="402">
        <f>0.05/2</f>
        <v>2.5000000000000001E-2</v>
      </c>
      <c r="U3073" s="395">
        <v>0.44</v>
      </c>
      <c r="V3073" s="402">
        <v>0.39300000000000002</v>
      </c>
      <c r="W3073" s="404">
        <v>1.5699999999999999E-2</v>
      </c>
      <c r="X3073" s="402">
        <v>2.93E-2</v>
      </c>
      <c r="Y3073" s="404">
        <f>0.003/2</f>
        <v>1.5E-3</v>
      </c>
      <c r="Z3073" s="397"/>
      <c r="AA3073" s="399"/>
      <c r="AB3073" s="394"/>
      <c r="AC3073" s="402"/>
      <c r="AD3073" s="399"/>
      <c r="AE3073" s="402"/>
      <c r="AF3073" s="391"/>
      <c r="AG3073" s="394"/>
      <c r="AH3073" s="394"/>
      <c r="AI3073" s="394"/>
      <c r="AJ3073" s="394"/>
      <c r="AK3073" s="394"/>
      <c r="AL3073" s="394"/>
      <c r="AM3073" s="394"/>
      <c r="AN3073" s="394"/>
      <c r="AO3073" s="394"/>
      <c r="AP3073" s="394"/>
      <c r="AQ3073" s="394"/>
      <c r="AR3073" s="394"/>
      <c r="AS3073" s="402"/>
      <c r="AT3073" s="404"/>
      <c r="AU3073" s="394"/>
      <c r="AV3073" s="394"/>
      <c r="AW3073" s="394"/>
      <c r="AX3073" s="5"/>
      <c r="AY3073" s="5"/>
      <c r="AZ3073" s="5"/>
      <c r="BA3073" s="5"/>
      <c r="BB3073" s="5"/>
      <c r="BC3073" s="5"/>
      <c r="BD3073" s="5"/>
      <c r="BE3073" s="5"/>
      <c r="BF3073" s="5"/>
      <c r="BG3073" s="5"/>
      <c r="BH3073" s="5"/>
      <c r="BI3073" s="5"/>
      <c r="BJ3073" s="5"/>
      <c r="BK3073" s="5"/>
      <c r="BL3073" s="5"/>
      <c r="BM3073" s="5"/>
      <c r="BN3073" s="5"/>
      <c r="BO3073" s="5"/>
      <c r="BP3073" s="5"/>
      <c r="BQ3073" s="5"/>
      <c r="BR3073" s="5"/>
      <c r="BS3073" s="5"/>
      <c r="BT3073" s="5"/>
      <c r="BU3073" s="5"/>
      <c r="BV3073" s="5"/>
      <c r="BW3073" s="5"/>
      <c r="BX3073" s="5"/>
      <c r="BY3073" s="5"/>
      <c r="BZ3073" s="5"/>
      <c r="CA3073" s="5"/>
    </row>
    <row r="3074" spans="1:79" s="400" customFormat="1" ht="15" customHeight="1">
      <c r="A3074" s="41" t="s">
        <v>183</v>
      </c>
      <c r="B3074" s="402" t="s">
        <v>5735</v>
      </c>
      <c r="C3074" s="113" t="s">
        <v>5736</v>
      </c>
      <c r="D3074" s="393" t="s">
        <v>1484</v>
      </c>
      <c r="E3074" s="394" t="s">
        <v>235</v>
      </c>
      <c r="F3074" s="402"/>
      <c r="G3074" s="405" t="s">
        <v>5737</v>
      </c>
      <c r="H3074" s="404">
        <v>8731</v>
      </c>
      <c r="I3074" s="402" t="s">
        <v>1</v>
      </c>
      <c r="J3074" s="406" t="s">
        <v>569</v>
      </c>
      <c r="K3074" s="403">
        <v>41030</v>
      </c>
      <c r="L3074" s="398" t="s">
        <v>5380</v>
      </c>
      <c r="M3074" s="402"/>
      <c r="N3074" s="402" t="s">
        <v>2</v>
      </c>
      <c r="O3074" s="404">
        <f>0.5/2</f>
        <v>0.25</v>
      </c>
      <c r="P3074" s="402">
        <v>5.04</v>
      </c>
      <c r="Q3074" s="404">
        <v>6.93</v>
      </c>
      <c r="R3074" s="402">
        <v>26</v>
      </c>
      <c r="S3074" s="404">
        <v>18</v>
      </c>
      <c r="T3074" s="402">
        <f>0.05/2</f>
        <v>2.5000000000000001E-2</v>
      </c>
      <c r="U3074" s="395">
        <v>0.42</v>
      </c>
      <c r="V3074" s="402">
        <v>0.21199999999999999</v>
      </c>
      <c r="W3074" s="404">
        <v>1.7500000000000002E-2</v>
      </c>
      <c r="X3074" s="402">
        <v>6.1699999999999998E-2</v>
      </c>
      <c r="Y3074" s="404">
        <v>2.58E-2</v>
      </c>
      <c r="Z3074" s="397"/>
      <c r="AA3074" s="399"/>
      <c r="AB3074" s="394"/>
      <c r="AC3074" s="402"/>
      <c r="AD3074" s="399"/>
      <c r="AE3074" s="402"/>
      <c r="AF3074" s="391"/>
      <c r="AG3074" s="394"/>
      <c r="AH3074" s="394"/>
      <c r="AI3074" s="394"/>
      <c r="AJ3074" s="394"/>
      <c r="AK3074" s="394"/>
      <c r="AL3074" s="394"/>
      <c r="AM3074" s="394"/>
      <c r="AN3074" s="394"/>
      <c r="AO3074" s="394"/>
      <c r="AP3074" s="394"/>
      <c r="AQ3074" s="394"/>
      <c r="AR3074" s="394"/>
      <c r="AS3074" s="402"/>
      <c r="AT3074" s="404"/>
      <c r="AU3074" s="394"/>
      <c r="AV3074" s="394"/>
      <c r="AW3074" s="394"/>
      <c r="AX3074" s="5"/>
      <c r="AY3074" s="5"/>
      <c r="AZ3074" s="5"/>
      <c r="BA3074" s="5"/>
      <c r="BB3074" s="5"/>
      <c r="BC3074" s="5"/>
      <c r="BD3074" s="5"/>
      <c r="BE3074" s="5"/>
      <c r="BF3074" s="5"/>
      <c r="BG3074" s="5"/>
      <c r="BH3074" s="5"/>
      <c r="BI3074" s="5"/>
      <c r="BJ3074" s="5"/>
      <c r="BK3074" s="5"/>
      <c r="BL3074" s="5"/>
      <c r="BM3074" s="5"/>
      <c r="BN3074" s="5"/>
      <c r="BO3074" s="5"/>
      <c r="BP3074" s="5"/>
      <c r="BQ3074" s="5"/>
      <c r="BR3074" s="5"/>
      <c r="BS3074" s="5"/>
      <c r="BT3074" s="5"/>
      <c r="BU3074" s="5"/>
      <c r="BV3074" s="5"/>
      <c r="BW3074" s="5"/>
      <c r="BX3074" s="5"/>
      <c r="BY3074" s="5"/>
      <c r="BZ3074" s="5"/>
      <c r="CA3074" s="5"/>
    </row>
    <row r="3075" spans="1:79" s="400" customFormat="1" ht="15" customHeight="1">
      <c r="A3075" s="41" t="s">
        <v>183</v>
      </c>
      <c r="B3075" s="402" t="s">
        <v>5735</v>
      </c>
      <c r="C3075" s="113" t="s">
        <v>5736</v>
      </c>
      <c r="D3075" s="393" t="s">
        <v>1484</v>
      </c>
      <c r="E3075" s="394" t="s">
        <v>235</v>
      </c>
      <c r="F3075" s="402"/>
      <c r="G3075" s="405" t="s">
        <v>5737</v>
      </c>
      <c r="H3075" s="404">
        <v>8731</v>
      </c>
      <c r="I3075" s="402" t="s">
        <v>1</v>
      </c>
      <c r="J3075" s="406" t="s">
        <v>5739</v>
      </c>
      <c r="K3075" s="403">
        <v>41030</v>
      </c>
      <c r="L3075" s="398" t="s">
        <v>5380</v>
      </c>
      <c r="M3075" s="402"/>
      <c r="N3075" s="402" t="s">
        <v>2</v>
      </c>
      <c r="O3075" s="404">
        <v>0.84</v>
      </c>
      <c r="P3075" s="402">
        <v>5.04</v>
      </c>
      <c r="Q3075" s="404">
        <v>6.38</v>
      </c>
      <c r="R3075" s="402">
        <v>16</v>
      </c>
      <c r="S3075" s="404">
        <v>6</v>
      </c>
      <c r="T3075" s="402">
        <f>0.05/2</f>
        <v>2.5000000000000001E-2</v>
      </c>
      <c r="U3075" s="395">
        <v>0.6</v>
      </c>
      <c r="V3075" s="402">
        <v>0.70399999999999996</v>
      </c>
      <c r="W3075" s="404">
        <v>6.3899999999999998E-3</v>
      </c>
      <c r="X3075" s="402">
        <v>0.13100000000000001</v>
      </c>
      <c r="Y3075" s="404">
        <v>3.0599999999999998E-3</v>
      </c>
      <c r="Z3075" s="397"/>
      <c r="AA3075" s="399"/>
      <c r="AB3075" s="394"/>
      <c r="AC3075" s="402"/>
      <c r="AD3075" s="399"/>
      <c r="AE3075" s="402"/>
      <c r="AF3075" s="391"/>
      <c r="AG3075" s="394"/>
      <c r="AH3075" s="394"/>
      <c r="AI3075" s="394"/>
      <c r="AJ3075" s="394"/>
      <c r="AK3075" s="394"/>
      <c r="AL3075" s="394"/>
      <c r="AM3075" s="394"/>
      <c r="AN3075" s="394"/>
      <c r="AO3075" s="394"/>
      <c r="AP3075" s="394"/>
      <c r="AQ3075" s="394"/>
      <c r="AR3075" s="394"/>
      <c r="AS3075" s="402"/>
      <c r="AT3075" s="404"/>
      <c r="AU3075" s="394"/>
      <c r="AV3075" s="394"/>
      <c r="AW3075" s="394"/>
      <c r="AX3075" s="5"/>
      <c r="AY3075" s="5"/>
      <c r="AZ3075" s="5"/>
      <c r="BA3075" s="5"/>
      <c r="BB3075" s="5"/>
      <c r="BC3075" s="5"/>
      <c r="BD3075" s="5"/>
      <c r="BE3075" s="5"/>
      <c r="BF3075" s="5"/>
      <c r="BG3075" s="5"/>
      <c r="BH3075" s="5"/>
      <c r="BI3075" s="5"/>
      <c r="BJ3075" s="5"/>
      <c r="BK3075" s="5"/>
      <c r="BL3075" s="5"/>
      <c r="BM3075" s="5"/>
      <c r="BN3075" s="5"/>
      <c r="BO3075" s="5"/>
      <c r="BP3075" s="5"/>
      <c r="BQ3075" s="5"/>
      <c r="BR3075" s="5"/>
      <c r="BS3075" s="5"/>
      <c r="BT3075" s="5"/>
      <c r="BU3075" s="5"/>
      <c r="BV3075" s="5"/>
      <c r="BW3075" s="5"/>
      <c r="BX3075" s="5"/>
      <c r="BY3075" s="5"/>
      <c r="BZ3075" s="5"/>
      <c r="CA3075" s="5"/>
    </row>
    <row r="3076" spans="1:79" s="400" customFormat="1" ht="15" customHeight="1">
      <c r="A3076" s="41" t="s">
        <v>183</v>
      </c>
      <c r="B3076" s="402" t="s">
        <v>3225</v>
      </c>
      <c r="C3076" s="113" t="s">
        <v>3226</v>
      </c>
      <c r="D3076" s="393" t="s">
        <v>818</v>
      </c>
      <c r="E3076" s="394" t="s">
        <v>5732</v>
      </c>
      <c r="F3076" s="402"/>
      <c r="G3076" s="405" t="s">
        <v>3227</v>
      </c>
      <c r="H3076" s="404" t="s">
        <v>5733</v>
      </c>
      <c r="I3076" s="402" t="s">
        <v>2</v>
      </c>
      <c r="J3076" s="401" t="s">
        <v>3144</v>
      </c>
      <c r="K3076" s="403">
        <v>41030</v>
      </c>
      <c r="L3076" s="398">
        <v>41022</v>
      </c>
      <c r="M3076" s="402">
        <f t="shared" ref="M3076:M3098" si="178">K3076-L3076</f>
        <v>8</v>
      </c>
      <c r="N3076" s="402" t="s">
        <v>2</v>
      </c>
      <c r="O3076" s="404">
        <f>5/2</f>
        <v>2.5</v>
      </c>
      <c r="P3076" s="402">
        <v>6</v>
      </c>
      <c r="Q3076" s="404">
        <v>9.01</v>
      </c>
      <c r="R3076" s="402">
        <v>43</v>
      </c>
      <c r="S3076" s="404">
        <v>16</v>
      </c>
      <c r="T3076" s="402">
        <f>0.1/2</f>
        <v>0.05</v>
      </c>
      <c r="U3076" s="395">
        <f>1/2</f>
        <v>0.5</v>
      </c>
      <c r="V3076" s="402">
        <v>0.22</v>
      </c>
      <c r="W3076" s="404">
        <f>0.04/2</f>
        <v>0.02</v>
      </c>
      <c r="X3076" s="402">
        <f>0.02/2</f>
        <v>0.01</v>
      </c>
      <c r="Y3076" s="404">
        <f>0.013/2</f>
        <v>6.4999999999999997E-3</v>
      </c>
      <c r="Z3076" s="397"/>
      <c r="AA3076" s="399"/>
      <c r="AB3076" s="394"/>
      <c r="AC3076" s="402"/>
      <c r="AD3076" s="399"/>
      <c r="AE3076" s="402"/>
      <c r="AF3076" s="391"/>
      <c r="AG3076" s="394"/>
      <c r="AH3076" s="394"/>
      <c r="AI3076" s="394"/>
      <c r="AJ3076" s="394"/>
      <c r="AK3076" s="394"/>
      <c r="AL3076" s="394"/>
      <c r="AM3076" s="394"/>
      <c r="AN3076" s="394"/>
      <c r="AO3076" s="394"/>
      <c r="AP3076" s="394"/>
      <c r="AQ3076" s="394"/>
      <c r="AR3076" s="394"/>
      <c r="AS3076" s="402"/>
      <c r="AT3076" s="404"/>
      <c r="AU3076" s="394"/>
      <c r="AV3076" s="394"/>
      <c r="AW3076" s="394"/>
      <c r="AX3076" s="5"/>
      <c r="AY3076" s="5"/>
      <c r="AZ3076" s="5"/>
      <c r="BA3076" s="5"/>
      <c r="BB3076" s="5"/>
      <c r="BC3076" s="5"/>
      <c r="BD3076" s="5"/>
      <c r="BE3076" s="5"/>
      <c r="BF3076" s="5"/>
      <c r="BG3076" s="5"/>
      <c r="BH3076" s="5"/>
      <c r="BI3076" s="5"/>
      <c r="BJ3076" s="5"/>
      <c r="BK3076" s="5"/>
      <c r="BL3076" s="5"/>
      <c r="BM3076" s="5"/>
      <c r="BN3076" s="5"/>
      <c r="BO3076" s="5"/>
      <c r="BP3076" s="5"/>
      <c r="BQ3076" s="5"/>
      <c r="BR3076" s="5"/>
      <c r="BS3076" s="5"/>
      <c r="BT3076" s="5"/>
      <c r="BU3076" s="5"/>
      <c r="BV3076" s="5"/>
      <c r="BW3076" s="5"/>
      <c r="BX3076" s="5"/>
      <c r="BY3076" s="5"/>
      <c r="BZ3076" s="5"/>
      <c r="CA3076" s="5"/>
    </row>
    <row r="3077" spans="1:79" s="400" customFormat="1" ht="15" customHeight="1">
      <c r="A3077" s="41" t="s">
        <v>183</v>
      </c>
      <c r="B3077" s="402" t="s">
        <v>3225</v>
      </c>
      <c r="C3077" s="113" t="s">
        <v>3226</v>
      </c>
      <c r="D3077" s="393" t="s">
        <v>818</v>
      </c>
      <c r="E3077" s="394" t="s">
        <v>5732</v>
      </c>
      <c r="F3077" s="402"/>
      <c r="G3077" s="405" t="s">
        <v>3227</v>
      </c>
      <c r="H3077" s="404" t="s">
        <v>5733</v>
      </c>
      <c r="I3077" s="402" t="s">
        <v>2</v>
      </c>
      <c r="J3077" s="401" t="s">
        <v>3228</v>
      </c>
      <c r="K3077" s="403">
        <v>41030</v>
      </c>
      <c r="L3077" s="398">
        <v>41022</v>
      </c>
      <c r="M3077" s="402">
        <f t="shared" si="178"/>
        <v>8</v>
      </c>
      <c r="N3077" s="402" t="s">
        <v>2</v>
      </c>
      <c r="O3077" s="404">
        <f>5/2</f>
        <v>2.5</v>
      </c>
      <c r="P3077" s="402">
        <v>6</v>
      </c>
      <c r="Q3077" s="404">
        <v>6.25</v>
      </c>
      <c r="R3077" s="402">
        <v>68</v>
      </c>
      <c r="S3077" s="404">
        <v>84</v>
      </c>
      <c r="T3077" s="402">
        <f>0.1/2</f>
        <v>0.05</v>
      </c>
      <c r="U3077" s="395">
        <f>1/2</f>
        <v>0.5</v>
      </c>
      <c r="V3077" s="402">
        <v>0.19</v>
      </c>
      <c r="W3077" s="404">
        <v>7.9000000000000001E-2</v>
      </c>
      <c r="X3077" s="402">
        <v>0.25</v>
      </c>
      <c r="Y3077" s="404">
        <f>0.013/2</f>
        <v>6.4999999999999997E-3</v>
      </c>
      <c r="Z3077" s="397"/>
      <c r="AA3077" s="399"/>
      <c r="AB3077" s="394"/>
      <c r="AC3077" s="402"/>
      <c r="AD3077" s="399"/>
      <c r="AE3077" s="402"/>
      <c r="AF3077" s="391"/>
      <c r="AG3077" s="394"/>
      <c r="AH3077" s="394"/>
      <c r="AI3077" s="394"/>
      <c r="AJ3077" s="394"/>
      <c r="AK3077" s="394"/>
      <c r="AL3077" s="394"/>
      <c r="AM3077" s="394"/>
      <c r="AN3077" s="394"/>
      <c r="AO3077" s="394"/>
      <c r="AP3077" s="394"/>
      <c r="AQ3077" s="394"/>
      <c r="AR3077" s="394"/>
      <c r="AS3077" s="402"/>
      <c r="AT3077" s="404"/>
      <c r="AU3077" s="394"/>
      <c r="AV3077" s="394"/>
      <c r="AW3077" s="394"/>
      <c r="AX3077" s="5"/>
      <c r="AY3077" s="5"/>
      <c r="AZ3077" s="5"/>
      <c r="BA3077" s="5"/>
      <c r="BB3077" s="5"/>
      <c r="BC3077" s="5"/>
      <c r="BD3077" s="5"/>
      <c r="BE3077" s="5"/>
      <c r="BF3077" s="5"/>
      <c r="BG3077" s="5"/>
      <c r="BH3077" s="5"/>
      <c r="BI3077" s="5"/>
      <c r="BJ3077" s="5"/>
      <c r="BK3077" s="5"/>
      <c r="BL3077" s="5"/>
      <c r="BM3077" s="5"/>
      <c r="BN3077" s="5"/>
      <c r="BO3077" s="5"/>
      <c r="BP3077" s="5"/>
      <c r="BQ3077" s="5"/>
      <c r="BR3077" s="5"/>
      <c r="BS3077" s="5"/>
      <c r="BT3077" s="5"/>
      <c r="BU3077" s="5"/>
      <c r="BV3077" s="5"/>
      <c r="BW3077" s="5"/>
      <c r="BX3077" s="5"/>
      <c r="BY3077" s="5"/>
      <c r="BZ3077" s="5"/>
      <c r="CA3077" s="5"/>
    </row>
    <row r="3078" spans="1:79" s="400" customFormat="1" ht="15" customHeight="1">
      <c r="A3078" s="41" t="s">
        <v>183</v>
      </c>
      <c r="B3078" s="402" t="s">
        <v>1828</v>
      </c>
      <c r="C3078" s="113" t="s">
        <v>1829</v>
      </c>
      <c r="D3078" s="393" t="s">
        <v>1830</v>
      </c>
      <c r="E3078" s="394" t="s">
        <v>1831</v>
      </c>
      <c r="F3078" s="402"/>
      <c r="G3078" s="405" t="s">
        <v>1799</v>
      </c>
      <c r="H3078" s="404">
        <v>3471</v>
      </c>
      <c r="I3078" s="402" t="s">
        <v>1</v>
      </c>
      <c r="J3078" s="406" t="s">
        <v>425</v>
      </c>
      <c r="K3078" s="403">
        <v>41030</v>
      </c>
      <c r="L3078" s="398">
        <v>41021</v>
      </c>
      <c r="M3078" s="402">
        <f t="shared" si="178"/>
        <v>9</v>
      </c>
      <c r="N3078" s="402" t="s">
        <v>2</v>
      </c>
      <c r="O3078" s="404">
        <f>5/2</f>
        <v>2.5</v>
      </c>
      <c r="P3078" s="402">
        <v>4.17</v>
      </c>
      <c r="Q3078" s="404">
        <v>5.38</v>
      </c>
      <c r="R3078" s="402">
        <v>20</v>
      </c>
      <c r="S3078" s="404">
        <f>5/2</f>
        <v>2.5</v>
      </c>
      <c r="T3078" s="402">
        <f>0.1/2</f>
        <v>0.05</v>
      </c>
      <c r="U3078" s="395">
        <v>1.3</v>
      </c>
      <c r="V3078" s="402">
        <v>0.51</v>
      </c>
      <c r="W3078" s="404">
        <f>0.04/2</f>
        <v>0.02</v>
      </c>
      <c r="X3078" s="402">
        <v>0.17</v>
      </c>
      <c r="Y3078" s="404">
        <f>0.013/2</f>
        <v>6.4999999999999997E-3</v>
      </c>
      <c r="Z3078" s="397">
        <v>1</v>
      </c>
      <c r="AA3078" s="399">
        <v>0.70699999999999996</v>
      </c>
      <c r="AB3078" s="394">
        <v>3.1</v>
      </c>
      <c r="AC3078" s="402">
        <v>36</v>
      </c>
      <c r="AD3078" s="399">
        <v>0</v>
      </c>
      <c r="AE3078" s="402">
        <v>488.4</v>
      </c>
      <c r="AF3078" s="391"/>
      <c r="AG3078" s="394"/>
      <c r="AH3078" s="394"/>
      <c r="AI3078" s="394"/>
      <c r="AJ3078" s="394"/>
      <c r="AK3078" s="394"/>
      <c r="AL3078" s="394"/>
      <c r="AM3078" s="394"/>
      <c r="AN3078" s="394"/>
      <c r="AO3078" s="394"/>
      <c r="AP3078" s="394"/>
      <c r="AQ3078" s="394"/>
      <c r="AR3078" s="394"/>
      <c r="AS3078" s="402"/>
      <c r="AT3078" s="404"/>
      <c r="AU3078" s="394"/>
      <c r="AV3078" s="394"/>
      <c r="AW3078" s="394"/>
      <c r="AX3078" s="5"/>
      <c r="AY3078" s="5"/>
      <c r="AZ3078" s="5"/>
      <c r="BA3078" s="5"/>
      <c r="BB3078" s="5"/>
      <c r="BC3078" s="5"/>
      <c r="BD3078" s="5"/>
      <c r="BE3078" s="5"/>
      <c r="BF3078" s="5"/>
      <c r="BG3078" s="5"/>
      <c r="BH3078" s="5"/>
      <c r="BI3078" s="5"/>
      <c r="BJ3078" s="5"/>
      <c r="BK3078" s="5"/>
      <c r="BL3078" s="5"/>
      <c r="BM3078" s="5"/>
      <c r="BN3078" s="5"/>
      <c r="BO3078" s="5"/>
      <c r="BP3078" s="5"/>
      <c r="BQ3078" s="5"/>
      <c r="BR3078" s="5"/>
      <c r="BS3078" s="5"/>
      <c r="BT3078" s="5"/>
      <c r="BU3078" s="5"/>
      <c r="BV3078" s="5"/>
      <c r="BW3078" s="5"/>
      <c r="BX3078" s="5"/>
      <c r="BY3078" s="5"/>
      <c r="BZ3078" s="5">
        <f>0.025/2</f>
        <v>1.2500000000000001E-2</v>
      </c>
      <c r="CA3078" s="5"/>
    </row>
    <row r="3079" spans="1:79" s="400" customFormat="1" ht="15" customHeight="1">
      <c r="A3079" s="41" t="s">
        <v>183</v>
      </c>
      <c r="B3079" s="385" t="s">
        <v>4376</v>
      </c>
      <c r="C3079" s="18" t="s">
        <v>4376</v>
      </c>
      <c r="D3079" s="377" t="s">
        <v>156</v>
      </c>
      <c r="E3079" s="394"/>
      <c r="F3079" s="402"/>
      <c r="G3079" s="405" t="s">
        <v>4377</v>
      </c>
      <c r="H3079" s="404"/>
      <c r="I3079" s="402" t="s">
        <v>2</v>
      </c>
      <c r="J3079" s="344" t="s">
        <v>4378</v>
      </c>
      <c r="K3079" s="403">
        <v>41030</v>
      </c>
      <c r="L3079" s="398">
        <v>41022</v>
      </c>
      <c r="M3079" s="402">
        <f t="shared" si="178"/>
        <v>8</v>
      </c>
      <c r="N3079" s="402" t="s">
        <v>2</v>
      </c>
      <c r="O3079" s="404">
        <v>32.1</v>
      </c>
      <c r="P3079" s="402">
        <v>5.3</v>
      </c>
      <c r="Q3079" s="404">
        <v>6.5</v>
      </c>
      <c r="R3079" s="402">
        <v>210</v>
      </c>
      <c r="S3079" s="404">
        <f>25/2</f>
        <v>12.5</v>
      </c>
      <c r="T3079" s="402">
        <v>2.94</v>
      </c>
      <c r="U3079" s="395">
        <v>1.9</v>
      </c>
      <c r="V3079" s="402">
        <f>0.05/2</f>
        <v>2.5000000000000001E-2</v>
      </c>
      <c r="W3079" s="404">
        <f>0.02/2</f>
        <v>0.01</v>
      </c>
      <c r="X3079" s="402">
        <v>0.28000000000000003</v>
      </c>
      <c r="Y3079" s="404">
        <v>3.0000000000000001E-3</v>
      </c>
      <c r="Z3079" s="397">
        <v>1</v>
      </c>
      <c r="AA3079" s="399">
        <v>1</v>
      </c>
      <c r="AB3079" s="394">
        <v>6</v>
      </c>
      <c r="AC3079" s="402">
        <v>93</v>
      </c>
      <c r="AD3079" s="399">
        <v>0.85</v>
      </c>
      <c r="AE3079" s="402"/>
      <c r="AF3079" s="391"/>
      <c r="AG3079" s="394"/>
      <c r="AH3079" s="394"/>
      <c r="AI3079" s="394"/>
      <c r="AJ3079" s="394"/>
      <c r="AK3079" s="394"/>
      <c r="AL3079" s="394"/>
      <c r="AM3079" s="394"/>
      <c r="AN3079" s="394"/>
      <c r="AO3079" s="394"/>
      <c r="AP3079" s="394"/>
      <c r="AQ3079" s="394"/>
      <c r="AR3079" s="394"/>
      <c r="AS3079" s="402"/>
      <c r="AT3079" s="404"/>
      <c r="AU3079" s="394"/>
      <c r="AV3079" s="394"/>
      <c r="AW3079" s="394"/>
      <c r="AX3079" s="5"/>
      <c r="AY3079" s="5"/>
      <c r="AZ3079" s="5"/>
      <c r="BA3079" s="5"/>
      <c r="BB3079" s="5"/>
      <c r="BC3079" s="5"/>
      <c r="BD3079" s="5"/>
      <c r="BE3079" s="5"/>
      <c r="BF3079" s="5"/>
      <c r="BG3079" s="5"/>
      <c r="BH3079" s="5"/>
      <c r="BI3079" s="5"/>
      <c r="BJ3079" s="5"/>
      <c r="BK3079" s="5"/>
      <c r="BL3079" s="5"/>
      <c r="BM3079" s="5"/>
      <c r="BN3079" s="5"/>
      <c r="BO3079" s="5"/>
      <c r="BP3079" s="5"/>
      <c r="BQ3079" s="5"/>
      <c r="BR3079" s="5"/>
      <c r="BS3079" s="5"/>
      <c r="BT3079" s="5"/>
      <c r="BU3079" s="5"/>
      <c r="BV3079" s="5"/>
      <c r="BW3079" s="5"/>
      <c r="BX3079" s="5"/>
      <c r="BY3079" s="5"/>
      <c r="BZ3079" s="5"/>
      <c r="CA3079" s="5"/>
    </row>
    <row r="3080" spans="1:79" s="400" customFormat="1" ht="15" customHeight="1">
      <c r="A3080" s="41" t="s">
        <v>183</v>
      </c>
      <c r="B3080" s="402" t="s">
        <v>2125</v>
      </c>
      <c r="C3080" s="113" t="s">
        <v>5743</v>
      </c>
      <c r="D3080" s="393" t="s">
        <v>1881</v>
      </c>
      <c r="E3080" s="394" t="s">
        <v>512</v>
      </c>
      <c r="F3080" s="402"/>
      <c r="G3080" s="405" t="s">
        <v>3613</v>
      </c>
      <c r="H3080" s="404">
        <v>3724</v>
      </c>
      <c r="I3080" s="402" t="s">
        <v>2</v>
      </c>
      <c r="J3080" s="406" t="s">
        <v>2135</v>
      </c>
      <c r="K3080" s="403">
        <v>41037</v>
      </c>
      <c r="L3080" s="398">
        <v>41032</v>
      </c>
      <c r="M3080" s="402">
        <f t="shared" si="178"/>
        <v>5</v>
      </c>
      <c r="N3080" s="402" t="s">
        <v>2</v>
      </c>
      <c r="O3080" s="404">
        <f>1.7/2</f>
        <v>0.85</v>
      </c>
      <c r="P3080" s="402">
        <v>4.96</v>
      </c>
      <c r="Q3080" s="404">
        <v>6.87</v>
      </c>
      <c r="R3080" s="402">
        <v>46</v>
      </c>
      <c r="S3080" s="404">
        <v>5.6</v>
      </c>
      <c r="T3080" s="402">
        <v>0.3</v>
      </c>
      <c r="U3080" s="395">
        <v>1.4</v>
      </c>
      <c r="V3080" s="402">
        <v>0.52</v>
      </c>
      <c r="W3080" s="404">
        <v>1.0999999999999999E-2</v>
      </c>
      <c r="X3080" s="402">
        <v>2.5999999999999999E-2</v>
      </c>
      <c r="Y3080" s="404">
        <f>0.005/2</f>
        <v>2.5000000000000001E-3</v>
      </c>
      <c r="Z3080" s="397"/>
      <c r="AA3080" s="399"/>
      <c r="AB3080" s="394"/>
      <c r="AC3080" s="402"/>
      <c r="AD3080" s="399"/>
      <c r="AE3080" s="402"/>
      <c r="AF3080" s="391"/>
      <c r="AG3080" s="394"/>
      <c r="AH3080" s="394"/>
      <c r="AI3080" s="394"/>
      <c r="AJ3080" s="394"/>
      <c r="AK3080" s="394"/>
      <c r="AL3080" s="394"/>
      <c r="AM3080" s="394"/>
      <c r="AN3080" s="394"/>
      <c r="AO3080" s="394"/>
      <c r="AP3080" s="394"/>
      <c r="AQ3080" s="394"/>
      <c r="AR3080" s="394"/>
      <c r="AS3080" s="402"/>
      <c r="AT3080" s="404"/>
      <c r="AU3080" s="394"/>
      <c r="AV3080" s="394"/>
      <c r="AW3080" s="394"/>
      <c r="AX3080" s="5"/>
      <c r="AY3080" s="5"/>
      <c r="AZ3080" s="5"/>
      <c r="BA3080" s="5"/>
      <c r="BB3080" s="5"/>
      <c r="BC3080" s="5"/>
      <c r="BD3080" s="5"/>
      <c r="BE3080" s="5"/>
      <c r="BF3080" s="5"/>
      <c r="BG3080" s="5"/>
      <c r="BH3080" s="5"/>
      <c r="BI3080" s="5"/>
      <c r="BJ3080" s="5"/>
      <c r="BK3080" s="5"/>
      <c r="BL3080" s="5"/>
      <c r="BM3080" s="5"/>
      <c r="BN3080" s="5"/>
      <c r="BO3080" s="5"/>
      <c r="BP3080" s="5"/>
      <c r="BQ3080" s="5"/>
      <c r="BR3080" s="5"/>
      <c r="BS3080" s="5"/>
      <c r="BT3080" s="5"/>
      <c r="BU3080" s="5"/>
      <c r="BV3080" s="5"/>
      <c r="BW3080" s="5"/>
      <c r="BX3080" s="5"/>
      <c r="BY3080" s="5"/>
      <c r="BZ3080" s="5"/>
      <c r="CA3080" s="5"/>
    </row>
    <row r="3081" spans="1:79" s="400" customFormat="1" ht="15" customHeight="1">
      <c r="A3081" s="41" t="s">
        <v>183</v>
      </c>
      <c r="B3081" s="402" t="s">
        <v>2125</v>
      </c>
      <c r="C3081" s="113" t="s">
        <v>5743</v>
      </c>
      <c r="D3081" s="393" t="s">
        <v>1881</v>
      </c>
      <c r="E3081" s="394" t="s">
        <v>2127</v>
      </c>
      <c r="F3081" s="402"/>
      <c r="G3081" s="405" t="s">
        <v>3612</v>
      </c>
      <c r="H3081" s="404">
        <v>3724</v>
      </c>
      <c r="I3081" s="402" t="s">
        <v>2</v>
      </c>
      <c r="J3081" s="406" t="s">
        <v>2128</v>
      </c>
      <c r="K3081" s="403">
        <v>41037</v>
      </c>
      <c r="L3081" s="398">
        <v>41032</v>
      </c>
      <c r="M3081" s="402">
        <f t="shared" si="178"/>
        <v>5</v>
      </c>
      <c r="N3081" s="402" t="s">
        <v>2</v>
      </c>
      <c r="O3081" s="404">
        <f>1.8/2</f>
        <v>0.9</v>
      </c>
      <c r="P3081" s="402">
        <v>4.96</v>
      </c>
      <c r="Q3081" s="404">
        <v>6.21</v>
      </c>
      <c r="R3081" s="402">
        <v>110</v>
      </c>
      <c r="S3081" s="404">
        <v>27.3</v>
      </c>
      <c r="T3081" s="402">
        <v>9.6000000000000002E-2</v>
      </c>
      <c r="U3081" s="395">
        <v>1.8</v>
      </c>
      <c r="V3081" s="402">
        <v>1.03</v>
      </c>
      <c r="W3081" s="404">
        <v>8.9999999999999993E-3</v>
      </c>
      <c r="X3081" s="402">
        <v>6.5000000000000002E-2</v>
      </c>
      <c r="Y3081" s="404">
        <f>0.005/2</f>
        <v>2.5000000000000001E-3</v>
      </c>
      <c r="Z3081" s="397">
        <v>1</v>
      </c>
      <c r="AA3081" s="399">
        <v>1</v>
      </c>
      <c r="AB3081" s="394">
        <v>10</v>
      </c>
      <c r="AC3081" s="402">
        <v>51</v>
      </c>
      <c r="AD3081" s="399">
        <v>1</v>
      </c>
      <c r="AE3081" s="402"/>
      <c r="AF3081" s="391"/>
      <c r="AG3081" s="394"/>
      <c r="AH3081" s="394"/>
      <c r="AI3081" s="394"/>
      <c r="AJ3081" s="394"/>
      <c r="AK3081" s="394"/>
      <c r="AL3081" s="394"/>
      <c r="AM3081" s="394"/>
      <c r="AN3081" s="394"/>
      <c r="AO3081" s="394"/>
      <c r="AP3081" s="394"/>
      <c r="AQ3081" s="394"/>
      <c r="AR3081" s="394"/>
      <c r="AS3081" s="402"/>
      <c r="AT3081" s="404"/>
      <c r="AU3081" s="394"/>
      <c r="AV3081" s="394"/>
      <c r="AW3081" s="394"/>
      <c r="AX3081" s="5"/>
      <c r="AY3081" s="5"/>
      <c r="AZ3081" s="5"/>
      <c r="BA3081" s="5"/>
      <c r="BB3081" s="5"/>
      <c r="BC3081" s="5"/>
      <c r="BD3081" s="5"/>
      <c r="BE3081" s="5"/>
      <c r="BF3081" s="5"/>
      <c r="BG3081" s="5"/>
      <c r="BH3081" s="5"/>
      <c r="BI3081" s="5"/>
      <c r="BJ3081" s="5"/>
      <c r="BK3081" s="5"/>
      <c r="BL3081" s="5"/>
      <c r="BM3081" s="5"/>
      <c r="BN3081" s="5"/>
      <c r="BO3081" s="5"/>
      <c r="BP3081" s="5"/>
      <c r="BQ3081" s="5"/>
      <c r="BR3081" s="5"/>
      <c r="BS3081" s="5"/>
      <c r="BT3081" s="5"/>
      <c r="BU3081" s="5"/>
      <c r="BV3081" s="5"/>
      <c r="BW3081" s="5"/>
      <c r="BX3081" s="5"/>
      <c r="BY3081" s="5"/>
      <c r="BZ3081" s="5"/>
      <c r="CA3081" s="5"/>
    </row>
    <row r="3082" spans="1:79" s="400" customFormat="1" ht="15" customHeight="1">
      <c r="A3082" s="41" t="s">
        <v>183</v>
      </c>
      <c r="B3082" s="402" t="s">
        <v>2125</v>
      </c>
      <c r="C3082" s="113" t="s">
        <v>5743</v>
      </c>
      <c r="D3082" s="393" t="s">
        <v>1881</v>
      </c>
      <c r="E3082" s="394" t="s">
        <v>2127</v>
      </c>
      <c r="F3082" s="402"/>
      <c r="G3082" s="405" t="s">
        <v>3612</v>
      </c>
      <c r="H3082" s="404">
        <v>3724</v>
      </c>
      <c r="I3082" s="402" t="s">
        <v>2</v>
      </c>
      <c r="J3082" s="406" t="s">
        <v>2129</v>
      </c>
      <c r="K3082" s="403">
        <v>41037</v>
      </c>
      <c r="L3082" s="398">
        <v>41032</v>
      </c>
      <c r="M3082" s="402">
        <f t="shared" si="178"/>
        <v>5</v>
      </c>
      <c r="N3082" s="402" t="s">
        <v>2</v>
      </c>
      <c r="O3082" s="404">
        <f>1.7/2</f>
        <v>0.85</v>
      </c>
      <c r="P3082" s="402">
        <v>4.96</v>
      </c>
      <c r="Q3082" s="404">
        <v>8.6999999999999993</v>
      </c>
      <c r="R3082" s="402">
        <v>140</v>
      </c>
      <c r="S3082" s="404">
        <v>18.7</v>
      </c>
      <c r="T3082" s="402">
        <v>7.2999999999999995E-2</v>
      </c>
      <c r="U3082" s="395">
        <v>1.4</v>
      </c>
      <c r="V3082" s="402">
        <v>1.93</v>
      </c>
      <c r="W3082" s="404">
        <v>3.1E-2</v>
      </c>
      <c r="X3082" s="402">
        <v>5.0999999999999997E-2</v>
      </c>
      <c r="Y3082" s="404">
        <f>0.005/2</f>
        <v>2.5000000000000001E-3</v>
      </c>
      <c r="Z3082" s="397">
        <v>1</v>
      </c>
      <c r="AA3082" s="399">
        <v>1</v>
      </c>
      <c r="AB3082" s="394">
        <v>30</v>
      </c>
      <c r="AC3082" s="402">
        <v>148</v>
      </c>
      <c r="AD3082" s="399">
        <v>1</v>
      </c>
      <c r="AE3082" s="402"/>
      <c r="AF3082" s="391"/>
      <c r="AG3082" s="394"/>
      <c r="AH3082" s="394"/>
      <c r="AI3082" s="394"/>
      <c r="AJ3082" s="394"/>
      <c r="AK3082" s="394"/>
      <c r="AL3082" s="394"/>
      <c r="AM3082" s="394"/>
      <c r="AN3082" s="394"/>
      <c r="AO3082" s="394"/>
      <c r="AP3082" s="394"/>
      <c r="AQ3082" s="394"/>
      <c r="AR3082" s="394"/>
      <c r="AS3082" s="402"/>
      <c r="AT3082" s="404"/>
      <c r="AU3082" s="394"/>
      <c r="AV3082" s="394"/>
      <c r="AW3082" s="394"/>
      <c r="AX3082" s="5"/>
      <c r="AY3082" s="5"/>
      <c r="AZ3082" s="5"/>
      <c r="BA3082" s="5"/>
      <c r="BB3082" s="5"/>
      <c r="BC3082" s="5"/>
      <c r="BD3082" s="5"/>
      <c r="BE3082" s="5"/>
      <c r="BF3082" s="5"/>
      <c r="BG3082" s="5"/>
      <c r="BH3082" s="5"/>
      <c r="BI3082" s="5"/>
      <c r="BJ3082" s="5"/>
      <c r="BK3082" s="5"/>
      <c r="BL3082" s="5"/>
      <c r="BM3082" s="5"/>
      <c r="BN3082" s="5"/>
      <c r="BO3082" s="5"/>
      <c r="BP3082" s="5"/>
      <c r="BQ3082" s="5"/>
      <c r="BR3082" s="5"/>
      <c r="BS3082" s="5"/>
      <c r="BT3082" s="5"/>
      <c r="BU3082" s="5"/>
      <c r="BV3082" s="5"/>
      <c r="BW3082" s="5"/>
      <c r="BX3082" s="5"/>
      <c r="BY3082" s="5"/>
      <c r="BZ3082" s="5"/>
      <c r="CA3082" s="5"/>
    </row>
    <row r="3083" spans="1:79" s="400" customFormat="1" ht="15" customHeight="1">
      <c r="A3083" s="41" t="s">
        <v>183</v>
      </c>
      <c r="B3083" s="402" t="s">
        <v>2125</v>
      </c>
      <c r="C3083" s="113" t="s">
        <v>5743</v>
      </c>
      <c r="D3083" s="393" t="s">
        <v>1881</v>
      </c>
      <c r="E3083" s="394" t="s">
        <v>512</v>
      </c>
      <c r="F3083" s="402"/>
      <c r="G3083" s="405" t="s">
        <v>3612</v>
      </c>
      <c r="H3083" s="404">
        <v>3724</v>
      </c>
      <c r="I3083" s="402"/>
      <c r="J3083" s="406" t="s">
        <v>2130</v>
      </c>
      <c r="K3083" s="403">
        <v>41037</v>
      </c>
      <c r="L3083" s="398">
        <v>41032</v>
      </c>
      <c r="M3083" s="402">
        <f t="shared" si="178"/>
        <v>5</v>
      </c>
      <c r="N3083" s="402" t="s">
        <v>2</v>
      </c>
      <c r="O3083" s="404">
        <f>1.7/2</f>
        <v>0.85</v>
      </c>
      <c r="P3083" s="402">
        <v>4.96</v>
      </c>
      <c r="Q3083" s="404">
        <v>6.67</v>
      </c>
      <c r="R3083" s="402">
        <v>32</v>
      </c>
      <c r="S3083" s="404">
        <v>12</v>
      </c>
      <c r="T3083" s="402">
        <v>4.2000000000000003E-2</v>
      </c>
      <c r="U3083" s="395">
        <f>1/2</f>
        <v>0.5</v>
      </c>
      <c r="V3083" s="402">
        <v>0.84</v>
      </c>
      <c r="W3083" s="404">
        <v>5.0000000000000001E-3</v>
      </c>
      <c r="X3083" s="402">
        <v>0.03</v>
      </c>
      <c r="Y3083" s="404">
        <f>0.005/2</f>
        <v>2.5000000000000001E-3</v>
      </c>
      <c r="Z3083" s="397">
        <v>1</v>
      </c>
      <c r="AA3083" s="399">
        <v>1</v>
      </c>
      <c r="AB3083" s="394">
        <v>4</v>
      </c>
      <c r="AC3083" s="402">
        <v>32</v>
      </c>
      <c r="AD3083" s="399">
        <v>1</v>
      </c>
      <c r="AE3083" s="402"/>
      <c r="AF3083" s="391"/>
      <c r="AG3083" s="394"/>
      <c r="AH3083" s="394"/>
      <c r="AI3083" s="394"/>
      <c r="AJ3083" s="394"/>
      <c r="AK3083" s="394"/>
      <c r="AL3083" s="394"/>
      <c r="AM3083" s="394"/>
      <c r="AN3083" s="394"/>
      <c r="AO3083" s="394"/>
      <c r="AP3083" s="394"/>
      <c r="AQ3083" s="394"/>
      <c r="AR3083" s="394"/>
      <c r="AS3083" s="402"/>
      <c r="AT3083" s="404"/>
      <c r="AU3083" s="394"/>
      <c r="AV3083" s="394"/>
      <c r="AW3083" s="394"/>
      <c r="AX3083" s="5"/>
      <c r="AY3083" s="5"/>
      <c r="AZ3083" s="5"/>
      <c r="BA3083" s="5"/>
      <c r="BB3083" s="5"/>
      <c r="BC3083" s="5"/>
      <c r="BD3083" s="5"/>
      <c r="BE3083" s="5"/>
      <c r="BF3083" s="5"/>
      <c r="BG3083" s="5"/>
      <c r="BH3083" s="5"/>
      <c r="BI3083" s="5"/>
      <c r="BJ3083" s="5"/>
      <c r="BK3083" s="5"/>
      <c r="BL3083" s="5"/>
      <c r="BM3083" s="5"/>
      <c r="BN3083" s="5"/>
      <c r="BO3083" s="5"/>
      <c r="BP3083" s="5"/>
      <c r="BQ3083" s="5"/>
      <c r="BR3083" s="5"/>
      <c r="BS3083" s="5"/>
      <c r="BT3083" s="5"/>
      <c r="BU3083" s="5"/>
      <c r="BV3083" s="5"/>
      <c r="BW3083" s="5"/>
      <c r="BX3083" s="5"/>
      <c r="BY3083" s="5"/>
      <c r="BZ3083" s="5"/>
      <c r="CA3083" s="5"/>
    </row>
    <row r="3084" spans="1:79" s="400" customFormat="1" ht="15" customHeight="1">
      <c r="A3084" s="41" t="s">
        <v>183</v>
      </c>
      <c r="B3084" s="402" t="s">
        <v>2125</v>
      </c>
      <c r="C3084" s="113" t="s">
        <v>5743</v>
      </c>
      <c r="D3084" s="393" t="s">
        <v>1881</v>
      </c>
      <c r="E3084" s="394" t="s">
        <v>512</v>
      </c>
      <c r="F3084" s="402"/>
      <c r="G3084" s="405" t="s">
        <v>3612</v>
      </c>
      <c r="H3084" s="404">
        <v>3724</v>
      </c>
      <c r="I3084" s="402"/>
      <c r="J3084" s="406" t="s">
        <v>2131</v>
      </c>
      <c r="K3084" s="403">
        <v>41037</v>
      </c>
      <c r="L3084" s="398">
        <v>41032</v>
      </c>
      <c r="M3084" s="402">
        <f t="shared" si="178"/>
        <v>5</v>
      </c>
      <c r="N3084" s="402" t="s">
        <v>2</v>
      </c>
      <c r="O3084" s="404">
        <f>1.9/2</f>
        <v>0.95</v>
      </c>
      <c r="P3084" s="402">
        <v>4.96</v>
      </c>
      <c r="Q3084" s="404">
        <v>6.09</v>
      </c>
      <c r="R3084" s="402">
        <v>59</v>
      </c>
      <c r="S3084" s="404">
        <v>63</v>
      </c>
      <c r="T3084" s="402">
        <v>0.14799999999999999</v>
      </c>
      <c r="U3084" s="395">
        <v>1.9</v>
      </c>
      <c r="V3084" s="402">
        <v>0.89</v>
      </c>
      <c r="W3084" s="404">
        <v>1.0999999999999999E-2</v>
      </c>
      <c r="X3084" s="402">
        <v>5.2999999999999999E-2</v>
      </c>
      <c r="Y3084" s="404">
        <v>3.04E-2</v>
      </c>
      <c r="Z3084" s="397">
        <v>1</v>
      </c>
      <c r="AA3084" s="399">
        <v>1</v>
      </c>
      <c r="AB3084" s="394">
        <v>2</v>
      </c>
      <c r="AC3084" s="402">
        <v>62</v>
      </c>
      <c r="AD3084" s="399">
        <v>1</v>
      </c>
      <c r="AE3084" s="402"/>
      <c r="AF3084" s="391"/>
      <c r="AG3084" s="394"/>
      <c r="AH3084" s="394"/>
      <c r="AI3084" s="394"/>
      <c r="AJ3084" s="394"/>
      <c r="AK3084" s="394"/>
      <c r="AL3084" s="394"/>
      <c r="AM3084" s="394"/>
      <c r="AN3084" s="394"/>
      <c r="AO3084" s="394"/>
      <c r="AP3084" s="394"/>
      <c r="AQ3084" s="394"/>
      <c r="AR3084" s="394"/>
      <c r="AS3084" s="402"/>
      <c r="AT3084" s="404"/>
      <c r="AU3084" s="394"/>
      <c r="AV3084" s="394"/>
      <c r="AW3084" s="394"/>
      <c r="AX3084" s="5"/>
      <c r="AY3084" s="5"/>
      <c r="AZ3084" s="5"/>
      <c r="BA3084" s="5"/>
      <c r="BB3084" s="5"/>
      <c r="BC3084" s="5"/>
      <c r="BD3084" s="5"/>
      <c r="BE3084" s="5"/>
      <c r="BF3084" s="5"/>
      <c r="BG3084" s="5"/>
      <c r="BH3084" s="5"/>
      <c r="BI3084" s="5"/>
      <c r="BJ3084" s="5"/>
      <c r="BK3084" s="5"/>
      <c r="BL3084" s="5"/>
      <c r="BM3084" s="5"/>
      <c r="BN3084" s="5"/>
      <c r="BO3084" s="5"/>
      <c r="BP3084" s="5"/>
      <c r="BQ3084" s="5"/>
      <c r="BR3084" s="5"/>
      <c r="BS3084" s="5"/>
      <c r="BT3084" s="5"/>
      <c r="BU3084" s="5"/>
      <c r="BV3084" s="5"/>
      <c r="BW3084" s="5"/>
      <c r="BX3084" s="5"/>
      <c r="BY3084" s="5"/>
      <c r="BZ3084" s="5"/>
      <c r="CA3084" s="5"/>
    </row>
    <row r="3085" spans="1:79" s="400" customFormat="1" ht="15" customHeight="1">
      <c r="A3085" s="41" t="s">
        <v>183</v>
      </c>
      <c r="B3085" s="402" t="s">
        <v>2125</v>
      </c>
      <c r="C3085" s="113" t="s">
        <v>5743</v>
      </c>
      <c r="D3085" s="393" t="s">
        <v>1881</v>
      </c>
      <c r="E3085" s="394" t="s">
        <v>512</v>
      </c>
      <c r="F3085" s="402"/>
      <c r="G3085" s="405" t="s">
        <v>3612</v>
      </c>
      <c r="H3085" s="404">
        <v>3724</v>
      </c>
      <c r="I3085" s="402"/>
      <c r="J3085" s="406" t="s">
        <v>2133</v>
      </c>
      <c r="K3085" s="403">
        <v>41037</v>
      </c>
      <c r="L3085" s="398">
        <v>41032</v>
      </c>
      <c r="M3085" s="402">
        <f t="shared" si="178"/>
        <v>5</v>
      </c>
      <c r="N3085" s="402" t="s">
        <v>2</v>
      </c>
      <c r="O3085" s="404">
        <f>1.8/2</f>
        <v>0.9</v>
      </c>
      <c r="P3085" s="402">
        <v>4.96</v>
      </c>
      <c r="Q3085" s="404">
        <v>5.93</v>
      </c>
      <c r="R3085" s="402">
        <v>41</v>
      </c>
      <c r="S3085" s="404">
        <v>42.7</v>
      </c>
      <c r="T3085" s="402">
        <v>0.14499999999999999</v>
      </c>
      <c r="U3085" s="395">
        <v>1.4</v>
      </c>
      <c r="V3085" s="402">
        <v>0.56999999999999995</v>
      </c>
      <c r="W3085" s="404">
        <f>0.005/2</f>
        <v>2.5000000000000001E-3</v>
      </c>
      <c r="X3085" s="402">
        <v>3.4000000000000002E-2</v>
      </c>
      <c r="Y3085" s="404">
        <f>0.005/2</f>
        <v>2.5000000000000001E-3</v>
      </c>
      <c r="Z3085" s="397">
        <v>1</v>
      </c>
      <c r="AA3085" s="399">
        <v>1</v>
      </c>
      <c r="AB3085" s="394">
        <v>6</v>
      </c>
      <c r="AC3085" s="402">
        <v>224</v>
      </c>
      <c r="AD3085" s="399">
        <v>1</v>
      </c>
      <c r="AE3085" s="402"/>
      <c r="AF3085" s="391"/>
      <c r="AG3085" s="394"/>
      <c r="AH3085" s="394"/>
      <c r="AI3085" s="394"/>
      <c r="AJ3085" s="394"/>
      <c r="AK3085" s="394"/>
      <c r="AL3085" s="394"/>
      <c r="AM3085" s="394"/>
      <c r="AN3085" s="394"/>
      <c r="AO3085" s="394"/>
      <c r="AP3085" s="394"/>
      <c r="AQ3085" s="394"/>
      <c r="AR3085" s="394"/>
      <c r="AS3085" s="402"/>
      <c r="AT3085" s="404"/>
      <c r="AU3085" s="394"/>
      <c r="AV3085" s="394"/>
      <c r="AW3085" s="394"/>
      <c r="AX3085" s="5"/>
      <c r="AY3085" s="5"/>
      <c r="AZ3085" s="5"/>
      <c r="BA3085" s="5"/>
      <c r="BB3085" s="5"/>
      <c r="BC3085" s="5"/>
      <c r="BD3085" s="5"/>
      <c r="BE3085" s="5"/>
      <c r="BF3085" s="5"/>
      <c r="BG3085" s="5"/>
      <c r="BH3085" s="5"/>
      <c r="BI3085" s="5"/>
      <c r="BJ3085" s="5"/>
      <c r="BK3085" s="5"/>
      <c r="BL3085" s="5"/>
      <c r="BM3085" s="5"/>
      <c r="BN3085" s="5"/>
      <c r="BO3085" s="5"/>
      <c r="BP3085" s="5"/>
      <c r="BQ3085" s="5"/>
      <c r="BR3085" s="5"/>
      <c r="BS3085" s="5"/>
      <c r="BT3085" s="5"/>
      <c r="BU3085" s="5"/>
      <c r="BV3085" s="5"/>
      <c r="BW3085" s="5"/>
      <c r="BX3085" s="5"/>
      <c r="BY3085" s="5"/>
      <c r="BZ3085" s="5"/>
      <c r="CA3085" s="5"/>
    </row>
    <row r="3086" spans="1:79" s="400" customFormat="1" ht="15" customHeight="1">
      <c r="A3086" s="41" t="s">
        <v>183</v>
      </c>
      <c r="B3086" s="402" t="s">
        <v>4868</v>
      </c>
      <c r="C3086" s="113" t="s">
        <v>4869</v>
      </c>
      <c r="D3086" s="393" t="s">
        <v>333</v>
      </c>
      <c r="E3086" s="394" t="s">
        <v>2163</v>
      </c>
      <c r="F3086" s="402"/>
      <c r="G3086" s="405" t="s">
        <v>3621</v>
      </c>
      <c r="H3086" s="404">
        <v>4226</v>
      </c>
      <c r="I3086" s="402" t="s">
        <v>2</v>
      </c>
      <c r="J3086" s="401" t="s">
        <v>2164</v>
      </c>
      <c r="K3086" s="403">
        <v>41038</v>
      </c>
      <c r="L3086" s="398">
        <v>41030</v>
      </c>
      <c r="M3086" s="402">
        <f t="shared" si="178"/>
        <v>8</v>
      </c>
      <c r="N3086" s="402" t="s">
        <v>2</v>
      </c>
      <c r="O3086" s="404">
        <f>5/2</f>
        <v>2.5</v>
      </c>
      <c r="P3086" s="402">
        <v>6.9</v>
      </c>
      <c r="Q3086" s="404">
        <v>6.4</v>
      </c>
      <c r="R3086" s="402">
        <v>9</v>
      </c>
      <c r="S3086" s="404">
        <v>19</v>
      </c>
      <c r="T3086" s="402">
        <f>0.1/2</f>
        <v>0.05</v>
      </c>
      <c r="U3086" s="395">
        <f>1/2</f>
        <v>0.5</v>
      </c>
      <c r="V3086" s="402">
        <f>-0.1/2</f>
        <v>-0.05</v>
      </c>
      <c r="W3086" s="404">
        <f>0.04/2</f>
        <v>0.02</v>
      </c>
      <c r="X3086" s="402">
        <f>0.02/2</f>
        <v>0.01</v>
      </c>
      <c r="Y3086" s="404">
        <v>1.7999999999999999E-2</v>
      </c>
      <c r="Z3086" s="397"/>
      <c r="AA3086" s="399"/>
      <c r="AB3086" s="394"/>
      <c r="AC3086" s="402"/>
      <c r="AD3086" s="399"/>
      <c r="AE3086" s="402"/>
      <c r="AF3086" s="391"/>
      <c r="AG3086" s="394"/>
      <c r="AH3086" s="394"/>
      <c r="AI3086" s="394"/>
      <c r="AJ3086" s="394"/>
      <c r="AK3086" s="394"/>
      <c r="AL3086" s="394"/>
      <c r="AM3086" s="394"/>
      <c r="AN3086" s="394"/>
      <c r="AO3086" s="394"/>
      <c r="AP3086" s="394"/>
      <c r="AQ3086" s="394"/>
      <c r="AR3086" s="394"/>
      <c r="AS3086" s="402"/>
      <c r="AT3086" s="404"/>
      <c r="AU3086" s="394"/>
      <c r="AV3086" s="394"/>
      <c r="AW3086" s="394"/>
      <c r="AX3086" s="5"/>
      <c r="AY3086" s="5"/>
      <c r="AZ3086" s="5"/>
      <c r="BA3086" s="5"/>
      <c r="BB3086" s="5"/>
      <c r="BC3086" s="5"/>
      <c r="BD3086" s="5"/>
      <c r="BE3086" s="5"/>
      <c r="BF3086" s="5"/>
      <c r="BG3086" s="5"/>
      <c r="BH3086" s="5"/>
      <c r="BI3086" s="5"/>
      <c r="BJ3086" s="5"/>
      <c r="BK3086" s="5"/>
      <c r="BL3086" s="5"/>
      <c r="BM3086" s="5"/>
      <c r="BN3086" s="5"/>
      <c r="BO3086" s="5"/>
      <c r="BP3086" s="5"/>
      <c r="BQ3086" s="5"/>
      <c r="BR3086" s="5"/>
      <c r="BS3086" s="5"/>
      <c r="BT3086" s="5"/>
      <c r="BU3086" s="5"/>
      <c r="BV3086" s="5"/>
      <c r="BW3086" s="5"/>
      <c r="BX3086" s="5"/>
      <c r="BY3086" s="5"/>
      <c r="BZ3086" s="5"/>
      <c r="CA3086" s="5"/>
    </row>
    <row r="3087" spans="1:79" s="400" customFormat="1" ht="15" customHeight="1">
      <c r="A3087" s="41" t="s">
        <v>183</v>
      </c>
      <c r="B3087" s="402" t="s">
        <v>4868</v>
      </c>
      <c r="C3087" s="113" t="s">
        <v>4869</v>
      </c>
      <c r="D3087" s="393" t="s">
        <v>333</v>
      </c>
      <c r="E3087" s="394" t="s">
        <v>2163</v>
      </c>
      <c r="F3087" s="402"/>
      <c r="G3087" s="405" t="s">
        <v>3621</v>
      </c>
      <c r="H3087" s="404">
        <v>4226</v>
      </c>
      <c r="I3087" s="402" t="s">
        <v>2</v>
      </c>
      <c r="J3087" s="401" t="s">
        <v>2165</v>
      </c>
      <c r="K3087" s="403">
        <v>41038</v>
      </c>
      <c r="L3087" s="398">
        <v>41030</v>
      </c>
      <c r="M3087" s="402">
        <f t="shared" si="178"/>
        <v>8</v>
      </c>
      <c r="N3087" s="402" t="s">
        <v>2</v>
      </c>
      <c r="O3087" s="404">
        <f>5/2</f>
        <v>2.5</v>
      </c>
      <c r="P3087" s="402">
        <v>6.9</v>
      </c>
      <c r="Q3087" s="404">
        <v>6.2</v>
      </c>
      <c r="R3087" s="402">
        <v>45</v>
      </c>
      <c r="S3087" s="404">
        <v>210</v>
      </c>
      <c r="T3087" s="402">
        <f>0.1/2</f>
        <v>0.05</v>
      </c>
      <c r="U3087" s="395">
        <f>1/2</f>
        <v>0.5</v>
      </c>
      <c r="V3087" s="402">
        <v>0.73</v>
      </c>
      <c r="W3087" s="404">
        <f>0.04/2</f>
        <v>0.02</v>
      </c>
      <c r="X3087" s="402">
        <v>4.9000000000000002E-2</v>
      </c>
      <c r="Y3087" s="404">
        <v>2.8000000000000001E-2</v>
      </c>
      <c r="Z3087" s="397"/>
      <c r="AA3087" s="399"/>
      <c r="AB3087" s="394"/>
      <c r="AC3087" s="402"/>
      <c r="AD3087" s="399"/>
      <c r="AE3087" s="402"/>
      <c r="AF3087" s="391"/>
      <c r="AG3087" s="394"/>
      <c r="AH3087" s="394"/>
      <c r="AI3087" s="394"/>
      <c r="AJ3087" s="394"/>
      <c r="AK3087" s="394"/>
      <c r="AL3087" s="394"/>
      <c r="AM3087" s="394"/>
      <c r="AN3087" s="394"/>
      <c r="AO3087" s="394"/>
      <c r="AP3087" s="394"/>
      <c r="AQ3087" s="394"/>
      <c r="AR3087" s="394"/>
      <c r="AS3087" s="402"/>
      <c r="AT3087" s="404"/>
      <c r="AU3087" s="394"/>
      <c r="AV3087" s="394"/>
      <c r="AW3087" s="394"/>
      <c r="AX3087" s="5"/>
      <c r="AY3087" s="5"/>
      <c r="AZ3087" s="5"/>
      <c r="BA3087" s="5"/>
      <c r="BB3087" s="5"/>
      <c r="BC3087" s="5"/>
      <c r="BD3087" s="5"/>
      <c r="BE3087" s="5"/>
      <c r="BF3087" s="5"/>
      <c r="BG3087" s="5"/>
      <c r="BH3087" s="5"/>
      <c r="BI3087" s="5"/>
      <c r="BJ3087" s="5"/>
      <c r="BK3087" s="5"/>
      <c r="BL3087" s="5"/>
      <c r="BM3087" s="5"/>
      <c r="BN3087" s="5"/>
      <c r="BO3087" s="5"/>
      <c r="BP3087" s="5"/>
      <c r="BQ3087" s="5"/>
      <c r="BR3087" s="5"/>
      <c r="BS3087" s="5"/>
      <c r="BT3087" s="5"/>
      <c r="BU3087" s="5"/>
      <c r="BV3087" s="5"/>
      <c r="BW3087" s="5"/>
      <c r="BX3087" s="5"/>
      <c r="BY3087" s="5"/>
      <c r="BZ3087" s="5"/>
      <c r="CA3087" s="5"/>
    </row>
    <row r="3088" spans="1:79" s="400" customFormat="1" ht="15" customHeight="1">
      <c r="A3088" s="41" t="s">
        <v>183</v>
      </c>
      <c r="B3088" s="402" t="s">
        <v>4868</v>
      </c>
      <c r="C3088" s="113" t="s">
        <v>4869</v>
      </c>
      <c r="D3088" s="393" t="s">
        <v>333</v>
      </c>
      <c r="E3088" s="394" t="s">
        <v>2163</v>
      </c>
      <c r="F3088" s="402"/>
      <c r="G3088" s="405" t="s">
        <v>3621</v>
      </c>
      <c r="H3088" s="404">
        <v>4226</v>
      </c>
      <c r="I3088" s="402" t="s">
        <v>2</v>
      </c>
      <c r="J3088" s="401" t="s">
        <v>2166</v>
      </c>
      <c r="K3088" s="403">
        <v>41038</v>
      </c>
      <c r="L3088" s="398">
        <v>41030</v>
      </c>
      <c r="M3088" s="402">
        <f t="shared" si="178"/>
        <v>8</v>
      </c>
      <c r="N3088" s="402" t="s">
        <v>2</v>
      </c>
      <c r="O3088" s="404">
        <f>5/2</f>
        <v>2.5</v>
      </c>
      <c r="P3088" s="402">
        <v>6.9</v>
      </c>
      <c r="Q3088" s="404">
        <v>6.1</v>
      </c>
      <c r="R3088" s="402">
        <v>51</v>
      </c>
      <c r="S3088" s="404">
        <v>120</v>
      </c>
      <c r="T3088" s="402">
        <v>0.18</v>
      </c>
      <c r="U3088" s="395">
        <v>1.2</v>
      </c>
      <c r="V3088" s="402">
        <v>0.18</v>
      </c>
      <c r="W3088" s="404">
        <f>0.04/2</f>
        <v>0.02</v>
      </c>
      <c r="X3088" s="402">
        <v>2.4E-2</v>
      </c>
      <c r="Y3088" s="404">
        <v>4.4999999999999998E-2</v>
      </c>
      <c r="Z3088" s="397"/>
      <c r="AA3088" s="399"/>
      <c r="AB3088" s="394"/>
      <c r="AC3088" s="402"/>
      <c r="AD3088" s="399"/>
      <c r="AE3088" s="402"/>
      <c r="AF3088" s="391"/>
      <c r="AG3088" s="394"/>
      <c r="AH3088" s="394"/>
      <c r="AI3088" s="394"/>
      <c r="AJ3088" s="394"/>
      <c r="AK3088" s="394"/>
      <c r="AL3088" s="394"/>
      <c r="AM3088" s="394"/>
      <c r="AN3088" s="394"/>
      <c r="AO3088" s="394"/>
      <c r="AP3088" s="394"/>
      <c r="AQ3088" s="394"/>
      <c r="AR3088" s="394"/>
      <c r="AS3088" s="402"/>
      <c r="AT3088" s="404"/>
      <c r="AU3088" s="394"/>
      <c r="AV3088" s="394"/>
      <c r="AW3088" s="394"/>
      <c r="AX3088" s="5"/>
      <c r="AY3088" s="5"/>
      <c r="AZ3088" s="5"/>
      <c r="BA3088" s="5"/>
      <c r="BB3088" s="5"/>
      <c r="BC3088" s="5"/>
      <c r="BD3088" s="5"/>
      <c r="BE3088" s="5"/>
      <c r="BF3088" s="5"/>
      <c r="BG3088" s="5"/>
      <c r="BH3088" s="5"/>
      <c r="BI3088" s="5"/>
      <c r="BJ3088" s="5"/>
      <c r="BK3088" s="5"/>
      <c r="BL3088" s="5"/>
      <c r="BM3088" s="5"/>
      <c r="BN3088" s="5"/>
      <c r="BO3088" s="5"/>
      <c r="BP3088" s="5"/>
      <c r="BQ3088" s="5"/>
      <c r="BR3088" s="5"/>
      <c r="BS3088" s="5"/>
      <c r="BT3088" s="5"/>
      <c r="BU3088" s="5"/>
      <c r="BV3088" s="5"/>
      <c r="BW3088" s="5"/>
      <c r="BX3088" s="5"/>
      <c r="BY3088" s="5"/>
      <c r="BZ3088" s="5"/>
      <c r="CA3088" s="5"/>
    </row>
    <row r="3089" spans="1:79" s="400" customFormat="1" ht="15" customHeight="1">
      <c r="A3089" s="41" t="s">
        <v>183</v>
      </c>
      <c r="B3089" s="402" t="s">
        <v>4868</v>
      </c>
      <c r="C3089" s="113" t="s">
        <v>4869</v>
      </c>
      <c r="D3089" s="393" t="s">
        <v>333</v>
      </c>
      <c r="E3089" s="394" t="s">
        <v>2163</v>
      </c>
      <c r="F3089" s="402"/>
      <c r="G3089" s="405" t="s">
        <v>3621</v>
      </c>
      <c r="H3089" s="404">
        <v>4226</v>
      </c>
      <c r="I3089" s="402" t="s">
        <v>2</v>
      </c>
      <c r="J3089" s="401" t="s">
        <v>2167</v>
      </c>
      <c r="K3089" s="403">
        <v>41038</v>
      </c>
      <c r="L3089" s="398">
        <v>41030</v>
      </c>
      <c r="M3089" s="402">
        <f t="shared" si="178"/>
        <v>8</v>
      </c>
      <c r="N3089" s="402" t="s">
        <v>2</v>
      </c>
      <c r="O3089" s="404">
        <f>5/2</f>
        <v>2.5</v>
      </c>
      <c r="P3089" s="402">
        <v>6.9</v>
      </c>
      <c r="Q3089" s="404">
        <v>4.5</v>
      </c>
      <c r="R3089" s="402">
        <v>31</v>
      </c>
      <c r="S3089" s="404">
        <v>80</v>
      </c>
      <c r="T3089" s="402">
        <f>0.1/2</f>
        <v>0.05</v>
      </c>
      <c r="U3089" s="395">
        <v>2.2999999999999998</v>
      </c>
      <c r="V3089" s="402">
        <v>0.85</v>
      </c>
      <c r="W3089" s="404">
        <f>0.04/2</f>
        <v>0.02</v>
      </c>
      <c r="X3089" s="402">
        <v>4.8000000000000001E-2</v>
      </c>
      <c r="Y3089" s="404">
        <f>0.013/2</f>
        <v>6.4999999999999997E-3</v>
      </c>
      <c r="Z3089" s="397"/>
      <c r="AA3089" s="399"/>
      <c r="AB3089" s="394"/>
      <c r="AC3089" s="402"/>
      <c r="AD3089" s="399"/>
      <c r="AE3089" s="402"/>
      <c r="AF3089" s="391"/>
      <c r="AG3089" s="394"/>
      <c r="AH3089" s="394"/>
      <c r="AI3089" s="394"/>
      <c r="AJ3089" s="394"/>
      <c r="AK3089" s="394"/>
      <c r="AL3089" s="394"/>
      <c r="AM3089" s="394"/>
      <c r="AN3089" s="394"/>
      <c r="AO3089" s="394"/>
      <c r="AP3089" s="394"/>
      <c r="AQ3089" s="394"/>
      <c r="AR3089" s="394"/>
      <c r="AS3089" s="402"/>
      <c r="AT3089" s="404"/>
      <c r="AU3089" s="394"/>
      <c r="AV3089" s="394"/>
      <c r="AW3089" s="394"/>
      <c r="AX3089" s="5"/>
      <c r="AY3089" s="5"/>
      <c r="AZ3089" s="5"/>
      <c r="BA3089" s="5"/>
      <c r="BB3089" s="5"/>
      <c r="BC3089" s="5"/>
      <c r="BD3089" s="5"/>
      <c r="BE3089" s="5"/>
      <c r="BF3089" s="5"/>
      <c r="BG3089" s="5"/>
      <c r="BH3089" s="5"/>
      <c r="BI3089" s="5"/>
      <c r="BJ3089" s="5"/>
      <c r="BK3089" s="5"/>
      <c r="BL3089" s="5"/>
      <c r="BM3089" s="5"/>
      <c r="BN3089" s="5"/>
      <c r="BO3089" s="5"/>
      <c r="BP3089" s="5"/>
      <c r="BQ3089" s="5"/>
      <c r="BR3089" s="5"/>
      <c r="BS3089" s="5"/>
      <c r="BT3089" s="5"/>
      <c r="BU3089" s="5"/>
      <c r="BV3089" s="5"/>
      <c r="BW3089" s="5"/>
      <c r="BX3089" s="5"/>
      <c r="BY3089" s="5"/>
      <c r="BZ3089" s="5"/>
      <c r="CA3089" s="5"/>
    </row>
    <row r="3090" spans="1:79" s="400" customFormat="1" ht="15" customHeight="1">
      <c r="A3090" s="41" t="s">
        <v>183</v>
      </c>
      <c r="B3090" s="402" t="s">
        <v>4868</v>
      </c>
      <c r="C3090" s="113" t="s">
        <v>4869</v>
      </c>
      <c r="D3090" s="393" t="s">
        <v>333</v>
      </c>
      <c r="E3090" s="394" t="s">
        <v>2163</v>
      </c>
      <c r="F3090" s="402"/>
      <c r="G3090" s="405" t="s">
        <v>3621</v>
      </c>
      <c r="H3090" s="404">
        <v>4226</v>
      </c>
      <c r="I3090" s="402" t="s">
        <v>2</v>
      </c>
      <c r="J3090" s="401" t="s">
        <v>2168</v>
      </c>
      <c r="K3090" s="403">
        <v>41038</v>
      </c>
      <c r="L3090" s="398">
        <v>41030</v>
      </c>
      <c r="M3090" s="402">
        <f t="shared" si="178"/>
        <v>8</v>
      </c>
      <c r="N3090" s="402" t="s">
        <v>2</v>
      </c>
      <c r="O3090" s="404">
        <f>5/2</f>
        <v>2.5</v>
      </c>
      <c r="P3090" s="402">
        <v>6.9</v>
      </c>
      <c r="Q3090" s="404">
        <v>6.7</v>
      </c>
      <c r="R3090" s="402">
        <v>35</v>
      </c>
      <c r="S3090" s="404">
        <v>18</v>
      </c>
      <c r="T3090" s="402">
        <f>0.1/2</f>
        <v>0.05</v>
      </c>
      <c r="U3090" s="395">
        <f>1/2</f>
        <v>0.5</v>
      </c>
      <c r="V3090" s="402">
        <v>0.43</v>
      </c>
      <c r="W3090" s="404">
        <f>0.04/2</f>
        <v>0.02</v>
      </c>
      <c r="X3090" s="402">
        <f>0.02/2</f>
        <v>0.01</v>
      </c>
      <c r="Y3090" s="404">
        <f>0.013/2</f>
        <v>6.4999999999999997E-3</v>
      </c>
      <c r="Z3090" s="397"/>
      <c r="AA3090" s="399"/>
      <c r="AB3090" s="394"/>
      <c r="AC3090" s="402"/>
      <c r="AD3090" s="399"/>
      <c r="AE3090" s="402"/>
      <c r="AF3090" s="391"/>
      <c r="AG3090" s="394"/>
      <c r="AH3090" s="394"/>
      <c r="AI3090" s="394"/>
      <c r="AJ3090" s="394"/>
      <c r="AK3090" s="394"/>
      <c r="AL3090" s="394"/>
      <c r="AM3090" s="394"/>
      <c r="AN3090" s="394"/>
      <c r="AO3090" s="394"/>
      <c r="AP3090" s="394"/>
      <c r="AQ3090" s="394"/>
      <c r="AR3090" s="394"/>
      <c r="AS3090" s="402"/>
      <c r="AT3090" s="404"/>
      <c r="AU3090" s="394"/>
      <c r="AV3090" s="394"/>
      <c r="AW3090" s="394"/>
      <c r="AX3090" s="5"/>
      <c r="AY3090" s="5"/>
      <c r="AZ3090" s="5"/>
      <c r="BA3090" s="5"/>
      <c r="BB3090" s="5"/>
      <c r="BC3090" s="5"/>
      <c r="BD3090" s="5"/>
      <c r="BE3090" s="5"/>
      <c r="BF3090" s="5"/>
      <c r="BG3090" s="5"/>
      <c r="BH3090" s="5"/>
      <c r="BI3090" s="5"/>
      <c r="BJ3090" s="5"/>
      <c r="BK3090" s="5"/>
      <c r="BL3090" s="5"/>
      <c r="BM3090" s="5"/>
      <c r="BN3090" s="5"/>
      <c r="BO3090" s="5"/>
      <c r="BP3090" s="5"/>
      <c r="BQ3090" s="5"/>
      <c r="BR3090" s="5"/>
      <c r="BS3090" s="5"/>
      <c r="BT3090" s="5"/>
      <c r="BU3090" s="5"/>
      <c r="BV3090" s="5"/>
      <c r="BW3090" s="5"/>
      <c r="BX3090" s="5"/>
      <c r="BY3090" s="5"/>
      <c r="BZ3090" s="5"/>
      <c r="CA3090" s="5"/>
    </row>
    <row r="3091" spans="1:79" s="400" customFormat="1" ht="15" customHeight="1">
      <c r="A3091" s="41" t="s">
        <v>183</v>
      </c>
      <c r="B3091" s="402" t="s">
        <v>2531</v>
      </c>
      <c r="C3091" s="113" t="s">
        <v>2531</v>
      </c>
      <c r="D3091" s="393" t="s">
        <v>257</v>
      </c>
      <c r="E3091" s="394" t="s">
        <v>512</v>
      </c>
      <c r="F3091" s="402" t="s">
        <v>5734</v>
      </c>
      <c r="G3091" s="405" t="s">
        <v>2533</v>
      </c>
      <c r="H3091" s="404">
        <v>3365</v>
      </c>
      <c r="I3091" s="402" t="s">
        <v>1</v>
      </c>
      <c r="J3091" s="406" t="s">
        <v>115</v>
      </c>
      <c r="K3091" s="403">
        <v>41072</v>
      </c>
      <c r="L3091" s="398">
        <v>41062</v>
      </c>
      <c r="M3091" s="402">
        <f t="shared" si="178"/>
        <v>10</v>
      </c>
      <c r="N3091" s="402" t="s">
        <v>2</v>
      </c>
      <c r="O3091" s="404">
        <f>1.6/2</f>
        <v>0.8</v>
      </c>
      <c r="P3091" s="402">
        <v>6.5</v>
      </c>
      <c r="Q3091" s="404">
        <v>4.5999999999999996</v>
      </c>
      <c r="R3091" s="402">
        <v>170</v>
      </c>
      <c r="S3091" s="404">
        <v>12.5</v>
      </c>
      <c r="T3091" s="402">
        <v>0.35899999999999999</v>
      </c>
      <c r="U3091" s="395">
        <v>5.8</v>
      </c>
      <c r="V3091" s="402">
        <v>0.91</v>
      </c>
      <c r="W3091" s="404">
        <v>0.21199999999999999</v>
      </c>
      <c r="X3091" s="402">
        <v>0.22700000000000001</v>
      </c>
      <c r="Y3091" s="404">
        <v>6.4999999999999997E-3</v>
      </c>
      <c r="Z3091" s="397">
        <v>0.54800000000000004</v>
      </c>
      <c r="AA3091" s="399">
        <v>7.5999999999999998E-2</v>
      </c>
      <c r="AB3091" s="394">
        <v>12</v>
      </c>
      <c r="AC3091" s="402">
        <v>77</v>
      </c>
      <c r="AD3091" s="399">
        <v>0</v>
      </c>
      <c r="AE3091" s="402">
        <f>50/2</f>
        <v>25</v>
      </c>
      <c r="AF3091" s="391"/>
      <c r="AG3091" s="394"/>
      <c r="AH3091" s="394"/>
      <c r="AI3091" s="394"/>
      <c r="AJ3091" s="394"/>
      <c r="AK3091" s="394"/>
      <c r="AL3091" s="394"/>
      <c r="AM3091" s="394"/>
      <c r="AN3091" s="394"/>
      <c r="AO3091" s="394"/>
      <c r="AP3091" s="394"/>
      <c r="AQ3091" s="394"/>
      <c r="AR3091" s="394"/>
      <c r="AS3091" s="402"/>
      <c r="AT3091" s="404"/>
      <c r="AU3091" s="394"/>
      <c r="AV3091" s="394"/>
      <c r="AW3091" s="394"/>
      <c r="AX3091" s="5"/>
      <c r="AY3091" s="5"/>
      <c r="AZ3091" s="5"/>
      <c r="BA3091" s="5"/>
      <c r="BB3091" s="5"/>
      <c r="BC3091" s="5"/>
      <c r="BD3091" s="5"/>
      <c r="BE3091" s="5"/>
      <c r="BF3091" s="5"/>
      <c r="BG3091" s="5"/>
      <c r="BH3091" s="5"/>
      <c r="BI3091" s="5"/>
      <c r="BJ3091" s="5"/>
      <c r="BK3091" s="5"/>
      <c r="BL3091" s="5"/>
      <c r="BM3091" s="5"/>
      <c r="BN3091" s="5"/>
      <c r="BO3091" s="5"/>
      <c r="BP3091" s="5"/>
      <c r="BQ3091" s="5"/>
      <c r="BR3091" s="5"/>
      <c r="BS3091" s="5"/>
      <c r="BT3091" s="5"/>
      <c r="BU3091" s="5"/>
      <c r="BV3091" s="5"/>
      <c r="BW3091" s="5"/>
      <c r="BX3091" s="5"/>
      <c r="BY3091" s="5"/>
      <c r="BZ3091" s="5"/>
      <c r="CA3091" s="5"/>
    </row>
    <row r="3092" spans="1:79" s="400" customFormat="1" ht="15" customHeight="1">
      <c r="A3092" s="41" t="s">
        <v>183</v>
      </c>
      <c r="B3092" s="402" t="s">
        <v>4868</v>
      </c>
      <c r="C3092" s="113" t="s">
        <v>5745</v>
      </c>
      <c r="D3092" s="393" t="s">
        <v>56</v>
      </c>
      <c r="E3092" s="394" t="s">
        <v>95</v>
      </c>
      <c r="F3092" s="402"/>
      <c r="G3092" s="405" t="s">
        <v>3622</v>
      </c>
      <c r="H3092" s="404">
        <v>4426</v>
      </c>
      <c r="I3092" s="402" t="s">
        <v>1</v>
      </c>
      <c r="J3092" s="406" t="s">
        <v>4872</v>
      </c>
      <c r="K3092" s="403">
        <v>41073</v>
      </c>
      <c r="L3092" s="398">
        <v>41063</v>
      </c>
      <c r="M3092" s="402">
        <f t="shared" si="178"/>
        <v>10</v>
      </c>
      <c r="N3092" s="402" t="s">
        <v>2</v>
      </c>
      <c r="O3092" s="404">
        <f>5/2</f>
        <v>2.5</v>
      </c>
      <c r="P3092" s="402">
        <v>8</v>
      </c>
      <c r="Q3092" s="404">
        <v>7.08</v>
      </c>
      <c r="R3092" s="402">
        <v>20</v>
      </c>
      <c r="S3092" s="404">
        <v>23</v>
      </c>
      <c r="T3092" s="402">
        <f>0.1/2</f>
        <v>0.05</v>
      </c>
      <c r="U3092" s="395">
        <f>1/2</f>
        <v>0.5</v>
      </c>
      <c r="V3092" s="402">
        <v>0.9</v>
      </c>
      <c r="W3092" s="404">
        <f>0.04/2</f>
        <v>0.02</v>
      </c>
      <c r="X3092" s="402">
        <v>7.0999999999999994E-2</v>
      </c>
      <c r="Y3092" s="404">
        <f>0.013/2</f>
        <v>6.4999999999999997E-3</v>
      </c>
      <c r="Z3092" s="397"/>
      <c r="AA3092" s="399"/>
      <c r="AB3092" s="394"/>
      <c r="AC3092" s="402"/>
      <c r="AD3092" s="399"/>
      <c r="AE3092" s="402"/>
      <c r="AF3092" s="391"/>
      <c r="AG3092" s="394"/>
      <c r="AH3092" s="394"/>
      <c r="AI3092" s="394"/>
      <c r="AJ3092" s="394"/>
      <c r="AK3092" s="394"/>
      <c r="AL3092" s="394"/>
      <c r="AM3092" s="394"/>
      <c r="AN3092" s="394"/>
      <c r="AO3092" s="394"/>
      <c r="AP3092" s="394"/>
      <c r="AQ3092" s="394"/>
      <c r="AR3092" s="394"/>
      <c r="AS3092" s="402"/>
      <c r="AT3092" s="404"/>
      <c r="AU3092" s="394"/>
      <c r="AV3092" s="394"/>
      <c r="AW3092" s="394"/>
      <c r="AX3092" s="5"/>
      <c r="AY3092" s="5"/>
      <c r="AZ3092" s="5"/>
      <c r="BA3092" s="5"/>
      <c r="BB3092" s="5"/>
      <c r="BC3092" s="5"/>
      <c r="BD3092" s="5"/>
      <c r="BE3092" s="5"/>
      <c r="BF3092" s="5"/>
      <c r="BG3092" s="5"/>
      <c r="BH3092" s="5"/>
      <c r="BI3092" s="5"/>
      <c r="BJ3092" s="5"/>
      <c r="BK3092" s="5"/>
      <c r="BL3092" s="5"/>
      <c r="BM3092" s="5"/>
      <c r="BN3092" s="5"/>
      <c r="BO3092" s="5"/>
      <c r="BP3092" s="5"/>
      <c r="BQ3092" s="5"/>
      <c r="BR3092" s="5"/>
      <c r="BS3092" s="5"/>
      <c r="BT3092" s="5"/>
      <c r="BU3092" s="5"/>
      <c r="BV3092" s="5"/>
      <c r="BW3092" s="5"/>
      <c r="BX3092" s="5"/>
      <c r="BY3092" s="5"/>
      <c r="BZ3092" s="5"/>
      <c r="CA3092" s="5"/>
    </row>
    <row r="3093" spans="1:79" s="400" customFormat="1" ht="15" customHeight="1">
      <c r="A3093" s="41" t="s">
        <v>183</v>
      </c>
      <c r="B3093" s="402" t="s">
        <v>4722</v>
      </c>
      <c r="C3093" s="113" t="s">
        <v>4722</v>
      </c>
      <c r="D3093" s="393" t="s">
        <v>827</v>
      </c>
      <c r="E3093" s="394" t="s">
        <v>1413</v>
      </c>
      <c r="F3093" s="402"/>
      <c r="G3093" s="405" t="s">
        <v>1414</v>
      </c>
      <c r="H3093" s="404">
        <v>3069</v>
      </c>
      <c r="I3093" s="402" t="s">
        <v>2</v>
      </c>
      <c r="J3093" s="406" t="s">
        <v>4724</v>
      </c>
      <c r="K3093" s="403">
        <v>41170</v>
      </c>
      <c r="L3093" s="398">
        <v>41166</v>
      </c>
      <c r="M3093" s="402">
        <f t="shared" si="178"/>
        <v>4</v>
      </c>
      <c r="N3093" s="402" t="s">
        <v>2</v>
      </c>
      <c r="O3093" s="404">
        <f>1/2</f>
        <v>0.5</v>
      </c>
      <c r="P3093" s="402">
        <v>6</v>
      </c>
      <c r="Q3093" s="404">
        <v>6.9</v>
      </c>
      <c r="R3093" s="402">
        <v>18</v>
      </c>
      <c r="S3093" s="404">
        <v>55</v>
      </c>
      <c r="T3093" s="402">
        <v>0.16</v>
      </c>
      <c r="U3093" s="395">
        <v>1.6</v>
      </c>
      <c r="V3093" s="402">
        <v>1.5</v>
      </c>
      <c r="W3093" s="404">
        <v>3.9E-2</v>
      </c>
      <c r="X3093" s="402">
        <v>0.35</v>
      </c>
      <c r="Y3093" s="404">
        <v>4.8000000000000001E-2</v>
      </c>
      <c r="Z3093" s="397">
        <v>1</v>
      </c>
      <c r="AA3093" s="399">
        <v>0.752</v>
      </c>
      <c r="AB3093" s="394">
        <v>28</v>
      </c>
      <c r="AC3093" s="402">
        <v>178</v>
      </c>
      <c r="AD3093" s="399">
        <v>0.15</v>
      </c>
      <c r="AE3093" s="402"/>
      <c r="AF3093" s="391"/>
      <c r="AG3093" s="394"/>
      <c r="AH3093" s="394"/>
      <c r="AI3093" s="394"/>
      <c r="AJ3093" s="394"/>
      <c r="AK3093" s="394"/>
      <c r="AL3093" s="394"/>
      <c r="AM3093" s="394"/>
      <c r="AN3093" s="394"/>
      <c r="AO3093" s="394"/>
      <c r="AP3093" s="394"/>
      <c r="AQ3093" s="394"/>
      <c r="AR3093" s="394"/>
      <c r="AS3093" s="402"/>
      <c r="AT3093" s="404"/>
      <c r="AU3093" s="394"/>
      <c r="AV3093" s="394"/>
      <c r="AW3093" s="394"/>
      <c r="AX3093" s="5"/>
      <c r="AY3093" s="5"/>
      <c r="AZ3093" s="5"/>
      <c r="BA3093" s="5"/>
      <c r="BB3093" s="5"/>
      <c r="BC3093" s="5"/>
      <c r="BD3093" s="5"/>
      <c r="BE3093" s="5"/>
      <c r="BF3093" s="5"/>
      <c r="BG3093" s="5"/>
      <c r="BH3093" s="5"/>
      <c r="BI3093" s="5"/>
      <c r="BJ3093" s="5"/>
      <c r="BK3093" s="5"/>
      <c r="BL3093" s="5"/>
      <c r="BM3093" s="5"/>
      <c r="BN3093" s="5"/>
      <c r="BO3093" s="5"/>
      <c r="BP3093" s="5"/>
      <c r="BQ3093" s="5"/>
      <c r="BR3093" s="5"/>
      <c r="BS3093" s="5"/>
      <c r="BT3093" s="5"/>
      <c r="BU3093" s="5"/>
      <c r="BV3093" s="5"/>
      <c r="BW3093" s="5"/>
      <c r="BX3093" s="5"/>
      <c r="BY3093" s="5"/>
      <c r="BZ3093" s="5"/>
      <c r="CA3093" s="5"/>
    </row>
    <row r="3094" spans="1:79" s="400" customFormat="1" ht="15" customHeight="1">
      <c r="A3094" s="41" t="s">
        <v>183</v>
      </c>
      <c r="B3094" s="402" t="s">
        <v>4722</v>
      </c>
      <c r="C3094" s="113" t="s">
        <v>4722</v>
      </c>
      <c r="D3094" s="393" t="s">
        <v>827</v>
      </c>
      <c r="E3094" s="394" t="s">
        <v>1413</v>
      </c>
      <c r="F3094" s="402"/>
      <c r="G3094" s="405" t="s">
        <v>1414</v>
      </c>
      <c r="H3094" s="404">
        <v>3069</v>
      </c>
      <c r="I3094" s="402" t="s">
        <v>2</v>
      </c>
      <c r="J3094" s="406" t="s">
        <v>4723</v>
      </c>
      <c r="K3094" s="403">
        <v>41170</v>
      </c>
      <c r="L3094" s="398">
        <v>41166</v>
      </c>
      <c r="M3094" s="402">
        <f t="shared" si="178"/>
        <v>4</v>
      </c>
      <c r="N3094" s="402" t="s">
        <v>2</v>
      </c>
      <c r="O3094" s="404">
        <f>1/2</f>
        <v>0.5</v>
      </c>
      <c r="P3094" s="402">
        <v>6</v>
      </c>
      <c r="Q3094" s="404">
        <v>6.8</v>
      </c>
      <c r="R3094" s="402">
        <v>5.6</v>
      </c>
      <c r="S3094" s="404">
        <v>13</v>
      </c>
      <c r="T3094" s="402">
        <v>4.8000000000000001E-2</v>
      </c>
      <c r="U3094" s="395">
        <v>0.57999999999999996</v>
      </c>
      <c r="V3094" s="402">
        <v>0.61</v>
      </c>
      <c r="W3094" s="404">
        <v>1.2E-2</v>
      </c>
      <c r="X3094" s="402">
        <v>0.1</v>
      </c>
      <c r="Y3094" s="404">
        <v>5.8999999999999999E-3</v>
      </c>
      <c r="Z3094" s="397">
        <v>1</v>
      </c>
      <c r="AA3094" s="399">
        <v>1</v>
      </c>
      <c r="AB3094" s="394">
        <v>28</v>
      </c>
      <c r="AC3094" s="402">
        <v>164</v>
      </c>
      <c r="AD3094" s="399">
        <v>1</v>
      </c>
      <c r="AE3094" s="402"/>
      <c r="AF3094" s="391"/>
      <c r="AG3094" s="394"/>
      <c r="AH3094" s="394"/>
      <c r="AI3094" s="394"/>
      <c r="AJ3094" s="394"/>
      <c r="AK3094" s="394"/>
      <c r="AL3094" s="394"/>
      <c r="AM3094" s="394"/>
      <c r="AN3094" s="394"/>
      <c r="AO3094" s="394"/>
      <c r="AP3094" s="394"/>
      <c r="AQ3094" s="394"/>
      <c r="AR3094" s="394"/>
      <c r="AS3094" s="402"/>
      <c r="AT3094" s="404"/>
      <c r="AU3094" s="394"/>
      <c r="AV3094" s="394"/>
      <c r="AW3094" s="394"/>
      <c r="AX3094" s="5"/>
      <c r="AY3094" s="5"/>
      <c r="AZ3094" s="5"/>
      <c r="BA3094" s="5"/>
      <c r="BB3094" s="5"/>
      <c r="BC3094" s="5"/>
      <c r="BD3094" s="5"/>
      <c r="BE3094" s="5"/>
      <c r="BF3094" s="5"/>
      <c r="BG3094" s="5"/>
      <c r="BH3094" s="5"/>
      <c r="BI3094" s="5"/>
      <c r="BJ3094" s="5"/>
      <c r="BK3094" s="5"/>
      <c r="BL3094" s="5"/>
      <c r="BM3094" s="5"/>
      <c r="BN3094" s="5"/>
      <c r="BO3094" s="5"/>
      <c r="BP3094" s="5"/>
      <c r="BQ3094" s="5"/>
      <c r="BR3094" s="5"/>
      <c r="BS3094" s="5"/>
      <c r="BT3094" s="5"/>
      <c r="BU3094" s="5"/>
      <c r="BV3094" s="5"/>
      <c r="BW3094" s="5"/>
      <c r="BX3094" s="5"/>
      <c r="BY3094" s="5"/>
      <c r="BZ3094" s="5"/>
      <c r="CA3094" s="5"/>
    </row>
    <row r="3095" spans="1:79" s="400" customFormat="1" ht="15" customHeight="1">
      <c r="A3095" s="41" t="s">
        <v>183</v>
      </c>
      <c r="B3095" s="402" t="s">
        <v>5740</v>
      </c>
      <c r="C3095" s="113" t="s">
        <v>5740</v>
      </c>
      <c r="D3095" s="393" t="s">
        <v>303</v>
      </c>
      <c r="E3095" s="394" t="s">
        <v>5741</v>
      </c>
      <c r="F3095" s="402"/>
      <c r="G3095" s="405" t="s">
        <v>5742</v>
      </c>
      <c r="H3095" s="404">
        <v>2899</v>
      </c>
      <c r="I3095" s="402" t="s">
        <v>2</v>
      </c>
      <c r="J3095" s="406" t="s">
        <v>194</v>
      </c>
      <c r="K3095" s="403">
        <v>41201</v>
      </c>
      <c r="L3095" s="398" t="s">
        <v>5380</v>
      </c>
      <c r="M3095" s="402"/>
      <c r="N3095" s="402" t="s">
        <v>2</v>
      </c>
      <c r="O3095" s="404">
        <f>5/2</f>
        <v>2.5</v>
      </c>
      <c r="P3095" s="402">
        <v>5</v>
      </c>
      <c r="Q3095" s="404">
        <v>7.2</v>
      </c>
      <c r="R3095" s="402">
        <v>16</v>
      </c>
      <c r="S3095" s="404">
        <f>5/2</f>
        <v>2.5</v>
      </c>
      <c r="T3095" s="402">
        <v>0.73</v>
      </c>
      <c r="U3095" s="395">
        <f>1/2</f>
        <v>0.5</v>
      </c>
      <c r="V3095" s="402">
        <v>0.25</v>
      </c>
      <c r="W3095" s="404">
        <f>0.04/2</f>
        <v>0.02</v>
      </c>
      <c r="X3095" s="402">
        <v>0.14000000000000001</v>
      </c>
      <c r="Y3095" s="404">
        <f>0.013/2</f>
        <v>6.4999999999999997E-3</v>
      </c>
      <c r="Z3095" s="397"/>
      <c r="AA3095" s="399"/>
      <c r="AB3095" s="394"/>
      <c r="AC3095" s="402"/>
      <c r="AD3095" s="399"/>
      <c r="AE3095" s="402"/>
      <c r="AF3095" s="391"/>
      <c r="AG3095" s="394"/>
      <c r="AH3095" s="394"/>
      <c r="AI3095" s="394"/>
      <c r="AJ3095" s="394"/>
      <c r="AK3095" s="394"/>
      <c r="AL3095" s="394"/>
      <c r="AM3095" s="394"/>
      <c r="AN3095" s="394"/>
      <c r="AO3095" s="394"/>
      <c r="AP3095" s="394"/>
      <c r="AQ3095" s="394"/>
      <c r="AR3095" s="394"/>
      <c r="AS3095" s="402"/>
      <c r="AT3095" s="404"/>
      <c r="AU3095" s="394"/>
      <c r="AV3095" s="394"/>
      <c r="AW3095" s="394"/>
      <c r="AX3095" s="5"/>
      <c r="AY3095" s="5"/>
      <c r="AZ3095" s="5"/>
      <c r="BA3095" s="5"/>
      <c r="BB3095" s="5"/>
      <c r="BC3095" s="5"/>
      <c r="BD3095" s="5"/>
      <c r="BE3095" s="5"/>
      <c r="BF3095" s="5"/>
      <c r="BG3095" s="5"/>
      <c r="BH3095" s="5"/>
      <c r="BI3095" s="5"/>
      <c r="BJ3095" s="5"/>
      <c r="BK3095" s="5"/>
      <c r="BL3095" s="5"/>
      <c r="BM3095" s="5"/>
      <c r="BN3095" s="5"/>
      <c r="BO3095" s="5"/>
      <c r="BP3095" s="5"/>
      <c r="BQ3095" s="5"/>
      <c r="BR3095" s="5"/>
      <c r="BS3095" s="5"/>
      <c r="BT3095" s="5"/>
      <c r="BU3095" s="5"/>
      <c r="BV3095" s="5"/>
      <c r="BW3095" s="5"/>
      <c r="BX3095" s="5"/>
      <c r="BY3095" s="5"/>
      <c r="BZ3095" s="5"/>
      <c r="CA3095" s="5"/>
    </row>
    <row r="3096" spans="1:79" s="400" customFormat="1" ht="15" customHeight="1">
      <c r="A3096" s="41" t="s">
        <v>183</v>
      </c>
      <c r="B3096" s="402" t="s">
        <v>5740</v>
      </c>
      <c r="C3096" s="113" t="s">
        <v>5740</v>
      </c>
      <c r="D3096" s="393" t="s">
        <v>303</v>
      </c>
      <c r="E3096" s="394" t="s">
        <v>5741</v>
      </c>
      <c r="F3096" s="402"/>
      <c r="G3096" s="405" t="s">
        <v>5742</v>
      </c>
      <c r="H3096" s="404">
        <v>2899</v>
      </c>
      <c r="I3096" s="402" t="s">
        <v>2</v>
      </c>
      <c r="J3096" s="406" t="s">
        <v>569</v>
      </c>
      <c r="K3096" s="403">
        <v>41201</v>
      </c>
      <c r="L3096" s="398" t="s">
        <v>5380</v>
      </c>
      <c r="M3096" s="402"/>
      <c r="N3096" s="402" t="s">
        <v>2</v>
      </c>
      <c r="O3096" s="404">
        <f>5/2</f>
        <v>2.5</v>
      </c>
      <c r="P3096" s="402">
        <v>5</v>
      </c>
      <c r="Q3096" s="404">
        <v>7.33</v>
      </c>
      <c r="R3096" s="402">
        <v>6.2</v>
      </c>
      <c r="S3096" s="404">
        <f>5/2</f>
        <v>2.5</v>
      </c>
      <c r="T3096" s="402">
        <f>0.1/2</f>
        <v>0.05</v>
      </c>
      <c r="U3096" s="395">
        <f>1/2</f>
        <v>0.5</v>
      </c>
      <c r="V3096" s="402">
        <v>0.18</v>
      </c>
      <c r="W3096" s="404">
        <f>0.04/2</f>
        <v>0.02</v>
      </c>
      <c r="X3096" s="402">
        <v>2.4E-2</v>
      </c>
      <c r="Y3096" s="404">
        <f>0.013/2</f>
        <v>6.4999999999999997E-3</v>
      </c>
      <c r="Z3096" s="397"/>
      <c r="AA3096" s="399"/>
      <c r="AB3096" s="394"/>
      <c r="AC3096" s="402"/>
      <c r="AD3096" s="399"/>
      <c r="AE3096" s="402"/>
      <c r="AF3096" s="391"/>
      <c r="AG3096" s="394"/>
      <c r="AH3096" s="394"/>
      <c r="AI3096" s="394"/>
      <c r="AJ3096" s="394"/>
      <c r="AK3096" s="394"/>
      <c r="AL3096" s="394"/>
      <c r="AM3096" s="394"/>
      <c r="AN3096" s="394"/>
      <c r="AO3096" s="394"/>
      <c r="AP3096" s="394"/>
      <c r="AQ3096" s="394"/>
      <c r="AR3096" s="394"/>
      <c r="AS3096" s="402"/>
      <c r="AT3096" s="404"/>
      <c r="AU3096" s="394"/>
      <c r="AV3096" s="394"/>
      <c r="AW3096" s="394"/>
      <c r="AX3096" s="5"/>
      <c r="AY3096" s="5"/>
      <c r="AZ3096" s="5"/>
      <c r="BA3096" s="5"/>
      <c r="BB3096" s="5"/>
      <c r="BC3096" s="5"/>
      <c r="BD3096" s="5"/>
      <c r="BE3096" s="5"/>
      <c r="BF3096" s="5"/>
      <c r="BG3096" s="5"/>
      <c r="BH3096" s="5"/>
      <c r="BI3096" s="5"/>
      <c r="BJ3096" s="5"/>
      <c r="BK3096" s="5"/>
      <c r="BL3096" s="5"/>
      <c r="BM3096" s="5"/>
      <c r="BN3096" s="5"/>
      <c r="BO3096" s="5"/>
      <c r="BP3096" s="5"/>
      <c r="BQ3096" s="5"/>
      <c r="BR3096" s="5"/>
      <c r="BS3096" s="5"/>
      <c r="BT3096" s="5"/>
      <c r="BU3096" s="5"/>
      <c r="BV3096" s="5"/>
      <c r="BW3096" s="5"/>
      <c r="BX3096" s="5"/>
      <c r="BY3096" s="5"/>
      <c r="BZ3096" s="5"/>
      <c r="CA3096" s="5"/>
    </row>
    <row r="3097" spans="1:79" s="400" customFormat="1" ht="15" customHeight="1">
      <c r="A3097" s="41" t="s">
        <v>183</v>
      </c>
      <c r="B3097" s="402" t="s">
        <v>5740</v>
      </c>
      <c r="C3097" s="113" t="s">
        <v>5740</v>
      </c>
      <c r="D3097" s="393" t="s">
        <v>303</v>
      </c>
      <c r="E3097" s="394" t="s">
        <v>5741</v>
      </c>
      <c r="F3097" s="402"/>
      <c r="G3097" s="405" t="s">
        <v>5742</v>
      </c>
      <c r="H3097" s="404">
        <v>2899</v>
      </c>
      <c r="I3097" s="402" t="s">
        <v>2</v>
      </c>
      <c r="J3097" s="406" t="s">
        <v>586</v>
      </c>
      <c r="K3097" s="403">
        <v>41201</v>
      </c>
      <c r="L3097" s="398" t="s">
        <v>5380</v>
      </c>
      <c r="M3097" s="402"/>
      <c r="N3097" s="402" t="s">
        <v>2</v>
      </c>
      <c r="O3097" s="404">
        <f>5/2</f>
        <v>2.5</v>
      </c>
      <c r="P3097" s="402">
        <v>5</v>
      </c>
      <c r="Q3097" s="404">
        <v>7.19</v>
      </c>
      <c r="R3097" s="402">
        <v>8.1999999999999993</v>
      </c>
      <c r="S3097" s="404">
        <f>5/2</f>
        <v>2.5</v>
      </c>
      <c r="T3097" s="402">
        <f>0.1/2</f>
        <v>0.05</v>
      </c>
      <c r="U3097" s="395">
        <f>1/2</f>
        <v>0.5</v>
      </c>
      <c r="V3097" s="402">
        <v>0.17</v>
      </c>
      <c r="W3097" s="404">
        <f>0.04/2</f>
        <v>0.02</v>
      </c>
      <c r="X3097" s="402">
        <v>3.1E-2</v>
      </c>
      <c r="Y3097" s="404">
        <f>0.013/2</f>
        <v>6.4999999999999997E-3</v>
      </c>
      <c r="Z3097" s="397"/>
      <c r="AA3097" s="399"/>
      <c r="AB3097" s="394"/>
      <c r="AC3097" s="402"/>
      <c r="AD3097" s="399"/>
      <c r="AE3097" s="402"/>
      <c r="AF3097" s="391"/>
      <c r="AG3097" s="394"/>
      <c r="AH3097" s="394"/>
      <c r="AI3097" s="394"/>
      <c r="AJ3097" s="394"/>
      <c r="AK3097" s="394"/>
      <c r="AL3097" s="394"/>
      <c r="AM3097" s="394"/>
      <c r="AN3097" s="394"/>
      <c r="AO3097" s="394"/>
      <c r="AP3097" s="394"/>
      <c r="AQ3097" s="394"/>
      <c r="AR3097" s="394"/>
      <c r="AS3097" s="402"/>
      <c r="AT3097" s="404"/>
      <c r="AU3097" s="394"/>
      <c r="AV3097" s="394"/>
      <c r="AW3097" s="394"/>
      <c r="AX3097" s="5"/>
      <c r="AY3097" s="5"/>
      <c r="AZ3097" s="5"/>
      <c r="BA3097" s="5"/>
      <c r="BB3097" s="5"/>
      <c r="BC3097" s="5"/>
      <c r="BD3097" s="5"/>
      <c r="BE3097" s="5"/>
      <c r="BF3097" s="5"/>
      <c r="BG3097" s="5"/>
      <c r="BH3097" s="5"/>
      <c r="BI3097" s="5"/>
      <c r="BJ3097" s="5"/>
      <c r="BK3097" s="5"/>
      <c r="BL3097" s="5"/>
      <c r="BM3097" s="5"/>
      <c r="BN3097" s="5"/>
      <c r="BO3097" s="5"/>
      <c r="BP3097" s="5"/>
      <c r="BQ3097" s="5"/>
      <c r="BR3097" s="5"/>
      <c r="BS3097" s="5"/>
      <c r="BT3097" s="5"/>
      <c r="BU3097" s="5"/>
      <c r="BV3097" s="5"/>
      <c r="BW3097" s="5"/>
      <c r="BX3097" s="5"/>
      <c r="BY3097" s="5"/>
      <c r="BZ3097" s="5"/>
      <c r="CA3097" s="5"/>
    </row>
    <row r="3098" spans="1:79" s="400" customFormat="1" ht="15" customHeight="1">
      <c r="A3098" s="41" t="s">
        <v>183</v>
      </c>
      <c r="B3098" s="402" t="s">
        <v>4739</v>
      </c>
      <c r="C3098" s="113" t="s">
        <v>4739</v>
      </c>
      <c r="D3098" s="393" t="s">
        <v>89</v>
      </c>
      <c r="E3098" s="394" t="s">
        <v>3579</v>
      </c>
      <c r="F3098" s="402"/>
      <c r="G3098" s="405" t="s">
        <v>4740</v>
      </c>
      <c r="H3098" s="404">
        <v>2096</v>
      </c>
      <c r="I3098" s="402"/>
      <c r="J3098" s="406" t="s">
        <v>4741</v>
      </c>
      <c r="K3098" s="403">
        <v>40996</v>
      </c>
      <c r="L3098" s="398">
        <v>40984</v>
      </c>
      <c r="M3098" s="402">
        <f t="shared" si="178"/>
        <v>12</v>
      </c>
      <c r="N3098" s="402" t="s">
        <v>2</v>
      </c>
      <c r="O3098" s="404">
        <v>22</v>
      </c>
      <c r="P3098" s="402">
        <v>7.1</v>
      </c>
      <c r="Q3098" s="404">
        <v>6.4</v>
      </c>
      <c r="R3098" s="402">
        <v>340</v>
      </c>
      <c r="S3098" s="404">
        <v>46</v>
      </c>
      <c r="T3098" s="402">
        <v>0.35</v>
      </c>
      <c r="U3098" s="395">
        <v>72</v>
      </c>
      <c r="V3098" s="402">
        <f>0.1/2</f>
        <v>0.05</v>
      </c>
      <c r="W3098" s="404">
        <v>0.16</v>
      </c>
      <c r="X3098" s="402">
        <v>0.6</v>
      </c>
      <c r="Y3098" s="404">
        <v>1.7999999999999999E-2</v>
      </c>
      <c r="Z3098" s="397"/>
      <c r="AA3098" s="399"/>
      <c r="AB3098" s="394"/>
      <c r="AC3098" s="402"/>
      <c r="AD3098" s="399"/>
      <c r="AE3098" s="402"/>
      <c r="AF3098" s="391"/>
      <c r="AG3098" s="394"/>
      <c r="AH3098" s="394"/>
      <c r="AI3098" s="394"/>
      <c r="AJ3098" s="394"/>
      <c r="AK3098" s="394"/>
      <c r="AL3098" s="394"/>
      <c r="AM3098" s="394"/>
      <c r="AN3098" s="394"/>
      <c r="AO3098" s="394"/>
      <c r="AP3098" s="394"/>
      <c r="AQ3098" s="394"/>
      <c r="AR3098" s="394"/>
      <c r="AS3098" s="402"/>
      <c r="AT3098" s="404"/>
      <c r="AU3098" s="394"/>
      <c r="AV3098" s="394"/>
      <c r="AW3098" s="394"/>
      <c r="AX3098" s="5"/>
      <c r="AY3098" s="5"/>
      <c r="AZ3098" s="5"/>
      <c r="BA3098" s="5"/>
      <c r="BB3098" s="5"/>
      <c r="BC3098" s="5"/>
      <c r="BD3098" s="5"/>
      <c r="BE3098" s="5"/>
      <c r="BF3098" s="5"/>
      <c r="BG3098" s="5"/>
      <c r="BH3098" s="5"/>
      <c r="BI3098" s="5"/>
      <c r="BJ3098" s="5"/>
      <c r="BK3098" s="5"/>
      <c r="BL3098" s="5"/>
      <c r="BM3098" s="5"/>
      <c r="BN3098" s="5"/>
      <c r="BO3098" s="5"/>
      <c r="BP3098" s="5"/>
      <c r="BQ3098" s="5"/>
      <c r="BR3098" s="5"/>
      <c r="BS3098" s="5"/>
      <c r="BT3098" s="5"/>
      <c r="BU3098" s="5"/>
      <c r="BV3098" s="5"/>
      <c r="BW3098" s="5"/>
      <c r="BX3098" s="5"/>
      <c r="BY3098" s="5"/>
      <c r="BZ3098" s="5"/>
      <c r="CA3098" s="5"/>
    </row>
    <row r="3099" spans="1:79" s="400" customFormat="1" ht="15" customHeight="1">
      <c r="A3099" s="41" t="s">
        <v>183</v>
      </c>
      <c r="B3099" s="402" t="s">
        <v>5735</v>
      </c>
      <c r="C3099" s="113" t="s">
        <v>5736</v>
      </c>
      <c r="D3099" s="393" t="s">
        <v>1484</v>
      </c>
      <c r="E3099" s="394" t="s">
        <v>235</v>
      </c>
      <c r="F3099" s="402"/>
      <c r="G3099" s="405" t="s">
        <v>5737</v>
      </c>
      <c r="H3099" s="404">
        <v>8731</v>
      </c>
      <c r="I3099" s="402" t="s">
        <v>1</v>
      </c>
      <c r="J3099" s="406" t="s">
        <v>5738</v>
      </c>
      <c r="K3099" s="403">
        <v>41170</v>
      </c>
      <c r="L3099" s="398" t="s">
        <v>5380</v>
      </c>
      <c r="M3099" s="402"/>
      <c r="N3099" s="402" t="s">
        <v>2</v>
      </c>
      <c r="O3099" s="404">
        <v>1.19</v>
      </c>
      <c r="P3099" s="402">
        <v>5.64</v>
      </c>
      <c r="Q3099" s="404">
        <v>6.5</v>
      </c>
      <c r="R3099" s="402">
        <v>82</v>
      </c>
      <c r="S3099" s="404">
        <v>38</v>
      </c>
      <c r="T3099" s="402">
        <v>0.13</v>
      </c>
      <c r="U3099" s="395">
        <v>1.42</v>
      </c>
      <c r="V3099" s="402">
        <v>0.68200000000000005</v>
      </c>
      <c r="W3099" s="404">
        <v>2.58E-2</v>
      </c>
      <c r="X3099" s="402">
        <v>0.13200000000000001</v>
      </c>
      <c r="Y3099" s="404">
        <v>1.04E-2</v>
      </c>
      <c r="Z3099" s="397">
        <v>1</v>
      </c>
      <c r="AA3099" s="399">
        <v>1</v>
      </c>
      <c r="AB3099" s="394">
        <v>10</v>
      </c>
      <c r="AC3099" s="402">
        <v>62</v>
      </c>
      <c r="AD3099" s="399">
        <v>0.65</v>
      </c>
      <c r="AE3099" s="402">
        <v>220</v>
      </c>
      <c r="AF3099" s="391"/>
      <c r="AG3099" s="394"/>
      <c r="AH3099" s="394"/>
      <c r="AI3099" s="394"/>
      <c r="AJ3099" s="394"/>
      <c r="AK3099" s="394"/>
      <c r="AL3099" s="394"/>
      <c r="AM3099" s="394"/>
      <c r="AN3099" s="394"/>
      <c r="AO3099" s="394"/>
      <c r="AP3099" s="394"/>
      <c r="AQ3099" s="394"/>
      <c r="AR3099" s="394"/>
      <c r="AS3099" s="402"/>
      <c r="AT3099" s="404"/>
      <c r="AU3099" s="394"/>
      <c r="AV3099" s="394"/>
      <c r="AW3099" s="394"/>
      <c r="AX3099" s="5"/>
      <c r="AY3099" s="5"/>
      <c r="AZ3099" s="5"/>
      <c r="BA3099" s="5"/>
      <c r="BB3099" s="5"/>
      <c r="BC3099" s="5"/>
      <c r="BD3099" s="5"/>
      <c r="BE3099" s="5"/>
      <c r="BF3099" s="5"/>
      <c r="BG3099" s="5"/>
      <c r="BH3099" s="5"/>
      <c r="BI3099" s="5"/>
      <c r="BJ3099" s="5"/>
      <c r="BK3099" s="5"/>
      <c r="BL3099" s="5"/>
      <c r="BM3099" s="5"/>
      <c r="BN3099" s="5"/>
      <c r="BO3099" s="5"/>
      <c r="BP3099" s="5"/>
      <c r="BQ3099" s="5"/>
      <c r="BR3099" s="5"/>
      <c r="BS3099" s="5"/>
      <c r="BT3099" s="5"/>
      <c r="BU3099" s="5"/>
      <c r="BV3099" s="5"/>
      <c r="BW3099" s="5"/>
      <c r="BX3099" s="5"/>
      <c r="BY3099" s="5"/>
      <c r="BZ3099" s="5"/>
      <c r="CA3099" s="5"/>
    </row>
    <row r="3100" spans="1:79" s="400" customFormat="1" ht="15" customHeight="1">
      <c r="A3100" s="41" t="s">
        <v>183</v>
      </c>
      <c r="B3100" s="402" t="s">
        <v>5735</v>
      </c>
      <c r="C3100" s="113" t="s">
        <v>5736</v>
      </c>
      <c r="D3100" s="393" t="s">
        <v>1484</v>
      </c>
      <c r="E3100" s="394" t="s">
        <v>235</v>
      </c>
      <c r="F3100" s="402"/>
      <c r="G3100" s="405" t="s">
        <v>5737</v>
      </c>
      <c r="H3100" s="404">
        <v>8731</v>
      </c>
      <c r="I3100" s="402" t="s">
        <v>1</v>
      </c>
      <c r="J3100" s="406" t="s">
        <v>569</v>
      </c>
      <c r="K3100" s="403">
        <v>41170</v>
      </c>
      <c r="L3100" s="398" t="s">
        <v>5380</v>
      </c>
      <c r="M3100" s="402"/>
      <c r="N3100" s="402" t="s">
        <v>2</v>
      </c>
      <c r="O3100" s="404">
        <v>3.16</v>
      </c>
      <c r="P3100" s="402">
        <v>5.64</v>
      </c>
      <c r="Q3100" s="404">
        <v>6.86</v>
      </c>
      <c r="R3100" s="402">
        <v>23</v>
      </c>
      <c r="S3100" s="404">
        <v>7</v>
      </c>
      <c r="T3100" s="402">
        <f>0.05/2</f>
        <v>2.5000000000000001E-2</v>
      </c>
      <c r="U3100" s="395">
        <v>0.438</v>
      </c>
      <c r="V3100" s="402">
        <f>0.05/2</f>
        <v>2.5000000000000001E-2</v>
      </c>
      <c r="W3100" s="404">
        <f>0.005/2</f>
        <v>2.5000000000000001E-3</v>
      </c>
      <c r="X3100" s="402">
        <v>0.45400000000000001</v>
      </c>
      <c r="Y3100" s="404">
        <v>7.1199999999999996E-3</v>
      </c>
      <c r="Z3100" s="397">
        <v>1</v>
      </c>
      <c r="AA3100" s="399">
        <v>1</v>
      </c>
      <c r="AB3100" s="394">
        <v>12</v>
      </c>
      <c r="AC3100" s="402">
        <v>46</v>
      </c>
      <c r="AD3100" s="399">
        <v>1</v>
      </c>
      <c r="AE3100" s="402">
        <v>10</v>
      </c>
      <c r="AF3100" s="391"/>
      <c r="AG3100" s="394"/>
      <c r="AH3100" s="394"/>
      <c r="AI3100" s="394"/>
      <c r="AJ3100" s="394"/>
      <c r="AK3100" s="394"/>
      <c r="AL3100" s="394"/>
      <c r="AM3100" s="394"/>
      <c r="AN3100" s="394"/>
      <c r="AO3100" s="394"/>
      <c r="AP3100" s="394"/>
      <c r="AQ3100" s="394"/>
      <c r="AR3100" s="394"/>
      <c r="AS3100" s="402"/>
      <c r="AT3100" s="404"/>
      <c r="AU3100" s="394"/>
      <c r="AV3100" s="394"/>
      <c r="AW3100" s="394"/>
      <c r="AX3100" s="5"/>
      <c r="AY3100" s="5"/>
      <c r="AZ3100" s="5"/>
      <c r="BA3100" s="5"/>
      <c r="BB3100" s="5"/>
      <c r="BC3100" s="5"/>
      <c r="BD3100" s="5"/>
      <c r="BE3100" s="5"/>
      <c r="BF3100" s="5"/>
      <c r="BG3100" s="5"/>
      <c r="BH3100" s="5"/>
      <c r="BI3100" s="5"/>
      <c r="BJ3100" s="5"/>
      <c r="BK3100" s="5"/>
      <c r="BL3100" s="5"/>
      <c r="BM3100" s="5"/>
      <c r="BN3100" s="5"/>
      <c r="BO3100" s="5"/>
      <c r="BP3100" s="5"/>
      <c r="BQ3100" s="5"/>
      <c r="BR3100" s="5"/>
      <c r="BS3100" s="5"/>
      <c r="BT3100" s="5"/>
      <c r="BU3100" s="5"/>
      <c r="BV3100" s="5"/>
      <c r="BW3100" s="5"/>
      <c r="BX3100" s="5"/>
      <c r="BY3100" s="5"/>
      <c r="BZ3100" s="5"/>
      <c r="CA3100" s="5"/>
    </row>
    <row r="3101" spans="1:79" s="400" customFormat="1" ht="15" customHeight="1">
      <c r="A3101" s="41" t="s">
        <v>183</v>
      </c>
      <c r="B3101" s="402" t="s">
        <v>5735</v>
      </c>
      <c r="C3101" s="113" t="s">
        <v>5736</v>
      </c>
      <c r="D3101" s="393" t="s">
        <v>1484</v>
      </c>
      <c r="E3101" s="394" t="s">
        <v>235</v>
      </c>
      <c r="F3101" s="402"/>
      <c r="G3101" s="405" t="s">
        <v>5737</v>
      </c>
      <c r="H3101" s="404">
        <v>8731</v>
      </c>
      <c r="I3101" s="402" t="s">
        <v>1</v>
      </c>
      <c r="J3101" s="406" t="s">
        <v>5739</v>
      </c>
      <c r="K3101" s="403">
        <v>41170</v>
      </c>
      <c r="L3101" s="398" t="s">
        <v>5380</v>
      </c>
      <c r="M3101" s="402"/>
      <c r="N3101" s="402" t="s">
        <v>2</v>
      </c>
      <c r="O3101" s="404">
        <v>0.78</v>
      </c>
      <c r="P3101" s="402">
        <v>5.64</v>
      </c>
      <c r="Q3101" s="404">
        <v>6.47</v>
      </c>
      <c r="R3101" s="402">
        <v>23</v>
      </c>
      <c r="S3101" s="404">
        <v>8</v>
      </c>
      <c r="T3101" s="402">
        <f>0.05/2</f>
        <v>2.5000000000000001E-2</v>
      </c>
      <c r="U3101" s="395">
        <v>0.99</v>
      </c>
      <c r="V3101" s="402">
        <v>0.754</v>
      </c>
      <c r="W3101" s="404">
        <v>1.24E-2</v>
      </c>
      <c r="X3101" s="402">
        <v>0.10299999999999999</v>
      </c>
      <c r="Y3101" s="404">
        <v>5.3099999999999996E-3</v>
      </c>
      <c r="Z3101" s="397">
        <v>1</v>
      </c>
      <c r="AA3101" s="399">
        <v>1</v>
      </c>
      <c r="AB3101" s="394">
        <v>284</v>
      </c>
      <c r="AC3101" s="402">
        <v>734</v>
      </c>
      <c r="AD3101" s="399">
        <v>1</v>
      </c>
      <c r="AE3101" s="402">
        <v>30</v>
      </c>
      <c r="AF3101" s="391"/>
      <c r="AG3101" s="394"/>
      <c r="AH3101" s="394"/>
      <c r="AI3101" s="394"/>
      <c r="AJ3101" s="394"/>
      <c r="AK3101" s="394"/>
      <c r="AL3101" s="394"/>
      <c r="AM3101" s="394"/>
      <c r="AN3101" s="394"/>
      <c r="AO3101" s="394"/>
      <c r="AP3101" s="394"/>
      <c r="AQ3101" s="394"/>
      <c r="AR3101" s="394"/>
      <c r="AS3101" s="402"/>
      <c r="AT3101" s="404"/>
      <c r="AU3101" s="394"/>
      <c r="AV3101" s="394"/>
      <c r="AW3101" s="394"/>
      <c r="AX3101" s="5"/>
      <c r="AY3101" s="5"/>
      <c r="AZ3101" s="5"/>
      <c r="BA3101" s="5"/>
      <c r="BB3101" s="5"/>
      <c r="BC3101" s="5"/>
      <c r="BD3101" s="5"/>
      <c r="BE3101" s="5"/>
      <c r="BF3101" s="5"/>
      <c r="BG3101" s="5"/>
      <c r="BH3101" s="5"/>
      <c r="BI3101" s="5"/>
      <c r="BJ3101" s="5"/>
      <c r="BK3101" s="5"/>
      <c r="BL3101" s="5"/>
      <c r="BM3101" s="5"/>
      <c r="BN3101" s="5"/>
      <c r="BO3101" s="5"/>
      <c r="BP3101" s="5"/>
      <c r="BQ3101" s="5"/>
      <c r="BR3101" s="5"/>
      <c r="BS3101" s="5"/>
      <c r="BT3101" s="5"/>
      <c r="BU3101" s="5"/>
      <c r="BV3101" s="5"/>
      <c r="BW3101" s="5"/>
      <c r="BX3101" s="5"/>
      <c r="BY3101" s="5"/>
      <c r="BZ3101" s="5"/>
      <c r="CA3101" s="5"/>
    </row>
    <row r="3102" spans="1:79" s="400" customFormat="1" ht="15" customHeight="1">
      <c r="A3102" s="41" t="s">
        <v>183</v>
      </c>
      <c r="B3102" s="402" t="s">
        <v>5740</v>
      </c>
      <c r="C3102" s="113" t="s">
        <v>5740</v>
      </c>
      <c r="D3102" s="393" t="s">
        <v>303</v>
      </c>
      <c r="E3102" s="394" t="s">
        <v>5741</v>
      </c>
      <c r="F3102" s="402"/>
      <c r="G3102" s="405" t="s">
        <v>5742</v>
      </c>
      <c r="H3102" s="404">
        <v>2899</v>
      </c>
      <c r="I3102" s="402"/>
      <c r="J3102" s="406" t="s">
        <v>194</v>
      </c>
      <c r="K3102" s="403">
        <v>40898</v>
      </c>
      <c r="L3102" s="398" t="s">
        <v>5380</v>
      </c>
      <c r="M3102" s="402"/>
      <c r="N3102" s="402" t="s">
        <v>2</v>
      </c>
      <c r="O3102" s="404">
        <f>5/2</f>
        <v>2.5</v>
      </c>
      <c r="P3102" s="402">
        <v>6.5</v>
      </c>
      <c r="Q3102" s="404">
        <v>6.45</v>
      </c>
      <c r="R3102" s="402">
        <v>37</v>
      </c>
      <c r="S3102" s="404">
        <v>7</v>
      </c>
      <c r="T3102" s="402">
        <f>0.1/2</f>
        <v>0.05</v>
      </c>
      <c r="U3102" s="395">
        <v>1.9</v>
      </c>
      <c r="V3102" s="402">
        <v>0.92</v>
      </c>
      <c r="W3102" s="404">
        <f>0.04/2</f>
        <v>0.02</v>
      </c>
      <c r="X3102" s="402">
        <v>0.28000000000000003</v>
      </c>
      <c r="Y3102" s="404">
        <f>0.013/2</f>
        <v>6.4999999999999997E-3</v>
      </c>
      <c r="Z3102" s="397">
        <v>1</v>
      </c>
      <c r="AA3102" s="399">
        <v>0.70699999999999996</v>
      </c>
      <c r="AB3102" s="394">
        <v>14</v>
      </c>
      <c r="AC3102" s="402">
        <v>62</v>
      </c>
      <c r="AD3102" s="399">
        <v>0.3</v>
      </c>
      <c r="AE3102" s="402"/>
      <c r="AF3102" s="391"/>
      <c r="AG3102" s="394"/>
      <c r="AH3102" s="394"/>
      <c r="AI3102" s="394"/>
      <c r="AJ3102" s="394"/>
      <c r="AK3102" s="394"/>
      <c r="AL3102" s="394"/>
      <c r="AM3102" s="394"/>
      <c r="AN3102" s="394"/>
      <c r="AO3102" s="394"/>
      <c r="AP3102" s="394"/>
      <c r="AQ3102" s="394"/>
      <c r="AR3102" s="394"/>
      <c r="AS3102" s="402"/>
      <c r="AT3102" s="404"/>
      <c r="AU3102" s="394"/>
      <c r="AV3102" s="394"/>
      <c r="AW3102" s="394"/>
      <c r="AX3102" s="5"/>
      <c r="AY3102" s="5"/>
      <c r="AZ3102" s="5"/>
      <c r="BA3102" s="5"/>
      <c r="BB3102" s="5"/>
      <c r="BC3102" s="5"/>
      <c r="BD3102" s="5"/>
      <c r="BE3102" s="5"/>
      <c r="BF3102" s="5"/>
      <c r="BG3102" s="5"/>
      <c r="BH3102" s="5"/>
      <c r="BI3102" s="5"/>
      <c r="BJ3102" s="5"/>
      <c r="BK3102" s="5"/>
      <c r="BL3102" s="5"/>
      <c r="BM3102" s="5"/>
      <c r="BN3102" s="5"/>
      <c r="BO3102" s="5"/>
      <c r="BP3102" s="5"/>
      <c r="BQ3102" s="5"/>
      <c r="BR3102" s="5"/>
      <c r="BS3102" s="5"/>
      <c r="BT3102" s="5"/>
      <c r="BU3102" s="5"/>
      <c r="BV3102" s="5"/>
      <c r="BW3102" s="5"/>
      <c r="BX3102" s="5"/>
      <c r="BY3102" s="5"/>
      <c r="BZ3102" s="5"/>
      <c r="CA3102" s="5"/>
    </row>
    <row r="3103" spans="1:79" s="400" customFormat="1" ht="15" customHeight="1">
      <c r="A3103" s="41" t="s">
        <v>183</v>
      </c>
      <c r="B3103" s="402" t="s">
        <v>5740</v>
      </c>
      <c r="C3103" s="113" t="s">
        <v>5740</v>
      </c>
      <c r="D3103" s="393" t="s">
        <v>303</v>
      </c>
      <c r="E3103" s="394" t="s">
        <v>5741</v>
      </c>
      <c r="F3103" s="402"/>
      <c r="G3103" s="405" t="s">
        <v>5742</v>
      </c>
      <c r="H3103" s="404">
        <v>2899</v>
      </c>
      <c r="I3103" s="402"/>
      <c r="J3103" s="406" t="s">
        <v>569</v>
      </c>
      <c r="K3103" s="403">
        <v>40898</v>
      </c>
      <c r="L3103" s="398" t="s">
        <v>5380</v>
      </c>
      <c r="M3103" s="402"/>
      <c r="N3103" s="402" t="s">
        <v>2</v>
      </c>
      <c r="O3103" s="404">
        <f>5/2</f>
        <v>2.5</v>
      </c>
      <c r="P3103" s="402">
        <v>6.5</v>
      </c>
      <c r="Q3103" s="404">
        <v>5.36</v>
      </c>
      <c r="R3103" s="402">
        <v>28</v>
      </c>
      <c r="S3103" s="404">
        <f>5/2</f>
        <v>2.5</v>
      </c>
      <c r="T3103" s="402">
        <f>0.1/2</f>
        <v>0.05</v>
      </c>
      <c r="U3103" s="395">
        <v>1.4</v>
      </c>
      <c r="V3103" s="402">
        <v>1.1000000000000001</v>
      </c>
      <c r="W3103" s="404">
        <f>0.04/2</f>
        <v>0.02</v>
      </c>
      <c r="X3103" s="402">
        <v>0.22</v>
      </c>
      <c r="Y3103" s="404">
        <f>0.013/2</f>
        <v>6.4999999999999997E-3</v>
      </c>
      <c r="Z3103" s="397">
        <v>1</v>
      </c>
      <c r="AA3103" s="399">
        <v>0.79400000000000004</v>
      </c>
      <c r="AB3103" s="394">
        <v>5.0999999999999996</v>
      </c>
      <c r="AC3103" s="402">
        <v>62</v>
      </c>
      <c r="AD3103" s="399">
        <v>0.4</v>
      </c>
      <c r="AE3103" s="402"/>
      <c r="AF3103" s="391"/>
      <c r="AG3103" s="394"/>
      <c r="AH3103" s="394"/>
      <c r="AI3103" s="394"/>
      <c r="AJ3103" s="394"/>
      <c r="AK3103" s="394"/>
      <c r="AL3103" s="394"/>
      <c r="AM3103" s="394"/>
      <c r="AN3103" s="394"/>
      <c r="AO3103" s="394"/>
      <c r="AP3103" s="394"/>
      <c r="AQ3103" s="394"/>
      <c r="AR3103" s="394"/>
      <c r="AS3103" s="402"/>
      <c r="AT3103" s="404"/>
      <c r="AU3103" s="394"/>
      <c r="AV3103" s="394"/>
      <c r="AW3103" s="394"/>
      <c r="AX3103" s="5"/>
      <c r="AY3103" s="5"/>
      <c r="AZ3103" s="5"/>
      <c r="BA3103" s="5"/>
      <c r="BB3103" s="5"/>
      <c r="BC3103" s="5"/>
      <c r="BD3103" s="5"/>
      <c r="BE3103" s="5"/>
      <c r="BF3103" s="5"/>
      <c r="BG3103" s="5"/>
      <c r="BH3103" s="5"/>
      <c r="BI3103" s="5"/>
      <c r="BJ3103" s="5"/>
      <c r="BK3103" s="5"/>
      <c r="BL3103" s="5"/>
      <c r="BM3103" s="5"/>
      <c r="BN3103" s="5"/>
      <c r="BO3103" s="5"/>
      <c r="BP3103" s="5"/>
      <c r="BQ3103" s="5"/>
      <c r="BR3103" s="5"/>
      <c r="BS3103" s="5"/>
      <c r="BT3103" s="5"/>
      <c r="BU3103" s="5"/>
      <c r="BV3103" s="5"/>
      <c r="BW3103" s="5"/>
      <c r="BX3103" s="5"/>
      <c r="BY3103" s="5"/>
      <c r="BZ3103" s="5"/>
      <c r="CA3103" s="5"/>
    </row>
    <row r="3104" spans="1:79" s="400" customFormat="1" ht="15" customHeight="1">
      <c r="A3104" s="41" t="s">
        <v>183</v>
      </c>
      <c r="B3104" s="402" t="s">
        <v>5740</v>
      </c>
      <c r="C3104" s="113" t="s">
        <v>5740</v>
      </c>
      <c r="D3104" s="393" t="s">
        <v>303</v>
      </c>
      <c r="E3104" s="394" t="s">
        <v>5741</v>
      </c>
      <c r="F3104" s="402"/>
      <c r="G3104" s="405" t="s">
        <v>5742</v>
      </c>
      <c r="H3104" s="404">
        <v>2899</v>
      </c>
      <c r="I3104" s="402"/>
      <c r="J3104" s="406" t="s">
        <v>586</v>
      </c>
      <c r="K3104" s="403">
        <v>40898</v>
      </c>
      <c r="L3104" s="398" t="s">
        <v>5380</v>
      </c>
      <c r="M3104" s="402"/>
      <c r="N3104" s="402" t="s">
        <v>2</v>
      </c>
      <c r="O3104" s="404">
        <f>5/2</f>
        <v>2.5</v>
      </c>
      <c r="P3104" s="402">
        <v>6.5</v>
      </c>
      <c r="Q3104" s="404">
        <v>5.27</v>
      </c>
      <c r="R3104" s="402">
        <v>20</v>
      </c>
      <c r="S3104" s="404">
        <f>5/2</f>
        <v>2.5</v>
      </c>
      <c r="T3104" s="402">
        <f>0.1/2</f>
        <v>0.05</v>
      </c>
      <c r="U3104" s="395">
        <v>2.2000000000000002</v>
      </c>
      <c r="V3104" s="402">
        <v>1.1000000000000001</v>
      </c>
      <c r="W3104" s="404">
        <f>0.04/2</f>
        <v>0.02</v>
      </c>
      <c r="X3104" s="402">
        <v>0.23</v>
      </c>
      <c r="Y3104" s="404">
        <f>0.013/2</f>
        <v>6.4999999999999997E-3</v>
      </c>
      <c r="Z3104" s="397">
        <v>1</v>
      </c>
      <c r="AA3104" s="399">
        <v>0.54</v>
      </c>
      <c r="AB3104" s="394">
        <v>5.0999999999999996</v>
      </c>
      <c r="AC3104" s="402">
        <v>62</v>
      </c>
      <c r="AD3104" s="399">
        <v>0.2</v>
      </c>
      <c r="AE3104" s="402"/>
      <c r="AF3104" s="391"/>
      <c r="AG3104" s="394"/>
      <c r="AH3104" s="394"/>
      <c r="AI3104" s="394"/>
      <c r="AJ3104" s="394"/>
      <c r="AK3104" s="394"/>
      <c r="AL3104" s="394"/>
      <c r="AM3104" s="394"/>
      <c r="AN3104" s="394"/>
      <c r="AO3104" s="394"/>
      <c r="AP3104" s="394"/>
      <c r="AQ3104" s="394"/>
      <c r="AR3104" s="394"/>
      <c r="AS3104" s="402"/>
      <c r="AT3104" s="404"/>
      <c r="AU3104" s="394"/>
      <c r="AV3104" s="394"/>
      <c r="AW3104" s="394"/>
      <c r="AX3104" s="5"/>
      <c r="AY3104" s="5"/>
      <c r="AZ3104" s="5"/>
      <c r="BA3104" s="5"/>
      <c r="BB3104" s="5"/>
      <c r="BC3104" s="5"/>
      <c r="BD3104" s="5"/>
      <c r="BE3104" s="5"/>
      <c r="BF3104" s="5"/>
      <c r="BG3104" s="5"/>
      <c r="BH3104" s="5"/>
      <c r="BI3104" s="5"/>
      <c r="BJ3104" s="5"/>
      <c r="BK3104" s="5"/>
      <c r="BL3104" s="5"/>
      <c r="BM3104" s="5"/>
      <c r="BN3104" s="5"/>
      <c r="BO3104" s="5"/>
      <c r="BP3104" s="5"/>
      <c r="BQ3104" s="5"/>
      <c r="BR3104" s="5"/>
      <c r="BS3104" s="5"/>
      <c r="BT3104" s="5"/>
      <c r="BU3104" s="5"/>
      <c r="BV3104" s="5"/>
      <c r="BW3104" s="5"/>
      <c r="BX3104" s="5"/>
      <c r="BY3104" s="5"/>
      <c r="BZ3104" s="5"/>
      <c r="CA3104" s="5"/>
    </row>
    <row r="3105" spans="1:79" s="400" customFormat="1" ht="15" customHeight="1">
      <c r="A3105" s="41" t="s">
        <v>183</v>
      </c>
      <c r="B3105" s="385" t="s">
        <v>3740</v>
      </c>
      <c r="C3105" s="18" t="s">
        <v>3740</v>
      </c>
      <c r="D3105" s="377" t="s">
        <v>806</v>
      </c>
      <c r="E3105" s="20" t="s">
        <v>535</v>
      </c>
      <c r="F3105" s="402"/>
      <c r="G3105" s="405" t="s">
        <v>3718</v>
      </c>
      <c r="H3105" s="384">
        <v>3679</v>
      </c>
      <c r="I3105" s="402" t="s">
        <v>1</v>
      </c>
      <c r="J3105" s="344" t="s">
        <v>3251</v>
      </c>
      <c r="K3105" s="403">
        <v>41465</v>
      </c>
      <c r="L3105" s="398">
        <v>41462</v>
      </c>
      <c r="M3105" s="402">
        <f t="shared" ref="M3105:M3116" si="179">K3105-L3105</f>
        <v>3</v>
      </c>
      <c r="N3105" s="402" t="s">
        <v>2</v>
      </c>
      <c r="O3105" s="404">
        <f>1.4/2</f>
        <v>0.7</v>
      </c>
      <c r="P3105" s="402">
        <v>6.7</v>
      </c>
      <c r="Q3105" s="404">
        <v>6.66</v>
      </c>
      <c r="R3105" s="402">
        <v>278</v>
      </c>
      <c r="S3105" s="404">
        <v>28</v>
      </c>
      <c r="T3105" s="402">
        <v>0.47</v>
      </c>
      <c r="U3105" s="395">
        <v>3.78</v>
      </c>
      <c r="V3105" s="402">
        <v>2.12</v>
      </c>
      <c r="W3105" s="404">
        <v>8.5999999999999993E-2</v>
      </c>
      <c r="X3105" s="402">
        <v>4.2000000000000003E-2</v>
      </c>
      <c r="Y3105" s="404">
        <v>7.0000000000000001E-3</v>
      </c>
      <c r="Z3105" s="397"/>
      <c r="AA3105" s="399"/>
      <c r="AB3105" s="394"/>
      <c r="AC3105" s="402"/>
      <c r="AD3105" s="399"/>
      <c r="AE3105" s="402">
        <v>910</v>
      </c>
      <c r="AF3105" s="391"/>
      <c r="AG3105" s="394"/>
      <c r="AH3105" s="394"/>
      <c r="AI3105" s="394"/>
      <c r="AJ3105" s="394"/>
      <c r="AK3105" s="394"/>
      <c r="AL3105" s="394"/>
      <c r="AM3105" s="394"/>
      <c r="AN3105" s="394"/>
      <c r="AO3105" s="394"/>
      <c r="AP3105" s="394"/>
      <c r="AQ3105" s="394"/>
      <c r="AR3105" s="394"/>
      <c r="AS3105" s="402"/>
      <c r="AT3105" s="404">
        <f>0.0002/2</f>
        <v>1E-4</v>
      </c>
      <c r="AU3105" s="394"/>
      <c r="AV3105" s="394"/>
      <c r="AW3105" s="394"/>
      <c r="AX3105" s="5"/>
      <c r="AY3105" s="5"/>
      <c r="AZ3105" s="5"/>
      <c r="BA3105" s="5"/>
      <c r="BB3105" s="5"/>
      <c r="BC3105" s="5"/>
      <c r="BD3105" s="5"/>
      <c r="BE3105" s="5"/>
      <c r="BF3105" s="5"/>
      <c r="BG3105" s="5"/>
      <c r="BH3105" s="5"/>
      <c r="BI3105" s="5"/>
      <c r="BJ3105" s="5"/>
      <c r="BK3105" s="5"/>
      <c r="BL3105" s="5"/>
      <c r="BM3105" s="5"/>
      <c r="BN3105" s="5"/>
      <c r="BO3105" s="5"/>
      <c r="BP3105" s="5"/>
      <c r="BQ3105" s="5"/>
      <c r="BR3105" s="5"/>
      <c r="BS3105" s="5"/>
      <c r="BT3105" s="5"/>
      <c r="BU3105" s="5"/>
      <c r="BV3105" s="5"/>
      <c r="BW3105" s="5"/>
      <c r="BX3105" s="5"/>
      <c r="BY3105" s="5"/>
      <c r="BZ3105" s="5"/>
      <c r="CA3105" s="5"/>
    </row>
    <row r="3106" spans="1:79" s="400" customFormat="1" ht="15" customHeight="1">
      <c r="A3106" s="41" t="s">
        <v>183</v>
      </c>
      <c r="B3106" s="385" t="s">
        <v>3740</v>
      </c>
      <c r="C3106" s="18" t="s">
        <v>3740</v>
      </c>
      <c r="D3106" s="377" t="s">
        <v>806</v>
      </c>
      <c r="E3106" s="20" t="s">
        <v>535</v>
      </c>
      <c r="F3106" s="402"/>
      <c r="G3106" s="405" t="s">
        <v>3718</v>
      </c>
      <c r="H3106" s="384">
        <v>3679</v>
      </c>
      <c r="I3106" s="402" t="s">
        <v>1</v>
      </c>
      <c r="J3106" s="344" t="s">
        <v>6415</v>
      </c>
      <c r="K3106" s="403">
        <v>41465</v>
      </c>
      <c r="L3106" s="398">
        <v>41462</v>
      </c>
      <c r="M3106" s="402">
        <f t="shared" si="179"/>
        <v>3</v>
      </c>
      <c r="N3106" s="402" t="s">
        <v>2</v>
      </c>
      <c r="O3106" s="404">
        <f>1.4/2</f>
        <v>0.7</v>
      </c>
      <c r="P3106" s="402">
        <v>6.7</v>
      </c>
      <c r="Q3106" s="404">
        <v>6.84</v>
      </c>
      <c r="R3106" s="402">
        <v>150</v>
      </c>
      <c r="S3106" s="404">
        <v>32</v>
      </c>
      <c r="T3106" s="402">
        <v>0.66</v>
      </c>
      <c r="U3106" s="395">
        <v>3.06</v>
      </c>
      <c r="V3106" s="402">
        <v>2.38</v>
      </c>
      <c r="W3106" s="404">
        <v>5.5E-2</v>
      </c>
      <c r="X3106" s="402">
        <v>0.02</v>
      </c>
      <c r="Y3106" s="404">
        <v>3.0000000000000001E-3</v>
      </c>
      <c r="Z3106" s="397"/>
      <c r="AA3106" s="399"/>
      <c r="AB3106" s="394"/>
      <c r="AC3106" s="402"/>
      <c r="AD3106" s="399"/>
      <c r="AE3106" s="356">
        <v>15530</v>
      </c>
      <c r="AF3106" s="391"/>
      <c r="AG3106" s="394"/>
      <c r="AH3106" s="394"/>
      <c r="AI3106" s="394"/>
      <c r="AJ3106" s="394"/>
      <c r="AK3106" s="394"/>
      <c r="AL3106" s="394"/>
      <c r="AM3106" s="394"/>
      <c r="AN3106" s="394"/>
      <c r="AO3106" s="394"/>
      <c r="AP3106" s="394"/>
      <c r="AQ3106" s="394"/>
      <c r="AR3106" s="394"/>
      <c r="AS3106" s="402"/>
      <c r="AT3106" s="404">
        <f>0.0002/2</f>
        <v>1E-4</v>
      </c>
      <c r="AU3106" s="394"/>
      <c r="AV3106" s="394"/>
      <c r="AW3106" s="394"/>
      <c r="AX3106" s="5"/>
      <c r="AY3106" s="5"/>
      <c r="AZ3106" s="5"/>
      <c r="BA3106" s="5"/>
      <c r="BB3106" s="5"/>
      <c r="BC3106" s="5"/>
      <c r="BD3106" s="5"/>
      <c r="BE3106" s="5"/>
      <c r="BF3106" s="5"/>
      <c r="BG3106" s="5"/>
      <c r="BH3106" s="5"/>
      <c r="BI3106" s="5"/>
      <c r="BJ3106" s="5"/>
      <c r="BK3106" s="5"/>
      <c r="BL3106" s="5"/>
      <c r="BM3106" s="5"/>
      <c r="BN3106" s="5"/>
      <c r="BO3106" s="5"/>
      <c r="BP3106" s="5"/>
      <c r="BQ3106" s="5"/>
      <c r="BR3106" s="5"/>
      <c r="BS3106" s="5"/>
      <c r="BT3106" s="5"/>
      <c r="BU3106" s="5"/>
      <c r="BV3106" s="5"/>
      <c r="BW3106" s="5"/>
      <c r="BX3106" s="5"/>
      <c r="BY3106" s="5"/>
      <c r="BZ3106" s="5"/>
      <c r="CA3106" s="5"/>
    </row>
    <row r="3107" spans="1:79" s="400" customFormat="1" ht="15" customHeight="1">
      <c r="A3107" s="41" t="s">
        <v>183</v>
      </c>
      <c r="B3107" s="402" t="s">
        <v>2182</v>
      </c>
      <c r="C3107" s="113" t="s">
        <v>2182</v>
      </c>
      <c r="D3107" s="393" t="s">
        <v>2377</v>
      </c>
      <c r="E3107" s="394" t="s">
        <v>2183</v>
      </c>
      <c r="F3107" s="402"/>
      <c r="G3107" s="405" t="s">
        <v>2184</v>
      </c>
      <c r="H3107" s="404">
        <v>3499</v>
      </c>
      <c r="I3107" s="402" t="s">
        <v>2</v>
      </c>
      <c r="J3107" s="406" t="s">
        <v>81</v>
      </c>
      <c r="K3107" s="403">
        <v>41512</v>
      </c>
      <c r="L3107" s="398">
        <v>41508</v>
      </c>
      <c r="M3107" s="402">
        <f t="shared" si="179"/>
        <v>4</v>
      </c>
      <c r="N3107" s="402" t="s">
        <v>2</v>
      </c>
      <c r="O3107" s="404">
        <f>2/2</f>
        <v>1</v>
      </c>
      <c r="P3107" s="402">
        <v>7</v>
      </c>
      <c r="Q3107" s="404">
        <v>6.6</v>
      </c>
      <c r="R3107" s="402">
        <v>15</v>
      </c>
      <c r="S3107" s="404">
        <v>14</v>
      </c>
      <c r="T3107" s="402">
        <v>0.09</v>
      </c>
      <c r="U3107" s="395">
        <v>0.66</v>
      </c>
      <c r="V3107" s="402">
        <v>0.26</v>
      </c>
      <c r="W3107" s="404">
        <v>1.0999999999999999E-2</v>
      </c>
      <c r="X3107" s="402">
        <v>3.9E-2</v>
      </c>
      <c r="Y3107" s="404">
        <f>0.03/2</f>
        <v>1.4999999999999999E-2</v>
      </c>
      <c r="Z3107" s="397"/>
      <c r="AA3107" s="399"/>
      <c r="AB3107" s="394"/>
      <c r="AC3107" s="402"/>
      <c r="AD3107" s="399"/>
      <c r="AE3107" s="402"/>
      <c r="AF3107" s="391"/>
      <c r="AG3107" s="394"/>
      <c r="AH3107" s="394"/>
      <c r="AI3107" s="394"/>
      <c r="AJ3107" s="394"/>
      <c r="AK3107" s="394"/>
      <c r="AL3107" s="394"/>
      <c r="AM3107" s="394"/>
      <c r="AN3107" s="394"/>
      <c r="AO3107" s="394"/>
      <c r="AP3107" s="394"/>
      <c r="AQ3107" s="394"/>
      <c r="AR3107" s="394"/>
      <c r="AS3107" s="402"/>
      <c r="AT3107" s="404"/>
      <c r="AU3107" s="394"/>
      <c r="AV3107" s="394"/>
      <c r="AW3107" s="394"/>
      <c r="AX3107" s="5"/>
      <c r="AY3107" s="5"/>
      <c r="AZ3107" s="5"/>
      <c r="BA3107" s="5"/>
      <c r="BB3107" s="5"/>
      <c r="BC3107" s="5"/>
      <c r="BD3107" s="5"/>
      <c r="BE3107" s="5"/>
      <c r="BF3107" s="5"/>
      <c r="BG3107" s="5"/>
      <c r="BH3107" s="5"/>
      <c r="BI3107" s="5"/>
      <c r="BJ3107" s="5"/>
      <c r="BK3107" s="5"/>
      <c r="BL3107" s="5"/>
      <c r="BM3107" s="5"/>
      <c r="BN3107" s="5"/>
      <c r="BO3107" s="5"/>
      <c r="BP3107" s="5"/>
      <c r="BQ3107" s="5"/>
      <c r="BR3107" s="5"/>
      <c r="BS3107" s="5"/>
      <c r="BT3107" s="5"/>
      <c r="BU3107" s="5"/>
      <c r="BV3107" s="5"/>
      <c r="BW3107" s="5"/>
      <c r="BX3107" s="5"/>
      <c r="BY3107" s="5"/>
      <c r="BZ3107" s="5"/>
      <c r="CA3107" s="5"/>
    </row>
    <row r="3108" spans="1:79" s="400" customFormat="1" ht="15" customHeight="1">
      <c r="A3108" s="41" t="s">
        <v>183</v>
      </c>
      <c r="B3108" s="402" t="s">
        <v>2182</v>
      </c>
      <c r="C3108" s="113" t="s">
        <v>2182</v>
      </c>
      <c r="D3108" s="393" t="s">
        <v>2377</v>
      </c>
      <c r="E3108" s="394" t="s">
        <v>2183</v>
      </c>
      <c r="F3108" s="402"/>
      <c r="G3108" s="405" t="s">
        <v>2184</v>
      </c>
      <c r="H3108" s="404">
        <v>3499</v>
      </c>
      <c r="I3108" s="402" t="s">
        <v>2</v>
      </c>
      <c r="J3108" s="406" t="s">
        <v>114</v>
      </c>
      <c r="K3108" s="403">
        <v>41512</v>
      </c>
      <c r="L3108" s="398">
        <v>41508</v>
      </c>
      <c r="M3108" s="402">
        <f t="shared" si="179"/>
        <v>4</v>
      </c>
      <c r="N3108" s="402" t="s">
        <v>2</v>
      </c>
      <c r="O3108" s="404">
        <f>2/2</f>
        <v>1</v>
      </c>
      <c r="P3108" s="402">
        <v>7</v>
      </c>
      <c r="Q3108" s="404">
        <v>6.5</v>
      </c>
      <c r="R3108" s="402">
        <v>45</v>
      </c>
      <c r="S3108" s="404">
        <v>45</v>
      </c>
      <c r="T3108" s="402">
        <v>0.16</v>
      </c>
      <c r="U3108" s="395">
        <v>1.05</v>
      </c>
      <c r="V3108" s="402">
        <v>0.66</v>
      </c>
      <c r="W3108" s="404">
        <v>3.2000000000000001E-2</v>
      </c>
      <c r="X3108" s="402">
        <v>0.114</v>
      </c>
      <c r="Y3108" s="404">
        <f>0.03/2</f>
        <v>1.4999999999999999E-2</v>
      </c>
      <c r="Z3108" s="397"/>
      <c r="AA3108" s="399"/>
      <c r="AB3108" s="394"/>
      <c r="AC3108" s="402"/>
      <c r="AD3108" s="399"/>
      <c r="AE3108" s="402"/>
      <c r="AF3108" s="391"/>
      <c r="AG3108" s="394"/>
      <c r="AH3108" s="394"/>
      <c r="AI3108" s="394"/>
      <c r="AJ3108" s="394"/>
      <c r="AK3108" s="394"/>
      <c r="AL3108" s="394"/>
      <c r="AM3108" s="394"/>
      <c r="AN3108" s="394"/>
      <c r="AO3108" s="394"/>
      <c r="AP3108" s="394"/>
      <c r="AQ3108" s="394"/>
      <c r="AR3108" s="394"/>
      <c r="AS3108" s="402"/>
      <c r="AT3108" s="404"/>
      <c r="AU3108" s="394"/>
      <c r="AV3108" s="394"/>
      <c r="AW3108" s="394"/>
      <c r="AX3108" s="5"/>
      <c r="AY3108" s="5"/>
      <c r="AZ3108" s="5"/>
      <c r="BA3108" s="5"/>
      <c r="BB3108" s="5"/>
      <c r="BC3108" s="5"/>
      <c r="BD3108" s="5"/>
      <c r="BE3108" s="5"/>
      <c r="BF3108" s="5"/>
      <c r="BG3108" s="5"/>
      <c r="BH3108" s="5"/>
      <c r="BI3108" s="5"/>
      <c r="BJ3108" s="5"/>
      <c r="BK3108" s="5"/>
      <c r="BL3108" s="5"/>
      <c r="BM3108" s="5"/>
      <c r="BN3108" s="5"/>
      <c r="BO3108" s="5"/>
      <c r="BP3108" s="5"/>
      <c r="BQ3108" s="5"/>
      <c r="BR3108" s="5"/>
      <c r="BS3108" s="5"/>
      <c r="BT3108" s="5"/>
      <c r="BU3108" s="5"/>
      <c r="BV3108" s="5"/>
      <c r="BW3108" s="5"/>
      <c r="BX3108" s="5"/>
      <c r="BY3108" s="5"/>
      <c r="BZ3108" s="5"/>
      <c r="CA3108" s="5"/>
    </row>
    <row r="3109" spans="1:79" s="400" customFormat="1" ht="15" customHeight="1">
      <c r="A3109" s="41" t="s">
        <v>183</v>
      </c>
      <c r="B3109" s="402" t="s">
        <v>4868</v>
      </c>
      <c r="C3109" s="113" t="s">
        <v>5745</v>
      </c>
      <c r="D3109" s="393" t="s">
        <v>56</v>
      </c>
      <c r="E3109" s="394" t="s">
        <v>95</v>
      </c>
      <c r="F3109" s="402"/>
      <c r="G3109" s="405" t="s">
        <v>3622</v>
      </c>
      <c r="H3109" s="404">
        <v>4426</v>
      </c>
      <c r="I3109" s="402" t="s">
        <v>1</v>
      </c>
      <c r="J3109" s="406" t="s">
        <v>4872</v>
      </c>
      <c r="K3109" s="403">
        <v>41221</v>
      </c>
      <c r="L3109" s="398">
        <v>41211</v>
      </c>
      <c r="M3109" s="402">
        <f t="shared" si="179"/>
        <v>10</v>
      </c>
      <c r="N3109" s="402" t="s">
        <v>2</v>
      </c>
      <c r="O3109" s="404">
        <f t="shared" ref="O3109:O3114" si="180">5/2</f>
        <v>2.5</v>
      </c>
      <c r="P3109" s="402">
        <v>6.3</v>
      </c>
      <c r="Q3109" s="404">
        <v>7</v>
      </c>
      <c r="R3109" s="402">
        <v>63</v>
      </c>
      <c r="S3109" s="404">
        <v>330</v>
      </c>
      <c r="T3109" s="402">
        <v>0.86</v>
      </c>
      <c r="U3109" s="395">
        <f>1/2</f>
        <v>0.5</v>
      </c>
      <c r="V3109" s="402">
        <v>1.3</v>
      </c>
      <c r="W3109" s="404">
        <v>0.38</v>
      </c>
      <c r="X3109" s="402">
        <v>1.6</v>
      </c>
      <c r="Y3109" s="404">
        <v>0.63</v>
      </c>
      <c r="Z3109" s="397">
        <v>1</v>
      </c>
      <c r="AA3109" s="399">
        <v>1</v>
      </c>
      <c r="AB3109" s="394">
        <v>86</v>
      </c>
      <c r="AC3109" s="402">
        <v>738</v>
      </c>
      <c r="AD3109" s="399">
        <v>1</v>
      </c>
      <c r="AE3109" s="402"/>
      <c r="AF3109" s="391"/>
      <c r="AG3109" s="394"/>
      <c r="AH3109" s="394"/>
      <c r="AI3109" s="368">
        <v>1299.7</v>
      </c>
      <c r="AJ3109" s="394">
        <v>6.1</v>
      </c>
      <c r="AK3109" s="394"/>
      <c r="AL3109" s="394"/>
      <c r="AM3109" s="394"/>
      <c r="AN3109" s="394"/>
      <c r="AO3109" s="394"/>
      <c r="AP3109" s="394"/>
      <c r="AQ3109" s="394"/>
      <c r="AR3109" s="394"/>
      <c r="AS3109" s="402"/>
      <c r="AT3109" s="404"/>
      <c r="AU3109" s="394"/>
      <c r="AV3109" s="394"/>
      <c r="AW3109" s="394"/>
      <c r="AX3109" s="5"/>
      <c r="AY3109" s="5"/>
      <c r="AZ3109" s="5"/>
      <c r="BA3109" s="5"/>
      <c r="BB3109" s="5"/>
      <c r="BC3109" s="5"/>
      <c r="BD3109" s="5"/>
      <c r="BE3109" s="5"/>
      <c r="BF3109" s="5"/>
      <c r="BG3109" s="5"/>
      <c r="BH3109" s="5"/>
      <c r="BI3109" s="5"/>
      <c r="BJ3109" s="5"/>
      <c r="BK3109" s="5"/>
      <c r="BL3109" s="5"/>
      <c r="BM3109" s="5"/>
      <c r="BN3109" s="5"/>
      <c r="BO3109" s="5"/>
      <c r="BP3109" s="5"/>
      <c r="BQ3109" s="5"/>
      <c r="BR3109" s="5"/>
      <c r="BS3109" s="5"/>
      <c r="BT3109" s="5"/>
      <c r="BU3109" s="5"/>
      <c r="BV3109" s="5"/>
      <c r="BW3109" s="5"/>
      <c r="BX3109" s="5"/>
      <c r="BY3109" s="5"/>
      <c r="BZ3109" s="5"/>
      <c r="CA3109" s="5"/>
    </row>
    <row r="3110" spans="1:79" s="400" customFormat="1" ht="15" customHeight="1">
      <c r="A3110" s="41" t="s">
        <v>183</v>
      </c>
      <c r="B3110" s="402" t="s">
        <v>4868</v>
      </c>
      <c r="C3110" s="113" t="s">
        <v>4869</v>
      </c>
      <c r="D3110" s="393" t="s">
        <v>333</v>
      </c>
      <c r="E3110" s="394" t="s">
        <v>2163</v>
      </c>
      <c r="F3110" s="402"/>
      <c r="G3110" s="405" t="s">
        <v>3621</v>
      </c>
      <c r="H3110" s="404">
        <v>4226</v>
      </c>
      <c r="I3110" s="402" t="s">
        <v>2</v>
      </c>
      <c r="J3110" s="401" t="s">
        <v>2164</v>
      </c>
      <c r="K3110" s="403">
        <v>41221</v>
      </c>
      <c r="L3110" s="398">
        <v>41211</v>
      </c>
      <c r="M3110" s="402">
        <f t="shared" si="179"/>
        <v>10</v>
      </c>
      <c r="N3110" s="402" t="s">
        <v>2</v>
      </c>
      <c r="O3110" s="404">
        <f t="shared" si="180"/>
        <v>2.5</v>
      </c>
      <c r="P3110" s="402">
        <v>6.3</v>
      </c>
      <c r="Q3110" s="404">
        <v>6</v>
      </c>
      <c r="R3110" s="402">
        <v>14</v>
      </c>
      <c r="S3110" s="404">
        <v>47</v>
      </c>
      <c r="T3110" s="402">
        <f>0.1/2</f>
        <v>0.05</v>
      </c>
      <c r="U3110" s="395">
        <f>1/2</f>
        <v>0.5</v>
      </c>
      <c r="V3110" s="402">
        <v>0.11</v>
      </c>
      <c r="W3110" s="404">
        <f>0.04/2</f>
        <v>0.02</v>
      </c>
      <c r="X3110" s="402">
        <v>3.4000000000000002E-2</v>
      </c>
      <c r="Y3110" s="404">
        <v>1.9E-2</v>
      </c>
      <c r="Z3110" s="397">
        <v>1</v>
      </c>
      <c r="AA3110" s="399">
        <v>1</v>
      </c>
      <c r="AB3110" s="394">
        <v>210</v>
      </c>
      <c r="AC3110" s="402">
        <v>782</v>
      </c>
      <c r="AD3110" s="399">
        <v>0.65</v>
      </c>
      <c r="AE3110" s="402"/>
      <c r="AF3110" s="391"/>
      <c r="AG3110" s="394"/>
      <c r="AH3110" s="394"/>
      <c r="AI3110" s="394"/>
      <c r="AJ3110" s="394"/>
      <c r="AK3110" s="394"/>
      <c r="AL3110" s="394"/>
      <c r="AM3110" s="394"/>
      <c r="AN3110" s="394"/>
      <c r="AO3110" s="394"/>
      <c r="AP3110" s="394"/>
      <c r="AQ3110" s="394"/>
      <c r="AR3110" s="394"/>
      <c r="AS3110" s="402"/>
      <c r="AT3110" s="404"/>
      <c r="AU3110" s="394"/>
      <c r="AV3110" s="394"/>
      <c r="AW3110" s="394"/>
      <c r="AX3110" s="5"/>
      <c r="AY3110" s="5"/>
      <c r="AZ3110" s="5"/>
      <c r="BA3110" s="5"/>
      <c r="BB3110" s="5"/>
      <c r="BC3110" s="5"/>
      <c r="BD3110" s="5"/>
      <c r="BE3110" s="5"/>
      <c r="BF3110" s="5"/>
      <c r="BG3110" s="5"/>
      <c r="BH3110" s="5"/>
      <c r="BI3110" s="5"/>
      <c r="BJ3110" s="5"/>
      <c r="BK3110" s="5"/>
      <c r="BL3110" s="5"/>
      <c r="BM3110" s="5"/>
      <c r="BN3110" s="5"/>
      <c r="BO3110" s="5"/>
      <c r="BP3110" s="5"/>
      <c r="BQ3110" s="5"/>
      <c r="BR3110" s="5"/>
      <c r="BS3110" s="5"/>
      <c r="BT3110" s="5"/>
      <c r="BU3110" s="5"/>
      <c r="BV3110" s="5"/>
      <c r="BW3110" s="5"/>
      <c r="BX3110" s="5"/>
      <c r="BY3110" s="5"/>
      <c r="BZ3110" s="5"/>
      <c r="CA3110" s="5"/>
    </row>
    <row r="3111" spans="1:79" s="400" customFormat="1" ht="15" customHeight="1">
      <c r="A3111" s="41" t="s">
        <v>183</v>
      </c>
      <c r="B3111" s="402" t="s">
        <v>4868</v>
      </c>
      <c r="C3111" s="113" t="s">
        <v>4869</v>
      </c>
      <c r="D3111" s="393" t="s">
        <v>333</v>
      </c>
      <c r="E3111" s="394" t="s">
        <v>2163</v>
      </c>
      <c r="F3111" s="402"/>
      <c r="G3111" s="405" t="s">
        <v>3621</v>
      </c>
      <c r="H3111" s="404">
        <v>4226</v>
      </c>
      <c r="I3111" s="402" t="s">
        <v>2</v>
      </c>
      <c r="J3111" s="401" t="s">
        <v>2165</v>
      </c>
      <c r="K3111" s="403">
        <v>41221</v>
      </c>
      <c r="L3111" s="398">
        <v>41211</v>
      </c>
      <c r="M3111" s="402">
        <f t="shared" si="179"/>
        <v>10</v>
      </c>
      <c r="N3111" s="402" t="s">
        <v>2</v>
      </c>
      <c r="O3111" s="404">
        <f t="shared" si="180"/>
        <v>2.5</v>
      </c>
      <c r="P3111" s="402">
        <v>6.3</v>
      </c>
      <c r="Q3111" s="404">
        <v>2.7</v>
      </c>
      <c r="R3111" s="402">
        <v>170</v>
      </c>
      <c r="S3111" s="404">
        <v>140</v>
      </c>
      <c r="T3111" s="402">
        <v>0.73</v>
      </c>
      <c r="U3111" s="395">
        <v>8.4</v>
      </c>
      <c r="V3111" s="402">
        <f>0.1/2</f>
        <v>0.05</v>
      </c>
      <c r="W3111" s="404">
        <v>0.2</v>
      </c>
      <c r="X3111" s="402">
        <v>0.16</v>
      </c>
      <c r="Y3111" s="404">
        <v>7.9000000000000001E-2</v>
      </c>
      <c r="Z3111" s="397">
        <v>0.159</v>
      </c>
      <c r="AA3111" s="399">
        <v>6.25E-2</v>
      </c>
      <c r="AB3111" s="394">
        <v>250</v>
      </c>
      <c r="AC3111" s="402">
        <v>1404</v>
      </c>
      <c r="AD3111" s="399">
        <v>0</v>
      </c>
      <c r="AE3111" s="402"/>
      <c r="AF3111" s="391"/>
      <c r="AG3111" s="394"/>
      <c r="AH3111" s="394"/>
      <c r="AI3111" s="394"/>
      <c r="AJ3111" s="394"/>
      <c r="AK3111" s="394"/>
      <c r="AL3111" s="394"/>
      <c r="AM3111" s="394"/>
      <c r="AN3111" s="394"/>
      <c r="AO3111" s="394"/>
      <c r="AP3111" s="394"/>
      <c r="AQ3111" s="394"/>
      <c r="AR3111" s="394"/>
      <c r="AS3111" s="402"/>
      <c r="AT3111" s="404"/>
      <c r="AU3111" s="394"/>
      <c r="AV3111" s="394"/>
      <c r="AW3111" s="394"/>
      <c r="AX3111" s="5"/>
      <c r="AY3111" s="5"/>
      <c r="AZ3111" s="5"/>
      <c r="BA3111" s="5"/>
      <c r="BB3111" s="5"/>
      <c r="BC3111" s="5"/>
      <c r="BD3111" s="5"/>
      <c r="BE3111" s="5"/>
      <c r="BF3111" s="5"/>
      <c r="BG3111" s="5"/>
      <c r="BH3111" s="5"/>
      <c r="BI3111" s="5"/>
      <c r="BJ3111" s="5"/>
      <c r="BK3111" s="5"/>
      <c r="BL3111" s="5"/>
      <c r="BM3111" s="5"/>
      <c r="BN3111" s="5"/>
      <c r="BO3111" s="5"/>
      <c r="BP3111" s="5"/>
      <c r="BQ3111" s="5"/>
      <c r="BR3111" s="5"/>
      <c r="BS3111" s="5"/>
      <c r="BT3111" s="5"/>
      <c r="BU3111" s="5"/>
      <c r="BV3111" s="5"/>
      <c r="BW3111" s="5"/>
      <c r="BX3111" s="5"/>
      <c r="BY3111" s="5"/>
      <c r="BZ3111" s="5"/>
      <c r="CA3111" s="5"/>
    </row>
    <row r="3112" spans="1:79" s="400" customFormat="1" ht="15" customHeight="1">
      <c r="A3112" s="41" t="s">
        <v>183</v>
      </c>
      <c r="B3112" s="402" t="s">
        <v>4868</v>
      </c>
      <c r="C3112" s="113" t="s">
        <v>4869</v>
      </c>
      <c r="D3112" s="393" t="s">
        <v>333</v>
      </c>
      <c r="E3112" s="394" t="s">
        <v>2163</v>
      </c>
      <c r="F3112" s="402"/>
      <c r="G3112" s="405" t="s">
        <v>3621</v>
      </c>
      <c r="H3112" s="404">
        <v>4226</v>
      </c>
      <c r="I3112" s="402" t="s">
        <v>2</v>
      </c>
      <c r="J3112" s="401" t="s">
        <v>2166</v>
      </c>
      <c r="K3112" s="403">
        <v>41221</v>
      </c>
      <c r="L3112" s="398">
        <v>41211</v>
      </c>
      <c r="M3112" s="402">
        <f t="shared" si="179"/>
        <v>10</v>
      </c>
      <c r="N3112" s="402" t="s">
        <v>2</v>
      </c>
      <c r="O3112" s="404">
        <f t="shared" si="180"/>
        <v>2.5</v>
      </c>
      <c r="P3112" s="402">
        <v>6.3</v>
      </c>
      <c r="Q3112" s="404">
        <v>5.2</v>
      </c>
      <c r="R3112" s="402">
        <v>210</v>
      </c>
      <c r="S3112" s="404">
        <v>490</v>
      </c>
      <c r="T3112" s="402">
        <v>1.9</v>
      </c>
      <c r="U3112" s="395">
        <v>2.2999999999999998</v>
      </c>
      <c r="V3112" s="402">
        <f>0.1/2</f>
        <v>0.05</v>
      </c>
      <c r="W3112" s="404">
        <v>0.12</v>
      </c>
      <c r="X3112" s="402">
        <v>0.3</v>
      </c>
      <c r="Y3112" s="404">
        <v>0.54</v>
      </c>
      <c r="Z3112" s="397">
        <v>1</v>
      </c>
      <c r="AA3112" s="399">
        <v>1</v>
      </c>
      <c r="AB3112" s="394">
        <v>110</v>
      </c>
      <c r="AC3112" s="402">
        <v>232</v>
      </c>
      <c r="AD3112" s="399">
        <v>1</v>
      </c>
      <c r="AE3112" s="402"/>
      <c r="AF3112" s="391"/>
      <c r="AG3112" s="394"/>
      <c r="AH3112" s="394"/>
      <c r="AI3112" s="394"/>
      <c r="AJ3112" s="394"/>
      <c r="AK3112" s="394"/>
      <c r="AL3112" s="394"/>
      <c r="AM3112" s="394"/>
      <c r="AN3112" s="394"/>
      <c r="AO3112" s="394"/>
      <c r="AP3112" s="394"/>
      <c r="AQ3112" s="394"/>
      <c r="AR3112" s="394"/>
      <c r="AS3112" s="402"/>
      <c r="AT3112" s="404"/>
      <c r="AU3112" s="394"/>
      <c r="AV3112" s="394"/>
      <c r="AW3112" s="394"/>
      <c r="AX3112" s="5"/>
      <c r="AY3112" s="5"/>
      <c r="AZ3112" s="5"/>
      <c r="BA3112" s="5"/>
      <c r="BB3112" s="5"/>
      <c r="BC3112" s="5"/>
      <c r="BD3112" s="5"/>
      <c r="BE3112" s="5"/>
      <c r="BF3112" s="5"/>
      <c r="BG3112" s="5"/>
      <c r="BH3112" s="5"/>
      <c r="BI3112" s="5"/>
      <c r="BJ3112" s="5"/>
      <c r="BK3112" s="5"/>
      <c r="BL3112" s="5"/>
      <c r="BM3112" s="5"/>
      <c r="BN3112" s="5"/>
      <c r="BO3112" s="5"/>
      <c r="BP3112" s="5"/>
      <c r="BQ3112" s="5"/>
      <c r="BR3112" s="5"/>
      <c r="BS3112" s="5"/>
      <c r="BT3112" s="5"/>
      <c r="BU3112" s="5"/>
      <c r="BV3112" s="5"/>
      <c r="BW3112" s="5"/>
      <c r="BX3112" s="5"/>
      <c r="BY3112" s="5"/>
      <c r="BZ3112" s="5"/>
      <c r="CA3112" s="5"/>
    </row>
    <row r="3113" spans="1:79" s="400" customFormat="1" ht="15" customHeight="1">
      <c r="A3113" s="41" t="s">
        <v>183</v>
      </c>
      <c r="B3113" s="402" t="s">
        <v>4868</v>
      </c>
      <c r="C3113" s="113" t="s">
        <v>4869</v>
      </c>
      <c r="D3113" s="393" t="s">
        <v>333</v>
      </c>
      <c r="E3113" s="394" t="s">
        <v>2163</v>
      </c>
      <c r="F3113" s="402"/>
      <c r="G3113" s="405" t="s">
        <v>3621</v>
      </c>
      <c r="H3113" s="404">
        <v>4226</v>
      </c>
      <c r="I3113" s="402" t="s">
        <v>2</v>
      </c>
      <c r="J3113" s="401" t="s">
        <v>2167</v>
      </c>
      <c r="K3113" s="403">
        <v>41221</v>
      </c>
      <c r="L3113" s="398">
        <v>41211</v>
      </c>
      <c r="M3113" s="402">
        <f t="shared" si="179"/>
        <v>10</v>
      </c>
      <c r="N3113" s="402" t="s">
        <v>2</v>
      </c>
      <c r="O3113" s="404">
        <f t="shared" si="180"/>
        <v>2.5</v>
      </c>
      <c r="P3113" s="402">
        <v>6.3</v>
      </c>
      <c r="Q3113" s="404">
        <v>5.2</v>
      </c>
      <c r="R3113" s="402">
        <v>18</v>
      </c>
      <c r="S3113" s="404">
        <v>200</v>
      </c>
      <c r="T3113" s="402">
        <f>0.1/2</f>
        <v>0.05</v>
      </c>
      <c r="U3113" s="395">
        <v>3</v>
      </c>
      <c r="V3113" s="402">
        <v>0.35</v>
      </c>
      <c r="W3113" s="404">
        <f>0.04/2</f>
        <v>0.02</v>
      </c>
      <c r="X3113" s="402">
        <v>6.6000000000000003E-2</v>
      </c>
      <c r="Y3113" s="404">
        <f>0.013/2</f>
        <v>6.4999999999999997E-3</v>
      </c>
      <c r="Z3113" s="397">
        <v>0.379</v>
      </c>
      <c r="AA3113" s="399">
        <v>6.25E-2</v>
      </c>
      <c r="AB3113" s="394">
        <v>290</v>
      </c>
      <c r="AC3113" s="402">
        <v>571</v>
      </c>
      <c r="AD3113" s="399">
        <v>0</v>
      </c>
      <c r="AE3113" s="402"/>
      <c r="AF3113" s="391"/>
      <c r="AG3113" s="394"/>
      <c r="AH3113" s="394"/>
      <c r="AI3113" s="394"/>
      <c r="AJ3113" s="394"/>
      <c r="AK3113" s="394"/>
      <c r="AL3113" s="394"/>
      <c r="AM3113" s="394"/>
      <c r="AN3113" s="394"/>
      <c r="AO3113" s="394"/>
      <c r="AP3113" s="394"/>
      <c r="AQ3113" s="394"/>
      <c r="AR3113" s="394"/>
      <c r="AS3113" s="402"/>
      <c r="AT3113" s="404"/>
      <c r="AU3113" s="394"/>
      <c r="AV3113" s="394"/>
      <c r="AW3113" s="394"/>
      <c r="AX3113" s="5"/>
      <c r="AY3113" s="5"/>
      <c r="AZ3113" s="5"/>
      <c r="BA3113" s="5"/>
      <c r="BB3113" s="5"/>
      <c r="BC3113" s="5"/>
      <c r="BD3113" s="5"/>
      <c r="BE3113" s="5"/>
      <c r="BF3113" s="5"/>
      <c r="BG3113" s="5"/>
      <c r="BH3113" s="5"/>
      <c r="BI3113" s="5"/>
      <c r="BJ3113" s="5"/>
      <c r="BK3113" s="5"/>
      <c r="BL3113" s="5"/>
      <c r="BM3113" s="5"/>
      <c r="BN3113" s="5"/>
      <c r="BO3113" s="5"/>
      <c r="BP3113" s="5"/>
      <c r="BQ3113" s="5"/>
      <c r="BR3113" s="5"/>
      <c r="BS3113" s="5"/>
      <c r="BT3113" s="5"/>
      <c r="BU3113" s="5"/>
      <c r="BV3113" s="5"/>
      <c r="BW3113" s="5"/>
      <c r="BX3113" s="5"/>
      <c r="BY3113" s="5"/>
      <c r="BZ3113" s="5"/>
      <c r="CA3113" s="5"/>
    </row>
    <row r="3114" spans="1:79" s="400" customFormat="1" ht="15" customHeight="1">
      <c r="A3114" s="41" t="s">
        <v>183</v>
      </c>
      <c r="B3114" s="402" t="s">
        <v>4868</v>
      </c>
      <c r="C3114" s="113" t="s">
        <v>4869</v>
      </c>
      <c r="D3114" s="393" t="s">
        <v>333</v>
      </c>
      <c r="E3114" s="394" t="s">
        <v>2163</v>
      </c>
      <c r="F3114" s="402"/>
      <c r="G3114" s="405" t="s">
        <v>3621</v>
      </c>
      <c r="H3114" s="404">
        <v>4226</v>
      </c>
      <c r="I3114" s="402" t="s">
        <v>2</v>
      </c>
      <c r="J3114" s="401" t="s">
        <v>2168</v>
      </c>
      <c r="K3114" s="403">
        <v>41221</v>
      </c>
      <c r="L3114" s="398">
        <v>41211</v>
      </c>
      <c r="M3114" s="402">
        <f t="shared" si="179"/>
        <v>10</v>
      </c>
      <c r="N3114" s="402" t="s">
        <v>2</v>
      </c>
      <c r="O3114" s="404">
        <f t="shared" si="180"/>
        <v>2.5</v>
      </c>
      <c r="P3114" s="402">
        <v>6.3</v>
      </c>
      <c r="Q3114" s="404">
        <v>6.9</v>
      </c>
      <c r="R3114" s="402">
        <v>43</v>
      </c>
      <c r="S3114" s="404">
        <v>46</v>
      </c>
      <c r="T3114" s="402">
        <v>0.1</v>
      </c>
      <c r="U3114" s="395">
        <v>1</v>
      </c>
      <c r="V3114" s="402">
        <v>0.44</v>
      </c>
      <c r="W3114" s="404">
        <f>0.04/2</f>
        <v>0.02</v>
      </c>
      <c r="X3114" s="402">
        <v>4.7E-2</v>
      </c>
      <c r="Y3114" s="404">
        <v>3.2000000000000001E-2</v>
      </c>
      <c r="Z3114" s="397">
        <v>1</v>
      </c>
      <c r="AA3114" s="399">
        <v>1</v>
      </c>
      <c r="AB3114" s="394">
        <v>190</v>
      </c>
      <c r="AC3114" s="402">
        <v>467</v>
      </c>
      <c r="AD3114" s="399">
        <v>1</v>
      </c>
      <c r="AE3114" s="402"/>
      <c r="AF3114" s="391"/>
      <c r="AG3114" s="394"/>
      <c r="AH3114" s="394"/>
      <c r="AI3114" s="394"/>
      <c r="AJ3114" s="394"/>
      <c r="AK3114" s="394"/>
      <c r="AL3114" s="394"/>
      <c r="AM3114" s="394"/>
      <c r="AN3114" s="394"/>
      <c r="AO3114" s="394"/>
      <c r="AP3114" s="394"/>
      <c r="AQ3114" s="394"/>
      <c r="AR3114" s="394"/>
      <c r="AS3114" s="402"/>
      <c r="AT3114" s="404"/>
      <c r="AU3114" s="394"/>
      <c r="AV3114" s="394"/>
      <c r="AW3114" s="394"/>
      <c r="AX3114" s="5"/>
      <c r="AY3114" s="5"/>
      <c r="AZ3114" s="5"/>
      <c r="BA3114" s="5"/>
      <c r="BB3114" s="5"/>
      <c r="BC3114" s="5"/>
      <c r="BD3114" s="5"/>
      <c r="BE3114" s="5"/>
      <c r="BF3114" s="5"/>
      <c r="BG3114" s="5"/>
      <c r="BH3114" s="5"/>
      <c r="BI3114" s="5"/>
      <c r="BJ3114" s="5"/>
      <c r="BK3114" s="5"/>
      <c r="BL3114" s="5"/>
      <c r="BM3114" s="5"/>
      <c r="BN3114" s="5"/>
      <c r="BO3114" s="5"/>
      <c r="BP3114" s="5"/>
      <c r="BQ3114" s="5"/>
      <c r="BR3114" s="5"/>
      <c r="BS3114" s="5"/>
      <c r="BT3114" s="5"/>
      <c r="BU3114" s="5"/>
      <c r="BV3114" s="5"/>
      <c r="BW3114" s="5"/>
      <c r="BX3114" s="5"/>
      <c r="BY3114" s="5"/>
      <c r="BZ3114" s="5"/>
      <c r="CA3114" s="5"/>
    </row>
    <row r="3115" spans="1:79" s="400" customFormat="1" ht="15" customHeight="1">
      <c r="A3115" s="41" t="s">
        <v>183</v>
      </c>
      <c r="B3115" s="385" t="s">
        <v>3740</v>
      </c>
      <c r="C3115" s="18" t="s">
        <v>3740</v>
      </c>
      <c r="D3115" s="377" t="s">
        <v>806</v>
      </c>
      <c r="E3115" s="20" t="s">
        <v>535</v>
      </c>
      <c r="F3115" s="402"/>
      <c r="G3115" s="405" t="s">
        <v>3718</v>
      </c>
      <c r="H3115" s="384">
        <v>3679</v>
      </c>
      <c r="I3115" s="402" t="s">
        <v>1</v>
      </c>
      <c r="J3115" s="344" t="s">
        <v>3251</v>
      </c>
      <c r="K3115" s="403">
        <v>41247</v>
      </c>
      <c r="L3115" s="398">
        <v>41245</v>
      </c>
      <c r="M3115" s="402">
        <f t="shared" si="179"/>
        <v>2</v>
      </c>
      <c r="N3115" s="402" t="s">
        <v>2</v>
      </c>
      <c r="O3115" s="404">
        <v>1.6</v>
      </c>
      <c r="P3115" s="402">
        <v>7.15</v>
      </c>
      <c r="Q3115" s="404">
        <v>7.12</v>
      </c>
      <c r="R3115" s="402">
        <v>66</v>
      </c>
      <c r="S3115" s="404">
        <v>34</v>
      </c>
      <c r="T3115" s="402">
        <v>0.27</v>
      </c>
      <c r="U3115" s="395">
        <v>1.26</v>
      </c>
      <c r="V3115" s="402">
        <v>0.79</v>
      </c>
      <c r="W3115" s="404">
        <v>2.5000000000000001E-2</v>
      </c>
      <c r="X3115" s="402">
        <v>3.4000000000000002E-2</v>
      </c>
      <c r="Y3115" s="404">
        <f>0.002/2</f>
        <v>1E-3</v>
      </c>
      <c r="Z3115" s="397">
        <v>1</v>
      </c>
      <c r="AA3115" s="399">
        <v>1</v>
      </c>
      <c r="AB3115" s="394">
        <v>12</v>
      </c>
      <c r="AC3115" s="402">
        <v>319</v>
      </c>
      <c r="AD3115" s="399">
        <v>0.9</v>
      </c>
      <c r="AE3115" s="356">
        <v>1790</v>
      </c>
      <c r="AF3115" s="391"/>
      <c r="AG3115" s="394"/>
      <c r="AH3115" s="394"/>
      <c r="AI3115" s="394"/>
      <c r="AJ3115" s="394"/>
      <c r="AK3115" s="394"/>
      <c r="AL3115" s="394"/>
      <c r="AM3115" s="394"/>
      <c r="AN3115" s="394"/>
      <c r="AO3115" s="394"/>
      <c r="AP3115" s="394"/>
      <c r="AQ3115" s="394"/>
      <c r="AR3115" s="394"/>
      <c r="AS3115" s="402"/>
      <c r="AT3115" s="404">
        <f>0.0002/2</f>
        <v>1E-4</v>
      </c>
      <c r="AU3115" s="394"/>
      <c r="AV3115" s="394"/>
      <c r="AW3115" s="394"/>
      <c r="AX3115" s="5"/>
      <c r="AY3115" s="5"/>
      <c r="AZ3115" s="5"/>
      <c r="BA3115" s="5"/>
      <c r="BB3115" s="5"/>
      <c r="BC3115" s="5"/>
      <c r="BD3115" s="5"/>
      <c r="BE3115" s="5"/>
      <c r="BF3115" s="5"/>
      <c r="BG3115" s="5"/>
      <c r="BH3115" s="5"/>
      <c r="BI3115" s="5"/>
      <c r="BJ3115" s="5"/>
      <c r="BK3115" s="5"/>
      <c r="BL3115" s="5"/>
      <c r="BM3115" s="5"/>
      <c r="BN3115" s="5"/>
      <c r="BO3115" s="5"/>
      <c r="BP3115" s="5"/>
      <c r="BQ3115" s="5"/>
      <c r="BR3115" s="5"/>
      <c r="BS3115" s="5"/>
      <c r="BT3115" s="5"/>
      <c r="BU3115" s="5"/>
      <c r="BV3115" s="5"/>
      <c r="BW3115" s="5"/>
      <c r="BX3115" s="5"/>
      <c r="BY3115" s="5"/>
      <c r="BZ3115" s="5"/>
      <c r="CA3115" s="5"/>
    </row>
    <row r="3116" spans="1:79" s="400" customFormat="1" ht="15" customHeight="1">
      <c r="A3116" s="41" t="s">
        <v>183</v>
      </c>
      <c r="B3116" s="385" t="s">
        <v>3740</v>
      </c>
      <c r="C3116" s="18" t="s">
        <v>3740</v>
      </c>
      <c r="D3116" s="377" t="s">
        <v>806</v>
      </c>
      <c r="E3116" s="20" t="s">
        <v>535</v>
      </c>
      <c r="F3116" s="402"/>
      <c r="G3116" s="405" t="s">
        <v>3718</v>
      </c>
      <c r="H3116" s="384">
        <v>3679</v>
      </c>
      <c r="I3116" s="402" t="s">
        <v>1</v>
      </c>
      <c r="J3116" s="344" t="s">
        <v>2494</v>
      </c>
      <c r="K3116" s="403">
        <v>41247</v>
      </c>
      <c r="L3116" s="398">
        <v>41245</v>
      </c>
      <c r="M3116" s="402">
        <f t="shared" si="179"/>
        <v>2</v>
      </c>
      <c r="N3116" s="402" t="s">
        <v>2</v>
      </c>
      <c r="O3116" s="404">
        <f>1.4/2</f>
        <v>0.7</v>
      </c>
      <c r="P3116" s="402">
        <v>7.15</v>
      </c>
      <c r="Q3116" s="404">
        <v>7.11</v>
      </c>
      <c r="R3116" s="402">
        <v>64</v>
      </c>
      <c r="S3116" s="404">
        <v>29</v>
      </c>
      <c r="T3116" s="402">
        <v>0.31</v>
      </c>
      <c r="U3116" s="395">
        <v>1.1599999999999999</v>
      </c>
      <c r="V3116" s="402">
        <v>0.62</v>
      </c>
      <c r="W3116" s="404">
        <v>1.9E-2</v>
      </c>
      <c r="X3116" s="402">
        <v>2.1000000000000001E-2</v>
      </c>
      <c r="Y3116" s="404">
        <f>0.002/2</f>
        <v>1E-3</v>
      </c>
      <c r="Z3116" s="397">
        <v>1</v>
      </c>
      <c r="AA3116" s="399">
        <v>1</v>
      </c>
      <c r="AB3116" s="394"/>
      <c r="AC3116" s="402"/>
      <c r="AD3116" s="399"/>
      <c r="AE3116" s="402">
        <v>40</v>
      </c>
      <c r="AF3116" s="391"/>
      <c r="AG3116" s="394"/>
      <c r="AH3116" s="394"/>
      <c r="AI3116" s="394"/>
      <c r="AJ3116" s="394"/>
      <c r="AK3116" s="394"/>
      <c r="AL3116" s="394"/>
      <c r="AM3116" s="394"/>
      <c r="AN3116" s="394"/>
      <c r="AO3116" s="394"/>
      <c r="AP3116" s="394"/>
      <c r="AQ3116" s="394"/>
      <c r="AR3116" s="394"/>
      <c r="AS3116" s="402"/>
      <c r="AT3116" s="404">
        <f>0.0002/2</f>
        <v>1E-4</v>
      </c>
      <c r="AU3116" s="394"/>
      <c r="AV3116" s="394"/>
      <c r="AW3116" s="394"/>
      <c r="AX3116" s="5"/>
      <c r="AY3116" s="5"/>
      <c r="AZ3116" s="5"/>
      <c r="BA3116" s="5"/>
      <c r="BB3116" s="5"/>
      <c r="BC3116" s="5"/>
      <c r="BD3116" s="5"/>
      <c r="BE3116" s="5"/>
      <c r="BF3116" s="5"/>
      <c r="BG3116" s="5"/>
      <c r="BH3116" s="5"/>
      <c r="BI3116" s="5"/>
      <c r="BJ3116" s="5"/>
      <c r="BK3116" s="5"/>
      <c r="BL3116" s="5"/>
      <c r="BM3116" s="5"/>
      <c r="BN3116" s="5"/>
      <c r="BO3116" s="5"/>
      <c r="BP3116" s="5"/>
      <c r="BQ3116" s="5"/>
      <c r="BR3116" s="5"/>
      <c r="BS3116" s="5"/>
      <c r="BT3116" s="5"/>
      <c r="BU3116" s="5"/>
      <c r="BV3116" s="5"/>
      <c r="BW3116" s="5"/>
      <c r="BX3116" s="5"/>
      <c r="BY3116" s="5"/>
      <c r="BZ3116" s="5"/>
      <c r="CA3116" s="5"/>
    </row>
    <row r="3117" spans="1:79" s="400" customFormat="1" ht="15" customHeight="1">
      <c r="A3117" s="41" t="s">
        <v>183</v>
      </c>
      <c r="B3117" s="385" t="s">
        <v>4407</v>
      </c>
      <c r="C3117" s="18" t="s">
        <v>4407</v>
      </c>
      <c r="D3117" s="377" t="s">
        <v>56</v>
      </c>
      <c r="E3117" s="20" t="s">
        <v>95</v>
      </c>
      <c r="F3117" s="402"/>
      <c r="G3117" s="405" t="s">
        <v>4408</v>
      </c>
      <c r="H3117" s="404">
        <v>3465</v>
      </c>
      <c r="I3117" s="402"/>
      <c r="J3117" s="406" t="s">
        <v>5746</v>
      </c>
      <c r="K3117" s="403">
        <v>41494</v>
      </c>
      <c r="L3117" s="398">
        <v>41491</v>
      </c>
      <c r="M3117" s="402">
        <f t="shared" ref="M3117:M3118" si="181">K3117-L3117</f>
        <v>3</v>
      </c>
      <c r="N3117" s="402" t="s">
        <v>2</v>
      </c>
      <c r="O3117" s="404">
        <f>1/2</f>
        <v>0.5</v>
      </c>
      <c r="P3117" s="402">
        <v>6.55</v>
      </c>
      <c r="Q3117" s="404">
        <v>4.0599999999999996</v>
      </c>
      <c r="R3117" s="402">
        <v>23.7</v>
      </c>
      <c r="S3117" s="404">
        <v>1</v>
      </c>
      <c r="T3117" s="402">
        <f>0.05/2</f>
        <v>2.5000000000000001E-2</v>
      </c>
      <c r="U3117" s="395">
        <v>2.02</v>
      </c>
      <c r="V3117" s="402">
        <v>3.9</v>
      </c>
      <c r="W3117" s="404">
        <v>0.03</v>
      </c>
      <c r="X3117" s="402">
        <v>0.19</v>
      </c>
      <c r="Y3117" s="404">
        <f>0.02/2</f>
        <v>0.01</v>
      </c>
      <c r="Z3117" s="397">
        <v>0.75</v>
      </c>
      <c r="AA3117" s="399">
        <v>0.74</v>
      </c>
      <c r="AB3117" s="394">
        <v>16</v>
      </c>
      <c r="AC3117" s="402">
        <v>17.2</v>
      </c>
      <c r="AD3117" s="399">
        <v>0</v>
      </c>
      <c r="AE3117" s="402"/>
      <c r="AF3117" s="391"/>
      <c r="AG3117" s="394"/>
      <c r="AH3117" s="394"/>
      <c r="AI3117" s="394"/>
      <c r="AJ3117" s="394"/>
      <c r="AK3117" s="394"/>
      <c r="AL3117" s="394"/>
      <c r="AM3117" s="394"/>
      <c r="AN3117" s="394"/>
      <c r="AO3117" s="394"/>
      <c r="AP3117" s="394"/>
      <c r="AQ3117" s="394"/>
      <c r="AR3117" s="394"/>
      <c r="AS3117" s="402"/>
      <c r="AT3117" s="404"/>
      <c r="AU3117" s="394"/>
      <c r="AV3117" s="394"/>
      <c r="AW3117" s="394"/>
      <c r="AX3117" s="5"/>
      <c r="AY3117" s="5"/>
      <c r="AZ3117" s="5"/>
      <c r="BA3117" s="5"/>
      <c r="BB3117" s="5"/>
      <c r="BC3117" s="5"/>
      <c r="BD3117" s="5"/>
      <c r="BE3117" s="5"/>
      <c r="BF3117" s="5"/>
      <c r="BG3117" s="5"/>
      <c r="BH3117" s="5"/>
      <c r="BI3117" s="5"/>
      <c r="BJ3117" s="5"/>
      <c r="BK3117" s="5"/>
      <c r="BL3117" s="5"/>
      <c r="BM3117" s="5"/>
      <c r="BN3117" s="5"/>
      <c r="BO3117" s="5"/>
      <c r="BP3117" s="5"/>
      <c r="BQ3117" s="5"/>
      <c r="BR3117" s="5"/>
      <c r="BS3117" s="5"/>
      <c r="BT3117" s="5"/>
      <c r="BU3117" s="5"/>
      <c r="BV3117" s="5"/>
      <c r="BW3117" s="5"/>
      <c r="BX3117" s="5"/>
      <c r="BY3117" s="5"/>
      <c r="BZ3117" s="5"/>
      <c r="CA3117" s="5"/>
    </row>
    <row r="3118" spans="1:79" s="400" customFormat="1" ht="15" customHeight="1">
      <c r="A3118" s="41" t="s">
        <v>183</v>
      </c>
      <c r="B3118" s="385" t="s">
        <v>4407</v>
      </c>
      <c r="C3118" s="18" t="s">
        <v>4407</v>
      </c>
      <c r="D3118" s="377" t="s">
        <v>56</v>
      </c>
      <c r="E3118" s="20" t="s">
        <v>95</v>
      </c>
      <c r="F3118" s="385"/>
      <c r="G3118" s="405" t="s">
        <v>4408</v>
      </c>
      <c r="H3118" s="385">
        <v>3465</v>
      </c>
      <c r="I3118" s="344"/>
      <c r="J3118" s="406" t="s">
        <v>5747</v>
      </c>
      <c r="K3118" s="403">
        <v>41494</v>
      </c>
      <c r="L3118" s="398">
        <v>41491</v>
      </c>
      <c r="M3118" s="402">
        <f t="shared" si="181"/>
        <v>3</v>
      </c>
      <c r="N3118" s="402" t="s">
        <v>2</v>
      </c>
      <c r="O3118" s="404">
        <v>1.2</v>
      </c>
      <c r="P3118" s="402">
        <v>6.06</v>
      </c>
      <c r="Q3118" s="404">
        <v>5.79</v>
      </c>
      <c r="R3118" s="402">
        <v>23.7</v>
      </c>
      <c r="S3118" s="404">
        <f>1/2</f>
        <v>0.5</v>
      </c>
      <c r="T3118" s="402">
        <f>0.05/2</f>
        <v>2.5000000000000001E-2</v>
      </c>
      <c r="U3118" s="395">
        <v>1.07</v>
      </c>
      <c r="V3118" s="402">
        <v>0.92</v>
      </c>
      <c r="W3118" s="404">
        <v>0.03</v>
      </c>
      <c r="X3118" s="402">
        <v>0.16</v>
      </c>
      <c r="Y3118" s="404">
        <f>0.02/2</f>
        <v>0.01</v>
      </c>
      <c r="Z3118" s="397">
        <v>0.88500000000000001</v>
      </c>
      <c r="AA3118" s="399">
        <v>0.75</v>
      </c>
      <c r="AB3118" s="394">
        <v>16.2</v>
      </c>
      <c r="AC3118" s="402">
        <v>25.1</v>
      </c>
      <c r="AD3118" s="399">
        <v>0</v>
      </c>
      <c r="AE3118" s="402"/>
      <c r="AF3118" s="391"/>
      <c r="AG3118" s="394"/>
      <c r="AH3118" s="394"/>
      <c r="AI3118" s="394"/>
      <c r="AJ3118" s="394"/>
      <c r="AK3118" s="394"/>
      <c r="AL3118" s="394"/>
      <c r="AM3118" s="394"/>
      <c r="AN3118" s="394"/>
      <c r="AO3118" s="394"/>
      <c r="AP3118" s="394"/>
      <c r="AQ3118" s="394"/>
      <c r="AR3118" s="394"/>
      <c r="AS3118" s="402"/>
      <c r="AT3118" s="404"/>
      <c r="AU3118" s="394"/>
      <c r="AV3118" s="394"/>
      <c r="AW3118" s="394"/>
      <c r="AX3118" s="5"/>
      <c r="AY3118" s="5"/>
      <c r="AZ3118" s="5"/>
      <c r="BA3118" s="5"/>
      <c r="BB3118" s="5"/>
      <c r="BC3118" s="5"/>
      <c r="BD3118" s="5"/>
      <c r="BE3118" s="5"/>
      <c r="BF3118" s="5"/>
      <c r="BG3118" s="5"/>
      <c r="BH3118" s="5"/>
      <c r="BI3118" s="5"/>
      <c r="BJ3118" s="5"/>
      <c r="BK3118" s="5"/>
      <c r="BL3118" s="5"/>
      <c r="BM3118" s="5"/>
      <c r="BN3118" s="5"/>
      <c r="BO3118" s="5"/>
      <c r="BP3118" s="5"/>
      <c r="BQ3118" s="5"/>
      <c r="BR3118" s="5"/>
      <c r="BS3118" s="5"/>
      <c r="BT3118" s="5"/>
      <c r="BU3118" s="5"/>
      <c r="BV3118" s="5"/>
      <c r="BW3118" s="5"/>
      <c r="BX3118" s="5"/>
      <c r="BY3118" s="5"/>
      <c r="BZ3118" s="5"/>
      <c r="CA3118" s="5"/>
    </row>
    <row r="3119" spans="1:79" s="400" customFormat="1" ht="15" customHeight="1">
      <c r="A3119" s="41" t="s">
        <v>183</v>
      </c>
      <c r="B3119" s="402" t="s">
        <v>2096</v>
      </c>
      <c r="C3119" s="113" t="s">
        <v>2096</v>
      </c>
      <c r="D3119" s="393" t="s">
        <v>372</v>
      </c>
      <c r="E3119" s="394" t="s">
        <v>235</v>
      </c>
      <c r="F3119" s="402"/>
      <c r="G3119" s="405" t="s">
        <v>3624</v>
      </c>
      <c r="H3119" s="404">
        <v>3316</v>
      </c>
      <c r="I3119" s="402"/>
      <c r="J3119" s="406" t="s">
        <v>255</v>
      </c>
      <c r="K3119" s="403">
        <v>41495</v>
      </c>
      <c r="L3119" s="398"/>
      <c r="M3119" s="402"/>
      <c r="N3119" s="402" t="s">
        <v>2</v>
      </c>
      <c r="O3119" s="404">
        <f>1/2</f>
        <v>0.5</v>
      </c>
      <c r="P3119" s="402">
        <v>5.0999999999999996</v>
      </c>
      <c r="Q3119" s="404">
        <v>5.7</v>
      </c>
      <c r="R3119" s="402">
        <v>38.4</v>
      </c>
      <c r="S3119" s="404">
        <v>6</v>
      </c>
      <c r="T3119" s="402">
        <v>7.0000000000000007E-2</v>
      </c>
      <c r="U3119" s="395">
        <v>0.48</v>
      </c>
      <c r="V3119" s="402">
        <f>0.1/2</f>
        <v>0.05</v>
      </c>
      <c r="W3119" s="404">
        <v>3.4000000000000002E-2</v>
      </c>
      <c r="X3119" s="402">
        <v>0.21099999999999999</v>
      </c>
      <c r="Y3119" s="404">
        <v>4.0000000000000001E-3</v>
      </c>
      <c r="Z3119" s="397"/>
      <c r="AA3119" s="399"/>
      <c r="AB3119" s="394"/>
      <c r="AC3119" s="402"/>
      <c r="AD3119" s="399"/>
      <c r="AE3119" s="402"/>
      <c r="AF3119" s="391"/>
      <c r="AG3119" s="394"/>
      <c r="AH3119" s="394"/>
      <c r="AI3119" s="394"/>
      <c r="AJ3119" s="394"/>
      <c r="AK3119" s="394"/>
      <c r="AL3119" s="394"/>
      <c r="AM3119" s="394"/>
      <c r="AN3119" s="394"/>
      <c r="AO3119" s="394"/>
      <c r="AP3119" s="394"/>
      <c r="AQ3119" s="394"/>
      <c r="AR3119" s="394"/>
      <c r="AS3119" s="402"/>
      <c r="AT3119" s="404"/>
      <c r="AU3119" s="394"/>
      <c r="AV3119" s="394"/>
      <c r="AW3119" s="394"/>
      <c r="AX3119" s="5"/>
      <c r="AY3119" s="5"/>
      <c r="AZ3119" s="5"/>
      <c r="BA3119" s="5"/>
      <c r="BB3119" s="5"/>
      <c r="BC3119" s="5"/>
      <c r="BD3119" s="5"/>
      <c r="BE3119" s="5"/>
      <c r="BF3119" s="5"/>
      <c r="BG3119" s="5"/>
      <c r="BH3119" s="5"/>
      <c r="BI3119" s="5"/>
      <c r="BJ3119" s="5"/>
      <c r="BK3119" s="5"/>
      <c r="BL3119" s="5"/>
      <c r="BM3119" s="5"/>
      <c r="BN3119" s="5"/>
      <c r="BO3119" s="5"/>
      <c r="BP3119" s="5"/>
      <c r="BQ3119" s="5"/>
      <c r="BR3119" s="5"/>
      <c r="BS3119" s="5"/>
      <c r="BT3119" s="5"/>
      <c r="BU3119" s="5"/>
      <c r="BV3119" s="5"/>
      <c r="BW3119" s="5"/>
      <c r="BX3119" s="5"/>
      <c r="BY3119" s="5"/>
      <c r="BZ3119" s="5"/>
      <c r="CA3119" s="5"/>
    </row>
    <row r="3120" spans="1:79" s="400" customFormat="1" ht="15" customHeight="1">
      <c r="A3120" s="41" t="s">
        <v>183</v>
      </c>
      <c r="B3120" s="385" t="s">
        <v>4393</v>
      </c>
      <c r="C3120" s="18" t="s">
        <v>4393</v>
      </c>
      <c r="D3120" s="377" t="s">
        <v>347</v>
      </c>
      <c r="E3120" s="394"/>
      <c r="F3120" s="385" t="s">
        <v>4394</v>
      </c>
      <c r="G3120" s="405" t="s">
        <v>968</v>
      </c>
      <c r="H3120" s="404">
        <v>3663</v>
      </c>
      <c r="I3120" s="402" t="s">
        <v>2</v>
      </c>
      <c r="J3120" s="406" t="s">
        <v>74</v>
      </c>
      <c r="K3120" s="403">
        <v>41428</v>
      </c>
      <c r="L3120" s="398" t="s">
        <v>5380</v>
      </c>
      <c r="M3120" s="402"/>
      <c r="N3120" s="402" t="s">
        <v>2</v>
      </c>
      <c r="O3120" s="404">
        <f>5/2</f>
        <v>2.5</v>
      </c>
      <c r="P3120" s="402">
        <v>6.38</v>
      </c>
      <c r="Q3120" s="404">
        <v>7.67</v>
      </c>
      <c r="R3120" s="402">
        <v>18</v>
      </c>
      <c r="S3120" s="404">
        <v>12</v>
      </c>
      <c r="T3120" s="402">
        <f>0.1/2</f>
        <v>0.05</v>
      </c>
      <c r="U3120" s="395">
        <f>1/2</f>
        <v>0.5</v>
      </c>
      <c r="V3120" s="402">
        <f>0.1/2</f>
        <v>0.05</v>
      </c>
      <c r="W3120" s="404">
        <f>0.04/2</f>
        <v>0.02</v>
      </c>
      <c r="X3120" s="402">
        <f>0.02/2</f>
        <v>0.01</v>
      </c>
      <c r="Y3120" s="404">
        <f>0.013/2</f>
        <v>6.4999999999999997E-3</v>
      </c>
      <c r="Z3120" s="397">
        <v>1</v>
      </c>
      <c r="AA3120" s="399">
        <v>1</v>
      </c>
      <c r="AB3120" s="394">
        <v>87</v>
      </c>
      <c r="AC3120" s="402">
        <v>258</v>
      </c>
      <c r="AD3120" s="399">
        <v>1</v>
      </c>
      <c r="AE3120" s="402"/>
      <c r="AF3120" s="391"/>
      <c r="AG3120" s="394"/>
      <c r="AH3120" s="394"/>
      <c r="AI3120" s="394"/>
      <c r="AJ3120" s="394"/>
      <c r="AK3120" s="394"/>
      <c r="AL3120" s="394"/>
      <c r="AM3120" s="394"/>
      <c r="AN3120" s="394"/>
      <c r="AO3120" s="394"/>
      <c r="AP3120" s="394"/>
      <c r="AQ3120" s="394"/>
      <c r="AR3120" s="394"/>
      <c r="AS3120" s="402"/>
      <c r="AT3120" s="404"/>
      <c r="AU3120" s="394"/>
      <c r="AV3120" s="394"/>
      <c r="AW3120" s="394"/>
      <c r="AX3120" s="5"/>
      <c r="AY3120" s="5"/>
      <c r="AZ3120" s="5"/>
      <c r="BA3120" s="5"/>
      <c r="BB3120" s="5"/>
      <c r="BC3120" s="5"/>
      <c r="BD3120" s="5"/>
      <c r="BE3120" s="5"/>
      <c r="BF3120" s="5"/>
      <c r="BG3120" s="5"/>
      <c r="BH3120" s="5"/>
      <c r="BI3120" s="5"/>
      <c r="BJ3120" s="5"/>
      <c r="BK3120" s="5"/>
      <c r="BL3120" s="5"/>
      <c r="BM3120" s="5"/>
      <c r="BN3120" s="5"/>
      <c r="BO3120" s="5"/>
      <c r="BP3120" s="5"/>
      <c r="BQ3120" s="5"/>
      <c r="BR3120" s="5"/>
      <c r="BS3120" s="5"/>
      <c r="BT3120" s="5"/>
      <c r="BU3120" s="5"/>
      <c r="BV3120" s="5"/>
      <c r="BW3120" s="5"/>
      <c r="BX3120" s="5"/>
      <c r="BY3120" s="5"/>
      <c r="BZ3120" s="5"/>
      <c r="CA3120" s="5"/>
    </row>
    <row r="3121" spans="1:79" ht="15" customHeight="1">
      <c r="A3121" s="74" t="s">
        <v>4668</v>
      </c>
      <c r="B3121" s="385" t="s">
        <v>4393</v>
      </c>
      <c r="C3121" s="18" t="s">
        <v>4393</v>
      </c>
      <c r="D3121" s="377" t="s">
        <v>347</v>
      </c>
      <c r="F3121" s="385" t="s">
        <v>4394</v>
      </c>
      <c r="G3121" s="405" t="s">
        <v>968</v>
      </c>
      <c r="H3121" s="74">
        <v>3663</v>
      </c>
      <c r="I3121" s="50" t="s">
        <v>2</v>
      </c>
      <c r="J3121" s="339" t="s">
        <v>74</v>
      </c>
      <c r="K3121" s="51">
        <v>41495</v>
      </c>
      <c r="L3121" s="173" t="s">
        <v>5380</v>
      </c>
      <c r="N3121" s="50" t="s">
        <v>2</v>
      </c>
      <c r="O3121" s="74">
        <f>5/2</f>
        <v>2.5</v>
      </c>
      <c r="P3121" s="50">
        <v>6.38</v>
      </c>
      <c r="Q3121" s="74">
        <v>7.47</v>
      </c>
      <c r="R3121" s="50">
        <v>14</v>
      </c>
      <c r="S3121" s="74">
        <v>15</v>
      </c>
      <c r="T3121" s="50">
        <f>0.1/2</f>
        <v>0.05</v>
      </c>
      <c r="U3121" s="131">
        <f>1/2</f>
        <v>0.5</v>
      </c>
      <c r="V3121" s="50">
        <f>0.1/2</f>
        <v>0.05</v>
      </c>
      <c r="W3121" s="74">
        <f>0.04/2</f>
        <v>0.02</v>
      </c>
      <c r="X3121" s="50">
        <f>0.02/2</f>
        <v>0.01</v>
      </c>
      <c r="Y3121" s="74">
        <f>0.013/2</f>
        <v>6.4999999999999997E-3</v>
      </c>
      <c r="Z3121" s="165">
        <v>1</v>
      </c>
      <c r="AA3121" s="271">
        <v>1</v>
      </c>
    </row>
    <row r="3122" spans="1:79" s="400" customFormat="1" ht="15" customHeight="1">
      <c r="A3122" s="41" t="s">
        <v>183</v>
      </c>
      <c r="B3122" s="402" t="s">
        <v>3283</v>
      </c>
      <c r="C3122" s="113" t="s">
        <v>5748</v>
      </c>
      <c r="D3122" s="393" t="s">
        <v>111</v>
      </c>
      <c r="E3122" s="394"/>
      <c r="F3122" s="402" t="s">
        <v>1915</v>
      </c>
      <c r="G3122" s="405" t="s">
        <v>1801</v>
      </c>
      <c r="H3122" s="404">
        <v>3272</v>
      </c>
      <c r="I3122" s="402" t="s">
        <v>2</v>
      </c>
      <c r="J3122" s="401" t="s">
        <v>3251</v>
      </c>
      <c r="K3122" s="403">
        <v>41438</v>
      </c>
      <c r="L3122" s="398"/>
      <c r="M3122" s="402"/>
      <c r="N3122" s="402" t="s">
        <v>2</v>
      </c>
      <c r="O3122" s="404">
        <f>2.5/2</f>
        <v>1.25</v>
      </c>
      <c r="P3122" s="402"/>
      <c r="Q3122" s="404">
        <v>4.78</v>
      </c>
      <c r="R3122" s="402">
        <v>3.7</v>
      </c>
      <c r="S3122" s="404">
        <v>6</v>
      </c>
      <c r="T3122" s="402">
        <v>0.14000000000000001</v>
      </c>
      <c r="U3122" s="395">
        <f>1.15/2</f>
        <v>0.57499999999999996</v>
      </c>
      <c r="V3122" s="402">
        <v>0.4</v>
      </c>
      <c r="W3122" s="404">
        <f>0.03/2</f>
        <v>1.4999999999999999E-2</v>
      </c>
      <c r="X3122" s="402">
        <v>4.7E-2</v>
      </c>
      <c r="Y3122" s="404">
        <v>2E-3</v>
      </c>
      <c r="Z3122" s="397"/>
      <c r="AA3122" s="399"/>
      <c r="AB3122" s="394"/>
      <c r="AC3122" s="402"/>
      <c r="AD3122" s="399"/>
      <c r="AE3122" s="402"/>
      <c r="AF3122" s="391"/>
      <c r="AG3122" s="394"/>
      <c r="AH3122" s="394"/>
      <c r="AI3122" s="394"/>
      <c r="AJ3122" s="394"/>
      <c r="AK3122" s="394"/>
      <c r="AL3122" s="394"/>
      <c r="AM3122" s="394"/>
      <c r="AN3122" s="394"/>
      <c r="AO3122" s="394"/>
      <c r="AP3122" s="394"/>
      <c r="AQ3122" s="394"/>
      <c r="AR3122" s="394"/>
      <c r="AS3122" s="402"/>
      <c r="AT3122" s="404"/>
      <c r="AU3122" s="394"/>
      <c r="AV3122" s="394"/>
      <c r="AW3122" s="394"/>
      <c r="AX3122" s="5"/>
      <c r="AY3122" s="5"/>
      <c r="AZ3122" s="5"/>
      <c r="BA3122" s="5"/>
      <c r="BB3122" s="5"/>
      <c r="BC3122" s="5"/>
      <c r="BD3122" s="5"/>
      <c r="BE3122" s="5"/>
      <c r="BF3122" s="5"/>
      <c r="BG3122" s="5"/>
      <c r="BH3122" s="5"/>
      <c r="BI3122" s="5"/>
      <c r="BJ3122" s="5"/>
      <c r="BK3122" s="5"/>
      <c r="BL3122" s="5"/>
      <c r="BM3122" s="5"/>
      <c r="BN3122" s="5"/>
      <c r="BO3122" s="5"/>
      <c r="BP3122" s="5"/>
      <c r="BQ3122" s="5"/>
      <c r="BR3122" s="5"/>
      <c r="BS3122" s="5"/>
      <c r="BT3122" s="5"/>
      <c r="BU3122" s="5"/>
      <c r="BV3122" s="5"/>
      <c r="BW3122" s="5"/>
      <c r="BX3122" s="5"/>
      <c r="BY3122" s="5"/>
      <c r="BZ3122" s="5"/>
      <c r="CA3122" s="5"/>
    </row>
    <row r="3123" spans="1:79" s="400" customFormat="1" ht="15" customHeight="1">
      <c r="A3123" s="41" t="s">
        <v>183</v>
      </c>
      <c r="B3123" s="402" t="s">
        <v>5749</v>
      </c>
      <c r="C3123" s="113" t="s">
        <v>5749</v>
      </c>
      <c r="D3123" s="393" t="s">
        <v>379</v>
      </c>
      <c r="E3123" s="394" t="s">
        <v>214</v>
      </c>
      <c r="F3123" s="402"/>
      <c r="G3123" s="405" t="s">
        <v>5486</v>
      </c>
      <c r="H3123" s="404">
        <v>3316</v>
      </c>
      <c r="I3123" s="402" t="s">
        <v>2</v>
      </c>
      <c r="J3123" s="406" t="s">
        <v>249</v>
      </c>
      <c r="K3123" s="403">
        <v>41402</v>
      </c>
      <c r="L3123" s="398">
        <v>41379</v>
      </c>
      <c r="M3123" s="402">
        <f t="shared" ref="M3123:M3124" si="182">K3123-L3123</f>
        <v>23</v>
      </c>
      <c r="N3123" s="402" t="s">
        <v>2</v>
      </c>
      <c r="O3123" s="404">
        <f>2/2</f>
        <v>1</v>
      </c>
      <c r="P3123" s="402">
        <v>5.4</v>
      </c>
      <c r="Q3123" s="404">
        <v>6.1</v>
      </c>
      <c r="R3123" s="402">
        <f>20/2</f>
        <v>10</v>
      </c>
      <c r="S3123" s="404">
        <v>2.2000000000000002</v>
      </c>
      <c r="T3123" s="402">
        <v>0.19</v>
      </c>
      <c r="U3123" s="395">
        <v>2.2999999999999998</v>
      </c>
      <c r="V3123" s="402">
        <v>1.06</v>
      </c>
      <c r="W3123" s="404">
        <v>1.7000000000000001E-2</v>
      </c>
      <c r="X3123" s="402">
        <v>0.14099999999999999</v>
      </c>
      <c r="Y3123" s="404">
        <v>2.3900000000000001E-2</v>
      </c>
      <c r="Z3123" s="397"/>
      <c r="AA3123" s="399"/>
      <c r="AB3123" s="394"/>
      <c r="AC3123" s="402"/>
      <c r="AD3123" s="399"/>
      <c r="AE3123" s="402">
        <f>50/2</f>
        <v>25</v>
      </c>
      <c r="AF3123" s="391"/>
      <c r="AG3123" s="394"/>
      <c r="AH3123" s="394"/>
      <c r="AI3123" s="394"/>
      <c r="AJ3123" s="394"/>
      <c r="AK3123" s="394"/>
      <c r="AL3123" s="394"/>
      <c r="AM3123" s="394"/>
      <c r="AN3123" s="394"/>
      <c r="AO3123" s="394"/>
      <c r="AP3123" s="394"/>
      <c r="AQ3123" s="394"/>
      <c r="AR3123" s="394"/>
      <c r="AS3123" s="402"/>
      <c r="AT3123" s="404"/>
      <c r="AU3123" s="394"/>
      <c r="AV3123" s="394"/>
      <c r="AW3123" s="394"/>
      <c r="AX3123" s="5"/>
      <c r="AY3123" s="5"/>
      <c r="AZ3123" s="5"/>
      <c r="BA3123" s="5"/>
      <c r="BB3123" s="5"/>
      <c r="BC3123" s="5"/>
      <c r="BD3123" s="5"/>
      <c r="BE3123" s="5"/>
      <c r="BF3123" s="5"/>
      <c r="BG3123" s="5"/>
      <c r="BH3123" s="5"/>
      <c r="BI3123" s="5"/>
      <c r="BJ3123" s="5"/>
      <c r="BK3123" s="5"/>
      <c r="BL3123" s="5"/>
      <c r="BM3123" s="5"/>
      <c r="BN3123" s="5"/>
      <c r="BO3123" s="5"/>
      <c r="BP3123" s="5"/>
      <c r="BQ3123" s="5"/>
      <c r="BR3123" s="5"/>
      <c r="BS3123" s="5"/>
      <c r="BT3123" s="5"/>
      <c r="BU3123" s="5"/>
      <c r="BV3123" s="5"/>
      <c r="BW3123" s="5"/>
      <c r="BX3123" s="5"/>
      <c r="BY3123" s="5"/>
      <c r="BZ3123" s="5"/>
      <c r="CA3123" s="5"/>
    </row>
    <row r="3124" spans="1:79" s="400" customFormat="1" ht="15" customHeight="1">
      <c r="A3124" s="41" t="s">
        <v>183</v>
      </c>
      <c r="B3124" s="402" t="s">
        <v>5749</v>
      </c>
      <c r="C3124" s="113" t="s">
        <v>5749</v>
      </c>
      <c r="D3124" s="393" t="s">
        <v>379</v>
      </c>
      <c r="E3124" s="394" t="s">
        <v>214</v>
      </c>
      <c r="F3124" s="402"/>
      <c r="G3124" s="405" t="s">
        <v>5486</v>
      </c>
      <c r="H3124" s="404">
        <v>3316</v>
      </c>
      <c r="I3124" s="402" t="s">
        <v>2</v>
      </c>
      <c r="J3124" s="406" t="s">
        <v>1999</v>
      </c>
      <c r="K3124" s="403">
        <v>41402</v>
      </c>
      <c r="L3124" s="398">
        <v>41379</v>
      </c>
      <c r="M3124" s="402">
        <f t="shared" si="182"/>
        <v>23</v>
      </c>
      <c r="N3124" s="402" t="s">
        <v>2</v>
      </c>
      <c r="O3124" s="404">
        <f>2/1</f>
        <v>2</v>
      </c>
      <c r="P3124" s="402">
        <v>5.4</v>
      </c>
      <c r="Q3124" s="404">
        <v>5.9</v>
      </c>
      <c r="R3124" s="402">
        <v>32</v>
      </c>
      <c r="S3124" s="404">
        <v>10.6</v>
      </c>
      <c r="T3124" s="402">
        <v>0.159</v>
      </c>
      <c r="U3124" s="395">
        <v>2.4</v>
      </c>
      <c r="V3124" s="402">
        <v>0.46</v>
      </c>
      <c r="W3124" s="404">
        <f>0.005/2</f>
        <v>2.5000000000000001E-3</v>
      </c>
      <c r="X3124" s="402">
        <v>8.6999999999999994E-2</v>
      </c>
      <c r="Y3124" s="404">
        <f>0.005/2</f>
        <v>2.5000000000000001E-3</v>
      </c>
      <c r="Z3124" s="397"/>
      <c r="AA3124" s="399"/>
      <c r="AB3124" s="394"/>
      <c r="AC3124" s="402"/>
      <c r="AD3124" s="399"/>
      <c r="AE3124" s="402">
        <f>50/2</f>
        <v>25</v>
      </c>
      <c r="AF3124" s="391"/>
      <c r="AG3124" s="394"/>
      <c r="AH3124" s="394"/>
      <c r="AI3124" s="394"/>
      <c r="AJ3124" s="394"/>
      <c r="AK3124" s="394"/>
      <c r="AL3124" s="394"/>
      <c r="AM3124" s="394"/>
      <c r="AN3124" s="394"/>
      <c r="AO3124" s="394"/>
      <c r="AP3124" s="394"/>
      <c r="AQ3124" s="394"/>
      <c r="AR3124" s="394"/>
      <c r="AS3124" s="402"/>
      <c r="AT3124" s="404"/>
      <c r="AU3124" s="394"/>
      <c r="AV3124" s="394"/>
      <c r="AW3124" s="394"/>
      <c r="AX3124" s="5"/>
      <c r="AY3124" s="5"/>
      <c r="AZ3124" s="5"/>
      <c r="BA3124" s="5"/>
      <c r="BB3124" s="5"/>
      <c r="BC3124" s="5"/>
      <c r="BD3124" s="5"/>
      <c r="BE3124" s="5"/>
      <c r="BF3124" s="5"/>
      <c r="BG3124" s="5"/>
      <c r="BH3124" s="5"/>
      <c r="BI3124" s="5"/>
      <c r="BJ3124" s="5"/>
      <c r="BK3124" s="5"/>
      <c r="BL3124" s="5"/>
      <c r="BM3124" s="5"/>
      <c r="BN3124" s="5"/>
      <c r="BO3124" s="5"/>
      <c r="BP3124" s="5"/>
      <c r="BQ3124" s="5"/>
      <c r="BR3124" s="5"/>
      <c r="BS3124" s="5"/>
      <c r="BT3124" s="5"/>
      <c r="BU3124" s="5"/>
      <c r="BV3124" s="5"/>
      <c r="BW3124" s="5"/>
      <c r="BX3124" s="5"/>
      <c r="BY3124" s="5"/>
      <c r="BZ3124" s="5"/>
      <c r="CA3124" s="5"/>
    </row>
    <row r="3125" spans="1:79" s="400" customFormat="1" ht="15" customHeight="1">
      <c r="A3125" s="41" t="s">
        <v>183</v>
      </c>
      <c r="B3125" s="402" t="s">
        <v>3283</v>
      </c>
      <c r="C3125" s="113" t="s">
        <v>5750</v>
      </c>
      <c r="D3125" s="393" t="s">
        <v>111</v>
      </c>
      <c r="E3125" s="394"/>
      <c r="F3125" s="402" t="s">
        <v>1915</v>
      </c>
      <c r="G3125" s="405" t="s">
        <v>1801</v>
      </c>
      <c r="H3125" s="404">
        <v>3272</v>
      </c>
      <c r="I3125" s="402" t="s">
        <v>2</v>
      </c>
      <c r="J3125" s="401" t="s">
        <v>3251</v>
      </c>
      <c r="K3125" s="403">
        <v>41376</v>
      </c>
      <c r="L3125" s="398"/>
      <c r="M3125" s="402"/>
      <c r="N3125" s="402" t="s">
        <v>2</v>
      </c>
      <c r="O3125" s="404">
        <f>5/2</f>
        <v>2.5</v>
      </c>
      <c r="P3125" s="402"/>
      <c r="Q3125" s="404">
        <v>6.15</v>
      </c>
      <c r="R3125" s="402"/>
      <c r="S3125" s="404">
        <v>0.8</v>
      </c>
      <c r="T3125" s="402">
        <v>0.06</v>
      </c>
      <c r="U3125" s="395">
        <v>0.48</v>
      </c>
      <c r="V3125" s="402">
        <f>0.55/2</f>
        <v>0.27500000000000002</v>
      </c>
      <c r="W3125" s="404">
        <f>0.03/2</f>
        <v>1.4999999999999999E-2</v>
      </c>
      <c r="X3125" s="402">
        <v>0.03</v>
      </c>
      <c r="Y3125" s="404">
        <v>2E-3</v>
      </c>
      <c r="Z3125" s="397">
        <v>1</v>
      </c>
      <c r="AA3125" s="399">
        <v>1</v>
      </c>
      <c r="AB3125" s="394">
        <f>1/2</f>
        <v>0.5</v>
      </c>
      <c r="AC3125" s="402">
        <v>4</v>
      </c>
      <c r="AD3125" s="399">
        <v>1</v>
      </c>
      <c r="AE3125" s="402"/>
      <c r="AF3125" s="391"/>
      <c r="AG3125" s="394"/>
      <c r="AH3125" s="394"/>
      <c r="AI3125" s="394"/>
      <c r="AJ3125" s="394"/>
      <c r="AK3125" s="394"/>
      <c r="AL3125" s="394"/>
      <c r="AM3125" s="394"/>
      <c r="AN3125" s="394"/>
      <c r="AO3125" s="394"/>
      <c r="AP3125" s="394"/>
      <c r="AQ3125" s="394"/>
      <c r="AR3125" s="394"/>
      <c r="AS3125" s="402"/>
      <c r="AT3125" s="404"/>
      <c r="AU3125" s="394"/>
      <c r="AV3125" s="394"/>
      <c r="AW3125" s="394"/>
      <c r="AX3125" s="5"/>
      <c r="AY3125" s="5"/>
      <c r="AZ3125" s="5"/>
      <c r="BA3125" s="5"/>
      <c r="BB3125" s="5"/>
      <c r="BC3125" s="5"/>
      <c r="BD3125" s="5"/>
      <c r="BE3125" s="5"/>
      <c r="BF3125" s="5"/>
      <c r="BG3125" s="5"/>
      <c r="BH3125" s="5"/>
      <c r="BI3125" s="5"/>
      <c r="BJ3125" s="5"/>
      <c r="BK3125" s="5"/>
      <c r="BL3125" s="5"/>
      <c r="BM3125" s="5"/>
      <c r="BN3125" s="5"/>
      <c r="BO3125" s="5"/>
      <c r="BP3125" s="5"/>
      <c r="BQ3125" s="5"/>
      <c r="BR3125" s="5"/>
      <c r="BS3125" s="5"/>
      <c r="BT3125" s="5"/>
      <c r="BU3125" s="5"/>
      <c r="BV3125" s="5"/>
      <c r="BW3125" s="5"/>
      <c r="BX3125" s="5"/>
      <c r="BY3125" s="5"/>
      <c r="BZ3125" s="5"/>
      <c r="CA3125" s="5"/>
    </row>
    <row r="3126" spans="1:79" ht="15" customHeight="1">
      <c r="A3126" s="41" t="s">
        <v>183</v>
      </c>
      <c r="B3126" s="402" t="s">
        <v>1296</v>
      </c>
      <c r="C3126" s="113" t="s">
        <v>6027</v>
      </c>
      <c r="D3126" s="393" t="s">
        <v>2913</v>
      </c>
      <c r="E3126" s="394" t="s">
        <v>535</v>
      </c>
      <c r="G3126" s="405" t="s">
        <v>5751</v>
      </c>
      <c r="H3126" s="74">
        <v>3562</v>
      </c>
      <c r="J3126" s="339"/>
      <c r="K3126" s="51">
        <v>41345</v>
      </c>
      <c r="L3126" s="173">
        <v>41341</v>
      </c>
      <c r="M3126" s="50">
        <f>K3126-L3126</f>
        <v>4</v>
      </c>
      <c r="N3126" s="50" t="s">
        <v>2</v>
      </c>
      <c r="O3126" s="74">
        <f>2/2</f>
        <v>1</v>
      </c>
      <c r="P3126" s="50">
        <v>6.4</v>
      </c>
      <c r="Q3126" s="74">
        <v>6.8</v>
      </c>
      <c r="R3126" s="50">
        <v>60</v>
      </c>
      <c r="S3126" s="74">
        <v>67.599999999999994</v>
      </c>
      <c r="T3126" s="50">
        <v>0.126</v>
      </c>
      <c r="U3126" s="131">
        <v>2.2000000000000002</v>
      </c>
      <c r="V3126" s="50">
        <f>0.46/2</f>
        <v>0.23</v>
      </c>
      <c r="W3126" s="74">
        <v>1.4E-2</v>
      </c>
      <c r="X3126" s="50">
        <v>4.9000000000000002E-2</v>
      </c>
      <c r="Y3126" s="74">
        <f>0.005/2</f>
        <v>2.5000000000000001E-3</v>
      </c>
      <c r="Z3126" s="165"/>
    </row>
    <row r="3127" spans="1:79" s="400" customFormat="1" ht="15" customHeight="1">
      <c r="A3127" s="41" t="s">
        <v>183</v>
      </c>
      <c r="B3127" s="402" t="s">
        <v>2096</v>
      </c>
      <c r="C3127" s="113" t="s">
        <v>2096</v>
      </c>
      <c r="D3127" s="393" t="s">
        <v>372</v>
      </c>
      <c r="E3127" s="394" t="s">
        <v>235</v>
      </c>
      <c r="F3127" s="402"/>
      <c r="G3127" s="405" t="s">
        <v>3624</v>
      </c>
      <c r="H3127" s="404">
        <v>3316</v>
      </c>
      <c r="I3127" s="402" t="s">
        <v>1</v>
      </c>
      <c r="J3127" s="406" t="s">
        <v>255</v>
      </c>
      <c r="K3127" s="403">
        <v>41345</v>
      </c>
      <c r="L3127" s="398">
        <v>41342</v>
      </c>
      <c r="M3127" s="402">
        <f t="shared" ref="M3127:M3132" si="183">K3127-L3127</f>
        <v>3</v>
      </c>
      <c r="N3127" s="402" t="s">
        <v>2</v>
      </c>
      <c r="O3127" s="404">
        <v>1.6</v>
      </c>
      <c r="P3127" s="402">
        <v>7.5</v>
      </c>
      <c r="Q3127" s="404">
        <v>6.6</v>
      </c>
      <c r="R3127" s="402">
        <v>7.5</v>
      </c>
      <c r="S3127" s="404">
        <v>22</v>
      </c>
      <c r="T3127" s="402">
        <v>0.32</v>
      </c>
      <c r="U3127" s="395">
        <v>0.6</v>
      </c>
      <c r="V3127" s="402">
        <v>0.35</v>
      </c>
      <c r="W3127" s="404">
        <v>1.2999999999999999E-2</v>
      </c>
      <c r="X3127" s="402">
        <v>8.6999999999999994E-2</v>
      </c>
      <c r="Y3127" s="404">
        <v>3.0000000000000001E-3</v>
      </c>
      <c r="Z3127" s="397">
        <v>1</v>
      </c>
      <c r="AA3127" s="399">
        <v>1</v>
      </c>
      <c r="AB3127" s="394">
        <v>3.29</v>
      </c>
      <c r="AC3127" s="402">
        <v>203</v>
      </c>
      <c r="AD3127" s="399">
        <v>0.6</v>
      </c>
      <c r="AE3127" s="402">
        <v>84</v>
      </c>
      <c r="AF3127" s="391"/>
      <c r="AG3127" s="394"/>
      <c r="AH3127" s="394"/>
      <c r="AI3127" s="394"/>
      <c r="AJ3127" s="394"/>
      <c r="AK3127" s="394"/>
      <c r="AL3127" s="394"/>
      <c r="AM3127" s="394"/>
      <c r="AN3127" s="394"/>
      <c r="AO3127" s="394"/>
      <c r="AP3127" s="394"/>
      <c r="AQ3127" s="394"/>
      <c r="AR3127" s="394"/>
      <c r="AS3127" s="402"/>
      <c r="AT3127" s="404"/>
      <c r="AU3127" s="394"/>
      <c r="AV3127" s="394"/>
      <c r="AW3127" s="394"/>
      <c r="AX3127" s="5"/>
      <c r="AY3127" s="5"/>
      <c r="AZ3127" s="5"/>
      <c r="BA3127" s="5"/>
      <c r="BB3127" s="5"/>
      <c r="BC3127" s="5"/>
      <c r="BD3127" s="5"/>
      <c r="BE3127" s="5"/>
      <c r="BF3127" s="5"/>
      <c r="BG3127" s="5"/>
      <c r="BH3127" s="5"/>
      <c r="BI3127" s="5"/>
      <c r="BJ3127" s="5"/>
      <c r="BK3127" s="5"/>
      <c r="BL3127" s="5"/>
      <c r="BM3127" s="5"/>
      <c r="BN3127" s="5"/>
      <c r="BO3127" s="5"/>
      <c r="BP3127" s="5"/>
      <c r="BQ3127" s="5"/>
      <c r="BR3127" s="5"/>
      <c r="BS3127" s="5"/>
      <c r="BT3127" s="5"/>
      <c r="BU3127" s="5"/>
      <c r="BV3127" s="5"/>
      <c r="BW3127" s="5"/>
      <c r="BX3127" s="5"/>
      <c r="BY3127" s="5"/>
      <c r="BZ3127" s="5"/>
      <c r="CA3127" s="5"/>
    </row>
    <row r="3128" spans="1:79" s="400" customFormat="1" ht="15" customHeight="1">
      <c r="A3128" s="41" t="s">
        <v>183</v>
      </c>
      <c r="B3128" s="402" t="s">
        <v>5752</v>
      </c>
      <c r="C3128" s="113" t="s">
        <v>5752</v>
      </c>
      <c r="D3128" s="393" t="s">
        <v>156</v>
      </c>
      <c r="E3128" s="394" t="s">
        <v>5753</v>
      </c>
      <c r="F3128" s="402">
        <v>4600</v>
      </c>
      <c r="G3128" s="405" t="s">
        <v>5754</v>
      </c>
      <c r="H3128" s="404" t="s">
        <v>5755</v>
      </c>
      <c r="I3128" s="402" t="s">
        <v>1</v>
      </c>
      <c r="J3128" s="406" t="s">
        <v>690</v>
      </c>
      <c r="K3128" s="403">
        <v>41428</v>
      </c>
      <c r="L3128" s="398">
        <v>41425</v>
      </c>
      <c r="M3128" s="402">
        <f t="shared" si="183"/>
        <v>3</v>
      </c>
      <c r="N3128" s="402" t="s">
        <v>2</v>
      </c>
      <c r="O3128" s="404">
        <v>1.6</v>
      </c>
      <c r="P3128" s="402">
        <v>7.2</v>
      </c>
      <c r="Q3128" s="404">
        <v>7.81</v>
      </c>
      <c r="R3128" s="402">
        <v>64</v>
      </c>
      <c r="S3128" s="404">
        <v>410</v>
      </c>
      <c r="T3128" s="402">
        <v>0.94</v>
      </c>
      <c r="U3128" s="395">
        <v>1.32</v>
      </c>
      <c r="V3128" s="402">
        <v>0.76</v>
      </c>
      <c r="W3128" s="404">
        <v>0.53800000000000003</v>
      </c>
      <c r="X3128" s="402">
        <v>0.623</v>
      </c>
      <c r="Y3128" s="404">
        <v>0.13200000000000001</v>
      </c>
      <c r="Z3128" s="397">
        <v>1</v>
      </c>
      <c r="AA3128" s="399">
        <v>1</v>
      </c>
      <c r="AB3128" s="394">
        <v>88</v>
      </c>
      <c r="AC3128" s="402">
        <v>166</v>
      </c>
      <c r="AD3128" s="399">
        <v>1</v>
      </c>
      <c r="AE3128" s="402"/>
      <c r="AF3128" s="391"/>
      <c r="AG3128" s="394"/>
      <c r="AH3128" s="394"/>
      <c r="AI3128" s="394"/>
      <c r="AJ3128" s="394"/>
      <c r="AK3128" s="394"/>
      <c r="AL3128" s="394"/>
      <c r="AM3128" s="394"/>
      <c r="AN3128" s="394"/>
      <c r="AO3128" s="394"/>
      <c r="AP3128" s="394"/>
      <c r="AQ3128" s="394"/>
      <c r="AR3128" s="394"/>
      <c r="AS3128" s="402"/>
      <c r="AT3128" s="404"/>
      <c r="AU3128" s="394"/>
      <c r="AV3128" s="394"/>
      <c r="AW3128" s="394"/>
      <c r="AX3128" s="5"/>
      <c r="AY3128" s="5"/>
      <c r="AZ3128" s="5"/>
      <c r="BA3128" s="5"/>
      <c r="BB3128" s="5"/>
      <c r="BC3128" s="5"/>
      <c r="BD3128" s="5"/>
      <c r="BE3128" s="5"/>
      <c r="BF3128" s="5"/>
      <c r="BG3128" s="5"/>
      <c r="BH3128" s="5"/>
      <c r="BI3128" s="5"/>
      <c r="BJ3128" s="5"/>
      <c r="BK3128" s="5"/>
      <c r="BL3128" s="5"/>
      <c r="BM3128" s="5"/>
      <c r="BN3128" s="5"/>
      <c r="BO3128" s="5"/>
      <c r="BP3128" s="5"/>
      <c r="BQ3128" s="5"/>
      <c r="BR3128" s="5"/>
      <c r="BS3128" s="5"/>
      <c r="BT3128" s="5"/>
      <c r="BU3128" s="5"/>
      <c r="BV3128" s="5"/>
      <c r="BW3128" s="5"/>
      <c r="BX3128" s="5"/>
      <c r="BY3128" s="5"/>
      <c r="BZ3128" s="5"/>
      <c r="CA3128" s="5"/>
    </row>
    <row r="3129" spans="1:79" s="400" customFormat="1" ht="15" customHeight="1">
      <c r="A3129" s="41" t="s">
        <v>183</v>
      </c>
      <c r="B3129" s="402" t="s">
        <v>5752</v>
      </c>
      <c r="C3129" s="113" t="s">
        <v>5752</v>
      </c>
      <c r="D3129" s="393" t="s">
        <v>156</v>
      </c>
      <c r="E3129" s="394" t="s">
        <v>5753</v>
      </c>
      <c r="F3129" s="402">
        <v>4600</v>
      </c>
      <c r="G3129" s="405" t="s">
        <v>5754</v>
      </c>
      <c r="H3129" s="404" t="s">
        <v>5755</v>
      </c>
      <c r="I3129" s="402" t="s">
        <v>1</v>
      </c>
      <c r="J3129" s="406" t="s">
        <v>255</v>
      </c>
      <c r="K3129" s="403">
        <v>41428</v>
      </c>
      <c r="L3129" s="398">
        <v>41425</v>
      </c>
      <c r="M3129" s="402">
        <f t="shared" si="183"/>
        <v>3</v>
      </c>
      <c r="N3129" s="402" t="s">
        <v>2</v>
      </c>
      <c r="O3129" s="404">
        <f>1.4/2</f>
        <v>0.7</v>
      </c>
      <c r="P3129" s="402">
        <v>7.13</v>
      </c>
      <c r="Q3129" s="404">
        <v>7.84</v>
      </c>
      <c r="R3129" s="402">
        <v>53</v>
      </c>
      <c r="S3129" s="404">
        <v>27</v>
      </c>
      <c r="T3129" s="402">
        <v>0.2</v>
      </c>
      <c r="U3129" s="395">
        <v>1.02</v>
      </c>
      <c r="V3129" s="402">
        <v>0.43</v>
      </c>
      <c r="W3129" s="404">
        <v>1.4999999999999999E-2</v>
      </c>
      <c r="X3129" s="402">
        <v>2.7E-2</v>
      </c>
      <c r="Y3129" s="404">
        <f>0.002/2</f>
        <v>1E-3</v>
      </c>
      <c r="Z3129" s="397">
        <v>1</v>
      </c>
      <c r="AA3129" s="399">
        <v>1</v>
      </c>
      <c r="AB3129" s="394">
        <v>92</v>
      </c>
      <c r="AC3129" s="402">
        <v>197</v>
      </c>
      <c r="AD3129" s="399">
        <v>1</v>
      </c>
      <c r="AE3129" s="402"/>
      <c r="AF3129" s="391"/>
      <c r="AG3129" s="394"/>
      <c r="AH3129" s="394"/>
      <c r="AI3129" s="394"/>
      <c r="AJ3129" s="394"/>
      <c r="AK3129" s="394"/>
      <c r="AL3129" s="394"/>
      <c r="AM3129" s="394"/>
      <c r="AN3129" s="394"/>
      <c r="AO3129" s="394"/>
      <c r="AP3129" s="394"/>
      <c r="AQ3129" s="394"/>
      <c r="AR3129" s="394"/>
      <c r="AS3129" s="402"/>
      <c r="AT3129" s="404"/>
      <c r="AU3129" s="394"/>
      <c r="AV3129" s="394"/>
      <c r="AW3129" s="394"/>
      <c r="AX3129" s="5"/>
      <c r="AY3129" s="5"/>
      <c r="AZ3129" s="5"/>
      <c r="BA3129" s="5"/>
      <c r="BB3129" s="5"/>
      <c r="BC3129" s="5"/>
      <c r="BD3129" s="5"/>
      <c r="BE3129" s="5"/>
      <c r="BF3129" s="5"/>
      <c r="BG3129" s="5"/>
      <c r="BH3129" s="5"/>
      <c r="BI3129" s="5"/>
      <c r="BJ3129" s="5"/>
      <c r="BK3129" s="5"/>
      <c r="BL3129" s="5"/>
      <c r="BM3129" s="5"/>
      <c r="BN3129" s="5"/>
      <c r="BO3129" s="5"/>
      <c r="BP3129" s="5"/>
      <c r="BQ3129" s="5"/>
      <c r="BR3129" s="5"/>
      <c r="BS3129" s="5"/>
      <c r="BT3129" s="5"/>
      <c r="BU3129" s="5"/>
      <c r="BV3129" s="5"/>
      <c r="BW3129" s="5"/>
      <c r="BX3129" s="5"/>
      <c r="BY3129" s="5"/>
      <c r="BZ3129" s="5"/>
      <c r="CA3129" s="5"/>
    </row>
    <row r="3130" spans="1:79" s="400" customFormat="1" ht="15" customHeight="1">
      <c r="A3130" s="41" t="s">
        <v>183</v>
      </c>
      <c r="B3130" s="402" t="s">
        <v>428</v>
      </c>
      <c r="C3130" s="113" t="s">
        <v>4897</v>
      </c>
      <c r="D3130" s="393" t="s">
        <v>111</v>
      </c>
      <c r="E3130" s="394" t="s">
        <v>429</v>
      </c>
      <c r="F3130" s="402"/>
      <c r="G3130" s="405" t="s">
        <v>430</v>
      </c>
      <c r="H3130" s="404">
        <v>3356</v>
      </c>
      <c r="I3130" s="402" t="s">
        <v>1</v>
      </c>
      <c r="J3130" s="406" t="s">
        <v>5756</v>
      </c>
      <c r="K3130" s="403">
        <v>41197</v>
      </c>
      <c r="L3130" s="398">
        <v>41192</v>
      </c>
      <c r="M3130" s="402">
        <f t="shared" si="183"/>
        <v>5</v>
      </c>
      <c r="N3130" s="402" t="s">
        <v>2</v>
      </c>
      <c r="O3130" s="404">
        <v>3.2</v>
      </c>
      <c r="P3130" s="402">
        <v>5</v>
      </c>
      <c r="Q3130" s="404">
        <v>6.62</v>
      </c>
      <c r="R3130" s="402">
        <v>68.8</v>
      </c>
      <c r="S3130" s="404">
        <v>67</v>
      </c>
      <c r="T3130" s="402">
        <v>0.22</v>
      </c>
      <c r="U3130" s="395">
        <v>1.63</v>
      </c>
      <c r="V3130" s="402">
        <f>0.1/2</f>
        <v>0.05</v>
      </c>
      <c r="W3130" s="404">
        <v>0.10299999999999999</v>
      </c>
      <c r="X3130" s="402">
        <v>0.125</v>
      </c>
      <c r="Y3130" s="404">
        <v>1.6E-2</v>
      </c>
      <c r="Z3130" s="397">
        <v>1</v>
      </c>
      <c r="AA3130" s="399">
        <v>1</v>
      </c>
      <c r="AB3130" s="394">
        <v>15.45</v>
      </c>
      <c r="AC3130" s="402">
        <v>25</v>
      </c>
      <c r="AD3130" s="399">
        <v>1</v>
      </c>
      <c r="AE3130" s="402"/>
      <c r="AF3130" s="391"/>
      <c r="AG3130" s="394"/>
      <c r="AH3130" s="394"/>
      <c r="AI3130" s="394"/>
      <c r="AJ3130" s="394"/>
      <c r="AK3130" s="394"/>
      <c r="AL3130" s="394"/>
      <c r="AM3130" s="394"/>
      <c r="AN3130" s="394"/>
      <c r="AO3130" s="394"/>
      <c r="AP3130" s="394"/>
      <c r="AQ3130" s="394"/>
      <c r="AR3130" s="394"/>
      <c r="AS3130" s="402"/>
      <c r="AT3130" s="404"/>
      <c r="AU3130" s="394"/>
      <c r="AV3130" s="394"/>
      <c r="AW3130" s="394"/>
      <c r="AX3130" s="5"/>
      <c r="AY3130" s="5"/>
      <c r="AZ3130" s="5"/>
      <c r="BA3130" s="5"/>
      <c r="BB3130" s="5"/>
      <c r="BC3130" s="5"/>
      <c r="BD3130" s="5"/>
      <c r="BE3130" s="5"/>
      <c r="BF3130" s="5"/>
      <c r="BG3130" s="5"/>
      <c r="BH3130" s="5"/>
      <c r="BI3130" s="5"/>
      <c r="BJ3130" s="5"/>
      <c r="BK3130" s="5"/>
      <c r="BL3130" s="5"/>
      <c r="BM3130" s="5"/>
      <c r="BN3130" s="5"/>
      <c r="BO3130" s="5"/>
      <c r="BP3130" s="5"/>
      <c r="BQ3130" s="5"/>
      <c r="BR3130" s="5"/>
      <c r="BS3130" s="5"/>
      <c r="BT3130" s="5"/>
      <c r="BU3130" s="5"/>
      <c r="BV3130" s="5"/>
      <c r="BW3130" s="5"/>
      <c r="BX3130" s="5"/>
      <c r="BY3130" s="5"/>
      <c r="BZ3130" s="5"/>
      <c r="CA3130" s="5"/>
    </row>
    <row r="3131" spans="1:79" s="400" customFormat="1" ht="15" customHeight="1">
      <c r="A3131" s="41" t="s">
        <v>183</v>
      </c>
      <c r="B3131" s="402" t="s">
        <v>1922</v>
      </c>
      <c r="C3131" s="113" t="s">
        <v>1922</v>
      </c>
      <c r="D3131" s="393" t="s">
        <v>308</v>
      </c>
      <c r="E3131" s="394" t="s">
        <v>1923</v>
      </c>
      <c r="F3131" s="402">
        <v>6905</v>
      </c>
      <c r="G3131" s="405" t="s">
        <v>1924</v>
      </c>
      <c r="H3131" s="404">
        <v>3321</v>
      </c>
      <c r="I3131" s="402" t="s">
        <v>2</v>
      </c>
      <c r="J3131" s="401" t="s">
        <v>1925</v>
      </c>
      <c r="K3131" s="403">
        <v>41345</v>
      </c>
      <c r="L3131" s="398" t="s">
        <v>3434</v>
      </c>
      <c r="M3131" s="402"/>
      <c r="N3131" s="402" t="s">
        <v>2</v>
      </c>
      <c r="O3131" s="404">
        <f>2.5/2</f>
        <v>1.25</v>
      </c>
      <c r="P3131" s="402">
        <v>7.57</v>
      </c>
      <c r="Q3131" s="404">
        <v>7.8</v>
      </c>
      <c r="R3131" s="402">
        <v>76.5</v>
      </c>
      <c r="S3131" s="404">
        <v>71.5</v>
      </c>
      <c r="T3131" s="402">
        <f>0.05/2</f>
        <v>2.5000000000000001E-2</v>
      </c>
      <c r="U3131" s="395">
        <f>0.1/2</f>
        <v>0.05</v>
      </c>
      <c r="V3131" s="402">
        <f>0.25/2</f>
        <v>0.125</v>
      </c>
      <c r="W3131" s="404">
        <v>0.02</v>
      </c>
      <c r="X3131" s="402">
        <v>0.02</v>
      </c>
      <c r="Y3131" s="404">
        <f>0.004/2</f>
        <v>2E-3</v>
      </c>
      <c r="Z3131" s="397"/>
      <c r="AA3131" s="399"/>
      <c r="AB3131" s="394"/>
      <c r="AC3131" s="402"/>
      <c r="AD3131" s="399"/>
      <c r="AE3131" s="402"/>
      <c r="AF3131" s="391"/>
      <c r="AG3131" s="394"/>
      <c r="AH3131" s="394"/>
      <c r="AI3131" s="394"/>
      <c r="AJ3131" s="394"/>
      <c r="AK3131" s="394"/>
      <c r="AL3131" s="394"/>
      <c r="AM3131" s="394"/>
      <c r="AN3131" s="394"/>
      <c r="AO3131" s="394"/>
      <c r="AP3131" s="394"/>
      <c r="AQ3131" s="394"/>
      <c r="AR3131" s="394"/>
      <c r="AS3131" s="402"/>
      <c r="AT3131" s="404"/>
      <c r="AU3131" s="394"/>
      <c r="AV3131" s="394"/>
      <c r="AW3131" s="394"/>
      <c r="AX3131" s="5"/>
      <c r="AY3131" s="5"/>
      <c r="AZ3131" s="5"/>
      <c r="BA3131" s="5"/>
      <c r="BB3131" s="5"/>
      <c r="BC3131" s="5"/>
      <c r="BD3131" s="5"/>
      <c r="BE3131" s="5"/>
      <c r="BF3131" s="5"/>
      <c r="BG3131" s="5"/>
      <c r="BH3131" s="5"/>
      <c r="BI3131" s="5"/>
      <c r="BJ3131" s="5"/>
      <c r="BK3131" s="5"/>
      <c r="BL3131" s="5"/>
      <c r="BM3131" s="5"/>
      <c r="BN3131" s="5"/>
      <c r="BO3131" s="5"/>
      <c r="BP3131" s="5"/>
      <c r="BQ3131" s="5"/>
      <c r="BR3131" s="5"/>
      <c r="BS3131" s="5"/>
      <c r="BT3131" s="5"/>
      <c r="BU3131" s="5"/>
      <c r="BV3131" s="5"/>
      <c r="BW3131" s="5"/>
      <c r="BX3131" s="5"/>
      <c r="BY3131" s="5"/>
      <c r="BZ3131" s="5"/>
      <c r="CA3131" s="5"/>
    </row>
    <row r="3132" spans="1:79" s="400" customFormat="1" ht="15" customHeight="1">
      <c r="A3132" s="41" t="s">
        <v>183</v>
      </c>
      <c r="B3132" s="402" t="s">
        <v>438</v>
      </c>
      <c r="C3132" s="113" t="s">
        <v>4863</v>
      </c>
      <c r="D3132" s="393" t="s">
        <v>251</v>
      </c>
      <c r="E3132" s="394" t="s">
        <v>4864</v>
      </c>
      <c r="F3132" s="402">
        <v>4402</v>
      </c>
      <c r="G3132" s="405" t="s">
        <v>440</v>
      </c>
      <c r="H3132" s="404">
        <v>3471</v>
      </c>
      <c r="I3132" s="402" t="s">
        <v>2</v>
      </c>
      <c r="J3132" s="406" t="s">
        <v>4865</v>
      </c>
      <c r="K3132" s="403">
        <v>41226</v>
      </c>
      <c r="L3132" s="398">
        <v>41221</v>
      </c>
      <c r="M3132" s="402">
        <f t="shared" si="183"/>
        <v>5</v>
      </c>
      <c r="N3132" s="402" t="s">
        <v>2</v>
      </c>
      <c r="O3132" s="404">
        <f>1.4/2</f>
        <v>0.7</v>
      </c>
      <c r="P3132" s="402">
        <v>6.5</v>
      </c>
      <c r="Q3132" s="404">
        <v>6.67</v>
      </c>
      <c r="R3132" s="402">
        <v>25</v>
      </c>
      <c r="S3132" s="404">
        <f>5/2</f>
        <v>2.5</v>
      </c>
      <c r="T3132" s="402">
        <v>0.04</v>
      </c>
      <c r="U3132" s="395">
        <v>0.84</v>
      </c>
      <c r="V3132" s="402">
        <v>0.42</v>
      </c>
      <c r="W3132" s="404">
        <v>0.68700000000000006</v>
      </c>
      <c r="X3132" s="402">
        <v>0.54700000000000004</v>
      </c>
      <c r="Y3132" s="404">
        <v>0.05</v>
      </c>
      <c r="Z3132" s="397">
        <v>0.70699999999999996</v>
      </c>
      <c r="AA3132" s="399">
        <v>0.70699999999999996</v>
      </c>
      <c r="AB3132" s="394">
        <v>62</v>
      </c>
      <c r="AC3132" s="402">
        <v>596</v>
      </c>
      <c r="AD3132" s="399">
        <v>0</v>
      </c>
      <c r="AE3132" s="402"/>
      <c r="AF3132" s="391"/>
      <c r="AG3132" s="394"/>
      <c r="AH3132" s="394"/>
      <c r="AI3132" s="394"/>
      <c r="AJ3132" s="394"/>
      <c r="AK3132" s="394"/>
      <c r="AL3132" s="394"/>
      <c r="AM3132" s="394"/>
      <c r="AN3132" s="394"/>
      <c r="AO3132" s="394"/>
      <c r="AP3132" s="394"/>
      <c r="AQ3132" s="394"/>
      <c r="AR3132" s="394"/>
      <c r="AS3132" s="402"/>
      <c r="AT3132" s="404"/>
      <c r="AU3132" s="394"/>
      <c r="AV3132" s="394"/>
      <c r="AW3132" s="394"/>
      <c r="AX3132" s="5"/>
      <c r="AY3132" s="5"/>
      <c r="AZ3132" s="5"/>
      <c r="BA3132" s="5"/>
      <c r="BB3132" s="5"/>
      <c r="BC3132" s="5"/>
      <c r="BD3132" s="5"/>
      <c r="BE3132" s="5"/>
      <c r="BF3132" s="5"/>
      <c r="BG3132" s="5"/>
      <c r="BH3132" s="5"/>
      <c r="BI3132" s="5"/>
      <c r="BJ3132" s="5"/>
      <c r="BK3132" s="5"/>
      <c r="BL3132" s="5"/>
      <c r="BM3132" s="5"/>
      <c r="BN3132" s="5"/>
      <c r="BO3132" s="5"/>
      <c r="BP3132" s="5"/>
      <c r="BQ3132" s="5"/>
      <c r="BR3132" s="5"/>
      <c r="BS3132" s="5"/>
      <c r="BT3132" s="5"/>
      <c r="BU3132" s="5"/>
      <c r="BV3132" s="5"/>
      <c r="BW3132" s="5"/>
      <c r="BX3132" s="5"/>
      <c r="BY3132" s="5"/>
      <c r="BZ3132" s="5"/>
      <c r="CA3132" s="5"/>
    </row>
    <row r="3133" spans="1:79" s="400" customFormat="1" ht="15" customHeight="1">
      <c r="A3133" s="404" t="s">
        <v>4668</v>
      </c>
      <c r="B3133" s="402" t="s">
        <v>5752</v>
      </c>
      <c r="C3133" s="113" t="s">
        <v>5752</v>
      </c>
      <c r="D3133" s="393" t="s">
        <v>156</v>
      </c>
      <c r="E3133" s="394" t="s">
        <v>5753</v>
      </c>
      <c r="F3133" s="402">
        <v>4600</v>
      </c>
      <c r="G3133" s="405" t="s">
        <v>5754</v>
      </c>
      <c r="H3133" s="404" t="s">
        <v>5755</v>
      </c>
      <c r="I3133" s="402" t="s">
        <v>1</v>
      </c>
      <c r="J3133" s="406" t="s">
        <v>510</v>
      </c>
      <c r="K3133" s="403">
        <v>41073</v>
      </c>
      <c r="L3133" s="398">
        <v>41066</v>
      </c>
      <c r="M3133" s="402">
        <f t="shared" ref="M3133:M3183" si="184">K3133-L3133</f>
        <v>7</v>
      </c>
      <c r="N3133" s="402" t="s">
        <v>2</v>
      </c>
      <c r="O3133" s="404">
        <f>1.4/2</f>
        <v>0.7</v>
      </c>
      <c r="P3133" s="402">
        <v>6.73</v>
      </c>
      <c r="Q3133" s="404">
        <v>7.86</v>
      </c>
      <c r="R3133" s="402">
        <v>31</v>
      </c>
      <c r="S3133" s="404">
        <v>16</v>
      </c>
      <c r="T3133" s="402">
        <v>0.27</v>
      </c>
      <c r="U3133" s="395">
        <v>1.1100000000000001</v>
      </c>
      <c r="V3133" s="402">
        <v>0.49</v>
      </c>
      <c r="W3133" s="404">
        <v>2.7E-2</v>
      </c>
      <c r="X3133" s="402">
        <v>5.3999999999999999E-2</v>
      </c>
      <c r="Y3133" s="404">
        <v>1.4999999999999999E-2</v>
      </c>
      <c r="Z3133" s="397">
        <v>1</v>
      </c>
      <c r="AA3133" s="399">
        <v>1</v>
      </c>
      <c r="AB3133" s="394">
        <v>104</v>
      </c>
      <c r="AC3133" s="402">
        <v>302</v>
      </c>
      <c r="AD3133" s="399">
        <v>1</v>
      </c>
      <c r="AE3133" s="402">
        <v>3260</v>
      </c>
      <c r="AF3133" s="391"/>
      <c r="AG3133" s="394"/>
      <c r="AH3133" s="394"/>
      <c r="AI3133" s="394"/>
      <c r="AJ3133" s="394"/>
      <c r="AK3133" s="394"/>
      <c r="AL3133" s="394"/>
      <c r="AM3133" s="394"/>
      <c r="AN3133" s="394"/>
      <c r="AO3133" s="394"/>
      <c r="AP3133" s="394"/>
      <c r="AQ3133" s="394"/>
      <c r="AR3133" s="394"/>
      <c r="AS3133" s="402"/>
      <c r="AT3133" s="404"/>
      <c r="AU3133" s="394"/>
      <c r="AV3133" s="394"/>
      <c r="AW3133" s="394"/>
      <c r="AX3133" s="5"/>
      <c r="AY3133" s="5"/>
      <c r="AZ3133" s="5"/>
      <c r="BA3133" s="5"/>
      <c r="BB3133" s="5"/>
      <c r="BC3133" s="5"/>
      <c r="BD3133" s="5"/>
      <c r="BE3133" s="5"/>
      <c r="BF3133" s="5"/>
      <c r="BG3133" s="5"/>
      <c r="BH3133" s="5"/>
      <c r="BI3133" s="5"/>
      <c r="BJ3133" s="5"/>
      <c r="BK3133" s="5"/>
      <c r="BL3133" s="5"/>
      <c r="BM3133" s="5"/>
      <c r="BN3133" s="5"/>
      <c r="BO3133" s="5"/>
      <c r="BP3133" s="5"/>
      <c r="BQ3133" s="5"/>
      <c r="BR3133" s="5"/>
      <c r="BS3133" s="5"/>
      <c r="BT3133" s="5"/>
      <c r="BU3133" s="5"/>
      <c r="BV3133" s="5"/>
      <c r="BW3133" s="5"/>
      <c r="BX3133" s="5"/>
      <c r="BY3133" s="5"/>
      <c r="BZ3133" s="5"/>
      <c r="CA3133" s="5"/>
    </row>
    <row r="3134" spans="1:79" s="400" customFormat="1" ht="15" customHeight="1">
      <c r="A3134" s="404" t="s">
        <v>4668</v>
      </c>
      <c r="B3134" s="402" t="s">
        <v>5752</v>
      </c>
      <c r="C3134" s="113" t="s">
        <v>5752</v>
      </c>
      <c r="D3134" s="393" t="s">
        <v>156</v>
      </c>
      <c r="E3134" s="394" t="s">
        <v>5753</v>
      </c>
      <c r="F3134" s="402">
        <v>4600</v>
      </c>
      <c r="G3134" s="405" t="s">
        <v>5754</v>
      </c>
      <c r="H3134" s="404" t="s">
        <v>5755</v>
      </c>
      <c r="I3134" s="402" t="s">
        <v>1</v>
      </c>
      <c r="J3134" s="406" t="s">
        <v>357</v>
      </c>
      <c r="K3134" s="403">
        <v>41073</v>
      </c>
      <c r="L3134" s="398">
        <v>41066</v>
      </c>
      <c r="M3134" s="402">
        <f t="shared" si="184"/>
        <v>7</v>
      </c>
      <c r="N3134" s="402" t="s">
        <v>2</v>
      </c>
      <c r="O3134" s="404">
        <f>1.4/2</f>
        <v>0.7</v>
      </c>
      <c r="P3134" s="402">
        <v>6.73</v>
      </c>
      <c r="Q3134" s="404">
        <v>7.52</v>
      </c>
      <c r="R3134" s="402">
        <v>43</v>
      </c>
      <c r="S3134" s="404">
        <v>130</v>
      </c>
      <c r="T3134" s="402">
        <v>0.4</v>
      </c>
      <c r="U3134" s="395">
        <v>1.1200000000000001</v>
      </c>
      <c r="V3134" s="402">
        <v>0.42</v>
      </c>
      <c r="W3134" s="404">
        <v>0.16400000000000001</v>
      </c>
      <c r="X3134" s="402">
        <v>0.248</v>
      </c>
      <c r="Y3134" s="404">
        <v>7.3999999999999996E-2</v>
      </c>
      <c r="Z3134" s="397">
        <v>0.70699999999999996</v>
      </c>
      <c r="AA3134" s="399">
        <v>0.70699999999999996</v>
      </c>
      <c r="AB3134" s="394">
        <v>96</v>
      </c>
      <c r="AC3134" s="402">
        <v>244</v>
      </c>
      <c r="AD3134" s="399">
        <v>0</v>
      </c>
      <c r="AE3134" s="402">
        <v>5480</v>
      </c>
      <c r="AF3134" s="391"/>
      <c r="AG3134" s="394"/>
      <c r="AH3134" s="394"/>
      <c r="AI3134" s="394"/>
      <c r="AJ3134" s="394"/>
      <c r="AK3134" s="394"/>
      <c r="AL3134" s="394"/>
      <c r="AM3134" s="394"/>
      <c r="AN3134" s="394"/>
      <c r="AO3134" s="394"/>
      <c r="AP3134" s="394"/>
      <c r="AQ3134" s="394"/>
      <c r="AR3134" s="394"/>
      <c r="AS3134" s="402"/>
      <c r="AT3134" s="404"/>
      <c r="AU3134" s="394"/>
      <c r="AV3134" s="394"/>
      <c r="AW3134" s="394"/>
      <c r="AX3134" s="5"/>
      <c r="AY3134" s="5"/>
      <c r="AZ3134" s="5"/>
      <c r="BA3134" s="5"/>
      <c r="BB3134" s="5"/>
      <c r="BC3134" s="5"/>
      <c r="BD3134" s="5"/>
      <c r="BE3134" s="5"/>
      <c r="BF3134" s="5"/>
      <c r="BG3134" s="5"/>
      <c r="BH3134" s="5"/>
      <c r="BI3134" s="5"/>
      <c r="BJ3134" s="5"/>
      <c r="BK3134" s="5"/>
      <c r="BL3134" s="5"/>
      <c r="BM3134" s="5"/>
      <c r="BN3134" s="5"/>
      <c r="BO3134" s="5"/>
      <c r="BP3134" s="5"/>
      <c r="BQ3134" s="5"/>
      <c r="BR3134" s="5"/>
      <c r="BS3134" s="5"/>
      <c r="BT3134" s="5"/>
      <c r="BU3134" s="5"/>
      <c r="BV3134" s="5"/>
      <c r="BW3134" s="5"/>
      <c r="BX3134" s="5"/>
      <c r="BY3134" s="5"/>
      <c r="BZ3134" s="5"/>
      <c r="CA3134" s="5"/>
    </row>
    <row r="3135" spans="1:79" s="400" customFormat="1" ht="15" customHeight="1">
      <c r="A3135" s="404" t="s">
        <v>4668</v>
      </c>
      <c r="B3135" s="402" t="s">
        <v>4198</v>
      </c>
      <c r="C3135" s="113" t="s">
        <v>4199</v>
      </c>
      <c r="D3135" s="393" t="s">
        <v>56</v>
      </c>
      <c r="E3135" s="394" t="s">
        <v>5010</v>
      </c>
      <c r="F3135" s="402"/>
      <c r="G3135" s="405" t="s">
        <v>4201</v>
      </c>
      <c r="H3135" s="404">
        <v>4011</v>
      </c>
      <c r="I3135" s="402" t="s">
        <v>2</v>
      </c>
      <c r="J3135" s="404" t="s">
        <v>5011</v>
      </c>
      <c r="K3135" s="403">
        <v>41148</v>
      </c>
      <c r="L3135" s="398">
        <v>41139</v>
      </c>
      <c r="M3135" s="402">
        <f t="shared" si="184"/>
        <v>9</v>
      </c>
      <c r="N3135" s="402" t="s">
        <v>2</v>
      </c>
      <c r="O3135" s="404">
        <f>5/2</f>
        <v>2.5</v>
      </c>
      <c r="P3135" s="402">
        <v>6.6</v>
      </c>
      <c r="Q3135" s="404">
        <v>6.6</v>
      </c>
      <c r="R3135" s="402">
        <v>20</v>
      </c>
      <c r="S3135" s="404">
        <v>10</v>
      </c>
      <c r="T3135" s="402">
        <v>0.33</v>
      </c>
      <c r="U3135" s="395">
        <v>0.33</v>
      </c>
      <c r="V3135" s="402">
        <v>0.28999999999999998</v>
      </c>
      <c r="W3135" s="404">
        <f>0.059/2</f>
        <v>2.9499999999999998E-2</v>
      </c>
      <c r="X3135" s="402">
        <f>0.16/2</f>
        <v>0.08</v>
      </c>
      <c r="Y3135" s="404">
        <f>0.076/2</f>
        <v>3.7999999999999999E-2</v>
      </c>
      <c r="Z3135" s="397"/>
      <c r="AA3135" s="399"/>
      <c r="AB3135" s="394"/>
      <c r="AC3135" s="402"/>
      <c r="AD3135" s="399"/>
      <c r="AE3135" s="402"/>
      <c r="AF3135" s="391"/>
      <c r="AG3135" s="394"/>
      <c r="AH3135" s="394"/>
      <c r="AI3135" s="394"/>
      <c r="AJ3135" s="394"/>
      <c r="AK3135" s="394"/>
      <c r="AL3135" s="394"/>
      <c r="AM3135" s="394"/>
      <c r="AN3135" s="394"/>
      <c r="AO3135" s="394"/>
      <c r="AP3135" s="394"/>
      <c r="AQ3135" s="394"/>
      <c r="AR3135" s="394"/>
      <c r="AS3135" s="402"/>
      <c r="AT3135" s="404"/>
      <c r="AU3135" s="394"/>
      <c r="AV3135" s="394"/>
      <c r="AW3135" s="394"/>
      <c r="AX3135" s="5"/>
      <c r="AY3135" s="5"/>
      <c r="AZ3135" s="5"/>
      <c r="BA3135" s="5"/>
      <c r="BB3135" s="5"/>
      <c r="BC3135" s="5"/>
      <c r="BD3135" s="5"/>
      <c r="BE3135" s="5"/>
      <c r="BF3135" s="5"/>
      <c r="BG3135" s="5"/>
      <c r="BH3135" s="5"/>
      <c r="BI3135" s="5"/>
      <c r="BJ3135" s="5"/>
      <c r="BK3135" s="5"/>
      <c r="BL3135" s="5"/>
      <c r="BM3135" s="5"/>
      <c r="BN3135" s="5"/>
      <c r="BO3135" s="5"/>
      <c r="BP3135" s="5"/>
      <c r="BQ3135" s="5"/>
      <c r="BR3135" s="5"/>
      <c r="BS3135" s="5"/>
      <c r="BT3135" s="5"/>
      <c r="BU3135" s="5"/>
      <c r="BV3135" s="5"/>
      <c r="BW3135" s="5"/>
      <c r="BX3135" s="5"/>
      <c r="BY3135" s="5"/>
      <c r="BZ3135" s="5"/>
      <c r="CA3135" s="5"/>
    </row>
    <row r="3136" spans="1:79" s="400" customFormat="1" ht="15" customHeight="1">
      <c r="A3136" s="404" t="s">
        <v>4668</v>
      </c>
      <c r="B3136" s="402" t="s">
        <v>4198</v>
      </c>
      <c r="C3136" s="113" t="s">
        <v>4199</v>
      </c>
      <c r="D3136" s="393" t="s">
        <v>56</v>
      </c>
      <c r="E3136" s="394" t="s">
        <v>5010</v>
      </c>
      <c r="F3136" s="402"/>
      <c r="G3136" s="405" t="s">
        <v>4201</v>
      </c>
      <c r="H3136" s="404">
        <v>4011</v>
      </c>
      <c r="I3136" s="402"/>
      <c r="J3136" s="404" t="s">
        <v>5011</v>
      </c>
      <c r="K3136" s="403">
        <v>41021</v>
      </c>
      <c r="L3136" s="398">
        <v>41000</v>
      </c>
      <c r="M3136" s="402">
        <f t="shared" si="184"/>
        <v>21</v>
      </c>
      <c r="N3136" s="402" t="s">
        <v>2</v>
      </c>
      <c r="O3136" s="404">
        <f>4/2</f>
        <v>2</v>
      </c>
      <c r="P3136" s="402">
        <v>6.52</v>
      </c>
      <c r="Q3136" s="404">
        <v>6.4</v>
      </c>
      <c r="R3136" s="402">
        <f>20/2</f>
        <v>10</v>
      </c>
      <c r="S3136" s="404">
        <v>12</v>
      </c>
      <c r="T3136" s="402">
        <v>0.28899999999999998</v>
      </c>
      <c r="U3136" s="395">
        <v>0.61</v>
      </c>
      <c r="V3136" s="402">
        <v>0.19</v>
      </c>
      <c r="W3136" s="404">
        <f>0.01/2</f>
        <v>5.0000000000000001E-3</v>
      </c>
      <c r="X3136" s="402">
        <f>0.05/2</f>
        <v>2.5000000000000001E-2</v>
      </c>
      <c r="Y3136" s="404">
        <f>0.01/2</f>
        <v>5.0000000000000001E-3</v>
      </c>
      <c r="Z3136" s="397">
        <v>1</v>
      </c>
      <c r="AA3136" s="399">
        <v>1</v>
      </c>
      <c r="AB3136" s="394">
        <v>22</v>
      </c>
      <c r="AC3136" s="402">
        <v>86</v>
      </c>
      <c r="AD3136" s="399">
        <v>1</v>
      </c>
      <c r="AE3136" s="402"/>
      <c r="AF3136" s="391"/>
      <c r="AG3136" s="394"/>
      <c r="AH3136" s="394"/>
      <c r="AI3136" s="394"/>
      <c r="AJ3136" s="394"/>
      <c r="AK3136" s="394"/>
      <c r="AL3136" s="394"/>
      <c r="AM3136" s="394"/>
      <c r="AN3136" s="394"/>
      <c r="AO3136" s="394"/>
      <c r="AP3136" s="394"/>
      <c r="AQ3136" s="394"/>
      <c r="AR3136" s="394"/>
      <c r="AS3136" s="402"/>
      <c r="AT3136" s="404"/>
      <c r="AU3136" s="394"/>
      <c r="AV3136" s="394"/>
      <c r="AW3136" s="394"/>
      <c r="AX3136" s="5"/>
      <c r="AY3136" s="5"/>
      <c r="AZ3136" s="5"/>
      <c r="BA3136" s="5"/>
      <c r="BB3136" s="5"/>
      <c r="BC3136" s="5"/>
      <c r="BD3136" s="5"/>
      <c r="BE3136" s="5"/>
      <c r="BF3136" s="5"/>
      <c r="BG3136" s="5"/>
      <c r="BH3136" s="5"/>
      <c r="BI3136" s="5"/>
      <c r="BJ3136" s="5"/>
      <c r="BK3136" s="5"/>
      <c r="BL3136" s="5"/>
      <c r="BM3136" s="5"/>
      <c r="BN3136" s="5"/>
      <c r="BO3136" s="5"/>
      <c r="BP3136" s="5"/>
      <c r="BQ3136" s="5"/>
      <c r="BR3136" s="5"/>
      <c r="BS3136" s="5"/>
      <c r="BT3136" s="5"/>
      <c r="BU3136" s="5"/>
      <c r="BV3136" s="5"/>
      <c r="BW3136" s="5"/>
      <c r="BX3136" s="5"/>
      <c r="BY3136" s="5"/>
      <c r="BZ3136" s="5"/>
      <c r="CA3136" s="5"/>
    </row>
    <row r="3137" spans="1:79" ht="15" customHeight="1">
      <c r="A3137" s="404" t="s">
        <v>4668</v>
      </c>
      <c r="B3137" s="385" t="s">
        <v>4393</v>
      </c>
      <c r="C3137" s="18" t="s">
        <v>4393</v>
      </c>
      <c r="D3137" s="393" t="s">
        <v>347</v>
      </c>
      <c r="E3137" s="394" t="s">
        <v>1265</v>
      </c>
      <c r="F3137" s="385" t="s">
        <v>4394</v>
      </c>
      <c r="G3137" s="405" t="s">
        <v>968</v>
      </c>
      <c r="H3137" s="74">
        <v>3663</v>
      </c>
      <c r="I3137" s="50" t="s">
        <v>2</v>
      </c>
      <c r="J3137" s="339" t="s">
        <v>74</v>
      </c>
      <c r="K3137" s="51">
        <v>41021</v>
      </c>
      <c r="L3137" s="173" t="s">
        <v>5380</v>
      </c>
      <c r="N3137" s="50" t="s">
        <v>2</v>
      </c>
      <c r="O3137" s="74">
        <f>5/2</f>
        <v>2.5</v>
      </c>
      <c r="P3137" s="50">
        <v>6.21</v>
      </c>
      <c r="Q3137" s="74">
        <v>8.1</v>
      </c>
      <c r="R3137" s="50">
        <v>65</v>
      </c>
      <c r="S3137" s="74">
        <v>81</v>
      </c>
      <c r="T3137" s="50">
        <f>0.1/2</f>
        <v>0.05</v>
      </c>
      <c r="U3137" s="131">
        <f>1/2</f>
        <v>0.5</v>
      </c>
      <c r="V3137" s="50">
        <f>0.1/2</f>
        <v>0.05</v>
      </c>
      <c r="W3137" s="74">
        <f>0.04/2</f>
        <v>0.02</v>
      </c>
      <c r="X3137" s="50">
        <f>0.02/2</f>
        <v>0.01</v>
      </c>
      <c r="Y3137" s="74">
        <f>0.013/2</f>
        <v>6.4999999999999997E-3</v>
      </c>
      <c r="Z3137" s="165">
        <v>1</v>
      </c>
      <c r="AA3137" s="271">
        <v>1</v>
      </c>
      <c r="AB3137" s="114">
        <v>12</v>
      </c>
      <c r="AC3137" s="50">
        <v>62</v>
      </c>
      <c r="AD3137" s="271">
        <v>1</v>
      </c>
    </row>
    <row r="3138" spans="1:79" s="400" customFormat="1" ht="15" customHeight="1">
      <c r="A3138" s="404" t="s">
        <v>4668</v>
      </c>
      <c r="B3138" s="402" t="s">
        <v>428</v>
      </c>
      <c r="C3138" s="113" t="s">
        <v>4897</v>
      </c>
      <c r="D3138" s="393" t="s">
        <v>111</v>
      </c>
      <c r="E3138" s="394" t="s">
        <v>429</v>
      </c>
      <c r="F3138" s="402">
        <v>5207</v>
      </c>
      <c r="G3138" s="405" t="s">
        <v>430</v>
      </c>
      <c r="H3138" s="404">
        <v>3356</v>
      </c>
      <c r="I3138" s="402" t="s">
        <v>2</v>
      </c>
      <c r="J3138" s="406" t="s">
        <v>5756</v>
      </c>
      <c r="K3138" s="403">
        <v>41072</v>
      </c>
      <c r="L3138" s="398">
        <v>41066</v>
      </c>
      <c r="M3138" s="402">
        <f t="shared" ref="M3138:M3140" si="185">K3138-L3138</f>
        <v>6</v>
      </c>
      <c r="N3138" s="402" t="s">
        <v>2</v>
      </c>
      <c r="O3138" s="404">
        <f>1/2</f>
        <v>0.5</v>
      </c>
      <c r="P3138" s="402">
        <v>5.76</v>
      </c>
      <c r="Q3138" s="404">
        <v>5.59</v>
      </c>
      <c r="R3138" s="402">
        <v>100.4</v>
      </c>
      <c r="S3138" s="404">
        <v>74</v>
      </c>
      <c r="T3138" s="402">
        <v>0.77</v>
      </c>
      <c r="U3138" s="395">
        <v>3.4</v>
      </c>
      <c r="V3138" s="402">
        <v>1.18</v>
      </c>
      <c r="W3138" s="404">
        <v>0.224</v>
      </c>
      <c r="X3138" s="402">
        <v>0.108</v>
      </c>
      <c r="Y3138" s="404">
        <v>8.9999999999999993E-3</v>
      </c>
      <c r="Z3138" s="397"/>
      <c r="AA3138" s="399"/>
      <c r="AB3138" s="394"/>
      <c r="AC3138" s="402"/>
      <c r="AD3138" s="399"/>
      <c r="AE3138" s="402"/>
      <c r="AF3138" s="391"/>
      <c r="AG3138" s="394"/>
      <c r="AH3138" s="394"/>
      <c r="AI3138" s="394"/>
      <c r="AJ3138" s="394"/>
      <c r="AK3138" s="394"/>
      <c r="AL3138" s="394"/>
      <c r="AM3138" s="394"/>
      <c r="AN3138" s="394"/>
      <c r="AO3138" s="394"/>
      <c r="AP3138" s="394"/>
      <c r="AQ3138" s="394"/>
      <c r="AR3138" s="394"/>
      <c r="AS3138" s="402"/>
      <c r="AT3138" s="404"/>
      <c r="AU3138" s="394"/>
      <c r="AV3138" s="394"/>
      <c r="AW3138" s="394"/>
      <c r="AX3138" s="5"/>
      <c r="AY3138" s="5"/>
      <c r="AZ3138" s="5"/>
      <c r="BA3138" s="5"/>
      <c r="BB3138" s="5"/>
      <c r="BC3138" s="5"/>
      <c r="BD3138" s="5"/>
      <c r="BE3138" s="5"/>
      <c r="BF3138" s="5"/>
      <c r="BG3138" s="5"/>
      <c r="BH3138" s="5"/>
      <c r="BI3138" s="5"/>
      <c r="BJ3138" s="5"/>
      <c r="BK3138" s="5"/>
      <c r="BL3138" s="5"/>
      <c r="BM3138" s="5"/>
      <c r="BN3138" s="5"/>
      <c r="BO3138" s="5"/>
      <c r="BP3138" s="5"/>
      <c r="BQ3138" s="5"/>
      <c r="BR3138" s="5"/>
      <c r="BS3138" s="5"/>
      <c r="BT3138" s="5"/>
      <c r="BU3138" s="5"/>
      <c r="BV3138" s="5"/>
      <c r="BW3138" s="5"/>
      <c r="BX3138" s="5"/>
      <c r="BY3138" s="5"/>
      <c r="BZ3138" s="5"/>
      <c r="CA3138" s="5"/>
    </row>
    <row r="3139" spans="1:79" s="400" customFormat="1" ht="15" customHeight="1">
      <c r="A3139" s="404" t="s">
        <v>4668</v>
      </c>
      <c r="B3139" s="385" t="s">
        <v>4407</v>
      </c>
      <c r="C3139" s="18" t="s">
        <v>4407</v>
      </c>
      <c r="D3139" s="377" t="s">
        <v>56</v>
      </c>
      <c r="E3139" s="20" t="s">
        <v>95</v>
      </c>
      <c r="F3139" s="402"/>
      <c r="G3139" s="405" t="s">
        <v>4408</v>
      </c>
      <c r="H3139" s="404">
        <v>3465</v>
      </c>
      <c r="I3139" s="402"/>
      <c r="J3139" s="406" t="s">
        <v>5746</v>
      </c>
      <c r="K3139" s="403">
        <v>41072</v>
      </c>
      <c r="L3139" s="398">
        <v>41063</v>
      </c>
      <c r="M3139" s="402">
        <f t="shared" si="185"/>
        <v>9</v>
      </c>
      <c r="N3139" s="402" t="s">
        <v>2</v>
      </c>
      <c r="O3139" s="404">
        <v>6.5</v>
      </c>
      <c r="P3139" s="402">
        <v>6.32</v>
      </c>
      <c r="Q3139" s="404">
        <v>6.04</v>
      </c>
      <c r="R3139" s="402">
        <v>10.3</v>
      </c>
      <c r="S3139" s="404">
        <f>1/2</f>
        <v>0.5</v>
      </c>
      <c r="T3139" s="402">
        <f>0.05/2</f>
        <v>2.5000000000000001E-2</v>
      </c>
      <c r="U3139" s="395">
        <v>0.62</v>
      </c>
      <c r="V3139" s="402">
        <f>0.2/2</f>
        <v>0.1</v>
      </c>
      <c r="W3139" s="404">
        <v>0.04</v>
      </c>
      <c r="X3139" s="402">
        <v>0.18</v>
      </c>
      <c r="Y3139" s="404">
        <f>0.02/2</f>
        <v>0.01</v>
      </c>
      <c r="Z3139" s="397"/>
      <c r="AA3139" s="399"/>
      <c r="AB3139" s="394"/>
      <c r="AC3139" s="402"/>
      <c r="AD3139" s="399"/>
      <c r="AE3139" s="402"/>
      <c r="AF3139" s="391"/>
      <c r="AG3139" s="394"/>
      <c r="AH3139" s="394"/>
      <c r="AI3139" s="394"/>
      <c r="AJ3139" s="394"/>
      <c r="AK3139" s="394"/>
      <c r="AL3139" s="394"/>
      <c r="AM3139" s="394"/>
      <c r="AN3139" s="394"/>
      <c r="AO3139" s="394"/>
      <c r="AP3139" s="394"/>
      <c r="AQ3139" s="394"/>
      <c r="AR3139" s="394"/>
      <c r="AS3139" s="402"/>
      <c r="AT3139" s="404"/>
      <c r="AU3139" s="394"/>
      <c r="AV3139" s="394"/>
      <c r="AW3139" s="394"/>
      <c r="AX3139" s="5"/>
      <c r="AY3139" s="5"/>
      <c r="AZ3139" s="5"/>
      <c r="BA3139" s="5"/>
      <c r="BB3139" s="5"/>
      <c r="BC3139" s="5"/>
      <c r="BD3139" s="5"/>
      <c r="BE3139" s="5"/>
      <c r="BF3139" s="5"/>
      <c r="BG3139" s="5"/>
      <c r="BH3139" s="5"/>
      <c r="BI3139" s="5"/>
      <c r="BJ3139" s="5"/>
      <c r="BK3139" s="5"/>
      <c r="BL3139" s="5"/>
      <c r="BM3139" s="5"/>
      <c r="BN3139" s="5"/>
      <c r="BO3139" s="5"/>
      <c r="BP3139" s="5"/>
      <c r="BQ3139" s="5"/>
      <c r="BR3139" s="5"/>
      <c r="BS3139" s="5"/>
      <c r="BT3139" s="5"/>
      <c r="BU3139" s="5"/>
      <c r="BV3139" s="5"/>
      <c r="BW3139" s="5"/>
      <c r="BX3139" s="5"/>
      <c r="BY3139" s="5"/>
      <c r="BZ3139" s="5"/>
      <c r="CA3139" s="5"/>
    </row>
    <row r="3140" spans="1:79" s="400" customFormat="1" ht="15" customHeight="1">
      <c r="A3140" s="404" t="s">
        <v>4668</v>
      </c>
      <c r="B3140" s="385" t="s">
        <v>4407</v>
      </c>
      <c r="C3140" s="18" t="s">
        <v>4407</v>
      </c>
      <c r="D3140" s="377" t="s">
        <v>56</v>
      </c>
      <c r="E3140" s="20" t="s">
        <v>95</v>
      </c>
      <c r="F3140" s="402"/>
      <c r="G3140" s="405" t="s">
        <v>4408</v>
      </c>
      <c r="H3140" s="404">
        <v>3465</v>
      </c>
      <c r="I3140" s="402"/>
      <c r="J3140" s="406" t="s">
        <v>5757</v>
      </c>
      <c r="K3140" s="403">
        <v>41072</v>
      </c>
      <c r="L3140" s="398">
        <v>41063</v>
      </c>
      <c r="M3140" s="402">
        <f t="shared" si="185"/>
        <v>9</v>
      </c>
      <c r="N3140" s="402" t="s">
        <v>2</v>
      </c>
      <c r="O3140" s="404">
        <v>2.1</v>
      </c>
      <c r="P3140" s="402">
        <v>6.32</v>
      </c>
      <c r="Q3140" s="404">
        <v>5.95</v>
      </c>
      <c r="R3140" s="402">
        <v>17.2</v>
      </c>
      <c r="S3140" s="404">
        <f>1/2</f>
        <v>0.5</v>
      </c>
      <c r="T3140" s="402">
        <f>0.05/2</f>
        <v>2.5000000000000001E-2</v>
      </c>
      <c r="U3140" s="395">
        <v>0.68</v>
      </c>
      <c r="V3140" s="402">
        <v>0.21</v>
      </c>
      <c r="W3140" s="404">
        <v>0.04</v>
      </c>
      <c r="X3140" s="402">
        <v>0.17</v>
      </c>
      <c r="Y3140" s="404">
        <f>0.02/2</f>
        <v>0.01</v>
      </c>
      <c r="Z3140" s="397"/>
      <c r="AA3140" s="399"/>
      <c r="AB3140" s="394"/>
      <c r="AC3140" s="402"/>
      <c r="AD3140" s="399"/>
      <c r="AE3140" s="402"/>
      <c r="AF3140" s="391"/>
      <c r="AG3140" s="394"/>
      <c r="AH3140" s="394"/>
      <c r="AI3140" s="394"/>
      <c r="AJ3140" s="394"/>
      <c r="AK3140" s="394"/>
      <c r="AL3140" s="394"/>
      <c r="AM3140" s="394"/>
      <c r="AN3140" s="394"/>
      <c r="AO3140" s="394"/>
      <c r="AP3140" s="394"/>
      <c r="AQ3140" s="394"/>
      <c r="AR3140" s="394"/>
      <c r="AS3140" s="402"/>
      <c r="AT3140" s="404"/>
      <c r="AU3140" s="394"/>
      <c r="AV3140" s="394"/>
      <c r="AW3140" s="394"/>
      <c r="AX3140" s="5"/>
      <c r="AY3140" s="5"/>
      <c r="AZ3140" s="5"/>
      <c r="BA3140" s="5"/>
      <c r="BB3140" s="5"/>
      <c r="BC3140" s="5"/>
      <c r="BD3140" s="5"/>
      <c r="BE3140" s="5"/>
      <c r="BF3140" s="5"/>
      <c r="BG3140" s="5"/>
      <c r="BH3140" s="5"/>
      <c r="BI3140" s="5"/>
      <c r="BJ3140" s="5"/>
      <c r="BK3140" s="5"/>
      <c r="BL3140" s="5"/>
      <c r="BM3140" s="5"/>
      <c r="BN3140" s="5"/>
      <c r="BO3140" s="5"/>
      <c r="BP3140" s="5"/>
      <c r="BQ3140" s="5"/>
      <c r="BR3140" s="5"/>
      <c r="BS3140" s="5"/>
      <c r="BT3140" s="5"/>
      <c r="BU3140" s="5"/>
      <c r="BV3140" s="5"/>
      <c r="BW3140" s="5"/>
      <c r="BX3140" s="5"/>
      <c r="BY3140" s="5"/>
      <c r="BZ3140" s="5"/>
      <c r="CA3140" s="5"/>
    </row>
    <row r="3141" spans="1:79" ht="15" customHeight="1">
      <c r="A3141" s="41" t="s">
        <v>183</v>
      </c>
      <c r="B3141" s="402" t="s">
        <v>5752</v>
      </c>
      <c r="C3141" s="113" t="s">
        <v>5752</v>
      </c>
      <c r="D3141" s="393" t="s">
        <v>156</v>
      </c>
      <c r="E3141" s="394" t="s">
        <v>5753</v>
      </c>
      <c r="F3141" s="402">
        <v>4600</v>
      </c>
      <c r="G3141" s="405" t="s">
        <v>5754</v>
      </c>
      <c r="H3141" s="74" t="s">
        <v>5755</v>
      </c>
      <c r="I3141" s="50" t="s">
        <v>1</v>
      </c>
      <c r="J3141" s="339" t="s">
        <v>690</v>
      </c>
      <c r="K3141" s="51">
        <v>41170</v>
      </c>
      <c r="L3141" s="173">
        <v>41160</v>
      </c>
      <c r="M3141" s="50">
        <f t="shared" si="184"/>
        <v>10</v>
      </c>
      <c r="N3141" s="50" t="s">
        <v>2</v>
      </c>
      <c r="O3141" s="74">
        <f>1.4/2</f>
        <v>0.7</v>
      </c>
      <c r="P3141" s="50">
        <v>7.03</v>
      </c>
      <c r="Q3141" s="74">
        <v>7.7</v>
      </c>
      <c r="R3141" s="50">
        <v>76</v>
      </c>
      <c r="S3141" s="74">
        <v>350</v>
      </c>
      <c r="T3141" s="50">
        <v>0.65</v>
      </c>
      <c r="U3141" s="131">
        <v>1.41</v>
      </c>
      <c r="V3141" s="50">
        <v>0.75</v>
      </c>
      <c r="W3141" s="74">
        <v>0.249</v>
      </c>
      <c r="X3141" s="50">
        <v>0.30599999999999999</v>
      </c>
      <c r="Y3141" s="74">
        <v>7.2999999999999995E-2</v>
      </c>
      <c r="Z3141" s="165">
        <v>1</v>
      </c>
      <c r="AA3141" s="271">
        <v>1</v>
      </c>
      <c r="AB3141" s="114">
        <v>28</v>
      </c>
      <c r="AC3141" s="50">
        <v>104</v>
      </c>
      <c r="AD3141" s="271">
        <v>1</v>
      </c>
      <c r="AE3141" s="50">
        <v>5480</v>
      </c>
    </row>
    <row r="3142" spans="1:79" ht="15" customHeight="1">
      <c r="A3142" s="41" t="s">
        <v>183</v>
      </c>
      <c r="B3142" s="402" t="s">
        <v>5752</v>
      </c>
      <c r="C3142" s="113" t="s">
        <v>5752</v>
      </c>
      <c r="D3142" s="393" t="s">
        <v>156</v>
      </c>
      <c r="E3142" s="394" t="s">
        <v>5753</v>
      </c>
      <c r="F3142" s="402">
        <v>4600</v>
      </c>
      <c r="G3142" s="405" t="s">
        <v>5754</v>
      </c>
      <c r="H3142" s="74" t="s">
        <v>5755</v>
      </c>
      <c r="I3142" s="50" t="s">
        <v>1</v>
      </c>
      <c r="J3142" s="339" t="s">
        <v>255</v>
      </c>
      <c r="K3142" s="51">
        <v>41170</v>
      </c>
      <c r="L3142" s="173">
        <v>41160</v>
      </c>
      <c r="M3142" s="50">
        <f t="shared" si="184"/>
        <v>10</v>
      </c>
      <c r="N3142" s="50" t="s">
        <v>2</v>
      </c>
      <c r="O3142" s="74">
        <f>1.6/2</f>
        <v>0.8</v>
      </c>
      <c r="P3142" s="50">
        <v>7.03</v>
      </c>
      <c r="Q3142" s="74">
        <v>7.96</v>
      </c>
      <c r="R3142" s="50">
        <v>53</v>
      </c>
      <c r="S3142" s="74">
        <v>75</v>
      </c>
      <c r="T3142" s="50">
        <v>1.21</v>
      </c>
      <c r="U3142" s="131">
        <v>1.37</v>
      </c>
      <c r="V3142" s="50">
        <v>1.03</v>
      </c>
      <c r="W3142" s="74">
        <v>1.9E-2</v>
      </c>
      <c r="X3142" s="50">
        <v>0.10299999999999999</v>
      </c>
      <c r="Y3142" s="74">
        <v>0.02</v>
      </c>
      <c r="Z3142" s="165">
        <v>1</v>
      </c>
      <c r="AA3142" s="271">
        <v>1</v>
      </c>
      <c r="AB3142" s="114">
        <v>110</v>
      </c>
      <c r="AC3142" s="50">
        <v>276</v>
      </c>
      <c r="AD3142" s="271">
        <v>1</v>
      </c>
      <c r="AE3142" s="50">
        <v>3260</v>
      </c>
    </row>
    <row r="3143" spans="1:79" s="400" customFormat="1" ht="15" customHeight="1">
      <c r="A3143" s="404" t="s">
        <v>4668</v>
      </c>
      <c r="B3143" s="402" t="s">
        <v>4727</v>
      </c>
      <c r="C3143" s="113" t="s">
        <v>4727</v>
      </c>
      <c r="D3143" s="393" t="s">
        <v>338</v>
      </c>
      <c r="E3143" s="394" t="s">
        <v>1440</v>
      </c>
      <c r="F3143" s="402"/>
      <c r="G3143" s="405" t="s">
        <v>4728</v>
      </c>
      <c r="H3143" s="404">
        <v>2852</v>
      </c>
      <c r="I3143" s="402"/>
      <c r="J3143" s="406" t="s">
        <v>255</v>
      </c>
      <c r="K3143" s="403">
        <v>41030</v>
      </c>
      <c r="L3143" s="398">
        <v>41022</v>
      </c>
      <c r="M3143" s="402">
        <f t="shared" si="184"/>
        <v>8</v>
      </c>
      <c r="N3143" s="402" t="s">
        <v>2</v>
      </c>
      <c r="O3143" s="404">
        <f>1/2</f>
        <v>0.5</v>
      </c>
      <c r="P3143" s="402">
        <v>6.33</v>
      </c>
      <c r="Q3143" s="404">
        <v>5.77</v>
      </c>
      <c r="R3143" s="402">
        <v>20.5</v>
      </c>
      <c r="S3143" s="404">
        <v>7.5</v>
      </c>
      <c r="T3143" s="402">
        <f>0.05/2</f>
        <v>2.5000000000000001E-2</v>
      </c>
      <c r="U3143" s="395">
        <v>1.55</v>
      </c>
      <c r="V3143" s="402">
        <v>0.45</v>
      </c>
      <c r="W3143" s="404">
        <f>0.01/2</f>
        <v>5.0000000000000001E-3</v>
      </c>
      <c r="X3143" s="402">
        <v>0.3</v>
      </c>
      <c r="Y3143" s="404">
        <f>0.02/2</f>
        <v>0.01</v>
      </c>
      <c r="Z3143" s="397">
        <v>1</v>
      </c>
      <c r="AA3143" s="399">
        <v>0.70699999999999996</v>
      </c>
      <c r="AB3143" s="394">
        <v>3.54</v>
      </c>
      <c r="AC3143" s="402">
        <v>11.9</v>
      </c>
      <c r="AD3143" s="399">
        <v>0</v>
      </c>
      <c r="AE3143" s="402"/>
      <c r="AF3143" s="391"/>
      <c r="AG3143" s="394"/>
      <c r="AH3143" s="394"/>
      <c r="AI3143" s="394"/>
      <c r="AJ3143" s="394"/>
      <c r="AK3143" s="394"/>
      <c r="AL3143" s="394"/>
      <c r="AM3143" s="394"/>
      <c r="AN3143" s="394"/>
      <c r="AO3143" s="394"/>
      <c r="AP3143" s="394"/>
      <c r="AQ3143" s="394"/>
      <c r="AR3143" s="394"/>
      <c r="AS3143" s="402"/>
      <c r="AT3143" s="404"/>
      <c r="AU3143" s="394"/>
      <c r="AV3143" s="394"/>
      <c r="AW3143" s="394"/>
      <c r="AX3143" s="5"/>
      <c r="AY3143" s="5"/>
      <c r="AZ3143" s="5"/>
      <c r="BA3143" s="5"/>
      <c r="BB3143" s="5"/>
      <c r="BC3143" s="5"/>
      <c r="BD3143" s="5"/>
      <c r="BE3143" s="5"/>
      <c r="BF3143" s="5"/>
      <c r="BG3143" s="5"/>
      <c r="BH3143" s="5"/>
      <c r="BI3143" s="5"/>
      <c r="BJ3143" s="5"/>
      <c r="BK3143" s="5"/>
      <c r="BL3143" s="5"/>
      <c r="BM3143" s="5"/>
      <c r="BN3143" s="5"/>
      <c r="BO3143" s="5"/>
      <c r="BP3143" s="5"/>
      <c r="BQ3143" s="5"/>
      <c r="BR3143" s="5"/>
      <c r="BS3143" s="5"/>
      <c r="BT3143" s="5"/>
      <c r="BU3143" s="5"/>
      <c r="BV3143" s="5"/>
      <c r="BW3143" s="5"/>
      <c r="BX3143" s="5"/>
      <c r="BY3143" s="5"/>
      <c r="BZ3143" s="5"/>
      <c r="CA3143" s="5"/>
    </row>
    <row r="3144" spans="1:79" ht="15" customHeight="1">
      <c r="A3144" s="41" t="s">
        <v>183</v>
      </c>
      <c r="B3144" s="402" t="s">
        <v>1296</v>
      </c>
      <c r="C3144" s="113" t="s">
        <v>6027</v>
      </c>
      <c r="D3144" s="393" t="s">
        <v>2913</v>
      </c>
      <c r="E3144" s="394" t="s">
        <v>535</v>
      </c>
      <c r="G3144" s="405" t="s">
        <v>5751</v>
      </c>
      <c r="H3144" s="74">
        <v>3562</v>
      </c>
      <c r="J3144" s="339"/>
      <c r="K3144" s="51">
        <v>40996</v>
      </c>
      <c r="L3144" s="173">
        <v>40977</v>
      </c>
      <c r="M3144" s="50">
        <f t="shared" si="184"/>
        <v>19</v>
      </c>
      <c r="N3144" s="50" t="s">
        <v>2</v>
      </c>
      <c r="O3144" s="74">
        <f>1.8/2</f>
        <v>0.9</v>
      </c>
      <c r="P3144" s="50">
        <v>5.5</v>
      </c>
      <c r="Q3144" s="74">
        <v>6.6</v>
      </c>
      <c r="R3144" s="50">
        <v>37</v>
      </c>
      <c r="S3144" s="74">
        <v>61</v>
      </c>
      <c r="T3144" s="50">
        <v>0.125</v>
      </c>
      <c r="U3144" s="131">
        <v>1.1000000000000001</v>
      </c>
      <c r="V3144" s="50">
        <v>0.55000000000000004</v>
      </c>
      <c r="W3144" s="74">
        <v>1.7999999999999999E-2</v>
      </c>
      <c r="X3144" s="50">
        <v>6.9000000000000006E-2</v>
      </c>
      <c r="Y3144" s="74">
        <f>0.005/2</f>
        <v>2.5000000000000001E-3</v>
      </c>
      <c r="Z3144" s="165">
        <v>1</v>
      </c>
      <c r="AA3144" s="271">
        <v>1</v>
      </c>
      <c r="AB3144" s="114">
        <v>16</v>
      </c>
      <c r="AC3144" s="50">
        <v>66</v>
      </c>
      <c r="AD3144" s="271">
        <v>0.95</v>
      </c>
    </row>
    <row r="3145" spans="1:79" s="400" customFormat="1" ht="15" customHeight="1">
      <c r="A3145" s="404" t="s">
        <v>4668</v>
      </c>
      <c r="B3145" s="402" t="s">
        <v>438</v>
      </c>
      <c r="C3145" s="113" t="s">
        <v>4863</v>
      </c>
      <c r="D3145" s="393" t="s">
        <v>251</v>
      </c>
      <c r="E3145" s="394" t="s">
        <v>4864</v>
      </c>
      <c r="F3145" s="402">
        <v>4402</v>
      </c>
      <c r="G3145" s="405" t="s">
        <v>440</v>
      </c>
      <c r="H3145" s="404">
        <v>3471</v>
      </c>
      <c r="I3145" s="402" t="s">
        <v>2</v>
      </c>
      <c r="J3145" s="406" t="s">
        <v>4865</v>
      </c>
      <c r="K3145" s="403">
        <v>41030</v>
      </c>
      <c r="L3145" s="398">
        <v>41022</v>
      </c>
      <c r="M3145" s="402">
        <f t="shared" si="184"/>
        <v>8</v>
      </c>
      <c r="N3145" s="402" t="s">
        <v>2</v>
      </c>
      <c r="O3145" s="404">
        <f>1.4/2</f>
        <v>0.7</v>
      </c>
      <c r="P3145" s="402">
        <v>6.8</v>
      </c>
      <c r="Q3145" s="404">
        <v>6.96</v>
      </c>
      <c r="R3145" s="402">
        <v>46</v>
      </c>
      <c r="S3145" s="404">
        <f>5/2</f>
        <v>2.5</v>
      </c>
      <c r="T3145" s="402">
        <v>0.34</v>
      </c>
      <c r="U3145" s="395"/>
      <c r="V3145" s="402">
        <v>0.8</v>
      </c>
      <c r="W3145" s="404">
        <v>0.24199999999999999</v>
      </c>
      <c r="X3145" s="402">
        <v>0.14000000000000001</v>
      </c>
      <c r="Y3145" s="404">
        <v>6.0000000000000001E-3</v>
      </c>
      <c r="Z3145" s="397"/>
      <c r="AA3145" s="399"/>
      <c r="AB3145" s="394"/>
      <c r="AC3145" s="402"/>
      <c r="AD3145" s="399"/>
      <c r="AE3145" s="402"/>
      <c r="AF3145" s="391"/>
      <c r="AG3145" s="394"/>
      <c r="AH3145" s="394"/>
      <c r="AI3145" s="394"/>
      <c r="AJ3145" s="394"/>
      <c r="AK3145" s="394"/>
      <c r="AL3145" s="394"/>
      <c r="AM3145" s="394"/>
      <c r="AN3145" s="394"/>
      <c r="AO3145" s="394"/>
      <c r="AP3145" s="394"/>
      <c r="AQ3145" s="394"/>
      <c r="AR3145" s="394"/>
      <c r="AS3145" s="402"/>
      <c r="AT3145" s="404"/>
      <c r="AU3145" s="394"/>
      <c r="AV3145" s="394"/>
      <c r="AW3145" s="394"/>
      <c r="AX3145" s="5"/>
      <c r="AY3145" s="5"/>
      <c r="AZ3145" s="5"/>
      <c r="BA3145" s="5"/>
      <c r="BB3145" s="5"/>
      <c r="BC3145" s="5"/>
      <c r="BD3145" s="5"/>
      <c r="BE3145" s="5"/>
      <c r="BF3145" s="5"/>
      <c r="BG3145" s="5"/>
      <c r="BH3145" s="5"/>
      <c r="BI3145" s="5"/>
      <c r="BJ3145" s="5"/>
      <c r="BK3145" s="5"/>
      <c r="BL3145" s="5"/>
      <c r="BM3145" s="5"/>
      <c r="BN3145" s="5"/>
      <c r="BO3145" s="5"/>
      <c r="BP3145" s="5"/>
      <c r="BQ3145" s="5"/>
      <c r="BR3145" s="5"/>
      <c r="BS3145" s="5"/>
      <c r="BT3145" s="5"/>
      <c r="BU3145" s="5"/>
      <c r="BV3145" s="5"/>
      <c r="BW3145" s="5"/>
      <c r="BX3145" s="5"/>
      <c r="BY3145" s="5"/>
      <c r="BZ3145" s="5"/>
      <c r="CA3145" s="5"/>
    </row>
    <row r="3146" spans="1:79" s="400" customFormat="1" ht="15" customHeight="1">
      <c r="A3146" s="404" t="s">
        <v>4668</v>
      </c>
      <c r="B3146" s="402" t="s">
        <v>5749</v>
      </c>
      <c r="C3146" s="113" t="s">
        <v>5749</v>
      </c>
      <c r="D3146" s="393" t="s">
        <v>379</v>
      </c>
      <c r="E3146" s="394" t="s">
        <v>214</v>
      </c>
      <c r="F3146" s="402"/>
      <c r="G3146" s="405" t="s">
        <v>5486</v>
      </c>
      <c r="H3146" s="404">
        <v>3316</v>
      </c>
      <c r="I3146" s="402" t="s">
        <v>2</v>
      </c>
      <c r="J3146" s="406" t="s">
        <v>249</v>
      </c>
      <c r="K3146" s="403">
        <v>40920</v>
      </c>
      <c r="L3146" s="398" t="s">
        <v>5375</v>
      </c>
      <c r="M3146" s="402"/>
      <c r="N3146" s="402" t="s">
        <v>2</v>
      </c>
      <c r="O3146" s="404">
        <f>1.9/2</f>
        <v>0.95</v>
      </c>
      <c r="P3146" s="402">
        <v>5.0999999999999996</v>
      </c>
      <c r="Q3146" s="404">
        <v>5.9</v>
      </c>
      <c r="R3146" s="402">
        <f>20/2</f>
        <v>10</v>
      </c>
      <c r="S3146" s="404">
        <f>1/2</f>
        <v>0.5</v>
      </c>
      <c r="T3146" s="402">
        <v>1.0999999999999999E-2</v>
      </c>
      <c r="U3146" s="395">
        <f>1/2</f>
        <v>0.5</v>
      </c>
      <c r="V3146" s="402">
        <f>0.46/2</f>
        <v>0.23</v>
      </c>
      <c r="W3146" s="404">
        <v>6.0000000000000001E-3</v>
      </c>
      <c r="X3146" s="402">
        <v>3.6999999999999998E-2</v>
      </c>
      <c r="Y3146" s="404">
        <v>8.6999999999999994E-3</v>
      </c>
      <c r="Z3146" s="397">
        <v>0.877</v>
      </c>
      <c r="AA3146" s="399">
        <v>0.70699999999999996</v>
      </c>
      <c r="AB3146" s="394">
        <v>2</v>
      </c>
      <c r="AC3146" s="402">
        <v>13</v>
      </c>
      <c r="AD3146" s="399">
        <v>0</v>
      </c>
      <c r="AE3146" s="402">
        <v>155</v>
      </c>
      <c r="AF3146" s="391">
        <v>660</v>
      </c>
      <c r="AG3146" s="394"/>
      <c r="AH3146" s="394"/>
      <c r="AI3146" s="394"/>
      <c r="AJ3146" s="394"/>
      <c r="AK3146" s="394"/>
      <c r="AL3146" s="394"/>
      <c r="AM3146" s="394"/>
      <c r="AN3146" s="394"/>
      <c r="AO3146" s="394"/>
      <c r="AP3146" s="394"/>
      <c r="AQ3146" s="394"/>
      <c r="AR3146" s="394"/>
      <c r="AS3146" s="402"/>
      <c r="AT3146" s="404"/>
      <c r="AU3146" s="394"/>
      <c r="AV3146" s="394"/>
      <c r="AW3146" s="394"/>
      <c r="AX3146" s="5"/>
      <c r="AY3146" s="5"/>
      <c r="AZ3146" s="5"/>
      <c r="BA3146" s="5"/>
      <c r="BB3146" s="5"/>
      <c r="BC3146" s="5"/>
      <c r="BD3146" s="5"/>
      <c r="BE3146" s="5"/>
      <c r="BF3146" s="5"/>
      <c r="BG3146" s="5"/>
      <c r="BH3146" s="5"/>
      <c r="BI3146" s="5"/>
      <c r="BJ3146" s="5"/>
      <c r="BK3146" s="5"/>
      <c r="BL3146" s="5"/>
      <c r="BM3146" s="5"/>
      <c r="BN3146" s="5"/>
      <c r="BO3146" s="5"/>
      <c r="BP3146" s="5"/>
      <c r="BQ3146" s="5"/>
      <c r="BR3146" s="5"/>
      <c r="BS3146" s="5"/>
      <c r="BT3146" s="5"/>
      <c r="BU3146" s="5"/>
      <c r="BV3146" s="5"/>
      <c r="BW3146" s="5"/>
      <c r="BX3146" s="5"/>
      <c r="BY3146" s="5"/>
      <c r="BZ3146" s="5"/>
      <c r="CA3146" s="5"/>
    </row>
    <row r="3147" spans="1:79" s="400" customFormat="1" ht="15" customHeight="1">
      <c r="A3147" s="404" t="s">
        <v>4668</v>
      </c>
      <c r="B3147" s="402" t="s">
        <v>5749</v>
      </c>
      <c r="C3147" s="113" t="s">
        <v>5749</v>
      </c>
      <c r="D3147" s="393" t="s">
        <v>379</v>
      </c>
      <c r="E3147" s="394" t="s">
        <v>214</v>
      </c>
      <c r="F3147" s="402"/>
      <c r="G3147" s="405" t="s">
        <v>5486</v>
      </c>
      <c r="H3147" s="404">
        <v>3316</v>
      </c>
      <c r="I3147" s="402" t="s">
        <v>2</v>
      </c>
      <c r="J3147" s="406" t="s">
        <v>1999</v>
      </c>
      <c r="K3147" s="403">
        <v>40920</v>
      </c>
      <c r="L3147" s="398" t="s">
        <v>5758</v>
      </c>
      <c r="M3147" s="402"/>
      <c r="N3147" s="402" t="s">
        <v>2</v>
      </c>
      <c r="O3147" s="404">
        <f>1.9/2</f>
        <v>0.95</v>
      </c>
      <c r="P3147" s="402">
        <v>5.0999999999999996</v>
      </c>
      <c r="Q3147" s="404">
        <v>6.5</v>
      </c>
      <c r="R3147" s="402">
        <f>20/2</f>
        <v>10</v>
      </c>
      <c r="S3147" s="404">
        <v>1.4</v>
      </c>
      <c r="T3147" s="402">
        <v>2.5999999999999999E-2</v>
      </c>
      <c r="U3147" s="395">
        <f>1/2</f>
        <v>0.5</v>
      </c>
      <c r="V3147" s="402">
        <f>0.46/2</f>
        <v>0.23</v>
      </c>
      <c r="W3147" s="404">
        <f>0.005/2</f>
        <v>2.5000000000000001E-3</v>
      </c>
      <c r="X3147" s="402">
        <v>9.0999999999999998E-2</v>
      </c>
      <c r="Y3147" s="404">
        <f>0.005/2</f>
        <v>2.5000000000000001E-3</v>
      </c>
      <c r="Z3147" s="397">
        <v>0.877</v>
      </c>
      <c r="AA3147" s="399">
        <v>0.70699999999999996</v>
      </c>
      <c r="AB3147" s="394">
        <v>22</v>
      </c>
      <c r="AC3147" s="402">
        <v>5</v>
      </c>
      <c r="AD3147" s="399">
        <v>5.0000000000000001E-4</v>
      </c>
      <c r="AE3147" s="402">
        <f>50/2</f>
        <v>25</v>
      </c>
      <c r="AF3147" s="391">
        <v>430</v>
      </c>
      <c r="AG3147" s="394"/>
      <c r="AH3147" s="394"/>
      <c r="AI3147" s="394"/>
      <c r="AJ3147" s="394"/>
      <c r="AK3147" s="394"/>
      <c r="AL3147" s="394"/>
      <c r="AM3147" s="394"/>
      <c r="AN3147" s="394"/>
      <c r="AO3147" s="394"/>
      <c r="AP3147" s="394"/>
      <c r="AQ3147" s="394"/>
      <c r="AR3147" s="394"/>
      <c r="AS3147" s="402"/>
      <c r="AT3147" s="404"/>
      <c r="AU3147" s="394"/>
      <c r="AV3147" s="394"/>
      <c r="AW3147" s="394"/>
      <c r="AX3147" s="5"/>
      <c r="AY3147" s="5"/>
      <c r="AZ3147" s="5"/>
      <c r="BA3147" s="5"/>
      <c r="BB3147" s="5"/>
      <c r="BC3147" s="5"/>
      <c r="BD3147" s="5"/>
      <c r="BE3147" s="5"/>
      <c r="BF3147" s="5"/>
      <c r="BG3147" s="5"/>
      <c r="BH3147" s="5"/>
      <c r="BI3147" s="5"/>
      <c r="BJ3147" s="5"/>
      <c r="BK3147" s="5"/>
      <c r="BL3147" s="5"/>
      <c r="BM3147" s="5"/>
      <c r="BN3147" s="5"/>
      <c r="BO3147" s="5"/>
      <c r="BP3147" s="5"/>
      <c r="BQ3147" s="5"/>
      <c r="BR3147" s="5"/>
      <c r="BS3147" s="5"/>
      <c r="BT3147" s="5"/>
      <c r="BU3147" s="5"/>
      <c r="BV3147" s="5"/>
      <c r="BW3147" s="5"/>
      <c r="BX3147" s="5"/>
      <c r="BY3147" s="5"/>
      <c r="BZ3147" s="5"/>
      <c r="CA3147" s="5"/>
    </row>
    <row r="3148" spans="1:79" s="400" customFormat="1" ht="15" customHeight="1">
      <c r="A3148" s="404" t="s">
        <v>4668</v>
      </c>
      <c r="B3148" s="402" t="s">
        <v>5749</v>
      </c>
      <c r="C3148" s="113" t="s">
        <v>5749</v>
      </c>
      <c r="D3148" s="393" t="s">
        <v>379</v>
      </c>
      <c r="E3148" s="394" t="s">
        <v>214</v>
      </c>
      <c r="F3148" s="402"/>
      <c r="G3148" s="405" t="s">
        <v>5486</v>
      </c>
      <c r="H3148" s="404">
        <v>3316</v>
      </c>
      <c r="I3148" s="402" t="s">
        <v>2</v>
      </c>
      <c r="J3148" s="406" t="s">
        <v>249</v>
      </c>
      <c r="K3148" s="403">
        <v>41170</v>
      </c>
      <c r="L3148" s="398">
        <v>41160</v>
      </c>
      <c r="M3148" s="402">
        <f t="shared" si="184"/>
        <v>10</v>
      </c>
      <c r="N3148" s="402" t="s">
        <v>2</v>
      </c>
      <c r="O3148" s="404">
        <f>1.8/2</f>
        <v>0.9</v>
      </c>
      <c r="P3148" s="402">
        <v>5.0999999999999996</v>
      </c>
      <c r="Q3148" s="404">
        <v>6</v>
      </c>
      <c r="R3148" s="402">
        <f>20/2</f>
        <v>10</v>
      </c>
      <c r="S3148" s="404">
        <v>3.8</v>
      </c>
      <c r="T3148" s="402">
        <v>2.3E-2</v>
      </c>
      <c r="U3148" s="395">
        <f>1/2</f>
        <v>0.5</v>
      </c>
      <c r="V3148" s="402">
        <v>1.1499999999999999</v>
      </c>
      <c r="W3148" s="404">
        <v>1.4999999999999999E-2</v>
      </c>
      <c r="X3148" s="402">
        <v>7.9000000000000001E-2</v>
      </c>
      <c r="Y3148" s="404">
        <v>6.0600000000000001E-2</v>
      </c>
      <c r="Z3148" s="397"/>
      <c r="AA3148" s="399"/>
      <c r="AB3148" s="394"/>
      <c r="AC3148" s="402"/>
      <c r="AD3148" s="399"/>
      <c r="AE3148" s="402"/>
      <c r="AF3148" s="391"/>
      <c r="AG3148" s="394"/>
      <c r="AH3148" s="394"/>
      <c r="AI3148" s="394"/>
      <c r="AJ3148" s="394"/>
      <c r="AK3148" s="394"/>
      <c r="AL3148" s="394"/>
      <c r="AM3148" s="394"/>
      <c r="AN3148" s="394"/>
      <c r="AO3148" s="394"/>
      <c r="AP3148" s="394"/>
      <c r="AQ3148" s="394"/>
      <c r="AR3148" s="394"/>
      <c r="AS3148" s="402"/>
      <c r="AT3148" s="404"/>
      <c r="AU3148" s="394"/>
      <c r="AV3148" s="394"/>
      <c r="AW3148" s="394"/>
      <c r="AX3148" s="5"/>
      <c r="AY3148" s="5"/>
      <c r="AZ3148" s="5"/>
      <c r="BA3148" s="5"/>
      <c r="BB3148" s="5"/>
      <c r="BC3148" s="5"/>
      <c r="BD3148" s="5"/>
      <c r="BE3148" s="5"/>
      <c r="BF3148" s="5"/>
      <c r="BG3148" s="5"/>
      <c r="BH3148" s="5"/>
      <c r="BI3148" s="5"/>
      <c r="BJ3148" s="5"/>
      <c r="BK3148" s="5"/>
      <c r="BL3148" s="5"/>
      <c r="BM3148" s="5"/>
      <c r="BN3148" s="5"/>
      <c r="BO3148" s="5"/>
      <c r="BP3148" s="5"/>
      <c r="BQ3148" s="5"/>
      <c r="BR3148" s="5"/>
      <c r="BS3148" s="5"/>
      <c r="BT3148" s="5"/>
      <c r="BU3148" s="5"/>
      <c r="BV3148" s="5"/>
      <c r="BW3148" s="5"/>
      <c r="BX3148" s="5"/>
      <c r="BY3148" s="5"/>
      <c r="BZ3148" s="5"/>
      <c r="CA3148" s="5"/>
    </row>
    <row r="3149" spans="1:79" s="400" customFormat="1" ht="15" customHeight="1">
      <c r="A3149" s="404" t="s">
        <v>4668</v>
      </c>
      <c r="B3149" s="402" t="s">
        <v>5749</v>
      </c>
      <c r="C3149" s="113" t="s">
        <v>5749</v>
      </c>
      <c r="D3149" s="393" t="s">
        <v>379</v>
      </c>
      <c r="E3149" s="394" t="s">
        <v>214</v>
      </c>
      <c r="F3149" s="402"/>
      <c r="G3149" s="405" t="s">
        <v>5486</v>
      </c>
      <c r="H3149" s="404">
        <v>3316</v>
      </c>
      <c r="I3149" s="402" t="s">
        <v>2</v>
      </c>
      <c r="J3149" s="406" t="s">
        <v>1999</v>
      </c>
      <c r="K3149" s="403">
        <v>41170</v>
      </c>
      <c r="L3149" s="398">
        <v>41160</v>
      </c>
      <c r="M3149" s="402">
        <f t="shared" si="184"/>
        <v>10</v>
      </c>
      <c r="N3149" s="402" t="s">
        <v>2</v>
      </c>
      <c r="O3149" s="404">
        <f>1.9/2</f>
        <v>0.95</v>
      </c>
      <c r="P3149" s="402">
        <v>5.0999999999999996</v>
      </c>
      <c r="Q3149" s="404">
        <v>5.8</v>
      </c>
      <c r="R3149" s="402">
        <f>20/2</f>
        <v>10</v>
      </c>
      <c r="S3149" s="404">
        <v>2.8</v>
      </c>
      <c r="T3149" s="402">
        <v>4.9000000000000002E-2</v>
      </c>
      <c r="U3149" s="395">
        <f>1/2</f>
        <v>0.5</v>
      </c>
      <c r="V3149" s="402">
        <v>0.5</v>
      </c>
      <c r="W3149" s="404">
        <f>0.005/2</f>
        <v>2.5000000000000001E-3</v>
      </c>
      <c r="X3149" s="402">
        <v>0.111</v>
      </c>
      <c r="Y3149" s="404">
        <f>0.005/2</f>
        <v>2.5000000000000001E-3</v>
      </c>
      <c r="Z3149" s="397"/>
      <c r="AA3149" s="399"/>
      <c r="AB3149" s="394"/>
      <c r="AC3149" s="402"/>
      <c r="AD3149" s="399"/>
      <c r="AE3149" s="402"/>
      <c r="AF3149" s="391"/>
      <c r="AG3149" s="394"/>
      <c r="AH3149" s="394"/>
      <c r="AI3149" s="394"/>
      <c r="AJ3149" s="394"/>
      <c r="AK3149" s="394"/>
      <c r="AL3149" s="394"/>
      <c r="AM3149" s="394"/>
      <c r="AN3149" s="394"/>
      <c r="AO3149" s="394"/>
      <c r="AP3149" s="394"/>
      <c r="AQ3149" s="394"/>
      <c r="AR3149" s="394"/>
      <c r="AS3149" s="402"/>
      <c r="AT3149" s="404"/>
      <c r="AU3149" s="394"/>
      <c r="AV3149" s="394"/>
      <c r="AW3149" s="394"/>
      <c r="AX3149" s="5"/>
      <c r="AY3149" s="5"/>
      <c r="AZ3149" s="5"/>
      <c r="BA3149" s="5"/>
      <c r="BB3149" s="5"/>
      <c r="BC3149" s="5"/>
      <c r="BD3149" s="5"/>
      <c r="BE3149" s="5"/>
      <c r="BF3149" s="5"/>
      <c r="BG3149" s="5"/>
      <c r="BH3149" s="5"/>
      <c r="BI3149" s="5"/>
      <c r="BJ3149" s="5"/>
      <c r="BK3149" s="5"/>
      <c r="BL3149" s="5"/>
      <c r="BM3149" s="5"/>
      <c r="BN3149" s="5"/>
      <c r="BO3149" s="5"/>
      <c r="BP3149" s="5"/>
      <c r="BQ3149" s="5"/>
      <c r="BR3149" s="5"/>
      <c r="BS3149" s="5"/>
      <c r="BT3149" s="5"/>
      <c r="BU3149" s="5"/>
      <c r="BV3149" s="5"/>
      <c r="BW3149" s="5"/>
      <c r="BX3149" s="5"/>
      <c r="BY3149" s="5"/>
      <c r="BZ3149" s="5"/>
      <c r="CA3149" s="5"/>
    </row>
    <row r="3150" spans="1:79" s="400" customFormat="1" ht="15" customHeight="1">
      <c r="A3150" s="41" t="s">
        <v>183</v>
      </c>
      <c r="B3150" s="402" t="s">
        <v>5759</v>
      </c>
      <c r="C3150" s="113" t="s">
        <v>5759</v>
      </c>
      <c r="D3150" s="393" t="s">
        <v>1537</v>
      </c>
      <c r="E3150" s="394" t="s">
        <v>1555</v>
      </c>
      <c r="F3150" s="402">
        <v>7300</v>
      </c>
      <c r="G3150" s="405" t="s">
        <v>5101</v>
      </c>
      <c r="H3150" s="404">
        <v>2844</v>
      </c>
      <c r="I3150" s="402" t="s">
        <v>2</v>
      </c>
      <c r="J3150" s="406" t="s">
        <v>641</v>
      </c>
      <c r="K3150" s="403">
        <v>41529</v>
      </c>
      <c r="L3150" s="398">
        <v>41512</v>
      </c>
      <c r="M3150" s="402">
        <f t="shared" si="184"/>
        <v>17</v>
      </c>
      <c r="N3150" s="402" t="s">
        <v>2</v>
      </c>
      <c r="O3150" s="404">
        <f>5/2</f>
        <v>2.5</v>
      </c>
      <c r="P3150" s="402">
        <v>6.73</v>
      </c>
      <c r="Q3150" s="404">
        <v>6.49</v>
      </c>
      <c r="R3150" s="402">
        <v>53</v>
      </c>
      <c r="S3150" s="404">
        <v>21</v>
      </c>
      <c r="T3150" s="402">
        <f>0.1/2</f>
        <v>0.05</v>
      </c>
      <c r="U3150" s="395">
        <f>1/2</f>
        <v>0.5</v>
      </c>
      <c r="V3150" s="402">
        <v>0.96</v>
      </c>
      <c r="W3150" s="404">
        <f>0.04/2</f>
        <v>0.02</v>
      </c>
      <c r="X3150" s="402">
        <v>2.5000000000000001E-2</v>
      </c>
      <c r="Y3150" s="404">
        <f>0.013/2</f>
        <v>6.4999999999999997E-3</v>
      </c>
      <c r="Z3150" s="397">
        <v>1</v>
      </c>
      <c r="AA3150" s="399">
        <v>1</v>
      </c>
      <c r="AB3150" s="394">
        <v>300</v>
      </c>
      <c r="AC3150" s="402">
        <v>2080</v>
      </c>
      <c r="AD3150" s="399">
        <v>0.95</v>
      </c>
      <c r="AE3150" s="402"/>
      <c r="AF3150" s="391"/>
      <c r="AG3150" s="394"/>
      <c r="AH3150" s="394"/>
      <c r="AI3150" s="394"/>
      <c r="AJ3150" s="394"/>
      <c r="AK3150" s="394"/>
      <c r="AL3150" s="394"/>
      <c r="AM3150" s="394"/>
      <c r="AN3150" s="394"/>
      <c r="AO3150" s="394"/>
      <c r="AP3150" s="394"/>
      <c r="AQ3150" s="394"/>
      <c r="AR3150" s="394"/>
      <c r="AS3150" s="402"/>
      <c r="AT3150" s="404"/>
      <c r="AU3150" s="394"/>
      <c r="AV3150" s="394"/>
      <c r="AW3150" s="394"/>
      <c r="AX3150" s="5"/>
      <c r="AY3150" s="5"/>
      <c r="AZ3150" s="5"/>
      <c r="BA3150" s="5"/>
      <c r="BB3150" s="5"/>
      <c r="BC3150" s="5"/>
      <c r="BD3150" s="5"/>
      <c r="BE3150" s="5"/>
      <c r="BF3150" s="5"/>
      <c r="BG3150" s="5"/>
      <c r="BH3150" s="5"/>
      <c r="BI3150" s="5"/>
      <c r="BJ3150" s="5"/>
      <c r="BK3150" s="5"/>
      <c r="BL3150" s="5"/>
      <c r="BM3150" s="5"/>
      <c r="BN3150" s="5"/>
      <c r="BO3150" s="5"/>
      <c r="BP3150" s="5"/>
      <c r="BQ3150" s="5"/>
      <c r="BR3150" s="5"/>
      <c r="BS3150" s="5"/>
      <c r="BT3150" s="5"/>
      <c r="BU3150" s="5"/>
      <c r="BV3150" s="5"/>
      <c r="BW3150" s="5"/>
      <c r="BX3150" s="5"/>
      <c r="BY3150" s="5"/>
      <c r="BZ3150" s="5"/>
      <c r="CA3150" s="5"/>
    </row>
    <row r="3151" spans="1:79" s="400" customFormat="1" ht="15" customHeight="1">
      <c r="A3151" s="41" t="s">
        <v>183</v>
      </c>
      <c r="B3151" s="402" t="s">
        <v>1922</v>
      </c>
      <c r="C3151" s="113" t="s">
        <v>1922</v>
      </c>
      <c r="D3151" s="393" t="s">
        <v>308</v>
      </c>
      <c r="E3151" s="394" t="s">
        <v>1923</v>
      </c>
      <c r="F3151" s="402">
        <v>6905</v>
      </c>
      <c r="G3151" s="405" t="s">
        <v>1924</v>
      </c>
      <c r="H3151" s="404">
        <v>3321</v>
      </c>
      <c r="I3151" s="402" t="s">
        <v>2</v>
      </c>
      <c r="J3151" s="401" t="s">
        <v>1925</v>
      </c>
      <c r="K3151" s="403">
        <v>41539</v>
      </c>
      <c r="L3151" s="398" t="s">
        <v>3434</v>
      </c>
      <c r="M3151" s="402"/>
      <c r="N3151" s="402" t="s">
        <v>2</v>
      </c>
      <c r="O3151" s="404">
        <f>2.5/2</f>
        <v>1.25</v>
      </c>
      <c r="P3151" s="402">
        <v>6.44</v>
      </c>
      <c r="Q3151" s="404">
        <v>7.27</v>
      </c>
      <c r="R3151" s="402">
        <v>5</v>
      </c>
      <c r="S3151" s="404">
        <f>5/2</f>
        <v>2.5</v>
      </c>
      <c r="T3151" s="402">
        <f>0.05/2</f>
        <v>2.5000000000000001E-2</v>
      </c>
      <c r="U3151" s="395">
        <v>1.79</v>
      </c>
      <c r="V3151" s="402">
        <v>0.26</v>
      </c>
      <c r="W3151" s="404">
        <v>0.02</v>
      </c>
      <c r="X3151" s="402">
        <v>0.05</v>
      </c>
      <c r="Y3151" s="404">
        <f>0.004/2</f>
        <v>2E-3</v>
      </c>
      <c r="Z3151" s="397">
        <v>1</v>
      </c>
      <c r="AA3151" s="399">
        <v>0.95499999999999996</v>
      </c>
      <c r="AB3151" s="394">
        <v>20</v>
      </c>
      <c r="AC3151" s="402">
        <v>5.3</v>
      </c>
      <c r="AD3151" s="399">
        <v>0.45</v>
      </c>
      <c r="AE3151" s="402"/>
      <c r="AF3151" s="391"/>
      <c r="AG3151" s="394"/>
      <c r="AH3151" s="394"/>
      <c r="AI3151" s="394"/>
      <c r="AJ3151" s="394"/>
      <c r="AK3151" s="394"/>
      <c r="AL3151" s="394"/>
      <c r="AM3151" s="394"/>
      <c r="AN3151" s="394"/>
      <c r="AO3151" s="394"/>
      <c r="AP3151" s="394"/>
      <c r="AQ3151" s="394"/>
      <c r="AR3151" s="394"/>
      <c r="AS3151" s="402"/>
      <c r="AT3151" s="404"/>
      <c r="AU3151" s="394"/>
      <c r="AV3151" s="394"/>
      <c r="AW3151" s="394"/>
      <c r="AX3151" s="5"/>
      <c r="AY3151" s="5"/>
      <c r="AZ3151" s="5"/>
      <c r="BA3151" s="5"/>
      <c r="BB3151" s="5"/>
      <c r="BC3151" s="5"/>
      <c r="BD3151" s="5"/>
      <c r="BE3151" s="5"/>
      <c r="BF3151" s="5"/>
      <c r="BG3151" s="5"/>
      <c r="BH3151" s="5"/>
      <c r="BI3151" s="5"/>
      <c r="BJ3151" s="5"/>
      <c r="BK3151" s="5"/>
      <c r="BL3151" s="5"/>
      <c r="BM3151" s="5"/>
      <c r="BN3151" s="5"/>
      <c r="BO3151" s="5"/>
      <c r="BP3151" s="5"/>
      <c r="BQ3151" s="5"/>
      <c r="BR3151" s="5"/>
      <c r="BS3151" s="5"/>
      <c r="BT3151" s="5"/>
      <c r="BU3151" s="5"/>
      <c r="BV3151" s="5"/>
      <c r="BW3151" s="5"/>
      <c r="BX3151" s="5"/>
      <c r="BY3151" s="5"/>
      <c r="BZ3151" s="5"/>
      <c r="CA3151" s="5"/>
    </row>
    <row r="3152" spans="1:79" s="400" customFormat="1" ht="15" customHeight="1">
      <c r="A3152" s="41" t="s">
        <v>183</v>
      </c>
      <c r="B3152" s="402" t="s">
        <v>2598</v>
      </c>
      <c r="C3152" s="113" t="s">
        <v>2599</v>
      </c>
      <c r="D3152" s="393" t="s">
        <v>156</v>
      </c>
      <c r="E3152" s="394" t="s">
        <v>2600</v>
      </c>
      <c r="F3152" s="402"/>
      <c r="G3152" s="405" t="s">
        <v>2601</v>
      </c>
      <c r="H3152" s="404">
        <v>3081</v>
      </c>
      <c r="I3152" s="402" t="s">
        <v>2</v>
      </c>
      <c r="J3152" s="406" t="s">
        <v>1030</v>
      </c>
      <c r="K3152" s="403">
        <v>41539</v>
      </c>
      <c r="L3152" s="398">
        <v>41529</v>
      </c>
      <c r="M3152" s="402">
        <f t="shared" si="184"/>
        <v>10</v>
      </c>
      <c r="N3152" s="402" t="s">
        <v>2</v>
      </c>
      <c r="O3152" s="404">
        <f>1.7/2</f>
        <v>0.85</v>
      </c>
      <c r="P3152" s="402">
        <v>9.3000000000000007</v>
      </c>
      <c r="Q3152" s="404">
        <v>7.3</v>
      </c>
      <c r="R3152" s="402">
        <v>30</v>
      </c>
      <c r="S3152" s="404">
        <v>41</v>
      </c>
      <c r="T3152" s="402">
        <v>0.11899999999999999</v>
      </c>
      <c r="U3152" s="395">
        <v>2.2999999999999998</v>
      </c>
      <c r="V3152" s="402">
        <f>0.46/2</f>
        <v>0.23</v>
      </c>
      <c r="W3152" s="404">
        <v>2.4E-2</v>
      </c>
      <c r="X3152" s="402">
        <v>7.0000000000000007E-2</v>
      </c>
      <c r="Y3152" s="404">
        <v>8.3999999999999995E-3</v>
      </c>
      <c r="Z3152" s="397"/>
      <c r="AA3152" s="399"/>
      <c r="AB3152" s="394"/>
      <c r="AC3152" s="402"/>
      <c r="AD3152" s="399"/>
      <c r="AE3152" s="402"/>
      <c r="AF3152" s="391"/>
      <c r="AG3152" s="394"/>
      <c r="AH3152" s="394"/>
      <c r="AI3152" s="394"/>
      <c r="AJ3152" s="394"/>
      <c r="AK3152" s="394"/>
      <c r="AL3152" s="394"/>
      <c r="AM3152" s="394"/>
      <c r="AN3152" s="394"/>
      <c r="AO3152" s="394"/>
      <c r="AP3152" s="394"/>
      <c r="AQ3152" s="394"/>
      <c r="AR3152" s="394"/>
      <c r="AS3152" s="402"/>
      <c r="AT3152" s="404"/>
      <c r="AU3152" s="394"/>
      <c r="AV3152" s="394"/>
      <c r="AW3152" s="394"/>
      <c r="AX3152" s="5"/>
      <c r="AY3152" s="5"/>
      <c r="AZ3152" s="5"/>
      <c r="BA3152" s="5"/>
      <c r="BB3152" s="5"/>
      <c r="BC3152" s="5"/>
      <c r="BD3152" s="5"/>
      <c r="BE3152" s="5"/>
      <c r="BF3152" s="5"/>
      <c r="BG3152" s="5"/>
      <c r="BH3152" s="5"/>
      <c r="BI3152" s="5"/>
      <c r="BJ3152" s="5"/>
      <c r="BK3152" s="5"/>
      <c r="BL3152" s="5"/>
      <c r="BM3152" s="5"/>
      <c r="BN3152" s="5"/>
      <c r="BO3152" s="5"/>
      <c r="BP3152" s="5"/>
      <c r="BQ3152" s="5"/>
      <c r="BR3152" s="5"/>
      <c r="BS3152" s="5"/>
      <c r="BT3152" s="5"/>
      <c r="BU3152" s="5"/>
      <c r="BV3152" s="5"/>
      <c r="BW3152" s="5"/>
      <c r="BX3152" s="5"/>
      <c r="BY3152" s="5"/>
      <c r="BZ3152" s="5"/>
      <c r="CA3152" s="5"/>
    </row>
    <row r="3153" spans="1:79" s="400" customFormat="1" ht="15" customHeight="1">
      <c r="A3153" s="41" t="s">
        <v>183</v>
      </c>
      <c r="B3153" s="402" t="s">
        <v>2598</v>
      </c>
      <c r="C3153" s="113" t="s">
        <v>2599</v>
      </c>
      <c r="D3153" s="393" t="s">
        <v>156</v>
      </c>
      <c r="E3153" s="394" t="s">
        <v>2600</v>
      </c>
      <c r="F3153" s="402"/>
      <c r="G3153" s="405" t="s">
        <v>2601</v>
      </c>
      <c r="H3153" s="404">
        <v>3081</v>
      </c>
      <c r="I3153" s="402" t="s">
        <v>2</v>
      </c>
      <c r="J3153" s="406" t="s">
        <v>1031</v>
      </c>
      <c r="K3153" s="403">
        <v>41539</v>
      </c>
      <c r="L3153" s="398">
        <v>41529</v>
      </c>
      <c r="M3153" s="402">
        <f t="shared" si="184"/>
        <v>10</v>
      </c>
      <c r="N3153" s="402" t="s">
        <v>2</v>
      </c>
      <c r="O3153" s="404">
        <f>1.7/2</f>
        <v>0.85</v>
      </c>
      <c r="P3153" s="402">
        <v>9.3000000000000007</v>
      </c>
      <c r="Q3153" s="404">
        <v>7.1</v>
      </c>
      <c r="R3153" s="402">
        <v>44</v>
      </c>
      <c r="S3153" s="404">
        <v>31</v>
      </c>
      <c r="T3153" s="402">
        <v>0.251</v>
      </c>
      <c r="U3153" s="395">
        <v>1.5</v>
      </c>
      <c r="V3153" s="402">
        <f>0.46/2</f>
        <v>0.23</v>
      </c>
      <c r="W3153" s="404">
        <v>2.3E-2</v>
      </c>
      <c r="X3153" s="402">
        <v>5.3999999999999999E-2</v>
      </c>
      <c r="Y3153" s="404">
        <v>5.8999999999999999E-3</v>
      </c>
      <c r="Z3153" s="397"/>
      <c r="AA3153" s="399"/>
      <c r="AB3153" s="394"/>
      <c r="AC3153" s="402"/>
      <c r="AD3153" s="399"/>
      <c r="AE3153" s="402"/>
      <c r="AF3153" s="391"/>
      <c r="AG3153" s="394"/>
      <c r="AH3153" s="394"/>
      <c r="AI3153" s="394"/>
      <c r="AJ3153" s="394"/>
      <c r="AK3153" s="394"/>
      <c r="AL3153" s="394"/>
      <c r="AM3153" s="394"/>
      <c r="AN3153" s="394"/>
      <c r="AO3153" s="394"/>
      <c r="AP3153" s="394"/>
      <c r="AQ3153" s="394"/>
      <c r="AR3153" s="394"/>
      <c r="AS3153" s="402"/>
      <c r="AT3153" s="404"/>
      <c r="AU3153" s="394"/>
      <c r="AV3153" s="394"/>
      <c r="AW3153" s="394"/>
      <c r="AX3153" s="5"/>
      <c r="AY3153" s="5"/>
      <c r="AZ3153" s="5"/>
      <c r="BA3153" s="5"/>
      <c r="BB3153" s="5"/>
      <c r="BC3153" s="5"/>
      <c r="BD3153" s="5"/>
      <c r="BE3153" s="5"/>
      <c r="BF3153" s="5"/>
      <c r="BG3153" s="5"/>
      <c r="BH3153" s="5"/>
      <c r="BI3153" s="5"/>
      <c r="BJ3153" s="5"/>
      <c r="BK3153" s="5"/>
      <c r="BL3153" s="5"/>
      <c r="BM3153" s="5"/>
      <c r="BN3153" s="5"/>
      <c r="BO3153" s="5"/>
      <c r="BP3153" s="5"/>
      <c r="BQ3153" s="5"/>
      <c r="BR3153" s="5"/>
      <c r="BS3153" s="5"/>
      <c r="BT3153" s="5"/>
      <c r="BU3153" s="5"/>
      <c r="BV3153" s="5"/>
      <c r="BW3153" s="5"/>
      <c r="BX3153" s="5"/>
      <c r="BY3153" s="5"/>
      <c r="BZ3153" s="5"/>
      <c r="CA3153" s="5"/>
    </row>
    <row r="3154" spans="1:79" s="400" customFormat="1" ht="15" customHeight="1">
      <c r="A3154" s="41" t="s">
        <v>183</v>
      </c>
      <c r="B3154" s="402" t="s">
        <v>3213</v>
      </c>
      <c r="C3154" s="113" t="s">
        <v>3213</v>
      </c>
      <c r="D3154" s="393" t="s">
        <v>2691</v>
      </c>
      <c r="E3154" s="394" t="s">
        <v>4233</v>
      </c>
      <c r="F3154" s="402"/>
      <c r="G3154" s="405" t="s">
        <v>3215</v>
      </c>
      <c r="H3154" s="404">
        <v>4142</v>
      </c>
      <c r="I3154" s="402" t="s">
        <v>2</v>
      </c>
      <c r="J3154" s="406" t="s">
        <v>81</v>
      </c>
      <c r="K3154" s="403">
        <v>41030</v>
      </c>
      <c r="L3154" s="398">
        <v>41022</v>
      </c>
      <c r="M3154" s="402">
        <f t="shared" si="184"/>
        <v>8</v>
      </c>
      <c r="N3154" s="402" t="s">
        <v>2</v>
      </c>
      <c r="O3154" s="404">
        <v>2</v>
      </c>
      <c r="P3154" s="402">
        <v>6</v>
      </c>
      <c r="Q3154" s="404">
        <v>6.9</v>
      </c>
      <c r="R3154" s="402">
        <v>106</v>
      </c>
      <c r="S3154" s="404">
        <v>19</v>
      </c>
      <c r="T3154" s="402">
        <v>0.2</v>
      </c>
      <c r="U3154" s="395">
        <v>3.95</v>
      </c>
      <c r="V3154" s="402">
        <v>0.57999999999999996</v>
      </c>
      <c r="W3154" s="404">
        <v>0.114</v>
      </c>
      <c r="X3154" s="402">
        <v>0.215</v>
      </c>
      <c r="Y3154" s="404">
        <f>0.03/2</f>
        <v>1.4999999999999999E-2</v>
      </c>
      <c r="Z3154" s="397"/>
      <c r="AA3154" s="399"/>
      <c r="AB3154" s="394"/>
      <c r="AC3154" s="402"/>
      <c r="AD3154" s="399"/>
      <c r="AE3154" s="402"/>
      <c r="AF3154" s="391"/>
      <c r="AG3154" s="394"/>
      <c r="AH3154" s="394"/>
      <c r="AI3154" s="394"/>
      <c r="AJ3154" s="394"/>
      <c r="AK3154" s="394"/>
      <c r="AL3154" s="394"/>
      <c r="AM3154" s="394"/>
      <c r="AN3154" s="394"/>
      <c r="AO3154" s="394"/>
      <c r="AP3154" s="394"/>
      <c r="AQ3154" s="394"/>
      <c r="AR3154" s="394"/>
      <c r="AS3154" s="402"/>
      <c r="AT3154" s="404"/>
      <c r="AU3154" s="394"/>
      <c r="AV3154" s="394"/>
      <c r="AW3154" s="394"/>
      <c r="AX3154" s="5"/>
      <c r="AY3154" s="5"/>
      <c r="AZ3154" s="5"/>
      <c r="BA3154" s="5"/>
      <c r="BB3154" s="5"/>
      <c r="BC3154" s="5"/>
      <c r="BD3154" s="5"/>
      <c r="BE3154" s="5"/>
      <c r="BF3154" s="5"/>
      <c r="BG3154" s="5"/>
      <c r="BH3154" s="5"/>
      <c r="BI3154" s="5"/>
      <c r="BJ3154" s="5"/>
      <c r="BK3154" s="5"/>
      <c r="BL3154" s="5"/>
      <c r="BM3154" s="5"/>
      <c r="BN3154" s="5"/>
      <c r="BO3154" s="5"/>
      <c r="BP3154" s="5"/>
      <c r="BQ3154" s="5"/>
      <c r="BR3154" s="5"/>
      <c r="BS3154" s="5"/>
      <c r="BT3154" s="5"/>
      <c r="BU3154" s="5"/>
      <c r="BV3154" s="5"/>
      <c r="BW3154" s="5"/>
      <c r="BX3154" s="5"/>
      <c r="BY3154" s="5"/>
      <c r="BZ3154" s="5"/>
      <c r="CA3154" s="5"/>
    </row>
    <row r="3155" spans="1:79" s="400" customFormat="1" ht="15" customHeight="1">
      <c r="A3155" s="404" t="s">
        <v>4668</v>
      </c>
      <c r="B3155" s="402" t="s">
        <v>5760</v>
      </c>
      <c r="C3155" s="113"/>
      <c r="D3155" s="393" t="s">
        <v>89</v>
      </c>
      <c r="E3155" s="394" t="s">
        <v>5761</v>
      </c>
      <c r="F3155" s="402">
        <v>6603</v>
      </c>
      <c r="G3155" s="405" t="s">
        <v>4738</v>
      </c>
      <c r="H3155" s="404"/>
      <c r="I3155" s="402" t="s">
        <v>2</v>
      </c>
      <c r="J3155" s="406" t="s">
        <v>5762</v>
      </c>
      <c r="K3155" s="403">
        <v>41631</v>
      </c>
      <c r="L3155" s="398">
        <v>41625</v>
      </c>
      <c r="M3155" s="402">
        <f t="shared" si="184"/>
        <v>6</v>
      </c>
      <c r="N3155" s="402" t="s">
        <v>2</v>
      </c>
      <c r="O3155" s="404">
        <f>1/2</f>
        <v>0.5</v>
      </c>
      <c r="P3155" s="402">
        <v>4.5</v>
      </c>
      <c r="Q3155" s="404">
        <v>7.4</v>
      </c>
      <c r="R3155" s="402">
        <v>85</v>
      </c>
      <c r="S3155" s="404">
        <v>1154</v>
      </c>
      <c r="T3155" s="402">
        <v>0.73</v>
      </c>
      <c r="U3155" s="395">
        <v>1.43</v>
      </c>
      <c r="V3155" s="402">
        <v>0.72</v>
      </c>
      <c r="W3155" s="404">
        <v>0.03</v>
      </c>
      <c r="X3155" s="402">
        <v>0.1</v>
      </c>
      <c r="Y3155" s="404">
        <v>1.0999999999999999E-2</v>
      </c>
      <c r="Z3155" s="397"/>
      <c r="AA3155" s="399"/>
      <c r="AB3155" s="394"/>
      <c r="AC3155" s="402"/>
      <c r="AD3155" s="399"/>
      <c r="AE3155" s="402"/>
      <c r="AF3155" s="391"/>
      <c r="AG3155" s="394"/>
      <c r="AH3155" s="394"/>
      <c r="AI3155" s="394"/>
      <c r="AJ3155" s="394"/>
      <c r="AK3155" s="394"/>
      <c r="AL3155" s="394"/>
      <c r="AM3155" s="394"/>
      <c r="AN3155" s="394"/>
      <c r="AO3155" s="394"/>
      <c r="AP3155" s="394"/>
      <c r="AQ3155" s="394"/>
      <c r="AR3155" s="394"/>
      <c r="AS3155" s="402"/>
      <c r="AT3155" s="404"/>
      <c r="AU3155" s="394"/>
      <c r="AV3155" s="394"/>
      <c r="AW3155" s="394"/>
      <c r="AX3155" s="5"/>
      <c r="AY3155" s="5"/>
      <c r="AZ3155" s="5"/>
      <c r="BA3155" s="5"/>
      <c r="BB3155" s="5"/>
      <c r="BC3155" s="5"/>
      <c r="BD3155" s="5"/>
      <c r="BE3155" s="5"/>
      <c r="BF3155" s="5"/>
      <c r="BG3155" s="5"/>
      <c r="BH3155" s="5"/>
      <c r="BI3155" s="5"/>
      <c r="BJ3155" s="5"/>
      <c r="BK3155" s="5"/>
      <c r="BL3155" s="5"/>
      <c r="BM3155" s="5"/>
      <c r="BN3155" s="5"/>
      <c r="BO3155" s="5"/>
      <c r="BP3155" s="5"/>
      <c r="BQ3155" s="5"/>
      <c r="BR3155" s="5"/>
      <c r="BS3155" s="5"/>
      <c r="BT3155" s="5"/>
      <c r="BU3155" s="5"/>
      <c r="BV3155" s="5"/>
      <c r="BW3155" s="5"/>
      <c r="BX3155" s="5"/>
      <c r="BY3155" s="5"/>
      <c r="BZ3155" s="5"/>
      <c r="CA3155" s="5"/>
    </row>
    <row r="3156" spans="1:79" s="400" customFormat="1" ht="15" customHeight="1">
      <c r="A3156" s="404" t="s">
        <v>4668</v>
      </c>
      <c r="B3156" s="402" t="s">
        <v>5760</v>
      </c>
      <c r="C3156" s="113"/>
      <c r="D3156" s="393" t="s">
        <v>89</v>
      </c>
      <c r="E3156" s="394" t="s">
        <v>5761</v>
      </c>
      <c r="F3156" s="402">
        <v>6603</v>
      </c>
      <c r="G3156" s="405" t="s">
        <v>4738</v>
      </c>
      <c r="H3156" s="404"/>
      <c r="I3156" s="402" t="s">
        <v>2</v>
      </c>
      <c r="J3156" s="406" t="s">
        <v>5763</v>
      </c>
      <c r="K3156" s="403">
        <v>41631</v>
      </c>
      <c r="L3156" s="398">
        <v>41625</v>
      </c>
      <c r="M3156" s="402">
        <f t="shared" si="184"/>
        <v>6</v>
      </c>
      <c r="N3156" s="402" t="s">
        <v>2</v>
      </c>
      <c r="O3156" s="404">
        <f>1/2</f>
        <v>0.5</v>
      </c>
      <c r="P3156" s="402">
        <v>4.5</v>
      </c>
      <c r="Q3156" s="404">
        <v>8.6</v>
      </c>
      <c r="R3156" s="402">
        <v>138</v>
      </c>
      <c r="S3156" s="404">
        <v>936</v>
      </c>
      <c r="T3156" s="402">
        <v>0.84</v>
      </c>
      <c r="U3156" s="395">
        <v>1.29</v>
      </c>
      <c r="V3156" s="402">
        <v>0.52</v>
      </c>
      <c r="W3156" s="404">
        <v>0.03</v>
      </c>
      <c r="X3156" s="402">
        <v>7.0000000000000007E-2</v>
      </c>
      <c r="Y3156" s="404">
        <v>1.2E-2</v>
      </c>
      <c r="Z3156" s="397"/>
      <c r="AA3156" s="399"/>
      <c r="AB3156" s="394"/>
      <c r="AC3156" s="402"/>
      <c r="AD3156" s="399"/>
      <c r="AE3156" s="402"/>
      <c r="AF3156" s="391"/>
      <c r="AG3156" s="394"/>
      <c r="AH3156" s="394"/>
      <c r="AI3156" s="394"/>
      <c r="AJ3156" s="394"/>
      <c r="AK3156" s="394"/>
      <c r="AL3156" s="394"/>
      <c r="AM3156" s="394"/>
      <c r="AN3156" s="394"/>
      <c r="AO3156" s="394"/>
      <c r="AP3156" s="394"/>
      <c r="AQ3156" s="394"/>
      <c r="AR3156" s="394"/>
      <c r="AS3156" s="402"/>
      <c r="AT3156" s="404"/>
      <c r="AU3156" s="394"/>
      <c r="AV3156" s="394"/>
      <c r="AW3156" s="394"/>
      <c r="AX3156" s="5"/>
      <c r="AY3156" s="5"/>
      <c r="AZ3156" s="5"/>
      <c r="BA3156" s="5"/>
      <c r="BB3156" s="5"/>
      <c r="BC3156" s="5"/>
      <c r="BD3156" s="5"/>
      <c r="BE3156" s="5"/>
      <c r="BF3156" s="5"/>
      <c r="BG3156" s="5"/>
      <c r="BH3156" s="5"/>
      <c r="BI3156" s="5"/>
      <c r="BJ3156" s="5"/>
      <c r="BK3156" s="5"/>
      <c r="BL3156" s="5"/>
      <c r="BM3156" s="5"/>
      <c r="BN3156" s="5"/>
      <c r="BO3156" s="5"/>
      <c r="BP3156" s="5"/>
      <c r="BQ3156" s="5"/>
      <c r="BR3156" s="5"/>
      <c r="BS3156" s="5"/>
      <c r="BT3156" s="5"/>
      <c r="BU3156" s="5"/>
      <c r="BV3156" s="5"/>
      <c r="BW3156" s="5"/>
      <c r="BX3156" s="5"/>
      <c r="BY3156" s="5"/>
      <c r="BZ3156" s="5"/>
      <c r="CA3156" s="5"/>
    </row>
    <row r="3157" spans="1:79" s="400" customFormat="1" ht="15" customHeight="1">
      <c r="A3157" s="41" t="s">
        <v>183</v>
      </c>
      <c r="B3157" s="386" t="s">
        <v>349</v>
      </c>
      <c r="C3157" s="149" t="s">
        <v>349</v>
      </c>
      <c r="D3157" s="392" t="s">
        <v>350</v>
      </c>
      <c r="E3157" s="394" t="s">
        <v>1546</v>
      </c>
      <c r="F3157" s="402" t="s">
        <v>2541</v>
      </c>
      <c r="G3157" s="405" t="s">
        <v>966</v>
      </c>
      <c r="H3157" s="404">
        <v>3724</v>
      </c>
      <c r="I3157" s="402" t="s">
        <v>2</v>
      </c>
      <c r="J3157" s="392" t="s">
        <v>5075</v>
      </c>
      <c r="K3157" s="403">
        <v>41358</v>
      </c>
      <c r="L3157" s="398">
        <v>41354</v>
      </c>
      <c r="M3157" s="402">
        <f t="shared" si="184"/>
        <v>4</v>
      </c>
      <c r="N3157" s="402" t="s">
        <v>2</v>
      </c>
      <c r="O3157" s="404">
        <f>1/2</f>
        <v>0.5</v>
      </c>
      <c r="P3157" s="402">
        <v>6.28</v>
      </c>
      <c r="Q3157" s="404">
        <v>7.03</v>
      </c>
      <c r="R3157" s="402">
        <f>5/2</f>
        <v>2.5</v>
      </c>
      <c r="S3157" s="404">
        <f>5/2</f>
        <v>2.5</v>
      </c>
      <c r="T3157" s="402">
        <v>2.7799999999999999E-3</v>
      </c>
      <c r="U3157" s="395">
        <f>0.2/2</f>
        <v>0.1</v>
      </c>
      <c r="V3157" s="402">
        <v>1.73</v>
      </c>
      <c r="W3157" s="404">
        <f>0.005/2</f>
        <v>2.5000000000000001E-3</v>
      </c>
      <c r="X3157" s="402">
        <f>0.035/2</f>
        <v>1.7500000000000002E-2</v>
      </c>
      <c r="Y3157" s="404">
        <f>0.0075/2</f>
        <v>3.7499999999999999E-3</v>
      </c>
      <c r="Z3157" s="397">
        <v>1</v>
      </c>
      <c r="AA3157" s="399">
        <v>1</v>
      </c>
      <c r="AB3157" s="394">
        <v>62</v>
      </c>
      <c r="AC3157" s="402">
        <v>199</v>
      </c>
      <c r="AD3157" s="399">
        <v>1</v>
      </c>
      <c r="AE3157" s="402"/>
      <c r="AF3157" s="391"/>
      <c r="AG3157" s="394"/>
      <c r="AH3157" s="394"/>
      <c r="AI3157" s="394"/>
      <c r="AJ3157" s="394"/>
      <c r="AK3157" s="394"/>
      <c r="AL3157" s="394"/>
      <c r="AM3157" s="394"/>
      <c r="AN3157" s="394"/>
      <c r="AO3157" s="394"/>
      <c r="AP3157" s="394"/>
      <c r="AQ3157" s="394"/>
      <c r="AR3157" s="394"/>
      <c r="AS3157" s="402"/>
      <c r="AT3157" s="404"/>
      <c r="AU3157" s="394"/>
      <c r="AV3157" s="394"/>
      <c r="AW3157" s="394"/>
      <c r="AX3157" s="5"/>
      <c r="AY3157" s="5"/>
      <c r="AZ3157" s="5"/>
      <c r="BA3157" s="5"/>
      <c r="BB3157" s="5"/>
      <c r="BC3157" s="5"/>
      <c r="BD3157" s="5"/>
      <c r="BE3157" s="5"/>
      <c r="BF3157" s="5"/>
      <c r="BG3157" s="5"/>
      <c r="BH3157" s="5"/>
      <c r="BI3157" s="5"/>
      <c r="BJ3157" s="5"/>
      <c r="BK3157" s="5"/>
      <c r="BL3157" s="5"/>
      <c r="BM3157" s="5"/>
      <c r="BN3157" s="5"/>
      <c r="BO3157" s="5"/>
      <c r="BP3157" s="5"/>
      <c r="BQ3157" s="5"/>
      <c r="BR3157" s="5"/>
      <c r="BS3157" s="5"/>
      <c r="BT3157" s="5"/>
      <c r="BU3157" s="5"/>
      <c r="BV3157" s="5"/>
      <c r="BW3157" s="5"/>
      <c r="BX3157" s="5"/>
      <c r="BY3157" s="5"/>
      <c r="BZ3157" s="5"/>
      <c r="CA3157" s="5"/>
    </row>
    <row r="3158" spans="1:79" s="400" customFormat="1" ht="15" customHeight="1">
      <c r="A3158" s="41" t="s">
        <v>183</v>
      </c>
      <c r="B3158" s="385" t="s">
        <v>4368</v>
      </c>
      <c r="C3158" s="18" t="s">
        <v>4368</v>
      </c>
      <c r="D3158" s="377" t="s">
        <v>89</v>
      </c>
      <c r="E3158" s="394" t="s">
        <v>5761</v>
      </c>
      <c r="F3158" s="402">
        <v>6603</v>
      </c>
      <c r="G3158" s="405" t="s">
        <v>4369</v>
      </c>
      <c r="H3158" s="404"/>
      <c r="I3158" s="402" t="s">
        <v>2</v>
      </c>
      <c r="J3158" s="344" t="s">
        <v>4370</v>
      </c>
      <c r="K3158" s="403">
        <v>41417</v>
      </c>
      <c r="L3158" s="398">
        <v>41413</v>
      </c>
      <c r="M3158" s="402">
        <f t="shared" si="184"/>
        <v>4</v>
      </c>
      <c r="N3158" s="402" t="s">
        <v>2</v>
      </c>
      <c r="O3158" s="404">
        <v>20.6</v>
      </c>
      <c r="P3158" s="402">
        <v>5.5</v>
      </c>
      <c r="Q3158" s="404">
        <v>5.6</v>
      </c>
      <c r="R3158" s="402">
        <v>161</v>
      </c>
      <c r="S3158" s="404">
        <v>79</v>
      </c>
      <c r="T3158" s="402">
        <f>0.1/2</f>
        <v>0.05</v>
      </c>
      <c r="U3158" s="395">
        <v>2.96</v>
      </c>
      <c r="V3158" s="402">
        <v>0.94</v>
      </c>
      <c r="W3158" s="404">
        <v>0.27</v>
      </c>
      <c r="X3158" s="402">
        <v>0.27</v>
      </c>
      <c r="Y3158" s="404">
        <v>1.0999999999999999E-2</v>
      </c>
      <c r="Z3158" s="397">
        <v>1</v>
      </c>
      <c r="AA3158" s="399">
        <v>1</v>
      </c>
      <c r="AB3158" s="394">
        <v>14</v>
      </c>
      <c r="AC3158" s="402">
        <v>56</v>
      </c>
      <c r="AD3158" s="399">
        <v>0.95</v>
      </c>
      <c r="AE3158" s="402"/>
      <c r="AF3158" s="391"/>
      <c r="AG3158" s="394"/>
      <c r="AH3158" s="394"/>
      <c r="AI3158" s="394"/>
      <c r="AJ3158" s="394"/>
      <c r="AK3158" s="394"/>
      <c r="AL3158" s="394"/>
      <c r="AM3158" s="394"/>
      <c r="AN3158" s="394"/>
      <c r="AO3158" s="394"/>
      <c r="AP3158" s="394"/>
      <c r="AQ3158" s="394"/>
      <c r="AR3158" s="394"/>
      <c r="AS3158" s="402"/>
      <c r="AT3158" s="404"/>
      <c r="AU3158" s="394"/>
      <c r="AV3158" s="394"/>
      <c r="AW3158" s="394"/>
      <c r="AX3158" s="5"/>
      <c r="AY3158" s="5"/>
      <c r="AZ3158" s="5"/>
      <c r="BA3158" s="5"/>
      <c r="BB3158" s="5"/>
      <c r="BC3158" s="5"/>
      <c r="BD3158" s="5"/>
      <c r="BE3158" s="5"/>
      <c r="BF3158" s="5"/>
      <c r="BG3158" s="5"/>
      <c r="BH3158" s="5"/>
      <c r="BI3158" s="5"/>
      <c r="BJ3158" s="5"/>
      <c r="BK3158" s="5"/>
      <c r="BL3158" s="5"/>
      <c r="BM3158" s="5"/>
      <c r="BN3158" s="5"/>
      <c r="BO3158" s="5"/>
      <c r="BP3158" s="5"/>
      <c r="BQ3158" s="5"/>
      <c r="BR3158" s="5"/>
      <c r="BS3158" s="5"/>
      <c r="BT3158" s="5"/>
      <c r="BU3158" s="5"/>
      <c r="BV3158" s="5"/>
      <c r="BW3158" s="5"/>
      <c r="BX3158" s="5"/>
      <c r="BY3158" s="5"/>
      <c r="BZ3158" s="5"/>
      <c r="CA3158" s="5"/>
    </row>
    <row r="3159" spans="1:79" s="400" customFormat="1" ht="15" customHeight="1">
      <c r="A3159" s="41" t="s">
        <v>183</v>
      </c>
      <c r="B3159" s="402" t="s">
        <v>1853</v>
      </c>
      <c r="C3159" s="113" t="s">
        <v>1854</v>
      </c>
      <c r="D3159" s="393" t="s">
        <v>290</v>
      </c>
      <c r="E3159" s="394" t="s">
        <v>5764</v>
      </c>
      <c r="F3159" s="402" t="s">
        <v>1855</v>
      </c>
      <c r="G3159" s="405" t="s">
        <v>1856</v>
      </c>
      <c r="H3159" s="404">
        <v>2819</v>
      </c>
      <c r="I3159" s="402" t="s">
        <v>2</v>
      </c>
      <c r="J3159" s="401" t="s">
        <v>700</v>
      </c>
      <c r="K3159" s="403">
        <v>41226</v>
      </c>
      <c r="L3159" s="398">
        <v>41221</v>
      </c>
      <c r="M3159" s="402">
        <f t="shared" si="184"/>
        <v>5</v>
      </c>
      <c r="N3159" s="402" t="s">
        <v>2</v>
      </c>
      <c r="O3159" s="404">
        <f>1.9/2</f>
        <v>0.95</v>
      </c>
      <c r="P3159" s="402">
        <v>6.24</v>
      </c>
      <c r="Q3159" s="404">
        <v>6.03</v>
      </c>
      <c r="R3159" s="402">
        <v>22</v>
      </c>
      <c r="S3159" s="404">
        <v>3.2</v>
      </c>
      <c r="T3159" s="402">
        <v>1.6E-2</v>
      </c>
      <c r="U3159" s="395">
        <v>1.8</v>
      </c>
      <c r="V3159" s="402">
        <v>1.1200000000000001</v>
      </c>
      <c r="W3159" s="404">
        <f>0.005/2</f>
        <v>2.5000000000000001E-3</v>
      </c>
      <c r="X3159" s="402">
        <v>0.17</v>
      </c>
      <c r="Y3159" s="404">
        <f>0.005/2</f>
        <v>2.5000000000000001E-3</v>
      </c>
      <c r="Z3159" s="397"/>
      <c r="AA3159" s="399"/>
      <c r="AB3159" s="394"/>
      <c r="AC3159" s="402"/>
      <c r="AD3159" s="399"/>
      <c r="AE3159" s="402"/>
      <c r="AF3159" s="391"/>
      <c r="AG3159" s="394"/>
      <c r="AH3159" s="394"/>
      <c r="AI3159" s="394"/>
      <c r="AJ3159" s="394"/>
      <c r="AK3159" s="394"/>
      <c r="AL3159" s="394"/>
      <c r="AM3159" s="394"/>
      <c r="AN3159" s="394"/>
      <c r="AO3159" s="394"/>
      <c r="AP3159" s="394"/>
      <c r="AQ3159" s="394"/>
      <c r="AR3159" s="394"/>
      <c r="AS3159" s="402"/>
      <c r="AT3159" s="404"/>
      <c r="AU3159" s="394"/>
      <c r="AV3159" s="394"/>
      <c r="AW3159" s="394"/>
      <c r="AX3159" s="5"/>
      <c r="AY3159" s="5"/>
      <c r="AZ3159" s="5"/>
      <c r="BA3159" s="5"/>
      <c r="BB3159" s="5"/>
      <c r="BC3159" s="5"/>
      <c r="BD3159" s="5"/>
      <c r="BE3159" s="5"/>
      <c r="BF3159" s="5"/>
      <c r="BG3159" s="5"/>
      <c r="BH3159" s="5"/>
      <c r="BI3159" s="5"/>
      <c r="BJ3159" s="5"/>
      <c r="BK3159" s="5"/>
      <c r="BL3159" s="5"/>
      <c r="BM3159" s="5"/>
      <c r="BN3159" s="5"/>
      <c r="BO3159" s="5"/>
      <c r="BP3159" s="5"/>
      <c r="BQ3159" s="5"/>
      <c r="BR3159" s="5"/>
      <c r="BS3159" s="5"/>
      <c r="BT3159" s="5"/>
      <c r="BU3159" s="5"/>
      <c r="BV3159" s="5"/>
      <c r="BW3159" s="5"/>
      <c r="BX3159" s="5"/>
      <c r="BY3159" s="5"/>
      <c r="BZ3159" s="5"/>
      <c r="CA3159" s="5"/>
    </row>
    <row r="3160" spans="1:79" s="400" customFormat="1" ht="15" customHeight="1">
      <c r="A3160" s="41" t="s">
        <v>183</v>
      </c>
      <c r="B3160" s="386" t="s">
        <v>2505</v>
      </c>
      <c r="C3160" s="149" t="s">
        <v>2505</v>
      </c>
      <c r="D3160" s="393" t="s">
        <v>480</v>
      </c>
      <c r="E3160" s="394"/>
      <c r="F3160" s="402">
        <v>4013</v>
      </c>
      <c r="G3160" s="405" t="s">
        <v>2506</v>
      </c>
      <c r="H3160" s="404"/>
      <c r="I3160" s="402"/>
      <c r="J3160" s="406"/>
      <c r="K3160" s="403">
        <v>41435</v>
      </c>
      <c r="L3160" s="398"/>
      <c r="M3160" s="402"/>
      <c r="N3160" s="402" t="s">
        <v>2</v>
      </c>
      <c r="O3160" s="404">
        <f>1/2</f>
        <v>0.5</v>
      </c>
      <c r="P3160" s="402"/>
      <c r="Q3160" s="404">
        <v>3.79</v>
      </c>
      <c r="R3160" s="402">
        <v>147</v>
      </c>
      <c r="S3160" s="404">
        <v>28</v>
      </c>
      <c r="T3160" s="402">
        <f>0.05/2</f>
        <v>2.5000000000000001E-2</v>
      </c>
      <c r="U3160" s="395">
        <v>2.7</v>
      </c>
      <c r="V3160" s="402">
        <v>0.96</v>
      </c>
      <c r="W3160" s="404">
        <v>3.1E-2</v>
      </c>
      <c r="X3160" s="402">
        <v>0.20200000000000001</v>
      </c>
      <c r="Y3160" s="404">
        <v>5.0000000000000001E-3</v>
      </c>
      <c r="Z3160" s="397">
        <v>0.70699999999999996</v>
      </c>
      <c r="AA3160" s="399">
        <v>0.70699999999999996</v>
      </c>
      <c r="AB3160" s="394">
        <v>25.75</v>
      </c>
      <c r="AC3160" s="402">
        <v>96</v>
      </c>
      <c r="AD3160" s="399">
        <v>0</v>
      </c>
      <c r="AE3160" s="402"/>
      <c r="AF3160" s="391"/>
      <c r="AG3160" s="394"/>
      <c r="AH3160" s="394"/>
      <c r="AI3160" s="394"/>
      <c r="AJ3160" s="394"/>
      <c r="AK3160" s="394"/>
      <c r="AL3160" s="394"/>
      <c r="AM3160" s="394"/>
      <c r="AN3160" s="394"/>
      <c r="AO3160" s="394"/>
      <c r="AP3160" s="394"/>
      <c r="AQ3160" s="394"/>
      <c r="AR3160" s="394"/>
      <c r="AS3160" s="402"/>
      <c r="AT3160" s="404"/>
      <c r="AU3160" s="394"/>
      <c r="AV3160" s="394"/>
      <c r="AW3160" s="394"/>
      <c r="AX3160" s="5"/>
      <c r="AY3160" s="5"/>
      <c r="AZ3160" s="5"/>
      <c r="BA3160" s="5"/>
      <c r="BB3160" s="5"/>
      <c r="BC3160" s="5"/>
      <c r="BD3160" s="5"/>
      <c r="BE3160" s="5"/>
      <c r="BF3160" s="5"/>
      <c r="BG3160" s="5"/>
      <c r="BH3160" s="5"/>
      <c r="BI3160" s="5"/>
      <c r="BJ3160" s="5"/>
      <c r="BK3160" s="5"/>
      <c r="BL3160" s="5"/>
      <c r="BM3160" s="5"/>
      <c r="BN3160" s="5"/>
      <c r="BO3160" s="5"/>
      <c r="BP3160" s="5"/>
      <c r="BQ3160" s="5"/>
      <c r="BR3160" s="5"/>
      <c r="BS3160" s="5"/>
      <c r="BT3160" s="5"/>
      <c r="BU3160" s="5"/>
      <c r="BV3160" s="5"/>
      <c r="BW3160" s="5"/>
      <c r="BX3160" s="5"/>
      <c r="BY3160" s="5"/>
      <c r="BZ3160" s="5"/>
      <c r="CA3160" s="5"/>
    </row>
    <row r="3161" spans="1:79" s="400" customFormat="1" ht="15" customHeight="1">
      <c r="A3161" s="404" t="s">
        <v>4668</v>
      </c>
      <c r="B3161" s="402" t="s">
        <v>5766</v>
      </c>
      <c r="C3161" s="113" t="s">
        <v>5766</v>
      </c>
      <c r="D3161" s="393" t="s">
        <v>559</v>
      </c>
      <c r="E3161" s="394" t="s">
        <v>5767</v>
      </c>
      <c r="F3161" s="402">
        <v>5102</v>
      </c>
      <c r="G3161" s="405" t="s">
        <v>5768</v>
      </c>
      <c r="H3161" s="404">
        <v>3273</v>
      </c>
      <c r="I3161" s="402"/>
      <c r="J3161" s="406" t="s">
        <v>5769</v>
      </c>
      <c r="K3161" s="403">
        <v>41030</v>
      </c>
      <c r="L3161" s="398">
        <v>41022</v>
      </c>
      <c r="M3161" s="402">
        <f t="shared" ref="M3161:M3167" si="186">K3161-L3161</f>
        <v>8</v>
      </c>
      <c r="N3161" s="402" t="s">
        <v>2</v>
      </c>
      <c r="O3161" s="404">
        <v>1.8</v>
      </c>
      <c r="P3161" s="402">
        <v>6.47</v>
      </c>
      <c r="Q3161" s="404">
        <v>8.65</v>
      </c>
      <c r="R3161" s="402">
        <v>17.2</v>
      </c>
      <c r="S3161" s="404">
        <v>37</v>
      </c>
      <c r="T3161" s="402">
        <f>0.05/2</f>
        <v>2.5000000000000001E-2</v>
      </c>
      <c r="U3161" s="395">
        <v>1.0900000000000001</v>
      </c>
      <c r="V3161" s="402">
        <v>0.22</v>
      </c>
      <c r="W3161" s="404">
        <f>0.01/2</f>
        <v>5.0000000000000001E-3</v>
      </c>
      <c r="X3161" s="402">
        <f>0.01/2</f>
        <v>5.0000000000000001E-3</v>
      </c>
      <c r="Y3161" s="404">
        <f>0.02/2</f>
        <v>0.01</v>
      </c>
      <c r="Z3161" s="397"/>
      <c r="AA3161" s="399"/>
      <c r="AB3161" s="394"/>
      <c r="AC3161" s="402"/>
      <c r="AD3161" s="399"/>
      <c r="AE3161" s="402"/>
      <c r="AF3161" s="391"/>
      <c r="AG3161" s="394"/>
      <c r="AH3161" s="394"/>
      <c r="AI3161" s="394"/>
      <c r="AJ3161" s="394"/>
      <c r="AK3161" s="394"/>
      <c r="AL3161" s="394"/>
      <c r="AM3161" s="394"/>
      <c r="AN3161" s="394"/>
      <c r="AO3161" s="394"/>
      <c r="AP3161" s="394"/>
      <c r="AQ3161" s="394"/>
      <c r="AR3161" s="394"/>
      <c r="AS3161" s="402"/>
      <c r="AT3161" s="404"/>
      <c r="AU3161" s="394"/>
      <c r="AV3161" s="394"/>
      <c r="AW3161" s="394"/>
      <c r="AX3161" s="5"/>
      <c r="AY3161" s="5"/>
      <c r="AZ3161" s="5"/>
      <c r="BA3161" s="5"/>
      <c r="BB3161" s="5"/>
      <c r="BC3161" s="5"/>
      <c r="BD3161" s="5"/>
      <c r="BE3161" s="5"/>
      <c r="BF3161" s="5"/>
      <c r="BG3161" s="5"/>
      <c r="BH3161" s="5"/>
      <c r="BI3161" s="5"/>
      <c r="BJ3161" s="5"/>
      <c r="BK3161" s="5"/>
      <c r="BL3161" s="5"/>
      <c r="BM3161" s="5"/>
      <c r="BN3161" s="5"/>
      <c r="BO3161" s="5"/>
      <c r="BP3161" s="5"/>
      <c r="BQ3161" s="5"/>
      <c r="BR3161" s="5"/>
      <c r="BS3161" s="5"/>
      <c r="BT3161" s="5"/>
      <c r="BU3161" s="5"/>
      <c r="BV3161" s="5"/>
      <c r="BW3161" s="5"/>
      <c r="BX3161" s="5"/>
      <c r="BY3161" s="5"/>
      <c r="BZ3161" s="5"/>
      <c r="CA3161" s="5"/>
    </row>
    <row r="3162" spans="1:79" s="400" customFormat="1" ht="15" customHeight="1">
      <c r="A3162" s="404" t="s">
        <v>4668</v>
      </c>
      <c r="B3162" s="402" t="s">
        <v>5770</v>
      </c>
      <c r="C3162" s="113" t="s">
        <v>5770</v>
      </c>
      <c r="D3162" s="393" t="s">
        <v>56</v>
      </c>
      <c r="E3162" s="394" t="s">
        <v>5771</v>
      </c>
      <c r="F3162" s="402"/>
      <c r="G3162" s="405" t="s">
        <v>5490</v>
      </c>
      <c r="H3162" s="404">
        <v>2819</v>
      </c>
      <c r="I3162" s="402"/>
      <c r="J3162" s="406" t="s">
        <v>255</v>
      </c>
      <c r="K3162" s="403">
        <v>40996</v>
      </c>
      <c r="L3162" s="398">
        <v>40992</v>
      </c>
      <c r="M3162" s="402">
        <f t="shared" si="186"/>
        <v>4</v>
      </c>
      <c r="N3162" s="402" t="s">
        <v>2</v>
      </c>
      <c r="O3162" s="404">
        <f>1/2</f>
        <v>0.5</v>
      </c>
      <c r="P3162" s="402">
        <v>6.66</v>
      </c>
      <c r="Q3162" s="404">
        <v>6.75</v>
      </c>
      <c r="R3162" s="402">
        <v>12.1</v>
      </c>
      <c r="S3162" s="404">
        <v>5</v>
      </c>
      <c r="T3162" s="402">
        <f>0.05/2</f>
        <v>2.5000000000000001E-2</v>
      </c>
      <c r="U3162" s="395">
        <v>0.94</v>
      </c>
      <c r="V3162" s="402">
        <v>0.33</v>
      </c>
      <c r="W3162" s="404">
        <v>0.01</v>
      </c>
      <c r="X3162" s="402">
        <v>0.03</v>
      </c>
      <c r="Y3162" s="404">
        <f>0.02/2</f>
        <v>0.01</v>
      </c>
      <c r="Z3162" s="397">
        <v>1</v>
      </c>
      <c r="AA3162" s="399">
        <v>1</v>
      </c>
      <c r="AB3162" s="394">
        <v>3.38</v>
      </c>
      <c r="AC3162" s="402">
        <v>26.9</v>
      </c>
      <c r="AD3162" s="399">
        <v>1</v>
      </c>
      <c r="AE3162" s="402"/>
      <c r="AF3162" s="391"/>
      <c r="AG3162" s="394"/>
      <c r="AH3162" s="394"/>
      <c r="AI3162" s="394"/>
      <c r="AJ3162" s="394"/>
      <c r="AK3162" s="394"/>
      <c r="AL3162" s="394"/>
      <c r="AM3162" s="394"/>
      <c r="AN3162" s="394"/>
      <c r="AO3162" s="394"/>
      <c r="AP3162" s="394"/>
      <c r="AQ3162" s="394"/>
      <c r="AR3162" s="394"/>
      <c r="AS3162" s="402"/>
      <c r="AT3162" s="404"/>
      <c r="AU3162" s="394"/>
      <c r="AV3162" s="394"/>
      <c r="AW3162" s="394"/>
      <c r="AX3162" s="5"/>
      <c r="AY3162" s="5"/>
      <c r="AZ3162" s="5"/>
      <c r="BA3162" s="5"/>
      <c r="BB3162" s="5"/>
      <c r="BC3162" s="5"/>
      <c r="BD3162" s="5"/>
      <c r="BE3162" s="5"/>
      <c r="BF3162" s="5"/>
      <c r="BG3162" s="5"/>
      <c r="BH3162" s="5"/>
      <c r="BI3162" s="5"/>
      <c r="BJ3162" s="5"/>
      <c r="BK3162" s="5"/>
      <c r="BL3162" s="5"/>
      <c r="BM3162" s="5"/>
      <c r="BN3162" s="5"/>
      <c r="BO3162" s="5"/>
      <c r="BP3162" s="5"/>
      <c r="BQ3162" s="5"/>
      <c r="BR3162" s="5"/>
      <c r="BS3162" s="5"/>
      <c r="BT3162" s="5"/>
      <c r="BU3162" s="5"/>
      <c r="BV3162" s="5"/>
      <c r="BW3162" s="5"/>
      <c r="BX3162" s="5"/>
      <c r="BY3162" s="5"/>
      <c r="BZ3162" s="5"/>
      <c r="CA3162" s="5"/>
    </row>
    <row r="3163" spans="1:79" s="400" customFormat="1" ht="15" customHeight="1">
      <c r="A3163" s="404" t="s">
        <v>4668</v>
      </c>
      <c r="B3163" s="402" t="s">
        <v>5106</v>
      </c>
      <c r="C3163" s="113" t="s">
        <v>5106</v>
      </c>
      <c r="D3163" s="393" t="s">
        <v>200</v>
      </c>
      <c r="E3163" s="394" t="s">
        <v>214</v>
      </c>
      <c r="F3163" s="402"/>
      <c r="G3163" s="405" t="s">
        <v>5107</v>
      </c>
      <c r="H3163" s="404">
        <v>3272</v>
      </c>
      <c r="I3163" s="402" t="s">
        <v>1</v>
      </c>
      <c r="J3163" s="406" t="s">
        <v>5108</v>
      </c>
      <c r="K3163" s="403">
        <v>41051</v>
      </c>
      <c r="L3163" s="398">
        <v>41044</v>
      </c>
      <c r="M3163" s="402">
        <f t="shared" si="186"/>
        <v>7</v>
      </c>
      <c r="N3163" s="402" t="s">
        <v>2</v>
      </c>
      <c r="O3163" s="404">
        <f>2.1/2</f>
        <v>1.05</v>
      </c>
      <c r="P3163" s="402"/>
      <c r="Q3163" s="404">
        <v>8.5</v>
      </c>
      <c r="R3163" s="402">
        <v>46</v>
      </c>
      <c r="S3163" s="404">
        <v>222</v>
      </c>
      <c r="T3163" s="402">
        <v>0.26800000000000002</v>
      </c>
      <c r="U3163" s="395">
        <v>2.2999999999999998</v>
      </c>
      <c r="V3163" s="402">
        <f>0.46/2</f>
        <v>0.23</v>
      </c>
      <c r="W3163" s="404">
        <v>4.8000000000000001E-2</v>
      </c>
      <c r="X3163" s="402">
        <v>4.1000000000000002E-2</v>
      </c>
      <c r="Y3163" s="404">
        <f>0.005/2</f>
        <v>2.5000000000000001E-3</v>
      </c>
      <c r="Z3163" s="397"/>
      <c r="AA3163" s="399"/>
      <c r="AB3163" s="394"/>
      <c r="AC3163" s="402"/>
      <c r="AD3163" s="399"/>
      <c r="AE3163" s="402"/>
      <c r="AF3163" s="391"/>
      <c r="AG3163" s="394"/>
      <c r="AH3163" s="394"/>
      <c r="AI3163" s="394"/>
      <c r="AJ3163" s="394"/>
      <c r="AK3163" s="394"/>
      <c r="AL3163" s="394"/>
      <c r="AM3163" s="394"/>
      <c r="AN3163" s="394"/>
      <c r="AO3163" s="394"/>
      <c r="AP3163" s="394"/>
      <c r="AQ3163" s="394"/>
      <c r="AR3163" s="394"/>
      <c r="AS3163" s="402"/>
      <c r="AT3163" s="404"/>
      <c r="AU3163" s="394"/>
      <c r="AV3163" s="394"/>
      <c r="AW3163" s="394"/>
      <c r="AX3163" s="5"/>
      <c r="AY3163" s="5"/>
      <c r="AZ3163" s="5"/>
      <c r="BA3163" s="5"/>
      <c r="BB3163" s="5"/>
      <c r="BC3163" s="5"/>
      <c r="BD3163" s="5"/>
      <c r="BE3163" s="5"/>
      <c r="BF3163" s="5"/>
      <c r="BG3163" s="5"/>
      <c r="BH3163" s="5"/>
      <c r="BI3163" s="5"/>
      <c r="BJ3163" s="5"/>
      <c r="BK3163" s="5"/>
      <c r="BL3163" s="5"/>
      <c r="BM3163" s="5"/>
      <c r="BN3163" s="5"/>
      <c r="BO3163" s="5"/>
      <c r="BP3163" s="5"/>
      <c r="BQ3163" s="5"/>
      <c r="BR3163" s="5"/>
      <c r="BS3163" s="5"/>
      <c r="BT3163" s="5"/>
      <c r="BU3163" s="5"/>
      <c r="BV3163" s="5"/>
      <c r="BW3163" s="5"/>
      <c r="BX3163" s="5"/>
      <c r="BY3163" s="5"/>
      <c r="BZ3163" s="5"/>
      <c r="CA3163" s="5"/>
    </row>
    <row r="3164" spans="1:79" s="400" customFormat="1" ht="15" customHeight="1">
      <c r="A3164" s="404" t="s">
        <v>4668</v>
      </c>
      <c r="B3164" s="402" t="s">
        <v>1967</v>
      </c>
      <c r="C3164" s="113" t="s">
        <v>1967</v>
      </c>
      <c r="D3164" s="393" t="s">
        <v>188</v>
      </c>
      <c r="E3164" s="394" t="s">
        <v>1968</v>
      </c>
      <c r="F3164" s="402"/>
      <c r="G3164" s="405" t="s">
        <v>1969</v>
      </c>
      <c r="H3164" s="404">
        <v>2891</v>
      </c>
      <c r="I3164" s="402" t="s">
        <v>2</v>
      </c>
      <c r="J3164" s="406" t="s">
        <v>1125</v>
      </c>
      <c r="K3164" s="403">
        <v>41131</v>
      </c>
      <c r="L3164" s="398">
        <v>41127</v>
      </c>
      <c r="M3164" s="402">
        <f t="shared" si="186"/>
        <v>4</v>
      </c>
      <c r="N3164" s="402" t="s">
        <v>2</v>
      </c>
      <c r="O3164" s="404">
        <v>7</v>
      </c>
      <c r="P3164" s="402">
        <v>6.5</v>
      </c>
      <c r="Q3164" s="404">
        <v>6.6</v>
      </c>
      <c r="R3164" s="402">
        <v>45</v>
      </c>
      <c r="S3164" s="404">
        <v>19</v>
      </c>
      <c r="T3164" s="402">
        <v>0.08</v>
      </c>
      <c r="U3164" s="395">
        <v>1.75</v>
      </c>
      <c r="V3164" s="402">
        <v>0.42</v>
      </c>
      <c r="W3164" s="404">
        <v>2.5000000000000001E-2</v>
      </c>
      <c r="X3164" s="402">
        <v>8.6999999999999994E-2</v>
      </c>
      <c r="Y3164" s="404">
        <f>0.03/2</f>
        <v>1.4999999999999999E-2</v>
      </c>
      <c r="Z3164" s="397"/>
      <c r="AA3164" s="399"/>
      <c r="AB3164" s="394"/>
      <c r="AC3164" s="402"/>
      <c r="AD3164" s="399"/>
      <c r="AE3164" s="402"/>
      <c r="AF3164" s="391"/>
      <c r="AG3164" s="394"/>
      <c r="AH3164" s="394"/>
      <c r="AI3164" s="394"/>
      <c r="AJ3164" s="394"/>
      <c r="AK3164" s="394"/>
      <c r="AL3164" s="394"/>
      <c r="AM3164" s="394"/>
      <c r="AN3164" s="394"/>
      <c r="AO3164" s="394"/>
      <c r="AP3164" s="394"/>
      <c r="AQ3164" s="394"/>
      <c r="AR3164" s="394"/>
      <c r="AS3164" s="402"/>
      <c r="AT3164" s="404"/>
      <c r="AU3164" s="394"/>
      <c r="AV3164" s="394"/>
      <c r="AW3164" s="394"/>
      <c r="AX3164" s="5"/>
      <c r="AY3164" s="5"/>
      <c r="AZ3164" s="5"/>
      <c r="BA3164" s="5"/>
      <c r="BB3164" s="5"/>
      <c r="BC3164" s="5"/>
      <c r="BD3164" s="5"/>
      <c r="BE3164" s="5"/>
      <c r="BF3164" s="5"/>
      <c r="BG3164" s="5"/>
      <c r="BH3164" s="5"/>
      <c r="BI3164" s="5"/>
      <c r="BJ3164" s="5"/>
      <c r="BK3164" s="5"/>
      <c r="BL3164" s="5"/>
      <c r="BM3164" s="5"/>
      <c r="BN3164" s="5"/>
      <c r="BO3164" s="5"/>
      <c r="BP3164" s="5"/>
      <c r="BQ3164" s="5"/>
      <c r="BR3164" s="5"/>
      <c r="BS3164" s="5"/>
      <c r="BT3164" s="5"/>
      <c r="BU3164" s="5"/>
      <c r="BV3164" s="5"/>
      <c r="BW3164" s="5"/>
      <c r="BX3164" s="5"/>
      <c r="BY3164" s="5"/>
      <c r="BZ3164" s="5"/>
      <c r="CA3164" s="5"/>
    </row>
    <row r="3165" spans="1:79" s="400" customFormat="1" ht="15" customHeight="1">
      <c r="A3165" s="404" t="s">
        <v>4668</v>
      </c>
      <c r="B3165" s="402" t="s">
        <v>5772</v>
      </c>
      <c r="C3165" s="113" t="s">
        <v>5772</v>
      </c>
      <c r="D3165" s="393" t="s">
        <v>861</v>
      </c>
      <c r="E3165" s="394" t="s">
        <v>5773</v>
      </c>
      <c r="F3165" s="402"/>
      <c r="G3165" s="405" t="s">
        <v>5774</v>
      </c>
      <c r="H3165" s="404">
        <v>3273</v>
      </c>
      <c r="I3165" s="402" t="s">
        <v>2</v>
      </c>
      <c r="J3165" s="406" t="s">
        <v>5775</v>
      </c>
      <c r="K3165" s="403">
        <v>41170</v>
      </c>
      <c r="L3165" s="398">
        <v>41160</v>
      </c>
      <c r="M3165" s="402">
        <f t="shared" si="186"/>
        <v>10</v>
      </c>
      <c r="N3165" s="402" t="s">
        <v>2</v>
      </c>
      <c r="O3165" s="404">
        <v>27.6</v>
      </c>
      <c r="P3165" s="402">
        <v>5.5</v>
      </c>
      <c r="Q3165" s="404">
        <v>9.4</v>
      </c>
      <c r="R3165" s="402">
        <v>18.600000000000001</v>
      </c>
      <c r="S3165" s="404">
        <v>16.5</v>
      </c>
      <c r="T3165" s="402">
        <v>0.15</v>
      </c>
      <c r="U3165" s="395">
        <f>1/2</f>
        <v>0.5</v>
      </c>
      <c r="V3165" s="402">
        <v>0.43</v>
      </c>
      <c r="W3165" s="404">
        <f>0.02/2</f>
        <v>0.01</v>
      </c>
      <c r="X3165" s="402">
        <f>0.05/2</f>
        <v>2.5000000000000001E-2</v>
      </c>
      <c r="Y3165" s="404">
        <v>1E-3</v>
      </c>
      <c r="Z3165" s="397"/>
      <c r="AA3165" s="399"/>
      <c r="AB3165" s="394"/>
      <c r="AC3165" s="402"/>
      <c r="AD3165" s="399"/>
      <c r="AE3165" s="402"/>
      <c r="AF3165" s="391"/>
      <c r="AG3165" s="394"/>
      <c r="AH3165" s="394"/>
      <c r="AI3165" s="394"/>
      <c r="AJ3165" s="394"/>
      <c r="AK3165" s="394"/>
      <c r="AL3165" s="394"/>
      <c r="AM3165" s="394"/>
      <c r="AN3165" s="394"/>
      <c r="AO3165" s="394"/>
      <c r="AP3165" s="394"/>
      <c r="AQ3165" s="394"/>
      <c r="AR3165" s="394"/>
      <c r="AS3165" s="402"/>
      <c r="AT3165" s="404"/>
      <c r="AU3165" s="394"/>
      <c r="AV3165" s="394"/>
      <c r="AW3165" s="394"/>
      <c r="AX3165" s="5"/>
      <c r="AY3165" s="5"/>
      <c r="AZ3165" s="5"/>
      <c r="BA3165" s="5"/>
      <c r="BB3165" s="5"/>
      <c r="BC3165" s="5"/>
      <c r="BD3165" s="5"/>
      <c r="BE3165" s="5"/>
      <c r="BF3165" s="5"/>
      <c r="BG3165" s="5"/>
      <c r="BH3165" s="5"/>
      <c r="BI3165" s="5"/>
      <c r="BJ3165" s="5"/>
      <c r="BK3165" s="5"/>
      <c r="BL3165" s="5"/>
      <c r="BM3165" s="5"/>
      <c r="BN3165" s="5"/>
      <c r="BO3165" s="5"/>
      <c r="BP3165" s="5"/>
      <c r="BQ3165" s="5"/>
      <c r="BR3165" s="5"/>
      <c r="BS3165" s="5"/>
      <c r="BT3165" s="5"/>
      <c r="BU3165" s="5"/>
      <c r="BV3165" s="5"/>
      <c r="BW3165" s="5"/>
      <c r="BX3165" s="5"/>
      <c r="BY3165" s="5"/>
      <c r="BZ3165" s="5"/>
      <c r="CA3165" s="5"/>
    </row>
    <row r="3166" spans="1:79" s="400" customFormat="1" ht="15" customHeight="1">
      <c r="A3166" s="404" t="s">
        <v>4668</v>
      </c>
      <c r="B3166" s="386" t="s">
        <v>542</v>
      </c>
      <c r="C3166" s="149" t="s">
        <v>542</v>
      </c>
      <c r="D3166" s="392" t="s">
        <v>41</v>
      </c>
      <c r="E3166" s="258" t="s">
        <v>42</v>
      </c>
      <c r="F3166" s="64" t="s">
        <v>981</v>
      </c>
      <c r="G3166" s="405" t="s">
        <v>554</v>
      </c>
      <c r="H3166" s="404">
        <v>3724</v>
      </c>
      <c r="I3166" s="402" t="s">
        <v>2</v>
      </c>
      <c r="J3166" s="392" t="s">
        <v>543</v>
      </c>
      <c r="K3166" s="403">
        <v>41073</v>
      </c>
      <c r="L3166" s="398">
        <v>41069</v>
      </c>
      <c r="M3166" s="402">
        <f t="shared" si="186"/>
        <v>4</v>
      </c>
      <c r="N3166" s="402" t="s">
        <v>2</v>
      </c>
      <c r="O3166" s="404">
        <f>1.4/2</f>
        <v>0.7</v>
      </c>
      <c r="P3166" s="402">
        <v>6.27</v>
      </c>
      <c r="Q3166" s="404">
        <v>6.2</v>
      </c>
      <c r="R3166" s="402">
        <v>15</v>
      </c>
      <c r="S3166" s="404">
        <v>99</v>
      </c>
      <c r="T3166" s="402">
        <v>0.04</v>
      </c>
      <c r="U3166" s="395">
        <v>0.56999999999999995</v>
      </c>
      <c r="V3166" s="402">
        <v>0.11</v>
      </c>
      <c r="W3166" s="404">
        <f>0.005/2</f>
        <v>2.5000000000000001E-3</v>
      </c>
      <c r="X3166" s="402">
        <v>1.0999999999999999E-2</v>
      </c>
      <c r="Y3166" s="404">
        <f>0.002/2</f>
        <v>1E-3</v>
      </c>
      <c r="Z3166" s="397"/>
      <c r="AA3166" s="399"/>
      <c r="AB3166" s="394"/>
      <c r="AC3166" s="402"/>
      <c r="AD3166" s="399"/>
      <c r="AE3166" s="402"/>
      <c r="AF3166" s="391"/>
      <c r="AG3166" s="394"/>
      <c r="AH3166" s="394"/>
      <c r="AI3166" s="394"/>
      <c r="AJ3166" s="394"/>
      <c r="AK3166" s="394"/>
      <c r="AL3166" s="394"/>
      <c r="AM3166" s="394"/>
      <c r="AN3166" s="394"/>
      <c r="AO3166" s="394"/>
      <c r="AP3166" s="394"/>
      <c r="AQ3166" s="394"/>
      <c r="AR3166" s="394"/>
      <c r="AS3166" s="402"/>
      <c r="AT3166" s="404"/>
      <c r="AU3166" s="394"/>
      <c r="AV3166" s="394"/>
      <c r="AW3166" s="394"/>
      <c r="AX3166" s="5"/>
      <c r="AY3166" s="5"/>
      <c r="AZ3166" s="5"/>
      <c r="BA3166" s="5"/>
      <c r="BB3166" s="5"/>
      <c r="BC3166" s="5"/>
      <c r="BD3166" s="5"/>
      <c r="BE3166" s="5"/>
      <c r="BF3166" s="5"/>
      <c r="BG3166" s="5"/>
      <c r="BH3166" s="5"/>
      <c r="BI3166" s="5"/>
      <c r="BJ3166" s="5"/>
      <c r="BK3166" s="5"/>
      <c r="BL3166" s="5"/>
      <c r="BM3166" s="5"/>
      <c r="BN3166" s="5"/>
      <c r="BO3166" s="5"/>
      <c r="BP3166" s="5"/>
      <c r="BQ3166" s="5"/>
      <c r="BR3166" s="5"/>
      <c r="BS3166" s="5"/>
      <c r="BT3166" s="5"/>
      <c r="BU3166" s="5"/>
      <c r="BV3166" s="5"/>
      <c r="BW3166" s="5"/>
      <c r="BX3166" s="5"/>
      <c r="BY3166" s="5"/>
      <c r="BZ3166" s="5"/>
      <c r="CA3166" s="5"/>
    </row>
    <row r="3167" spans="1:79" s="400" customFormat="1" ht="15" customHeight="1">
      <c r="A3167" s="404" t="s">
        <v>4668</v>
      </c>
      <c r="B3167" s="386" t="s">
        <v>542</v>
      </c>
      <c r="C3167" s="149" t="s">
        <v>542</v>
      </c>
      <c r="D3167" s="392" t="s">
        <v>41</v>
      </c>
      <c r="E3167" s="258" t="s">
        <v>42</v>
      </c>
      <c r="F3167" s="64" t="s">
        <v>981</v>
      </c>
      <c r="G3167" s="405" t="s">
        <v>554</v>
      </c>
      <c r="H3167" s="404">
        <v>3724</v>
      </c>
      <c r="I3167" s="402" t="s">
        <v>2</v>
      </c>
      <c r="J3167" s="392" t="s">
        <v>545</v>
      </c>
      <c r="K3167" s="403">
        <v>41073</v>
      </c>
      <c r="L3167" s="398">
        <v>41069</v>
      </c>
      <c r="M3167" s="402">
        <f t="shared" si="186"/>
        <v>4</v>
      </c>
      <c r="N3167" s="402" t="s">
        <v>2</v>
      </c>
      <c r="O3167" s="404">
        <f>1.4/2</f>
        <v>0.7</v>
      </c>
      <c r="P3167" s="402">
        <v>6.27</v>
      </c>
      <c r="Q3167" s="404">
        <v>6.57</v>
      </c>
      <c r="R3167" s="402">
        <f>10/2</f>
        <v>5</v>
      </c>
      <c r="S3167" s="404">
        <f>5/2</f>
        <v>2.5</v>
      </c>
      <c r="T3167" s="402">
        <v>0.03</v>
      </c>
      <c r="U3167" s="395">
        <v>0.32</v>
      </c>
      <c r="V3167" s="402">
        <v>0.11</v>
      </c>
      <c r="W3167" s="404">
        <f>0.005/2</f>
        <v>2.5000000000000001E-3</v>
      </c>
      <c r="X3167" s="402">
        <v>4.0000000000000001E-3</v>
      </c>
      <c r="Y3167" s="404">
        <f>0.002/2</f>
        <v>1E-3</v>
      </c>
      <c r="Z3167" s="397"/>
      <c r="AA3167" s="399"/>
      <c r="AB3167" s="394"/>
      <c r="AC3167" s="402"/>
      <c r="AD3167" s="399"/>
      <c r="AE3167" s="402"/>
      <c r="AF3167" s="391"/>
      <c r="AG3167" s="394"/>
      <c r="AH3167" s="394"/>
      <c r="AI3167" s="394"/>
      <c r="AJ3167" s="394"/>
      <c r="AK3167" s="394"/>
      <c r="AL3167" s="394"/>
      <c r="AM3167" s="394"/>
      <c r="AN3167" s="394"/>
      <c r="AO3167" s="394"/>
      <c r="AP3167" s="394"/>
      <c r="AQ3167" s="394"/>
      <c r="AR3167" s="394"/>
      <c r="AS3167" s="402"/>
      <c r="AT3167" s="404"/>
      <c r="AU3167" s="394"/>
      <c r="AV3167" s="394"/>
      <c r="AW3167" s="394"/>
      <c r="AX3167" s="5"/>
      <c r="AY3167" s="5"/>
      <c r="AZ3167" s="5"/>
      <c r="BA3167" s="5"/>
      <c r="BB3167" s="5"/>
      <c r="BC3167" s="5"/>
      <c r="BD3167" s="5"/>
      <c r="BE3167" s="5"/>
      <c r="BF3167" s="5"/>
      <c r="BG3167" s="5"/>
      <c r="BH3167" s="5"/>
      <c r="BI3167" s="5"/>
      <c r="BJ3167" s="5"/>
      <c r="BK3167" s="5"/>
      <c r="BL3167" s="5"/>
      <c r="BM3167" s="5"/>
      <c r="BN3167" s="5"/>
      <c r="BO3167" s="5"/>
      <c r="BP3167" s="5"/>
      <c r="BQ3167" s="5"/>
      <c r="BR3167" s="5"/>
      <c r="BS3167" s="5"/>
      <c r="BT3167" s="5"/>
      <c r="BU3167" s="5"/>
      <c r="BV3167" s="5"/>
      <c r="BW3167" s="5"/>
      <c r="BX3167" s="5"/>
      <c r="BY3167" s="5"/>
      <c r="BZ3167" s="5"/>
      <c r="CA3167" s="5"/>
    </row>
    <row r="3168" spans="1:79" ht="15" customHeight="1">
      <c r="A3168" s="74" t="s">
        <v>4668</v>
      </c>
      <c r="B3168" s="402" t="s">
        <v>2116</v>
      </c>
      <c r="C3168" s="113" t="s">
        <v>2117</v>
      </c>
      <c r="D3168" s="393" t="s">
        <v>56</v>
      </c>
      <c r="E3168" s="394" t="s">
        <v>1831</v>
      </c>
      <c r="G3168" s="405" t="s">
        <v>3608</v>
      </c>
      <c r="H3168" s="74">
        <v>4226</v>
      </c>
      <c r="I3168" s="50" t="s">
        <v>1</v>
      </c>
      <c r="J3168" s="339" t="s">
        <v>2118</v>
      </c>
      <c r="K3168" s="51">
        <v>41170</v>
      </c>
      <c r="L3168" s="173">
        <v>41161</v>
      </c>
      <c r="M3168" s="50">
        <f t="shared" si="184"/>
        <v>9</v>
      </c>
      <c r="N3168" s="50" t="s">
        <v>2</v>
      </c>
      <c r="O3168" s="74">
        <v>1.8</v>
      </c>
      <c r="P3168" s="50">
        <v>7.1</v>
      </c>
      <c r="Q3168" s="74">
        <v>6.8</v>
      </c>
      <c r="R3168" s="50">
        <v>30</v>
      </c>
      <c r="S3168" s="74">
        <v>11</v>
      </c>
      <c r="T3168" s="50">
        <v>0.02</v>
      </c>
      <c r="U3168" s="131">
        <v>0.4</v>
      </c>
      <c r="V3168" s="50">
        <v>0.06</v>
      </c>
      <c r="W3168" s="74">
        <v>1.7999999999999999E-2</v>
      </c>
      <c r="X3168" s="50">
        <v>0.155</v>
      </c>
      <c r="Y3168" s="74">
        <v>1.6E-2</v>
      </c>
      <c r="Z3168" s="165"/>
      <c r="AI3168" s="114" t="s">
        <v>1535</v>
      </c>
      <c r="AJ3168" s="114" t="s">
        <v>1535</v>
      </c>
    </row>
    <row r="3169" spans="1:79" s="400" customFormat="1" ht="15" customHeight="1">
      <c r="A3169" s="41" t="s">
        <v>183</v>
      </c>
      <c r="B3169" s="402" t="s">
        <v>5766</v>
      </c>
      <c r="C3169" s="113" t="s">
        <v>5766</v>
      </c>
      <c r="D3169" s="393" t="s">
        <v>559</v>
      </c>
      <c r="E3169" s="394" t="s">
        <v>5767</v>
      </c>
      <c r="F3169" s="402">
        <v>5102</v>
      </c>
      <c r="G3169" s="405" t="s">
        <v>5768</v>
      </c>
      <c r="H3169" s="404">
        <v>3273</v>
      </c>
      <c r="I3169" s="402"/>
      <c r="J3169" s="404" t="s">
        <v>5767</v>
      </c>
      <c r="K3169" s="403">
        <v>41156</v>
      </c>
      <c r="L3169" s="398">
        <v>41153</v>
      </c>
      <c r="M3169" s="402">
        <f t="shared" si="184"/>
        <v>3</v>
      </c>
      <c r="N3169" s="402" t="s">
        <v>2</v>
      </c>
      <c r="O3169" s="404">
        <v>1.7</v>
      </c>
      <c r="P3169" s="402">
        <v>7.37</v>
      </c>
      <c r="Q3169" s="404">
        <v>8.66</v>
      </c>
      <c r="R3169" s="402">
        <v>13.8</v>
      </c>
      <c r="S3169" s="404">
        <v>3.5</v>
      </c>
      <c r="T3169" s="402">
        <v>0.05</v>
      </c>
      <c r="U3169" s="395">
        <v>0.54</v>
      </c>
      <c r="V3169" s="402">
        <f>0.2/2</f>
        <v>0.1</v>
      </c>
      <c r="W3169" s="404">
        <v>0.01</v>
      </c>
      <c r="X3169" s="402">
        <f>0.01/2</f>
        <v>5.0000000000000001E-3</v>
      </c>
      <c r="Y3169" s="404">
        <f>0.02/2</f>
        <v>0.01</v>
      </c>
      <c r="Z3169" s="397"/>
      <c r="AA3169" s="399"/>
      <c r="AB3169" s="394"/>
      <c r="AC3169" s="402"/>
      <c r="AD3169" s="399"/>
      <c r="AE3169" s="402"/>
      <c r="AF3169" s="391"/>
      <c r="AG3169" s="394"/>
      <c r="AH3169" s="394"/>
      <c r="AI3169" s="394"/>
      <c r="AJ3169" s="394"/>
      <c r="AK3169" s="394"/>
      <c r="AL3169" s="394"/>
      <c r="AM3169" s="394"/>
      <c r="AN3169" s="394"/>
      <c r="AO3169" s="394"/>
      <c r="AP3169" s="394"/>
      <c r="AQ3169" s="394"/>
      <c r="AR3169" s="394"/>
      <c r="AS3169" s="402"/>
      <c r="AT3169" s="404"/>
      <c r="AU3169" s="394"/>
      <c r="AV3169" s="394"/>
      <c r="AW3169" s="394"/>
      <c r="AX3169" s="5"/>
      <c r="AY3169" s="5"/>
      <c r="AZ3169" s="5"/>
      <c r="BA3169" s="5"/>
      <c r="BB3169" s="5"/>
      <c r="BC3169" s="5"/>
      <c r="BD3169" s="5"/>
      <c r="BE3169" s="5"/>
      <c r="BF3169" s="5"/>
      <c r="BG3169" s="5"/>
      <c r="BH3169" s="5"/>
      <c r="BI3169" s="5"/>
      <c r="BJ3169" s="5"/>
      <c r="BK3169" s="5"/>
      <c r="BL3169" s="5"/>
      <c r="BM3169" s="5"/>
      <c r="BN3169" s="5"/>
      <c r="BO3169" s="5"/>
      <c r="BP3169" s="5"/>
      <c r="BQ3169" s="5"/>
      <c r="BR3169" s="5"/>
      <c r="BS3169" s="5"/>
      <c r="BT3169" s="5"/>
      <c r="BU3169" s="5"/>
      <c r="BV3169" s="5"/>
      <c r="BW3169" s="5"/>
      <c r="BX3169" s="5"/>
      <c r="BY3169" s="5"/>
      <c r="BZ3169" s="5"/>
      <c r="CA3169" s="5"/>
    </row>
    <row r="3170" spans="1:79" s="400" customFormat="1" ht="15" customHeight="1">
      <c r="A3170" s="41" t="s">
        <v>183</v>
      </c>
      <c r="B3170" s="385" t="s">
        <v>4368</v>
      </c>
      <c r="C3170" s="18" t="s">
        <v>4368</v>
      </c>
      <c r="D3170" s="377" t="s">
        <v>89</v>
      </c>
      <c r="E3170" s="394" t="s">
        <v>5761</v>
      </c>
      <c r="F3170" s="402">
        <v>6603</v>
      </c>
      <c r="G3170" s="405" t="s">
        <v>4369</v>
      </c>
      <c r="H3170" s="404"/>
      <c r="I3170" s="402" t="s">
        <v>2</v>
      </c>
      <c r="J3170" s="344" t="s">
        <v>4370</v>
      </c>
      <c r="K3170" s="403">
        <v>41108</v>
      </c>
      <c r="L3170" s="398">
        <v>41105</v>
      </c>
      <c r="M3170" s="402">
        <f t="shared" si="184"/>
        <v>3</v>
      </c>
      <c r="N3170" s="402" t="s">
        <v>2</v>
      </c>
      <c r="O3170" s="404">
        <v>18.100000000000001</v>
      </c>
      <c r="P3170" s="402">
        <v>5.6</v>
      </c>
      <c r="Q3170" s="404">
        <v>6.4</v>
      </c>
      <c r="R3170" s="402">
        <v>199</v>
      </c>
      <c r="S3170" s="404">
        <f>12.5/2</f>
        <v>6.25</v>
      </c>
      <c r="T3170" s="402">
        <f>0.1/2</f>
        <v>0.05</v>
      </c>
      <c r="U3170" s="395">
        <v>3.1</v>
      </c>
      <c r="V3170" s="402">
        <v>0.51</v>
      </c>
      <c r="W3170" s="404">
        <f>0.02/2</f>
        <v>0.01</v>
      </c>
      <c r="X3170" s="402">
        <v>0.54</v>
      </c>
      <c r="Y3170" s="404">
        <v>8.0000000000000002E-3</v>
      </c>
      <c r="Z3170" s="397">
        <v>0.42099999999999999</v>
      </c>
      <c r="AA3170" s="399">
        <v>0.21</v>
      </c>
      <c r="AB3170" s="394">
        <v>10</v>
      </c>
      <c r="AC3170" s="402">
        <v>52</v>
      </c>
      <c r="AD3170" s="399">
        <v>0</v>
      </c>
      <c r="AE3170" s="402"/>
      <c r="AF3170" s="391"/>
      <c r="AG3170" s="394"/>
      <c r="AH3170" s="394"/>
      <c r="AI3170" s="394"/>
      <c r="AJ3170" s="394"/>
      <c r="AK3170" s="394"/>
      <c r="AL3170" s="394"/>
      <c r="AM3170" s="394"/>
      <c r="AN3170" s="394"/>
      <c r="AO3170" s="394"/>
      <c r="AP3170" s="394"/>
      <c r="AQ3170" s="394"/>
      <c r="AR3170" s="394"/>
      <c r="AS3170" s="402"/>
      <c r="AT3170" s="404"/>
      <c r="AU3170" s="394"/>
      <c r="AV3170" s="394"/>
      <c r="AW3170" s="394"/>
      <c r="AX3170" s="5"/>
      <c r="AY3170" s="5"/>
      <c r="AZ3170" s="5"/>
      <c r="BA3170" s="5"/>
      <c r="BB3170" s="5"/>
      <c r="BC3170" s="5"/>
      <c r="BD3170" s="5"/>
      <c r="BE3170" s="5"/>
      <c r="BF3170" s="5"/>
      <c r="BG3170" s="5"/>
      <c r="BH3170" s="5"/>
      <c r="BI3170" s="5"/>
      <c r="BJ3170" s="5"/>
      <c r="BK3170" s="5"/>
      <c r="BL3170" s="5"/>
      <c r="BM3170" s="5"/>
      <c r="BN3170" s="5"/>
      <c r="BO3170" s="5"/>
      <c r="BP3170" s="5"/>
      <c r="BQ3170" s="5"/>
      <c r="BR3170" s="5"/>
      <c r="BS3170" s="5"/>
      <c r="BT3170" s="5"/>
      <c r="BU3170" s="5"/>
      <c r="BV3170" s="5"/>
      <c r="BW3170" s="5"/>
      <c r="BX3170" s="5"/>
      <c r="BY3170" s="5"/>
      <c r="BZ3170" s="5"/>
      <c r="CA3170" s="5"/>
    </row>
    <row r="3171" spans="1:79" s="400" customFormat="1" ht="15" customHeight="1">
      <c r="A3171" s="41" t="s">
        <v>183</v>
      </c>
      <c r="B3171" s="386" t="s">
        <v>2505</v>
      </c>
      <c r="C3171" s="149" t="s">
        <v>2505</v>
      </c>
      <c r="D3171" s="393" t="s">
        <v>480</v>
      </c>
      <c r="E3171" s="394"/>
      <c r="F3171" s="402">
        <v>4013</v>
      </c>
      <c r="G3171" s="405" t="s">
        <v>2506</v>
      </c>
      <c r="H3171" s="404"/>
      <c r="I3171" s="402" t="s">
        <v>2</v>
      </c>
      <c r="J3171" s="406" t="s">
        <v>5778</v>
      </c>
      <c r="K3171" s="403">
        <v>41226</v>
      </c>
      <c r="L3171" s="398"/>
      <c r="M3171" s="402"/>
      <c r="N3171" s="402" t="s">
        <v>2</v>
      </c>
      <c r="O3171" s="404">
        <f>1/2</f>
        <v>0.5</v>
      </c>
      <c r="P3171" s="402"/>
      <c r="Q3171" s="404">
        <v>4.17</v>
      </c>
      <c r="R3171" s="402">
        <v>35.299999999999997</v>
      </c>
      <c r="S3171" s="404">
        <v>21</v>
      </c>
      <c r="T3171" s="402">
        <v>0.22</v>
      </c>
      <c r="U3171" s="395">
        <v>0.33</v>
      </c>
      <c r="V3171" s="402">
        <v>0.51</v>
      </c>
      <c r="W3171" s="404">
        <v>0.01</v>
      </c>
      <c r="X3171" s="402">
        <v>0.05</v>
      </c>
      <c r="Y3171" s="404">
        <f>0.002/2</f>
        <v>1E-3</v>
      </c>
      <c r="Z3171" s="397"/>
      <c r="AA3171" s="399"/>
      <c r="AB3171" s="394"/>
      <c r="AC3171" s="402"/>
      <c r="AD3171" s="399"/>
      <c r="AE3171" s="402"/>
      <c r="AF3171" s="391"/>
      <c r="AG3171" s="394"/>
      <c r="AH3171" s="394"/>
      <c r="AI3171" s="394"/>
      <c r="AJ3171" s="394"/>
      <c r="AK3171" s="394"/>
      <c r="AL3171" s="394"/>
      <c r="AM3171" s="394"/>
      <c r="AN3171" s="394"/>
      <c r="AO3171" s="394"/>
      <c r="AP3171" s="394"/>
      <c r="AQ3171" s="394"/>
      <c r="AR3171" s="394"/>
      <c r="AS3171" s="402"/>
      <c r="AT3171" s="404"/>
      <c r="AU3171" s="394"/>
      <c r="AV3171" s="394"/>
      <c r="AW3171" s="394"/>
      <c r="AX3171" s="5"/>
      <c r="AY3171" s="5"/>
      <c r="AZ3171" s="5"/>
      <c r="BA3171" s="5"/>
      <c r="BB3171" s="5"/>
      <c r="BC3171" s="5"/>
      <c r="BD3171" s="5"/>
      <c r="BE3171" s="5"/>
      <c r="BF3171" s="5"/>
      <c r="BG3171" s="5"/>
      <c r="BH3171" s="5"/>
      <c r="BI3171" s="5"/>
      <c r="BJ3171" s="5"/>
      <c r="BK3171" s="5"/>
      <c r="BL3171" s="5"/>
      <c r="BM3171" s="5"/>
      <c r="BN3171" s="5"/>
      <c r="BO3171" s="5"/>
      <c r="BP3171" s="5"/>
      <c r="BQ3171" s="5"/>
      <c r="BR3171" s="5"/>
      <c r="BS3171" s="5"/>
      <c r="BT3171" s="5"/>
      <c r="BU3171" s="5"/>
      <c r="BV3171" s="5"/>
      <c r="BW3171" s="5"/>
      <c r="BX3171" s="5"/>
      <c r="BY3171" s="5"/>
      <c r="BZ3171" s="5"/>
      <c r="CA3171" s="5"/>
    </row>
    <row r="3172" spans="1:79" s="400" customFormat="1" ht="15" customHeight="1">
      <c r="A3172" s="41" t="s">
        <v>183</v>
      </c>
      <c r="B3172" s="402" t="s">
        <v>5779</v>
      </c>
      <c r="C3172" s="113" t="s">
        <v>5779</v>
      </c>
      <c r="D3172" s="393" t="s">
        <v>5780</v>
      </c>
      <c r="E3172" s="394" t="s">
        <v>5781</v>
      </c>
      <c r="F3172" s="402">
        <v>7102</v>
      </c>
      <c r="G3172" s="405" t="s">
        <v>5782</v>
      </c>
      <c r="H3172" s="404"/>
      <c r="I3172" s="402" t="s">
        <v>2</v>
      </c>
      <c r="J3172" s="406" t="s">
        <v>74</v>
      </c>
      <c r="K3172" s="403">
        <v>41201</v>
      </c>
      <c r="L3172" s="398">
        <v>41197</v>
      </c>
      <c r="M3172" s="402">
        <f t="shared" si="184"/>
        <v>4</v>
      </c>
      <c r="N3172" s="402" t="s">
        <v>2</v>
      </c>
      <c r="O3172" s="404">
        <v>4</v>
      </c>
      <c r="P3172" s="402">
        <v>6.5</v>
      </c>
      <c r="Q3172" s="404">
        <v>7</v>
      </c>
      <c r="R3172" s="402">
        <f>10/2</f>
        <v>5</v>
      </c>
      <c r="S3172" s="404">
        <v>8</v>
      </c>
      <c r="T3172" s="402">
        <v>0.06</v>
      </c>
      <c r="U3172" s="395">
        <v>0.61</v>
      </c>
      <c r="V3172" s="402">
        <v>0.31</v>
      </c>
      <c r="W3172" s="404">
        <v>0.02</v>
      </c>
      <c r="X3172" s="402">
        <v>4.9000000000000002E-2</v>
      </c>
      <c r="Y3172" s="404">
        <f>0.03/2</f>
        <v>1.4999999999999999E-2</v>
      </c>
      <c r="Z3172" s="397">
        <v>1</v>
      </c>
      <c r="AA3172" s="399">
        <v>1</v>
      </c>
      <c r="AB3172" s="394">
        <v>35</v>
      </c>
      <c r="AC3172" s="402">
        <v>122</v>
      </c>
      <c r="AD3172" s="399">
        <v>1</v>
      </c>
      <c r="AE3172" s="402"/>
      <c r="AF3172" s="391"/>
      <c r="AG3172" s="394"/>
      <c r="AH3172" s="394"/>
      <c r="AI3172" s="394"/>
      <c r="AJ3172" s="394"/>
      <c r="AK3172" s="394"/>
      <c r="AL3172" s="394"/>
      <c r="AM3172" s="394"/>
      <c r="AN3172" s="394"/>
      <c r="AO3172" s="394"/>
      <c r="AP3172" s="394"/>
      <c r="AQ3172" s="394"/>
      <c r="AR3172" s="394"/>
      <c r="AS3172" s="402"/>
      <c r="AT3172" s="404"/>
      <c r="AU3172" s="394"/>
      <c r="AV3172" s="394"/>
      <c r="AW3172" s="394"/>
      <c r="AX3172" s="5"/>
      <c r="AY3172" s="5"/>
      <c r="AZ3172" s="5"/>
      <c r="BA3172" s="5"/>
      <c r="BB3172" s="5"/>
      <c r="BC3172" s="5"/>
      <c r="BD3172" s="5"/>
      <c r="BE3172" s="5"/>
      <c r="BF3172" s="5"/>
      <c r="BG3172" s="5"/>
      <c r="BH3172" s="5"/>
      <c r="BI3172" s="5"/>
      <c r="BJ3172" s="5"/>
      <c r="BK3172" s="5"/>
      <c r="BL3172" s="5"/>
      <c r="BM3172" s="5"/>
      <c r="BN3172" s="5"/>
      <c r="BO3172" s="5"/>
      <c r="BP3172" s="5"/>
      <c r="BQ3172" s="5"/>
      <c r="BR3172" s="5"/>
      <c r="BS3172" s="5"/>
      <c r="BT3172" s="5"/>
      <c r="BU3172" s="5"/>
      <c r="BV3172" s="5"/>
      <c r="BW3172" s="5"/>
      <c r="BX3172" s="5"/>
      <c r="BY3172" s="5"/>
      <c r="BZ3172" s="5"/>
      <c r="CA3172" s="5"/>
    </row>
    <row r="3173" spans="1:79" s="400" customFormat="1" ht="15" customHeight="1">
      <c r="A3173" s="404" t="s">
        <v>4668</v>
      </c>
      <c r="B3173" s="402" t="s">
        <v>5772</v>
      </c>
      <c r="C3173" s="113" t="s">
        <v>5772</v>
      </c>
      <c r="D3173" s="393" t="s">
        <v>861</v>
      </c>
      <c r="E3173" s="394" t="s">
        <v>5773</v>
      </c>
      <c r="F3173" s="402"/>
      <c r="G3173" s="405" t="s">
        <v>5774</v>
      </c>
      <c r="H3173" s="404">
        <v>3273</v>
      </c>
      <c r="I3173" s="402" t="s">
        <v>2</v>
      </c>
      <c r="J3173" s="406" t="s">
        <v>5776</v>
      </c>
      <c r="K3173" s="403">
        <v>41030</v>
      </c>
      <c r="L3173" s="398">
        <v>41022</v>
      </c>
      <c r="M3173" s="402">
        <f t="shared" si="184"/>
        <v>8</v>
      </c>
      <c r="N3173" s="402" t="s">
        <v>2</v>
      </c>
      <c r="O3173" s="404">
        <v>42.4</v>
      </c>
      <c r="P3173" s="402">
        <v>5.3</v>
      </c>
      <c r="Q3173" s="404">
        <v>7</v>
      </c>
      <c r="R3173" s="402">
        <v>89.3</v>
      </c>
      <c r="S3173" s="404">
        <v>35</v>
      </c>
      <c r="T3173" s="402">
        <v>0.13</v>
      </c>
      <c r="U3173" s="395">
        <f>1/2</f>
        <v>0.5</v>
      </c>
      <c r="V3173" s="402">
        <v>0.24</v>
      </c>
      <c r="W3173" s="404">
        <f>0.02/2</f>
        <v>0.01</v>
      </c>
      <c r="X3173" s="402">
        <v>0.06</v>
      </c>
      <c r="Y3173" s="404">
        <f>0.001/2</f>
        <v>5.0000000000000001E-4</v>
      </c>
      <c r="Z3173" s="397">
        <v>1</v>
      </c>
      <c r="AA3173" s="399">
        <v>0.80700000000000005</v>
      </c>
      <c r="AB3173" s="394">
        <v>40</v>
      </c>
      <c r="AC3173" s="402">
        <v>202</v>
      </c>
      <c r="AD3173" s="399">
        <v>0.5</v>
      </c>
      <c r="AE3173" s="402"/>
      <c r="AF3173" s="391"/>
      <c r="AG3173" s="394"/>
      <c r="AH3173" s="394"/>
      <c r="AI3173" s="394"/>
      <c r="AJ3173" s="394"/>
      <c r="AK3173" s="394"/>
      <c r="AL3173" s="394"/>
      <c r="AM3173" s="394"/>
      <c r="AN3173" s="394"/>
      <c r="AO3173" s="394"/>
      <c r="AP3173" s="394"/>
      <c r="AQ3173" s="394"/>
      <c r="AR3173" s="394"/>
      <c r="AS3173" s="402"/>
      <c r="AT3173" s="404"/>
      <c r="AU3173" s="394"/>
      <c r="AV3173" s="394"/>
      <c r="AW3173" s="394"/>
      <c r="AX3173" s="5"/>
      <c r="AY3173" s="5"/>
      <c r="AZ3173" s="5"/>
      <c r="BA3173" s="5"/>
      <c r="BB3173" s="5"/>
      <c r="BC3173" s="5"/>
      <c r="BD3173" s="5"/>
      <c r="BE3173" s="5"/>
      <c r="BF3173" s="5"/>
      <c r="BG3173" s="5"/>
      <c r="BH3173" s="5"/>
      <c r="BI3173" s="5"/>
      <c r="BJ3173" s="5"/>
      <c r="BK3173" s="5"/>
      <c r="BL3173" s="5"/>
      <c r="BM3173" s="5"/>
      <c r="BN3173" s="5"/>
      <c r="BO3173" s="5"/>
      <c r="BP3173" s="5"/>
      <c r="BQ3173" s="5"/>
      <c r="BR3173" s="5"/>
      <c r="BS3173" s="5"/>
      <c r="BT3173" s="5"/>
      <c r="BU3173" s="5"/>
      <c r="BV3173" s="5"/>
      <c r="BW3173" s="5"/>
      <c r="BX3173" s="5"/>
      <c r="BY3173" s="5"/>
      <c r="BZ3173" s="5"/>
      <c r="CA3173" s="5"/>
    </row>
    <row r="3174" spans="1:79" s="400" customFormat="1" ht="15" customHeight="1">
      <c r="A3174" s="404" t="s">
        <v>4668</v>
      </c>
      <c r="B3174" s="402" t="s">
        <v>5777</v>
      </c>
      <c r="C3174" s="113" t="s">
        <v>5777</v>
      </c>
      <c r="D3174" s="393" t="s">
        <v>640</v>
      </c>
      <c r="E3174" s="394" t="s">
        <v>2031</v>
      </c>
      <c r="F3174" s="402"/>
      <c r="G3174" s="405" t="s">
        <v>2035</v>
      </c>
      <c r="H3174" s="404">
        <v>3231</v>
      </c>
      <c r="I3174" s="402" t="s">
        <v>2</v>
      </c>
      <c r="J3174" s="406" t="s">
        <v>74</v>
      </c>
      <c r="K3174" s="403">
        <v>41122</v>
      </c>
      <c r="L3174" s="398">
        <v>41118</v>
      </c>
      <c r="M3174" s="402">
        <f t="shared" si="184"/>
        <v>4</v>
      </c>
      <c r="N3174" s="402" t="s">
        <v>2</v>
      </c>
      <c r="O3174" s="404">
        <f>1.4/2</f>
        <v>0.7</v>
      </c>
      <c r="P3174" s="402">
        <v>6.43</v>
      </c>
      <c r="Q3174" s="404">
        <v>7.42</v>
      </c>
      <c r="R3174" s="402">
        <v>26</v>
      </c>
      <c r="S3174" s="404">
        <f>5/2</f>
        <v>2.5</v>
      </c>
      <c r="T3174" s="402">
        <v>0.06</v>
      </c>
      <c r="U3174" s="395">
        <v>1.1200000000000001</v>
      </c>
      <c r="V3174" s="402">
        <v>0.73</v>
      </c>
      <c r="W3174" s="404">
        <v>6.0000000000000001E-3</v>
      </c>
      <c r="X3174" s="402">
        <v>8.7999999999999995E-2</v>
      </c>
      <c r="Y3174" s="404">
        <f>0.002/2</f>
        <v>1E-3</v>
      </c>
      <c r="Z3174" s="397"/>
      <c r="AA3174" s="399"/>
      <c r="AB3174" s="394"/>
      <c r="AC3174" s="402"/>
      <c r="AD3174" s="399"/>
      <c r="AE3174" s="402"/>
      <c r="AF3174" s="391"/>
      <c r="AG3174" s="394"/>
      <c r="AH3174" s="394"/>
      <c r="AI3174" s="394"/>
      <c r="AJ3174" s="394"/>
      <c r="AK3174" s="394"/>
      <c r="AL3174" s="394"/>
      <c r="AM3174" s="394"/>
      <c r="AN3174" s="394"/>
      <c r="AO3174" s="394"/>
      <c r="AP3174" s="394"/>
      <c r="AQ3174" s="394"/>
      <c r="AR3174" s="394"/>
      <c r="AS3174" s="402"/>
      <c r="AT3174" s="404"/>
      <c r="AU3174" s="394"/>
      <c r="AV3174" s="394"/>
      <c r="AW3174" s="394"/>
      <c r="AX3174" s="5"/>
      <c r="AY3174" s="5"/>
      <c r="AZ3174" s="5"/>
      <c r="BA3174" s="5"/>
      <c r="BB3174" s="5"/>
      <c r="BC3174" s="5"/>
      <c r="BD3174" s="5"/>
      <c r="BE3174" s="5"/>
      <c r="BF3174" s="5"/>
      <c r="BG3174" s="5"/>
      <c r="BH3174" s="5"/>
      <c r="BI3174" s="5"/>
      <c r="BJ3174" s="5"/>
      <c r="BK3174" s="5"/>
      <c r="BL3174" s="5"/>
      <c r="BM3174" s="5"/>
      <c r="BN3174" s="5"/>
      <c r="BO3174" s="5"/>
      <c r="BP3174" s="5"/>
      <c r="BQ3174" s="5"/>
      <c r="BR3174" s="5"/>
      <c r="BS3174" s="5"/>
      <c r="BT3174" s="5"/>
      <c r="BU3174" s="5"/>
      <c r="BV3174" s="5"/>
      <c r="BW3174" s="5"/>
      <c r="BX3174" s="5"/>
      <c r="BY3174" s="5"/>
      <c r="BZ3174" s="5"/>
      <c r="CA3174" s="5"/>
    </row>
    <row r="3175" spans="1:79" s="400" customFormat="1" ht="15" customHeight="1">
      <c r="A3175" s="41" t="s">
        <v>183</v>
      </c>
      <c r="B3175" s="386" t="s">
        <v>542</v>
      </c>
      <c r="C3175" s="149" t="s">
        <v>542</v>
      </c>
      <c r="D3175" s="392" t="s">
        <v>41</v>
      </c>
      <c r="E3175" s="258" t="s">
        <v>42</v>
      </c>
      <c r="F3175" s="64" t="s">
        <v>981</v>
      </c>
      <c r="G3175" s="405" t="s">
        <v>554</v>
      </c>
      <c r="H3175" s="404">
        <v>3724</v>
      </c>
      <c r="I3175" s="402" t="s">
        <v>2</v>
      </c>
      <c r="J3175" s="392" t="s">
        <v>543</v>
      </c>
      <c r="K3175" s="403">
        <v>41345</v>
      </c>
      <c r="L3175" s="398">
        <v>41341</v>
      </c>
      <c r="M3175" s="402">
        <f t="shared" si="184"/>
        <v>4</v>
      </c>
      <c r="N3175" s="402" t="s">
        <v>1</v>
      </c>
      <c r="O3175" s="404">
        <v>2.5</v>
      </c>
      <c r="P3175" s="402">
        <v>6.63</v>
      </c>
      <c r="Q3175" s="404">
        <v>7</v>
      </c>
      <c r="R3175" s="402">
        <v>43</v>
      </c>
      <c r="S3175" s="404">
        <v>60</v>
      </c>
      <c r="T3175" s="402">
        <v>0.13</v>
      </c>
      <c r="U3175" s="395">
        <v>0.55000000000000004</v>
      </c>
      <c r="V3175" s="402">
        <v>0.15</v>
      </c>
      <c r="W3175" s="404">
        <f>0.005/2</f>
        <v>2.5000000000000001E-3</v>
      </c>
      <c r="X3175" s="402">
        <v>3.7999999999999999E-2</v>
      </c>
      <c r="Y3175" s="404">
        <v>4.0000000000000001E-3</v>
      </c>
      <c r="Z3175" s="397">
        <v>1</v>
      </c>
      <c r="AA3175" s="399">
        <v>1</v>
      </c>
      <c r="AB3175" s="394">
        <v>4</v>
      </c>
      <c r="AC3175" s="402">
        <v>102</v>
      </c>
      <c r="AD3175" s="399">
        <v>1</v>
      </c>
      <c r="AE3175" s="402"/>
      <c r="AF3175" s="391"/>
      <c r="AG3175" s="394"/>
      <c r="AH3175" s="394"/>
      <c r="AI3175" s="394"/>
      <c r="AJ3175" s="394"/>
      <c r="AK3175" s="394"/>
      <c r="AL3175" s="394"/>
      <c r="AM3175" s="394"/>
      <c r="AN3175" s="394"/>
      <c r="AO3175" s="394"/>
      <c r="AP3175" s="394"/>
      <c r="AQ3175" s="394"/>
      <c r="AR3175" s="394"/>
      <c r="AS3175" s="402"/>
      <c r="AT3175" s="404"/>
      <c r="AU3175" s="394"/>
      <c r="AV3175" s="394"/>
      <c r="AW3175" s="394"/>
      <c r="AX3175" s="5"/>
      <c r="AY3175" s="5"/>
      <c r="AZ3175" s="5"/>
      <c r="BA3175" s="5"/>
      <c r="BB3175" s="5"/>
      <c r="BC3175" s="5"/>
      <c r="BD3175" s="5"/>
      <c r="BE3175" s="5"/>
      <c r="BF3175" s="5"/>
      <c r="BG3175" s="5"/>
      <c r="BH3175" s="5"/>
      <c r="BI3175" s="5"/>
      <c r="BJ3175" s="5"/>
      <c r="BK3175" s="5"/>
      <c r="BL3175" s="5"/>
      <c r="BM3175" s="5"/>
      <c r="BN3175" s="5"/>
      <c r="BO3175" s="5"/>
      <c r="BP3175" s="5"/>
      <c r="BQ3175" s="5"/>
      <c r="BR3175" s="5"/>
      <c r="BS3175" s="5"/>
      <c r="BT3175" s="5"/>
      <c r="BU3175" s="5"/>
      <c r="BV3175" s="5"/>
      <c r="BW3175" s="5"/>
      <c r="BX3175" s="5"/>
      <c r="BY3175" s="5"/>
      <c r="BZ3175" s="5"/>
      <c r="CA3175" s="5"/>
    </row>
    <row r="3176" spans="1:79" s="400" customFormat="1" ht="15" customHeight="1">
      <c r="A3176" s="41" t="s">
        <v>183</v>
      </c>
      <c r="B3176" s="386" t="s">
        <v>542</v>
      </c>
      <c r="C3176" s="149" t="s">
        <v>542</v>
      </c>
      <c r="D3176" s="392" t="s">
        <v>41</v>
      </c>
      <c r="E3176" s="258" t="s">
        <v>42</v>
      </c>
      <c r="F3176" s="64" t="s">
        <v>981</v>
      </c>
      <c r="G3176" s="405" t="s">
        <v>554</v>
      </c>
      <c r="H3176" s="404">
        <v>3724</v>
      </c>
      <c r="I3176" s="402" t="s">
        <v>2</v>
      </c>
      <c r="J3176" s="392" t="s">
        <v>545</v>
      </c>
      <c r="K3176" s="403">
        <v>41345</v>
      </c>
      <c r="L3176" s="398">
        <v>41341</v>
      </c>
      <c r="M3176" s="402">
        <f t="shared" si="184"/>
        <v>4</v>
      </c>
      <c r="N3176" s="402" t="s">
        <v>1</v>
      </c>
      <c r="O3176" s="404">
        <f>1.4/2</f>
        <v>0.7</v>
      </c>
      <c r="P3176" s="402">
        <v>6.63</v>
      </c>
      <c r="Q3176" s="404">
        <v>6.04</v>
      </c>
      <c r="R3176" s="402">
        <v>15</v>
      </c>
      <c r="S3176" s="404">
        <v>7.5</v>
      </c>
      <c r="T3176" s="402">
        <v>0.04</v>
      </c>
      <c r="U3176" s="395">
        <v>0.36</v>
      </c>
      <c r="V3176" s="402">
        <v>0.1</v>
      </c>
      <c r="W3176" s="404">
        <f>0.005/2</f>
        <v>2.5000000000000001E-3</v>
      </c>
      <c r="X3176" s="402">
        <v>5.3999999999999999E-2</v>
      </c>
      <c r="Y3176" s="404">
        <f>0.002/2</f>
        <v>1E-3</v>
      </c>
      <c r="Z3176" s="397">
        <v>1</v>
      </c>
      <c r="AA3176" s="399">
        <v>1</v>
      </c>
      <c r="AB3176" s="394">
        <f>2/2</f>
        <v>1</v>
      </c>
      <c r="AC3176" s="402">
        <v>24</v>
      </c>
      <c r="AD3176" s="399">
        <v>0.8</v>
      </c>
      <c r="AE3176" s="402"/>
      <c r="AF3176" s="391"/>
      <c r="AG3176" s="394"/>
      <c r="AH3176" s="394"/>
      <c r="AI3176" s="394"/>
      <c r="AJ3176" s="394"/>
      <c r="AK3176" s="394"/>
      <c r="AL3176" s="394"/>
      <c r="AM3176" s="394"/>
      <c r="AN3176" s="394"/>
      <c r="AO3176" s="394"/>
      <c r="AP3176" s="394"/>
      <c r="AQ3176" s="394"/>
      <c r="AR3176" s="394"/>
      <c r="AS3176" s="402"/>
      <c r="AT3176" s="404"/>
      <c r="AU3176" s="394"/>
      <c r="AV3176" s="394"/>
      <c r="AW3176" s="394"/>
      <c r="AX3176" s="5"/>
      <c r="AY3176" s="5"/>
      <c r="AZ3176" s="5"/>
      <c r="BA3176" s="5"/>
      <c r="BB3176" s="5"/>
      <c r="BC3176" s="5"/>
      <c r="BD3176" s="5"/>
      <c r="BE3176" s="5"/>
      <c r="BF3176" s="5"/>
      <c r="BG3176" s="5"/>
      <c r="BH3176" s="5"/>
      <c r="BI3176" s="5"/>
      <c r="BJ3176" s="5"/>
      <c r="BK3176" s="5"/>
      <c r="BL3176" s="5"/>
      <c r="BM3176" s="5"/>
      <c r="BN3176" s="5"/>
      <c r="BO3176" s="5"/>
      <c r="BP3176" s="5"/>
      <c r="BQ3176" s="5"/>
      <c r="BR3176" s="5"/>
      <c r="BS3176" s="5"/>
      <c r="BT3176" s="5"/>
      <c r="BU3176" s="5"/>
      <c r="BV3176" s="5"/>
      <c r="BW3176" s="5"/>
      <c r="BX3176" s="5"/>
      <c r="BY3176" s="5"/>
      <c r="BZ3176" s="5"/>
      <c r="CA3176" s="5"/>
    </row>
    <row r="3177" spans="1:79" s="400" customFormat="1" ht="15" customHeight="1">
      <c r="A3177" s="41" t="s">
        <v>183</v>
      </c>
      <c r="B3177" s="402" t="s">
        <v>442</v>
      </c>
      <c r="C3177" s="113" t="s">
        <v>442</v>
      </c>
      <c r="D3177" s="393" t="s">
        <v>443</v>
      </c>
      <c r="E3177" s="394" t="s">
        <v>1852</v>
      </c>
      <c r="F3177" s="402"/>
      <c r="G3177" s="405" t="s">
        <v>444</v>
      </c>
      <c r="H3177" s="404">
        <v>2689</v>
      </c>
      <c r="I3177" s="402" t="s">
        <v>2</v>
      </c>
      <c r="J3177" s="393" t="s">
        <v>249</v>
      </c>
      <c r="K3177" s="403">
        <v>41352</v>
      </c>
      <c r="L3177" s="398">
        <v>41346</v>
      </c>
      <c r="M3177" s="402">
        <f t="shared" si="184"/>
        <v>6</v>
      </c>
      <c r="N3177" s="402" t="s">
        <v>2</v>
      </c>
      <c r="O3177" s="404">
        <f>2/2</f>
        <v>1</v>
      </c>
      <c r="P3177" s="402">
        <v>6.4</v>
      </c>
      <c r="Q3177" s="404">
        <v>5.9</v>
      </c>
      <c r="R3177" s="402">
        <f>10/2</f>
        <v>5</v>
      </c>
      <c r="S3177" s="404">
        <v>2</v>
      </c>
      <c r="T3177" s="402">
        <f>0.05/2</f>
        <v>2.5000000000000001E-2</v>
      </c>
      <c r="U3177" s="395">
        <v>0.55000000000000004</v>
      </c>
      <c r="V3177" s="402">
        <v>1.1100000000000001</v>
      </c>
      <c r="W3177" s="404">
        <f>0.01/2</f>
        <v>5.0000000000000001E-3</v>
      </c>
      <c r="X3177" s="402">
        <f>0.03/2</f>
        <v>1.4999999999999999E-2</v>
      </c>
      <c r="Y3177" s="404">
        <f>0.03/2</f>
        <v>1.4999999999999999E-2</v>
      </c>
      <c r="Z3177" s="397">
        <v>1</v>
      </c>
      <c r="AA3177" s="399">
        <v>1</v>
      </c>
      <c r="AB3177" s="394">
        <v>15</v>
      </c>
      <c r="AC3177" s="402">
        <v>60</v>
      </c>
      <c r="AD3177" s="399">
        <v>0.8</v>
      </c>
      <c r="AE3177" s="402"/>
      <c r="AF3177" s="391"/>
      <c r="AG3177" s="394"/>
      <c r="AH3177" s="394"/>
      <c r="AI3177" s="394"/>
      <c r="AJ3177" s="394"/>
      <c r="AK3177" s="394"/>
      <c r="AL3177" s="394"/>
      <c r="AM3177" s="394"/>
      <c r="AN3177" s="394"/>
      <c r="AO3177" s="394"/>
      <c r="AP3177" s="394"/>
      <c r="AQ3177" s="394"/>
      <c r="AR3177" s="394"/>
      <c r="AS3177" s="402"/>
      <c r="AT3177" s="404"/>
      <c r="AU3177" s="394"/>
      <c r="AV3177" s="394"/>
      <c r="AW3177" s="394"/>
      <c r="AX3177" s="5"/>
      <c r="AY3177" s="5"/>
      <c r="AZ3177" s="5"/>
      <c r="BA3177" s="5"/>
      <c r="BB3177" s="5"/>
      <c r="BC3177" s="5"/>
      <c r="BD3177" s="5"/>
      <c r="BE3177" s="5"/>
      <c r="BF3177" s="5"/>
      <c r="BG3177" s="5"/>
      <c r="BH3177" s="5"/>
      <c r="BI3177" s="5"/>
      <c r="BJ3177" s="5"/>
      <c r="BK3177" s="5"/>
      <c r="BL3177" s="5"/>
      <c r="BM3177" s="5"/>
      <c r="BN3177" s="5"/>
      <c r="BO3177" s="5"/>
      <c r="BP3177" s="5"/>
      <c r="BQ3177" s="5"/>
      <c r="BR3177" s="5"/>
      <c r="BS3177" s="5"/>
      <c r="BT3177" s="5"/>
      <c r="BU3177" s="5"/>
      <c r="BV3177" s="5"/>
      <c r="BW3177" s="5"/>
      <c r="BX3177" s="5"/>
      <c r="BY3177" s="5"/>
      <c r="BZ3177" s="5"/>
      <c r="CA3177" s="5"/>
    </row>
    <row r="3178" spans="1:79" s="400" customFormat="1" ht="15" customHeight="1">
      <c r="A3178" s="41" t="s">
        <v>183</v>
      </c>
      <c r="B3178" s="402" t="s">
        <v>442</v>
      </c>
      <c r="C3178" s="113" t="s">
        <v>442</v>
      </c>
      <c r="D3178" s="393" t="s">
        <v>443</v>
      </c>
      <c r="E3178" s="394" t="s">
        <v>1852</v>
      </c>
      <c r="F3178" s="402"/>
      <c r="G3178" s="405" t="s">
        <v>444</v>
      </c>
      <c r="H3178" s="404">
        <v>2689</v>
      </c>
      <c r="I3178" s="402" t="s">
        <v>2</v>
      </c>
      <c r="J3178" s="393" t="s">
        <v>445</v>
      </c>
      <c r="K3178" s="403">
        <v>41352</v>
      </c>
      <c r="L3178" s="398">
        <v>41346</v>
      </c>
      <c r="M3178" s="402">
        <f t="shared" si="184"/>
        <v>6</v>
      </c>
      <c r="N3178" s="402" t="s">
        <v>2</v>
      </c>
      <c r="O3178" s="404">
        <f>2/2</f>
        <v>1</v>
      </c>
      <c r="P3178" s="402">
        <v>6.4</v>
      </c>
      <c r="Q3178" s="404">
        <v>6.9</v>
      </c>
      <c r="R3178" s="402">
        <f>10/2</f>
        <v>5</v>
      </c>
      <c r="S3178" s="404">
        <v>21</v>
      </c>
      <c r="T3178" s="402">
        <f>0.05/2</f>
        <v>2.5000000000000001E-2</v>
      </c>
      <c r="U3178" s="395">
        <v>0.43</v>
      </c>
      <c r="V3178" s="402">
        <v>0.12</v>
      </c>
      <c r="W3178" s="404">
        <f>0.01/2</f>
        <v>5.0000000000000001E-3</v>
      </c>
      <c r="X3178" s="402">
        <v>4.7E-2</v>
      </c>
      <c r="Y3178" s="404">
        <f>0.03/2</f>
        <v>1.4999999999999999E-2</v>
      </c>
      <c r="Z3178" s="397">
        <v>1</v>
      </c>
      <c r="AA3178" s="399">
        <v>1</v>
      </c>
      <c r="AB3178" s="394">
        <v>9</v>
      </c>
      <c r="AC3178" s="402">
        <v>42</v>
      </c>
      <c r="AD3178" s="399">
        <v>1</v>
      </c>
      <c r="AE3178" s="402"/>
      <c r="AF3178" s="391"/>
      <c r="AG3178" s="394"/>
      <c r="AH3178" s="394"/>
      <c r="AI3178" s="394"/>
      <c r="AJ3178" s="394"/>
      <c r="AK3178" s="394"/>
      <c r="AL3178" s="394"/>
      <c r="AM3178" s="394"/>
      <c r="AN3178" s="394"/>
      <c r="AO3178" s="394"/>
      <c r="AP3178" s="394"/>
      <c r="AQ3178" s="394"/>
      <c r="AR3178" s="394"/>
      <c r="AS3178" s="402"/>
      <c r="AT3178" s="404"/>
      <c r="AU3178" s="394"/>
      <c r="AV3178" s="394"/>
      <c r="AW3178" s="394"/>
      <c r="AX3178" s="5"/>
      <c r="AY3178" s="5"/>
      <c r="AZ3178" s="5"/>
      <c r="BA3178" s="5"/>
      <c r="BB3178" s="5"/>
      <c r="BC3178" s="5"/>
      <c r="BD3178" s="5"/>
      <c r="BE3178" s="5"/>
      <c r="BF3178" s="5"/>
      <c r="BG3178" s="5"/>
      <c r="BH3178" s="5"/>
      <c r="BI3178" s="5"/>
      <c r="BJ3178" s="5"/>
      <c r="BK3178" s="5"/>
      <c r="BL3178" s="5"/>
      <c r="BM3178" s="5"/>
      <c r="BN3178" s="5"/>
      <c r="BO3178" s="5"/>
      <c r="BP3178" s="5"/>
      <c r="BQ3178" s="5"/>
      <c r="BR3178" s="5"/>
      <c r="BS3178" s="5"/>
      <c r="BT3178" s="5"/>
      <c r="BU3178" s="5"/>
      <c r="BV3178" s="5"/>
      <c r="BW3178" s="5"/>
      <c r="BX3178" s="5"/>
      <c r="BY3178" s="5"/>
      <c r="BZ3178" s="5"/>
      <c r="CA3178" s="5"/>
    </row>
    <row r="3179" spans="1:79" s="400" customFormat="1" ht="15" customHeight="1">
      <c r="A3179" s="41" t="s">
        <v>183</v>
      </c>
      <c r="B3179" s="402" t="s">
        <v>1853</v>
      </c>
      <c r="C3179" s="113" t="s">
        <v>1854</v>
      </c>
      <c r="D3179" s="393" t="s">
        <v>290</v>
      </c>
      <c r="E3179" s="394" t="s">
        <v>5764</v>
      </c>
      <c r="F3179" s="402" t="s">
        <v>1855</v>
      </c>
      <c r="G3179" s="405" t="s">
        <v>1856</v>
      </c>
      <c r="H3179" s="404">
        <v>2819</v>
      </c>
      <c r="I3179" s="402" t="s">
        <v>2</v>
      </c>
      <c r="J3179" s="401" t="s">
        <v>700</v>
      </c>
      <c r="K3179" s="403">
        <v>41487</v>
      </c>
      <c r="L3179" s="398">
        <v>41481</v>
      </c>
      <c r="M3179" s="402">
        <f t="shared" si="184"/>
        <v>6</v>
      </c>
      <c r="N3179" s="402" t="s">
        <v>2</v>
      </c>
      <c r="O3179" s="404">
        <f>1.6/2</f>
        <v>0.8</v>
      </c>
      <c r="P3179" s="402">
        <v>6.3</v>
      </c>
      <c r="Q3179" s="404">
        <v>6.9</v>
      </c>
      <c r="R3179" s="402">
        <f>20/2</f>
        <v>10</v>
      </c>
      <c r="S3179" s="404">
        <v>6</v>
      </c>
      <c r="T3179" s="402">
        <v>6.3E-2</v>
      </c>
      <c r="U3179" s="395">
        <v>1.1000000000000001</v>
      </c>
      <c r="V3179" s="402">
        <v>1.1200000000000001</v>
      </c>
      <c r="W3179" s="404">
        <f>0.005/2</f>
        <v>2.5000000000000001E-3</v>
      </c>
      <c r="X3179" s="402">
        <v>8.8999999999999996E-2</v>
      </c>
      <c r="Y3179" s="404">
        <f>0.005/2</f>
        <v>2.5000000000000001E-3</v>
      </c>
      <c r="Z3179" s="397">
        <v>1</v>
      </c>
      <c r="AA3179" s="399">
        <v>0.82</v>
      </c>
      <c r="AB3179" s="394">
        <v>6</v>
      </c>
      <c r="AC3179" s="402">
        <v>27</v>
      </c>
      <c r="AD3179" s="399">
        <v>0.3</v>
      </c>
      <c r="AE3179" s="402"/>
      <c r="AF3179" s="391"/>
      <c r="AG3179" s="394"/>
      <c r="AH3179" s="394"/>
      <c r="AI3179" s="394"/>
      <c r="AJ3179" s="394"/>
      <c r="AK3179" s="394"/>
      <c r="AL3179" s="394"/>
      <c r="AM3179" s="394"/>
      <c r="AN3179" s="394"/>
      <c r="AO3179" s="394"/>
      <c r="AP3179" s="394"/>
      <c r="AQ3179" s="394"/>
      <c r="AR3179" s="394"/>
      <c r="AS3179" s="402"/>
      <c r="AT3179" s="404"/>
      <c r="AU3179" s="394"/>
      <c r="AV3179" s="394"/>
      <c r="AW3179" s="394"/>
      <c r="AX3179" s="5"/>
      <c r="AY3179" s="5"/>
      <c r="AZ3179" s="5"/>
      <c r="BA3179" s="5"/>
      <c r="BB3179" s="5"/>
      <c r="BC3179" s="5"/>
      <c r="BD3179" s="5"/>
      <c r="BE3179" s="5"/>
      <c r="BF3179" s="5"/>
      <c r="BG3179" s="5"/>
      <c r="BH3179" s="5"/>
      <c r="BI3179" s="5"/>
      <c r="BJ3179" s="5"/>
      <c r="BK3179" s="5"/>
      <c r="BL3179" s="5"/>
      <c r="BM3179" s="5"/>
      <c r="BN3179" s="5"/>
      <c r="BO3179" s="5"/>
      <c r="BP3179" s="5"/>
      <c r="BQ3179" s="5"/>
      <c r="BR3179" s="5"/>
      <c r="BS3179" s="5"/>
      <c r="BT3179" s="5"/>
      <c r="BU3179" s="5"/>
      <c r="BV3179" s="5"/>
      <c r="BW3179" s="5"/>
      <c r="BX3179" s="5"/>
      <c r="BY3179" s="5"/>
      <c r="BZ3179" s="5"/>
      <c r="CA3179" s="5"/>
    </row>
    <row r="3180" spans="1:79" s="400" customFormat="1" ht="15" customHeight="1">
      <c r="A3180" s="41" t="s">
        <v>183</v>
      </c>
      <c r="B3180" s="386" t="s">
        <v>542</v>
      </c>
      <c r="C3180" s="149" t="s">
        <v>542</v>
      </c>
      <c r="D3180" s="392" t="s">
        <v>41</v>
      </c>
      <c r="E3180" s="258" t="s">
        <v>42</v>
      </c>
      <c r="F3180" s="64" t="s">
        <v>981</v>
      </c>
      <c r="G3180" s="405" t="s">
        <v>554</v>
      </c>
      <c r="H3180" s="404">
        <v>3724</v>
      </c>
      <c r="I3180" s="402" t="s">
        <v>2</v>
      </c>
      <c r="J3180" s="392" t="s">
        <v>543</v>
      </c>
      <c r="K3180" s="403">
        <v>41495</v>
      </c>
      <c r="L3180" s="398">
        <v>41490</v>
      </c>
      <c r="M3180" s="402">
        <f t="shared" si="184"/>
        <v>5</v>
      </c>
      <c r="N3180" s="402" t="s">
        <v>2</v>
      </c>
      <c r="O3180" s="404">
        <f>1.4/2</f>
        <v>0.7</v>
      </c>
      <c r="P3180" s="402">
        <v>5.49</v>
      </c>
      <c r="Q3180" s="404">
        <v>5.79</v>
      </c>
      <c r="R3180" s="402">
        <v>13</v>
      </c>
      <c r="S3180" s="404">
        <v>5</v>
      </c>
      <c r="T3180" s="402">
        <v>0.03</v>
      </c>
      <c r="U3180" s="395">
        <v>0.35</v>
      </c>
      <c r="V3180" s="402">
        <v>0.08</v>
      </c>
      <c r="W3180" s="404">
        <f>0.005/2</f>
        <v>2.5000000000000001E-3</v>
      </c>
      <c r="X3180" s="402">
        <v>0.03</v>
      </c>
      <c r="Y3180" s="404">
        <f>0.002/2</f>
        <v>1E-3</v>
      </c>
      <c r="Z3180" s="397"/>
      <c r="AA3180" s="399"/>
      <c r="AB3180" s="394"/>
      <c r="AC3180" s="402"/>
      <c r="AD3180" s="399"/>
      <c r="AE3180" s="402"/>
      <c r="AF3180" s="391"/>
      <c r="AG3180" s="394"/>
      <c r="AH3180" s="394"/>
      <c r="AI3180" s="394"/>
      <c r="AJ3180" s="394"/>
      <c r="AK3180" s="394"/>
      <c r="AL3180" s="394"/>
      <c r="AM3180" s="394"/>
      <c r="AN3180" s="394"/>
      <c r="AO3180" s="394"/>
      <c r="AP3180" s="394"/>
      <c r="AQ3180" s="394"/>
      <c r="AR3180" s="394"/>
      <c r="AS3180" s="402"/>
      <c r="AT3180" s="404"/>
      <c r="AU3180" s="394"/>
      <c r="AV3180" s="394"/>
      <c r="AW3180" s="394"/>
      <c r="AX3180" s="5"/>
      <c r="AY3180" s="5"/>
      <c r="AZ3180" s="5"/>
      <c r="BA3180" s="5"/>
      <c r="BB3180" s="5"/>
      <c r="BC3180" s="5"/>
      <c r="BD3180" s="5"/>
      <c r="BE3180" s="5"/>
      <c r="BF3180" s="5"/>
      <c r="BG3180" s="5"/>
      <c r="BH3180" s="5"/>
      <c r="BI3180" s="5"/>
      <c r="BJ3180" s="5"/>
      <c r="BK3180" s="5"/>
      <c r="BL3180" s="5"/>
      <c r="BM3180" s="5"/>
      <c r="BN3180" s="5"/>
      <c r="BO3180" s="5"/>
      <c r="BP3180" s="5"/>
      <c r="BQ3180" s="5"/>
      <c r="BR3180" s="5"/>
      <c r="BS3180" s="5"/>
      <c r="BT3180" s="5"/>
      <c r="BU3180" s="5"/>
      <c r="BV3180" s="5"/>
      <c r="BW3180" s="5"/>
      <c r="BX3180" s="5"/>
      <c r="BY3180" s="5"/>
      <c r="BZ3180" s="5"/>
      <c r="CA3180" s="5"/>
    </row>
    <row r="3181" spans="1:79" s="400" customFormat="1" ht="15" customHeight="1">
      <c r="A3181" s="41" t="s">
        <v>183</v>
      </c>
      <c r="B3181" s="386" t="s">
        <v>542</v>
      </c>
      <c r="C3181" s="149" t="s">
        <v>542</v>
      </c>
      <c r="D3181" s="392" t="s">
        <v>41</v>
      </c>
      <c r="E3181" s="258" t="s">
        <v>42</v>
      </c>
      <c r="F3181" s="64" t="s">
        <v>981</v>
      </c>
      <c r="G3181" s="405" t="s">
        <v>554</v>
      </c>
      <c r="H3181" s="404">
        <v>3724</v>
      </c>
      <c r="I3181" s="402" t="s">
        <v>2</v>
      </c>
      <c r="J3181" s="392" t="s">
        <v>545</v>
      </c>
      <c r="K3181" s="403">
        <v>41495</v>
      </c>
      <c r="L3181" s="398">
        <v>41490</v>
      </c>
      <c r="M3181" s="402">
        <f t="shared" si="184"/>
        <v>5</v>
      </c>
      <c r="N3181" s="402" t="s">
        <v>2</v>
      </c>
      <c r="O3181" s="404">
        <f>1.4/2</f>
        <v>0.7</v>
      </c>
      <c r="P3181" s="402">
        <v>5.49</v>
      </c>
      <c r="Q3181" s="404">
        <v>6.42</v>
      </c>
      <c r="R3181" s="402">
        <v>24</v>
      </c>
      <c r="S3181" s="404">
        <v>15</v>
      </c>
      <c r="T3181" s="402">
        <v>0.05</v>
      </c>
      <c r="U3181" s="395">
        <v>0.56999999999999995</v>
      </c>
      <c r="V3181" s="402">
        <v>0.15</v>
      </c>
      <c r="W3181" s="404">
        <f>0.005/2</f>
        <v>2.5000000000000001E-3</v>
      </c>
      <c r="X3181" s="402">
        <v>8.9999999999999993E-3</v>
      </c>
      <c r="Y3181" s="404">
        <f>0.002/2</f>
        <v>1E-3</v>
      </c>
      <c r="Z3181" s="397"/>
      <c r="AA3181" s="399"/>
      <c r="AB3181" s="394"/>
      <c r="AC3181" s="402"/>
      <c r="AD3181" s="399"/>
      <c r="AE3181" s="402"/>
      <c r="AF3181" s="391"/>
      <c r="AG3181" s="394"/>
      <c r="AH3181" s="394"/>
      <c r="AI3181" s="394"/>
      <c r="AJ3181" s="394"/>
      <c r="AK3181" s="394"/>
      <c r="AL3181" s="394"/>
      <c r="AM3181" s="394"/>
      <c r="AN3181" s="394"/>
      <c r="AO3181" s="394"/>
      <c r="AP3181" s="394"/>
      <c r="AQ3181" s="394"/>
      <c r="AR3181" s="394"/>
      <c r="AS3181" s="402"/>
      <c r="AT3181" s="404"/>
      <c r="AU3181" s="394"/>
      <c r="AV3181" s="394"/>
      <c r="AW3181" s="394"/>
      <c r="AX3181" s="5"/>
      <c r="AY3181" s="5"/>
      <c r="AZ3181" s="5"/>
      <c r="BA3181" s="5"/>
      <c r="BB3181" s="5"/>
      <c r="BC3181" s="5"/>
      <c r="BD3181" s="5"/>
      <c r="BE3181" s="5"/>
      <c r="BF3181" s="5"/>
      <c r="BG3181" s="5"/>
      <c r="BH3181" s="5"/>
      <c r="BI3181" s="5"/>
      <c r="BJ3181" s="5"/>
      <c r="BK3181" s="5"/>
      <c r="BL3181" s="5"/>
      <c r="BM3181" s="5"/>
      <c r="BN3181" s="5"/>
      <c r="BO3181" s="5"/>
      <c r="BP3181" s="5"/>
      <c r="BQ3181" s="5"/>
      <c r="BR3181" s="5"/>
      <c r="BS3181" s="5"/>
      <c r="BT3181" s="5"/>
      <c r="BU3181" s="5"/>
      <c r="BV3181" s="5"/>
      <c r="BW3181" s="5"/>
      <c r="BX3181" s="5"/>
      <c r="BY3181" s="5"/>
      <c r="BZ3181" s="5"/>
      <c r="CA3181" s="5"/>
    </row>
    <row r="3182" spans="1:79" s="400" customFormat="1" ht="15" customHeight="1">
      <c r="A3182" s="41" t="s">
        <v>183</v>
      </c>
      <c r="B3182" s="402" t="s">
        <v>5777</v>
      </c>
      <c r="C3182" s="113" t="s">
        <v>5777</v>
      </c>
      <c r="D3182" s="393" t="s">
        <v>640</v>
      </c>
      <c r="E3182" s="394" t="s">
        <v>2031</v>
      </c>
      <c r="F3182" s="402"/>
      <c r="G3182" s="405" t="s">
        <v>2035</v>
      </c>
      <c r="H3182" s="404">
        <v>3231</v>
      </c>
      <c r="I3182" s="402" t="s">
        <v>2</v>
      </c>
      <c r="J3182" s="406" t="s">
        <v>74</v>
      </c>
      <c r="K3182" s="403">
        <v>41478</v>
      </c>
      <c r="L3182" s="398">
        <v>41470</v>
      </c>
      <c r="M3182" s="402">
        <f t="shared" si="184"/>
        <v>8</v>
      </c>
      <c r="N3182" s="402" t="s">
        <v>2</v>
      </c>
      <c r="O3182" s="404">
        <f>1.4/2</f>
        <v>0.7</v>
      </c>
      <c r="P3182" s="402">
        <v>6.49</v>
      </c>
      <c r="Q3182" s="404">
        <v>7.76</v>
      </c>
      <c r="R3182" s="402">
        <v>10</v>
      </c>
      <c r="S3182" s="404">
        <f>5/2</f>
        <v>2.5</v>
      </c>
      <c r="T3182" s="402">
        <v>0.04</v>
      </c>
      <c r="U3182" s="395">
        <v>0.56999999999999995</v>
      </c>
      <c r="V3182" s="402">
        <v>0.45</v>
      </c>
      <c r="W3182" s="404">
        <f>0.005/2</f>
        <v>2.5000000000000001E-3</v>
      </c>
      <c r="X3182" s="402">
        <v>1.7999999999999999E-2</v>
      </c>
      <c r="Y3182" s="404">
        <f>0.002/2</f>
        <v>1E-3</v>
      </c>
      <c r="Z3182" s="397"/>
      <c r="AA3182" s="399"/>
      <c r="AB3182" s="394"/>
      <c r="AC3182" s="402"/>
      <c r="AD3182" s="399"/>
      <c r="AE3182" s="402"/>
      <c r="AF3182" s="391"/>
      <c r="AG3182" s="394"/>
      <c r="AH3182" s="394"/>
      <c r="AI3182" s="394"/>
      <c r="AJ3182" s="394"/>
      <c r="AK3182" s="394"/>
      <c r="AL3182" s="394"/>
      <c r="AM3182" s="394"/>
      <c r="AN3182" s="394"/>
      <c r="AO3182" s="394"/>
      <c r="AP3182" s="394"/>
      <c r="AQ3182" s="394"/>
      <c r="AR3182" s="394"/>
      <c r="AS3182" s="402"/>
      <c r="AT3182" s="404"/>
      <c r="AU3182" s="394"/>
      <c r="AV3182" s="394"/>
      <c r="AW3182" s="394"/>
      <c r="AX3182" s="5"/>
      <c r="AY3182" s="5"/>
      <c r="AZ3182" s="5"/>
      <c r="BA3182" s="5"/>
      <c r="BB3182" s="5"/>
      <c r="BC3182" s="5"/>
      <c r="BD3182" s="5"/>
      <c r="BE3182" s="5"/>
      <c r="BF3182" s="5"/>
      <c r="BG3182" s="5"/>
      <c r="BH3182" s="5"/>
      <c r="BI3182" s="5"/>
      <c r="BJ3182" s="5"/>
      <c r="BK3182" s="5"/>
      <c r="BL3182" s="5"/>
      <c r="BM3182" s="5"/>
      <c r="BN3182" s="5"/>
      <c r="BO3182" s="5"/>
      <c r="BP3182" s="5"/>
      <c r="BQ3182" s="5"/>
      <c r="BR3182" s="5"/>
      <c r="BS3182" s="5"/>
      <c r="BT3182" s="5"/>
      <c r="BU3182" s="5"/>
      <c r="BV3182" s="5"/>
      <c r="BW3182" s="5"/>
      <c r="BX3182" s="5"/>
      <c r="BY3182" s="5"/>
      <c r="BZ3182" s="5"/>
      <c r="CA3182" s="5"/>
    </row>
    <row r="3183" spans="1:79" s="400" customFormat="1" ht="15" customHeight="1">
      <c r="A3183" s="41" t="s">
        <v>183</v>
      </c>
      <c r="B3183" s="402" t="s">
        <v>5783</v>
      </c>
      <c r="C3183" s="113" t="s">
        <v>5783</v>
      </c>
      <c r="D3183" s="393" t="s">
        <v>78</v>
      </c>
      <c r="E3183" s="394" t="s">
        <v>5784</v>
      </c>
      <c r="F3183" s="402"/>
      <c r="G3183" s="405" t="s">
        <v>1418</v>
      </c>
      <c r="H3183" s="404">
        <v>3272</v>
      </c>
      <c r="I3183" s="402" t="s">
        <v>2</v>
      </c>
      <c r="J3183" s="406" t="s">
        <v>130</v>
      </c>
      <c r="K3183" s="403">
        <v>41226</v>
      </c>
      <c r="L3183" s="398">
        <v>41219</v>
      </c>
      <c r="M3183" s="402">
        <f t="shared" si="184"/>
        <v>7</v>
      </c>
      <c r="N3183" s="402" t="s">
        <v>2</v>
      </c>
      <c r="O3183" s="404">
        <f>1/2</f>
        <v>0.5</v>
      </c>
      <c r="P3183" s="402">
        <v>6.2</v>
      </c>
      <c r="Q3183" s="404">
        <v>7.6</v>
      </c>
      <c r="R3183" s="402">
        <f>1/2</f>
        <v>0.5</v>
      </c>
      <c r="S3183" s="404">
        <v>14</v>
      </c>
      <c r="T3183" s="402">
        <v>0.28999999999999998</v>
      </c>
      <c r="U3183" s="395">
        <f>0.1/2</f>
        <v>0.05</v>
      </c>
      <c r="V3183" s="402">
        <v>1.88</v>
      </c>
      <c r="W3183" s="404">
        <v>8.9999999999999993E-3</v>
      </c>
      <c r="X3183" s="402">
        <v>2.1999999999999999E-2</v>
      </c>
      <c r="Y3183" s="404">
        <f>0.002/2</f>
        <v>1E-3</v>
      </c>
      <c r="Z3183" s="397">
        <v>1</v>
      </c>
      <c r="AA3183" s="399">
        <v>1</v>
      </c>
      <c r="AB3183" s="394">
        <v>199</v>
      </c>
      <c r="AC3183" s="402">
        <v>585</v>
      </c>
      <c r="AD3183" s="399">
        <v>1</v>
      </c>
      <c r="AE3183" s="402"/>
      <c r="AF3183" s="391"/>
      <c r="AG3183" s="394"/>
      <c r="AH3183" s="394"/>
      <c r="AI3183" s="394"/>
      <c r="AJ3183" s="394"/>
      <c r="AK3183" s="394"/>
      <c r="AL3183" s="394"/>
      <c r="AM3183" s="394"/>
      <c r="AN3183" s="394"/>
      <c r="AO3183" s="394"/>
      <c r="AP3183" s="394"/>
      <c r="AQ3183" s="394"/>
      <c r="AR3183" s="394"/>
      <c r="AS3183" s="402"/>
      <c r="AT3183" s="404"/>
      <c r="AU3183" s="394"/>
      <c r="AV3183" s="394"/>
      <c r="AW3183" s="394"/>
      <c r="AX3183" s="5"/>
      <c r="AY3183" s="5"/>
      <c r="AZ3183" s="5"/>
      <c r="BA3183" s="5"/>
      <c r="BB3183" s="5"/>
      <c r="BC3183" s="5"/>
      <c r="BD3183" s="5"/>
      <c r="BE3183" s="5"/>
      <c r="BF3183" s="5"/>
      <c r="BG3183" s="5"/>
      <c r="BH3183" s="5"/>
      <c r="BI3183" s="5"/>
      <c r="BJ3183" s="5"/>
      <c r="BK3183" s="5"/>
      <c r="BL3183" s="5"/>
      <c r="BM3183" s="5"/>
      <c r="BN3183" s="5"/>
      <c r="BO3183" s="5"/>
      <c r="BP3183" s="5"/>
      <c r="BQ3183" s="5"/>
      <c r="BR3183" s="5"/>
      <c r="BS3183" s="5"/>
      <c r="BT3183" s="5"/>
      <c r="BU3183" s="5"/>
      <c r="BV3183" s="5"/>
      <c r="BW3183" s="5"/>
      <c r="BX3183" s="5"/>
      <c r="BY3183" s="5"/>
      <c r="BZ3183" s="5"/>
      <c r="CA3183" s="5"/>
    </row>
    <row r="3184" spans="1:79" s="400" customFormat="1" ht="15" customHeight="1">
      <c r="A3184" s="41" t="s">
        <v>183</v>
      </c>
      <c r="B3184" s="402" t="s">
        <v>1397</v>
      </c>
      <c r="C3184" s="113" t="s">
        <v>1397</v>
      </c>
      <c r="D3184" s="393" t="s">
        <v>379</v>
      </c>
      <c r="E3184" s="394" t="s">
        <v>1398</v>
      </c>
      <c r="F3184" s="402"/>
      <c r="G3184" s="405" t="s">
        <v>1399</v>
      </c>
      <c r="H3184" s="384">
        <v>3086</v>
      </c>
      <c r="I3184" s="385" t="s">
        <v>2</v>
      </c>
      <c r="J3184" s="393" t="s">
        <v>1400</v>
      </c>
      <c r="K3184" s="403">
        <v>41365</v>
      </c>
      <c r="L3184" s="398">
        <v>41361</v>
      </c>
      <c r="M3184" s="402">
        <f>K3184-L3184</f>
        <v>4</v>
      </c>
      <c r="N3184" s="402" t="s">
        <v>2</v>
      </c>
      <c r="O3184" s="404">
        <v>21</v>
      </c>
      <c r="P3184" s="402">
        <v>7.12</v>
      </c>
      <c r="Q3184" s="404">
        <v>7.21</v>
      </c>
      <c r="R3184" s="402">
        <v>376</v>
      </c>
      <c r="S3184" s="404">
        <v>530</v>
      </c>
      <c r="T3184" s="402">
        <v>0.47</v>
      </c>
      <c r="U3184" s="395">
        <v>4.12</v>
      </c>
      <c r="V3184" s="402">
        <v>1.3</v>
      </c>
      <c r="W3184" s="404">
        <v>7.9000000000000001E-2</v>
      </c>
      <c r="X3184" s="402">
        <v>0.497</v>
      </c>
      <c r="Y3184" s="404">
        <v>2.5999999999999999E-2</v>
      </c>
      <c r="Z3184" s="397">
        <v>1</v>
      </c>
      <c r="AA3184" s="399">
        <v>1</v>
      </c>
      <c r="AB3184" s="394">
        <v>180</v>
      </c>
      <c r="AC3184" s="402">
        <v>3600</v>
      </c>
      <c r="AD3184" s="399">
        <v>1</v>
      </c>
      <c r="AE3184" s="402"/>
      <c r="AF3184" s="391"/>
      <c r="AG3184" s="394"/>
      <c r="AH3184" s="394"/>
      <c r="AI3184" s="394"/>
      <c r="AJ3184" s="394"/>
      <c r="AK3184" s="394"/>
      <c r="AL3184" s="394"/>
      <c r="AM3184" s="394"/>
      <c r="AN3184" s="394"/>
      <c r="AO3184" s="394"/>
      <c r="AP3184" s="394"/>
      <c r="AQ3184" s="394"/>
      <c r="AR3184" s="394"/>
      <c r="AS3184" s="402"/>
      <c r="AT3184" s="404"/>
      <c r="AU3184" s="394"/>
      <c r="AV3184" s="394"/>
      <c r="AW3184" s="394"/>
      <c r="AX3184" s="5"/>
      <c r="AY3184" s="5"/>
      <c r="AZ3184" s="5"/>
      <c r="BA3184" s="5"/>
      <c r="BB3184" s="5"/>
      <c r="BC3184" s="5"/>
      <c r="BD3184" s="5"/>
      <c r="BE3184" s="5"/>
      <c r="BF3184" s="5"/>
      <c r="BG3184" s="5"/>
      <c r="BH3184" s="5"/>
      <c r="BI3184" s="5"/>
      <c r="BJ3184" s="5"/>
      <c r="BK3184" s="5"/>
      <c r="BL3184" s="5"/>
      <c r="BM3184" s="5"/>
      <c r="BN3184" s="5"/>
      <c r="BO3184" s="5"/>
      <c r="BP3184" s="5"/>
      <c r="BQ3184" s="5"/>
      <c r="BR3184" s="5"/>
      <c r="BS3184" s="5"/>
      <c r="BT3184" s="5"/>
      <c r="BU3184" s="5"/>
      <c r="BV3184" s="5"/>
      <c r="BW3184" s="5"/>
      <c r="BX3184" s="5"/>
      <c r="BY3184" s="5"/>
      <c r="BZ3184" s="5"/>
      <c r="CA3184" s="5"/>
    </row>
    <row r="3185" spans="1:79" s="400" customFormat="1" ht="15" customHeight="1">
      <c r="A3185" s="404" t="s">
        <v>183</v>
      </c>
      <c r="B3185" s="402" t="s">
        <v>1397</v>
      </c>
      <c r="C3185" s="113" t="s">
        <v>1397</v>
      </c>
      <c r="D3185" s="393" t="s">
        <v>379</v>
      </c>
      <c r="E3185" s="394" t="s">
        <v>1398</v>
      </c>
      <c r="F3185" s="402"/>
      <c r="G3185" s="405" t="s">
        <v>1399</v>
      </c>
      <c r="H3185" s="384">
        <v>3086</v>
      </c>
      <c r="I3185" s="385" t="s">
        <v>2</v>
      </c>
      <c r="J3185" s="393" t="s">
        <v>1401</v>
      </c>
      <c r="K3185" s="403">
        <v>41365</v>
      </c>
      <c r="L3185" s="398">
        <v>41361</v>
      </c>
      <c r="M3185" s="402">
        <f>K3185-L3185</f>
        <v>4</v>
      </c>
      <c r="N3185" s="402" t="s">
        <v>2</v>
      </c>
      <c r="O3185" s="404">
        <v>13</v>
      </c>
      <c r="P3185" s="402">
        <v>7.36</v>
      </c>
      <c r="Q3185" s="404">
        <v>7.54</v>
      </c>
      <c r="R3185" s="402">
        <v>296</v>
      </c>
      <c r="S3185" s="404">
        <v>400</v>
      </c>
      <c r="T3185" s="402">
        <v>0.44</v>
      </c>
      <c r="U3185" s="395">
        <v>0.26600000000000001</v>
      </c>
      <c r="V3185" s="402">
        <v>1.08</v>
      </c>
      <c r="W3185" s="404">
        <v>6.2E-2</v>
      </c>
      <c r="X3185" s="402">
        <v>0.439</v>
      </c>
      <c r="Y3185" s="404">
        <v>2.4E-2</v>
      </c>
      <c r="Z3185" s="397">
        <v>1</v>
      </c>
      <c r="AA3185" s="399">
        <v>1</v>
      </c>
      <c r="AB3185" s="394">
        <v>10</v>
      </c>
      <c r="AC3185" s="402">
        <v>295</v>
      </c>
      <c r="AD3185" s="399">
        <v>0.7</v>
      </c>
      <c r="AE3185" s="402"/>
      <c r="AF3185" s="391"/>
      <c r="AG3185" s="394"/>
      <c r="AH3185" s="394"/>
      <c r="AI3185" s="394"/>
      <c r="AJ3185" s="394"/>
      <c r="AK3185" s="394"/>
      <c r="AL3185" s="394"/>
      <c r="AM3185" s="394"/>
      <c r="AN3185" s="394"/>
      <c r="AO3185" s="394"/>
      <c r="AP3185" s="394"/>
      <c r="AQ3185" s="394"/>
      <c r="AR3185" s="394"/>
      <c r="AS3185" s="402"/>
      <c r="AT3185" s="404"/>
      <c r="AU3185" s="394"/>
      <c r="AV3185" s="394"/>
      <c r="AW3185" s="394"/>
      <c r="AX3185" s="5"/>
      <c r="AY3185" s="5"/>
      <c r="AZ3185" s="5"/>
      <c r="BA3185" s="5"/>
      <c r="BB3185" s="5"/>
      <c r="BC3185" s="5"/>
      <c r="BD3185" s="5"/>
      <c r="BE3185" s="5"/>
      <c r="BF3185" s="5"/>
      <c r="BG3185" s="5"/>
      <c r="BH3185" s="5"/>
      <c r="BI3185" s="5"/>
      <c r="BJ3185" s="5"/>
      <c r="BK3185" s="5"/>
      <c r="BL3185" s="5"/>
      <c r="BM3185" s="5"/>
      <c r="BN3185" s="5"/>
      <c r="BO3185" s="5"/>
      <c r="BP3185" s="5"/>
      <c r="BQ3185" s="5"/>
      <c r="BR3185" s="5"/>
      <c r="BS3185" s="5"/>
      <c r="BT3185" s="5"/>
      <c r="BU3185" s="5"/>
      <c r="BV3185" s="5"/>
      <c r="BW3185" s="5"/>
      <c r="BX3185" s="5"/>
      <c r="BY3185" s="5"/>
      <c r="BZ3185" s="5"/>
      <c r="CA3185" s="5"/>
    </row>
    <row r="3186" spans="1:79" s="400" customFormat="1" ht="15" customHeight="1">
      <c r="A3186" s="41" t="s">
        <v>183</v>
      </c>
      <c r="B3186" s="386" t="s">
        <v>575</v>
      </c>
      <c r="C3186" s="149" t="s">
        <v>576</v>
      </c>
      <c r="D3186" s="392" t="s">
        <v>262</v>
      </c>
      <c r="E3186" s="258" t="s">
        <v>578</v>
      </c>
      <c r="F3186" s="386" t="s">
        <v>1010</v>
      </c>
      <c r="G3186" s="405" t="s">
        <v>579</v>
      </c>
      <c r="H3186" s="404">
        <v>5171</v>
      </c>
      <c r="I3186" s="402" t="s">
        <v>1</v>
      </c>
      <c r="J3186" s="392" t="s">
        <v>81</v>
      </c>
      <c r="K3186" s="403">
        <v>41240</v>
      </c>
      <c r="L3186" s="398">
        <v>41237</v>
      </c>
      <c r="M3186" s="402">
        <f t="shared" ref="M3186" si="187">K3186-L3186</f>
        <v>3</v>
      </c>
      <c r="N3186" s="402" t="s">
        <v>1</v>
      </c>
      <c r="O3186" s="404">
        <f>5/2</f>
        <v>2.5</v>
      </c>
      <c r="P3186" s="402">
        <v>6.5</v>
      </c>
      <c r="Q3186" s="404">
        <v>7</v>
      </c>
      <c r="R3186" s="402">
        <v>25</v>
      </c>
      <c r="S3186" s="404">
        <v>12</v>
      </c>
      <c r="T3186" s="402">
        <v>0.1</v>
      </c>
      <c r="U3186" s="395">
        <f>1/2</f>
        <v>0.5</v>
      </c>
      <c r="V3186" s="402">
        <v>0.64</v>
      </c>
      <c r="W3186" s="404">
        <f>0.04/2</f>
        <v>0.02</v>
      </c>
      <c r="X3186" s="402">
        <v>0.08</v>
      </c>
      <c r="Y3186" s="404">
        <f>0.013/2</f>
        <v>6.4999999999999997E-3</v>
      </c>
      <c r="Z3186" s="397">
        <v>1</v>
      </c>
      <c r="AA3186" s="399">
        <v>1</v>
      </c>
      <c r="AB3186" s="394">
        <v>40</v>
      </c>
      <c r="AC3186" s="402">
        <v>570</v>
      </c>
      <c r="AD3186" s="399">
        <v>0.85</v>
      </c>
      <c r="AE3186" s="402"/>
      <c r="AF3186" s="391"/>
      <c r="AG3186" s="394"/>
      <c r="AH3186" s="394"/>
      <c r="AI3186" s="394">
        <v>10.9</v>
      </c>
      <c r="AJ3186" s="394">
        <v>1039</v>
      </c>
      <c r="AK3186" s="394"/>
      <c r="AL3186" s="394"/>
      <c r="AM3186" s="394"/>
      <c r="AN3186" s="394"/>
      <c r="AO3186" s="394"/>
      <c r="AP3186" s="394"/>
      <c r="AQ3186" s="394">
        <f>1/2</f>
        <v>0.5</v>
      </c>
      <c r="AR3186" s="394"/>
      <c r="AS3186" s="402"/>
      <c r="AT3186" s="404"/>
      <c r="AU3186" s="394"/>
      <c r="AV3186" s="394"/>
      <c r="AW3186" s="394"/>
      <c r="AX3186" s="5"/>
      <c r="AY3186" s="5"/>
      <c r="AZ3186" s="5"/>
      <c r="BA3186" s="5"/>
      <c r="BB3186" s="5"/>
      <c r="BC3186" s="5"/>
      <c r="BD3186" s="5">
        <v>0.18</v>
      </c>
      <c r="BE3186" s="5"/>
      <c r="BF3186" s="5"/>
      <c r="BG3186" s="5"/>
      <c r="BH3186" s="5"/>
      <c r="BI3186" s="5"/>
      <c r="BJ3186" s="5"/>
      <c r="BK3186" s="5"/>
      <c r="BL3186" s="5"/>
      <c r="BM3186" s="5"/>
      <c r="BN3186" s="5"/>
      <c r="BO3186" s="5"/>
      <c r="BP3186" s="5"/>
      <c r="BQ3186" s="5"/>
      <c r="BR3186" s="5"/>
      <c r="BS3186" s="5"/>
      <c r="BT3186" s="5"/>
      <c r="BU3186" s="5"/>
      <c r="BV3186" s="5"/>
      <c r="BW3186" s="5"/>
      <c r="BX3186" s="5"/>
      <c r="BY3186" s="5"/>
      <c r="BZ3186" s="5"/>
      <c r="CA3186" s="5"/>
    </row>
    <row r="3187" spans="1:79" s="400" customFormat="1" ht="15" customHeight="1">
      <c r="A3187" s="41" t="s">
        <v>183</v>
      </c>
      <c r="B3187" s="402" t="s">
        <v>4028</v>
      </c>
      <c r="C3187" s="113" t="s">
        <v>4028</v>
      </c>
      <c r="D3187" s="377" t="s">
        <v>84</v>
      </c>
      <c r="E3187" s="394" t="s">
        <v>535</v>
      </c>
      <c r="F3187" s="402"/>
      <c r="G3187" s="405" t="s">
        <v>4029</v>
      </c>
      <c r="H3187" s="404">
        <v>2653</v>
      </c>
      <c r="I3187" s="402"/>
      <c r="J3187" s="406" t="s">
        <v>5785</v>
      </c>
      <c r="K3187" s="403">
        <v>41345</v>
      </c>
      <c r="L3187" s="398"/>
      <c r="M3187" s="402"/>
      <c r="N3187" s="402" t="s">
        <v>2</v>
      </c>
      <c r="O3187" s="404">
        <f>1/2</f>
        <v>0.5</v>
      </c>
      <c r="P3187" s="402">
        <v>5.5</v>
      </c>
      <c r="Q3187" s="404">
        <v>6.96</v>
      </c>
      <c r="R3187" s="402">
        <v>10.3</v>
      </c>
      <c r="S3187" s="404">
        <v>6.5</v>
      </c>
      <c r="T3187" s="402">
        <v>0.12</v>
      </c>
      <c r="U3187" s="395">
        <v>0.48</v>
      </c>
      <c r="V3187" s="402">
        <v>0.65</v>
      </c>
      <c r="W3187" s="404">
        <f>0.01/2</f>
        <v>5.0000000000000001E-3</v>
      </c>
      <c r="X3187" s="402">
        <f>0.01/2</f>
        <v>5.0000000000000001E-3</v>
      </c>
      <c r="Y3187" s="404">
        <f>0.02/2</f>
        <v>0.01</v>
      </c>
      <c r="Z3187" s="397">
        <v>1</v>
      </c>
      <c r="AA3187" s="399">
        <v>1</v>
      </c>
      <c r="AB3187" s="394">
        <v>35.1</v>
      </c>
      <c r="AC3187" s="402">
        <v>220</v>
      </c>
      <c r="AD3187" s="399">
        <v>0.9</v>
      </c>
      <c r="AE3187" s="402"/>
      <c r="AF3187" s="391"/>
      <c r="AG3187" s="394"/>
      <c r="AH3187" s="394"/>
      <c r="AI3187" s="394"/>
      <c r="AJ3187" s="394"/>
      <c r="AK3187" s="394"/>
      <c r="AL3187" s="394"/>
      <c r="AM3187" s="394"/>
      <c r="AN3187" s="394"/>
      <c r="AO3187" s="394"/>
      <c r="AP3187" s="394"/>
      <c r="AQ3187" s="394"/>
      <c r="AR3187" s="394"/>
      <c r="AS3187" s="402"/>
      <c r="AT3187" s="404"/>
      <c r="AU3187" s="394"/>
      <c r="AV3187" s="394"/>
      <c r="AW3187" s="394"/>
      <c r="AX3187" s="5"/>
      <c r="AY3187" s="5"/>
      <c r="AZ3187" s="5"/>
      <c r="BA3187" s="5"/>
      <c r="BB3187" s="5"/>
      <c r="BC3187" s="5"/>
      <c r="BD3187" s="5"/>
      <c r="BE3187" s="5"/>
      <c r="BF3187" s="5"/>
      <c r="BG3187" s="5"/>
      <c r="BH3187" s="5"/>
      <c r="BI3187" s="5"/>
      <c r="BJ3187" s="5"/>
      <c r="BK3187" s="5"/>
      <c r="BL3187" s="5"/>
      <c r="BM3187" s="5"/>
      <c r="BN3187" s="5"/>
      <c r="BO3187" s="5"/>
      <c r="BP3187" s="5"/>
      <c r="BQ3187" s="5"/>
      <c r="BR3187" s="5"/>
      <c r="BS3187" s="5"/>
      <c r="BT3187" s="5"/>
      <c r="BU3187" s="5"/>
      <c r="BV3187" s="5"/>
      <c r="BW3187" s="5"/>
      <c r="BX3187" s="5"/>
      <c r="BY3187" s="5"/>
      <c r="BZ3187" s="5"/>
      <c r="CA3187" s="5"/>
    </row>
    <row r="3188" spans="1:79" s="400" customFormat="1" ht="15" customHeight="1">
      <c r="A3188" s="41" t="s">
        <v>183</v>
      </c>
      <c r="B3188" s="402" t="s">
        <v>2488</v>
      </c>
      <c r="C3188" s="113" t="s">
        <v>2488</v>
      </c>
      <c r="D3188" s="393" t="s">
        <v>338</v>
      </c>
      <c r="E3188" s="394" t="s">
        <v>1670</v>
      </c>
      <c r="F3188" s="402"/>
      <c r="G3188" s="405" t="s">
        <v>1671</v>
      </c>
      <c r="H3188" s="113">
        <v>3471</v>
      </c>
      <c r="I3188" s="391" t="s">
        <v>1</v>
      </c>
      <c r="J3188" s="401" t="s">
        <v>272</v>
      </c>
      <c r="K3188" s="403">
        <v>41345</v>
      </c>
      <c r="L3188" s="398">
        <v>41341</v>
      </c>
      <c r="M3188" s="402">
        <f t="shared" ref="M3188:M3189" si="188">K3188-L3188</f>
        <v>4</v>
      </c>
      <c r="N3188" s="402" t="s">
        <v>1</v>
      </c>
      <c r="O3188" s="404">
        <f>1/2</f>
        <v>0.5</v>
      </c>
      <c r="P3188" s="402">
        <v>5.31</v>
      </c>
      <c r="Q3188" s="404">
        <v>6.69</v>
      </c>
      <c r="R3188" s="402">
        <v>59</v>
      </c>
      <c r="S3188" s="404">
        <v>131</v>
      </c>
      <c r="T3188" s="402">
        <v>0.44</v>
      </c>
      <c r="U3188" s="395">
        <v>0.7</v>
      </c>
      <c r="V3188" s="402">
        <v>0.25</v>
      </c>
      <c r="W3188" s="404">
        <v>0.06</v>
      </c>
      <c r="X3188" s="402">
        <v>0.22</v>
      </c>
      <c r="Y3188" s="404">
        <f>0.05/2</f>
        <v>2.5000000000000001E-2</v>
      </c>
      <c r="Z3188" s="397">
        <v>1</v>
      </c>
      <c r="AA3188" s="399">
        <v>1</v>
      </c>
      <c r="AB3188" s="394">
        <v>52</v>
      </c>
      <c r="AC3188" s="402">
        <v>579</v>
      </c>
      <c r="AD3188" s="399">
        <v>1</v>
      </c>
      <c r="AE3188" s="402">
        <v>12</v>
      </c>
      <c r="AF3188" s="391"/>
      <c r="AG3188" s="394"/>
      <c r="AH3188" s="394"/>
      <c r="AI3188" s="394"/>
      <c r="AJ3188" s="394"/>
      <c r="AK3188" s="394"/>
      <c r="AL3188" s="394"/>
      <c r="AM3188" s="394"/>
      <c r="AN3188" s="394">
        <v>6.27</v>
      </c>
      <c r="AO3188" s="394"/>
      <c r="AP3188" s="394"/>
      <c r="AQ3188" s="394"/>
      <c r="AR3188" s="394"/>
      <c r="AS3188" s="402"/>
      <c r="AT3188" s="404"/>
      <c r="AU3188" s="394"/>
      <c r="AV3188" s="394"/>
      <c r="AW3188" s="394"/>
      <c r="AX3188" s="5"/>
      <c r="AY3188" s="5"/>
      <c r="AZ3188" s="5"/>
      <c r="BA3188" s="5"/>
      <c r="BB3188" s="5"/>
      <c r="BC3188" s="5"/>
      <c r="BD3188" s="5"/>
      <c r="BE3188" s="5"/>
      <c r="BF3188" s="5"/>
      <c r="BG3188" s="5"/>
      <c r="BH3188" s="5"/>
      <c r="BI3188" s="5"/>
      <c r="BJ3188" s="5"/>
      <c r="BK3188" s="5"/>
      <c r="BL3188" s="5"/>
      <c r="BM3188" s="5"/>
      <c r="BN3188" s="5"/>
      <c r="BO3188" s="5"/>
      <c r="BP3188" s="5"/>
      <c r="BQ3188" s="5"/>
      <c r="BR3188" s="5"/>
      <c r="BS3188" s="5"/>
      <c r="BT3188" s="5"/>
      <c r="BU3188" s="5"/>
      <c r="BV3188" s="5"/>
      <c r="BW3188" s="5"/>
      <c r="BX3188" s="5"/>
      <c r="BY3188" s="5"/>
      <c r="BZ3188" s="5"/>
      <c r="CA3188" s="5"/>
    </row>
    <row r="3189" spans="1:79" s="400" customFormat="1" ht="15" customHeight="1">
      <c r="A3189" s="41" t="s">
        <v>183</v>
      </c>
      <c r="B3189" s="402" t="s">
        <v>2488</v>
      </c>
      <c r="C3189" s="113" t="s">
        <v>2488</v>
      </c>
      <c r="D3189" s="393" t="s">
        <v>338</v>
      </c>
      <c r="E3189" s="394" t="s">
        <v>1670</v>
      </c>
      <c r="F3189" s="402"/>
      <c r="G3189" s="405" t="s">
        <v>1671</v>
      </c>
      <c r="H3189" s="113">
        <v>3471</v>
      </c>
      <c r="I3189" s="391" t="s">
        <v>1</v>
      </c>
      <c r="J3189" s="401" t="s">
        <v>271</v>
      </c>
      <c r="K3189" s="403">
        <v>41345</v>
      </c>
      <c r="L3189" s="398">
        <v>41341</v>
      </c>
      <c r="M3189" s="402">
        <f t="shared" si="188"/>
        <v>4</v>
      </c>
      <c r="N3189" s="402" t="s">
        <v>1</v>
      </c>
      <c r="O3189" s="404">
        <f>1/2</f>
        <v>0.5</v>
      </c>
      <c r="P3189" s="402">
        <v>4.33</v>
      </c>
      <c r="Q3189" s="404">
        <v>7.13</v>
      </c>
      <c r="R3189" s="402">
        <v>7</v>
      </c>
      <c r="S3189" s="404">
        <v>32</v>
      </c>
      <c r="T3189" s="402">
        <v>0.45</v>
      </c>
      <c r="U3189" s="395">
        <v>0.19</v>
      </c>
      <c r="V3189" s="402">
        <v>0.42</v>
      </c>
      <c r="W3189" s="404">
        <v>0.06</v>
      </c>
      <c r="X3189" s="402">
        <v>0.18</v>
      </c>
      <c r="Y3189" s="404">
        <f>0.05/2</f>
        <v>2.5000000000000001E-2</v>
      </c>
      <c r="Z3189" s="397">
        <v>1</v>
      </c>
      <c r="AA3189" s="399">
        <v>1</v>
      </c>
      <c r="AB3189" s="394">
        <v>40</v>
      </c>
      <c r="AC3189" s="402">
        <v>77</v>
      </c>
      <c r="AD3189" s="399">
        <v>1</v>
      </c>
      <c r="AE3189" s="402">
        <v>0</v>
      </c>
      <c r="AF3189" s="391"/>
      <c r="AG3189" s="394"/>
      <c r="AH3189" s="394"/>
      <c r="AI3189" s="394"/>
      <c r="AJ3189" s="394"/>
      <c r="AK3189" s="394"/>
      <c r="AL3189" s="394"/>
      <c r="AM3189" s="394"/>
      <c r="AN3189" s="394">
        <v>1.42</v>
      </c>
      <c r="AO3189" s="394"/>
      <c r="AP3189" s="394"/>
      <c r="AQ3189" s="394"/>
      <c r="AR3189" s="394"/>
      <c r="AS3189" s="402"/>
      <c r="AT3189" s="404"/>
      <c r="AU3189" s="394"/>
      <c r="AV3189" s="394"/>
      <c r="AW3189" s="394"/>
      <c r="AX3189" s="5"/>
      <c r="AY3189" s="5"/>
      <c r="AZ3189" s="5"/>
      <c r="BA3189" s="5"/>
      <c r="BB3189" s="5"/>
      <c r="BC3189" s="5"/>
      <c r="BD3189" s="5"/>
      <c r="BE3189" s="5"/>
      <c r="BF3189" s="5"/>
      <c r="BG3189" s="5"/>
      <c r="BH3189" s="5"/>
      <c r="BI3189" s="5"/>
      <c r="BJ3189" s="5"/>
      <c r="BK3189" s="5"/>
      <c r="BL3189" s="5"/>
      <c r="BM3189" s="5"/>
      <c r="BN3189" s="5"/>
      <c r="BO3189" s="5"/>
      <c r="BP3189" s="5"/>
      <c r="BQ3189" s="5"/>
      <c r="BR3189" s="5"/>
      <c r="BS3189" s="5"/>
      <c r="BT3189" s="5"/>
      <c r="BU3189" s="5"/>
      <c r="BV3189" s="5"/>
      <c r="BW3189" s="5"/>
      <c r="BX3189" s="5"/>
      <c r="BY3189" s="5"/>
      <c r="BZ3189" s="5"/>
      <c r="CA3189" s="5"/>
    </row>
    <row r="3190" spans="1:79" s="400" customFormat="1" ht="15" customHeight="1">
      <c r="A3190" s="404" t="s">
        <v>4668</v>
      </c>
      <c r="B3190" s="386" t="s">
        <v>575</v>
      </c>
      <c r="C3190" s="149" t="s">
        <v>576</v>
      </c>
      <c r="D3190" s="392" t="s">
        <v>262</v>
      </c>
      <c r="E3190" s="258" t="s">
        <v>578</v>
      </c>
      <c r="F3190" s="386" t="s">
        <v>1010</v>
      </c>
      <c r="G3190" s="405" t="s">
        <v>579</v>
      </c>
      <c r="H3190" s="404">
        <v>5171</v>
      </c>
      <c r="I3190" s="402" t="s">
        <v>1</v>
      </c>
      <c r="J3190" s="392" t="s">
        <v>81</v>
      </c>
      <c r="K3190" s="403">
        <v>41402</v>
      </c>
      <c r="L3190" s="398">
        <v>41393</v>
      </c>
      <c r="M3190" s="402">
        <f t="shared" ref="M3190:M3249" si="189">K3190-L3190</f>
        <v>9</v>
      </c>
      <c r="N3190" s="402" t="s">
        <v>2</v>
      </c>
      <c r="O3190" s="404">
        <f>5/2</f>
        <v>2.5</v>
      </c>
      <c r="P3190" s="402">
        <v>6.21</v>
      </c>
      <c r="Q3190" s="404">
        <v>6.88</v>
      </c>
      <c r="R3190" s="402">
        <v>55</v>
      </c>
      <c r="S3190" s="404">
        <v>23</v>
      </c>
      <c r="T3190" s="402">
        <f>0.1/2</f>
        <v>0.05</v>
      </c>
      <c r="U3190" s="395">
        <f>1/2</f>
        <v>0.5</v>
      </c>
      <c r="V3190" s="402">
        <v>0.21</v>
      </c>
      <c r="W3190" s="404">
        <f>0.04/2</f>
        <v>0.02</v>
      </c>
      <c r="X3190" s="402">
        <v>0.19</v>
      </c>
      <c r="Y3190" s="404">
        <f>0.013/2</f>
        <v>6.4999999999999997E-3</v>
      </c>
      <c r="Z3190" s="397"/>
      <c r="AA3190" s="399"/>
      <c r="AB3190" s="394"/>
      <c r="AC3190" s="402"/>
      <c r="AD3190" s="399"/>
      <c r="AE3190" s="402"/>
      <c r="AF3190" s="391"/>
      <c r="AG3190" s="394"/>
      <c r="AH3190" s="394"/>
      <c r="AI3190" s="394"/>
      <c r="AJ3190" s="394"/>
      <c r="AK3190" s="394"/>
      <c r="AL3190" s="394"/>
      <c r="AM3190" s="394"/>
      <c r="AN3190" s="394"/>
      <c r="AO3190" s="394"/>
      <c r="AP3190" s="394"/>
      <c r="AQ3190" s="394"/>
      <c r="AR3190" s="394"/>
      <c r="AS3190" s="402"/>
      <c r="AT3190" s="404"/>
      <c r="AU3190" s="394"/>
      <c r="AV3190" s="394"/>
      <c r="AW3190" s="394"/>
      <c r="AX3190" s="5"/>
      <c r="AY3190" s="5"/>
      <c r="AZ3190" s="5"/>
      <c r="BA3190" s="5"/>
      <c r="BB3190" s="5"/>
      <c r="BC3190" s="5"/>
      <c r="BD3190" s="5"/>
      <c r="BE3190" s="5"/>
      <c r="BF3190" s="5"/>
      <c r="BG3190" s="5"/>
      <c r="BH3190" s="5"/>
      <c r="BI3190" s="5"/>
      <c r="BJ3190" s="5"/>
      <c r="BK3190" s="5"/>
      <c r="BL3190" s="5"/>
      <c r="BM3190" s="5"/>
      <c r="BN3190" s="5"/>
      <c r="BO3190" s="5"/>
      <c r="BP3190" s="5"/>
      <c r="BQ3190" s="5"/>
      <c r="BR3190" s="5"/>
      <c r="BS3190" s="5"/>
      <c r="BT3190" s="5"/>
      <c r="BU3190" s="5"/>
      <c r="BV3190" s="5"/>
      <c r="BW3190" s="5"/>
      <c r="BX3190" s="5"/>
      <c r="BY3190" s="5"/>
      <c r="BZ3190" s="5"/>
      <c r="CA3190" s="5"/>
    </row>
    <row r="3191" spans="1:79" s="400" customFormat="1" ht="15" customHeight="1">
      <c r="A3191" s="404" t="s">
        <v>4668</v>
      </c>
      <c r="B3191" s="386" t="s">
        <v>575</v>
      </c>
      <c r="C3191" s="149" t="s">
        <v>576</v>
      </c>
      <c r="D3191" s="392" t="s">
        <v>262</v>
      </c>
      <c r="E3191" s="258" t="s">
        <v>578</v>
      </c>
      <c r="F3191" s="386" t="s">
        <v>1010</v>
      </c>
      <c r="G3191" s="405" t="s">
        <v>579</v>
      </c>
      <c r="H3191" s="404">
        <v>5171</v>
      </c>
      <c r="I3191" s="402" t="s">
        <v>1</v>
      </c>
      <c r="J3191" s="392" t="s">
        <v>81</v>
      </c>
      <c r="K3191" s="403">
        <v>41072</v>
      </c>
      <c r="L3191" s="398">
        <v>41067</v>
      </c>
      <c r="M3191" s="402">
        <f t="shared" si="189"/>
        <v>5</v>
      </c>
      <c r="N3191" s="402" t="s">
        <v>2</v>
      </c>
      <c r="O3191" s="404">
        <f>4.1/2</f>
        <v>2.0499999999999998</v>
      </c>
      <c r="P3191" s="402">
        <v>6.6</v>
      </c>
      <c r="Q3191" s="404">
        <v>7.2</v>
      </c>
      <c r="R3191" s="402">
        <v>82.5</v>
      </c>
      <c r="S3191" s="404">
        <v>7</v>
      </c>
      <c r="T3191" s="402">
        <f>0.2/2</f>
        <v>0.1</v>
      </c>
      <c r="U3191" s="395">
        <v>1.5</v>
      </c>
      <c r="V3191" s="402">
        <v>1.3</v>
      </c>
      <c r="W3191" s="404">
        <f>0.025/2</f>
        <v>1.2500000000000001E-2</v>
      </c>
      <c r="X3191" s="402">
        <v>0.112</v>
      </c>
      <c r="Y3191" s="404">
        <f>0.005/2</f>
        <v>2.5000000000000001E-3</v>
      </c>
      <c r="Z3191" s="397"/>
      <c r="AA3191" s="399"/>
      <c r="AB3191" s="394"/>
      <c r="AC3191" s="402"/>
      <c r="AD3191" s="399"/>
      <c r="AE3191" s="402"/>
      <c r="AF3191" s="391"/>
      <c r="AG3191" s="394"/>
      <c r="AH3191" s="394"/>
      <c r="AI3191" s="394"/>
      <c r="AJ3191" s="394"/>
      <c r="AK3191" s="394"/>
      <c r="AL3191" s="394"/>
      <c r="AM3191" s="394"/>
      <c r="AN3191" s="394"/>
      <c r="AO3191" s="394"/>
      <c r="AP3191" s="394"/>
      <c r="AQ3191" s="394"/>
      <c r="AR3191" s="394"/>
      <c r="AS3191" s="402"/>
      <c r="AT3191" s="404"/>
      <c r="AU3191" s="394"/>
      <c r="AV3191" s="394"/>
      <c r="AW3191" s="394"/>
      <c r="AX3191" s="5"/>
      <c r="AY3191" s="5"/>
      <c r="AZ3191" s="5"/>
      <c r="BA3191" s="5"/>
      <c r="BB3191" s="5"/>
      <c r="BC3191" s="5"/>
      <c r="BD3191" s="5"/>
      <c r="BE3191" s="5"/>
      <c r="BF3191" s="5"/>
      <c r="BG3191" s="5"/>
      <c r="BH3191" s="5"/>
      <c r="BI3191" s="5"/>
      <c r="BJ3191" s="5"/>
      <c r="BK3191" s="5"/>
      <c r="BL3191" s="5"/>
      <c r="BM3191" s="5"/>
      <c r="BN3191" s="5"/>
      <c r="BO3191" s="5"/>
      <c r="BP3191" s="5"/>
      <c r="BQ3191" s="5"/>
      <c r="BR3191" s="5"/>
      <c r="BS3191" s="5"/>
      <c r="BT3191" s="5"/>
      <c r="BU3191" s="5"/>
      <c r="BV3191" s="5"/>
      <c r="BW3191" s="5"/>
      <c r="BX3191" s="5"/>
      <c r="BY3191" s="5"/>
      <c r="BZ3191" s="5"/>
      <c r="CA3191" s="5"/>
    </row>
    <row r="3192" spans="1:79" s="400" customFormat="1" ht="15" customHeight="1">
      <c r="A3192" s="404" t="s">
        <v>4668</v>
      </c>
      <c r="B3192" s="402" t="s">
        <v>5109</v>
      </c>
      <c r="C3192" s="113" t="s">
        <v>5109</v>
      </c>
      <c r="D3192" s="393" t="s">
        <v>268</v>
      </c>
      <c r="E3192" s="394" t="s">
        <v>269</v>
      </c>
      <c r="F3192" s="402">
        <v>4403</v>
      </c>
      <c r="G3192" s="405" t="s">
        <v>5110</v>
      </c>
      <c r="H3192" s="404">
        <v>3272</v>
      </c>
      <c r="I3192" s="402" t="s">
        <v>1</v>
      </c>
      <c r="J3192" s="406" t="s">
        <v>5108</v>
      </c>
      <c r="K3192" s="403">
        <v>41051</v>
      </c>
      <c r="L3192" s="398">
        <v>41044</v>
      </c>
      <c r="M3192" s="402">
        <f t="shared" si="189"/>
        <v>7</v>
      </c>
      <c r="N3192" s="402" t="s">
        <v>2</v>
      </c>
      <c r="O3192" s="404">
        <f>2.3/2</f>
        <v>1.1499999999999999</v>
      </c>
      <c r="P3192" s="402"/>
      <c r="Q3192" s="404">
        <v>8.5</v>
      </c>
      <c r="R3192" s="402">
        <f>20/2</f>
        <v>10</v>
      </c>
      <c r="S3192" s="404">
        <v>75.400000000000006</v>
      </c>
      <c r="T3192" s="402">
        <v>0.112</v>
      </c>
      <c r="U3192" s="395">
        <v>1.3</v>
      </c>
      <c r="V3192" s="402">
        <f>0.46/2</f>
        <v>0.23</v>
      </c>
      <c r="W3192" s="404">
        <v>6.0000000000000001E-3</v>
      </c>
      <c r="X3192" s="402">
        <v>1.2E-2</v>
      </c>
      <c r="Y3192" s="404">
        <f>0.005/2</f>
        <v>2.5000000000000001E-3</v>
      </c>
      <c r="Z3192" s="397" t="s">
        <v>2667</v>
      </c>
      <c r="AA3192" s="399"/>
      <c r="AB3192" s="394"/>
      <c r="AC3192" s="402"/>
      <c r="AD3192" s="399"/>
      <c r="AE3192" s="402"/>
      <c r="AF3192" s="391"/>
      <c r="AG3192" s="394"/>
      <c r="AH3192" s="394"/>
      <c r="AI3192" s="394"/>
      <c r="AJ3192" s="394"/>
      <c r="AK3192" s="394"/>
      <c r="AL3192" s="394"/>
      <c r="AM3192" s="394"/>
      <c r="AN3192" s="394"/>
      <c r="AO3192" s="394"/>
      <c r="AP3192" s="394"/>
      <c r="AQ3192" s="394"/>
      <c r="AR3192" s="394"/>
      <c r="AS3192" s="402"/>
      <c r="AT3192" s="404"/>
      <c r="AU3192" s="394"/>
      <c r="AV3192" s="394"/>
      <c r="AW3192" s="394"/>
      <c r="AX3192" s="5"/>
      <c r="AY3192" s="5"/>
      <c r="AZ3192" s="5"/>
      <c r="BA3192" s="5"/>
      <c r="BB3192" s="5"/>
      <c r="BC3192" s="5"/>
      <c r="BD3192" s="5"/>
      <c r="BE3192" s="5"/>
      <c r="BF3192" s="5"/>
      <c r="BG3192" s="5"/>
      <c r="BH3192" s="5"/>
      <c r="BI3192" s="5"/>
      <c r="BJ3192" s="5"/>
      <c r="BK3192" s="5"/>
      <c r="BL3192" s="5"/>
      <c r="BM3192" s="5"/>
      <c r="BN3192" s="5"/>
      <c r="BO3192" s="5"/>
      <c r="BP3192" s="5"/>
      <c r="BQ3192" s="5"/>
      <c r="BR3192" s="5"/>
      <c r="BS3192" s="5"/>
      <c r="BT3192" s="5"/>
      <c r="BU3192" s="5"/>
      <c r="BV3192" s="5"/>
      <c r="BW3192" s="5"/>
      <c r="BX3192" s="5"/>
      <c r="BY3192" s="5"/>
      <c r="BZ3192" s="5"/>
      <c r="CA3192" s="5"/>
    </row>
    <row r="3193" spans="1:79" s="400" customFormat="1" ht="15" customHeight="1">
      <c r="A3193" s="404" t="s">
        <v>4668</v>
      </c>
      <c r="B3193" s="402" t="s">
        <v>1397</v>
      </c>
      <c r="C3193" s="113" t="s">
        <v>1397</v>
      </c>
      <c r="D3193" s="393" t="s">
        <v>379</v>
      </c>
      <c r="E3193" s="394" t="s">
        <v>1398</v>
      </c>
      <c r="F3193" s="402"/>
      <c r="G3193" s="405" t="s">
        <v>1399</v>
      </c>
      <c r="H3193" s="404">
        <v>39</v>
      </c>
      <c r="I3193" s="402" t="s">
        <v>2</v>
      </c>
      <c r="J3193" s="393" t="s">
        <v>1401</v>
      </c>
      <c r="K3193" s="403">
        <v>41170</v>
      </c>
      <c r="L3193" s="398">
        <v>41161</v>
      </c>
      <c r="M3193" s="402">
        <f t="shared" si="189"/>
        <v>9</v>
      </c>
      <c r="N3193" s="402" t="s">
        <v>2</v>
      </c>
      <c r="O3193" s="404">
        <f>1.4/2</f>
        <v>0.7</v>
      </c>
      <c r="P3193" s="402">
        <v>6.2</v>
      </c>
      <c r="Q3193" s="404">
        <v>6.09</v>
      </c>
      <c r="R3193" s="402">
        <v>87</v>
      </c>
      <c r="S3193" s="404">
        <v>56</v>
      </c>
      <c r="T3193" s="402">
        <v>0.13</v>
      </c>
      <c r="U3193" s="395">
        <v>1.61</v>
      </c>
      <c r="V3193" s="402">
        <v>0.6</v>
      </c>
      <c r="W3193" s="404">
        <v>1.2999999999999999E-2</v>
      </c>
      <c r="X3193" s="402">
        <v>0.17399999999999999</v>
      </c>
      <c r="Y3193" s="404">
        <v>6.0000000000000001E-3</v>
      </c>
      <c r="Z3193" s="397">
        <v>1</v>
      </c>
      <c r="AA3193" s="399">
        <v>1</v>
      </c>
      <c r="AB3193" s="394">
        <v>6</v>
      </c>
      <c r="AC3193" s="402">
        <v>22</v>
      </c>
      <c r="AD3193" s="399">
        <v>1</v>
      </c>
      <c r="AE3193" s="402"/>
      <c r="AF3193" s="391"/>
      <c r="AG3193" s="394"/>
      <c r="AH3193" s="394"/>
      <c r="AI3193" s="394"/>
      <c r="AJ3193" s="394"/>
      <c r="AK3193" s="394"/>
      <c r="AL3193" s="394"/>
      <c r="AM3193" s="394"/>
      <c r="AN3193" s="394"/>
      <c r="AO3193" s="394"/>
      <c r="AP3193" s="394"/>
      <c r="AQ3193" s="394"/>
      <c r="AR3193" s="394"/>
      <c r="AS3193" s="402"/>
      <c r="AT3193" s="404"/>
      <c r="AU3193" s="394"/>
      <c r="AV3193" s="394"/>
      <c r="AW3193" s="394"/>
      <c r="AX3193" s="5"/>
      <c r="AY3193" s="5"/>
      <c r="AZ3193" s="5"/>
      <c r="BA3193" s="5"/>
      <c r="BB3193" s="5"/>
      <c r="BC3193" s="5"/>
      <c r="BD3193" s="5"/>
      <c r="BE3193" s="5"/>
      <c r="BF3193" s="5"/>
      <c r="BG3193" s="5"/>
      <c r="BH3193" s="5"/>
      <c r="BI3193" s="5"/>
      <c r="BJ3193" s="5"/>
      <c r="BK3193" s="5"/>
      <c r="BL3193" s="5"/>
      <c r="BM3193" s="5"/>
      <c r="BN3193" s="5"/>
      <c r="BO3193" s="5"/>
      <c r="BP3193" s="5"/>
      <c r="BQ3193" s="5"/>
      <c r="BR3193" s="5"/>
      <c r="BS3193" s="5"/>
      <c r="BT3193" s="5"/>
      <c r="BU3193" s="5"/>
      <c r="BV3193" s="5"/>
      <c r="BW3193" s="5"/>
      <c r="BX3193" s="5"/>
      <c r="BY3193" s="5"/>
      <c r="BZ3193" s="5"/>
      <c r="CA3193" s="5"/>
    </row>
    <row r="3194" spans="1:79" s="400" customFormat="1" ht="15" customHeight="1">
      <c r="A3194" s="404" t="s">
        <v>4668</v>
      </c>
      <c r="B3194" s="402" t="s">
        <v>1397</v>
      </c>
      <c r="C3194" s="113" t="s">
        <v>1397</v>
      </c>
      <c r="D3194" s="393" t="s">
        <v>379</v>
      </c>
      <c r="E3194" s="394" t="s">
        <v>1398</v>
      </c>
      <c r="F3194" s="402"/>
      <c r="G3194" s="405" t="s">
        <v>1399</v>
      </c>
      <c r="H3194" s="404">
        <v>39</v>
      </c>
      <c r="I3194" s="402" t="s">
        <v>2</v>
      </c>
      <c r="J3194" s="393" t="s">
        <v>1400</v>
      </c>
      <c r="K3194" s="403">
        <v>41170</v>
      </c>
      <c r="L3194" s="398">
        <v>41161</v>
      </c>
      <c r="M3194" s="402">
        <f t="shared" si="189"/>
        <v>9</v>
      </c>
      <c r="N3194" s="402" t="s">
        <v>2</v>
      </c>
      <c r="O3194" s="404">
        <v>6.9</v>
      </c>
      <c r="P3194" s="402">
        <v>6.43</v>
      </c>
      <c r="Q3194" s="404">
        <v>6.46</v>
      </c>
      <c r="R3194" s="402">
        <v>200</v>
      </c>
      <c r="S3194" s="404">
        <v>84</v>
      </c>
      <c r="T3194" s="402">
        <v>0.27</v>
      </c>
      <c r="U3194" s="395">
        <v>2.64</v>
      </c>
      <c r="V3194" s="402">
        <v>0.73</v>
      </c>
      <c r="W3194" s="404">
        <v>2.5999999999999999E-2</v>
      </c>
      <c r="X3194" s="402">
        <v>0.35899999999999999</v>
      </c>
      <c r="Y3194" s="404">
        <v>1.0999999999999999E-2</v>
      </c>
      <c r="Z3194" s="397">
        <v>1</v>
      </c>
      <c r="AA3194" s="399">
        <v>1</v>
      </c>
      <c r="AB3194" s="394">
        <v>14</v>
      </c>
      <c r="AC3194" s="402">
        <v>55</v>
      </c>
      <c r="AD3194" s="399">
        <v>1</v>
      </c>
      <c r="AE3194" s="402"/>
      <c r="AF3194" s="391"/>
      <c r="AG3194" s="394"/>
      <c r="AH3194" s="394"/>
      <c r="AI3194" s="394"/>
      <c r="AJ3194" s="394"/>
      <c r="AK3194" s="394"/>
      <c r="AL3194" s="394"/>
      <c r="AM3194" s="394"/>
      <c r="AN3194" s="394"/>
      <c r="AO3194" s="394"/>
      <c r="AP3194" s="394"/>
      <c r="AQ3194" s="394"/>
      <c r="AR3194" s="394"/>
      <c r="AS3194" s="402"/>
      <c r="AT3194" s="404"/>
      <c r="AU3194" s="394"/>
      <c r="AV3194" s="394"/>
      <c r="AW3194" s="394"/>
      <c r="AX3194" s="5"/>
      <c r="AY3194" s="5"/>
      <c r="AZ3194" s="5"/>
      <c r="BA3194" s="5"/>
      <c r="BB3194" s="5"/>
      <c r="BC3194" s="5"/>
      <c r="BD3194" s="5"/>
      <c r="BE3194" s="5"/>
      <c r="BF3194" s="5"/>
      <c r="BG3194" s="5"/>
      <c r="BH3194" s="5"/>
      <c r="BI3194" s="5"/>
      <c r="BJ3194" s="5"/>
      <c r="BK3194" s="5"/>
      <c r="BL3194" s="5"/>
      <c r="BM3194" s="5"/>
      <c r="BN3194" s="5"/>
      <c r="BO3194" s="5"/>
      <c r="BP3194" s="5"/>
      <c r="BQ3194" s="5"/>
      <c r="BR3194" s="5"/>
      <c r="BS3194" s="5"/>
      <c r="BT3194" s="5"/>
      <c r="BU3194" s="5"/>
      <c r="BV3194" s="5"/>
      <c r="BW3194" s="5"/>
      <c r="BX3194" s="5"/>
      <c r="BY3194" s="5"/>
      <c r="BZ3194" s="5"/>
      <c r="CA3194" s="5"/>
    </row>
    <row r="3195" spans="1:79" s="400" customFormat="1" ht="15" customHeight="1">
      <c r="A3195" s="41" t="s">
        <v>183</v>
      </c>
      <c r="B3195" s="402" t="s">
        <v>1834</v>
      </c>
      <c r="C3195" s="113" t="s">
        <v>1834</v>
      </c>
      <c r="D3195" s="393" t="s">
        <v>379</v>
      </c>
      <c r="E3195" s="394" t="s">
        <v>214</v>
      </c>
      <c r="F3195" s="402">
        <v>4315</v>
      </c>
      <c r="G3195" s="405" t="s">
        <v>1802</v>
      </c>
      <c r="H3195" s="404">
        <v>3441</v>
      </c>
      <c r="I3195" s="402" t="s">
        <v>2</v>
      </c>
      <c r="J3195" s="260" t="s">
        <v>1803</v>
      </c>
      <c r="K3195" s="403">
        <v>41105</v>
      </c>
      <c r="L3195" s="398">
        <v>41091</v>
      </c>
      <c r="M3195" s="402">
        <f t="shared" si="189"/>
        <v>14</v>
      </c>
      <c r="N3195" s="402" t="s">
        <v>2</v>
      </c>
      <c r="O3195" s="404">
        <f>1.8/2</f>
        <v>0.9</v>
      </c>
      <c r="P3195" s="402"/>
      <c r="Q3195" s="404">
        <v>7.1</v>
      </c>
      <c r="R3195" s="402">
        <f>20/2</f>
        <v>10</v>
      </c>
      <c r="S3195" s="404">
        <v>3.4</v>
      </c>
      <c r="T3195" s="402">
        <v>1.2999999999999999E-2</v>
      </c>
      <c r="U3195" s="395">
        <f>1/2</f>
        <v>0.5</v>
      </c>
      <c r="V3195" s="402">
        <v>1.21</v>
      </c>
      <c r="W3195" s="404">
        <f>0.005/2</f>
        <v>2.5000000000000001E-3</v>
      </c>
      <c r="X3195" s="402">
        <v>0.19</v>
      </c>
      <c r="Y3195" s="404">
        <f>0.005/2</f>
        <v>2.5000000000000001E-3</v>
      </c>
      <c r="Z3195" s="397">
        <v>1</v>
      </c>
      <c r="AA3195" s="399">
        <v>1</v>
      </c>
      <c r="AB3195" s="394">
        <v>70</v>
      </c>
      <c r="AC3195" s="402">
        <v>294</v>
      </c>
      <c r="AD3195" s="399">
        <v>0.65</v>
      </c>
      <c r="AE3195" s="402"/>
      <c r="AF3195" s="391"/>
      <c r="AG3195" s="394"/>
      <c r="AH3195" s="394"/>
      <c r="AI3195" s="394"/>
      <c r="AJ3195" s="394"/>
      <c r="AK3195" s="394"/>
      <c r="AL3195" s="394"/>
      <c r="AM3195" s="394"/>
      <c r="AN3195" s="394"/>
      <c r="AO3195" s="394"/>
      <c r="AP3195" s="394"/>
      <c r="AQ3195" s="394"/>
      <c r="AR3195" s="394"/>
      <c r="AS3195" s="402"/>
      <c r="AT3195" s="404"/>
      <c r="AU3195" s="394"/>
      <c r="AV3195" s="394"/>
      <c r="AW3195" s="394"/>
      <c r="AX3195" s="5"/>
      <c r="AY3195" s="5"/>
      <c r="AZ3195" s="5"/>
      <c r="BA3195" s="5"/>
      <c r="BB3195" s="5"/>
      <c r="BC3195" s="5"/>
      <c r="BD3195" s="5"/>
      <c r="BE3195" s="5"/>
      <c r="BF3195" s="5"/>
      <c r="BG3195" s="5"/>
      <c r="BH3195" s="5"/>
      <c r="BI3195" s="5"/>
      <c r="BJ3195" s="5"/>
      <c r="BK3195" s="5"/>
      <c r="BL3195" s="5"/>
      <c r="BM3195" s="5"/>
      <c r="BN3195" s="5"/>
      <c r="BO3195" s="5"/>
      <c r="BP3195" s="5"/>
      <c r="BQ3195" s="5"/>
      <c r="BR3195" s="5"/>
      <c r="BS3195" s="5"/>
      <c r="BT3195" s="5"/>
      <c r="BU3195" s="5"/>
      <c r="BV3195" s="5"/>
      <c r="BW3195" s="5"/>
      <c r="BX3195" s="5"/>
      <c r="BY3195" s="5"/>
      <c r="BZ3195" s="5"/>
      <c r="CA3195" s="5"/>
    </row>
    <row r="3196" spans="1:79" s="400" customFormat="1" ht="15" customHeight="1">
      <c r="A3196" s="41" t="s">
        <v>183</v>
      </c>
      <c r="B3196" s="402" t="s">
        <v>1074</v>
      </c>
      <c r="C3196" s="113" t="s">
        <v>1074</v>
      </c>
      <c r="D3196" s="393" t="s">
        <v>2375</v>
      </c>
      <c r="E3196" s="394" t="s">
        <v>128</v>
      </c>
      <c r="F3196" s="402">
        <v>7105</v>
      </c>
      <c r="G3196" s="405" t="s">
        <v>1075</v>
      </c>
      <c r="H3196" s="404">
        <v>3479</v>
      </c>
      <c r="I3196" s="402" t="s">
        <v>2</v>
      </c>
      <c r="J3196" s="404" t="s">
        <v>1076</v>
      </c>
      <c r="K3196" s="403">
        <v>41211</v>
      </c>
      <c r="L3196" s="398">
        <v>41201</v>
      </c>
      <c r="M3196" s="402">
        <f t="shared" si="189"/>
        <v>10</v>
      </c>
      <c r="N3196" s="402" t="s">
        <v>2</v>
      </c>
      <c r="O3196" s="404">
        <f>1.8/2</f>
        <v>0.9</v>
      </c>
      <c r="P3196" s="402">
        <v>5.0999999999999996</v>
      </c>
      <c r="Q3196" s="404">
        <v>5.3</v>
      </c>
      <c r="R3196" s="402">
        <v>31</v>
      </c>
      <c r="S3196" s="404">
        <v>41.2</v>
      </c>
      <c r="T3196" s="402">
        <v>0.20799999999999999</v>
      </c>
      <c r="U3196" s="395">
        <v>1.2</v>
      </c>
      <c r="V3196" s="402">
        <f>0.46/2</f>
        <v>0.23</v>
      </c>
      <c r="W3196" s="404">
        <f>0.005/2</f>
        <v>2.5000000000000001E-3</v>
      </c>
      <c r="X3196" s="402">
        <v>5.5E-2</v>
      </c>
      <c r="Y3196" s="404">
        <f>0.005/2</f>
        <v>2.5000000000000001E-3</v>
      </c>
      <c r="Z3196" s="397"/>
      <c r="AA3196" s="399"/>
      <c r="AB3196" s="394"/>
      <c r="AC3196" s="402"/>
      <c r="AD3196" s="399"/>
      <c r="AE3196" s="402"/>
      <c r="AF3196" s="391"/>
      <c r="AG3196" s="394"/>
      <c r="AH3196" s="394"/>
      <c r="AI3196" s="394"/>
      <c r="AJ3196" s="394"/>
      <c r="AK3196" s="394"/>
      <c r="AL3196" s="394"/>
      <c r="AM3196" s="394"/>
      <c r="AN3196" s="394"/>
      <c r="AO3196" s="394"/>
      <c r="AP3196" s="394"/>
      <c r="AQ3196" s="394"/>
      <c r="AR3196" s="394"/>
      <c r="AS3196" s="402"/>
      <c r="AT3196" s="404"/>
      <c r="AU3196" s="394"/>
      <c r="AV3196" s="394"/>
      <c r="AW3196" s="394"/>
      <c r="AX3196" s="5"/>
      <c r="AY3196" s="5"/>
      <c r="AZ3196" s="5"/>
      <c r="BA3196" s="5"/>
      <c r="BB3196" s="5"/>
      <c r="BC3196" s="5"/>
      <c r="BD3196" s="5"/>
      <c r="BE3196" s="5"/>
      <c r="BF3196" s="5"/>
      <c r="BG3196" s="5"/>
      <c r="BH3196" s="5"/>
      <c r="BI3196" s="5"/>
      <c r="BJ3196" s="5"/>
      <c r="BK3196" s="5"/>
      <c r="BL3196" s="5"/>
      <c r="BM3196" s="5"/>
      <c r="BN3196" s="5"/>
      <c r="BO3196" s="5"/>
      <c r="BP3196" s="5"/>
      <c r="BQ3196" s="5"/>
      <c r="BR3196" s="5"/>
      <c r="BS3196" s="5"/>
      <c r="BT3196" s="5"/>
      <c r="BU3196" s="5"/>
      <c r="BV3196" s="5"/>
      <c r="BW3196" s="5"/>
      <c r="BX3196" s="5"/>
      <c r="BY3196" s="5"/>
      <c r="BZ3196" s="5"/>
      <c r="CA3196" s="5"/>
    </row>
    <row r="3197" spans="1:79" s="400" customFormat="1" ht="15" customHeight="1">
      <c r="A3197" s="41" t="s">
        <v>183</v>
      </c>
      <c r="B3197" s="402" t="s">
        <v>3727</v>
      </c>
      <c r="C3197" s="113" t="s">
        <v>3727</v>
      </c>
      <c r="D3197" s="393" t="s">
        <v>195</v>
      </c>
      <c r="E3197" s="394" t="s">
        <v>112</v>
      </c>
      <c r="F3197" s="402"/>
      <c r="G3197" s="405" t="s">
        <v>3728</v>
      </c>
      <c r="H3197" s="404">
        <v>4226</v>
      </c>
      <c r="I3197" s="402" t="s">
        <v>1</v>
      </c>
      <c r="J3197" s="406" t="s">
        <v>255</v>
      </c>
      <c r="K3197" s="403">
        <v>41332</v>
      </c>
      <c r="L3197" s="398">
        <v>41328</v>
      </c>
      <c r="M3197" s="402">
        <f t="shared" si="189"/>
        <v>4</v>
      </c>
      <c r="N3197" s="402" t="s">
        <v>1</v>
      </c>
      <c r="O3197" s="404">
        <f>1.4/2</f>
        <v>0.7</v>
      </c>
      <c r="P3197" s="402">
        <v>7.01</v>
      </c>
      <c r="Q3197" s="404">
        <v>7.04</v>
      </c>
      <c r="R3197" s="402">
        <f>10/2</f>
        <v>5</v>
      </c>
      <c r="S3197" s="404">
        <v>19</v>
      </c>
      <c r="T3197" s="402">
        <v>7.0000000000000007E-2</v>
      </c>
      <c r="U3197" s="395">
        <v>0.19</v>
      </c>
      <c r="V3197" s="402">
        <v>0.06</v>
      </c>
      <c r="W3197" s="404">
        <v>8.9999999999999993E-3</v>
      </c>
      <c r="X3197" s="402">
        <v>3.5999999999999997E-2</v>
      </c>
      <c r="Y3197" s="404">
        <v>7.0000000000000001E-3</v>
      </c>
      <c r="Z3197" s="397">
        <v>1</v>
      </c>
      <c r="AA3197" s="399">
        <v>1</v>
      </c>
      <c r="AB3197" s="394">
        <v>6</v>
      </c>
      <c r="AC3197" s="402">
        <v>18</v>
      </c>
      <c r="AD3197" s="399">
        <v>1</v>
      </c>
      <c r="AE3197" s="402"/>
      <c r="AF3197" s="391"/>
      <c r="AG3197" s="394">
        <v>3.2</v>
      </c>
      <c r="AH3197" s="394"/>
      <c r="AI3197" s="394"/>
      <c r="AJ3197" s="394"/>
      <c r="AK3197" s="394"/>
      <c r="AL3197" s="394"/>
      <c r="AM3197" s="394"/>
      <c r="AN3197" s="394"/>
      <c r="AO3197" s="394"/>
      <c r="AP3197" s="394"/>
      <c r="AQ3197" s="394"/>
      <c r="AR3197" s="394"/>
      <c r="AS3197" s="402"/>
      <c r="AT3197" s="404"/>
      <c r="AU3197" s="394"/>
      <c r="AV3197" s="394"/>
      <c r="AW3197" s="394"/>
      <c r="AX3197" s="5"/>
      <c r="AY3197" s="5"/>
      <c r="AZ3197" s="5"/>
      <c r="BA3197" s="5"/>
      <c r="BB3197" s="5"/>
      <c r="BC3197" s="5"/>
      <c r="BD3197" s="5"/>
      <c r="BE3197" s="5"/>
      <c r="BF3197" s="5"/>
      <c r="BG3197" s="5"/>
      <c r="BH3197" s="5"/>
      <c r="BI3197" s="5"/>
      <c r="BJ3197" s="5"/>
      <c r="BK3197" s="5"/>
      <c r="BL3197" s="5"/>
      <c r="BM3197" s="5"/>
      <c r="BN3197" s="5"/>
      <c r="BO3197" s="5"/>
      <c r="BP3197" s="5"/>
      <c r="BQ3197" s="5"/>
      <c r="BR3197" s="5"/>
      <c r="BS3197" s="5"/>
      <c r="BT3197" s="5"/>
      <c r="BU3197" s="5"/>
      <c r="BV3197" s="5"/>
      <c r="BW3197" s="5"/>
      <c r="BX3197" s="5"/>
      <c r="BY3197" s="5"/>
      <c r="BZ3197" s="5"/>
      <c r="CA3197" s="5"/>
    </row>
    <row r="3198" spans="1:79" s="400" customFormat="1" ht="15" customHeight="1">
      <c r="A3198" s="41" t="s">
        <v>183</v>
      </c>
      <c r="B3198" s="402" t="s">
        <v>3727</v>
      </c>
      <c r="C3198" s="113" t="s">
        <v>3727</v>
      </c>
      <c r="D3198" s="393" t="s">
        <v>195</v>
      </c>
      <c r="E3198" s="394" t="s">
        <v>112</v>
      </c>
      <c r="F3198" s="402"/>
      <c r="G3198" s="405" t="s">
        <v>3728</v>
      </c>
      <c r="H3198" s="404">
        <v>4226</v>
      </c>
      <c r="I3198" s="402" t="s">
        <v>1</v>
      </c>
      <c r="J3198" s="406" t="s">
        <v>96</v>
      </c>
      <c r="K3198" s="403">
        <v>41332</v>
      </c>
      <c r="L3198" s="398">
        <v>41328</v>
      </c>
      <c r="M3198" s="402">
        <f t="shared" si="189"/>
        <v>4</v>
      </c>
      <c r="N3198" s="402" t="s">
        <v>1</v>
      </c>
      <c r="O3198" s="404">
        <f>1.4/2</f>
        <v>0.7</v>
      </c>
      <c r="P3198" s="402">
        <v>6.46</v>
      </c>
      <c r="Q3198" s="404">
        <v>7.03</v>
      </c>
      <c r="R3198" s="402">
        <f>10/2</f>
        <v>5</v>
      </c>
      <c r="S3198" s="404">
        <v>26</v>
      </c>
      <c r="T3198" s="402">
        <v>0.12</v>
      </c>
      <c r="U3198" s="395">
        <v>0.25</v>
      </c>
      <c r="V3198" s="402">
        <v>7.0000000000000007E-2</v>
      </c>
      <c r="W3198" s="404">
        <v>1.0999999999999999E-2</v>
      </c>
      <c r="X3198" s="402">
        <v>1.7000000000000001E-2</v>
      </c>
      <c r="Y3198" s="404">
        <v>7.0000000000000001E-3</v>
      </c>
      <c r="Z3198" s="397">
        <v>1</v>
      </c>
      <c r="AA3198" s="399">
        <v>1</v>
      </c>
      <c r="AB3198" s="394">
        <v>16</v>
      </c>
      <c r="AC3198" s="402">
        <v>28</v>
      </c>
      <c r="AD3198" s="399">
        <v>1</v>
      </c>
      <c r="AE3198" s="402"/>
      <c r="AF3198" s="391"/>
      <c r="AG3198" s="394">
        <v>0.42</v>
      </c>
      <c r="AH3198" s="394"/>
      <c r="AI3198" s="394"/>
      <c r="AJ3198" s="394"/>
      <c r="AK3198" s="394"/>
      <c r="AL3198" s="394"/>
      <c r="AM3198" s="394"/>
      <c r="AN3198" s="394"/>
      <c r="AO3198" s="394"/>
      <c r="AP3198" s="394"/>
      <c r="AQ3198" s="394"/>
      <c r="AR3198" s="394"/>
      <c r="AS3198" s="402"/>
      <c r="AT3198" s="404"/>
      <c r="AU3198" s="394"/>
      <c r="AV3198" s="394"/>
      <c r="AW3198" s="394"/>
      <c r="AX3198" s="5"/>
      <c r="AY3198" s="5"/>
      <c r="AZ3198" s="5"/>
      <c r="BA3198" s="5"/>
      <c r="BB3198" s="5"/>
      <c r="BC3198" s="5"/>
      <c r="BD3198" s="5"/>
      <c r="BE3198" s="5"/>
      <c r="BF3198" s="5"/>
      <c r="BG3198" s="5"/>
      <c r="BH3198" s="5"/>
      <c r="BI3198" s="5"/>
      <c r="BJ3198" s="5"/>
      <c r="BK3198" s="5"/>
      <c r="BL3198" s="5"/>
      <c r="BM3198" s="5"/>
      <c r="BN3198" s="5"/>
      <c r="BO3198" s="5"/>
      <c r="BP3198" s="5"/>
      <c r="BQ3198" s="5"/>
      <c r="BR3198" s="5"/>
      <c r="BS3198" s="5"/>
      <c r="BT3198" s="5"/>
      <c r="BU3198" s="5"/>
      <c r="BV3198" s="5"/>
      <c r="BW3198" s="5"/>
      <c r="BX3198" s="5"/>
      <c r="BY3198" s="5"/>
      <c r="BZ3198" s="5"/>
      <c r="CA3198" s="5"/>
    </row>
    <row r="3199" spans="1:79" s="400" customFormat="1" ht="15" customHeight="1">
      <c r="A3199" s="41" t="s">
        <v>183</v>
      </c>
      <c r="B3199" s="402" t="s">
        <v>3727</v>
      </c>
      <c r="C3199" s="113" t="s">
        <v>3727</v>
      </c>
      <c r="D3199" s="393" t="s">
        <v>195</v>
      </c>
      <c r="E3199" s="394" t="s">
        <v>112</v>
      </c>
      <c r="F3199" s="402"/>
      <c r="G3199" s="405" t="s">
        <v>3728</v>
      </c>
      <c r="H3199" s="404">
        <v>4226</v>
      </c>
      <c r="I3199" s="402" t="s">
        <v>1</v>
      </c>
      <c r="J3199" s="406" t="s">
        <v>255</v>
      </c>
      <c r="K3199" s="403">
        <v>41324</v>
      </c>
      <c r="L3199" s="398"/>
      <c r="M3199" s="402"/>
      <c r="N3199" s="402" t="s">
        <v>1</v>
      </c>
      <c r="O3199" s="404">
        <f>1.4/2</f>
        <v>0.7</v>
      </c>
      <c r="P3199" s="402">
        <v>7.57</v>
      </c>
      <c r="Q3199" s="404">
        <v>7.58</v>
      </c>
      <c r="R3199" s="402">
        <v>190</v>
      </c>
      <c r="S3199" s="404">
        <v>16</v>
      </c>
      <c r="T3199" s="402">
        <v>0.14000000000000001</v>
      </c>
      <c r="U3199" s="395">
        <v>1.25</v>
      </c>
      <c r="V3199" s="402">
        <v>0.48</v>
      </c>
      <c r="W3199" s="404">
        <f>0.005/2</f>
        <v>2.5000000000000001E-3</v>
      </c>
      <c r="X3199" s="402">
        <v>4.9000000000000002E-2</v>
      </c>
      <c r="Y3199" s="404">
        <v>2E-3</v>
      </c>
      <c r="Z3199" s="397">
        <v>0.70699999999999996</v>
      </c>
      <c r="AA3199" s="399">
        <v>0.70699999999999996</v>
      </c>
      <c r="AB3199" s="394">
        <v>1040</v>
      </c>
      <c r="AC3199" s="402">
        <v>11500</v>
      </c>
      <c r="AD3199" s="399">
        <v>0</v>
      </c>
      <c r="AE3199" s="402"/>
      <c r="AF3199" s="391"/>
      <c r="AG3199" s="394"/>
      <c r="AH3199" s="394"/>
      <c r="AI3199" s="394"/>
      <c r="AJ3199" s="394"/>
      <c r="AK3199" s="394"/>
      <c r="AL3199" s="394"/>
      <c r="AM3199" s="394"/>
      <c r="AN3199" s="394"/>
      <c r="AO3199" s="394"/>
      <c r="AP3199" s="394"/>
      <c r="AQ3199" s="394"/>
      <c r="AR3199" s="394"/>
      <c r="AS3199" s="402"/>
      <c r="AT3199" s="404"/>
      <c r="AU3199" s="394"/>
      <c r="AV3199" s="394"/>
      <c r="AW3199" s="394"/>
      <c r="AX3199" s="5"/>
      <c r="AY3199" s="5"/>
      <c r="AZ3199" s="5"/>
      <c r="BA3199" s="5"/>
      <c r="BB3199" s="5"/>
      <c r="BC3199" s="5"/>
      <c r="BD3199" s="5"/>
      <c r="BE3199" s="5"/>
      <c r="BF3199" s="5"/>
      <c r="BG3199" s="5"/>
      <c r="BH3199" s="5"/>
      <c r="BI3199" s="5"/>
      <c r="BJ3199" s="5"/>
      <c r="BK3199" s="5"/>
      <c r="BL3199" s="5"/>
      <c r="BM3199" s="5"/>
      <c r="BN3199" s="5"/>
      <c r="BO3199" s="5"/>
      <c r="BP3199" s="5"/>
      <c r="BQ3199" s="5"/>
      <c r="BR3199" s="5"/>
      <c r="BS3199" s="5"/>
      <c r="BT3199" s="5"/>
      <c r="BU3199" s="5"/>
      <c r="BV3199" s="5"/>
      <c r="BW3199" s="5"/>
      <c r="BX3199" s="5"/>
      <c r="BY3199" s="5"/>
      <c r="BZ3199" s="5"/>
      <c r="CA3199" s="5"/>
    </row>
    <row r="3200" spans="1:79" s="400" customFormat="1" ht="15" customHeight="1">
      <c r="A3200" s="41" t="s">
        <v>183</v>
      </c>
      <c r="B3200" s="402" t="s">
        <v>1900</v>
      </c>
      <c r="C3200" s="113" t="s">
        <v>1405</v>
      </c>
      <c r="D3200" s="393" t="s">
        <v>314</v>
      </c>
      <c r="E3200" s="394" t="s">
        <v>49</v>
      </c>
      <c r="F3200" s="402"/>
      <c r="G3200" s="405" t="s">
        <v>1407</v>
      </c>
      <c r="H3200" s="404">
        <v>2759</v>
      </c>
      <c r="I3200" s="402" t="s">
        <v>1</v>
      </c>
      <c r="J3200" s="406" t="s">
        <v>81</v>
      </c>
      <c r="K3200" s="403">
        <v>41345</v>
      </c>
      <c r="L3200" s="398">
        <v>41341</v>
      </c>
      <c r="M3200" s="402">
        <f t="shared" si="189"/>
        <v>4</v>
      </c>
      <c r="N3200" s="402" t="s">
        <v>2</v>
      </c>
      <c r="O3200" s="404">
        <v>1.7</v>
      </c>
      <c r="P3200" s="402">
        <v>5.03</v>
      </c>
      <c r="Q3200" s="404">
        <v>6.77</v>
      </c>
      <c r="R3200" s="402">
        <v>66</v>
      </c>
      <c r="S3200" s="404">
        <v>43</v>
      </c>
      <c r="T3200" s="402">
        <v>0.13</v>
      </c>
      <c r="U3200" s="395">
        <v>1.1399999999999999</v>
      </c>
      <c r="V3200" s="402">
        <v>0.31</v>
      </c>
      <c r="W3200" s="404">
        <v>8.0000000000000002E-3</v>
      </c>
      <c r="X3200" s="402">
        <v>0.25600000000000001</v>
      </c>
      <c r="Y3200" s="404">
        <v>5.0000000000000001E-3</v>
      </c>
      <c r="Z3200" s="397"/>
      <c r="AA3200" s="399"/>
      <c r="AB3200" s="394"/>
      <c r="AC3200" s="402"/>
      <c r="AD3200" s="399"/>
      <c r="AE3200" s="402"/>
      <c r="AF3200" s="391"/>
      <c r="AG3200" s="394"/>
      <c r="AH3200" s="394"/>
      <c r="AI3200" s="394"/>
      <c r="AJ3200" s="394"/>
      <c r="AK3200" s="394"/>
      <c r="AL3200" s="394"/>
      <c r="AM3200" s="394"/>
      <c r="AN3200" s="394"/>
      <c r="AO3200" s="394"/>
      <c r="AP3200" s="394"/>
      <c r="AQ3200" s="394"/>
      <c r="AR3200" s="394"/>
      <c r="AS3200" s="402"/>
      <c r="AT3200" s="404"/>
      <c r="AU3200" s="394"/>
      <c r="AV3200" s="394"/>
      <c r="AW3200" s="394"/>
      <c r="AX3200" s="5"/>
      <c r="AY3200" s="5"/>
      <c r="AZ3200" s="5"/>
      <c r="BA3200" s="5"/>
      <c r="BB3200" s="5"/>
      <c r="BC3200" s="5"/>
      <c r="BD3200" s="5"/>
      <c r="BE3200" s="5"/>
      <c r="BF3200" s="5"/>
      <c r="BG3200" s="5"/>
      <c r="BH3200" s="5"/>
      <c r="BI3200" s="5"/>
      <c r="BJ3200" s="5"/>
      <c r="BK3200" s="5"/>
      <c r="BL3200" s="5"/>
      <c r="BM3200" s="5"/>
      <c r="BN3200" s="5"/>
      <c r="BO3200" s="5"/>
      <c r="BP3200" s="5"/>
      <c r="BQ3200" s="5"/>
      <c r="BR3200" s="5"/>
      <c r="BS3200" s="5"/>
      <c r="BT3200" s="5"/>
      <c r="BU3200" s="5"/>
      <c r="BV3200" s="5"/>
      <c r="BW3200" s="5"/>
      <c r="BX3200" s="5"/>
      <c r="BY3200" s="5"/>
      <c r="BZ3200" s="5"/>
      <c r="CA3200" s="5"/>
    </row>
    <row r="3201" spans="1:79" s="400" customFormat="1" ht="15" customHeight="1">
      <c r="A3201" s="41" t="s">
        <v>183</v>
      </c>
      <c r="B3201" s="402" t="s">
        <v>3727</v>
      </c>
      <c r="C3201" s="113" t="s">
        <v>3727</v>
      </c>
      <c r="D3201" s="393" t="s">
        <v>56</v>
      </c>
      <c r="E3201" s="394" t="s">
        <v>95</v>
      </c>
      <c r="F3201" s="402"/>
      <c r="G3201" s="405" t="s">
        <v>3730</v>
      </c>
      <c r="H3201" s="404">
        <v>4226</v>
      </c>
      <c r="I3201" s="402" t="s">
        <v>1</v>
      </c>
      <c r="J3201" s="401" t="s">
        <v>3144</v>
      </c>
      <c r="K3201" s="403">
        <v>41332</v>
      </c>
      <c r="L3201" s="398">
        <v>41328</v>
      </c>
      <c r="M3201" s="402">
        <f t="shared" si="189"/>
        <v>4</v>
      </c>
      <c r="N3201" s="402" t="s">
        <v>1</v>
      </c>
      <c r="O3201" s="404">
        <f>1.4/2</f>
        <v>0.7</v>
      </c>
      <c r="P3201" s="402">
        <v>6.95</v>
      </c>
      <c r="Q3201" s="404">
        <v>7.05</v>
      </c>
      <c r="R3201" s="402">
        <f>10/2</f>
        <v>5</v>
      </c>
      <c r="S3201" s="404">
        <f>5/2</f>
        <v>2.5</v>
      </c>
      <c r="T3201" s="402">
        <v>0.03</v>
      </c>
      <c r="U3201" s="395">
        <v>0.3</v>
      </c>
      <c r="V3201" s="402">
        <v>0.06</v>
      </c>
      <c r="W3201" s="404">
        <v>6.0000000000000001E-3</v>
      </c>
      <c r="X3201" s="402">
        <v>0.02</v>
      </c>
      <c r="Y3201" s="404">
        <v>3.0000000000000001E-3</v>
      </c>
      <c r="Z3201" s="397">
        <v>1</v>
      </c>
      <c r="AA3201" s="399">
        <v>1</v>
      </c>
      <c r="AB3201" s="394">
        <v>30</v>
      </c>
      <c r="AC3201" s="402">
        <v>263</v>
      </c>
      <c r="AD3201" s="399">
        <v>0.85</v>
      </c>
      <c r="AE3201" s="402"/>
      <c r="AF3201" s="391"/>
      <c r="AG3201" s="394">
        <v>1.4</v>
      </c>
      <c r="AH3201" s="394"/>
      <c r="AI3201" s="394"/>
      <c r="AJ3201" s="394"/>
      <c r="AK3201" s="394"/>
      <c r="AL3201" s="394"/>
      <c r="AM3201" s="394"/>
      <c r="AN3201" s="394"/>
      <c r="AO3201" s="394"/>
      <c r="AP3201" s="394"/>
      <c r="AQ3201" s="394"/>
      <c r="AR3201" s="394"/>
      <c r="AS3201" s="402"/>
      <c r="AT3201" s="404"/>
      <c r="AU3201" s="394"/>
      <c r="AV3201" s="394"/>
      <c r="AW3201" s="394"/>
      <c r="AX3201" s="5"/>
      <c r="AY3201" s="5"/>
      <c r="AZ3201" s="5"/>
      <c r="BA3201" s="5"/>
      <c r="BB3201" s="5"/>
      <c r="BC3201" s="5"/>
      <c r="BD3201" s="5"/>
      <c r="BE3201" s="5"/>
      <c r="BF3201" s="5"/>
      <c r="BG3201" s="5"/>
      <c r="BH3201" s="5"/>
      <c r="BI3201" s="5"/>
      <c r="BJ3201" s="5"/>
      <c r="BK3201" s="5"/>
      <c r="BL3201" s="5"/>
      <c r="BM3201" s="5"/>
      <c r="BN3201" s="5"/>
      <c r="BO3201" s="5"/>
      <c r="BP3201" s="5"/>
      <c r="BQ3201" s="5"/>
      <c r="BR3201" s="5"/>
      <c r="BS3201" s="5"/>
      <c r="BT3201" s="5"/>
      <c r="BU3201" s="5"/>
      <c r="BV3201" s="5"/>
      <c r="BW3201" s="5"/>
      <c r="BX3201" s="5"/>
      <c r="BY3201" s="5"/>
      <c r="BZ3201" s="5"/>
      <c r="CA3201" s="5"/>
    </row>
    <row r="3202" spans="1:79" s="400" customFormat="1" ht="15" customHeight="1">
      <c r="A3202" s="41" t="s">
        <v>183</v>
      </c>
      <c r="B3202" s="402" t="s">
        <v>3727</v>
      </c>
      <c r="C3202" s="113" t="s">
        <v>3727</v>
      </c>
      <c r="D3202" s="393" t="s">
        <v>56</v>
      </c>
      <c r="E3202" s="394" t="s">
        <v>95</v>
      </c>
      <c r="F3202" s="402"/>
      <c r="G3202" s="405" t="s">
        <v>3730</v>
      </c>
      <c r="H3202" s="404">
        <v>4226</v>
      </c>
      <c r="I3202" s="402" t="s">
        <v>1</v>
      </c>
      <c r="J3202" s="401" t="s">
        <v>3145</v>
      </c>
      <c r="K3202" s="403">
        <v>41332</v>
      </c>
      <c r="L3202" s="398">
        <v>41328</v>
      </c>
      <c r="M3202" s="402">
        <f t="shared" si="189"/>
        <v>4</v>
      </c>
      <c r="N3202" s="402" t="s">
        <v>1</v>
      </c>
      <c r="O3202" s="404">
        <f>1.4/2</f>
        <v>0.7</v>
      </c>
      <c r="P3202" s="402">
        <v>7.46</v>
      </c>
      <c r="Q3202" s="404">
        <v>7.27</v>
      </c>
      <c r="R3202" s="402">
        <v>167</v>
      </c>
      <c r="S3202" s="404">
        <v>130</v>
      </c>
      <c r="T3202" s="402">
        <v>0.44</v>
      </c>
      <c r="U3202" s="395">
        <v>1.01</v>
      </c>
      <c r="V3202" s="402">
        <v>0.03</v>
      </c>
      <c r="W3202" s="404">
        <v>9.2999999999999999E-2</v>
      </c>
      <c r="X3202" s="402">
        <v>0.318</v>
      </c>
      <c r="Y3202" s="404">
        <v>5.8999999999999997E-2</v>
      </c>
      <c r="Z3202" s="397">
        <v>1</v>
      </c>
      <c r="AA3202" s="399">
        <v>1</v>
      </c>
      <c r="AB3202" s="394">
        <v>900</v>
      </c>
      <c r="AC3202" s="402">
        <v>3740</v>
      </c>
      <c r="AD3202" s="399">
        <v>0.95</v>
      </c>
      <c r="AE3202" s="402"/>
      <c r="AF3202" s="391"/>
      <c r="AG3202" s="394">
        <v>1.8</v>
      </c>
      <c r="AH3202" s="394"/>
      <c r="AI3202" s="394"/>
      <c r="AJ3202" s="394"/>
      <c r="AK3202" s="394"/>
      <c r="AL3202" s="394"/>
      <c r="AM3202" s="394"/>
      <c r="AN3202" s="394"/>
      <c r="AO3202" s="394"/>
      <c r="AP3202" s="394"/>
      <c r="AQ3202" s="394"/>
      <c r="AR3202" s="394"/>
      <c r="AS3202" s="402"/>
      <c r="AT3202" s="404"/>
      <c r="AU3202" s="394"/>
      <c r="AV3202" s="394"/>
      <c r="AW3202" s="394"/>
      <c r="AX3202" s="5"/>
      <c r="AY3202" s="5"/>
      <c r="AZ3202" s="5"/>
      <c r="BA3202" s="5"/>
      <c r="BB3202" s="5"/>
      <c r="BC3202" s="5"/>
      <c r="BD3202" s="5"/>
      <c r="BE3202" s="5"/>
      <c r="BF3202" s="5"/>
      <c r="BG3202" s="5"/>
      <c r="BH3202" s="5"/>
      <c r="BI3202" s="5"/>
      <c r="BJ3202" s="5"/>
      <c r="BK3202" s="5"/>
      <c r="BL3202" s="5"/>
      <c r="BM3202" s="5"/>
      <c r="BN3202" s="5"/>
      <c r="BO3202" s="5"/>
      <c r="BP3202" s="5"/>
      <c r="BQ3202" s="5"/>
      <c r="BR3202" s="5"/>
      <c r="BS3202" s="5"/>
      <c r="BT3202" s="5"/>
      <c r="BU3202" s="5"/>
      <c r="BV3202" s="5"/>
      <c r="BW3202" s="5"/>
      <c r="BX3202" s="5"/>
      <c r="BY3202" s="5"/>
      <c r="BZ3202" s="5"/>
      <c r="CA3202" s="5"/>
    </row>
    <row r="3203" spans="1:79" s="400" customFormat="1" ht="15" customHeight="1">
      <c r="A3203" s="41" t="s">
        <v>183</v>
      </c>
      <c r="B3203" s="402" t="s">
        <v>3727</v>
      </c>
      <c r="C3203" s="113" t="s">
        <v>3727</v>
      </c>
      <c r="D3203" s="393" t="s">
        <v>56</v>
      </c>
      <c r="E3203" s="394" t="s">
        <v>95</v>
      </c>
      <c r="F3203" s="402"/>
      <c r="G3203" s="405" t="s">
        <v>3730</v>
      </c>
      <c r="H3203" s="404">
        <v>4226</v>
      </c>
      <c r="I3203" s="402" t="s">
        <v>1</v>
      </c>
      <c r="J3203" s="401" t="s">
        <v>3693</v>
      </c>
      <c r="K3203" s="403">
        <v>41332</v>
      </c>
      <c r="L3203" s="398">
        <v>41328</v>
      </c>
      <c r="M3203" s="402">
        <f t="shared" si="189"/>
        <v>4</v>
      </c>
      <c r="N3203" s="402" t="s">
        <v>1</v>
      </c>
      <c r="O3203" s="404">
        <f>1.4/2</f>
        <v>0.7</v>
      </c>
      <c r="P3203" s="402">
        <v>7.54</v>
      </c>
      <c r="Q3203" s="404">
        <v>7.44</v>
      </c>
      <c r="R3203" s="402">
        <v>21</v>
      </c>
      <c r="S3203" s="404">
        <v>72</v>
      </c>
      <c r="T3203" s="402">
        <v>0.15</v>
      </c>
      <c r="U3203" s="395">
        <v>0.37</v>
      </c>
      <c r="V3203" s="402">
        <f>0.01/2</f>
        <v>5.0000000000000001E-3</v>
      </c>
      <c r="W3203" s="404">
        <v>3.6999999999999998E-2</v>
      </c>
      <c r="X3203" s="402">
        <v>5.1999999999999998E-2</v>
      </c>
      <c r="Y3203" s="404">
        <v>2.8000000000000001E-2</v>
      </c>
      <c r="Z3203" s="397">
        <v>1</v>
      </c>
      <c r="AA3203" s="399">
        <v>1</v>
      </c>
      <c r="AB3203" s="394">
        <v>10</v>
      </c>
      <c r="AC3203" s="402">
        <v>79</v>
      </c>
      <c r="AD3203" s="399">
        <v>1</v>
      </c>
      <c r="AE3203" s="402"/>
      <c r="AF3203" s="391"/>
      <c r="AG3203" s="394">
        <v>0.46</v>
      </c>
      <c r="AH3203" s="394"/>
      <c r="AI3203" s="394"/>
      <c r="AJ3203" s="394"/>
      <c r="AK3203" s="394"/>
      <c r="AL3203" s="394"/>
      <c r="AM3203" s="394"/>
      <c r="AN3203" s="394"/>
      <c r="AO3203" s="394"/>
      <c r="AP3203" s="394"/>
      <c r="AQ3203" s="394"/>
      <c r="AR3203" s="394"/>
      <c r="AS3203" s="402"/>
      <c r="AT3203" s="404"/>
      <c r="AU3203" s="394"/>
      <c r="AV3203" s="394"/>
      <c r="AW3203" s="394"/>
      <c r="AX3203" s="5"/>
      <c r="AY3203" s="5"/>
      <c r="AZ3203" s="5"/>
      <c r="BA3203" s="5"/>
      <c r="BB3203" s="5"/>
      <c r="BC3203" s="5"/>
      <c r="BD3203" s="5"/>
      <c r="BE3203" s="5"/>
      <c r="BF3203" s="5"/>
      <c r="BG3203" s="5"/>
      <c r="BH3203" s="5"/>
      <c r="BI3203" s="5"/>
      <c r="BJ3203" s="5"/>
      <c r="BK3203" s="5"/>
      <c r="BL3203" s="5"/>
      <c r="BM3203" s="5"/>
      <c r="BN3203" s="5"/>
      <c r="BO3203" s="5"/>
      <c r="BP3203" s="5"/>
      <c r="BQ3203" s="5"/>
      <c r="BR3203" s="5"/>
      <c r="BS3203" s="5"/>
      <c r="BT3203" s="5"/>
      <c r="BU3203" s="5"/>
      <c r="BV3203" s="5"/>
      <c r="BW3203" s="5"/>
      <c r="BX3203" s="5"/>
      <c r="BY3203" s="5"/>
      <c r="BZ3203" s="5"/>
      <c r="CA3203" s="5"/>
    </row>
    <row r="3204" spans="1:79" s="400" customFormat="1" ht="15" customHeight="1">
      <c r="A3204" s="41" t="s">
        <v>183</v>
      </c>
      <c r="B3204" s="385" t="s">
        <v>4232</v>
      </c>
      <c r="C3204" s="18" t="s">
        <v>4232</v>
      </c>
      <c r="D3204" s="377" t="s">
        <v>56</v>
      </c>
      <c r="E3204" s="20" t="s">
        <v>95</v>
      </c>
      <c r="F3204" s="402"/>
      <c r="G3204" s="405" t="s">
        <v>3731</v>
      </c>
      <c r="H3204" s="404">
        <v>4426</v>
      </c>
      <c r="I3204" s="402" t="s">
        <v>1</v>
      </c>
      <c r="J3204" s="344" t="s">
        <v>74</v>
      </c>
      <c r="K3204" s="403">
        <v>41324</v>
      </c>
      <c r="L3204" s="398">
        <v>41316</v>
      </c>
      <c r="M3204" s="402">
        <f t="shared" si="189"/>
        <v>8</v>
      </c>
      <c r="N3204" s="402" t="s">
        <v>1</v>
      </c>
      <c r="O3204" s="404">
        <f>1.4/2</f>
        <v>0.7</v>
      </c>
      <c r="P3204" s="402">
        <v>7.62</v>
      </c>
      <c r="Q3204" s="404">
        <v>7.63</v>
      </c>
      <c r="R3204" s="402">
        <v>32</v>
      </c>
      <c r="S3204" s="404">
        <v>6.5</v>
      </c>
      <c r="T3204" s="402">
        <v>0.06</v>
      </c>
      <c r="U3204" s="395">
        <v>0.53</v>
      </c>
      <c r="V3204" s="402">
        <v>0.15</v>
      </c>
      <c r="W3204" s="404">
        <f>0.005/2</f>
        <v>2.5000000000000001E-3</v>
      </c>
      <c r="X3204" s="402">
        <v>6.6000000000000003E-2</v>
      </c>
      <c r="Y3204" s="404">
        <v>4.0000000000000001E-3</v>
      </c>
      <c r="Z3204" s="397">
        <v>1</v>
      </c>
      <c r="AA3204" s="399">
        <v>1</v>
      </c>
      <c r="AB3204" s="394">
        <v>38</v>
      </c>
      <c r="AC3204" s="402">
        <v>610</v>
      </c>
      <c r="AD3204" s="399">
        <v>1</v>
      </c>
      <c r="AE3204" s="402"/>
      <c r="AF3204" s="391"/>
      <c r="AG3204" s="394"/>
      <c r="AH3204" s="394"/>
      <c r="AI3204" s="394"/>
      <c r="AJ3204" s="394"/>
      <c r="AK3204" s="394"/>
      <c r="AL3204" s="394"/>
      <c r="AM3204" s="394"/>
      <c r="AN3204" s="394"/>
      <c r="AO3204" s="394"/>
      <c r="AP3204" s="394"/>
      <c r="AQ3204" s="394"/>
      <c r="AR3204" s="394"/>
      <c r="AS3204" s="402"/>
      <c r="AT3204" s="404"/>
      <c r="AU3204" s="394"/>
      <c r="AV3204" s="394"/>
      <c r="AW3204" s="394"/>
      <c r="AX3204" s="5"/>
      <c r="AY3204" s="5"/>
      <c r="AZ3204" s="5"/>
      <c r="BA3204" s="5"/>
      <c r="BB3204" s="5"/>
      <c r="BC3204" s="5"/>
      <c r="BD3204" s="5"/>
      <c r="BE3204" s="5"/>
      <c r="BF3204" s="5"/>
      <c r="BG3204" s="5"/>
      <c r="BH3204" s="5"/>
      <c r="BI3204" s="5"/>
      <c r="BJ3204" s="5"/>
      <c r="BK3204" s="5"/>
      <c r="BL3204" s="5"/>
      <c r="BM3204" s="5"/>
      <c r="BN3204" s="5"/>
      <c r="BO3204" s="5"/>
      <c r="BP3204" s="5"/>
      <c r="BQ3204" s="5"/>
      <c r="BR3204" s="5"/>
      <c r="BS3204" s="5"/>
      <c r="BT3204" s="5"/>
      <c r="BU3204" s="5"/>
      <c r="BV3204" s="5"/>
      <c r="BW3204" s="5"/>
      <c r="BX3204" s="5"/>
      <c r="BY3204" s="5"/>
      <c r="BZ3204" s="5"/>
      <c r="CA3204" s="5"/>
    </row>
    <row r="3205" spans="1:79" s="400" customFormat="1" ht="15" customHeight="1">
      <c r="A3205" s="404" t="s">
        <v>4668</v>
      </c>
      <c r="B3205" s="402" t="s">
        <v>3727</v>
      </c>
      <c r="C3205" s="113" t="s">
        <v>3727</v>
      </c>
      <c r="D3205" s="393" t="s">
        <v>56</v>
      </c>
      <c r="E3205" s="394" t="s">
        <v>112</v>
      </c>
      <c r="F3205" s="402"/>
      <c r="G3205" s="405" t="s">
        <v>3729</v>
      </c>
      <c r="H3205" s="404">
        <v>4226</v>
      </c>
      <c r="I3205" s="402" t="s">
        <v>1</v>
      </c>
      <c r="J3205" s="401" t="s">
        <v>3144</v>
      </c>
      <c r="K3205" s="403">
        <v>40996</v>
      </c>
      <c r="L3205" s="398">
        <v>40971</v>
      </c>
      <c r="M3205" s="402">
        <f t="shared" si="189"/>
        <v>25</v>
      </c>
      <c r="N3205" s="402" t="s">
        <v>2</v>
      </c>
      <c r="O3205" s="404">
        <v>2.8</v>
      </c>
      <c r="P3205" s="402">
        <v>6.5</v>
      </c>
      <c r="Q3205" s="404">
        <v>6.77</v>
      </c>
      <c r="R3205" s="402">
        <f>10/2</f>
        <v>5</v>
      </c>
      <c r="S3205" s="404">
        <v>210</v>
      </c>
      <c r="T3205" s="402">
        <v>0.56999999999999995</v>
      </c>
      <c r="U3205" s="395">
        <v>1.29</v>
      </c>
      <c r="V3205" s="402">
        <v>0.81</v>
      </c>
      <c r="W3205" s="404">
        <v>9.5000000000000001E-2</v>
      </c>
      <c r="X3205" s="402">
        <v>0.54</v>
      </c>
      <c r="Y3205" s="404">
        <v>1.18</v>
      </c>
      <c r="Z3205" s="397">
        <v>1</v>
      </c>
      <c r="AA3205" s="399">
        <v>1</v>
      </c>
      <c r="AB3205" s="394">
        <v>20</v>
      </c>
      <c r="AC3205" s="402">
        <v>64</v>
      </c>
      <c r="AD3205" s="399">
        <v>1</v>
      </c>
      <c r="AE3205" s="402"/>
      <c r="AF3205" s="391"/>
      <c r="AG3205" s="394"/>
      <c r="AH3205" s="394"/>
      <c r="AI3205" s="394">
        <f>10/2</f>
        <v>5</v>
      </c>
      <c r="AJ3205" s="394" t="s">
        <v>1535</v>
      </c>
      <c r="AK3205" s="394"/>
      <c r="AL3205" s="394"/>
      <c r="AM3205" s="394"/>
      <c r="AN3205" s="394"/>
      <c r="AO3205" s="394"/>
      <c r="AP3205" s="394"/>
      <c r="AQ3205" s="394"/>
      <c r="AR3205" s="394"/>
      <c r="AS3205" s="402"/>
      <c r="AT3205" s="404"/>
      <c r="AU3205" s="394"/>
      <c r="AV3205" s="394"/>
      <c r="AW3205" s="394"/>
      <c r="AX3205" s="5"/>
      <c r="AY3205" s="5"/>
      <c r="AZ3205" s="5"/>
      <c r="BA3205" s="5"/>
      <c r="BB3205" s="5"/>
      <c r="BC3205" s="5"/>
      <c r="BD3205" s="5"/>
      <c r="BE3205" s="5"/>
      <c r="BF3205" s="5"/>
      <c r="BG3205" s="5"/>
      <c r="BH3205" s="5"/>
      <c r="BI3205" s="5"/>
      <c r="BJ3205" s="5"/>
      <c r="BK3205" s="5"/>
      <c r="BL3205" s="5"/>
      <c r="BM3205" s="5"/>
      <c r="BN3205" s="5"/>
      <c r="BO3205" s="5"/>
      <c r="BP3205" s="5"/>
      <c r="BQ3205" s="5"/>
      <c r="BR3205" s="5"/>
      <c r="BS3205" s="5"/>
      <c r="BT3205" s="5"/>
      <c r="BU3205" s="5"/>
      <c r="BV3205" s="5"/>
      <c r="BW3205" s="5"/>
      <c r="BX3205" s="5"/>
      <c r="BY3205" s="5"/>
      <c r="BZ3205" s="5"/>
      <c r="CA3205" s="5"/>
    </row>
    <row r="3206" spans="1:79" s="400" customFormat="1" ht="15" customHeight="1">
      <c r="A3206" s="404" t="s">
        <v>4668</v>
      </c>
      <c r="B3206" s="385" t="s">
        <v>4232</v>
      </c>
      <c r="C3206" s="18" t="s">
        <v>4232</v>
      </c>
      <c r="D3206" s="377" t="s">
        <v>56</v>
      </c>
      <c r="E3206" s="20" t="s">
        <v>95</v>
      </c>
      <c r="F3206" s="402"/>
      <c r="G3206" s="405" t="s">
        <v>3731</v>
      </c>
      <c r="H3206" s="404">
        <v>4426</v>
      </c>
      <c r="I3206" s="402" t="s">
        <v>1</v>
      </c>
      <c r="J3206" s="406" t="s">
        <v>74</v>
      </c>
      <c r="K3206" s="403">
        <v>40996</v>
      </c>
      <c r="L3206" s="398">
        <v>40971</v>
      </c>
      <c r="M3206" s="402">
        <f t="shared" si="189"/>
        <v>25</v>
      </c>
      <c r="N3206" s="402" t="s">
        <v>2</v>
      </c>
      <c r="O3206" s="404">
        <f>1.5/2</f>
        <v>0.75</v>
      </c>
      <c r="P3206" s="402">
        <v>7</v>
      </c>
      <c r="Q3206" s="404">
        <v>6.84</v>
      </c>
      <c r="R3206" s="402">
        <f>10/2</f>
        <v>5</v>
      </c>
      <c r="S3206" s="404">
        <f>5/2</f>
        <v>2.5</v>
      </c>
      <c r="T3206" s="402">
        <v>0.09</v>
      </c>
      <c r="U3206" s="395">
        <v>0.76</v>
      </c>
      <c r="V3206" s="402">
        <v>0.93</v>
      </c>
      <c r="W3206" s="404">
        <v>5.0000000000000001E-3</v>
      </c>
      <c r="X3206" s="402">
        <v>2.5000000000000001E-2</v>
      </c>
      <c r="Y3206" s="404">
        <v>5.0000000000000001E-3</v>
      </c>
      <c r="Z3206" s="397">
        <v>1</v>
      </c>
      <c r="AA3206" s="399">
        <v>1</v>
      </c>
      <c r="AB3206" s="394">
        <v>28</v>
      </c>
      <c r="AC3206" s="402">
        <v>52</v>
      </c>
      <c r="AD3206" s="399">
        <v>0.65</v>
      </c>
      <c r="AE3206" s="402"/>
      <c r="AF3206" s="391"/>
      <c r="AG3206" s="394"/>
      <c r="AH3206" s="394"/>
      <c r="AI3206" s="394">
        <v>260</v>
      </c>
      <c r="AJ3206" s="394">
        <v>1200</v>
      </c>
      <c r="AK3206" s="394"/>
      <c r="AL3206" s="394"/>
      <c r="AM3206" s="394"/>
      <c r="AN3206" s="394"/>
      <c r="AO3206" s="394"/>
      <c r="AP3206" s="394"/>
      <c r="AQ3206" s="394"/>
      <c r="AR3206" s="394"/>
      <c r="AS3206" s="402"/>
      <c r="AT3206" s="404"/>
      <c r="AU3206" s="394"/>
      <c r="AV3206" s="394"/>
      <c r="AW3206" s="394"/>
      <c r="AX3206" s="5"/>
      <c r="AY3206" s="5"/>
      <c r="AZ3206" s="5"/>
      <c r="BA3206" s="5"/>
      <c r="BB3206" s="5"/>
      <c r="BC3206" s="5"/>
      <c r="BD3206" s="5"/>
      <c r="BE3206" s="5"/>
      <c r="BF3206" s="5"/>
      <c r="BG3206" s="5"/>
      <c r="BH3206" s="5"/>
      <c r="BI3206" s="5"/>
      <c r="BJ3206" s="5"/>
      <c r="BK3206" s="5"/>
      <c r="BL3206" s="5"/>
      <c r="BM3206" s="5"/>
      <c r="BN3206" s="5"/>
      <c r="BO3206" s="5"/>
      <c r="BP3206" s="5"/>
      <c r="BQ3206" s="5"/>
      <c r="BR3206" s="5"/>
      <c r="BS3206" s="5"/>
      <c r="BT3206" s="5"/>
      <c r="BU3206" s="5"/>
      <c r="BV3206" s="5"/>
      <c r="BW3206" s="5"/>
      <c r="BX3206" s="5"/>
      <c r="BY3206" s="5"/>
      <c r="BZ3206" s="5"/>
      <c r="CA3206" s="5"/>
    </row>
    <row r="3207" spans="1:79" s="400" customFormat="1" ht="15" customHeight="1">
      <c r="A3207" s="404" t="s">
        <v>4668</v>
      </c>
      <c r="B3207" s="402" t="s">
        <v>3727</v>
      </c>
      <c r="C3207" s="113" t="s">
        <v>3727</v>
      </c>
      <c r="D3207" s="393" t="s">
        <v>56</v>
      </c>
      <c r="E3207" s="394" t="s">
        <v>95</v>
      </c>
      <c r="F3207" s="402"/>
      <c r="G3207" s="405" t="s">
        <v>3730</v>
      </c>
      <c r="H3207" s="404">
        <v>4226</v>
      </c>
      <c r="I3207" s="402" t="s">
        <v>1</v>
      </c>
      <c r="J3207" s="401" t="s">
        <v>3144</v>
      </c>
      <c r="K3207" s="403">
        <v>40996</v>
      </c>
      <c r="L3207" s="398">
        <v>40971</v>
      </c>
      <c r="M3207" s="402">
        <f t="shared" si="189"/>
        <v>25</v>
      </c>
      <c r="N3207" s="402" t="s">
        <v>2</v>
      </c>
      <c r="O3207" s="404">
        <f>1.5/2</f>
        <v>0.75</v>
      </c>
      <c r="P3207" s="402">
        <v>6.5</v>
      </c>
      <c r="Q3207" s="404">
        <v>6.55</v>
      </c>
      <c r="R3207" s="402">
        <f>10/2</f>
        <v>5</v>
      </c>
      <c r="S3207" s="404">
        <v>40</v>
      </c>
      <c r="T3207" s="402">
        <v>0.02</v>
      </c>
      <c r="U3207" s="395">
        <v>0.69</v>
      </c>
      <c r="V3207" s="402">
        <v>0.55000000000000004</v>
      </c>
      <c r="W3207" s="404">
        <v>3.5999999999999997E-2</v>
      </c>
      <c r="X3207" s="402">
        <v>4.3999999999999997E-2</v>
      </c>
      <c r="Y3207" s="404">
        <v>1.4E-2</v>
      </c>
      <c r="Z3207" s="397">
        <v>1</v>
      </c>
      <c r="AA3207" s="399">
        <v>1</v>
      </c>
      <c r="AB3207" s="394">
        <v>2</v>
      </c>
      <c r="AC3207" s="402">
        <v>12</v>
      </c>
      <c r="AD3207" s="399">
        <v>0.95</v>
      </c>
      <c r="AE3207" s="402"/>
      <c r="AF3207" s="391"/>
      <c r="AG3207" s="394">
        <v>3.9</v>
      </c>
      <c r="AH3207" s="394"/>
      <c r="AI3207" s="394">
        <f>10/2</f>
        <v>5</v>
      </c>
      <c r="AJ3207" s="394">
        <f>10/2</f>
        <v>5</v>
      </c>
      <c r="AK3207" s="394"/>
      <c r="AL3207" s="394"/>
      <c r="AM3207" s="394"/>
      <c r="AN3207" s="394"/>
      <c r="AO3207" s="394"/>
      <c r="AP3207" s="394"/>
      <c r="AQ3207" s="394"/>
      <c r="AR3207" s="394"/>
      <c r="AS3207" s="402"/>
      <c r="AT3207" s="404"/>
      <c r="AU3207" s="394"/>
      <c r="AV3207" s="394"/>
      <c r="AW3207" s="394"/>
      <c r="AX3207" s="5"/>
      <c r="AY3207" s="5"/>
      <c r="AZ3207" s="5"/>
      <c r="BA3207" s="5"/>
      <c r="BB3207" s="5"/>
      <c r="BC3207" s="5"/>
      <c r="BD3207" s="5"/>
      <c r="BE3207" s="5"/>
      <c r="BF3207" s="5"/>
      <c r="BG3207" s="5"/>
      <c r="BH3207" s="5"/>
      <c r="BI3207" s="5"/>
      <c r="BJ3207" s="5"/>
      <c r="BK3207" s="5"/>
      <c r="BL3207" s="5"/>
      <c r="BM3207" s="5"/>
      <c r="BN3207" s="5"/>
      <c r="BO3207" s="5"/>
      <c r="BP3207" s="5"/>
      <c r="BQ3207" s="5"/>
      <c r="BR3207" s="5"/>
      <c r="BS3207" s="5"/>
      <c r="BT3207" s="5"/>
      <c r="BU3207" s="5"/>
      <c r="BV3207" s="5"/>
      <c r="BW3207" s="5"/>
      <c r="BX3207" s="5"/>
      <c r="BY3207" s="5"/>
      <c r="BZ3207" s="5"/>
      <c r="CA3207" s="5"/>
    </row>
    <row r="3208" spans="1:79" s="400" customFormat="1" ht="15" customHeight="1">
      <c r="A3208" s="404" t="s">
        <v>4668</v>
      </c>
      <c r="B3208" s="402" t="s">
        <v>3727</v>
      </c>
      <c r="C3208" s="113" t="s">
        <v>3727</v>
      </c>
      <c r="D3208" s="393" t="s">
        <v>56</v>
      </c>
      <c r="E3208" s="394" t="s">
        <v>95</v>
      </c>
      <c r="F3208" s="402"/>
      <c r="G3208" s="405" t="s">
        <v>3730</v>
      </c>
      <c r="H3208" s="404">
        <v>4226</v>
      </c>
      <c r="I3208" s="402" t="s">
        <v>1</v>
      </c>
      <c r="J3208" s="401" t="s">
        <v>3145</v>
      </c>
      <c r="K3208" s="403">
        <v>40996</v>
      </c>
      <c r="L3208" s="398">
        <v>40971</v>
      </c>
      <c r="M3208" s="402">
        <f t="shared" si="189"/>
        <v>25</v>
      </c>
      <c r="N3208" s="402" t="s">
        <v>2</v>
      </c>
      <c r="O3208" s="404">
        <v>2</v>
      </c>
      <c r="P3208" s="402">
        <v>6.5</v>
      </c>
      <c r="Q3208" s="404">
        <v>7.49</v>
      </c>
      <c r="R3208" s="402">
        <v>145</v>
      </c>
      <c r="S3208" s="404">
        <v>580</v>
      </c>
      <c r="T3208" s="402">
        <v>0.19</v>
      </c>
      <c r="U3208" s="395">
        <v>1.35</v>
      </c>
      <c r="V3208" s="402">
        <v>0.73</v>
      </c>
      <c r="W3208" s="404">
        <v>8.5999999999999993E-2</v>
      </c>
      <c r="X3208" s="402">
        <v>0.17299999999999999</v>
      </c>
      <c r="Y3208" s="404">
        <v>5.0999999999999997E-2</v>
      </c>
      <c r="Z3208" s="397">
        <v>1</v>
      </c>
      <c r="AA3208" s="399">
        <v>1</v>
      </c>
      <c r="AB3208" s="394">
        <v>252</v>
      </c>
      <c r="AC3208" s="402">
        <v>2720</v>
      </c>
      <c r="AD3208" s="399">
        <v>1</v>
      </c>
      <c r="AE3208" s="402"/>
      <c r="AF3208" s="391"/>
      <c r="AG3208" s="394">
        <v>1.1000000000000001</v>
      </c>
      <c r="AH3208" s="394"/>
      <c r="AI3208" s="394">
        <v>30</v>
      </c>
      <c r="AJ3208" s="394">
        <v>20</v>
      </c>
      <c r="AK3208" s="394"/>
      <c r="AL3208" s="394"/>
      <c r="AM3208" s="394"/>
      <c r="AN3208" s="394"/>
      <c r="AO3208" s="394"/>
      <c r="AP3208" s="394"/>
      <c r="AQ3208" s="394"/>
      <c r="AR3208" s="394"/>
      <c r="AS3208" s="402"/>
      <c r="AT3208" s="404"/>
      <c r="AU3208" s="394"/>
      <c r="AV3208" s="394"/>
      <c r="AW3208" s="394"/>
      <c r="AX3208" s="5"/>
      <c r="AY3208" s="5"/>
      <c r="AZ3208" s="5"/>
      <c r="BA3208" s="5"/>
      <c r="BB3208" s="5"/>
      <c r="BC3208" s="5"/>
      <c r="BD3208" s="5"/>
      <c r="BE3208" s="5"/>
      <c r="BF3208" s="5"/>
      <c r="BG3208" s="5"/>
      <c r="BH3208" s="5"/>
      <c r="BI3208" s="5"/>
      <c r="BJ3208" s="5"/>
      <c r="BK3208" s="5"/>
      <c r="BL3208" s="5"/>
      <c r="BM3208" s="5"/>
      <c r="BN3208" s="5"/>
      <c r="BO3208" s="5"/>
      <c r="BP3208" s="5"/>
      <c r="BQ3208" s="5"/>
      <c r="BR3208" s="5"/>
      <c r="BS3208" s="5"/>
      <c r="BT3208" s="5"/>
      <c r="BU3208" s="5"/>
      <c r="BV3208" s="5"/>
      <c r="BW3208" s="5"/>
      <c r="BX3208" s="5"/>
      <c r="BY3208" s="5"/>
      <c r="BZ3208" s="5"/>
      <c r="CA3208" s="5"/>
    </row>
    <row r="3209" spans="1:79" s="400" customFormat="1" ht="15" customHeight="1">
      <c r="A3209" s="404" t="s">
        <v>4668</v>
      </c>
      <c r="B3209" s="402" t="s">
        <v>3727</v>
      </c>
      <c r="C3209" s="113" t="s">
        <v>3727</v>
      </c>
      <c r="D3209" s="393" t="s">
        <v>56</v>
      </c>
      <c r="E3209" s="394" t="s">
        <v>95</v>
      </c>
      <c r="F3209" s="402"/>
      <c r="G3209" s="405" t="s">
        <v>3730</v>
      </c>
      <c r="H3209" s="404">
        <v>4226</v>
      </c>
      <c r="I3209" s="402" t="s">
        <v>1</v>
      </c>
      <c r="J3209" s="401" t="s">
        <v>3693</v>
      </c>
      <c r="K3209" s="403">
        <v>40996</v>
      </c>
      <c r="L3209" s="398">
        <v>40971</v>
      </c>
      <c r="M3209" s="402">
        <f t="shared" si="189"/>
        <v>25</v>
      </c>
      <c r="N3209" s="402" t="s">
        <v>2</v>
      </c>
      <c r="O3209" s="404">
        <f>1.4/2</f>
        <v>0.7</v>
      </c>
      <c r="P3209" s="402">
        <v>6.5</v>
      </c>
      <c r="Q3209" s="404">
        <v>8.67</v>
      </c>
      <c r="R3209" s="402">
        <f>10/2</f>
        <v>5</v>
      </c>
      <c r="S3209" s="404">
        <v>35</v>
      </c>
      <c r="T3209" s="402">
        <v>0.11</v>
      </c>
      <c r="U3209" s="395">
        <v>0.53</v>
      </c>
      <c r="V3209" s="402">
        <v>0.83</v>
      </c>
      <c r="W3209" s="404">
        <v>3.4000000000000002E-2</v>
      </c>
      <c r="X3209" s="402">
        <v>4.7E-2</v>
      </c>
      <c r="Y3209" s="404">
        <v>2.1000000000000001E-2</v>
      </c>
      <c r="Z3209" s="397">
        <v>1</v>
      </c>
      <c r="AA3209" s="399">
        <v>1</v>
      </c>
      <c r="AB3209" s="394">
        <v>36</v>
      </c>
      <c r="AC3209" s="402">
        <v>222</v>
      </c>
      <c r="AD3209" s="399">
        <v>1</v>
      </c>
      <c r="AE3209" s="402"/>
      <c r="AF3209" s="391"/>
      <c r="AG3209" s="394">
        <f>0.5/2</f>
        <v>0.25</v>
      </c>
      <c r="AH3209" s="394"/>
      <c r="AI3209" s="394">
        <f>10/2</f>
        <v>5</v>
      </c>
      <c r="AJ3209" s="394">
        <f>10/2</f>
        <v>5</v>
      </c>
      <c r="AK3209" s="394"/>
      <c r="AL3209" s="394"/>
      <c r="AM3209" s="394"/>
      <c r="AN3209" s="394"/>
      <c r="AO3209" s="394"/>
      <c r="AP3209" s="394"/>
      <c r="AQ3209" s="394"/>
      <c r="AR3209" s="394"/>
      <c r="AS3209" s="402"/>
      <c r="AT3209" s="404"/>
      <c r="AU3209" s="394"/>
      <c r="AV3209" s="394"/>
      <c r="AW3209" s="394"/>
      <c r="AX3209" s="5"/>
      <c r="AY3209" s="5"/>
      <c r="AZ3209" s="5"/>
      <c r="BA3209" s="5"/>
      <c r="BB3209" s="5"/>
      <c r="BC3209" s="5"/>
      <c r="BD3209" s="5"/>
      <c r="BE3209" s="5"/>
      <c r="BF3209" s="5"/>
      <c r="BG3209" s="5"/>
      <c r="BH3209" s="5"/>
      <c r="BI3209" s="5"/>
      <c r="BJ3209" s="5"/>
      <c r="BK3209" s="5"/>
      <c r="BL3209" s="5"/>
      <c r="BM3209" s="5"/>
      <c r="BN3209" s="5"/>
      <c r="BO3209" s="5"/>
      <c r="BP3209" s="5"/>
      <c r="BQ3209" s="5"/>
      <c r="BR3209" s="5"/>
      <c r="BS3209" s="5"/>
      <c r="BT3209" s="5"/>
      <c r="BU3209" s="5"/>
      <c r="BV3209" s="5"/>
      <c r="BW3209" s="5"/>
      <c r="BX3209" s="5"/>
      <c r="BY3209" s="5"/>
      <c r="BZ3209" s="5"/>
      <c r="CA3209" s="5"/>
    </row>
    <row r="3210" spans="1:79" s="400" customFormat="1" ht="15" customHeight="1">
      <c r="A3210" s="41" t="s">
        <v>183</v>
      </c>
      <c r="B3210" s="402" t="s">
        <v>1252</v>
      </c>
      <c r="C3210" s="113" t="s">
        <v>1253</v>
      </c>
      <c r="D3210" s="393" t="s">
        <v>192</v>
      </c>
      <c r="E3210" s="394" t="s">
        <v>1254</v>
      </c>
      <c r="F3210" s="402"/>
      <c r="G3210" s="393" t="s">
        <v>1255</v>
      </c>
      <c r="H3210" s="402">
        <v>2621</v>
      </c>
      <c r="I3210" s="393" t="s">
        <v>1</v>
      </c>
      <c r="J3210" s="406" t="s">
        <v>1263</v>
      </c>
      <c r="K3210" s="403">
        <v>41072</v>
      </c>
      <c r="L3210" s="398">
        <v>41066</v>
      </c>
      <c r="M3210" s="402">
        <f t="shared" si="189"/>
        <v>6</v>
      </c>
      <c r="N3210" s="402" t="s">
        <v>2</v>
      </c>
      <c r="O3210" s="404">
        <f>5/2</f>
        <v>2.5</v>
      </c>
      <c r="P3210" s="402">
        <v>6.7</v>
      </c>
      <c r="Q3210" s="404">
        <v>6.32</v>
      </c>
      <c r="R3210" s="402">
        <v>23.7</v>
      </c>
      <c r="S3210" s="404">
        <f>1/2</f>
        <v>0.5</v>
      </c>
      <c r="T3210" s="402">
        <f>0.05/2</f>
        <v>2.5000000000000001E-2</v>
      </c>
      <c r="U3210" s="395">
        <v>1.2</v>
      </c>
      <c r="V3210" s="402">
        <v>0.24</v>
      </c>
      <c r="W3210" s="404">
        <f>0.01/2</f>
        <v>5.0000000000000001E-3</v>
      </c>
      <c r="X3210" s="402">
        <v>0.09</v>
      </c>
      <c r="Y3210" s="404">
        <f>0.02/2</f>
        <v>0.01</v>
      </c>
      <c r="Z3210" s="397">
        <v>1</v>
      </c>
      <c r="AA3210" s="399">
        <v>1</v>
      </c>
      <c r="AB3210" s="394">
        <v>4.01</v>
      </c>
      <c r="AC3210" s="402">
        <v>29.2</v>
      </c>
      <c r="AD3210" s="399">
        <v>0.8</v>
      </c>
      <c r="AE3210" s="402"/>
      <c r="AF3210" s="391"/>
      <c r="AG3210" s="394"/>
      <c r="AH3210" s="394"/>
      <c r="AI3210" s="394"/>
      <c r="AJ3210" s="394"/>
      <c r="AK3210" s="394"/>
      <c r="AL3210" s="394"/>
      <c r="AM3210" s="394"/>
      <c r="AN3210" s="394"/>
      <c r="AO3210" s="394"/>
      <c r="AP3210" s="394"/>
      <c r="AQ3210" s="394"/>
      <c r="AR3210" s="394"/>
      <c r="AS3210" s="402"/>
      <c r="AT3210" s="404"/>
      <c r="AU3210" s="394"/>
      <c r="AV3210" s="394"/>
      <c r="AW3210" s="394"/>
      <c r="AX3210" s="5"/>
      <c r="AY3210" s="5"/>
      <c r="AZ3210" s="5"/>
      <c r="BA3210" s="5"/>
      <c r="BB3210" s="5"/>
      <c r="BC3210" s="5"/>
      <c r="BD3210" s="5"/>
      <c r="BE3210" s="5"/>
      <c r="BF3210" s="5"/>
      <c r="BG3210" s="5"/>
      <c r="BH3210" s="5"/>
      <c r="BI3210" s="5"/>
      <c r="BJ3210" s="5"/>
      <c r="BK3210" s="5"/>
      <c r="BL3210" s="5"/>
      <c r="BM3210" s="5"/>
      <c r="BN3210" s="5"/>
      <c r="BO3210" s="5"/>
      <c r="BP3210" s="5"/>
      <c r="BQ3210" s="5"/>
      <c r="BR3210" s="5"/>
      <c r="BS3210" s="5"/>
      <c r="BT3210" s="5"/>
      <c r="BU3210" s="5"/>
      <c r="BV3210" s="5"/>
      <c r="BW3210" s="5"/>
      <c r="BX3210" s="5"/>
      <c r="BY3210" s="5"/>
      <c r="BZ3210" s="5"/>
      <c r="CA3210" s="5"/>
    </row>
    <row r="3211" spans="1:79" s="400" customFormat="1" ht="15" customHeight="1">
      <c r="A3211" s="41" t="s">
        <v>183</v>
      </c>
      <c r="B3211" s="402" t="s">
        <v>1252</v>
      </c>
      <c r="C3211" s="113" t="s">
        <v>1253</v>
      </c>
      <c r="D3211" s="393" t="s">
        <v>192</v>
      </c>
      <c r="E3211" s="394" t="s">
        <v>1254</v>
      </c>
      <c r="F3211" s="402"/>
      <c r="G3211" s="393" t="s">
        <v>1255</v>
      </c>
      <c r="H3211" s="402">
        <v>2621</v>
      </c>
      <c r="I3211" s="393" t="s">
        <v>1</v>
      </c>
      <c r="J3211" s="406" t="s">
        <v>1256</v>
      </c>
      <c r="K3211" s="403">
        <v>41072</v>
      </c>
      <c r="L3211" s="398">
        <v>41066</v>
      </c>
      <c r="M3211" s="402">
        <f t="shared" si="189"/>
        <v>6</v>
      </c>
      <c r="N3211" s="402" t="s">
        <v>2</v>
      </c>
      <c r="O3211" s="404">
        <f>5/2</f>
        <v>2.5</v>
      </c>
      <c r="P3211" s="402">
        <v>6.7</v>
      </c>
      <c r="Q3211" s="404">
        <v>6.65</v>
      </c>
      <c r="R3211" s="402">
        <v>23.7</v>
      </c>
      <c r="S3211" s="404">
        <v>7</v>
      </c>
      <c r="T3211" s="402">
        <v>0.11</v>
      </c>
      <c r="U3211" s="395">
        <v>1.48</v>
      </c>
      <c r="V3211" s="402">
        <v>0.34</v>
      </c>
      <c r="W3211" s="404">
        <f>0.01/2</f>
        <v>5.0000000000000001E-3</v>
      </c>
      <c r="X3211" s="402">
        <f>0.04</f>
        <v>0.04</v>
      </c>
      <c r="Y3211" s="404">
        <f>0.02/2</f>
        <v>0.01</v>
      </c>
      <c r="Z3211" s="397">
        <v>1</v>
      </c>
      <c r="AA3211" s="399">
        <v>1</v>
      </c>
      <c r="AB3211" s="394">
        <v>4.37</v>
      </c>
      <c r="AC3211" s="402">
        <v>25.5</v>
      </c>
      <c r="AD3211" s="399">
        <v>1</v>
      </c>
      <c r="AE3211" s="402"/>
      <c r="AF3211" s="391"/>
      <c r="AG3211" s="394"/>
      <c r="AH3211" s="394"/>
      <c r="AI3211" s="394"/>
      <c r="AJ3211" s="394"/>
      <c r="AK3211" s="394"/>
      <c r="AL3211" s="394"/>
      <c r="AM3211" s="394"/>
      <c r="AN3211" s="394"/>
      <c r="AO3211" s="394"/>
      <c r="AP3211" s="394"/>
      <c r="AQ3211" s="394"/>
      <c r="AR3211" s="394"/>
      <c r="AS3211" s="402"/>
      <c r="AT3211" s="404"/>
      <c r="AU3211" s="394"/>
      <c r="AV3211" s="394"/>
      <c r="AW3211" s="394"/>
      <c r="AX3211" s="5"/>
      <c r="AY3211" s="5"/>
      <c r="AZ3211" s="5"/>
      <c r="BA3211" s="5"/>
      <c r="BB3211" s="5"/>
      <c r="BC3211" s="5"/>
      <c r="BD3211" s="5"/>
      <c r="BE3211" s="5"/>
      <c r="BF3211" s="5"/>
      <c r="BG3211" s="5"/>
      <c r="BH3211" s="5"/>
      <c r="BI3211" s="5"/>
      <c r="BJ3211" s="5"/>
      <c r="BK3211" s="5"/>
      <c r="BL3211" s="5"/>
      <c r="BM3211" s="5"/>
      <c r="BN3211" s="5"/>
      <c r="BO3211" s="5"/>
      <c r="BP3211" s="5"/>
      <c r="BQ3211" s="5"/>
      <c r="BR3211" s="5"/>
      <c r="BS3211" s="5"/>
      <c r="BT3211" s="5"/>
      <c r="BU3211" s="5"/>
      <c r="BV3211" s="5"/>
      <c r="BW3211" s="5"/>
      <c r="BX3211" s="5"/>
      <c r="BY3211" s="5"/>
      <c r="BZ3211" s="5"/>
      <c r="CA3211" s="5"/>
    </row>
    <row r="3212" spans="1:79" s="400" customFormat="1" ht="15" customHeight="1">
      <c r="A3212" s="41" t="s">
        <v>183</v>
      </c>
      <c r="B3212" s="402" t="s">
        <v>1252</v>
      </c>
      <c r="C3212" s="113" t="s">
        <v>1253</v>
      </c>
      <c r="D3212" s="393" t="s">
        <v>192</v>
      </c>
      <c r="E3212" s="394" t="s">
        <v>1254</v>
      </c>
      <c r="F3212" s="402"/>
      <c r="G3212" s="393" t="s">
        <v>1255</v>
      </c>
      <c r="H3212" s="402">
        <v>2621</v>
      </c>
      <c r="I3212" s="393" t="s">
        <v>1</v>
      </c>
      <c r="J3212" s="406" t="s">
        <v>1257</v>
      </c>
      <c r="K3212" s="403">
        <v>41072</v>
      </c>
      <c r="L3212" s="398">
        <v>41066</v>
      </c>
      <c r="M3212" s="402">
        <f t="shared" si="189"/>
        <v>6</v>
      </c>
      <c r="N3212" s="402" t="s">
        <v>2</v>
      </c>
      <c r="O3212" s="404">
        <v>6.2</v>
      </c>
      <c r="P3212" s="402">
        <v>6.7</v>
      </c>
      <c r="Q3212" s="404">
        <v>6.93</v>
      </c>
      <c r="R3212" s="402">
        <v>126.5</v>
      </c>
      <c r="S3212" s="404">
        <v>87</v>
      </c>
      <c r="T3212" s="402">
        <v>0.16</v>
      </c>
      <c r="U3212" s="395">
        <v>2.25</v>
      </c>
      <c r="V3212" s="402">
        <v>0.67</v>
      </c>
      <c r="W3212" s="404">
        <v>0.02</v>
      </c>
      <c r="X3212" s="402">
        <v>0.15</v>
      </c>
      <c r="Y3212" s="404">
        <f>0.02/2</f>
        <v>0.01</v>
      </c>
      <c r="Z3212" s="397">
        <v>1</v>
      </c>
      <c r="AA3212" s="399">
        <v>1</v>
      </c>
      <c r="AB3212" s="394">
        <v>22.7</v>
      </c>
      <c r="AC3212" s="402">
        <v>180</v>
      </c>
      <c r="AD3212" s="399">
        <v>0.75</v>
      </c>
      <c r="AE3212" s="402"/>
      <c r="AF3212" s="391"/>
      <c r="AG3212" s="394"/>
      <c r="AH3212" s="394"/>
      <c r="AI3212" s="394"/>
      <c r="AJ3212" s="394"/>
      <c r="AK3212" s="394"/>
      <c r="AL3212" s="394"/>
      <c r="AM3212" s="394"/>
      <c r="AN3212" s="394"/>
      <c r="AO3212" s="394"/>
      <c r="AP3212" s="394"/>
      <c r="AQ3212" s="394"/>
      <c r="AR3212" s="394"/>
      <c r="AS3212" s="402"/>
      <c r="AT3212" s="404"/>
      <c r="AU3212" s="394"/>
      <c r="AV3212" s="394"/>
      <c r="AW3212" s="394"/>
      <c r="AX3212" s="5"/>
      <c r="AY3212" s="5"/>
      <c r="AZ3212" s="5"/>
      <c r="BA3212" s="5"/>
      <c r="BB3212" s="5"/>
      <c r="BC3212" s="5"/>
      <c r="BD3212" s="5"/>
      <c r="BE3212" s="5"/>
      <c r="BF3212" s="5"/>
      <c r="BG3212" s="5"/>
      <c r="BH3212" s="5"/>
      <c r="BI3212" s="5"/>
      <c r="BJ3212" s="5"/>
      <c r="BK3212" s="5"/>
      <c r="BL3212" s="5"/>
      <c r="BM3212" s="5"/>
      <c r="BN3212" s="5"/>
      <c r="BO3212" s="5"/>
      <c r="BP3212" s="5"/>
      <c r="BQ3212" s="5"/>
      <c r="BR3212" s="5"/>
      <c r="BS3212" s="5"/>
      <c r="BT3212" s="5"/>
      <c r="BU3212" s="5"/>
      <c r="BV3212" s="5"/>
      <c r="BW3212" s="5"/>
      <c r="BX3212" s="5"/>
      <c r="BY3212" s="5"/>
      <c r="BZ3212" s="5"/>
      <c r="CA3212" s="5"/>
    </row>
    <row r="3213" spans="1:79" s="400" customFormat="1" ht="15" customHeight="1">
      <c r="A3213" s="41" t="s">
        <v>183</v>
      </c>
      <c r="B3213" s="402" t="s">
        <v>1252</v>
      </c>
      <c r="C3213" s="113" t="s">
        <v>1253</v>
      </c>
      <c r="D3213" s="393" t="s">
        <v>192</v>
      </c>
      <c r="E3213" s="394" t="s">
        <v>1254</v>
      </c>
      <c r="F3213" s="402"/>
      <c r="G3213" s="393" t="s">
        <v>1255</v>
      </c>
      <c r="H3213" s="402">
        <v>2621</v>
      </c>
      <c r="I3213" s="393" t="s">
        <v>1</v>
      </c>
      <c r="J3213" s="406" t="s">
        <v>1258</v>
      </c>
      <c r="K3213" s="403">
        <v>41072</v>
      </c>
      <c r="L3213" s="398">
        <v>41066</v>
      </c>
      <c r="M3213" s="402">
        <f t="shared" si="189"/>
        <v>6</v>
      </c>
      <c r="N3213" s="402" t="s">
        <v>2</v>
      </c>
      <c r="O3213" s="404">
        <f>5/2</f>
        <v>2.5</v>
      </c>
      <c r="P3213" s="402">
        <v>6.7</v>
      </c>
      <c r="Q3213" s="404">
        <v>7.09</v>
      </c>
      <c r="R3213" s="402">
        <v>64.5</v>
      </c>
      <c r="S3213" s="404">
        <v>7</v>
      </c>
      <c r="T3213" s="402">
        <v>0.11</v>
      </c>
      <c r="U3213" s="395">
        <v>1.59</v>
      </c>
      <c r="V3213" s="402">
        <v>0.35</v>
      </c>
      <c r="W3213" s="404">
        <v>0.01</v>
      </c>
      <c r="X3213" s="402">
        <v>0.11</v>
      </c>
      <c r="Y3213" s="404">
        <f>0.02/2</f>
        <v>0.01</v>
      </c>
      <c r="Z3213" s="397">
        <v>1</v>
      </c>
      <c r="AA3213" s="399">
        <v>1</v>
      </c>
      <c r="AB3213" s="394">
        <v>8.3000000000000007</v>
      </c>
      <c r="AC3213" s="402">
        <v>104.2</v>
      </c>
      <c r="AD3213" s="399">
        <v>1</v>
      </c>
      <c r="AE3213" s="402"/>
      <c r="AF3213" s="391"/>
      <c r="AG3213" s="394"/>
      <c r="AH3213" s="394"/>
      <c r="AI3213" s="394"/>
      <c r="AJ3213" s="394"/>
      <c r="AK3213" s="394"/>
      <c r="AL3213" s="394"/>
      <c r="AM3213" s="394"/>
      <c r="AN3213" s="394"/>
      <c r="AO3213" s="394"/>
      <c r="AP3213" s="394"/>
      <c r="AQ3213" s="394"/>
      <c r="AR3213" s="394"/>
      <c r="AS3213" s="402"/>
      <c r="AT3213" s="404"/>
      <c r="AU3213" s="394"/>
      <c r="AV3213" s="394"/>
      <c r="AW3213" s="394"/>
      <c r="AX3213" s="5"/>
      <c r="AY3213" s="5"/>
      <c r="AZ3213" s="5"/>
      <c r="BA3213" s="5"/>
      <c r="BB3213" s="5"/>
      <c r="BC3213" s="5"/>
      <c r="BD3213" s="5"/>
      <c r="BE3213" s="5"/>
      <c r="BF3213" s="5"/>
      <c r="BG3213" s="5"/>
      <c r="BH3213" s="5"/>
      <c r="BI3213" s="5"/>
      <c r="BJ3213" s="5"/>
      <c r="BK3213" s="5"/>
      <c r="BL3213" s="5"/>
      <c r="BM3213" s="5"/>
      <c r="BN3213" s="5"/>
      <c r="BO3213" s="5"/>
      <c r="BP3213" s="5"/>
      <c r="BQ3213" s="5"/>
      <c r="BR3213" s="5"/>
      <c r="BS3213" s="5"/>
      <c r="BT3213" s="5"/>
      <c r="BU3213" s="5"/>
      <c r="BV3213" s="5"/>
      <c r="BW3213" s="5"/>
      <c r="BX3213" s="5"/>
      <c r="BY3213" s="5"/>
      <c r="BZ3213" s="5"/>
      <c r="CA3213" s="5"/>
    </row>
    <row r="3214" spans="1:79" s="400" customFormat="1" ht="15" customHeight="1">
      <c r="A3214" s="41" t="s">
        <v>183</v>
      </c>
      <c r="B3214" s="402" t="s">
        <v>1252</v>
      </c>
      <c r="C3214" s="113" t="s">
        <v>1253</v>
      </c>
      <c r="D3214" s="393" t="s">
        <v>192</v>
      </c>
      <c r="E3214" s="394" t="s">
        <v>1254</v>
      </c>
      <c r="F3214" s="402"/>
      <c r="G3214" s="393" t="s">
        <v>1255</v>
      </c>
      <c r="H3214" s="402">
        <v>2621</v>
      </c>
      <c r="I3214" s="393" t="s">
        <v>1</v>
      </c>
      <c r="J3214" s="406" t="s">
        <v>1261</v>
      </c>
      <c r="K3214" s="403">
        <v>41072</v>
      </c>
      <c r="L3214" s="398">
        <v>41066</v>
      </c>
      <c r="M3214" s="402">
        <f t="shared" si="189"/>
        <v>6</v>
      </c>
      <c r="N3214" s="402" t="s">
        <v>2</v>
      </c>
      <c r="O3214" s="404">
        <f>5/2</f>
        <v>2.5</v>
      </c>
      <c r="P3214" s="402">
        <v>6.7</v>
      </c>
      <c r="Q3214" s="404">
        <v>6.81</v>
      </c>
      <c r="R3214" s="402">
        <v>125</v>
      </c>
      <c r="S3214" s="404">
        <v>42</v>
      </c>
      <c r="T3214" s="402">
        <v>0.28999999999999998</v>
      </c>
      <c r="U3214" s="395">
        <v>2.65</v>
      </c>
      <c r="V3214" s="402">
        <v>0.76</v>
      </c>
      <c r="W3214" s="404">
        <v>0.02</v>
      </c>
      <c r="X3214" s="402">
        <v>0.81</v>
      </c>
      <c r="Y3214" s="404">
        <v>0.02</v>
      </c>
      <c r="Z3214" s="397">
        <v>1</v>
      </c>
      <c r="AA3214" s="399">
        <v>1</v>
      </c>
      <c r="AB3214" s="394">
        <v>23.5</v>
      </c>
      <c r="AC3214" s="402">
        <v>142.30000000000001</v>
      </c>
      <c r="AD3214" s="399">
        <v>1</v>
      </c>
      <c r="AE3214" s="402"/>
      <c r="AF3214" s="391"/>
      <c r="AG3214" s="394"/>
      <c r="AH3214" s="394"/>
      <c r="AI3214" s="394"/>
      <c r="AJ3214" s="394"/>
      <c r="AK3214" s="394"/>
      <c r="AL3214" s="394"/>
      <c r="AM3214" s="394"/>
      <c r="AN3214" s="394"/>
      <c r="AO3214" s="394"/>
      <c r="AP3214" s="394"/>
      <c r="AQ3214" s="394"/>
      <c r="AR3214" s="394"/>
      <c r="AS3214" s="402"/>
      <c r="AT3214" s="404"/>
      <c r="AU3214" s="394"/>
      <c r="AV3214" s="394"/>
      <c r="AW3214" s="394"/>
      <c r="AX3214" s="5"/>
      <c r="AY3214" s="5"/>
      <c r="AZ3214" s="5"/>
      <c r="BA3214" s="5"/>
      <c r="BB3214" s="5"/>
      <c r="BC3214" s="5"/>
      <c r="BD3214" s="5"/>
      <c r="BE3214" s="5"/>
      <c r="BF3214" s="5"/>
      <c r="BG3214" s="5"/>
      <c r="BH3214" s="5"/>
      <c r="BI3214" s="5"/>
      <c r="BJ3214" s="5"/>
      <c r="BK3214" s="5"/>
      <c r="BL3214" s="5"/>
      <c r="BM3214" s="5"/>
      <c r="BN3214" s="5"/>
      <c r="BO3214" s="5"/>
      <c r="BP3214" s="5"/>
      <c r="BQ3214" s="5"/>
      <c r="BR3214" s="5"/>
      <c r="BS3214" s="5"/>
      <c r="BT3214" s="5"/>
      <c r="BU3214" s="5"/>
      <c r="BV3214" s="5"/>
      <c r="BW3214" s="5"/>
      <c r="BX3214" s="5"/>
      <c r="BY3214" s="5"/>
      <c r="BZ3214" s="5"/>
      <c r="CA3214" s="5"/>
    </row>
    <row r="3215" spans="1:79" s="400" customFormat="1" ht="15" customHeight="1">
      <c r="A3215" s="41" t="s">
        <v>183</v>
      </c>
      <c r="B3215" s="402" t="s">
        <v>1252</v>
      </c>
      <c r="C3215" s="113" t="s">
        <v>1253</v>
      </c>
      <c r="D3215" s="393" t="s">
        <v>192</v>
      </c>
      <c r="E3215" s="394" t="s">
        <v>1254</v>
      </c>
      <c r="F3215" s="402"/>
      <c r="G3215" s="393" t="s">
        <v>1255</v>
      </c>
      <c r="H3215" s="402">
        <v>2621</v>
      </c>
      <c r="I3215" s="393" t="s">
        <v>1</v>
      </c>
      <c r="J3215" s="406" t="s">
        <v>1259</v>
      </c>
      <c r="K3215" s="403">
        <v>41072</v>
      </c>
      <c r="L3215" s="398">
        <v>41066</v>
      </c>
      <c r="M3215" s="402">
        <f t="shared" si="189"/>
        <v>6</v>
      </c>
      <c r="N3215" s="402" t="s">
        <v>2</v>
      </c>
      <c r="O3215" s="404">
        <f>5/2</f>
        <v>2.5</v>
      </c>
      <c r="P3215" s="402">
        <v>6.7</v>
      </c>
      <c r="Q3215" s="404">
        <v>7.07</v>
      </c>
      <c r="R3215" s="402">
        <v>79.900000000000006</v>
      </c>
      <c r="S3215" s="404">
        <v>8</v>
      </c>
      <c r="T3215" s="402">
        <v>0.32</v>
      </c>
      <c r="U3215" s="395">
        <v>3.91</v>
      </c>
      <c r="V3215" s="402">
        <v>0.21</v>
      </c>
      <c r="W3215" s="404">
        <v>0.03</v>
      </c>
      <c r="X3215" s="402">
        <v>0.24</v>
      </c>
      <c r="Y3215" s="404">
        <f>0.02/2</f>
        <v>0.01</v>
      </c>
      <c r="Z3215" s="397">
        <v>1</v>
      </c>
      <c r="AA3215" s="399">
        <v>1</v>
      </c>
      <c r="AB3215" s="394">
        <v>22.7</v>
      </c>
      <c r="AC3215" s="402">
        <v>27.1</v>
      </c>
      <c r="AD3215" s="399">
        <v>1</v>
      </c>
      <c r="AE3215" s="402"/>
      <c r="AF3215" s="391"/>
      <c r="AG3215" s="394"/>
      <c r="AH3215" s="394"/>
      <c r="AI3215" s="394"/>
      <c r="AJ3215" s="394"/>
      <c r="AK3215" s="394"/>
      <c r="AL3215" s="394"/>
      <c r="AM3215" s="394"/>
      <c r="AN3215" s="394"/>
      <c r="AO3215" s="394"/>
      <c r="AP3215" s="394"/>
      <c r="AQ3215" s="394"/>
      <c r="AR3215" s="394"/>
      <c r="AS3215" s="402"/>
      <c r="AT3215" s="404"/>
      <c r="AU3215" s="394"/>
      <c r="AV3215" s="394"/>
      <c r="AW3215" s="394"/>
      <c r="AX3215" s="5"/>
      <c r="AY3215" s="5"/>
      <c r="AZ3215" s="5"/>
      <c r="BA3215" s="5"/>
      <c r="BB3215" s="5"/>
      <c r="BC3215" s="5"/>
      <c r="BD3215" s="5"/>
      <c r="BE3215" s="5"/>
      <c r="BF3215" s="5"/>
      <c r="BG3215" s="5"/>
      <c r="BH3215" s="5"/>
      <c r="BI3215" s="5"/>
      <c r="BJ3215" s="5"/>
      <c r="BK3215" s="5"/>
      <c r="BL3215" s="5"/>
      <c r="BM3215" s="5"/>
      <c r="BN3215" s="5"/>
      <c r="BO3215" s="5"/>
      <c r="BP3215" s="5"/>
      <c r="BQ3215" s="5"/>
      <c r="BR3215" s="5"/>
      <c r="BS3215" s="5"/>
      <c r="BT3215" s="5"/>
      <c r="BU3215" s="5"/>
      <c r="BV3215" s="5"/>
      <c r="BW3215" s="5"/>
      <c r="BX3215" s="5"/>
      <c r="BY3215" s="5"/>
      <c r="BZ3215" s="5"/>
      <c r="CA3215" s="5"/>
    </row>
    <row r="3216" spans="1:79" s="400" customFormat="1" ht="15" customHeight="1">
      <c r="A3216" s="41" t="s">
        <v>183</v>
      </c>
      <c r="B3216" s="402" t="s">
        <v>1252</v>
      </c>
      <c r="C3216" s="113" t="s">
        <v>1253</v>
      </c>
      <c r="D3216" s="393" t="s">
        <v>192</v>
      </c>
      <c r="E3216" s="394" t="s">
        <v>1254</v>
      </c>
      <c r="F3216" s="402"/>
      <c r="G3216" s="393" t="s">
        <v>1255</v>
      </c>
      <c r="H3216" s="402">
        <v>2621</v>
      </c>
      <c r="I3216" s="393" t="s">
        <v>1</v>
      </c>
      <c r="J3216" s="406" t="s">
        <v>1260</v>
      </c>
      <c r="K3216" s="403">
        <v>41072</v>
      </c>
      <c r="L3216" s="398">
        <v>41066</v>
      </c>
      <c r="M3216" s="402">
        <f t="shared" si="189"/>
        <v>6</v>
      </c>
      <c r="N3216" s="402" t="s">
        <v>2</v>
      </c>
      <c r="O3216" s="404">
        <f>5/2</f>
        <v>2.5</v>
      </c>
      <c r="P3216" s="402">
        <v>6.7</v>
      </c>
      <c r="Q3216" s="404">
        <v>6.83</v>
      </c>
      <c r="R3216" s="402">
        <v>26.9</v>
      </c>
      <c r="S3216" s="404">
        <f>1/2</f>
        <v>0.5</v>
      </c>
      <c r="T3216" s="402">
        <f>0.05/2</f>
        <v>2.5000000000000001E-2</v>
      </c>
      <c r="U3216" s="395">
        <v>1.07</v>
      </c>
      <c r="V3216" s="402">
        <f>0.2/2</f>
        <v>0.1</v>
      </c>
      <c r="W3216" s="404">
        <f>0.01/2</f>
        <v>5.0000000000000001E-3</v>
      </c>
      <c r="X3216" s="402">
        <v>0.08</v>
      </c>
      <c r="Y3216" s="404">
        <f>0.02/2</f>
        <v>0.01</v>
      </c>
      <c r="Z3216" s="397">
        <v>1</v>
      </c>
      <c r="AA3216" s="399">
        <v>1</v>
      </c>
      <c r="AB3216" s="394">
        <v>26.7</v>
      </c>
      <c r="AC3216" s="402">
        <v>12.4</v>
      </c>
      <c r="AD3216" s="399">
        <v>1</v>
      </c>
      <c r="AE3216" s="402"/>
      <c r="AF3216" s="391"/>
      <c r="AG3216" s="394"/>
      <c r="AH3216" s="394"/>
      <c r="AI3216" s="394"/>
      <c r="AJ3216" s="394"/>
      <c r="AK3216" s="394"/>
      <c r="AL3216" s="394"/>
      <c r="AM3216" s="394"/>
      <c r="AN3216" s="394"/>
      <c r="AO3216" s="394"/>
      <c r="AP3216" s="394"/>
      <c r="AQ3216" s="394"/>
      <c r="AR3216" s="394"/>
      <c r="AS3216" s="402"/>
      <c r="AT3216" s="404"/>
      <c r="AU3216" s="394"/>
      <c r="AV3216" s="394"/>
      <c r="AW3216" s="394"/>
      <c r="AX3216" s="5"/>
      <c r="AY3216" s="5"/>
      <c r="AZ3216" s="5"/>
      <c r="BA3216" s="5"/>
      <c r="BB3216" s="5"/>
      <c r="BC3216" s="5"/>
      <c r="BD3216" s="5"/>
      <c r="BE3216" s="5"/>
      <c r="BF3216" s="5"/>
      <c r="BG3216" s="5"/>
      <c r="BH3216" s="5"/>
      <c r="BI3216" s="5"/>
      <c r="BJ3216" s="5"/>
      <c r="BK3216" s="5"/>
      <c r="BL3216" s="5"/>
      <c r="BM3216" s="5"/>
      <c r="BN3216" s="5"/>
      <c r="BO3216" s="5"/>
      <c r="BP3216" s="5"/>
      <c r="BQ3216" s="5"/>
      <c r="BR3216" s="5"/>
      <c r="BS3216" s="5"/>
      <c r="BT3216" s="5"/>
      <c r="BU3216" s="5"/>
      <c r="BV3216" s="5"/>
      <c r="BW3216" s="5"/>
      <c r="BX3216" s="5"/>
      <c r="BY3216" s="5"/>
      <c r="BZ3216" s="5"/>
      <c r="CA3216" s="5"/>
    </row>
    <row r="3217" spans="1:79" s="400" customFormat="1" ht="15" customHeight="1">
      <c r="A3217" s="41" t="s">
        <v>183</v>
      </c>
      <c r="B3217" s="402" t="s">
        <v>1252</v>
      </c>
      <c r="C3217" s="113" t="s">
        <v>1253</v>
      </c>
      <c r="D3217" s="393" t="s">
        <v>192</v>
      </c>
      <c r="E3217" s="394" t="s">
        <v>1254</v>
      </c>
      <c r="F3217" s="402"/>
      <c r="G3217" s="393" t="s">
        <v>1255</v>
      </c>
      <c r="H3217" s="402">
        <v>2621</v>
      </c>
      <c r="I3217" s="393" t="s">
        <v>1</v>
      </c>
      <c r="J3217" s="406" t="s">
        <v>1262</v>
      </c>
      <c r="K3217" s="403">
        <v>41072</v>
      </c>
      <c r="L3217" s="398">
        <v>41066</v>
      </c>
      <c r="M3217" s="402">
        <f t="shared" si="189"/>
        <v>6</v>
      </c>
      <c r="N3217" s="402" t="s">
        <v>2</v>
      </c>
      <c r="O3217" s="404">
        <f>5/2</f>
        <v>2.5</v>
      </c>
      <c r="P3217" s="402">
        <v>6.7</v>
      </c>
      <c r="Q3217" s="404">
        <v>6.77</v>
      </c>
      <c r="R3217" s="402">
        <v>26.9</v>
      </c>
      <c r="S3217" s="404">
        <v>2</v>
      </c>
      <c r="T3217" s="402">
        <f>0.05/2</f>
        <v>2.5000000000000001E-2</v>
      </c>
      <c r="U3217" s="395">
        <v>0.94</v>
      </c>
      <c r="V3217" s="402">
        <v>0.23</v>
      </c>
      <c r="W3217" s="404">
        <v>0.02</v>
      </c>
      <c r="X3217" s="402">
        <v>0.15</v>
      </c>
      <c r="Y3217" s="404">
        <f>0.02/2</f>
        <v>0.01</v>
      </c>
      <c r="Z3217" s="397">
        <v>1</v>
      </c>
      <c r="AA3217" s="399">
        <v>1</v>
      </c>
      <c r="AB3217" s="394">
        <v>41.6</v>
      </c>
      <c r="AC3217" s="402">
        <v>219</v>
      </c>
      <c r="AD3217" s="399">
        <v>1</v>
      </c>
      <c r="AE3217" s="402"/>
      <c r="AF3217" s="391"/>
      <c r="AG3217" s="394"/>
      <c r="AH3217" s="394"/>
      <c r="AI3217" s="394"/>
      <c r="AJ3217" s="394"/>
      <c r="AK3217" s="394"/>
      <c r="AL3217" s="394"/>
      <c r="AM3217" s="394"/>
      <c r="AN3217" s="394"/>
      <c r="AO3217" s="394"/>
      <c r="AP3217" s="394"/>
      <c r="AQ3217" s="394"/>
      <c r="AR3217" s="394"/>
      <c r="AS3217" s="402"/>
      <c r="AT3217" s="404"/>
      <c r="AU3217" s="394"/>
      <c r="AV3217" s="394"/>
      <c r="AW3217" s="394"/>
      <c r="AX3217" s="5"/>
      <c r="AY3217" s="5"/>
      <c r="AZ3217" s="5"/>
      <c r="BA3217" s="5"/>
      <c r="BB3217" s="5"/>
      <c r="BC3217" s="5"/>
      <c r="BD3217" s="5"/>
      <c r="BE3217" s="5"/>
      <c r="BF3217" s="5"/>
      <c r="BG3217" s="5"/>
      <c r="BH3217" s="5"/>
      <c r="BI3217" s="5"/>
      <c r="BJ3217" s="5"/>
      <c r="BK3217" s="5"/>
      <c r="BL3217" s="5"/>
      <c r="BM3217" s="5"/>
      <c r="BN3217" s="5"/>
      <c r="BO3217" s="5"/>
      <c r="BP3217" s="5"/>
      <c r="BQ3217" s="5"/>
      <c r="BR3217" s="5"/>
      <c r="BS3217" s="5"/>
      <c r="BT3217" s="5"/>
      <c r="BU3217" s="5"/>
      <c r="BV3217" s="5"/>
      <c r="BW3217" s="5"/>
      <c r="BX3217" s="5"/>
      <c r="BY3217" s="5"/>
      <c r="BZ3217" s="5"/>
      <c r="CA3217" s="5"/>
    </row>
    <row r="3218" spans="1:79" s="400" customFormat="1" ht="15" customHeight="1">
      <c r="A3218" s="41" t="s">
        <v>183</v>
      </c>
      <c r="B3218" s="402" t="s">
        <v>5786</v>
      </c>
      <c r="C3218" s="113"/>
      <c r="D3218" s="393" t="s">
        <v>350</v>
      </c>
      <c r="E3218" s="394" t="s">
        <v>1329</v>
      </c>
      <c r="F3218" s="402"/>
      <c r="G3218" s="405" t="s">
        <v>5123</v>
      </c>
      <c r="H3218" s="404">
        <v>7399</v>
      </c>
      <c r="I3218" s="402" t="s">
        <v>2</v>
      </c>
      <c r="J3218" s="406" t="s">
        <v>1007</v>
      </c>
      <c r="K3218" s="403">
        <v>41131</v>
      </c>
      <c r="L3218" s="398">
        <v>41126</v>
      </c>
      <c r="M3218" s="402">
        <f t="shared" si="189"/>
        <v>5</v>
      </c>
      <c r="N3218" s="402" t="s">
        <v>2</v>
      </c>
      <c r="O3218" s="404">
        <v>1.4</v>
      </c>
      <c r="P3218" s="402"/>
      <c r="Q3218" s="404">
        <v>4.78</v>
      </c>
      <c r="R3218" s="402">
        <v>110</v>
      </c>
      <c r="S3218" s="404">
        <v>17</v>
      </c>
      <c r="T3218" s="402">
        <v>0.08</v>
      </c>
      <c r="U3218" s="395">
        <v>2.25</v>
      </c>
      <c r="V3218" s="402">
        <v>0.62</v>
      </c>
      <c r="W3218" s="404">
        <v>1.0999999999999999E-2</v>
      </c>
      <c r="X3218" s="402">
        <v>0.08</v>
      </c>
      <c r="Y3218" s="404">
        <f>0.002/2</f>
        <v>1E-3</v>
      </c>
      <c r="Z3218" s="397">
        <v>0.70699999999999996</v>
      </c>
      <c r="AA3218" s="399">
        <v>0.68300000000000005</v>
      </c>
      <c r="AB3218" s="394">
        <v>16</v>
      </c>
      <c r="AC3218" s="402">
        <v>58</v>
      </c>
      <c r="AD3218" s="399">
        <v>0</v>
      </c>
      <c r="AE3218" s="402"/>
      <c r="AF3218" s="391"/>
      <c r="AG3218" s="394"/>
      <c r="AH3218" s="394"/>
      <c r="AI3218" s="394"/>
      <c r="AJ3218" s="394"/>
      <c r="AK3218" s="394"/>
      <c r="AL3218" s="394"/>
      <c r="AM3218" s="394"/>
      <c r="AN3218" s="394"/>
      <c r="AO3218" s="394"/>
      <c r="AP3218" s="394"/>
      <c r="AQ3218" s="394"/>
      <c r="AR3218" s="394"/>
      <c r="AS3218" s="402"/>
      <c r="AT3218" s="404"/>
      <c r="AU3218" s="394"/>
      <c r="AV3218" s="394"/>
      <c r="AW3218" s="394"/>
      <c r="AX3218" s="5"/>
      <c r="AY3218" s="5"/>
      <c r="AZ3218" s="5"/>
      <c r="BA3218" s="5"/>
      <c r="BB3218" s="5"/>
      <c r="BC3218" s="5"/>
      <c r="BD3218" s="5"/>
      <c r="BE3218" s="5"/>
      <c r="BF3218" s="5"/>
      <c r="BG3218" s="5"/>
      <c r="BH3218" s="5"/>
      <c r="BI3218" s="5"/>
      <c r="BJ3218" s="5"/>
      <c r="BK3218" s="5"/>
      <c r="BL3218" s="5"/>
      <c r="BM3218" s="5"/>
      <c r="BN3218" s="5"/>
      <c r="BO3218" s="5"/>
      <c r="BP3218" s="5"/>
      <c r="BQ3218" s="5"/>
      <c r="BR3218" s="5"/>
      <c r="BS3218" s="5"/>
      <c r="BT3218" s="5"/>
      <c r="BU3218" s="5"/>
      <c r="BV3218" s="5"/>
      <c r="BW3218" s="5"/>
      <c r="BX3218" s="5"/>
      <c r="BY3218" s="5"/>
      <c r="BZ3218" s="5"/>
      <c r="CA3218" s="5"/>
    </row>
    <row r="3219" spans="1:79" s="400" customFormat="1" ht="15" customHeight="1">
      <c r="A3219" s="41" t="s">
        <v>183</v>
      </c>
      <c r="B3219" s="402" t="s">
        <v>5786</v>
      </c>
      <c r="C3219" s="113"/>
      <c r="D3219" s="393" t="s">
        <v>350</v>
      </c>
      <c r="E3219" s="394" t="s">
        <v>1329</v>
      </c>
      <c r="F3219" s="402"/>
      <c r="G3219" s="405" t="s">
        <v>5123</v>
      </c>
      <c r="H3219" s="404">
        <v>7399</v>
      </c>
      <c r="I3219" s="402" t="s">
        <v>2</v>
      </c>
      <c r="J3219" s="406" t="s">
        <v>5280</v>
      </c>
      <c r="K3219" s="403">
        <v>41131</v>
      </c>
      <c r="L3219" s="398">
        <v>41126</v>
      </c>
      <c r="M3219" s="402">
        <f t="shared" si="189"/>
        <v>5</v>
      </c>
      <c r="N3219" s="402" t="s">
        <v>2</v>
      </c>
      <c r="O3219" s="404">
        <v>3.5</v>
      </c>
      <c r="P3219" s="402"/>
      <c r="Q3219" s="404">
        <v>6.64</v>
      </c>
      <c r="R3219" s="402">
        <f>10/2</f>
        <v>5</v>
      </c>
      <c r="S3219" s="404">
        <v>340</v>
      </c>
      <c r="T3219" s="402">
        <v>0.64</v>
      </c>
      <c r="U3219" s="395">
        <v>5.55</v>
      </c>
      <c r="V3219" s="402">
        <v>0.88</v>
      </c>
      <c r="W3219" s="404">
        <v>5.0999999999999997E-2</v>
      </c>
      <c r="X3219" s="402">
        <v>0.20300000000000001</v>
      </c>
      <c r="Y3219" s="404">
        <v>2.8000000000000001E-2</v>
      </c>
      <c r="Z3219" s="397">
        <v>1</v>
      </c>
      <c r="AA3219" s="399">
        <v>1</v>
      </c>
      <c r="AB3219" s="394">
        <v>28</v>
      </c>
      <c r="AC3219" s="402">
        <v>97</v>
      </c>
      <c r="AD3219" s="399">
        <v>1</v>
      </c>
      <c r="AE3219" s="402"/>
      <c r="AF3219" s="391"/>
      <c r="AG3219" s="394"/>
      <c r="AH3219" s="394"/>
      <c r="AI3219" s="394"/>
      <c r="AJ3219" s="394"/>
      <c r="AK3219" s="394"/>
      <c r="AL3219" s="394"/>
      <c r="AM3219" s="394"/>
      <c r="AN3219" s="394"/>
      <c r="AO3219" s="394"/>
      <c r="AP3219" s="394"/>
      <c r="AQ3219" s="394"/>
      <c r="AR3219" s="394"/>
      <c r="AS3219" s="402"/>
      <c r="AT3219" s="404"/>
      <c r="AU3219" s="394"/>
      <c r="AV3219" s="394"/>
      <c r="AW3219" s="394"/>
      <c r="AX3219" s="5"/>
      <c r="AY3219" s="5"/>
      <c r="AZ3219" s="5"/>
      <c r="BA3219" s="5"/>
      <c r="BB3219" s="5"/>
      <c r="BC3219" s="5"/>
      <c r="BD3219" s="5"/>
      <c r="BE3219" s="5"/>
      <c r="BF3219" s="5"/>
      <c r="BG3219" s="5"/>
      <c r="BH3219" s="5"/>
      <c r="BI3219" s="5"/>
      <c r="BJ3219" s="5"/>
      <c r="BK3219" s="5"/>
      <c r="BL3219" s="5"/>
      <c r="BM3219" s="5"/>
      <c r="BN3219" s="5"/>
      <c r="BO3219" s="5"/>
      <c r="BP3219" s="5"/>
      <c r="BQ3219" s="5"/>
      <c r="BR3219" s="5"/>
      <c r="BS3219" s="5"/>
      <c r="BT3219" s="5"/>
      <c r="BU3219" s="5"/>
      <c r="BV3219" s="5"/>
      <c r="BW3219" s="5"/>
      <c r="BX3219" s="5"/>
      <c r="BY3219" s="5"/>
      <c r="BZ3219" s="5"/>
      <c r="CA3219" s="5"/>
    </row>
    <row r="3220" spans="1:79" s="400" customFormat="1" ht="15" customHeight="1">
      <c r="A3220" s="41" t="s">
        <v>183</v>
      </c>
      <c r="B3220" s="402" t="s">
        <v>5786</v>
      </c>
      <c r="C3220" s="113"/>
      <c r="D3220" s="393" t="s">
        <v>350</v>
      </c>
      <c r="E3220" s="394" t="s">
        <v>1329</v>
      </c>
      <c r="F3220" s="402"/>
      <c r="G3220" s="405" t="s">
        <v>5123</v>
      </c>
      <c r="H3220" s="404">
        <v>7399</v>
      </c>
      <c r="I3220" s="402" t="s">
        <v>2</v>
      </c>
      <c r="J3220" s="406" t="s">
        <v>5281</v>
      </c>
      <c r="K3220" s="403">
        <v>41131</v>
      </c>
      <c r="L3220" s="398">
        <v>41126</v>
      </c>
      <c r="M3220" s="402">
        <f t="shared" si="189"/>
        <v>5</v>
      </c>
      <c r="N3220" s="402" t="s">
        <v>2</v>
      </c>
      <c r="O3220" s="404">
        <v>7.2</v>
      </c>
      <c r="P3220" s="402"/>
      <c r="Q3220" s="404">
        <v>7.18</v>
      </c>
      <c r="R3220" s="402">
        <v>200</v>
      </c>
      <c r="S3220" s="404">
        <v>410</v>
      </c>
      <c r="T3220" s="402">
        <v>0.64</v>
      </c>
      <c r="U3220" s="395">
        <v>4.07</v>
      </c>
      <c r="V3220" s="402">
        <v>0.82</v>
      </c>
      <c r="W3220" s="404">
        <v>6.7000000000000004E-2</v>
      </c>
      <c r="X3220" s="402">
        <v>0.28799999999999998</v>
      </c>
      <c r="Y3220" s="404">
        <v>3.6999999999999998E-2</v>
      </c>
      <c r="Z3220" s="397">
        <v>1</v>
      </c>
      <c r="AA3220" s="399">
        <v>1</v>
      </c>
      <c r="AB3220" s="394">
        <v>52</v>
      </c>
      <c r="AC3220" s="402">
        <v>201</v>
      </c>
      <c r="AD3220" s="399">
        <v>1</v>
      </c>
      <c r="AE3220" s="402"/>
      <c r="AF3220" s="391"/>
      <c r="AG3220" s="394"/>
      <c r="AH3220" s="394"/>
      <c r="AI3220" s="394"/>
      <c r="AJ3220" s="394"/>
      <c r="AK3220" s="394"/>
      <c r="AL3220" s="394"/>
      <c r="AM3220" s="394"/>
      <c r="AN3220" s="394"/>
      <c r="AO3220" s="394"/>
      <c r="AP3220" s="394"/>
      <c r="AQ3220" s="394"/>
      <c r="AR3220" s="394"/>
      <c r="AS3220" s="402"/>
      <c r="AT3220" s="404"/>
      <c r="AU3220" s="394"/>
      <c r="AV3220" s="394"/>
      <c r="AW3220" s="394"/>
      <c r="AX3220" s="5"/>
      <c r="AY3220" s="5"/>
      <c r="AZ3220" s="5"/>
      <c r="BA3220" s="5"/>
      <c r="BB3220" s="5"/>
      <c r="BC3220" s="5"/>
      <c r="BD3220" s="5"/>
      <c r="BE3220" s="5"/>
      <c r="BF3220" s="5"/>
      <c r="BG3220" s="5"/>
      <c r="BH3220" s="5"/>
      <c r="BI3220" s="5"/>
      <c r="BJ3220" s="5"/>
      <c r="BK3220" s="5"/>
      <c r="BL3220" s="5"/>
      <c r="BM3220" s="5"/>
      <c r="BN3220" s="5"/>
      <c r="BO3220" s="5"/>
      <c r="BP3220" s="5"/>
      <c r="BQ3220" s="5"/>
      <c r="BR3220" s="5"/>
      <c r="BS3220" s="5"/>
      <c r="BT3220" s="5"/>
      <c r="BU3220" s="5"/>
      <c r="BV3220" s="5"/>
      <c r="BW3220" s="5"/>
      <c r="BX3220" s="5"/>
      <c r="BY3220" s="5"/>
      <c r="BZ3220" s="5"/>
      <c r="CA3220" s="5"/>
    </row>
    <row r="3221" spans="1:79" ht="15" customHeight="1">
      <c r="A3221" s="404" t="s">
        <v>4668</v>
      </c>
      <c r="B3221" s="402" t="s">
        <v>5787</v>
      </c>
      <c r="C3221" s="113" t="s">
        <v>5787</v>
      </c>
      <c r="D3221" s="393" t="s">
        <v>200</v>
      </c>
      <c r="G3221" s="405" t="s">
        <v>3720</v>
      </c>
      <c r="H3221" s="74"/>
      <c r="I3221" s="50" t="s">
        <v>2</v>
      </c>
      <c r="J3221" s="339" t="s">
        <v>5788</v>
      </c>
      <c r="K3221" s="51">
        <v>41044</v>
      </c>
      <c r="L3221" s="173">
        <v>41039</v>
      </c>
      <c r="M3221" s="50">
        <f t="shared" si="189"/>
        <v>5</v>
      </c>
      <c r="N3221" s="50" t="s">
        <v>2</v>
      </c>
      <c r="O3221" s="74">
        <v>7.7</v>
      </c>
      <c r="P3221" s="50">
        <v>5.5</v>
      </c>
      <c r="Q3221" s="74">
        <v>5.6</v>
      </c>
      <c r="R3221" s="50">
        <v>167.1</v>
      </c>
      <c r="S3221" s="74">
        <f>25/2</f>
        <v>12.5</v>
      </c>
      <c r="T3221" s="50">
        <f>0.1/2</f>
        <v>0.05</v>
      </c>
      <c r="U3221" s="131">
        <v>2.7</v>
      </c>
      <c r="V3221" s="50">
        <v>0.11</v>
      </c>
      <c r="W3221" s="74">
        <v>0.38</v>
      </c>
      <c r="X3221" s="50">
        <v>0.44</v>
      </c>
      <c r="Y3221" s="74">
        <v>5.1999999999999998E-2</v>
      </c>
      <c r="Z3221" s="165">
        <v>6.25E-2</v>
      </c>
      <c r="AA3221" s="271">
        <v>6.25E-2</v>
      </c>
      <c r="AB3221" s="114">
        <v>14</v>
      </c>
      <c r="AC3221" s="50">
        <v>79</v>
      </c>
      <c r="AD3221" s="271">
        <v>0</v>
      </c>
    </row>
    <row r="3222" spans="1:79" s="400" customFormat="1" ht="15" customHeight="1">
      <c r="A3222" s="41" t="s">
        <v>183</v>
      </c>
      <c r="B3222" s="402" t="s">
        <v>2283</v>
      </c>
      <c r="C3222" s="113" t="s">
        <v>2283</v>
      </c>
      <c r="D3222" s="393" t="s">
        <v>303</v>
      </c>
      <c r="E3222" s="394"/>
      <c r="F3222" s="402">
        <v>5306</v>
      </c>
      <c r="G3222" s="405" t="s">
        <v>2284</v>
      </c>
      <c r="H3222" s="404">
        <v>325510</v>
      </c>
      <c r="I3222" s="402" t="s">
        <v>2</v>
      </c>
      <c r="J3222" s="406"/>
      <c r="K3222" s="403">
        <v>41072</v>
      </c>
      <c r="L3222" s="398">
        <v>41067</v>
      </c>
      <c r="M3222" s="402">
        <f t="shared" si="189"/>
        <v>5</v>
      </c>
      <c r="N3222" s="402" t="s">
        <v>2</v>
      </c>
      <c r="O3222" s="404">
        <f>1/2</f>
        <v>0.5</v>
      </c>
      <c r="P3222" s="402">
        <v>3.18</v>
      </c>
      <c r="Q3222" s="404">
        <v>6.45</v>
      </c>
      <c r="R3222" s="402">
        <v>140</v>
      </c>
      <c r="S3222" s="404">
        <v>23</v>
      </c>
      <c r="T3222" s="402">
        <v>0.34</v>
      </c>
      <c r="U3222" s="395">
        <v>5.32</v>
      </c>
      <c r="V3222" s="402">
        <v>1.69</v>
      </c>
      <c r="W3222" s="404">
        <f>0.05/2</f>
        <v>2.5000000000000001E-2</v>
      </c>
      <c r="X3222" s="402">
        <v>0.13</v>
      </c>
      <c r="Y3222" s="404">
        <f>0.05/2</f>
        <v>2.5000000000000001E-2</v>
      </c>
      <c r="Z3222" s="397"/>
      <c r="AA3222" s="399"/>
      <c r="AB3222" s="394"/>
      <c r="AC3222" s="402"/>
      <c r="AD3222" s="399"/>
      <c r="AE3222" s="402"/>
      <c r="AF3222" s="391"/>
      <c r="AG3222" s="394"/>
      <c r="AH3222" s="394"/>
      <c r="AI3222" s="394"/>
      <c r="AJ3222" s="394"/>
      <c r="AK3222" s="394"/>
      <c r="AL3222" s="394"/>
      <c r="AM3222" s="394"/>
      <c r="AN3222" s="394"/>
      <c r="AO3222" s="394"/>
      <c r="AP3222" s="394"/>
      <c r="AQ3222" s="394"/>
      <c r="AR3222" s="394"/>
      <c r="AS3222" s="402"/>
      <c r="AT3222" s="404"/>
      <c r="AU3222" s="394"/>
      <c r="AV3222" s="394"/>
      <c r="AW3222" s="394"/>
      <c r="AX3222" s="5"/>
      <c r="AY3222" s="5"/>
      <c r="AZ3222" s="5"/>
      <c r="BA3222" s="5"/>
      <c r="BB3222" s="5"/>
      <c r="BC3222" s="5"/>
      <c r="BD3222" s="5"/>
      <c r="BE3222" s="5"/>
      <c r="BF3222" s="5"/>
      <c r="BG3222" s="5"/>
      <c r="BH3222" s="5"/>
      <c r="BI3222" s="5"/>
      <c r="BJ3222" s="5"/>
      <c r="BK3222" s="5"/>
      <c r="BL3222" s="5"/>
      <c r="BM3222" s="5"/>
      <c r="BN3222" s="5"/>
      <c r="BO3222" s="5"/>
      <c r="BP3222" s="5"/>
      <c r="BQ3222" s="5"/>
      <c r="BR3222" s="5"/>
      <c r="BS3222" s="5"/>
      <c r="BT3222" s="5"/>
      <c r="BU3222" s="5"/>
      <c r="BV3222" s="5"/>
      <c r="BW3222" s="5"/>
      <c r="BX3222" s="5"/>
      <c r="BY3222" s="5"/>
      <c r="BZ3222" s="5"/>
      <c r="CA3222" s="5"/>
    </row>
    <row r="3223" spans="1:79" s="400" customFormat="1" ht="15" customHeight="1">
      <c r="A3223" s="41" t="s">
        <v>183</v>
      </c>
      <c r="B3223" s="402" t="s">
        <v>3727</v>
      </c>
      <c r="C3223" s="113" t="s">
        <v>3727</v>
      </c>
      <c r="D3223" s="393" t="s">
        <v>195</v>
      </c>
      <c r="E3223" s="394" t="s">
        <v>112</v>
      </c>
      <c r="F3223" s="402"/>
      <c r="G3223" s="405" t="s">
        <v>3728</v>
      </c>
      <c r="H3223" s="404">
        <v>4226</v>
      </c>
      <c r="I3223" s="402" t="s">
        <v>1</v>
      </c>
      <c r="J3223" s="406" t="s">
        <v>255</v>
      </c>
      <c r="K3223" s="403">
        <v>40996</v>
      </c>
      <c r="L3223" s="398">
        <v>40971</v>
      </c>
      <c r="M3223" s="402">
        <f t="shared" si="189"/>
        <v>25</v>
      </c>
      <c r="N3223" s="402" t="s">
        <v>2</v>
      </c>
      <c r="O3223" s="404">
        <f>1.4/2</f>
        <v>0.7</v>
      </c>
      <c r="P3223" s="402">
        <v>6</v>
      </c>
      <c r="Q3223" s="404">
        <v>7.79</v>
      </c>
      <c r="R3223" s="402">
        <f>10/2</f>
        <v>5</v>
      </c>
      <c r="S3223" s="404">
        <v>18</v>
      </c>
      <c r="T3223" s="402">
        <v>0.12</v>
      </c>
      <c r="U3223" s="395">
        <v>0.77</v>
      </c>
      <c r="V3223" s="402">
        <v>2.52</v>
      </c>
      <c r="W3223" s="404">
        <v>1.2E-2</v>
      </c>
      <c r="X3223" s="402">
        <v>1.4999999999999999E-2</v>
      </c>
      <c r="Y3223" s="404">
        <v>5.0000000000000001E-3</v>
      </c>
      <c r="Z3223" s="397">
        <v>1</v>
      </c>
      <c r="AA3223" s="399">
        <v>1</v>
      </c>
      <c r="AB3223" s="394">
        <v>36</v>
      </c>
      <c r="AC3223" s="402">
        <v>113</v>
      </c>
      <c r="AD3223" s="399">
        <v>1</v>
      </c>
      <c r="AE3223" s="402"/>
      <c r="AF3223" s="391"/>
      <c r="AG3223" s="394">
        <v>4</v>
      </c>
      <c r="AH3223" s="394"/>
      <c r="AI3223" s="394">
        <f>10/2</f>
        <v>5</v>
      </c>
      <c r="AJ3223" s="394">
        <v>10</v>
      </c>
      <c r="AK3223" s="394"/>
      <c r="AL3223" s="394"/>
      <c r="AM3223" s="394"/>
      <c r="AN3223" s="394"/>
      <c r="AO3223" s="394"/>
      <c r="AP3223" s="394"/>
      <c r="AQ3223" s="394"/>
      <c r="AR3223" s="394"/>
      <c r="AS3223" s="402"/>
      <c r="AT3223" s="404"/>
      <c r="AU3223" s="394"/>
      <c r="AV3223" s="394"/>
      <c r="AW3223" s="394"/>
      <c r="AX3223" s="5"/>
      <c r="AY3223" s="5"/>
      <c r="AZ3223" s="5"/>
      <c r="BA3223" s="5"/>
      <c r="BB3223" s="5"/>
      <c r="BC3223" s="5"/>
      <c r="BD3223" s="5"/>
      <c r="BE3223" s="5"/>
      <c r="BF3223" s="5"/>
      <c r="BG3223" s="5"/>
      <c r="BH3223" s="5"/>
      <c r="BI3223" s="5"/>
      <c r="BJ3223" s="5"/>
      <c r="BK3223" s="5"/>
      <c r="BL3223" s="5"/>
      <c r="BM3223" s="5"/>
      <c r="BN3223" s="5"/>
      <c r="BO3223" s="5"/>
      <c r="BP3223" s="5"/>
      <c r="BQ3223" s="5"/>
      <c r="BR3223" s="5"/>
      <c r="BS3223" s="5"/>
      <c r="BT3223" s="5"/>
      <c r="BU3223" s="5"/>
      <c r="BV3223" s="5"/>
      <c r="BW3223" s="5"/>
      <c r="BX3223" s="5"/>
      <c r="BY3223" s="5"/>
      <c r="BZ3223" s="5"/>
      <c r="CA3223" s="5"/>
    </row>
    <row r="3224" spans="1:79" s="400" customFormat="1" ht="15" customHeight="1">
      <c r="A3224" s="41" t="s">
        <v>183</v>
      </c>
      <c r="B3224" s="402" t="s">
        <v>3727</v>
      </c>
      <c r="C3224" s="113" t="s">
        <v>3727</v>
      </c>
      <c r="D3224" s="393" t="s">
        <v>195</v>
      </c>
      <c r="E3224" s="394" t="s">
        <v>112</v>
      </c>
      <c r="F3224" s="402"/>
      <c r="G3224" s="405" t="s">
        <v>3728</v>
      </c>
      <c r="H3224" s="404">
        <v>4226</v>
      </c>
      <c r="I3224" s="402" t="s">
        <v>1</v>
      </c>
      <c r="J3224" s="406" t="s">
        <v>96</v>
      </c>
      <c r="K3224" s="403">
        <v>40996</v>
      </c>
      <c r="L3224" s="398">
        <v>40971</v>
      </c>
      <c r="M3224" s="402">
        <f t="shared" si="189"/>
        <v>25</v>
      </c>
      <c r="N3224" s="402" t="s">
        <v>2</v>
      </c>
      <c r="O3224" s="404">
        <f>1.4/2</f>
        <v>0.7</v>
      </c>
      <c r="P3224" s="402">
        <v>6</v>
      </c>
      <c r="Q3224" s="404">
        <v>8.24</v>
      </c>
      <c r="R3224" s="402">
        <f>10/2</f>
        <v>5</v>
      </c>
      <c r="S3224" s="404">
        <v>26</v>
      </c>
      <c r="T3224" s="402">
        <v>0.14000000000000001</v>
      </c>
      <c r="U3224" s="395">
        <v>1</v>
      </c>
      <c r="V3224" s="402">
        <v>0.62</v>
      </c>
      <c r="W3224" s="404">
        <v>1.2999999999999999E-2</v>
      </c>
      <c r="X3224" s="402">
        <v>8.7999999999999995E-2</v>
      </c>
      <c r="Y3224" s="404">
        <v>6.0000000000000001E-3</v>
      </c>
      <c r="Z3224" s="397">
        <v>1</v>
      </c>
      <c r="AA3224" s="399">
        <v>1</v>
      </c>
      <c r="AB3224" s="394">
        <v>56</v>
      </c>
      <c r="AC3224" s="402">
        <v>467</v>
      </c>
      <c r="AD3224" s="399">
        <v>1</v>
      </c>
      <c r="AE3224" s="402"/>
      <c r="AF3224" s="391"/>
      <c r="AG3224" s="394">
        <f>0.5/2</f>
        <v>0.25</v>
      </c>
      <c r="AH3224" s="394"/>
      <c r="AI3224" s="394">
        <v>500</v>
      </c>
      <c r="AJ3224" s="394">
        <v>600</v>
      </c>
      <c r="AK3224" s="394"/>
      <c r="AL3224" s="394"/>
      <c r="AM3224" s="394"/>
      <c r="AN3224" s="394"/>
      <c r="AO3224" s="394"/>
      <c r="AP3224" s="394"/>
      <c r="AQ3224" s="394"/>
      <c r="AR3224" s="394"/>
      <c r="AS3224" s="402"/>
      <c r="AT3224" s="404"/>
      <c r="AU3224" s="394"/>
      <c r="AV3224" s="394"/>
      <c r="AW3224" s="394"/>
      <c r="AX3224" s="5"/>
      <c r="AY3224" s="5"/>
      <c r="AZ3224" s="5"/>
      <c r="BA3224" s="5"/>
      <c r="BB3224" s="5"/>
      <c r="BC3224" s="5"/>
      <c r="BD3224" s="5"/>
      <c r="BE3224" s="5"/>
      <c r="BF3224" s="5"/>
      <c r="BG3224" s="5"/>
      <c r="BH3224" s="5"/>
      <c r="BI3224" s="5"/>
      <c r="BJ3224" s="5"/>
      <c r="BK3224" s="5"/>
      <c r="BL3224" s="5"/>
      <c r="BM3224" s="5"/>
      <c r="BN3224" s="5"/>
      <c r="BO3224" s="5"/>
      <c r="BP3224" s="5"/>
      <c r="BQ3224" s="5"/>
      <c r="BR3224" s="5"/>
      <c r="BS3224" s="5"/>
      <c r="BT3224" s="5"/>
      <c r="BU3224" s="5"/>
      <c r="BV3224" s="5"/>
      <c r="BW3224" s="5"/>
      <c r="BX3224" s="5"/>
      <c r="BY3224" s="5"/>
      <c r="BZ3224" s="5"/>
      <c r="CA3224" s="5"/>
    </row>
    <row r="3225" spans="1:79" s="400" customFormat="1" ht="15" customHeight="1">
      <c r="A3225" s="41" t="s">
        <v>183</v>
      </c>
      <c r="B3225" s="402" t="s">
        <v>1408</v>
      </c>
      <c r="C3225" s="113" t="s">
        <v>1408</v>
      </c>
      <c r="D3225" s="393" t="s">
        <v>347</v>
      </c>
      <c r="E3225" s="394" t="s">
        <v>1265</v>
      </c>
      <c r="F3225" s="402"/>
      <c r="G3225" s="405" t="s">
        <v>1409</v>
      </c>
      <c r="H3225" s="404">
        <v>3351</v>
      </c>
      <c r="I3225" s="402" t="s">
        <v>2</v>
      </c>
      <c r="J3225" s="406" t="s">
        <v>1410</v>
      </c>
      <c r="K3225" s="403">
        <v>41170</v>
      </c>
      <c r="L3225" s="398">
        <v>41167</v>
      </c>
      <c r="M3225" s="402">
        <f t="shared" si="189"/>
        <v>3</v>
      </c>
      <c r="N3225" s="402" t="s">
        <v>2</v>
      </c>
      <c r="O3225" s="404">
        <v>1.2</v>
      </c>
      <c r="P3225" s="402">
        <v>6.8</v>
      </c>
      <c r="Q3225" s="404">
        <v>6.8</v>
      </c>
      <c r="R3225" s="402">
        <v>28.9</v>
      </c>
      <c r="S3225" s="404">
        <v>8</v>
      </c>
      <c r="T3225" s="402">
        <v>0.12</v>
      </c>
      <c r="U3225" s="395">
        <f>0.1/2</f>
        <v>0.05</v>
      </c>
      <c r="V3225" s="402">
        <v>0.5</v>
      </c>
      <c r="W3225" s="404">
        <v>0.06</v>
      </c>
      <c r="X3225" s="402">
        <v>0.22600000000000001</v>
      </c>
      <c r="Y3225" s="404">
        <f>0.002/2</f>
        <v>1E-3</v>
      </c>
      <c r="Z3225" s="397">
        <v>0.16500000000000001</v>
      </c>
      <c r="AA3225" s="399">
        <v>0.159</v>
      </c>
      <c r="AB3225" s="394">
        <v>12.51</v>
      </c>
      <c r="AC3225" s="402">
        <v>69</v>
      </c>
      <c r="AD3225" s="399">
        <v>0</v>
      </c>
      <c r="AE3225" s="402"/>
      <c r="AF3225" s="391"/>
      <c r="AG3225" s="394"/>
      <c r="AH3225" s="394"/>
      <c r="AI3225" s="394"/>
      <c r="AJ3225" s="394"/>
      <c r="AK3225" s="394"/>
      <c r="AL3225" s="394"/>
      <c r="AM3225" s="394"/>
      <c r="AN3225" s="394"/>
      <c r="AO3225" s="394"/>
      <c r="AP3225" s="394"/>
      <c r="AQ3225" s="394"/>
      <c r="AR3225" s="394"/>
      <c r="AS3225" s="402"/>
      <c r="AT3225" s="404"/>
      <c r="AU3225" s="394"/>
      <c r="AV3225" s="394"/>
      <c r="AW3225" s="394"/>
      <c r="AX3225" s="5"/>
      <c r="AY3225" s="5"/>
      <c r="AZ3225" s="5"/>
      <c r="BA3225" s="5"/>
      <c r="BB3225" s="5"/>
      <c r="BC3225" s="5"/>
      <c r="BD3225" s="5"/>
      <c r="BE3225" s="5"/>
      <c r="BF3225" s="5"/>
      <c r="BG3225" s="5"/>
      <c r="BH3225" s="5"/>
      <c r="BI3225" s="5"/>
      <c r="BJ3225" s="5"/>
      <c r="BK3225" s="5"/>
      <c r="BL3225" s="5"/>
      <c r="BM3225" s="5"/>
      <c r="BN3225" s="5"/>
      <c r="BO3225" s="5"/>
      <c r="BP3225" s="5"/>
      <c r="BQ3225" s="5"/>
      <c r="BR3225" s="5"/>
      <c r="BS3225" s="5"/>
      <c r="BT3225" s="5"/>
      <c r="BU3225" s="5"/>
      <c r="BV3225" s="5"/>
      <c r="BW3225" s="5"/>
      <c r="BX3225" s="5"/>
      <c r="BY3225" s="5"/>
      <c r="BZ3225" s="5"/>
      <c r="CA3225" s="5"/>
    </row>
    <row r="3226" spans="1:79" ht="15" customHeight="1">
      <c r="A3226" s="404" t="s">
        <v>4668</v>
      </c>
      <c r="B3226" s="402" t="s">
        <v>1252</v>
      </c>
      <c r="C3226" s="113" t="s">
        <v>1253</v>
      </c>
      <c r="D3226" s="393" t="s">
        <v>192</v>
      </c>
      <c r="E3226" s="394" t="s">
        <v>1254</v>
      </c>
      <c r="G3226" s="76" t="s">
        <v>1255</v>
      </c>
      <c r="H3226" s="74">
        <v>2621</v>
      </c>
      <c r="J3226" s="339" t="s">
        <v>1263</v>
      </c>
      <c r="K3226" s="51">
        <v>41170</v>
      </c>
      <c r="L3226" s="173">
        <v>41167</v>
      </c>
      <c r="M3226" s="50">
        <f t="shared" si="189"/>
        <v>3</v>
      </c>
      <c r="N3226" s="50" t="s">
        <v>2</v>
      </c>
      <c r="P3226" s="50">
        <v>6.8</v>
      </c>
      <c r="Z3226" s="165"/>
      <c r="AE3226" s="50">
        <v>150</v>
      </c>
      <c r="AG3226" s="114">
        <f t="shared" ref="AG3226:AG3233" si="190">0.5/2</f>
        <v>0.25</v>
      </c>
    </row>
    <row r="3227" spans="1:79" ht="15" customHeight="1">
      <c r="A3227" s="404" t="s">
        <v>4668</v>
      </c>
      <c r="B3227" s="402" t="s">
        <v>1252</v>
      </c>
      <c r="C3227" s="113" t="s">
        <v>1253</v>
      </c>
      <c r="D3227" s="393" t="s">
        <v>192</v>
      </c>
      <c r="E3227" s="394" t="s">
        <v>1254</v>
      </c>
      <c r="G3227" s="76" t="s">
        <v>1255</v>
      </c>
      <c r="H3227" s="74">
        <v>2621</v>
      </c>
      <c r="J3227" s="339" t="s">
        <v>1256</v>
      </c>
      <c r="K3227" s="51">
        <v>41170</v>
      </c>
      <c r="L3227" s="173">
        <v>41167</v>
      </c>
      <c r="M3227" s="50">
        <f t="shared" si="189"/>
        <v>3</v>
      </c>
      <c r="N3227" s="50" t="s">
        <v>2</v>
      </c>
      <c r="P3227" s="50">
        <v>6.8</v>
      </c>
      <c r="Z3227" s="165"/>
      <c r="AE3227" s="50">
        <v>9500</v>
      </c>
      <c r="AG3227" s="114">
        <f t="shared" si="190"/>
        <v>0.25</v>
      </c>
    </row>
    <row r="3228" spans="1:79" ht="15" customHeight="1">
      <c r="A3228" s="404" t="s">
        <v>4668</v>
      </c>
      <c r="B3228" s="402" t="s">
        <v>1252</v>
      </c>
      <c r="C3228" s="113" t="s">
        <v>1253</v>
      </c>
      <c r="D3228" s="393" t="s">
        <v>192</v>
      </c>
      <c r="E3228" s="394" t="s">
        <v>1254</v>
      </c>
      <c r="G3228" s="76" t="s">
        <v>1255</v>
      </c>
      <c r="H3228" s="74">
        <v>2621</v>
      </c>
      <c r="J3228" s="339" t="s">
        <v>1257</v>
      </c>
      <c r="K3228" s="51">
        <v>41170</v>
      </c>
      <c r="L3228" s="173">
        <v>41167</v>
      </c>
      <c r="M3228" s="50">
        <f t="shared" si="189"/>
        <v>3</v>
      </c>
      <c r="N3228" s="50" t="s">
        <v>2</v>
      </c>
      <c r="P3228" s="50">
        <v>6.8</v>
      </c>
      <c r="Z3228" s="165"/>
      <c r="AE3228" s="50">
        <f>10/2</f>
        <v>5</v>
      </c>
      <c r="AG3228" s="114">
        <f t="shared" si="190"/>
        <v>0.25</v>
      </c>
    </row>
    <row r="3229" spans="1:79" ht="15" customHeight="1">
      <c r="A3229" s="404" t="s">
        <v>4668</v>
      </c>
      <c r="B3229" s="402" t="s">
        <v>1252</v>
      </c>
      <c r="C3229" s="113" t="s">
        <v>1253</v>
      </c>
      <c r="D3229" s="393" t="s">
        <v>192</v>
      </c>
      <c r="E3229" s="394" t="s">
        <v>1254</v>
      </c>
      <c r="G3229" s="76" t="s">
        <v>1255</v>
      </c>
      <c r="H3229" s="74">
        <v>2621</v>
      </c>
      <c r="J3229" s="339" t="s">
        <v>1258</v>
      </c>
      <c r="K3229" s="51">
        <v>41170</v>
      </c>
      <c r="L3229" s="173">
        <v>41167</v>
      </c>
      <c r="M3229" s="50">
        <f t="shared" si="189"/>
        <v>3</v>
      </c>
      <c r="N3229" s="50" t="s">
        <v>2</v>
      </c>
      <c r="P3229" s="50">
        <v>6.8</v>
      </c>
      <c r="Z3229" s="165"/>
      <c r="AE3229" s="50">
        <v>1300</v>
      </c>
      <c r="AG3229" s="114">
        <f t="shared" si="190"/>
        <v>0.25</v>
      </c>
    </row>
    <row r="3230" spans="1:79" ht="15" customHeight="1">
      <c r="A3230" s="404" t="s">
        <v>4668</v>
      </c>
      <c r="B3230" s="402" t="s">
        <v>1252</v>
      </c>
      <c r="C3230" s="113" t="s">
        <v>1253</v>
      </c>
      <c r="D3230" s="393" t="s">
        <v>192</v>
      </c>
      <c r="E3230" s="394" t="s">
        <v>1254</v>
      </c>
      <c r="G3230" s="76" t="s">
        <v>1255</v>
      </c>
      <c r="H3230" s="74">
        <v>2621</v>
      </c>
      <c r="J3230" s="339" t="s">
        <v>1261</v>
      </c>
      <c r="K3230" s="51">
        <v>41170</v>
      </c>
      <c r="L3230" s="173">
        <v>41167</v>
      </c>
      <c r="M3230" s="50">
        <f t="shared" si="189"/>
        <v>3</v>
      </c>
      <c r="N3230" s="50" t="s">
        <v>2</v>
      </c>
      <c r="P3230" s="50">
        <v>6.8</v>
      </c>
      <c r="Z3230" s="165"/>
      <c r="AE3230" s="50">
        <v>9900</v>
      </c>
      <c r="AG3230" s="114">
        <f t="shared" si="190"/>
        <v>0.25</v>
      </c>
    </row>
    <row r="3231" spans="1:79" ht="15" customHeight="1">
      <c r="A3231" s="404" t="s">
        <v>4668</v>
      </c>
      <c r="B3231" s="402" t="s">
        <v>1252</v>
      </c>
      <c r="C3231" s="113" t="s">
        <v>1253</v>
      </c>
      <c r="D3231" s="393" t="s">
        <v>192</v>
      </c>
      <c r="E3231" s="394" t="s">
        <v>1254</v>
      </c>
      <c r="G3231" s="76" t="s">
        <v>1255</v>
      </c>
      <c r="H3231" s="74">
        <v>2621</v>
      </c>
      <c r="J3231" s="339" t="s">
        <v>1259</v>
      </c>
      <c r="K3231" s="51">
        <v>41170</v>
      </c>
      <c r="L3231" s="173">
        <v>41167</v>
      </c>
      <c r="M3231" s="50">
        <f t="shared" si="189"/>
        <v>3</v>
      </c>
      <c r="N3231" s="50" t="s">
        <v>2</v>
      </c>
      <c r="P3231" s="50">
        <v>6.8</v>
      </c>
      <c r="Z3231" s="165"/>
      <c r="AE3231" s="50">
        <v>140</v>
      </c>
      <c r="AG3231" s="114">
        <f t="shared" si="190"/>
        <v>0.25</v>
      </c>
    </row>
    <row r="3232" spans="1:79" ht="15" customHeight="1">
      <c r="A3232" s="404" t="s">
        <v>4668</v>
      </c>
      <c r="B3232" s="402" t="s">
        <v>1252</v>
      </c>
      <c r="C3232" s="113" t="s">
        <v>1253</v>
      </c>
      <c r="D3232" s="393" t="s">
        <v>192</v>
      </c>
      <c r="E3232" s="394" t="s">
        <v>1254</v>
      </c>
      <c r="G3232" s="76" t="s">
        <v>1255</v>
      </c>
      <c r="H3232" s="74">
        <v>2621</v>
      </c>
      <c r="J3232" s="339" t="s">
        <v>1260</v>
      </c>
      <c r="K3232" s="51">
        <v>41170</v>
      </c>
      <c r="L3232" s="173">
        <v>41167</v>
      </c>
      <c r="M3232" s="50">
        <f t="shared" si="189"/>
        <v>3</v>
      </c>
      <c r="N3232" s="50" t="s">
        <v>2</v>
      </c>
      <c r="P3232" s="50">
        <v>6.8</v>
      </c>
      <c r="Z3232" s="165"/>
      <c r="AE3232" s="50">
        <f>10/2</f>
        <v>5</v>
      </c>
      <c r="AG3232" s="114">
        <f t="shared" si="190"/>
        <v>0.25</v>
      </c>
    </row>
    <row r="3233" spans="1:79" ht="15" customHeight="1">
      <c r="A3233" s="404" t="s">
        <v>4668</v>
      </c>
      <c r="B3233" s="402" t="s">
        <v>1252</v>
      </c>
      <c r="C3233" s="113" t="s">
        <v>1253</v>
      </c>
      <c r="D3233" s="393" t="s">
        <v>192</v>
      </c>
      <c r="E3233" s="394" t="s">
        <v>1254</v>
      </c>
      <c r="G3233" s="76" t="s">
        <v>1255</v>
      </c>
      <c r="H3233" s="74">
        <v>2621</v>
      </c>
      <c r="J3233" s="339" t="s">
        <v>1262</v>
      </c>
      <c r="K3233" s="51">
        <v>41170</v>
      </c>
      <c r="L3233" s="173">
        <v>41167</v>
      </c>
      <c r="M3233" s="50">
        <f t="shared" si="189"/>
        <v>3</v>
      </c>
      <c r="N3233" s="50" t="s">
        <v>2</v>
      </c>
      <c r="P3233" s="50">
        <v>6.8</v>
      </c>
      <c r="Z3233" s="165"/>
      <c r="AE3233" s="50">
        <v>20</v>
      </c>
      <c r="AG3233" s="114">
        <f t="shared" si="190"/>
        <v>0.25</v>
      </c>
    </row>
    <row r="3234" spans="1:79" s="400" customFormat="1" ht="15" customHeight="1">
      <c r="A3234" s="41" t="s">
        <v>183</v>
      </c>
      <c r="B3234" s="402" t="s">
        <v>4276</v>
      </c>
      <c r="C3234" s="113" t="s">
        <v>3789</v>
      </c>
      <c r="D3234" s="393" t="s">
        <v>56</v>
      </c>
      <c r="E3234" s="394" t="s">
        <v>95</v>
      </c>
      <c r="F3234" s="402"/>
      <c r="G3234" s="405" t="s">
        <v>3790</v>
      </c>
      <c r="H3234" s="404">
        <v>4111</v>
      </c>
      <c r="I3234" s="402" t="s">
        <v>1</v>
      </c>
      <c r="J3234" s="406" t="s">
        <v>3786</v>
      </c>
      <c r="K3234" s="403">
        <v>40835</v>
      </c>
      <c r="L3234" s="398">
        <v>40830</v>
      </c>
      <c r="M3234" s="402">
        <f t="shared" si="189"/>
        <v>5</v>
      </c>
      <c r="N3234" s="402" t="s">
        <v>2</v>
      </c>
      <c r="O3234" s="404">
        <v>1</v>
      </c>
      <c r="P3234" s="402">
        <v>6.26</v>
      </c>
      <c r="Q3234" s="404">
        <v>7.8</v>
      </c>
      <c r="R3234" s="402">
        <v>74</v>
      </c>
      <c r="S3234" s="404">
        <v>66</v>
      </c>
      <c r="T3234" s="402">
        <f>0.01/2</f>
        <v>5.0000000000000001E-3</v>
      </c>
      <c r="U3234" s="395">
        <v>0.44700000000000001</v>
      </c>
      <c r="V3234" s="402">
        <v>0.42399999999999999</v>
      </c>
      <c r="W3234" s="404">
        <v>0.26700000000000002</v>
      </c>
      <c r="X3234" s="402">
        <v>0.125</v>
      </c>
      <c r="Y3234" s="404">
        <v>1.43E-2</v>
      </c>
      <c r="Z3234" s="397">
        <v>1</v>
      </c>
      <c r="AA3234" s="399">
        <v>1</v>
      </c>
      <c r="AB3234" s="394"/>
      <c r="AC3234" s="402">
        <v>43</v>
      </c>
      <c r="AD3234" s="399">
        <v>1</v>
      </c>
      <c r="AE3234" s="402"/>
      <c r="AF3234" s="391"/>
      <c r="AG3234" s="394"/>
      <c r="AH3234" s="394"/>
      <c r="AI3234" s="394"/>
      <c r="AJ3234" s="394"/>
      <c r="AK3234" s="394"/>
      <c r="AL3234" s="394"/>
      <c r="AM3234" s="394"/>
      <c r="AN3234" s="394"/>
      <c r="AO3234" s="394"/>
      <c r="AP3234" s="394"/>
      <c r="AQ3234" s="394"/>
      <c r="AR3234" s="394"/>
      <c r="AS3234" s="402"/>
      <c r="AT3234" s="404"/>
      <c r="AU3234" s="394"/>
      <c r="AV3234" s="394"/>
      <c r="AW3234" s="394"/>
      <c r="AX3234" s="5"/>
      <c r="AY3234" s="5"/>
      <c r="AZ3234" s="5"/>
      <c r="BA3234" s="5"/>
      <c r="BB3234" s="5"/>
      <c r="BC3234" s="5"/>
      <c r="BD3234" s="5"/>
      <c r="BE3234" s="5"/>
      <c r="BF3234" s="5"/>
      <c r="BG3234" s="5"/>
      <c r="BH3234" s="5"/>
      <c r="BI3234" s="5"/>
      <c r="BJ3234" s="5"/>
      <c r="BK3234" s="5"/>
      <c r="BL3234" s="5"/>
      <c r="BM3234" s="5"/>
      <c r="BN3234" s="5"/>
      <c r="BO3234" s="5"/>
      <c r="BP3234" s="5"/>
      <c r="BQ3234" s="5"/>
      <c r="BR3234" s="5"/>
      <c r="BS3234" s="5"/>
      <c r="BT3234" s="5"/>
      <c r="BU3234" s="5"/>
      <c r="BV3234" s="5"/>
      <c r="BW3234" s="5"/>
      <c r="BX3234" s="5"/>
      <c r="BY3234" s="5"/>
      <c r="BZ3234" s="5"/>
      <c r="CA3234" s="5"/>
    </row>
    <row r="3235" spans="1:79" s="400" customFormat="1" ht="15" customHeight="1">
      <c r="A3235" s="41" t="s">
        <v>183</v>
      </c>
      <c r="B3235" s="402" t="s">
        <v>4276</v>
      </c>
      <c r="C3235" s="113" t="s">
        <v>3789</v>
      </c>
      <c r="D3235" s="393" t="s">
        <v>56</v>
      </c>
      <c r="E3235" s="394" t="s">
        <v>95</v>
      </c>
      <c r="F3235" s="402"/>
      <c r="G3235" s="405" t="s">
        <v>3790</v>
      </c>
      <c r="H3235" s="404">
        <v>4111</v>
      </c>
      <c r="I3235" s="402" t="s">
        <v>1</v>
      </c>
      <c r="J3235" s="406" t="s">
        <v>3791</v>
      </c>
      <c r="K3235" s="403">
        <v>40835</v>
      </c>
      <c r="L3235" s="398">
        <v>40830</v>
      </c>
      <c r="M3235" s="402">
        <f t="shared" si="189"/>
        <v>5</v>
      </c>
      <c r="N3235" s="402" t="s">
        <v>2</v>
      </c>
      <c r="O3235" s="404">
        <v>0.9</v>
      </c>
      <c r="P3235" s="402">
        <v>6.26</v>
      </c>
      <c r="Q3235" s="404">
        <v>6.81</v>
      </c>
      <c r="R3235" s="402">
        <v>67</v>
      </c>
      <c r="S3235" s="404">
        <v>13</v>
      </c>
      <c r="T3235" s="402">
        <v>0.47299999999999998</v>
      </c>
      <c r="U3235" s="395">
        <v>0.59099999999999997</v>
      </c>
      <c r="V3235" s="402">
        <v>0.78300000000000003</v>
      </c>
      <c r="W3235" s="404">
        <v>3.44E-2</v>
      </c>
      <c r="X3235" s="402">
        <v>7.6100000000000001E-2</v>
      </c>
      <c r="Y3235" s="404">
        <v>2.6599999999999999E-2</v>
      </c>
      <c r="Z3235" s="397">
        <v>1</v>
      </c>
      <c r="AA3235" s="399">
        <v>1</v>
      </c>
      <c r="AB3235" s="394"/>
      <c r="AC3235" s="402">
        <v>446</v>
      </c>
      <c r="AD3235" s="399">
        <v>0.8</v>
      </c>
      <c r="AE3235" s="402"/>
      <c r="AF3235" s="391"/>
      <c r="AG3235" s="394"/>
      <c r="AH3235" s="394"/>
      <c r="AI3235" s="394"/>
      <c r="AJ3235" s="394"/>
      <c r="AK3235" s="394"/>
      <c r="AL3235" s="394"/>
      <c r="AM3235" s="394"/>
      <c r="AN3235" s="394"/>
      <c r="AO3235" s="394"/>
      <c r="AP3235" s="394"/>
      <c r="AQ3235" s="394"/>
      <c r="AR3235" s="394"/>
      <c r="AS3235" s="402"/>
      <c r="AT3235" s="404"/>
      <c r="AU3235" s="394"/>
      <c r="AV3235" s="394"/>
      <c r="AW3235" s="394"/>
      <c r="AX3235" s="5"/>
      <c r="AY3235" s="5"/>
      <c r="AZ3235" s="5"/>
      <c r="BA3235" s="5"/>
      <c r="BB3235" s="5"/>
      <c r="BC3235" s="5"/>
      <c r="BD3235" s="5"/>
      <c r="BE3235" s="5"/>
      <c r="BF3235" s="5"/>
      <c r="BG3235" s="5"/>
      <c r="BH3235" s="5"/>
      <c r="BI3235" s="5"/>
      <c r="BJ3235" s="5"/>
      <c r="BK3235" s="5"/>
      <c r="BL3235" s="5"/>
      <c r="BM3235" s="5"/>
      <c r="BN3235" s="5"/>
      <c r="BO3235" s="5"/>
      <c r="BP3235" s="5"/>
      <c r="BQ3235" s="5"/>
      <c r="BR3235" s="5"/>
      <c r="BS3235" s="5"/>
      <c r="BT3235" s="5"/>
      <c r="BU3235" s="5"/>
      <c r="BV3235" s="5"/>
      <c r="BW3235" s="5"/>
      <c r="BX3235" s="5"/>
      <c r="BY3235" s="5"/>
      <c r="BZ3235" s="5"/>
      <c r="CA3235" s="5"/>
    </row>
    <row r="3236" spans="1:79" s="400" customFormat="1" ht="15" customHeight="1">
      <c r="A3236" s="41" t="s">
        <v>183</v>
      </c>
      <c r="B3236" s="402" t="s">
        <v>1252</v>
      </c>
      <c r="C3236" s="113" t="s">
        <v>1253</v>
      </c>
      <c r="D3236" s="393" t="s">
        <v>192</v>
      </c>
      <c r="E3236" s="394" t="s">
        <v>1254</v>
      </c>
      <c r="F3236" s="402"/>
      <c r="G3236" s="405" t="s">
        <v>1255</v>
      </c>
      <c r="H3236" s="404">
        <v>2621</v>
      </c>
      <c r="I3236" s="402"/>
      <c r="J3236" s="406" t="s">
        <v>1260</v>
      </c>
      <c r="K3236" s="403">
        <v>41201</v>
      </c>
      <c r="L3236" s="398">
        <v>41197</v>
      </c>
      <c r="M3236" s="402">
        <f t="shared" si="189"/>
        <v>4</v>
      </c>
      <c r="N3236" s="402" t="s">
        <v>2</v>
      </c>
      <c r="O3236" s="404">
        <f>1.4/2</f>
        <v>0.7</v>
      </c>
      <c r="P3236" s="402">
        <v>5.6</v>
      </c>
      <c r="Q3236" s="404">
        <v>7</v>
      </c>
      <c r="R3236" s="402">
        <v>14</v>
      </c>
      <c r="S3236" s="404">
        <v>22</v>
      </c>
      <c r="T3236" s="402">
        <v>0.08</v>
      </c>
      <c r="U3236" s="395">
        <v>1.01</v>
      </c>
      <c r="V3236" s="402">
        <v>0.45</v>
      </c>
      <c r="W3236" s="404">
        <v>5.0000000000000001E-3</v>
      </c>
      <c r="X3236" s="402">
        <v>0.13200000000000001</v>
      </c>
      <c r="Y3236" s="404">
        <f>0.002/2</f>
        <v>1E-3</v>
      </c>
      <c r="Z3236" s="397"/>
      <c r="AA3236" s="399"/>
      <c r="AB3236" s="394"/>
      <c r="AC3236" s="402"/>
      <c r="AD3236" s="399"/>
      <c r="AE3236" s="402"/>
      <c r="AF3236" s="391"/>
      <c r="AG3236" s="394"/>
      <c r="AH3236" s="394"/>
      <c r="AI3236" s="394"/>
      <c r="AJ3236" s="394"/>
      <c r="AK3236" s="394"/>
      <c r="AL3236" s="394"/>
      <c r="AM3236" s="394"/>
      <c r="AN3236" s="394"/>
      <c r="AO3236" s="394"/>
      <c r="AP3236" s="394"/>
      <c r="AQ3236" s="394"/>
      <c r="AR3236" s="394"/>
      <c r="AS3236" s="402"/>
      <c r="AT3236" s="404"/>
      <c r="AU3236" s="394"/>
      <c r="AV3236" s="394"/>
      <c r="AW3236" s="394"/>
      <c r="AX3236" s="5"/>
      <c r="AY3236" s="5"/>
      <c r="AZ3236" s="5"/>
      <c r="BA3236" s="5"/>
      <c r="BB3236" s="5"/>
      <c r="BC3236" s="5"/>
      <c r="BD3236" s="5"/>
      <c r="BE3236" s="5"/>
      <c r="BF3236" s="5"/>
      <c r="BG3236" s="5"/>
      <c r="BH3236" s="5"/>
      <c r="BI3236" s="5"/>
      <c r="BJ3236" s="5"/>
      <c r="BK3236" s="5"/>
      <c r="BL3236" s="5"/>
      <c r="BM3236" s="5"/>
      <c r="BN3236" s="5"/>
      <c r="BO3236" s="5"/>
      <c r="BP3236" s="5"/>
      <c r="BQ3236" s="5"/>
      <c r="BR3236" s="5"/>
      <c r="BS3236" s="5"/>
      <c r="BT3236" s="5"/>
      <c r="BU3236" s="5"/>
      <c r="BV3236" s="5"/>
      <c r="BW3236" s="5"/>
      <c r="BX3236" s="5"/>
      <c r="BY3236" s="5"/>
      <c r="BZ3236" s="5"/>
      <c r="CA3236" s="5"/>
    </row>
    <row r="3237" spans="1:79" s="400" customFormat="1" ht="15" customHeight="1">
      <c r="A3237" s="41" t="s">
        <v>183</v>
      </c>
      <c r="B3237" s="402" t="s">
        <v>1252</v>
      </c>
      <c r="C3237" s="113" t="s">
        <v>1253</v>
      </c>
      <c r="D3237" s="393" t="s">
        <v>192</v>
      </c>
      <c r="E3237" s="394" t="s">
        <v>1254</v>
      </c>
      <c r="F3237" s="402"/>
      <c r="G3237" s="405" t="s">
        <v>1255</v>
      </c>
      <c r="H3237" s="404">
        <v>2621</v>
      </c>
      <c r="I3237" s="402"/>
      <c r="J3237" s="406" t="s">
        <v>1259</v>
      </c>
      <c r="K3237" s="403">
        <v>41201</v>
      </c>
      <c r="L3237" s="398">
        <v>41197</v>
      </c>
      <c r="M3237" s="402">
        <f t="shared" si="189"/>
        <v>4</v>
      </c>
      <c r="N3237" s="402" t="s">
        <v>2</v>
      </c>
      <c r="O3237" s="404">
        <v>2.5</v>
      </c>
      <c r="P3237" s="402">
        <v>5.6</v>
      </c>
      <c r="Q3237" s="404">
        <v>6.98</v>
      </c>
      <c r="R3237" s="402">
        <v>14</v>
      </c>
      <c r="S3237" s="404">
        <v>12</v>
      </c>
      <c r="T3237" s="402">
        <v>0.12</v>
      </c>
      <c r="U3237" s="395">
        <v>0.69</v>
      </c>
      <c r="V3237" s="402">
        <v>0.23</v>
      </c>
      <c r="W3237" s="404">
        <v>1.7000000000000001E-2</v>
      </c>
      <c r="X3237" s="402">
        <v>0.17</v>
      </c>
      <c r="Y3237" s="404">
        <v>3.0000000000000001E-3</v>
      </c>
      <c r="Z3237" s="397"/>
      <c r="AA3237" s="399"/>
      <c r="AB3237" s="394"/>
      <c r="AC3237" s="402"/>
      <c r="AD3237" s="399"/>
      <c r="AE3237" s="402"/>
      <c r="AF3237" s="391"/>
      <c r="AG3237" s="394"/>
      <c r="AH3237" s="394"/>
      <c r="AI3237" s="394"/>
      <c r="AJ3237" s="394"/>
      <c r="AK3237" s="394"/>
      <c r="AL3237" s="394"/>
      <c r="AM3237" s="394"/>
      <c r="AN3237" s="394"/>
      <c r="AO3237" s="394"/>
      <c r="AP3237" s="394"/>
      <c r="AQ3237" s="394"/>
      <c r="AR3237" s="394"/>
      <c r="AS3237" s="402"/>
      <c r="AT3237" s="404"/>
      <c r="AU3237" s="394"/>
      <c r="AV3237" s="394"/>
      <c r="AW3237" s="394"/>
      <c r="AX3237" s="5"/>
      <c r="AY3237" s="5"/>
      <c r="AZ3237" s="5"/>
      <c r="BA3237" s="5"/>
      <c r="BB3237" s="5"/>
      <c r="BC3237" s="5"/>
      <c r="BD3237" s="5"/>
      <c r="BE3237" s="5"/>
      <c r="BF3237" s="5"/>
      <c r="BG3237" s="5"/>
      <c r="BH3237" s="5"/>
      <c r="BI3237" s="5"/>
      <c r="BJ3237" s="5"/>
      <c r="BK3237" s="5"/>
      <c r="BL3237" s="5"/>
      <c r="BM3237" s="5"/>
      <c r="BN3237" s="5"/>
      <c r="BO3237" s="5"/>
      <c r="BP3237" s="5"/>
      <c r="BQ3237" s="5"/>
      <c r="BR3237" s="5"/>
      <c r="BS3237" s="5"/>
      <c r="BT3237" s="5"/>
      <c r="BU3237" s="5"/>
      <c r="BV3237" s="5"/>
      <c r="BW3237" s="5"/>
      <c r="BX3237" s="5"/>
      <c r="BY3237" s="5"/>
      <c r="BZ3237" s="5"/>
      <c r="CA3237" s="5"/>
    </row>
    <row r="3238" spans="1:79" s="400" customFormat="1" ht="15" customHeight="1">
      <c r="A3238" s="41" t="s">
        <v>183</v>
      </c>
      <c r="B3238" s="402" t="s">
        <v>1252</v>
      </c>
      <c r="C3238" s="113" t="s">
        <v>1253</v>
      </c>
      <c r="D3238" s="393" t="s">
        <v>192</v>
      </c>
      <c r="E3238" s="394" t="s">
        <v>1254</v>
      </c>
      <c r="F3238" s="402"/>
      <c r="G3238" s="405" t="s">
        <v>1255</v>
      </c>
      <c r="H3238" s="404">
        <v>2621</v>
      </c>
      <c r="I3238" s="402"/>
      <c r="J3238" s="406" t="s">
        <v>1261</v>
      </c>
      <c r="K3238" s="403">
        <v>41201</v>
      </c>
      <c r="L3238" s="398">
        <v>41197</v>
      </c>
      <c r="M3238" s="402">
        <f t="shared" si="189"/>
        <v>4</v>
      </c>
      <c r="N3238" s="402" t="s">
        <v>2</v>
      </c>
      <c r="O3238" s="404">
        <v>2.9</v>
      </c>
      <c r="P3238" s="402">
        <v>6.38</v>
      </c>
      <c r="Q3238" s="404">
        <v>6.85</v>
      </c>
      <c r="R3238" s="402">
        <v>27</v>
      </c>
      <c r="S3238" s="404">
        <v>120</v>
      </c>
      <c r="T3238" s="402">
        <v>0.17</v>
      </c>
      <c r="U3238" s="395">
        <v>1.1399999999999999</v>
      </c>
      <c r="V3238" s="402">
        <v>0.15</v>
      </c>
      <c r="W3238" s="404">
        <v>0.02</v>
      </c>
      <c r="X3238" s="402">
        <v>0.34799999999999998</v>
      </c>
      <c r="Y3238" s="404">
        <v>1.4999999999999999E-2</v>
      </c>
      <c r="Z3238" s="397"/>
      <c r="AA3238" s="399"/>
      <c r="AB3238" s="394"/>
      <c r="AC3238" s="402"/>
      <c r="AD3238" s="399"/>
      <c r="AE3238" s="402"/>
      <c r="AF3238" s="391"/>
      <c r="AG3238" s="394"/>
      <c r="AH3238" s="394"/>
      <c r="AI3238" s="394"/>
      <c r="AJ3238" s="394"/>
      <c r="AK3238" s="394"/>
      <c r="AL3238" s="394"/>
      <c r="AM3238" s="394"/>
      <c r="AN3238" s="394"/>
      <c r="AO3238" s="394"/>
      <c r="AP3238" s="394"/>
      <c r="AQ3238" s="394"/>
      <c r="AR3238" s="394"/>
      <c r="AS3238" s="402"/>
      <c r="AT3238" s="404"/>
      <c r="AU3238" s="394"/>
      <c r="AV3238" s="394"/>
      <c r="AW3238" s="394"/>
      <c r="AX3238" s="5"/>
      <c r="AY3238" s="5"/>
      <c r="AZ3238" s="5"/>
      <c r="BA3238" s="5"/>
      <c r="BB3238" s="5"/>
      <c r="BC3238" s="5"/>
      <c r="BD3238" s="5"/>
      <c r="BE3238" s="5"/>
      <c r="BF3238" s="5"/>
      <c r="BG3238" s="5"/>
      <c r="BH3238" s="5"/>
      <c r="BI3238" s="5"/>
      <c r="BJ3238" s="5"/>
      <c r="BK3238" s="5"/>
      <c r="BL3238" s="5"/>
      <c r="BM3238" s="5"/>
      <c r="BN3238" s="5"/>
      <c r="BO3238" s="5"/>
      <c r="BP3238" s="5"/>
      <c r="BQ3238" s="5"/>
      <c r="BR3238" s="5"/>
      <c r="BS3238" s="5"/>
      <c r="BT3238" s="5"/>
      <c r="BU3238" s="5"/>
      <c r="BV3238" s="5"/>
      <c r="BW3238" s="5"/>
      <c r="BX3238" s="5"/>
      <c r="BY3238" s="5"/>
      <c r="BZ3238" s="5"/>
      <c r="CA3238" s="5"/>
    </row>
    <row r="3239" spans="1:79" s="400" customFormat="1" ht="15" customHeight="1">
      <c r="A3239" s="41" t="s">
        <v>183</v>
      </c>
      <c r="B3239" s="402" t="s">
        <v>1252</v>
      </c>
      <c r="C3239" s="113" t="s">
        <v>1253</v>
      </c>
      <c r="D3239" s="393" t="s">
        <v>192</v>
      </c>
      <c r="E3239" s="394" t="s">
        <v>1254</v>
      </c>
      <c r="F3239" s="402"/>
      <c r="G3239" s="405" t="s">
        <v>1255</v>
      </c>
      <c r="H3239" s="404">
        <v>2621</v>
      </c>
      <c r="I3239" s="402"/>
      <c r="J3239" s="406" t="s">
        <v>1257</v>
      </c>
      <c r="K3239" s="403">
        <v>41201</v>
      </c>
      <c r="L3239" s="398">
        <v>41197</v>
      </c>
      <c r="M3239" s="402">
        <f t="shared" si="189"/>
        <v>4</v>
      </c>
      <c r="N3239" s="402" t="s">
        <v>2</v>
      </c>
      <c r="O3239" s="404">
        <v>1.9</v>
      </c>
      <c r="P3239" s="402">
        <v>5.6</v>
      </c>
      <c r="Q3239" s="404">
        <v>6.9</v>
      </c>
      <c r="R3239" s="402">
        <v>14</v>
      </c>
      <c r="S3239" s="404">
        <v>11</v>
      </c>
      <c r="T3239" s="402">
        <v>0.08</v>
      </c>
      <c r="U3239" s="395">
        <v>0.44</v>
      </c>
      <c r="V3239" s="402">
        <v>0.15</v>
      </c>
      <c r="W3239" s="404">
        <v>5.0000000000000001E-3</v>
      </c>
      <c r="X3239" s="402">
        <v>0.16</v>
      </c>
      <c r="Y3239" s="404">
        <f>0.002/2</f>
        <v>1E-3</v>
      </c>
      <c r="Z3239" s="397"/>
      <c r="AA3239" s="399"/>
      <c r="AB3239" s="394"/>
      <c r="AC3239" s="402"/>
      <c r="AD3239" s="399"/>
      <c r="AE3239" s="402"/>
      <c r="AF3239" s="391"/>
      <c r="AG3239" s="394"/>
      <c r="AH3239" s="394"/>
      <c r="AI3239" s="394"/>
      <c r="AJ3239" s="394"/>
      <c r="AK3239" s="394"/>
      <c r="AL3239" s="394"/>
      <c r="AM3239" s="394"/>
      <c r="AN3239" s="394"/>
      <c r="AO3239" s="394"/>
      <c r="AP3239" s="394"/>
      <c r="AQ3239" s="394"/>
      <c r="AR3239" s="394"/>
      <c r="AS3239" s="402"/>
      <c r="AT3239" s="404"/>
      <c r="AU3239" s="394"/>
      <c r="AV3239" s="394"/>
      <c r="AW3239" s="394"/>
      <c r="AX3239" s="5"/>
      <c r="AY3239" s="5"/>
      <c r="AZ3239" s="5"/>
      <c r="BA3239" s="5"/>
      <c r="BB3239" s="5"/>
      <c r="BC3239" s="5"/>
      <c r="BD3239" s="5"/>
      <c r="BE3239" s="5"/>
      <c r="BF3239" s="5"/>
      <c r="BG3239" s="5"/>
      <c r="BH3239" s="5"/>
      <c r="BI3239" s="5"/>
      <c r="BJ3239" s="5"/>
      <c r="BK3239" s="5"/>
      <c r="BL3239" s="5"/>
      <c r="BM3239" s="5"/>
      <c r="BN3239" s="5"/>
      <c r="BO3239" s="5"/>
      <c r="BP3239" s="5"/>
      <c r="BQ3239" s="5"/>
      <c r="BR3239" s="5"/>
      <c r="BS3239" s="5"/>
      <c r="BT3239" s="5"/>
      <c r="BU3239" s="5"/>
      <c r="BV3239" s="5"/>
      <c r="BW3239" s="5"/>
      <c r="BX3239" s="5"/>
      <c r="BY3239" s="5"/>
      <c r="BZ3239" s="5"/>
      <c r="CA3239" s="5"/>
    </row>
    <row r="3240" spans="1:79" s="400" customFormat="1" ht="15" customHeight="1">
      <c r="A3240" s="41" t="s">
        <v>183</v>
      </c>
      <c r="B3240" s="402" t="s">
        <v>1252</v>
      </c>
      <c r="C3240" s="113" t="s">
        <v>1253</v>
      </c>
      <c r="D3240" s="393" t="s">
        <v>192</v>
      </c>
      <c r="E3240" s="394" t="s">
        <v>1254</v>
      </c>
      <c r="F3240" s="402"/>
      <c r="G3240" s="405" t="s">
        <v>1255</v>
      </c>
      <c r="H3240" s="404">
        <v>2621</v>
      </c>
      <c r="I3240" s="402"/>
      <c r="J3240" s="406" t="s">
        <v>1258</v>
      </c>
      <c r="K3240" s="403">
        <v>41201</v>
      </c>
      <c r="L3240" s="398">
        <v>41197</v>
      </c>
      <c r="M3240" s="402">
        <f t="shared" si="189"/>
        <v>4</v>
      </c>
      <c r="N3240" s="402" t="s">
        <v>2</v>
      </c>
      <c r="O3240" s="281">
        <f>1.4/2</f>
        <v>0.7</v>
      </c>
      <c r="P3240" s="287">
        <v>5.6</v>
      </c>
      <c r="Q3240" s="404">
        <v>6.93</v>
      </c>
      <c r="R3240" s="402">
        <f>10/2</f>
        <v>5</v>
      </c>
      <c r="S3240" s="404">
        <v>29</v>
      </c>
      <c r="T3240" s="402">
        <v>0.04</v>
      </c>
      <c r="U3240" s="395">
        <v>0.69</v>
      </c>
      <c r="V3240" s="402">
        <f>0.05/2</f>
        <v>2.5000000000000001E-2</v>
      </c>
      <c r="W3240" s="404">
        <v>8.9999999999999993E-3</v>
      </c>
      <c r="X3240" s="402">
        <v>0.34499999999999997</v>
      </c>
      <c r="Y3240" s="404">
        <v>2.1000000000000001E-2</v>
      </c>
      <c r="Z3240" s="397"/>
      <c r="AA3240" s="399"/>
      <c r="AB3240" s="394"/>
      <c r="AC3240" s="402"/>
      <c r="AD3240" s="399"/>
      <c r="AE3240" s="402"/>
      <c r="AF3240" s="391"/>
      <c r="AG3240" s="394"/>
      <c r="AH3240" s="394"/>
      <c r="AI3240" s="394"/>
      <c r="AJ3240" s="394"/>
      <c r="AK3240" s="394"/>
      <c r="AL3240" s="394"/>
      <c r="AM3240" s="394"/>
      <c r="AN3240" s="394"/>
      <c r="AO3240" s="394"/>
      <c r="AP3240" s="394"/>
      <c r="AQ3240" s="394"/>
      <c r="AR3240" s="394"/>
      <c r="AS3240" s="402"/>
      <c r="AT3240" s="404"/>
      <c r="AU3240" s="394"/>
      <c r="AV3240" s="394"/>
      <c r="AW3240" s="394"/>
      <c r="AX3240" s="5"/>
      <c r="AY3240" s="5"/>
      <c r="AZ3240" s="5"/>
      <c r="BA3240" s="5"/>
      <c r="BB3240" s="5"/>
      <c r="BC3240" s="5"/>
      <c r="BD3240" s="5"/>
      <c r="BE3240" s="5"/>
      <c r="BF3240" s="5"/>
      <c r="BG3240" s="5"/>
      <c r="BH3240" s="5"/>
      <c r="BI3240" s="5"/>
      <c r="BJ3240" s="5"/>
      <c r="BK3240" s="5"/>
      <c r="BL3240" s="5"/>
      <c r="BM3240" s="5"/>
      <c r="BN3240" s="5"/>
      <c r="BO3240" s="5"/>
      <c r="BP3240" s="5"/>
      <c r="BQ3240" s="5"/>
      <c r="BR3240" s="5"/>
      <c r="BS3240" s="5"/>
      <c r="BT3240" s="5"/>
      <c r="BU3240" s="5"/>
      <c r="BV3240" s="5"/>
      <c r="BW3240" s="5"/>
      <c r="BX3240" s="5"/>
      <c r="BY3240" s="5"/>
      <c r="BZ3240" s="5"/>
      <c r="CA3240" s="5"/>
    </row>
    <row r="3241" spans="1:79" s="400" customFormat="1" ht="15" customHeight="1">
      <c r="A3241" s="41" t="s">
        <v>183</v>
      </c>
      <c r="B3241" s="402" t="s">
        <v>1252</v>
      </c>
      <c r="C3241" s="113" t="s">
        <v>1253</v>
      </c>
      <c r="D3241" s="393" t="s">
        <v>192</v>
      </c>
      <c r="E3241" s="394" t="s">
        <v>1254</v>
      </c>
      <c r="F3241" s="402"/>
      <c r="G3241" s="405" t="s">
        <v>1255</v>
      </c>
      <c r="H3241" s="404">
        <v>2621</v>
      </c>
      <c r="I3241" s="402"/>
      <c r="J3241" s="406" t="s">
        <v>1263</v>
      </c>
      <c r="K3241" s="403">
        <v>41201</v>
      </c>
      <c r="L3241" s="398">
        <v>41197</v>
      </c>
      <c r="M3241" s="402">
        <f t="shared" si="189"/>
        <v>4</v>
      </c>
      <c r="N3241" s="402" t="s">
        <v>2</v>
      </c>
      <c r="O3241" s="404">
        <f>1.4/2</f>
        <v>0.7</v>
      </c>
      <c r="P3241" s="402">
        <v>5.6</v>
      </c>
      <c r="Q3241" s="404">
        <v>6.38</v>
      </c>
      <c r="R3241" s="402">
        <f>10/2</f>
        <v>5</v>
      </c>
      <c r="S3241" s="404">
        <f>5/2</f>
        <v>2.5</v>
      </c>
      <c r="T3241" s="402">
        <f>0.01/2</f>
        <v>5.0000000000000001E-3</v>
      </c>
      <c r="U3241" s="395">
        <v>0.15</v>
      </c>
      <c r="V3241" s="402">
        <f>0.05/2</f>
        <v>2.5000000000000001E-2</v>
      </c>
      <c r="W3241" s="404">
        <f>0.005/2</f>
        <v>2.5000000000000001E-3</v>
      </c>
      <c r="X3241" s="402">
        <v>0.03</v>
      </c>
      <c r="Y3241" s="404">
        <v>3.0000000000000001E-3</v>
      </c>
      <c r="Z3241" s="397"/>
      <c r="AA3241" s="399"/>
      <c r="AB3241" s="394"/>
      <c r="AC3241" s="402"/>
      <c r="AD3241" s="399"/>
      <c r="AE3241" s="402"/>
      <c r="AF3241" s="391"/>
      <c r="AG3241" s="394"/>
      <c r="AH3241" s="394"/>
      <c r="AI3241" s="394"/>
      <c r="AJ3241" s="394"/>
      <c r="AK3241" s="394"/>
      <c r="AL3241" s="394"/>
      <c r="AM3241" s="394"/>
      <c r="AN3241" s="394"/>
      <c r="AO3241" s="394"/>
      <c r="AP3241" s="394"/>
      <c r="AQ3241" s="394"/>
      <c r="AR3241" s="394"/>
      <c r="AS3241" s="402"/>
      <c r="AT3241" s="404"/>
      <c r="AU3241" s="394"/>
      <c r="AV3241" s="394"/>
      <c r="AW3241" s="394"/>
      <c r="AX3241" s="5"/>
      <c r="AY3241" s="5"/>
      <c r="AZ3241" s="5"/>
      <c r="BA3241" s="5"/>
      <c r="BB3241" s="5"/>
      <c r="BC3241" s="5"/>
      <c r="BD3241" s="5"/>
      <c r="BE3241" s="5"/>
      <c r="BF3241" s="5"/>
      <c r="BG3241" s="5"/>
      <c r="BH3241" s="5"/>
      <c r="BI3241" s="5"/>
      <c r="BJ3241" s="5"/>
      <c r="BK3241" s="5"/>
      <c r="BL3241" s="5"/>
      <c r="BM3241" s="5"/>
      <c r="BN3241" s="5"/>
      <c r="BO3241" s="5"/>
      <c r="BP3241" s="5"/>
      <c r="BQ3241" s="5"/>
      <c r="BR3241" s="5"/>
      <c r="BS3241" s="5"/>
      <c r="BT3241" s="5"/>
      <c r="BU3241" s="5"/>
      <c r="BV3241" s="5"/>
      <c r="BW3241" s="5"/>
      <c r="BX3241" s="5"/>
      <c r="BY3241" s="5"/>
      <c r="BZ3241" s="5"/>
      <c r="CA3241" s="5"/>
    </row>
    <row r="3242" spans="1:79" s="400" customFormat="1" ht="15" customHeight="1">
      <c r="A3242" s="41" t="s">
        <v>183</v>
      </c>
      <c r="B3242" s="402" t="s">
        <v>1252</v>
      </c>
      <c r="C3242" s="113" t="s">
        <v>1253</v>
      </c>
      <c r="D3242" s="393" t="s">
        <v>192</v>
      </c>
      <c r="E3242" s="394" t="s">
        <v>1254</v>
      </c>
      <c r="F3242" s="402"/>
      <c r="G3242" s="405" t="s">
        <v>1255</v>
      </c>
      <c r="H3242" s="404">
        <v>2621</v>
      </c>
      <c r="I3242" s="402"/>
      <c r="J3242" s="406" t="s">
        <v>1256</v>
      </c>
      <c r="K3242" s="403">
        <v>41201</v>
      </c>
      <c r="L3242" s="398">
        <v>41197</v>
      </c>
      <c r="M3242" s="402">
        <f t="shared" si="189"/>
        <v>4</v>
      </c>
      <c r="N3242" s="402" t="s">
        <v>2</v>
      </c>
      <c r="O3242" s="404">
        <f>1.4/2</f>
        <v>0.7</v>
      </c>
      <c r="P3242" s="402">
        <v>5.6</v>
      </c>
      <c r="Q3242" s="404">
        <v>6.2</v>
      </c>
      <c r="R3242" s="402">
        <f>10/2</f>
        <v>5</v>
      </c>
      <c r="S3242" s="404">
        <f>5/2</f>
        <v>2.5</v>
      </c>
      <c r="T3242" s="402">
        <f>0.01/2</f>
        <v>5.0000000000000001E-3</v>
      </c>
      <c r="U3242" s="395">
        <v>0.36</v>
      </c>
      <c r="V3242" s="402">
        <f>0.05/2</f>
        <v>2.5000000000000001E-2</v>
      </c>
      <c r="W3242" s="404">
        <f>0.005/2</f>
        <v>2.5000000000000001E-3</v>
      </c>
      <c r="X3242" s="402">
        <v>0.01</v>
      </c>
      <c r="Y3242" s="404">
        <f>0.002/2</f>
        <v>1E-3</v>
      </c>
      <c r="Z3242" s="397"/>
      <c r="AA3242" s="399"/>
      <c r="AB3242" s="394"/>
      <c r="AC3242" s="402"/>
      <c r="AD3242" s="399"/>
      <c r="AE3242" s="402"/>
      <c r="AF3242" s="391"/>
      <c r="AG3242" s="394"/>
      <c r="AH3242" s="394"/>
      <c r="AI3242" s="394"/>
      <c r="AJ3242" s="394"/>
      <c r="AK3242" s="394"/>
      <c r="AL3242" s="394"/>
      <c r="AM3242" s="394"/>
      <c r="AN3242" s="394"/>
      <c r="AO3242" s="394"/>
      <c r="AP3242" s="394"/>
      <c r="AQ3242" s="394"/>
      <c r="AR3242" s="394"/>
      <c r="AS3242" s="402"/>
      <c r="AT3242" s="404"/>
      <c r="AU3242" s="394"/>
      <c r="AV3242" s="394"/>
      <c r="AW3242" s="394"/>
      <c r="AX3242" s="5"/>
      <c r="AY3242" s="5"/>
      <c r="AZ3242" s="5"/>
      <c r="BA3242" s="5"/>
      <c r="BB3242" s="5"/>
      <c r="BC3242" s="5"/>
      <c r="BD3242" s="5"/>
      <c r="BE3242" s="5"/>
      <c r="BF3242" s="5"/>
      <c r="BG3242" s="5"/>
      <c r="BH3242" s="5"/>
      <c r="BI3242" s="5"/>
      <c r="BJ3242" s="5"/>
      <c r="BK3242" s="5"/>
      <c r="BL3242" s="5"/>
      <c r="BM3242" s="5"/>
      <c r="BN3242" s="5"/>
      <c r="BO3242" s="5"/>
      <c r="BP3242" s="5"/>
      <c r="BQ3242" s="5"/>
      <c r="BR3242" s="5"/>
      <c r="BS3242" s="5"/>
      <c r="BT3242" s="5"/>
      <c r="BU3242" s="5"/>
      <c r="BV3242" s="5"/>
      <c r="BW3242" s="5"/>
      <c r="BX3242" s="5"/>
      <c r="BY3242" s="5"/>
      <c r="BZ3242" s="5"/>
      <c r="CA3242" s="5"/>
    </row>
    <row r="3243" spans="1:79" s="400" customFormat="1" ht="15" customHeight="1">
      <c r="A3243" s="41" t="s">
        <v>183</v>
      </c>
      <c r="B3243" s="402" t="s">
        <v>1252</v>
      </c>
      <c r="C3243" s="113" t="s">
        <v>1253</v>
      </c>
      <c r="D3243" s="393" t="s">
        <v>192</v>
      </c>
      <c r="E3243" s="394" t="s">
        <v>1254</v>
      </c>
      <c r="F3243" s="402"/>
      <c r="G3243" s="405" t="s">
        <v>1255</v>
      </c>
      <c r="H3243" s="404">
        <v>2621</v>
      </c>
      <c r="I3243" s="402"/>
      <c r="J3243" s="406" t="s">
        <v>1262</v>
      </c>
      <c r="K3243" s="403">
        <v>41201</v>
      </c>
      <c r="L3243" s="398">
        <v>41197</v>
      </c>
      <c r="M3243" s="402">
        <f t="shared" si="189"/>
        <v>4</v>
      </c>
      <c r="N3243" s="402" t="s">
        <v>2</v>
      </c>
      <c r="O3243" s="404">
        <f>1.4/2</f>
        <v>0.7</v>
      </c>
      <c r="P3243" s="402">
        <v>5.6</v>
      </c>
      <c r="Q3243" s="404">
        <v>6.69</v>
      </c>
      <c r="R3243" s="402">
        <v>10</v>
      </c>
      <c r="S3243" s="404">
        <v>5</v>
      </c>
      <c r="T3243" s="402">
        <v>0.38</v>
      </c>
      <c r="U3243" s="395">
        <v>1.37</v>
      </c>
      <c r="V3243" s="402">
        <v>0.16</v>
      </c>
      <c r="W3243" s="404">
        <v>2.1999999999999999E-2</v>
      </c>
      <c r="X3243" s="402">
        <v>0.192</v>
      </c>
      <c r="Y3243" s="404">
        <v>8.0000000000000002E-3</v>
      </c>
      <c r="Z3243" s="397"/>
      <c r="AA3243" s="399"/>
      <c r="AB3243" s="394"/>
      <c r="AC3243" s="402"/>
      <c r="AD3243" s="399"/>
      <c r="AE3243" s="402"/>
      <c r="AF3243" s="391"/>
      <c r="AG3243" s="394"/>
      <c r="AH3243" s="394"/>
      <c r="AI3243" s="394"/>
      <c r="AJ3243" s="394"/>
      <c r="AK3243" s="394"/>
      <c r="AL3243" s="394"/>
      <c r="AM3243" s="394"/>
      <c r="AN3243" s="394"/>
      <c r="AO3243" s="394"/>
      <c r="AP3243" s="394"/>
      <c r="AQ3243" s="394"/>
      <c r="AR3243" s="394"/>
      <c r="AS3243" s="402"/>
      <c r="AT3243" s="404"/>
      <c r="AU3243" s="394"/>
      <c r="AV3243" s="394"/>
      <c r="AW3243" s="394"/>
      <c r="AX3243" s="5"/>
      <c r="AY3243" s="5"/>
      <c r="AZ3243" s="5"/>
      <c r="BA3243" s="5"/>
      <c r="BB3243" s="5"/>
      <c r="BC3243" s="5"/>
      <c r="BD3243" s="5"/>
      <c r="BE3243" s="5"/>
      <c r="BF3243" s="5"/>
      <c r="BG3243" s="5"/>
      <c r="BH3243" s="5"/>
      <c r="BI3243" s="5"/>
      <c r="BJ3243" s="5"/>
      <c r="BK3243" s="5"/>
      <c r="BL3243" s="5"/>
      <c r="BM3243" s="5"/>
      <c r="BN3243" s="5"/>
      <c r="BO3243" s="5"/>
      <c r="BP3243" s="5"/>
      <c r="BQ3243" s="5"/>
      <c r="BR3243" s="5"/>
      <c r="BS3243" s="5"/>
      <c r="BT3243" s="5"/>
      <c r="BU3243" s="5"/>
      <c r="BV3243" s="5"/>
      <c r="BW3243" s="5"/>
      <c r="BX3243" s="5"/>
      <c r="BY3243" s="5"/>
      <c r="BZ3243" s="5"/>
      <c r="CA3243" s="5"/>
    </row>
    <row r="3244" spans="1:79" s="400" customFormat="1" ht="15" customHeight="1">
      <c r="A3244" s="41" t="s">
        <v>183</v>
      </c>
      <c r="B3244" s="402" t="s">
        <v>1425</v>
      </c>
      <c r="C3244" s="113" t="s">
        <v>1426</v>
      </c>
      <c r="D3244" s="393" t="s">
        <v>2375</v>
      </c>
      <c r="E3244" s="394" t="s">
        <v>1427</v>
      </c>
      <c r="F3244" s="402"/>
      <c r="G3244" s="405" t="s">
        <v>1428</v>
      </c>
      <c r="H3244" s="404">
        <v>3442</v>
      </c>
      <c r="I3244" s="402" t="s">
        <v>2</v>
      </c>
      <c r="J3244" s="406" t="s">
        <v>1429</v>
      </c>
      <c r="K3244" s="403">
        <v>41402</v>
      </c>
      <c r="L3244" s="398">
        <v>41384</v>
      </c>
      <c r="M3244" s="402">
        <f t="shared" si="189"/>
        <v>18</v>
      </c>
      <c r="N3244" s="402" t="s">
        <v>2</v>
      </c>
      <c r="O3244" s="404">
        <f>5/2</f>
        <v>2.5</v>
      </c>
      <c r="P3244" s="402">
        <v>5.0599999999999996</v>
      </c>
      <c r="Q3244" s="404">
        <v>5.08</v>
      </c>
      <c r="R3244" s="402">
        <v>44</v>
      </c>
      <c r="S3244" s="404">
        <f>5/2</f>
        <v>2.5</v>
      </c>
      <c r="T3244" s="402">
        <f>0.1/2</f>
        <v>0.05</v>
      </c>
      <c r="U3244" s="395">
        <f>1/2</f>
        <v>0.5</v>
      </c>
      <c r="V3244" s="402">
        <v>0.2</v>
      </c>
      <c r="W3244" s="404">
        <f>0.04/2</f>
        <v>0.02</v>
      </c>
      <c r="X3244" s="402">
        <v>0.08</v>
      </c>
      <c r="Y3244" s="404">
        <f>0.013/2</f>
        <v>6.4999999999999997E-3</v>
      </c>
      <c r="Z3244" s="397">
        <v>1</v>
      </c>
      <c r="AA3244" s="399">
        <v>1</v>
      </c>
      <c r="AB3244" s="394">
        <v>6.3</v>
      </c>
      <c r="AC3244" s="402">
        <v>35</v>
      </c>
      <c r="AD3244" s="399">
        <v>1</v>
      </c>
      <c r="AE3244" s="402"/>
      <c r="AF3244" s="391"/>
      <c r="AG3244" s="394"/>
      <c r="AH3244" s="394"/>
      <c r="AI3244" s="394"/>
      <c r="AJ3244" s="394"/>
      <c r="AK3244" s="394"/>
      <c r="AL3244" s="394"/>
      <c r="AM3244" s="394"/>
      <c r="AN3244" s="394"/>
      <c r="AO3244" s="394"/>
      <c r="AP3244" s="394"/>
      <c r="AQ3244" s="394"/>
      <c r="AR3244" s="394"/>
      <c r="AS3244" s="402"/>
      <c r="AT3244" s="404"/>
      <c r="AU3244" s="394"/>
      <c r="AV3244" s="394"/>
      <c r="AW3244" s="394"/>
      <c r="AX3244" s="5"/>
      <c r="AY3244" s="5"/>
      <c r="AZ3244" s="5"/>
      <c r="BA3244" s="5"/>
      <c r="BB3244" s="5"/>
      <c r="BC3244" s="5"/>
      <c r="BD3244" s="5"/>
      <c r="BE3244" s="5"/>
      <c r="BF3244" s="5"/>
      <c r="BG3244" s="5"/>
      <c r="BH3244" s="5"/>
      <c r="BI3244" s="5"/>
      <c r="BJ3244" s="5"/>
      <c r="BK3244" s="5"/>
      <c r="BL3244" s="5"/>
      <c r="BM3244" s="5"/>
      <c r="BN3244" s="5"/>
      <c r="BO3244" s="5"/>
      <c r="BP3244" s="5"/>
      <c r="BQ3244" s="5"/>
      <c r="BR3244" s="5"/>
      <c r="BS3244" s="5"/>
      <c r="BT3244" s="5"/>
      <c r="BU3244" s="5"/>
      <c r="BV3244" s="5"/>
      <c r="BW3244" s="5"/>
      <c r="BX3244" s="5"/>
      <c r="BY3244" s="5"/>
      <c r="BZ3244" s="5"/>
      <c r="CA3244" s="5"/>
    </row>
    <row r="3245" spans="1:79" ht="15" customHeight="1">
      <c r="A3245" s="404" t="s">
        <v>4668</v>
      </c>
      <c r="B3245" s="402" t="s">
        <v>5787</v>
      </c>
      <c r="C3245" s="113" t="s">
        <v>5787</v>
      </c>
      <c r="D3245" s="393" t="s">
        <v>200</v>
      </c>
      <c r="G3245" s="405" t="s">
        <v>3720</v>
      </c>
      <c r="H3245" s="74"/>
      <c r="I3245" s="50" t="s">
        <v>2</v>
      </c>
      <c r="J3245" s="48" t="s">
        <v>3741</v>
      </c>
      <c r="K3245" s="51">
        <v>41431</v>
      </c>
      <c r="L3245" s="173">
        <v>41428</v>
      </c>
      <c r="M3245" s="50">
        <f t="shared" si="189"/>
        <v>3</v>
      </c>
      <c r="N3245" s="50" t="s">
        <v>2</v>
      </c>
      <c r="O3245" s="74">
        <v>12.3</v>
      </c>
      <c r="P3245" s="50">
        <v>5.8</v>
      </c>
      <c r="Q3245" s="74">
        <v>6.6</v>
      </c>
      <c r="R3245" s="50">
        <v>137.30000000000001</v>
      </c>
      <c r="S3245" s="74">
        <f>50/2</f>
        <v>25</v>
      </c>
      <c r="T3245" s="50">
        <f>0.1/2</f>
        <v>0.05</v>
      </c>
      <c r="U3245" s="131">
        <v>2.78</v>
      </c>
      <c r="V3245" s="50">
        <v>1.32</v>
      </c>
      <c r="W3245" s="74">
        <v>0.46</v>
      </c>
      <c r="X3245" s="50">
        <v>0.32</v>
      </c>
      <c r="Y3245" s="74">
        <v>8.8999999999999996E-2</v>
      </c>
      <c r="Z3245" s="165">
        <v>6.25E-2</v>
      </c>
      <c r="AA3245" s="271">
        <v>6.25E-2</v>
      </c>
      <c r="AB3245" s="114">
        <v>20</v>
      </c>
      <c r="AC3245" s="50">
        <v>96</v>
      </c>
      <c r="AD3245" s="271">
        <v>0</v>
      </c>
    </row>
    <row r="3246" spans="1:79" s="400" customFormat="1" ht="15" customHeight="1">
      <c r="A3246" s="41" t="s">
        <v>183</v>
      </c>
      <c r="B3246" s="402" t="s">
        <v>3727</v>
      </c>
      <c r="C3246" s="113" t="s">
        <v>3727</v>
      </c>
      <c r="D3246" s="393" t="s">
        <v>56</v>
      </c>
      <c r="E3246" s="394" t="s">
        <v>112</v>
      </c>
      <c r="F3246" s="402"/>
      <c r="G3246" s="405" t="s">
        <v>3729</v>
      </c>
      <c r="H3246" s="404">
        <v>4226</v>
      </c>
      <c r="I3246" s="402" t="s">
        <v>1</v>
      </c>
      <c r="J3246" s="401" t="s">
        <v>3144</v>
      </c>
      <c r="K3246" s="403">
        <v>41402</v>
      </c>
      <c r="L3246" s="398">
        <v>41384</v>
      </c>
      <c r="M3246" s="402">
        <f t="shared" si="189"/>
        <v>18</v>
      </c>
      <c r="N3246" s="402" t="s">
        <v>2</v>
      </c>
      <c r="O3246" s="404">
        <f>1.4/2</f>
        <v>0.7</v>
      </c>
      <c r="P3246" s="402">
        <v>7.57</v>
      </c>
      <c r="Q3246" s="404">
        <v>7.69</v>
      </c>
      <c r="R3246" s="402">
        <v>582</v>
      </c>
      <c r="S3246" s="404">
        <v>7.5</v>
      </c>
      <c r="T3246" s="402">
        <v>0.1</v>
      </c>
      <c r="U3246" s="395">
        <v>1.01</v>
      </c>
      <c r="V3246" s="402">
        <v>0.16</v>
      </c>
      <c r="W3246" s="404">
        <v>7.0000000000000001E-3</v>
      </c>
      <c r="X3246" s="402">
        <v>3.2000000000000001E-2</v>
      </c>
      <c r="Y3246" s="404">
        <f>0.002/2</f>
        <v>1E-3</v>
      </c>
      <c r="Z3246" s="397"/>
      <c r="AA3246" s="399"/>
      <c r="AB3246" s="394"/>
      <c r="AC3246" s="402"/>
      <c r="AD3246" s="399"/>
      <c r="AE3246" s="402"/>
      <c r="AF3246" s="391"/>
      <c r="AG3246" s="394"/>
      <c r="AH3246" s="394"/>
      <c r="AI3246" s="394">
        <v>10</v>
      </c>
      <c r="AJ3246" s="394">
        <v>10</v>
      </c>
      <c r="AK3246" s="394"/>
      <c r="AL3246" s="394"/>
      <c r="AM3246" s="394"/>
      <c r="AN3246" s="394"/>
      <c r="AO3246" s="394"/>
      <c r="AP3246" s="394"/>
      <c r="AQ3246" s="394"/>
      <c r="AR3246" s="394"/>
      <c r="AS3246" s="402"/>
      <c r="AT3246" s="404"/>
      <c r="AU3246" s="394"/>
      <c r="AV3246" s="394"/>
      <c r="AW3246" s="394"/>
      <c r="AX3246" s="5"/>
      <c r="AY3246" s="5"/>
      <c r="AZ3246" s="5"/>
      <c r="BA3246" s="5"/>
      <c r="BB3246" s="5"/>
      <c r="BC3246" s="5"/>
      <c r="BD3246" s="5"/>
      <c r="BE3246" s="5"/>
      <c r="BF3246" s="5"/>
      <c r="BG3246" s="5"/>
      <c r="BH3246" s="5"/>
      <c r="BI3246" s="5"/>
      <c r="BJ3246" s="5"/>
      <c r="BK3246" s="5"/>
      <c r="BL3246" s="5"/>
      <c r="BM3246" s="5"/>
      <c r="BN3246" s="5"/>
      <c r="BO3246" s="5"/>
      <c r="BP3246" s="5"/>
      <c r="BQ3246" s="5"/>
      <c r="BR3246" s="5"/>
      <c r="BS3246" s="5"/>
      <c r="BT3246" s="5"/>
      <c r="BU3246" s="5"/>
      <c r="BV3246" s="5"/>
      <c r="BW3246" s="5"/>
      <c r="BX3246" s="5"/>
      <c r="BY3246" s="5"/>
      <c r="BZ3246" s="5"/>
      <c r="CA3246" s="5"/>
    </row>
    <row r="3247" spans="1:79" s="400" customFormat="1" ht="15" customHeight="1">
      <c r="A3247" s="41" t="s">
        <v>183</v>
      </c>
      <c r="B3247" s="402" t="s">
        <v>5789</v>
      </c>
      <c r="C3247" s="113" t="s">
        <v>5789</v>
      </c>
      <c r="D3247" s="393" t="s">
        <v>372</v>
      </c>
      <c r="E3247" s="394" t="s">
        <v>3428</v>
      </c>
      <c r="F3247" s="402"/>
      <c r="G3247" s="405" t="s">
        <v>5790</v>
      </c>
      <c r="H3247" s="404">
        <v>3369</v>
      </c>
      <c r="I3247" s="402" t="s">
        <v>2</v>
      </c>
      <c r="J3247" s="406" t="s">
        <v>2905</v>
      </c>
      <c r="K3247" s="403">
        <v>41402</v>
      </c>
      <c r="L3247" s="398">
        <v>41384</v>
      </c>
      <c r="M3247" s="402">
        <f t="shared" si="189"/>
        <v>18</v>
      </c>
      <c r="N3247" s="402" t="s">
        <v>2</v>
      </c>
      <c r="O3247" s="404">
        <f>5/2</f>
        <v>2.5</v>
      </c>
      <c r="P3247" s="402">
        <v>7.15</v>
      </c>
      <c r="Q3247" s="404">
        <v>5.74</v>
      </c>
      <c r="R3247" s="402">
        <v>23</v>
      </c>
      <c r="S3247" s="404">
        <v>89</v>
      </c>
      <c r="T3247" s="402">
        <f>0.1/2</f>
        <v>0.05</v>
      </c>
      <c r="U3247" s="395">
        <v>1.1000000000000001</v>
      </c>
      <c r="V3247" s="402">
        <v>0.31</v>
      </c>
      <c r="W3247" s="404">
        <f>0.04/2</f>
        <v>0.02</v>
      </c>
      <c r="X3247" s="402">
        <v>0.23</v>
      </c>
      <c r="Y3247" s="404">
        <v>5.3999999999999999E-2</v>
      </c>
      <c r="Z3247" s="397">
        <v>1</v>
      </c>
      <c r="AA3247" s="399">
        <v>0.70699999999999996</v>
      </c>
      <c r="AB3247" s="394">
        <v>3.9</v>
      </c>
      <c r="AC3247" s="402">
        <v>22</v>
      </c>
      <c r="AD3247" s="399">
        <v>0</v>
      </c>
      <c r="AE3247" s="402"/>
      <c r="AF3247" s="391"/>
      <c r="AG3247" s="394"/>
      <c r="AH3247" s="394"/>
      <c r="AI3247" s="394"/>
      <c r="AJ3247" s="394"/>
      <c r="AK3247" s="394"/>
      <c r="AL3247" s="394"/>
      <c r="AM3247" s="394"/>
      <c r="AN3247" s="394"/>
      <c r="AO3247" s="394"/>
      <c r="AP3247" s="394"/>
      <c r="AQ3247" s="394"/>
      <c r="AR3247" s="394"/>
      <c r="AS3247" s="402"/>
      <c r="AT3247" s="404"/>
      <c r="AU3247" s="394"/>
      <c r="AV3247" s="394"/>
      <c r="AW3247" s="394"/>
      <c r="AX3247" s="5"/>
      <c r="AY3247" s="5"/>
      <c r="AZ3247" s="5"/>
      <c r="BA3247" s="5"/>
      <c r="BB3247" s="5"/>
      <c r="BC3247" s="5"/>
      <c r="BD3247" s="5"/>
      <c r="BE3247" s="5"/>
      <c r="BF3247" s="5"/>
      <c r="BG3247" s="5"/>
      <c r="BH3247" s="5"/>
      <c r="BI3247" s="5"/>
      <c r="BJ3247" s="5"/>
      <c r="BK3247" s="5"/>
      <c r="BL3247" s="5"/>
      <c r="BM3247" s="5"/>
      <c r="BN3247" s="5"/>
      <c r="BO3247" s="5"/>
      <c r="BP3247" s="5"/>
      <c r="BQ3247" s="5"/>
      <c r="BR3247" s="5"/>
      <c r="BS3247" s="5"/>
      <c r="BT3247" s="5"/>
      <c r="BU3247" s="5"/>
      <c r="BV3247" s="5"/>
      <c r="BW3247" s="5"/>
      <c r="BX3247" s="5"/>
      <c r="BY3247" s="5"/>
      <c r="BZ3247" s="5"/>
      <c r="CA3247" s="5"/>
    </row>
    <row r="3248" spans="1:79" s="400" customFormat="1" ht="15" customHeight="1">
      <c r="A3248" s="41" t="s">
        <v>183</v>
      </c>
      <c r="B3248" s="402" t="s">
        <v>2283</v>
      </c>
      <c r="C3248" s="113" t="s">
        <v>2283</v>
      </c>
      <c r="D3248" s="393" t="s">
        <v>303</v>
      </c>
      <c r="E3248" s="394"/>
      <c r="F3248" s="402">
        <v>5306</v>
      </c>
      <c r="G3248" s="405" t="s">
        <v>2284</v>
      </c>
      <c r="H3248" s="404">
        <v>325510</v>
      </c>
      <c r="I3248" s="402" t="s">
        <v>2</v>
      </c>
      <c r="J3248" s="406"/>
      <c r="K3248" s="403">
        <v>41345</v>
      </c>
      <c r="L3248" s="398">
        <v>41340</v>
      </c>
      <c r="M3248" s="402">
        <f t="shared" si="189"/>
        <v>5</v>
      </c>
      <c r="N3248" s="402" t="s">
        <v>2</v>
      </c>
      <c r="O3248" s="404">
        <v>1.2</v>
      </c>
      <c r="P3248" s="402">
        <v>4.67</v>
      </c>
      <c r="Q3248" s="404">
        <v>6.19</v>
      </c>
      <c r="R3248" s="402">
        <v>18</v>
      </c>
      <c r="S3248" s="404">
        <v>47</v>
      </c>
      <c r="T3248" s="402">
        <v>0.14000000000000001</v>
      </c>
      <c r="U3248" s="395">
        <v>0.63</v>
      </c>
      <c r="V3248" s="402">
        <v>0.3</v>
      </c>
      <c r="W3248" s="404">
        <v>0.06</v>
      </c>
      <c r="X3248" s="402">
        <v>0.223</v>
      </c>
      <c r="Y3248" s="404">
        <f>0.05/2</f>
        <v>2.5000000000000001E-2</v>
      </c>
      <c r="Z3248" s="397">
        <v>1</v>
      </c>
      <c r="AA3248" s="399">
        <v>1</v>
      </c>
      <c r="AB3248" s="394">
        <v>44</v>
      </c>
      <c r="AC3248" s="402">
        <v>39</v>
      </c>
      <c r="AD3248" s="399">
        <v>1</v>
      </c>
      <c r="AE3248" s="402"/>
      <c r="AF3248" s="391"/>
      <c r="AG3248" s="394"/>
      <c r="AH3248" s="394"/>
      <c r="AI3248" s="394"/>
      <c r="AJ3248" s="394"/>
      <c r="AK3248" s="394"/>
      <c r="AL3248" s="394"/>
      <c r="AM3248" s="394"/>
      <c r="AN3248" s="394"/>
      <c r="AO3248" s="394"/>
      <c r="AP3248" s="394"/>
      <c r="AQ3248" s="394"/>
      <c r="AR3248" s="394"/>
      <c r="AS3248" s="402"/>
      <c r="AT3248" s="404"/>
      <c r="AU3248" s="394"/>
      <c r="AV3248" s="394"/>
      <c r="AW3248" s="394"/>
      <c r="AX3248" s="5"/>
      <c r="AY3248" s="5"/>
      <c r="AZ3248" s="5"/>
      <c r="BA3248" s="5"/>
      <c r="BB3248" s="5"/>
      <c r="BC3248" s="5"/>
      <c r="BD3248" s="5"/>
      <c r="BE3248" s="5"/>
      <c r="BF3248" s="5"/>
      <c r="BG3248" s="5"/>
      <c r="BH3248" s="5"/>
      <c r="BI3248" s="5"/>
      <c r="BJ3248" s="5"/>
      <c r="BK3248" s="5"/>
      <c r="BL3248" s="5"/>
      <c r="BM3248" s="5"/>
      <c r="BN3248" s="5"/>
      <c r="BO3248" s="5"/>
      <c r="BP3248" s="5"/>
      <c r="BQ3248" s="5"/>
      <c r="BR3248" s="5"/>
      <c r="BS3248" s="5"/>
      <c r="BT3248" s="5"/>
      <c r="BU3248" s="5"/>
      <c r="BV3248" s="5"/>
      <c r="BW3248" s="5"/>
      <c r="BX3248" s="5"/>
      <c r="BY3248" s="5"/>
      <c r="BZ3248" s="5"/>
      <c r="CA3248" s="5"/>
    </row>
    <row r="3249" spans="1:79" s="400" customFormat="1" ht="15" customHeight="1">
      <c r="A3249" s="41" t="s">
        <v>183</v>
      </c>
      <c r="B3249" s="402" t="s">
        <v>1900</v>
      </c>
      <c r="C3249" s="113" t="s">
        <v>1405</v>
      </c>
      <c r="D3249" s="393" t="s">
        <v>314</v>
      </c>
      <c r="E3249" s="394" t="s">
        <v>49</v>
      </c>
      <c r="F3249" s="402"/>
      <c r="G3249" s="405" t="s">
        <v>1407</v>
      </c>
      <c r="H3249" s="404">
        <v>2759</v>
      </c>
      <c r="I3249" s="402" t="s">
        <v>1</v>
      </c>
      <c r="J3249" s="406" t="s">
        <v>81</v>
      </c>
      <c r="K3249" s="403">
        <v>41487</v>
      </c>
      <c r="L3249" s="398">
        <v>41481</v>
      </c>
      <c r="M3249" s="402">
        <f t="shared" si="189"/>
        <v>6</v>
      </c>
      <c r="N3249" s="402" t="s">
        <v>2</v>
      </c>
      <c r="O3249" s="404">
        <f>1.4/2</f>
        <v>0.7</v>
      </c>
      <c r="P3249" s="402">
        <v>5.83</v>
      </c>
      <c r="Q3249" s="404">
        <v>6.42</v>
      </c>
      <c r="R3249" s="402">
        <v>60</v>
      </c>
      <c r="S3249" s="404">
        <f>5/2</f>
        <v>2.5</v>
      </c>
      <c r="T3249" s="402">
        <v>0.15</v>
      </c>
      <c r="U3249" s="395">
        <v>1.67</v>
      </c>
      <c r="V3249" s="402">
        <v>1.18</v>
      </c>
      <c r="W3249" s="404">
        <v>8.0000000000000002E-3</v>
      </c>
      <c r="X3249" s="402">
        <v>0.18</v>
      </c>
      <c r="Y3249" s="404">
        <f>0.002/2</f>
        <v>1E-3</v>
      </c>
      <c r="Z3249" s="397"/>
      <c r="AA3249" s="399"/>
      <c r="AB3249" s="394"/>
      <c r="AC3249" s="402"/>
      <c r="AD3249" s="399"/>
      <c r="AE3249" s="402"/>
      <c r="AF3249" s="391"/>
      <c r="AG3249" s="394"/>
      <c r="AH3249" s="394"/>
      <c r="AI3249" s="394"/>
      <c r="AJ3249" s="394"/>
      <c r="AK3249" s="394"/>
      <c r="AL3249" s="394"/>
      <c r="AM3249" s="394"/>
      <c r="AN3249" s="394"/>
      <c r="AO3249" s="394"/>
      <c r="AP3249" s="394"/>
      <c r="AQ3249" s="394"/>
      <c r="AR3249" s="394"/>
      <c r="AS3249" s="402"/>
      <c r="AT3249" s="404"/>
      <c r="AU3249" s="394"/>
      <c r="AV3249" s="394"/>
      <c r="AW3249" s="394"/>
      <c r="AX3249" s="5"/>
      <c r="AY3249" s="5"/>
      <c r="AZ3249" s="5"/>
      <c r="BA3249" s="5"/>
      <c r="BB3249" s="5"/>
      <c r="BC3249" s="5"/>
      <c r="BD3249" s="5"/>
      <c r="BE3249" s="5"/>
      <c r="BF3249" s="5"/>
      <c r="BG3249" s="5"/>
      <c r="BH3249" s="5"/>
      <c r="BI3249" s="5"/>
      <c r="BJ3249" s="5"/>
      <c r="BK3249" s="5"/>
      <c r="BL3249" s="5"/>
      <c r="BM3249" s="5"/>
      <c r="BN3249" s="5"/>
      <c r="BO3249" s="5"/>
      <c r="BP3249" s="5"/>
      <c r="BQ3249" s="5"/>
      <c r="BR3249" s="5"/>
      <c r="BS3249" s="5"/>
      <c r="BT3249" s="5"/>
      <c r="BU3249" s="5"/>
      <c r="BV3249" s="5"/>
      <c r="BW3249" s="5"/>
      <c r="BX3249" s="5"/>
      <c r="BY3249" s="5"/>
      <c r="BZ3249" s="5"/>
      <c r="CA3249" s="5"/>
    </row>
    <row r="3250" spans="1:79" s="400" customFormat="1" ht="15" customHeight="1">
      <c r="A3250" s="41" t="s">
        <v>183</v>
      </c>
      <c r="B3250" s="402" t="s">
        <v>5791</v>
      </c>
      <c r="C3250" s="113" t="s">
        <v>5791</v>
      </c>
      <c r="D3250" s="393" t="s">
        <v>372</v>
      </c>
      <c r="E3250" s="394" t="s">
        <v>235</v>
      </c>
      <c r="F3250" s="402"/>
      <c r="G3250" s="405" t="s">
        <v>5792</v>
      </c>
      <c r="H3250" s="404">
        <v>2875</v>
      </c>
      <c r="I3250" s="402" t="s">
        <v>1</v>
      </c>
      <c r="J3250" s="406" t="s">
        <v>5793</v>
      </c>
      <c r="K3250" s="403">
        <v>41539</v>
      </c>
      <c r="L3250" s="398">
        <v>41530</v>
      </c>
      <c r="M3250" s="402">
        <f t="shared" ref="M3250:M3295" si="191">K3250-L3250</f>
        <v>9</v>
      </c>
      <c r="N3250" s="402" t="s">
        <v>2</v>
      </c>
      <c r="O3250" s="404">
        <f>2/1</f>
        <v>2</v>
      </c>
      <c r="P3250" s="402">
        <v>6.8</v>
      </c>
      <c r="Q3250" s="404">
        <v>6.7</v>
      </c>
      <c r="R3250" s="402">
        <v>14</v>
      </c>
      <c r="S3250" s="404">
        <v>4</v>
      </c>
      <c r="T3250" s="402">
        <f>0.05/2</f>
        <v>2.5000000000000001E-2</v>
      </c>
      <c r="U3250" s="395">
        <v>0.42</v>
      </c>
      <c r="V3250" s="402">
        <f>0.1/2</f>
        <v>0.05</v>
      </c>
      <c r="W3250" s="404">
        <f>0.01/2</f>
        <v>5.0000000000000001E-3</v>
      </c>
      <c r="X3250" s="402">
        <f>0.03/2</f>
        <v>1.4999999999999999E-2</v>
      </c>
      <c r="Y3250" s="404">
        <f>0.03/2</f>
        <v>1.4999999999999999E-2</v>
      </c>
      <c r="Z3250" s="397">
        <v>1</v>
      </c>
      <c r="AA3250" s="399">
        <v>1</v>
      </c>
      <c r="AB3250" s="394">
        <v>4</v>
      </c>
      <c r="AC3250" s="402">
        <v>13</v>
      </c>
      <c r="AD3250" s="399">
        <v>0.85</v>
      </c>
      <c r="AE3250" s="402"/>
      <c r="AF3250" s="391"/>
      <c r="AG3250" s="394"/>
      <c r="AH3250" s="394"/>
      <c r="AI3250" s="394"/>
      <c r="AJ3250" s="394"/>
      <c r="AK3250" s="394"/>
      <c r="AL3250" s="394"/>
      <c r="AM3250" s="394"/>
      <c r="AN3250" s="394"/>
      <c r="AO3250" s="394"/>
      <c r="AP3250" s="394"/>
      <c r="AQ3250" s="394"/>
      <c r="AR3250" s="394"/>
      <c r="AS3250" s="402"/>
      <c r="AT3250" s="404"/>
      <c r="AU3250" s="394"/>
      <c r="AV3250" s="394"/>
      <c r="AW3250" s="394"/>
      <c r="AX3250" s="5"/>
      <c r="AY3250" s="5"/>
      <c r="AZ3250" s="5"/>
      <c r="BA3250" s="5"/>
      <c r="BB3250" s="5"/>
      <c r="BC3250" s="5"/>
      <c r="BD3250" s="5"/>
      <c r="BE3250" s="5"/>
      <c r="BF3250" s="5"/>
      <c r="BG3250" s="5"/>
      <c r="BH3250" s="5"/>
      <c r="BI3250" s="5"/>
      <c r="BJ3250" s="5"/>
      <c r="BK3250" s="5"/>
      <c r="BL3250" s="5"/>
      <c r="BM3250" s="5"/>
      <c r="BN3250" s="5"/>
      <c r="BO3250" s="5"/>
      <c r="BP3250" s="5"/>
      <c r="BQ3250" s="5"/>
      <c r="BR3250" s="5"/>
      <c r="BS3250" s="5"/>
      <c r="BT3250" s="5"/>
      <c r="BU3250" s="5"/>
      <c r="BV3250" s="5"/>
      <c r="BW3250" s="5"/>
      <c r="BX3250" s="5"/>
      <c r="BY3250" s="5"/>
      <c r="BZ3250" s="5"/>
      <c r="CA3250" s="5"/>
    </row>
    <row r="3251" spans="1:79" s="400" customFormat="1" ht="15" customHeight="1">
      <c r="A3251" s="41" t="s">
        <v>183</v>
      </c>
      <c r="B3251" s="402" t="s">
        <v>3727</v>
      </c>
      <c r="C3251" s="113" t="s">
        <v>3727</v>
      </c>
      <c r="D3251" s="393" t="s">
        <v>56</v>
      </c>
      <c r="E3251" s="394" t="s">
        <v>95</v>
      </c>
      <c r="F3251" s="402"/>
      <c r="G3251" s="405" t="s">
        <v>3730</v>
      </c>
      <c r="H3251" s="404">
        <v>4226</v>
      </c>
      <c r="I3251" s="402" t="s">
        <v>1</v>
      </c>
      <c r="J3251" s="401" t="s">
        <v>3144</v>
      </c>
      <c r="K3251" s="403">
        <v>41533</v>
      </c>
      <c r="L3251" s="398">
        <v>41530</v>
      </c>
      <c r="M3251" s="402">
        <f t="shared" si="191"/>
        <v>3</v>
      </c>
      <c r="N3251" s="402" t="s">
        <v>2</v>
      </c>
      <c r="O3251" s="404">
        <f>1.4/2</f>
        <v>0.7</v>
      </c>
      <c r="P3251" s="402">
        <v>6.7</v>
      </c>
      <c r="Q3251" s="404">
        <v>7.81</v>
      </c>
      <c r="R3251" s="402">
        <v>11</v>
      </c>
      <c r="S3251" s="404"/>
      <c r="T3251" s="402">
        <v>0.09</v>
      </c>
      <c r="U3251" s="395">
        <v>0.53</v>
      </c>
      <c r="V3251" s="402">
        <v>1.62</v>
      </c>
      <c r="W3251" s="404">
        <v>1.7999999999999999E-2</v>
      </c>
      <c r="X3251" s="402">
        <v>0.16400000000000001</v>
      </c>
      <c r="Y3251" s="404">
        <v>3.0000000000000001E-3</v>
      </c>
      <c r="Z3251" s="397"/>
      <c r="AA3251" s="399"/>
      <c r="AB3251" s="394"/>
      <c r="AC3251" s="402"/>
      <c r="AD3251" s="399"/>
      <c r="AE3251" s="402"/>
      <c r="AF3251" s="391"/>
      <c r="AG3251" s="394"/>
      <c r="AH3251" s="394"/>
      <c r="AI3251" s="394">
        <v>10</v>
      </c>
      <c r="AJ3251" s="394">
        <f>10/2</f>
        <v>5</v>
      </c>
      <c r="AK3251" s="394"/>
      <c r="AL3251" s="394"/>
      <c r="AM3251" s="394"/>
      <c r="AN3251" s="394"/>
      <c r="AO3251" s="394"/>
      <c r="AP3251" s="394"/>
      <c r="AQ3251" s="394"/>
      <c r="AR3251" s="394"/>
      <c r="AS3251" s="402"/>
      <c r="AT3251" s="404"/>
      <c r="AU3251" s="394"/>
      <c r="AV3251" s="394"/>
      <c r="AW3251" s="394"/>
      <c r="AX3251" s="5"/>
      <c r="AY3251" s="5"/>
      <c r="AZ3251" s="5"/>
      <c r="BA3251" s="5"/>
      <c r="BB3251" s="5"/>
      <c r="BC3251" s="5"/>
      <c r="BD3251" s="5"/>
      <c r="BE3251" s="5"/>
      <c r="BF3251" s="5"/>
      <c r="BG3251" s="5"/>
      <c r="BH3251" s="5"/>
      <c r="BI3251" s="5"/>
      <c r="BJ3251" s="5"/>
      <c r="BK3251" s="5"/>
      <c r="BL3251" s="5"/>
      <c r="BM3251" s="5"/>
      <c r="BN3251" s="5"/>
      <c r="BO3251" s="5"/>
      <c r="BP3251" s="5"/>
      <c r="BQ3251" s="5"/>
      <c r="BR3251" s="5"/>
      <c r="BS3251" s="5"/>
      <c r="BT3251" s="5"/>
      <c r="BU3251" s="5"/>
      <c r="BV3251" s="5"/>
      <c r="BW3251" s="5"/>
      <c r="BX3251" s="5"/>
      <c r="BY3251" s="5"/>
      <c r="BZ3251" s="5"/>
      <c r="CA3251" s="5"/>
    </row>
    <row r="3252" spans="1:79" s="400" customFormat="1" ht="15" customHeight="1">
      <c r="A3252" s="41" t="s">
        <v>183</v>
      </c>
      <c r="B3252" s="402" t="s">
        <v>3727</v>
      </c>
      <c r="C3252" s="113" t="s">
        <v>3727</v>
      </c>
      <c r="D3252" s="393" t="s">
        <v>56</v>
      </c>
      <c r="E3252" s="394" t="s">
        <v>95</v>
      </c>
      <c r="F3252" s="402"/>
      <c r="G3252" s="405" t="s">
        <v>3730</v>
      </c>
      <c r="H3252" s="404">
        <v>4226</v>
      </c>
      <c r="I3252" s="402" t="s">
        <v>1</v>
      </c>
      <c r="J3252" s="401" t="s">
        <v>3145</v>
      </c>
      <c r="K3252" s="403">
        <v>41533</v>
      </c>
      <c r="L3252" s="398">
        <v>41530</v>
      </c>
      <c r="M3252" s="402">
        <f t="shared" si="191"/>
        <v>3</v>
      </c>
      <c r="N3252" s="402" t="s">
        <v>2</v>
      </c>
      <c r="O3252" s="404">
        <v>8</v>
      </c>
      <c r="P3252" s="402">
        <v>6.5</v>
      </c>
      <c r="Q3252" s="404">
        <v>7.86</v>
      </c>
      <c r="R3252" s="402">
        <v>13</v>
      </c>
      <c r="S3252" s="404"/>
      <c r="T3252" s="402">
        <v>0.1</v>
      </c>
      <c r="U3252" s="395">
        <v>0.41</v>
      </c>
      <c r="V3252" s="402">
        <v>1.31</v>
      </c>
      <c r="W3252" s="404">
        <v>2.1999999999999999E-2</v>
      </c>
      <c r="X3252" s="402">
        <v>6.6000000000000003E-2</v>
      </c>
      <c r="Y3252" s="404">
        <v>8.0000000000000002E-3</v>
      </c>
      <c r="Z3252" s="397"/>
      <c r="AA3252" s="399"/>
      <c r="AB3252" s="394"/>
      <c r="AC3252" s="402"/>
      <c r="AD3252" s="399"/>
      <c r="AE3252" s="402"/>
      <c r="AF3252" s="391"/>
      <c r="AG3252" s="394"/>
      <c r="AH3252" s="394"/>
      <c r="AI3252" s="394">
        <v>10</v>
      </c>
      <c r="AJ3252" s="394">
        <f>10/2</f>
        <v>5</v>
      </c>
      <c r="AK3252" s="394"/>
      <c r="AL3252" s="394"/>
      <c r="AM3252" s="394"/>
      <c r="AN3252" s="394"/>
      <c r="AO3252" s="394"/>
      <c r="AP3252" s="394"/>
      <c r="AQ3252" s="394"/>
      <c r="AR3252" s="394"/>
      <c r="AS3252" s="402"/>
      <c r="AT3252" s="404"/>
      <c r="AU3252" s="394"/>
      <c r="AV3252" s="394"/>
      <c r="AW3252" s="394"/>
      <c r="AX3252" s="5"/>
      <c r="AY3252" s="5"/>
      <c r="AZ3252" s="5"/>
      <c r="BA3252" s="5"/>
      <c r="BB3252" s="5"/>
      <c r="BC3252" s="5"/>
      <c r="BD3252" s="5"/>
      <c r="BE3252" s="5"/>
      <c r="BF3252" s="5"/>
      <c r="BG3252" s="5"/>
      <c r="BH3252" s="5"/>
      <c r="BI3252" s="5"/>
      <c r="BJ3252" s="5"/>
      <c r="BK3252" s="5"/>
      <c r="BL3252" s="5"/>
      <c r="BM3252" s="5"/>
      <c r="BN3252" s="5"/>
      <c r="BO3252" s="5"/>
      <c r="BP3252" s="5"/>
      <c r="BQ3252" s="5"/>
      <c r="BR3252" s="5"/>
      <c r="BS3252" s="5"/>
      <c r="BT3252" s="5"/>
      <c r="BU3252" s="5"/>
      <c r="BV3252" s="5"/>
      <c r="BW3252" s="5"/>
      <c r="BX3252" s="5"/>
      <c r="BY3252" s="5"/>
      <c r="BZ3252" s="5"/>
      <c r="CA3252" s="5"/>
    </row>
    <row r="3253" spans="1:79" s="400" customFormat="1" ht="15" customHeight="1">
      <c r="A3253" s="41" t="s">
        <v>183</v>
      </c>
      <c r="B3253" s="402" t="s">
        <v>3727</v>
      </c>
      <c r="C3253" s="113" t="s">
        <v>3727</v>
      </c>
      <c r="D3253" s="393" t="s">
        <v>56</v>
      </c>
      <c r="E3253" s="394" t="s">
        <v>95</v>
      </c>
      <c r="F3253" s="402"/>
      <c r="G3253" s="405" t="s">
        <v>3730</v>
      </c>
      <c r="H3253" s="404">
        <v>4226</v>
      </c>
      <c r="I3253" s="402" t="s">
        <v>1</v>
      </c>
      <c r="J3253" s="401" t="s">
        <v>3693</v>
      </c>
      <c r="K3253" s="403">
        <v>41533</v>
      </c>
      <c r="L3253" s="398">
        <v>41530</v>
      </c>
      <c r="M3253" s="402">
        <f t="shared" si="191"/>
        <v>3</v>
      </c>
      <c r="N3253" s="402" t="s">
        <v>2</v>
      </c>
      <c r="O3253" s="404">
        <f t="shared" ref="O3253:O3258" si="192">1.4/2</f>
        <v>0.7</v>
      </c>
      <c r="P3253" s="402">
        <v>6.6</v>
      </c>
      <c r="Q3253" s="404">
        <v>7.73</v>
      </c>
      <c r="R3253" s="402">
        <f>10/2</f>
        <v>5</v>
      </c>
      <c r="S3253" s="404"/>
      <c r="T3253" s="402">
        <v>7.0000000000000007E-2</v>
      </c>
      <c r="U3253" s="395">
        <v>0.36</v>
      </c>
      <c r="V3253" s="402">
        <v>2.5499999999999998</v>
      </c>
      <c r="W3253" s="404">
        <v>0.01</v>
      </c>
      <c r="X3253" s="402">
        <v>2.3E-2</v>
      </c>
      <c r="Y3253" s="404">
        <v>6.0000000000000001E-3</v>
      </c>
      <c r="Z3253" s="397"/>
      <c r="AA3253" s="399"/>
      <c r="AB3253" s="394"/>
      <c r="AC3253" s="402"/>
      <c r="AD3253" s="399"/>
      <c r="AE3253" s="402"/>
      <c r="AF3253" s="391"/>
      <c r="AG3253" s="394"/>
      <c r="AH3253" s="394"/>
      <c r="AI3253" s="394">
        <v>10</v>
      </c>
      <c r="AJ3253" s="394">
        <f>10/2</f>
        <v>5</v>
      </c>
      <c r="AK3253" s="394"/>
      <c r="AL3253" s="394"/>
      <c r="AM3253" s="394"/>
      <c r="AN3253" s="394"/>
      <c r="AO3253" s="394"/>
      <c r="AP3253" s="394"/>
      <c r="AQ3253" s="394"/>
      <c r="AR3253" s="394"/>
      <c r="AS3253" s="402"/>
      <c r="AT3253" s="404"/>
      <c r="AU3253" s="394"/>
      <c r="AV3253" s="394"/>
      <c r="AW3253" s="394"/>
      <c r="AX3253" s="5"/>
      <c r="AY3253" s="5"/>
      <c r="AZ3253" s="5"/>
      <c r="BA3253" s="5"/>
      <c r="BB3253" s="5"/>
      <c r="BC3253" s="5"/>
      <c r="BD3253" s="5"/>
      <c r="BE3253" s="5"/>
      <c r="BF3253" s="5"/>
      <c r="BG3253" s="5"/>
      <c r="BH3253" s="5"/>
      <c r="BI3253" s="5"/>
      <c r="BJ3253" s="5"/>
      <c r="BK3253" s="5"/>
      <c r="BL3253" s="5"/>
      <c r="BM3253" s="5"/>
      <c r="BN3253" s="5"/>
      <c r="BO3253" s="5"/>
      <c r="BP3253" s="5"/>
      <c r="BQ3253" s="5"/>
      <c r="BR3253" s="5"/>
      <c r="BS3253" s="5"/>
      <c r="BT3253" s="5"/>
      <c r="BU3253" s="5"/>
      <c r="BV3253" s="5"/>
      <c r="BW3253" s="5"/>
      <c r="BX3253" s="5"/>
      <c r="BY3253" s="5"/>
      <c r="BZ3253" s="5"/>
      <c r="CA3253" s="5"/>
    </row>
    <row r="3254" spans="1:79" s="400" customFormat="1" ht="15" customHeight="1">
      <c r="A3254" s="41" t="s">
        <v>183</v>
      </c>
      <c r="B3254" s="402" t="s">
        <v>3727</v>
      </c>
      <c r="C3254" s="113" t="s">
        <v>3727</v>
      </c>
      <c r="D3254" s="393" t="s">
        <v>195</v>
      </c>
      <c r="E3254" s="394" t="s">
        <v>112</v>
      </c>
      <c r="F3254" s="402"/>
      <c r="G3254" s="405" t="s">
        <v>3728</v>
      </c>
      <c r="H3254" s="404">
        <v>4226</v>
      </c>
      <c r="I3254" s="402" t="s">
        <v>1</v>
      </c>
      <c r="J3254" s="406" t="s">
        <v>255</v>
      </c>
      <c r="K3254" s="403">
        <v>41533</v>
      </c>
      <c r="L3254" s="398">
        <v>41530</v>
      </c>
      <c r="M3254" s="402">
        <f t="shared" si="191"/>
        <v>3</v>
      </c>
      <c r="N3254" s="402" t="s">
        <v>2</v>
      </c>
      <c r="O3254" s="404">
        <f t="shared" si="192"/>
        <v>0.7</v>
      </c>
      <c r="P3254" s="402">
        <v>7</v>
      </c>
      <c r="Q3254" s="404">
        <v>7.83</v>
      </c>
      <c r="R3254" s="402">
        <f>10/2</f>
        <v>5</v>
      </c>
      <c r="S3254" s="404"/>
      <c r="T3254" s="402">
        <v>0.06</v>
      </c>
      <c r="U3254" s="395">
        <v>0.42</v>
      </c>
      <c r="V3254" s="402">
        <v>1.5</v>
      </c>
      <c r="W3254" s="404">
        <f>0.005/2</f>
        <v>2.5000000000000001E-3</v>
      </c>
      <c r="X3254" s="402">
        <v>8.0000000000000002E-3</v>
      </c>
      <c r="Y3254" s="404">
        <f>0.002/2</f>
        <v>1E-3</v>
      </c>
      <c r="Z3254" s="397"/>
      <c r="AA3254" s="399"/>
      <c r="AB3254" s="394"/>
      <c r="AC3254" s="402"/>
      <c r="AD3254" s="399"/>
      <c r="AE3254" s="402"/>
      <c r="AF3254" s="391"/>
      <c r="AG3254" s="394"/>
      <c r="AH3254" s="394"/>
      <c r="AI3254" s="394">
        <v>930</v>
      </c>
      <c r="AJ3254" s="394">
        <v>1900</v>
      </c>
      <c r="AK3254" s="394"/>
      <c r="AL3254" s="394"/>
      <c r="AM3254" s="394"/>
      <c r="AN3254" s="394"/>
      <c r="AO3254" s="394"/>
      <c r="AP3254" s="394"/>
      <c r="AQ3254" s="394"/>
      <c r="AR3254" s="394"/>
      <c r="AS3254" s="402"/>
      <c r="AT3254" s="404"/>
      <c r="AU3254" s="394"/>
      <c r="AV3254" s="394"/>
      <c r="AW3254" s="394"/>
      <c r="AX3254" s="5"/>
      <c r="AY3254" s="5"/>
      <c r="AZ3254" s="5"/>
      <c r="BA3254" s="5"/>
      <c r="BB3254" s="5"/>
      <c r="BC3254" s="5"/>
      <c r="BD3254" s="5"/>
      <c r="BE3254" s="5"/>
      <c r="BF3254" s="5"/>
      <c r="BG3254" s="5"/>
      <c r="BH3254" s="5"/>
      <c r="BI3254" s="5"/>
      <c r="BJ3254" s="5"/>
      <c r="BK3254" s="5"/>
      <c r="BL3254" s="5"/>
      <c r="BM3254" s="5"/>
      <c r="BN3254" s="5"/>
      <c r="BO3254" s="5"/>
      <c r="BP3254" s="5"/>
      <c r="BQ3254" s="5"/>
      <c r="BR3254" s="5"/>
      <c r="BS3254" s="5"/>
      <c r="BT3254" s="5"/>
      <c r="BU3254" s="5"/>
      <c r="BV3254" s="5"/>
      <c r="BW3254" s="5"/>
      <c r="BX3254" s="5"/>
      <c r="BY3254" s="5"/>
      <c r="BZ3254" s="5"/>
      <c r="CA3254" s="5"/>
    </row>
    <row r="3255" spans="1:79" s="400" customFormat="1" ht="15" customHeight="1">
      <c r="A3255" s="41" t="s">
        <v>183</v>
      </c>
      <c r="B3255" s="402" t="s">
        <v>3727</v>
      </c>
      <c r="C3255" s="113" t="s">
        <v>3727</v>
      </c>
      <c r="D3255" s="393" t="s">
        <v>195</v>
      </c>
      <c r="E3255" s="394" t="s">
        <v>112</v>
      </c>
      <c r="F3255" s="402"/>
      <c r="G3255" s="405" t="s">
        <v>3728</v>
      </c>
      <c r="H3255" s="404">
        <v>4226</v>
      </c>
      <c r="I3255" s="402" t="s">
        <v>1</v>
      </c>
      <c r="J3255" s="406" t="s">
        <v>96</v>
      </c>
      <c r="K3255" s="403">
        <v>41533</v>
      </c>
      <c r="L3255" s="398">
        <v>41530</v>
      </c>
      <c r="M3255" s="402">
        <f t="shared" si="191"/>
        <v>3</v>
      </c>
      <c r="N3255" s="402" t="s">
        <v>2</v>
      </c>
      <c r="O3255" s="404">
        <f t="shared" si="192"/>
        <v>0.7</v>
      </c>
      <c r="P3255" s="402">
        <v>7</v>
      </c>
      <c r="Q3255" s="404">
        <v>7.83</v>
      </c>
      <c r="R3255" s="402">
        <f>10/2</f>
        <v>5</v>
      </c>
      <c r="S3255" s="404"/>
      <c r="T3255" s="402">
        <v>0.05</v>
      </c>
      <c r="U3255" s="395">
        <v>0.5</v>
      </c>
      <c r="V3255" s="402">
        <v>2.91</v>
      </c>
      <c r="W3255" s="404">
        <f>0.005/2</f>
        <v>2.5000000000000001E-3</v>
      </c>
      <c r="X3255" s="402">
        <v>2.9000000000000001E-2</v>
      </c>
      <c r="Y3255" s="404">
        <f>0.002/2</f>
        <v>1E-3</v>
      </c>
      <c r="Z3255" s="397"/>
      <c r="AA3255" s="399"/>
      <c r="AB3255" s="394"/>
      <c r="AC3255" s="402"/>
      <c r="AD3255" s="399"/>
      <c r="AE3255" s="402"/>
      <c r="AF3255" s="391"/>
      <c r="AG3255" s="394"/>
      <c r="AH3255" s="394"/>
      <c r="AI3255" s="394">
        <v>860</v>
      </c>
      <c r="AJ3255" s="394">
        <v>570</v>
      </c>
      <c r="AK3255" s="394"/>
      <c r="AL3255" s="394"/>
      <c r="AM3255" s="394"/>
      <c r="AN3255" s="394"/>
      <c r="AO3255" s="394"/>
      <c r="AP3255" s="394"/>
      <c r="AQ3255" s="394"/>
      <c r="AR3255" s="394"/>
      <c r="AS3255" s="402"/>
      <c r="AT3255" s="404"/>
      <c r="AU3255" s="394"/>
      <c r="AV3255" s="394"/>
      <c r="AW3255" s="394"/>
      <c r="AX3255" s="5"/>
      <c r="AY3255" s="5"/>
      <c r="AZ3255" s="5"/>
      <c r="BA3255" s="5"/>
      <c r="BB3255" s="5"/>
      <c r="BC3255" s="5"/>
      <c r="BD3255" s="5"/>
      <c r="BE3255" s="5"/>
      <c r="BF3255" s="5"/>
      <c r="BG3255" s="5"/>
      <c r="BH3255" s="5"/>
      <c r="BI3255" s="5"/>
      <c r="BJ3255" s="5"/>
      <c r="BK3255" s="5"/>
      <c r="BL3255" s="5"/>
      <c r="BM3255" s="5"/>
      <c r="BN3255" s="5"/>
      <c r="BO3255" s="5"/>
      <c r="BP3255" s="5"/>
      <c r="BQ3255" s="5"/>
      <c r="BR3255" s="5"/>
      <c r="BS3255" s="5"/>
      <c r="BT3255" s="5"/>
      <c r="BU3255" s="5"/>
      <c r="BV3255" s="5"/>
      <c r="BW3255" s="5"/>
      <c r="BX3255" s="5"/>
      <c r="BY3255" s="5"/>
      <c r="BZ3255" s="5"/>
      <c r="CA3255" s="5"/>
    </row>
    <row r="3256" spans="1:79" s="400" customFormat="1" ht="15" customHeight="1">
      <c r="A3256" s="404" t="s">
        <v>183</v>
      </c>
      <c r="B3256" s="402" t="s">
        <v>4784</v>
      </c>
      <c r="C3256" s="113" t="s">
        <v>4784</v>
      </c>
      <c r="D3256" s="393" t="s">
        <v>350</v>
      </c>
      <c r="E3256" s="394" t="s">
        <v>4786</v>
      </c>
      <c r="F3256" s="402"/>
      <c r="G3256" s="405" t="s">
        <v>4917</v>
      </c>
      <c r="H3256" s="404">
        <v>3629</v>
      </c>
      <c r="I3256" s="402" t="s">
        <v>2</v>
      </c>
      <c r="J3256" s="406" t="s">
        <v>510</v>
      </c>
      <c r="K3256" s="403">
        <v>41345</v>
      </c>
      <c r="L3256" s="398">
        <v>41341</v>
      </c>
      <c r="M3256" s="402">
        <f t="shared" si="191"/>
        <v>4</v>
      </c>
      <c r="N3256" s="402" t="s">
        <v>1</v>
      </c>
      <c r="O3256" s="404">
        <f t="shared" si="192"/>
        <v>0.7</v>
      </c>
      <c r="P3256" s="402">
        <v>5.03</v>
      </c>
      <c r="Q3256" s="404">
        <v>6.61</v>
      </c>
      <c r="R3256" s="402">
        <f>10/2</f>
        <v>5</v>
      </c>
      <c r="S3256" s="404">
        <f>5/2</f>
        <v>2.5</v>
      </c>
      <c r="T3256" s="402">
        <v>0.03</v>
      </c>
      <c r="U3256" s="395">
        <v>0.4</v>
      </c>
      <c r="V3256" s="402">
        <v>2.84</v>
      </c>
      <c r="W3256" s="404">
        <f>0.005/2</f>
        <v>2.5000000000000001E-3</v>
      </c>
      <c r="X3256" s="402">
        <v>0.104</v>
      </c>
      <c r="Y3256" s="404">
        <f>0.002/2</f>
        <v>1E-3</v>
      </c>
      <c r="Z3256" s="397">
        <v>1</v>
      </c>
      <c r="AA3256" s="399">
        <v>1</v>
      </c>
      <c r="AB3256" s="394">
        <v>28</v>
      </c>
      <c r="AC3256" s="402">
        <v>1726</v>
      </c>
      <c r="AD3256" s="399">
        <v>1</v>
      </c>
      <c r="AE3256" s="402"/>
      <c r="AF3256" s="391"/>
      <c r="AG3256" s="394"/>
      <c r="AH3256" s="394"/>
      <c r="AI3256" s="394"/>
      <c r="AJ3256" s="394"/>
      <c r="AK3256" s="394"/>
      <c r="AL3256" s="394"/>
      <c r="AM3256" s="394"/>
      <c r="AN3256" s="394"/>
      <c r="AO3256" s="394"/>
      <c r="AP3256" s="394"/>
      <c r="AQ3256" s="394"/>
      <c r="AR3256" s="394"/>
      <c r="AS3256" s="402"/>
      <c r="AT3256" s="404"/>
      <c r="AU3256" s="394"/>
      <c r="AV3256" s="394"/>
      <c r="AW3256" s="394"/>
      <c r="AX3256" s="5"/>
      <c r="AY3256" s="5"/>
      <c r="AZ3256" s="5"/>
      <c r="BA3256" s="5"/>
      <c r="BB3256" s="5"/>
      <c r="BC3256" s="5"/>
      <c r="BD3256" s="5"/>
      <c r="BE3256" s="5"/>
      <c r="BF3256" s="5"/>
      <c r="BG3256" s="5"/>
      <c r="BH3256" s="5"/>
      <c r="BI3256" s="5"/>
      <c r="BJ3256" s="5"/>
      <c r="BK3256" s="5"/>
      <c r="BL3256" s="5"/>
      <c r="BM3256" s="5"/>
      <c r="BN3256" s="5"/>
      <c r="BO3256" s="5"/>
      <c r="BP3256" s="5"/>
      <c r="BQ3256" s="5"/>
      <c r="BR3256" s="5"/>
      <c r="BS3256" s="5"/>
      <c r="BT3256" s="5"/>
      <c r="BU3256" s="5"/>
      <c r="BV3256" s="5"/>
      <c r="BW3256" s="5"/>
      <c r="BX3256" s="5"/>
      <c r="BY3256" s="5"/>
      <c r="BZ3256" s="5"/>
      <c r="CA3256" s="5"/>
    </row>
    <row r="3257" spans="1:79" s="400" customFormat="1" ht="15" customHeight="1">
      <c r="A3257" s="41" t="s">
        <v>183</v>
      </c>
      <c r="B3257" s="402" t="s">
        <v>4784</v>
      </c>
      <c r="C3257" s="113" t="s">
        <v>4784</v>
      </c>
      <c r="D3257" s="393" t="s">
        <v>350</v>
      </c>
      <c r="E3257" s="394" t="s">
        <v>4786</v>
      </c>
      <c r="F3257" s="402"/>
      <c r="G3257" s="405" t="s">
        <v>4917</v>
      </c>
      <c r="H3257" s="404">
        <v>3629</v>
      </c>
      <c r="I3257" s="402" t="s">
        <v>2</v>
      </c>
      <c r="J3257" s="406" t="s">
        <v>357</v>
      </c>
      <c r="K3257" s="403">
        <v>41345</v>
      </c>
      <c r="L3257" s="398">
        <v>41341</v>
      </c>
      <c r="M3257" s="402">
        <f t="shared" si="191"/>
        <v>4</v>
      </c>
      <c r="N3257" s="402" t="s">
        <v>1</v>
      </c>
      <c r="O3257" s="404">
        <f t="shared" si="192"/>
        <v>0.7</v>
      </c>
      <c r="P3257" s="402">
        <v>5.03</v>
      </c>
      <c r="Q3257" s="404">
        <v>6.25</v>
      </c>
      <c r="R3257" s="402">
        <v>64</v>
      </c>
      <c r="S3257" s="404">
        <v>40</v>
      </c>
      <c r="T3257" s="402">
        <v>0.12</v>
      </c>
      <c r="U3257" s="395">
        <v>1.04</v>
      </c>
      <c r="V3257" s="402">
        <v>0.15</v>
      </c>
      <c r="W3257" s="404">
        <v>8.9999999999999993E-3</v>
      </c>
      <c r="X3257" s="402">
        <v>0.193</v>
      </c>
      <c r="Y3257" s="404">
        <v>5.0000000000000001E-3</v>
      </c>
      <c r="Z3257" s="397">
        <v>1</v>
      </c>
      <c r="AA3257" s="399">
        <v>1</v>
      </c>
      <c r="AB3257" s="394">
        <v>36</v>
      </c>
      <c r="AC3257" s="402">
        <v>1653</v>
      </c>
      <c r="AD3257" s="399">
        <v>1</v>
      </c>
      <c r="AE3257" s="402"/>
      <c r="AF3257" s="391"/>
      <c r="AG3257" s="394"/>
      <c r="AH3257" s="394"/>
      <c r="AI3257" s="394"/>
      <c r="AJ3257" s="394"/>
      <c r="AK3257" s="394"/>
      <c r="AL3257" s="394"/>
      <c r="AM3257" s="394"/>
      <c r="AN3257" s="394"/>
      <c r="AO3257" s="394"/>
      <c r="AP3257" s="394"/>
      <c r="AQ3257" s="394"/>
      <c r="AR3257" s="394"/>
      <c r="AS3257" s="402"/>
      <c r="AT3257" s="404"/>
      <c r="AU3257" s="394"/>
      <c r="AV3257" s="394"/>
      <c r="AW3257" s="394"/>
      <c r="AX3257" s="5"/>
      <c r="AY3257" s="5"/>
      <c r="AZ3257" s="5"/>
      <c r="BA3257" s="5"/>
      <c r="BB3257" s="5"/>
      <c r="BC3257" s="5"/>
      <c r="BD3257" s="5"/>
      <c r="BE3257" s="5"/>
      <c r="BF3257" s="5"/>
      <c r="BG3257" s="5"/>
      <c r="BH3257" s="5"/>
      <c r="BI3257" s="5"/>
      <c r="BJ3257" s="5"/>
      <c r="BK3257" s="5"/>
      <c r="BL3257" s="5"/>
      <c r="BM3257" s="5"/>
      <c r="BN3257" s="5"/>
      <c r="BO3257" s="5"/>
      <c r="BP3257" s="5"/>
      <c r="BQ3257" s="5"/>
      <c r="BR3257" s="5"/>
      <c r="BS3257" s="5"/>
      <c r="BT3257" s="5"/>
      <c r="BU3257" s="5"/>
      <c r="BV3257" s="5"/>
      <c r="BW3257" s="5"/>
      <c r="BX3257" s="5"/>
      <c r="BY3257" s="5"/>
      <c r="BZ3257" s="5"/>
      <c r="CA3257" s="5"/>
    </row>
    <row r="3258" spans="1:79" s="400" customFormat="1" ht="15" customHeight="1">
      <c r="A3258" s="41" t="s">
        <v>183</v>
      </c>
      <c r="B3258" s="402" t="s">
        <v>4784</v>
      </c>
      <c r="C3258" s="113" t="s">
        <v>4784</v>
      </c>
      <c r="D3258" s="393" t="s">
        <v>350</v>
      </c>
      <c r="E3258" s="394" t="s">
        <v>4786</v>
      </c>
      <c r="F3258" s="402"/>
      <c r="G3258" s="405" t="s">
        <v>4917</v>
      </c>
      <c r="H3258" s="404">
        <v>3629</v>
      </c>
      <c r="I3258" s="402" t="s">
        <v>2</v>
      </c>
      <c r="J3258" s="406" t="s">
        <v>890</v>
      </c>
      <c r="K3258" s="403">
        <v>41345</v>
      </c>
      <c r="L3258" s="398">
        <v>41341</v>
      </c>
      <c r="M3258" s="402">
        <f t="shared" si="191"/>
        <v>4</v>
      </c>
      <c r="N3258" s="402" t="s">
        <v>1</v>
      </c>
      <c r="O3258" s="404">
        <f t="shared" si="192"/>
        <v>0.7</v>
      </c>
      <c r="P3258" s="402">
        <v>5.03</v>
      </c>
      <c r="Q3258" s="404">
        <v>6.79</v>
      </c>
      <c r="R3258" s="402">
        <v>56</v>
      </c>
      <c r="S3258" s="404">
        <v>85</v>
      </c>
      <c r="T3258" s="402">
        <v>0.15</v>
      </c>
      <c r="U3258" s="395">
        <v>0.97</v>
      </c>
      <c r="V3258" s="402">
        <v>0.05</v>
      </c>
      <c r="W3258" s="404">
        <v>8.9999999999999993E-3</v>
      </c>
      <c r="X3258" s="402">
        <v>6.5000000000000002E-2</v>
      </c>
      <c r="Y3258" s="404">
        <v>8.0000000000000002E-3</v>
      </c>
      <c r="Z3258" s="397">
        <v>1</v>
      </c>
      <c r="AA3258" s="399">
        <v>1</v>
      </c>
      <c r="AB3258" s="394">
        <v>78</v>
      </c>
      <c r="AC3258" s="402">
        <v>983</v>
      </c>
      <c r="AD3258" s="399">
        <v>1</v>
      </c>
      <c r="AE3258" s="402"/>
      <c r="AF3258" s="391"/>
      <c r="AG3258" s="394"/>
      <c r="AH3258" s="394"/>
      <c r="AI3258" s="394"/>
      <c r="AJ3258" s="394"/>
      <c r="AK3258" s="394"/>
      <c r="AL3258" s="394"/>
      <c r="AM3258" s="394"/>
      <c r="AN3258" s="394"/>
      <c r="AO3258" s="394"/>
      <c r="AP3258" s="394"/>
      <c r="AQ3258" s="394"/>
      <c r="AR3258" s="394"/>
      <c r="AS3258" s="402"/>
      <c r="AT3258" s="404"/>
      <c r="AU3258" s="394"/>
      <c r="AV3258" s="394"/>
      <c r="AW3258" s="394"/>
      <c r="AX3258" s="5"/>
      <c r="AY3258" s="5"/>
      <c r="AZ3258" s="5"/>
      <c r="BA3258" s="5"/>
      <c r="BB3258" s="5"/>
      <c r="BC3258" s="5"/>
      <c r="BD3258" s="5"/>
      <c r="BE3258" s="5"/>
      <c r="BF3258" s="5"/>
      <c r="BG3258" s="5"/>
      <c r="BH3258" s="5"/>
      <c r="BI3258" s="5"/>
      <c r="BJ3258" s="5"/>
      <c r="BK3258" s="5"/>
      <c r="BL3258" s="5"/>
      <c r="BM3258" s="5"/>
      <c r="BN3258" s="5"/>
      <c r="BO3258" s="5"/>
      <c r="BP3258" s="5"/>
      <c r="BQ3258" s="5"/>
      <c r="BR3258" s="5"/>
      <c r="BS3258" s="5"/>
      <c r="BT3258" s="5"/>
      <c r="BU3258" s="5"/>
      <c r="BV3258" s="5"/>
      <c r="BW3258" s="5"/>
      <c r="BX3258" s="5"/>
      <c r="BY3258" s="5"/>
      <c r="BZ3258" s="5"/>
      <c r="CA3258" s="5"/>
    </row>
    <row r="3259" spans="1:79" s="400" customFormat="1" ht="15" customHeight="1">
      <c r="A3259" s="41" t="s">
        <v>183</v>
      </c>
      <c r="B3259" s="385" t="s">
        <v>4410</v>
      </c>
      <c r="C3259" s="18" t="s">
        <v>4411</v>
      </c>
      <c r="D3259" s="377" t="s">
        <v>56</v>
      </c>
      <c r="E3259" s="20" t="s">
        <v>4412</v>
      </c>
      <c r="F3259" s="385"/>
      <c r="G3259" s="405" t="s">
        <v>4413</v>
      </c>
      <c r="H3259" s="384">
        <v>4173</v>
      </c>
      <c r="I3259" s="385" t="s">
        <v>2</v>
      </c>
      <c r="J3259" s="406" t="s">
        <v>5794</v>
      </c>
      <c r="K3259" s="403">
        <v>41600</v>
      </c>
      <c r="L3259" s="398">
        <v>41596</v>
      </c>
      <c r="M3259" s="402">
        <f t="shared" si="191"/>
        <v>4</v>
      </c>
      <c r="N3259" s="402" t="s">
        <v>2</v>
      </c>
      <c r="O3259" s="404" t="s">
        <v>955</v>
      </c>
      <c r="P3259" s="402">
        <v>4.07</v>
      </c>
      <c r="Q3259" s="404">
        <v>2.6</v>
      </c>
      <c r="R3259" s="402">
        <v>14</v>
      </c>
      <c r="S3259" s="404">
        <v>10</v>
      </c>
      <c r="T3259" s="402">
        <v>0.4</v>
      </c>
      <c r="U3259" s="395" t="s">
        <v>955</v>
      </c>
      <c r="V3259" s="402">
        <v>1.7</v>
      </c>
      <c r="W3259" s="404" t="s">
        <v>955</v>
      </c>
      <c r="X3259" s="402">
        <v>0.45</v>
      </c>
      <c r="Y3259" s="404" t="s">
        <v>955</v>
      </c>
      <c r="Z3259" s="397">
        <v>0.73499999999999999</v>
      </c>
      <c r="AA3259" s="399">
        <v>0.45700000000000002</v>
      </c>
      <c r="AB3259" s="394">
        <v>1.7</v>
      </c>
      <c r="AC3259" s="402">
        <v>17</v>
      </c>
      <c r="AD3259" s="399">
        <v>0</v>
      </c>
      <c r="AE3259" s="402"/>
      <c r="AF3259" s="391"/>
      <c r="AG3259" s="394"/>
      <c r="AH3259" s="394"/>
      <c r="AI3259" s="394"/>
      <c r="AJ3259" s="394"/>
      <c r="AK3259" s="394"/>
      <c r="AL3259" s="394"/>
      <c r="AM3259" s="394"/>
      <c r="AN3259" s="394"/>
      <c r="AO3259" s="394"/>
      <c r="AP3259" s="394"/>
      <c r="AQ3259" s="394"/>
      <c r="AR3259" s="394"/>
      <c r="AS3259" s="402"/>
      <c r="AT3259" s="404"/>
      <c r="AU3259" s="394"/>
      <c r="AV3259" s="394"/>
      <c r="AW3259" s="394"/>
      <c r="AX3259" s="5"/>
      <c r="AY3259" s="5"/>
      <c r="AZ3259" s="5"/>
      <c r="BA3259" s="5"/>
      <c r="BB3259" s="5"/>
      <c r="BC3259" s="5"/>
      <c r="BD3259" s="5"/>
      <c r="BE3259" s="5"/>
      <c r="BF3259" s="5"/>
      <c r="BG3259" s="5"/>
      <c r="BH3259" s="5"/>
      <c r="BI3259" s="5"/>
      <c r="BJ3259" s="5"/>
      <c r="BK3259" s="5"/>
      <c r="BL3259" s="5"/>
      <c r="BM3259" s="5"/>
      <c r="BN3259" s="5"/>
      <c r="BO3259" s="5"/>
      <c r="BP3259" s="5"/>
      <c r="BQ3259" s="5"/>
      <c r="BR3259" s="5"/>
      <c r="BS3259" s="5"/>
      <c r="BT3259" s="5"/>
      <c r="BU3259" s="5"/>
      <c r="BV3259" s="5"/>
      <c r="BW3259" s="5"/>
      <c r="BX3259" s="5"/>
      <c r="BY3259" s="5"/>
      <c r="BZ3259" s="5"/>
      <c r="CA3259" s="5"/>
    </row>
    <row r="3260" spans="1:79" ht="15" customHeight="1">
      <c r="A3260" s="41" t="s">
        <v>183</v>
      </c>
      <c r="B3260" s="402" t="s">
        <v>4439</v>
      </c>
      <c r="C3260" s="113" t="s">
        <v>4439</v>
      </c>
      <c r="D3260" s="393" t="s">
        <v>251</v>
      </c>
      <c r="E3260" s="394" t="s">
        <v>4440</v>
      </c>
      <c r="F3260" s="402">
        <v>4402</v>
      </c>
      <c r="G3260" s="405" t="s">
        <v>4441</v>
      </c>
      <c r="H3260" s="74">
        <v>3724</v>
      </c>
      <c r="I3260" s="50" t="s">
        <v>1</v>
      </c>
      <c r="J3260" s="339" t="s">
        <v>115</v>
      </c>
      <c r="K3260" s="51">
        <v>41529</v>
      </c>
      <c r="L3260" s="173">
        <v>41519</v>
      </c>
      <c r="M3260" s="50">
        <f t="shared" si="191"/>
        <v>10</v>
      </c>
      <c r="N3260" s="50" t="s">
        <v>2</v>
      </c>
      <c r="O3260" s="74">
        <f>2/2</f>
        <v>1</v>
      </c>
      <c r="P3260" s="50">
        <v>6.44</v>
      </c>
      <c r="Q3260" s="74">
        <v>4.5999999999999996</v>
      </c>
      <c r="R3260" s="50">
        <v>33</v>
      </c>
      <c r="S3260" s="74">
        <v>21</v>
      </c>
      <c r="T3260" s="50">
        <f>0.05/2</f>
        <v>2.5000000000000001E-2</v>
      </c>
      <c r="U3260" s="131">
        <v>2.77</v>
      </c>
      <c r="V3260" s="50">
        <v>2.69</v>
      </c>
      <c r="W3260" s="74">
        <v>1.7000000000000001E-2</v>
      </c>
      <c r="X3260" s="50">
        <v>0.06</v>
      </c>
      <c r="Y3260" s="74">
        <f>0.03/2</f>
        <v>1.4999999999999999E-2</v>
      </c>
      <c r="Z3260" s="165">
        <v>1</v>
      </c>
      <c r="AA3260" s="271">
        <v>1</v>
      </c>
      <c r="AB3260" s="114">
        <v>12</v>
      </c>
      <c r="AC3260" s="50">
        <v>59</v>
      </c>
      <c r="AD3260" s="271">
        <v>0.95</v>
      </c>
    </row>
    <row r="3261" spans="1:79" ht="15" customHeight="1">
      <c r="A3261" s="41" t="s">
        <v>183</v>
      </c>
      <c r="B3261" s="402" t="s">
        <v>4439</v>
      </c>
      <c r="C3261" s="113" t="s">
        <v>4439</v>
      </c>
      <c r="D3261" s="393" t="s">
        <v>251</v>
      </c>
      <c r="E3261" s="394" t="s">
        <v>4440</v>
      </c>
      <c r="F3261" s="402">
        <v>4402</v>
      </c>
      <c r="G3261" s="405" t="s">
        <v>4441</v>
      </c>
      <c r="H3261" s="74">
        <v>3724</v>
      </c>
      <c r="I3261" s="50" t="s">
        <v>1</v>
      </c>
      <c r="J3261" s="339" t="s">
        <v>115</v>
      </c>
      <c r="K3261" s="51">
        <v>41345</v>
      </c>
      <c r="L3261" s="173">
        <v>41341</v>
      </c>
      <c r="M3261" s="50">
        <f t="shared" si="191"/>
        <v>4</v>
      </c>
      <c r="N3261" s="50" t="s">
        <v>2</v>
      </c>
      <c r="O3261" s="74">
        <f>2/2</f>
        <v>1</v>
      </c>
      <c r="P3261" s="50">
        <v>7.64</v>
      </c>
      <c r="Q3261" s="74">
        <v>7.3</v>
      </c>
      <c r="R3261" s="50">
        <v>12</v>
      </c>
      <c r="S3261" s="74">
        <v>6</v>
      </c>
      <c r="T3261" s="50">
        <f>0.05/2</f>
        <v>2.5000000000000001E-2</v>
      </c>
      <c r="U3261" s="131">
        <v>0.38</v>
      </c>
      <c r="V3261" s="50">
        <v>0.39</v>
      </c>
      <c r="W3261" s="74">
        <v>1.0999999999999999E-2</v>
      </c>
      <c r="X3261" s="50">
        <f>0.03/2</f>
        <v>1.4999999999999999E-2</v>
      </c>
      <c r="Y3261" s="74">
        <f>0.03/2</f>
        <v>1.4999999999999999E-2</v>
      </c>
      <c r="Z3261" s="165"/>
    </row>
    <row r="3262" spans="1:79" s="400" customFormat="1" ht="15" customHeight="1">
      <c r="A3262" s="41" t="s">
        <v>183</v>
      </c>
      <c r="B3262" s="402" t="s">
        <v>4439</v>
      </c>
      <c r="C3262" s="113" t="s">
        <v>4439</v>
      </c>
      <c r="D3262" s="393" t="s">
        <v>251</v>
      </c>
      <c r="E3262" s="394" t="s">
        <v>4440</v>
      </c>
      <c r="F3262" s="402">
        <v>4402</v>
      </c>
      <c r="G3262" s="405" t="s">
        <v>4441</v>
      </c>
      <c r="H3262" s="404">
        <v>3724</v>
      </c>
      <c r="I3262" s="402" t="s">
        <v>1</v>
      </c>
      <c r="J3262" s="406" t="s">
        <v>115</v>
      </c>
      <c r="K3262" s="403">
        <v>41170</v>
      </c>
      <c r="L3262" s="398">
        <v>41160</v>
      </c>
      <c r="M3262" s="402">
        <f t="shared" si="191"/>
        <v>10</v>
      </c>
      <c r="N3262" s="402" t="s">
        <v>2</v>
      </c>
      <c r="O3262" s="404">
        <f>2/2</f>
        <v>1</v>
      </c>
      <c r="P3262" s="402">
        <v>7.78</v>
      </c>
      <c r="Q3262" s="404">
        <v>6.9</v>
      </c>
      <c r="R3262" s="402">
        <v>41</v>
      </c>
      <c r="S3262" s="404">
        <v>7</v>
      </c>
      <c r="T3262" s="402">
        <v>0.05</v>
      </c>
      <c r="U3262" s="395">
        <v>2.71</v>
      </c>
      <c r="V3262" s="402">
        <v>1.26</v>
      </c>
      <c r="W3262" s="404">
        <v>2.7E-2</v>
      </c>
      <c r="X3262" s="402">
        <v>5.0999999999999997E-2</v>
      </c>
      <c r="Y3262" s="404">
        <f>0.03/2</f>
        <v>1.4999999999999999E-2</v>
      </c>
      <c r="Z3262" s="397">
        <v>1</v>
      </c>
      <c r="AA3262" s="399">
        <v>1</v>
      </c>
      <c r="AB3262" s="394">
        <v>14</v>
      </c>
      <c r="AC3262" s="402">
        <v>65</v>
      </c>
      <c r="AD3262" s="399">
        <v>1</v>
      </c>
      <c r="AE3262" s="402">
        <v>1200</v>
      </c>
      <c r="AF3262" s="391"/>
      <c r="AG3262" s="394"/>
      <c r="AH3262" s="394"/>
      <c r="AI3262" s="394"/>
      <c r="AJ3262" s="394"/>
      <c r="AK3262" s="394"/>
      <c r="AL3262" s="394"/>
      <c r="AM3262" s="394"/>
      <c r="AN3262" s="394"/>
      <c r="AO3262" s="394"/>
      <c r="AP3262" s="394"/>
      <c r="AQ3262" s="394"/>
      <c r="AR3262" s="394"/>
      <c r="AS3262" s="402"/>
      <c r="AT3262" s="404"/>
      <c r="AU3262" s="394"/>
      <c r="AV3262" s="394"/>
      <c r="AW3262" s="394"/>
      <c r="AX3262" s="5"/>
      <c r="AY3262" s="5"/>
      <c r="AZ3262" s="5"/>
      <c r="BA3262" s="5"/>
      <c r="BB3262" s="5"/>
      <c r="BC3262" s="5"/>
      <c r="BD3262" s="5"/>
      <c r="BE3262" s="5"/>
      <c r="BF3262" s="5"/>
      <c r="BG3262" s="5"/>
      <c r="BH3262" s="5"/>
      <c r="BI3262" s="5"/>
      <c r="BJ3262" s="5"/>
      <c r="BK3262" s="5"/>
      <c r="BL3262" s="5"/>
      <c r="BM3262" s="5"/>
      <c r="BN3262" s="5"/>
      <c r="BO3262" s="5"/>
      <c r="BP3262" s="5"/>
      <c r="BQ3262" s="5"/>
      <c r="BR3262" s="5"/>
      <c r="BS3262" s="5"/>
      <c r="BT3262" s="5"/>
      <c r="BU3262" s="5"/>
      <c r="BV3262" s="5"/>
      <c r="BW3262" s="5"/>
      <c r="BX3262" s="5"/>
      <c r="BY3262" s="5"/>
      <c r="BZ3262" s="5"/>
      <c r="CA3262" s="5"/>
    </row>
    <row r="3263" spans="1:79" s="400" customFormat="1" ht="15" customHeight="1">
      <c r="A3263" s="41" t="s">
        <v>183</v>
      </c>
      <c r="B3263" s="402" t="s">
        <v>5154</v>
      </c>
      <c r="C3263" s="113" t="s">
        <v>5154</v>
      </c>
      <c r="D3263" s="393" t="s">
        <v>111</v>
      </c>
      <c r="E3263" s="394" t="s">
        <v>5795</v>
      </c>
      <c r="F3263" s="402">
        <v>5200</v>
      </c>
      <c r="G3263" s="405" t="s">
        <v>5156</v>
      </c>
      <c r="H3263" s="404">
        <v>3441</v>
      </c>
      <c r="I3263" s="402" t="s">
        <v>2</v>
      </c>
      <c r="J3263" s="406" t="s">
        <v>74</v>
      </c>
      <c r="K3263" s="403">
        <v>41495</v>
      </c>
      <c r="L3263" s="398" t="s">
        <v>5380</v>
      </c>
      <c r="M3263" s="402"/>
      <c r="N3263" s="402" t="s">
        <v>2</v>
      </c>
      <c r="O3263" s="404">
        <f>5/2</f>
        <v>2.5</v>
      </c>
      <c r="P3263" s="402">
        <v>6.9</v>
      </c>
      <c r="Q3263" s="404">
        <v>7.13</v>
      </c>
      <c r="R3263" s="402">
        <v>31</v>
      </c>
      <c r="S3263" s="404">
        <v>11</v>
      </c>
      <c r="T3263" s="402">
        <f>0.1/2</f>
        <v>0.05</v>
      </c>
      <c r="U3263" s="395">
        <f>1/2</f>
        <v>0.5</v>
      </c>
      <c r="V3263" s="402">
        <v>1.3</v>
      </c>
      <c r="W3263" s="404">
        <f>0.04/2</f>
        <v>0.02</v>
      </c>
      <c r="X3263" s="402">
        <f>0.02/2</f>
        <v>0.01</v>
      </c>
      <c r="Y3263" s="404">
        <f>0.013/2</f>
        <v>6.4999999999999997E-3</v>
      </c>
      <c r="Z3263" s="397"/>
      <c r="AA3263" s="399"/>
      <c r="AB3263" s="394"/>
      <c r="AC3263" s="402"/>
      <c r="AD3263" s="399"/>
      <c r="AE3263" s="402"/>
      <c r="AF3263" s="391"/>
      <c r="AG3263" s="394"/>
      <c r="AH3263" s="394"/>
      <c r="AI3263" s="394"/>
      <c r="AJ3263" s="394"/>
      <c r="AK3263" s="394"/>
      <c r="AL3263" s="394"/>
      <c r="AM3263" s="394"/>
      <c r="AN3263" s="394"/>
      <c r="AO3263" s="394"/>
      <c r="AP3263" s="394"/>
      <c r="AQ3263" s="394"/>
      <c r="AR3263" s="394"/>
      <c r="AS3263" s="402"/>
      <c r="AT3263" s="404"/>
      <c r="AU3263" s="394"/>
      <c r="AV3263" s="394"/>
      <c r="AW3263" s="394"/>
      <c r="AX3263" s="5"/>
      <c r="AY3263" s="5"/>
      <c r="AZ3263" s="5"/>
      <c r="BA3263" s="5"/>
      <c r="BB3263" s="5"/>
      <c r="BC3263" s="5"/>
      <c r="BD3263" s="5"/>
      <c r="BE3263" s="5"/>
      <c r="BF3263" s="5"/>
      <c r="BG3263" s="5"/>
      <c r="BH3263" s="5"/>
      <c r="BI3263" s="5"/>
      <c r="BJ3263" s="5"/>
      <c r="BK3263" s="5"/>
      <c r="BL3263" s="5"/>
      <c r="BM3263" s="5"/>
      <c r="BN3263" s="5"/>
      <c r="BO3263" s="5"/>
      <c r="BP3263" s="5"/>
      <c r="BQ3263" s="5"/>
      <c r="BR3263" s="5"/>
      <c r="BS3263" s="5"/>
      <c r="BT3263" s="5"/>
      <c r="BU3263" s="5"/>
      <c r="BV3263" s="5"/>
      <c r="BW3263" s="5"/>
      <c r="BX3263" s="5"/>
      <c r="BY3263" s="5"/>
      <c r="BZ3263" s="5"/>
      <c r="CA3263" s="5"/>
    </row>
    <row r="3264" spans="1:79" s="400" customFormat="1" ht="15" customHeight="1">
      <c r="A3264" s="41" t="s">
        <v>183</v>
      </c>
      <c r="B3264" s="402" t="s">
        <v>5796</v>
      </c>
      <c r="C3264" s="113" t="s">
        <v>5796</v>
      </c>
      <c r="D3264" s="393" t="s">
        <v>1537</v>
      </c>
      <c r="E3264" s="394"/>
      <c r="F3264" s="402">
        <v>7000</v>
      </c>
      <c r="G3264" s="405" t="s">
        <v>5797</v>
      </c>
      <c r="H3264" s="404"/>
      <c r="I3264" s="402"/>
      <c r="J3264" s="406" t="s">
        <v>5798</v>
      </c>
      <c r="K3264" s="403">
        <v>41529</v>
      </c>
      <c r="L3264" s="398"/>
      <c r="M3264" s="402"/>
      <c r="N3264" s="402" t="s">
        <v>2</v>
      </c>
      <c r="O3264" s="404">
        <f>5/2</f>
        <v>2.5</v>
      </c>
      <c r="P3264" s="402">
        <v>6.76</v>
      </c>
      <c r="Q3264" s="404">
        <v>6.56</v>
      </c>
      <c r="R3264" s="402">
        <v>12</v>
      </c>
      <c r="S3264" s="404">
        <v>10</v>
      </c>
      <c r="T3264" s="402">
        <f>0.1/2</f>
        <v>0.05</v>
      </c>
      <c r="U3264" s="395">
        <v>1.2</v>
      </c>
      <c r="V3264" s="402">
        <v>0.4</v>
      </c>
      <c r="W3264" s="404">
        <f>0.04/2</f>
        <v>0.02</v>
      </c>
      <c r="X3264" s="402">
        <v>0.12</v>
      </c>
      <c r="Y3264" s="404">
        <f>0.013/2</f>
        <v>6.4999999999999997E-3</v>
      </c>
      <c r="Z3264" s="397">
        <v>1</v>
      </c>
      <c r="AA3264" s="399">
        <v>1</v>
      </c>
      <c r="AB3264" s="394">
        <v>10</v>
      </c>
      <c r="AC3264" s="402">
        <v>41</v>
      </c>
      <c r="AD3264" s="399">
        <v>1</v>
      </c>
      <c r="AE3264" s="402"/>
      <c r="AF3264" s="391"/>
      <c r="AG3264" s="394"/>
      <c r="AH3264" s="394"/>
      <c r="AI3264" s="394"/>
      <c r="AJ3264" s="394"/>
      <c r="AK3264" s="394"/>
      <c r="AL3264" s="394"/>
      <c r="AM3264" s="394"/>
      <c r="AN3264" s="394"/>
      <c r="AO3264" s="394"/>
      <c r="AP3264" s="394"/>
      <c r="AQ3264" s="394"/>
      <c r="AR3264" s="394"/>
      <c r="AS3264" s="402"/>
      <c r="AT3264" s="404"/>
      <c r="AU3264" s="394"/>
      <c r="AV3264" s="394"/>
      <c r="AW3264" s="394"/>
      <c r="AX3264" s="5"/>
      <c r="AY3264" s="5"/>
      <c r="AZ3264" s="5"/>
      <c r="BA3264" s="5"/>
      <c r="BB3264" s="5"/>
      <c r="BC3264" s="5"/>
      <c r="BD3264" s="5"/>
      <c r="BE3264" s="5"/>
      <c r="BF3264" s="5"/>
      <c r="BG3264" s="5"/>
      <c r="BH3264" s="5"/>
      <c r="BI3264" s="5"/>
      <c r="BJ3264" s="5"/>
      <c r="BK3264" s="5"/>
      <c r="BL3264" s="5"/>
      <c r="BM3264" s="5"/>
      <c r="BN3264" s="5"/>
      <c r="BO3264" s="5"/>
      <c r="BP3264" s="5"/>
      <c r="BQ3264" s="5"/>
      <c r="BR3264" s="5"/>
      <c r="BS3264" s="5"/>
      <c r="BT3264" s="5"/>
      <c r="BU3264" s="5"/>
      <c r="BV3264" s="5"/>
      <c r="BW3264" s="5"/>
      <c r="BX3264" s="5"/>
      <c r="BY3264" s="5"/>
      <c r="BZ3264" s="5"/>
      <c r="CA3264" s="5"/>
    </row>
    <row r="3265" spans="1:79" s="400" customFormat="1" ht="15" customHeight="1">
      <c r="A3265" s="41" t="s">
        <v>183</v>
      </c>
      <c r="B3265" s="402" t="s">
        <v>5799</v>
      </c>
      <c r="C3265" s="113" t="s">
        <v>5799</v>
      </c>
      <c r="D3265" s="393" t="s">
        <v>684</v>
      </c>
      <c r="E3265" s="20" t="s">
        <v>112</v>
      </c>
      <c r="F3265" s="402"/>
      <c r="G3265" s="405" t="s">
        <v>3275</v>
      </c>
      <c r="H3265" s="384">
        <v>3841</v>
      </c>
      <c r="I3265" s="402" t="s">
        <v>2</v>
      </c>
      <c r="J3265" s="406" t="s">
        <v>3276</v>
      </c>
      <c r="K3265" s="403">
        <v>41466</v>
      </c>
      <c r="L3265" s="398">
        <v>41456</v>
      </c>
      <c r="M3265" s="402">
        <f t="shared" si="191"/>
        <v>10</v>
      </c>
      <c r="N3265" s="402" t="s">
        <v>2</v>
      </c>
      <c r="O3265" s="404">
        <f>2/2</f>
        <v>1</v>
      </c>
      <c r="P3265" s="402">
        <v>5.0999999999999996</v>
      </c>
      <c r="Q3265" s="404">
        <v>6.6</v>
      </c>
      <c r="R3265" s="402">
        <f>10/2</f>
        <v>5</v>
      </c>
      <c r="S3265" s="404">
        <v>3</v>
      </c>
      <c r="T3265" s="402">
        <v>0.06</v>
      </c>
      <c r="U3265" s="395">
        <v>0.54</v>
      </c>
      <c r="V3265" s="402">
        <v>0.43</v>
      </c>
      <c r="W3265" s="404">
        <v>1.4E-2</v>
      </c>
      <c r="X3265" s="402">
        <v>0.19500000000000001</v>
      </c>
      <c r="Y3265" s="404">
        <f>0.03/2</f>
        <v>1.4999999999999999E-2</v>
      </c>
      <c r="Z3265" s="397"/>
      <c r="AA3265" s="399"/>
      <c r="AB3265" s="394"/>
      <c r="AC3265" s="402"/>
      <c r="AD3265" s="399"/>
      <c r="AE3265" s="402"/>
      <c r="AF3265" s="391"/>
      <c r="AG3265" s="394"/>
      <c r="AH3265" s="394"/>
      <c r="AI3265" s="394"/>
      <c r="AJ3265" s="394"/>
      <c r="AK3265" s="394"/>
      <c r="AL3265" s="394"/>
      <c r="AM3265" s="394"/>
      <c r="AN3265" s="394"/>
      <c r="AO3265" s="394"/>
      <c r="AP3265" s="394"/>
      <c r="AQ3265" s="394"/>
      <c r="AR3265" s="394"/>
      <c r="AS3265" s="402"/>
      <c r="AT3265" s="404"/>
      <c r="AU3265" s="394"/>
      <c r="AV3265" s="394"/>
      <c r="AW3265" s="394"/>
      <c r="AX3265" s="5"/>
      <c r="AY3265" s="5"/>
      <c r="AZ3265" s="5"/>
      <c r="BA3265" s="5"/>
      <c r="BB3265" s="5"/>
      <c r="BC3265" s="5"/>
      <c r="BD3265" s="5"/>
      <c r="BE3265" s="5"/>
      <c r="BF3265" s="5"/>
      <c r="BG3265" s="5"/>
      <c r="BH3265" s="5"/>
      <c r="BI3265" s="5"/>
      <c r="BJ3265" s="5"/>
      <c r="BK3265" s="5"/>
      <c r="BL3265" s="5"/>
      <c r="BM3265" s="5"/>
      <c r="BN3265" s="5"/>
      <c r="BO3265" s="5"/>
      <c r="BP3265" s="5"/>
      <c r="BQ3265" s="5"/>
      <c r="BR3265" s="5"/>
      <c r="BS3265" s="5"/>
      <c r="BT3265" s="5"/>
      <c r="BU3265" s="5"/>
      <c r="BV3265" s="5"/>
      <c r="BW3265" s="5"/>
      <c r="BX3265" s="5"/>
      <c r="BY3265" s="5"/>
      <c r="BZ3265" s="5"/>
      <c r="CA3265" s="5"/>
    </row>
    <row r="3266" spans="1:79" s="400" customFormat="1" ht="15" customHeight="1">
      <c r="A3266" s="41" t="s">
        <v>183</v>
      </c>
      <c r="B3266" s="402" t="s">
        <v>5799</v>
      </c>
      <c r="C3266" s="113" t="s">
        <v>5799</v>
      </c>
      <c r="D3266" s="393" t="s">
        <v>684</v>
      </c>
      <c r="E3266" s="20" t="s">
        <v>112</v>
      </c>
      <c r="F3266" s="402"/>
      <c r="G3266" s="405" t="s">
        <v>3275</v>
      </c>
      <c r="H3266" s="384">
        <v>3841</v>
      </c>
      <c r="I3266" s="402" t="s">
        <v>2</v>
      </c>
      <c r="J3266" s="406" t="s">
        <v>3277</v>
      </c>
      <c r="K3266" s="403">
        <v>41466</v>
      </c>
      <c r="L3266" s="398">
        <v>41456</v>
      </c>
      <c r="M3266" s="402">
        <f t="shared" si="191"/>
        <v>10</v>
      </c>
      <c r="N3266" s="402" t="s">
        <v>2</v>
      </c>
      <c r="O3266" s="404">
        <f>2/2</f>
        <v>1</v>
      </c>
      <c r="P3266" s="402">
        <v>5.0999999999999996</v>
      </c>
      <c r="Q3266" s="404">
        <v>7</v>
      </c>
      <c r="R3266" s="402">
        <v>26</v>
      </c>
      <c r="S3266" s="404">
        <v>19</v>
      </c>
      <c r="T3266" s="402">
        <v>0.11</v>
      </c>
      <c r="U3266" s="395">
        <v>1.34</v>
      </c>
      <c r="V3266" s="402">
        <v>1.28</v>
      </c>
      <c r="W3266" s="404">
        <v>1.9E-2</v>
      </c>
      <c r="X3266" s="402">
        <v>9.2999999999999999E-2</v>
      </c>
      <c r="Y3266" s="404">
        <f>0.03/2</f>
        <v>1.4999999999999999E-2</v>
      </c>
      <c r="Z3266" s="397"/>
      <c r="AA3266" s="399"/>
      <c r="AB3266" s="394"/>
      <c r="AC3266" s="402"/>
      <c r="AD3266" s="399"/>
      <c r="AE3266" s="402"/>
      <c r="AF3266" s="391"/>
      <c r="AG3266" s="394"/>
      <c r="AH3266" s="394"/>
      <c r="AI3266" s="394"/>
      <c r="AJ3266" s="394"/>
      <c r="AK3266" s="394"/>
      <c r="AL3266" s="394"/>
      <c r="AM3266" s="394"/>
      <c r="AN3266" s="394"/>
      <c r="AO3266" s="394"/>
      <c r="AP3266" s="394"/>
      <c r="AQ3266" s="394"/>
      <c r="AR3266" s="394"/>
      <c r="AS3266" s="402"/>
      <c r="AT3266" s="404"/>
      <c r="AU3266" s="394"/>
      <c r="AV3266" s="394"/>
      <c r="AW3266" s="394"/>
      <c r="AX3266" s="5"/>
      <c r="AY3266" s="5"/>
      <c r="AZ3266" s="5"/>
      <c r="BA3266" s="5"/>
      <c r="BB3266" s="5"/>
      <c r="BC3266" s="5"/>
      <c r="BD3266" s="5"/>
      <c r="BE3266" s="5"/>
      <c r="BF3266" s="5"/>
      <c r="BG3266" s="5"/>
      <c r="BH3266" s="5"/>
      <c r="BI3266" s="5"/>
      <c r="BJ3266" s="5"/>
      <c r="BK3266" s="5"/>
      <c r="BL3266" s="5"/>
      <c r="BM3266" s="5"/>
      <c r="BN3266" s="5"/>
      <c r="BO3266" s="5"/>
      <c r="BP3266" s="5"/>
      <c r="BQ3266" s="5"/>
      <c r="BR3266" s="5"/>
      <c r="BS3266" s="5"/>
      <c r="BT3266" s="5"/>
      <c r="BU3266" s="5"/>
      <c r="BV3266" s="5"/>
      <c r="BW3266" s="5"/>
      <c r="BX3266" s="5"/>
      <c r="BY3266" s="5"/>
      <c r="BZ3266" s="5"/>
      <c r="CA3266" s="5"/>
    </row>
    <row r="3267" spans="1:79" s="400" customFormat="1" ht="15" customHeight="1">
      <c r="A3267" s="41" t="s">
        <v>183</v>
      </c>
      <c r="B3267" s="402" t="s">
        <v>5799</v>
      </c>
      <c r="C3267" s="113" t="s">
        <v>5799</v>
      </c>
      <c r="D3267" s="393" t="s">
        <v>684</v>
      </c>
      <c r="E3267" s="20" t="s">
        <v>112</v>
      </c>
      <c r="F3267" s="402"/>
      <c r="G3267" s="405" t="s">
        <v>3275</v>
      </c>
      <c r="H3267" s="384">
        <v>3841</v>
      </c>
      <c r="I3267" s="402" t="s">
        <v>2</v>
      </c>
      <c r="J3267" s="406" t="s">
        <v>3278</v>
      </c>
      <c r="K3267" s="403">
        <v>41466</v>
      </c>
      <c r="L3267" s="398">
        <v>41456</v>
      </c>
      <c r="M3267" s="402">
        <f t="shared" si="191"/>
        <v>10</v>
      </c>
      <c r="N3267" s="402" t="s">
        <v>2</v>
      </c>
      <c r="O3267" s="404">
        <f>2/2</f>
        <v>1</v>
      </c>
      <c r="P3267" s="402">
        <v>5.0999999999999996</v>
      </c>
      <c r="Q3267" s="404">
        <v>6.9</v>
      </c>
      <c r="R3267" s="402">
        <v>23</v>
      </c>
      <c r="S3267" s="404">
        <v>45</v>
      </c>
      <c r="T3267" s="402">
        <v>0.17</v>
      </c>
      <c r="U3267" s="395">
        <v>0.9</v>
      </c>
      <c r="V3267" s="402">
        <v>0.5</v>
      </c>
      <c r="W3267" s="404">
        <v>2.1000000000000001E-2</v>
      </c>
      <c r="X3267" s="402">
        <v>0.156</v>
      </c>
      <c r="Y3267" s="404">
        <f>0.03/2</f>
        <v>1.4999999999999999E-2</v>
      </c>
      <c r="Z3267" s="397"/>
      <c r="AA3267" s="399"/>
      <c r="AB3267" s="394"/>
      <c r="AC3267" s="402"/>
      <c r="AD3267" s="399"/>
      <c r="AE3267" s="402"/>
      <c r="AF3267" s="391"/>
      <c r="AG3267" s="394"/>
      <c r="AH3267" s="394"/>
      <c r="AI3267" s="394"/>
      <c r="AJ3267" s="394"/>
      <c r="AK3267" s="394"/>
      <c r="AL3267" s="394"/>
      <c r="AM3267" s="394"/>
      <c r="AN3267" s="394"/>
      <c r="AO3267" s="394"/>
      <c r="AP3267" s="394"/>
      <c r="AQ3267" s="394"/>
      <c r="AR3267" s="394"/>
      <c r="AS3267" s="402"/>
      <c r="AT3267" s="404"/>
      <c r="AU3267" s="394"/>
      <c r="AV3267" s="394"/>
      <c r="AW3267" s="394"/>
      <c r="AX3267" s="5"/>
      <c r="AY3267" s="5"/>
      <c r="AZ3267" s="5"/>
      <c r="BA3267" s="5"/>
      <c r="BB3267" s="5"/>
      <c r="BC3267" s="5"/>
      <c r="BD3267" s="5"/>
      <c r="BE3267" s="5"/>
      <c r="BF3267" s="5"/>
      <c r="BG3267" s="5"/>
      <c r="BH3267" s="5"/>
      <c r="BI3267" s="5"/>
      <c r="BJ3267" s="5"/>
      <c r="BK3267" s="5"/>
      <c r="BL3267" s="5"/>
      <c r="BM3267" s="5"/>
      <c r="BN3267" s="5"/>
      <c r="BO3267" s="5"/>
      <c r="BP3267" s="5"/>
      <c r="BQ3267" s="5"/>
      <c r="BR3267" s="5"/>
      <c r="BS3267" s="5"/>
      <c r="BT3267" s="5"/>
      <c r="BU3267" s="5"/>
      <c r="BV3267" s="5"/>
      <c r="BW3267" s="5"/>
      <c r="BX3267" s="5"/>
      <c r="BY3267" s="5"/>
      <c r="BZ3267" s="5"/>
      <c r="CA3267" s="5"/>
    </row>
    <row r="3268" spans="1:79" s="400" customFormat="1" ht="15" customHeight="1">
      <c r="A3268" s="41" t="s">
        <v>183</v>
      </c>
      <c r="B3268" s="386" t="s">
        <v>854</v>
      </c>
      <c r="C3268" s="149" t="s">
        <v>854</v>
      </c>
      <c r="D3268" s="392" t="s">
        <v>262</v>
      </c>
      <c r="E3268" s="258" t="s">
        <v>851</v>
      </c>
      <c r="F3268" s="386"/>
      <c r="G3268" s="405" t="s">
        <v>855</v>
      </c>
      <c r="H3268" s="404">
        <v>5171</v>
      </c>
      <c r="I3268" s="402"/>
      <c r="J3268" s="406" t="s">
        <v>856</v>
      </c>
      <c r="K3268" s="403">
        <v>41432</v>
      </c>
      <c r="L3268" s="398">
        <v>41417</v>
      </c>
      <c r="M3268" s="402">
        <f t="shared" si="191"/>
        <v>15</v>
      </c>
      <c r="N3268" s="402" t="s">
        <v>2</v>
      </c>
      <c r="O3268" s="404">
        <f>1/2</f>
        <v>0.5</v>
      </c>
      <c r="P3268" s="402">
        <v>6</v>
      </c>
      <c r="Q3268" s="404">
        <v>6.94</v>
      </c>
      <c r="R3268" s="402">
        <v>17.2</v>
      </c>
      <c r="S3268" s="404">
        <v>12</v>
      </c>
      <c r="T3268" s="402">
        <v>7.0000000000000007E-2</v>
      </c>
      <c r="U3268" s="395">
        <v>1.44</v>
      </c>
      <c r="V3268" s="402">
        <v>0.32</v>
      </c>
      <c r="W3268" s="404">
        <v>0.01</v>
      </c>
      <c r="X3268" s="402">
        <v>0.12</v>
      </c>
      <c r="Y3268" s="404">
        <f>0.02/2</f>
        <v>0.01</v>
      </c>
      <c r="Z3268" s="397">
        <v>0.70599999999999996</v>
      </c>
      <c r="AA3268" s="399">
        <v>0.55700000000000005</v>
      </c>
      <c r="AB3268" s="394">
        <v>41.3</v>
      </c>
      <c r="AC3268" s="402">
        <v>131.69999999999999</v>
      </c>
      <c r="AD3268" s="399">
        <v>0</v>
      </c>
      <c r="AE3268" s="402"/>
      <c r="AF3268" s="391"/>
      <c r="AG3268" s="394"/>
      <c r="AH3268" s="394"/>
      <c r="AI3268" s="394"/>
      <c r="AJ3268" s="394"/>
      <c r="AK3268" s="394"/>
      <c r="AL3268" s="394"/>
      <c r="AM3268" s="394"/>
      <c r="AN3268" s="394"/>
      <c r="AO3268" s="394"/>
      <c r="AP3268" s="394"/>
      <c r="AQ3268" s="394"/>
      <c r="AR3268" s="394"/>
      <c r="AS3268" s="402"/>
      <c r="AT3268" s="404"/>
      <c r="AU3268" s="394"/>
      <c r="AV3268" s="394"/>
      <c r="AW3268" s="394"/>
      <c r="AX3268" s="5"/>
      <c r="AY3268" s="5"/>
      <c r="AZ3268" s="5"/>
      <c r="BA3268" s="5"/>
      <c r="BB3268" s="5"/>
      <c r="BC3268" s="5"/>
      <c r="BD3268" s="5"/>
      <c r="BE3268" s="5"/>
      <c r="BF3268" s="5"/>
      <c r="BG3268" s="5"/>
      <c r="BH3268" s="5"/>
      <c r="BI3268" s="5"/>
      <c r="BJ3268" s="5"/>
      <c r="BK3268" s="5"/>
      <c r="BL3268" s="5"/>
      <c r="BM3268" s="5"/>
      <c r="BN3268" s="5"/>
      <c r="BO3268" s="5"/>
      <c r="BP3268" s="5"/>
      <c r="BQ3268" s="5"/>
      <c r="BR3268" s="5"/>
      <c r="BS3268" s="5"/>
      <c r="BT3268" s="5"/>
      <c r="BU3268" s="5"/>
      <c r="BV3268" s="5"/>
      <c r="BW3268" s="5"/>
      <c r="BX3268" s="5"/>
      <c r="BY3268" s="5"/>
      <c r="BZ3268" s="5"/>
      <c r="CA3268" s="5"/>
    </row>
    <row r="3269" spans="1:79" s="400" customFormat="1" ht="15" customHeight="1">
      <c r="A3269" s="41" t="s">
        <v>183</v>
      </c>
      <c r="B3269" s="385" t="s">
        <v>4399</v>
      </c>
      <c r="C3269" s="18" t="s">
        <v>4399</v>
      </c>
      <c r="D3269" s="393" t="s">
        <v>268</v>
      </c>
      <c r="E3269" s="20" t="s">
        <v>252</v>
      </c>
      <c r="F3269" s="385" t="s">
        <v>4400</v>
      </c>
      <c r="G3269" s="405" t="s">
        <v>4401</v>
      </c>
      <c r="H3269" s="404" t="s">
        <v>5802</v>
      </c>
      <c r="I3269" s="402" t="s">
        <v>2</v>
      </c>
      <c r="J3269" s="344" t="s">
        <v>3251</v>
      </c>
      <c r="K3269" s="403">
        <v>41423</v>
      </c>
      <c r="L3269" s="398">
        <v>41419</v>
      </c>
      <c r="M3269" s="402">
        <f t="shared" si="191"/>
        <v>4</v>
      </c>
      <c r="N3269" s="402" t="s">
        <v>2</v>
      </c>
      <c r="O3269" s="404">
        <f>2/2</f>
        <v>1</v>
      </c>
      <c r="P3269" s="402">
        <v>6.9</v>
      </c>
      <c r="Q3269" s="404">
        <v>6.7</v>
      </c>
      <c r="R3269" s="402">
        <v>36</v>
      </c>
      <c r="S3269" s="404">
        <v>5</v>
      </c>
      <c r="T3269" s="402">
        <v>0.08</v>
      </c>
      <c r="U3269" s="395">
        <v>1.61</v>
      </c>
      <c r="V3269" s="402">
        <v>0.78</v>
      </c>
      <c r="W3269" s="404">
        <v>1.6E-2</v>
      </c>
      <c r="X3269" s="402">
        <v>0.13900000000000001</v>
      </c>
      <c r="Y3269" s="404">
        <f>0.03/2</f>
        <v>1.4999999999999999E-2</v>
      </c>
      <c r="Z3269" s="397">
        <v>1</v>
      </c>
      <c r="AA3269" s="399">
        <v>1</v>
      </c>
      <c r="AB3269" s="394">
        <v>91</v>
      </c>
      <c r="AC3269" s="402">
        <v>138</v>
      </c>
      <c r="AD3269" s="399">
        <v>0.8</v>
      </c>
      <c r="AE3269" s="402"/>
      <c r="AF3269" s="391"/>
      <c r="AG3269" s="394"/>
      <c r="AH3269" s="394"/>
      <c r="AI3269" s="394"/>
      <c r="AJ3269" s="394"/>
      <c r="AK3269" s="394"/>
      <c r="AL3269" s="394"/>
      <c r="AM3269" s="394"/>
      <c r="AN3269" s="394"/>
      <c r="AO3269" s="394"/>
      <c r="AP3269" s="394"/>
      <c r="AQ3269" s="394"/>
      <c r="AR3269" s="394"/>
      <c r="AS3269" s="402"/>
      <c r="AT3269" s="404"/>
      <c r="AU3269" s="394"/>
      <c r="AV3269" s="394"/>
      <c r="AW3269" s="394"/>
      <c r="AX3269" s="5"/>
      <c r="AY3269" s="5"/>
      <c r="AZ3269" s="5"/>
      <c r="BA3269" s="5"/>
      <c r="BB3269" s="5"/>
      <c r="BC3269" s="5"/>
      <c r="BD3269" s="5"/>
      <c r="BE3269" s="5"/>
      <c r="BF3269" s="5"/>
      <c r="BG3269" s="5"/>
      <c r="BH3269" s="5"/>
      <c r="BI3269" s="5"/>
      <c r="BJ3269" s="5"/>
      <c r="BK3269" s="5"/>
      <c r="BL3269" s="5"/>
      <c r="BM3269" s="5"/>
      <c r="BN3269" s="5"/>
      <c r="BO3269" s="5"/>
      <c r="BP3269" s="5"/>
      <c r="BQ3269" s="5"/>
      <c r="BR3269" s="5"/>
      <c r="BS3269" s="5"/>
      <c r="BT3269" s="5"/>
      <c r="BU3269" s="5"/>
      <c r="BV3269" s="5"/>
      <c r="BW3269" s="5"/>
      <c r="BX3269" s="5"/>
      <c r="BY3269" s="5"/>
      <c r="BZ3269" s="5"/>
      <c r="CA3269" s="5"/>
    </row>
    <row r="3270" spans="1:79" s="400" customFormat="1" ht="15" customHeight="1">
      <c r="A3270" s="41" t="s">
        <v>183</v>
      </c>
      <c r="B3270" s="385" t="s">
        <v>4399</v>
      </c>
      <c r="C3270" s="18" t="s">
        <v>4399</v>
      </c>
      <c r="D3270" s="393" t="s">
        <v>268</v>
      </c>
      <c r="E3270" s="20" t="s">
        <v>252</v>
      </c>
      <c r="F3270" s="385" t="s">
        <v>4400</v>
      </c>
      <c r="G3270" s="405" t="s">
        <v>4401</v>
      </c>
      <c r="H3270" s="404" t="s">
        <v>5802</v>
      </c>
      <c r="I3270" s="402" t="s">
        <v>2</v>
      </c>
      <c r="J3270" s="344" t="s">
        <v>75</v>
      </c>
      <c r="K3270" s="403">
        <v>41423</v>
      </c>
      <c r="L3270" s="398">
        <v>41419</v>
      </c>
      <c r="M3270" s="402">
        <f t="shared" si="191"/>
        <v>4</v>
      </c>
      <c r="N3270" s="402" t="s">
        <v>2</v>
      </c>
      <c r="O3270" s="404">
        <f>2/2</f>
        <v>1</v>
      </c>
      <c r="P3270" s="402">
        <v>6.9</v>
      </c>
      <c r="Q3270" s="404">
        <v>7.1</v>
      </c>
      <c r="R3270" s="402">
        <v>43</v>
      </c>
      <c r="S3270" s="404">
        <v>71</v>
      </c>
      <c r="T3270" s="402">
        <v>0.11</v>
      </c>
      <c r="U3270" s="395">
        <v>1.49</v>
      </c>
      <c r="V3270" s="402">
        <v>1.18</v>
      </c>
      <c r="W3270" s="404">
        <v>2.1000000000000001E-2</v>
      </c>
      <c r="X3270" s="402">
        <v>0.16500000000000001</v>
      </c>
      <c r="Y3270" s="404">
        <f>0.03/2</f>
        <v>1.4999999999999999E-2</v>
      </c>
      <c r="Z3270" s="397">
        <v>1</v>
      </c>
      <c r="AA3270" s="399">
        <v>1</v>
      </c>
      <c r="AB3270" s="394">
        <v>43</v>
      </c>
      <c r="AC3270" s="402">
        <v>268</v>
      </c>
      <c r="AD3270" s="399">
        <v>0.8</v>
      </c>
      <c r="AE3270" s="402"/>
      <c r="AF3270" s="391"/>
      <c r="AG3270" s="394"/>
      <c r="AH3270" s="394"/>
      <c r="AI3270" s="394"/>
      <c r="AJ3270" s="394"/>
      <c r="AK3270" s="394"/>
      <c r="AL3270" s="394"/>
      <c r="AM3270" s="394"/>
      <c r="AN3270" s="394"/>
      <c r="AO3270" s="394"/>
      <c r="AP3270" s="394"/>
      <c r="AQ3270" s="394"/>
      <c r="AR3270" s="394"/>
      <c r="AS3270" s="402"/>
      <c r="AT3270" s="404"/>
      <c r="AU3270" s="394"/>
      <c r="AV3270" s="394"/>
      <c r="AW3270" s="394"/>
      <c r="AX3270" s="5"/>
      <c r="AY3270" s="5"/>
      <c r="AZ3270" s="5"/>
      <c r="BA3270" s="5"/>
      <c r="BB3270" s="5"/>
      <c r="BC3270" s="5"/>
      <c r="BD3270" s="5"/>
      <c r="BE3270" s="5"/>
      <c r="BF3270" s="5"/>
      <c r="BG3270" s="5"/>
      <c r="BH3270" s="5"/>
      <c r="BI3270" s="5"/>
      <c r="BJ3270" s="5"/>
      <c r="BK3270" s="5"/>
      <c r="BL3270" s="5"/>
      <c r="BM3270" s="5"/>
      <c r="BN3270" s="5"/>
      <c r="BO3270" s="5"/>
      <c r="BP3270" s="5"/>
      <c r="BQ3270" s="5"/>
      <c r="BR3270" s="5"/>
      <c r="BS3270" s="5"/>
      <c r="BT3270" s="5"/>
      <c r="BU3270" s="5"/>
      <c r="BV3270" s="5"/>
      <c r="BW3270" s="5"/>
      <c r="BX3270" s="5"/>
      <c r="BY3270" s="5"/>
      <c r="BZ3270" s="5"/>
      <c r="CA3270" s="5"/>
    </row>
    <row r="3271" spans="1:79" s="400" customFormat="1" ht="15" customHeight="1">
      <c r="A3271" s="41" t="s">
        <v>183</v>
      </c>
      <c r="B3271" s="402" t="s">
        <v>4439</v>
      </c>
      <c r="C3271" s="113" t="s">
        <v>4439</v>
      </c>
      <c r="D3271" s="393" t="s">
        <v>41</v>
      </c>
      <c r="E3271" s="394"/>
      <c r="F3271" s="402"/>
      <c r="G3271" s="405" t="s">
        <v>4441</v>
      </c>
      <c r="H3271" s="404">
        <v>3724</v>
      </c>
      <c r="I3271" s="402" t="s">
        <v>2</v>
      </c>
      <c r="J3271" s="406" t="s">
        <v>5803</v>
      </c>
      <c r="K3271" s="403">
        <v>41352</v>
      </c>
      <c r="L3271" s="398">
        <v>41345</v>
      </c>
      <c r="M3271" s="402">
        <f t="shared" si="191"/>
        <v>7</v>
      </c>
      <c r="N3271" s="402" t="s">
        <v>2</v>
      </c>
      <c r="O3271" s="404">
        <v>6.7</v>
      </c>
      <c r="P3271" s="402">
        <v>8.84</v>
      </c>
      <c r="Q3271" s="404">
        <v>7.1</v>
      </c>
      <c r="R3271" s="402">
        <v>110</v>
      </c>
      <c r="S3271" s="404">
        <v>46</v>
      </c>
      <c r="T3271" s="402">
        <v>0.13</v>
      </c>
      <c r="U3271" s="395">
        <v>0.79</v>
      </c>
      <c r="V3271" s="402">
        <v>0.18</v>
      </c>
      <c r="W3271" s="404">
        <v>0.05</v>
      </c>
      <c r="X3271" s="402">
        <v>7.3999999999999996E-2</v>
      </c>
      <c r="Y3271" s="404">
        <f>0.03/2</f>
        <v>1.4999999999999999E-2</v>
      </c>
      <c r="Z3271" s="397">
        <v>0.35399999999999998</v>
      </c>
      <c r="AA3271" s="399">
        <v>0.26800000000000002</v>
      </c>
      <c r="AB3271" s="394">
        <v>258</v>
      </c>
      <c r="AC3271" s="402">
        <v>617</v>
      </c>
      <c r="AD3271" s="399">
        <v>0.125</v>
      </c>
      <c r="AE3271" s="402"/>
      <c r="AF3271" s="391"/>
      <c r="AG3271" s="394"/>
      <c r="AH3271" s="394"/>
      <c r="AI3271" s="394"/>
      <c r="AJ3271" s="394"/>
      <c r="AK3271" s="394"/>
      <c r="AL3271" s="394"/>
      <c r="AM3271" s="394"/>
      <c r="AN3271" s="394"/>
      <c r="AO3271" s="394"/>
      <c r="AP3271" s="394"/>
      <c r="AQ3271" s="394"/>
      <c r="AR3271" s="394"/>
      <c r="AS3271" s="402"/>
      <c r="AT3271" s="404"/>
      <c r="AU3271" s="394"/>
      <c r="AV3271" s="394"/>
      <c r="AW3271" s="394"/>
      <c r="AX3271" s="5"/>
      <c r="AY3271" s="5"/>
      <c r="AZ3271" s="5"/>
      <c r="BA3271" s="5"/>
      <c r="BB3271" s="5"/>
      <c r="BC3271" s="5"/>
      <c r="BD3271" s="5"/>
      <c r="BE3271" s="5"/>
      <c r="BF3271" s="5"/>
      <c r="BG3271" s="5"/>
      <c r="BH3271" s="5"/>
      <c r="BI3271" s="5"/>
      <c r="BJ3271" s="5"/>
      <c r="BK3271" s="5"/>
      <c r="BL3271" s="5"/>
      <c r="BM3271" s="5"/>
      <c r="BN3271" s="5"/>
      <c r="BO3271" s="5"/>
      <c r="BP3271" s="5"/>
      <c r="BQ3271" s="5"/>
      <c r="BR3271" s="5"/>
      <c r="BS3271" s="5"/>
      <c r="BT3271" s="5"/>
      <c r="BU3271" s="5"/>
      <c r="BV3271" s="5"/>
      <c r="BW3271" s="5"/>
      <c r="BX3271" s="5"/>
      <c r="BY3271" s="5"/>
      <c r="BZ3271" s="5"/>
      <c r="CA3271" s="5"/>
    </row>
    <row r="3272" spans="1:79" s="400" customFormat="1" ht="15" customHeight="1">
      <c r="A3272" s="41" t="s">
        <v>183</v>
      </c>
      <c r="B3272" s="385" t="s">
        <v>4410</v>
      </c>
      <c r="C3272" s="18" t="s">
        <v>4411</v>
      </c>
      <c r="D3272" s="377" t="s">
        <v>56</v>
      </c>
      <c r="E3272" s="20" t="s">
        <v>4412</v>
      </c>
      <c r="F3272" s="385"/>
      <c r="G3272" s="405" t="s">
        <v>4413</v>
      </c>
      <c r="H3272" s="404">
        <v>4173</v>
      </c>
      <c r="I3272" s="402" t="s">
        <v>2</v>
      </c>
      <c r="J3272" s="406" t="s">
        <v>5794</v>
      </c>
      <c r="K3272" s="403">
        <v>41333</v>
      </c>
      <c r="L3272" s="398">
        <v>41328</v>
      </c>
      <c r="M3272" s="402">
        <f t="shared" si="191"/>
        <v>5</v>
      </c>
      <c r="N3272" s="402" t="s">
        <v>2</v>
      </c>
      <c r="O3272" s="404">
        <v>5</v>
      </c>
      <c r="P3272" s="402">
        <v>6.69</v>
      </c>
      <c r="Q3272" s="404">
        <v>6.66</v>
      </c>
      <c r="R3272" s="402">
        <v>180</v>
      </c>
      <c r="S3272" s="404">
        <v>23</v>
      </c>
      <c r="T3272" s="402">
        <v>0.37</v>
      </c>
      <c r="U3272" s="395">
        <v>1.6</v>
      </c>
      <c r="V3272" s="402">
        <v>0.1</v>
      </c>
      <c r="W3272" s="404">
        <v>7.4999999999999997E-2</v>
      </c>
      <c r="X3272" s="402">
        <v>0.1</v>
      </c>
      <c r="Y3272" s="404">
        <v>1.2999999999999999E-2</v>
      </c>
      <c r="Z3272" s="397">
        <v>0.51800000000000002</v>
      </c>
      <c r="AA3272" s="399">
        <v>0.39200000000000002</v>
      </c>
      <c r="AB3272" s="394">
        <v>62</v>
      </c>
      <c r="AC3272" s="402">
        <v>853</v>
      </c>
      <c r="AD3272" s="399">
        <v>0</v>
      </c>
      <c r="AE3272" s="402"/>
      <c r="AF3272" s="391"/>
      <c r="AG3272" s="394"/>
      <c r="AH3272" s="394"/>
      <c r="AI3272" s="394"/>
      <c r="AJ3272" s="394"/>
      <c r="AK3272" s="394"/>
      <c r="AL3272" s="394"/>
      <c r="AM3272" s="394"/>
      <c r="AN3272" s="394"/>
      <c r="AO3272" s="394"/>
      <c r="AP3272" s="394"/>
      <c r="AQ3272" s="394"/>
      <c r="AR3272" s="394"/>
      <c r="AS3272" s="402"/>
      <c r="AT3272" s="404"/>
      <c r="AU3272" s="394"/>
      <c r="AV3272" s="394"/>
      <c r="AW3272" s="394"/>
      <c r="AX3272" s="5"/>
      <c r="AY3272" s="5"/>
      <c r="AZ3272" s="5"/>
      <c r="BA3272" s="5"/>
      <c r="BB3272" s="5"/>
      <c r="BC3272" s="5"/>
      <c r="BD3272" s="5"/>
      <c r="BE3272" s="5"/>
      <c r="BF3272" s="5"/>
      <c r="BG3272" s="5"/>
      <c r="BH3272" s="5"/>
      <c r="BI3272" s="5"/>
      <c r="BJ3272" s="5"/>
      <c r="BK3272" s="5"/>
      <c r="BL3272" s="5"/>
      <c r="BM3272" s="5"/>
      <c r="BN3272" s="5"/>
      <c r="BO3272" s="5"/>
      <c r="BP3272" s="5"/>
      <c r="BQ3272" s="5"/>
      <c r="BR3272" s="5"/>
      <c r="BS3272" s="5"/>
      <c r="BT3272" s="5"/>
      <c r="BU3272" s="5"/>
      <c r="BV3272" s="5"/>
      <c r="BW3272" s="5"/>
      <c r="BX3272" s="5"/>
      <c r="BY3272" s="5"/>
      <c r="BZ3272" s="5"/>
      <c r="CA3272" s="5"/>
    </row>
    <row r="3273" spans="1:79" s="400" customFormat="1" ht="15" customHeight="1">
      <c r="A3273" s="41" t="s">
        <v>183</v>
      </c>
      <c r="B3273" s="402" t="s">
        <v>5334</v>
      </c>
      <c r="C3273" s="113" t="s">
        <v>5334</v>
      </c>
      <c r="D3273" s="393" t="s">
        <v>213</v>
      </c>
      <c r="E3273" s="394" t="s">
        <v>5335</v>
      </c>
      <c r="F3273" s="402"/>
      <c r="G3273" s="405" t="s">
        <v>5336</v>
      </c>
      <c r="H3273" s="404">
        <v>3564</v>
      </c>
      <c r="I3273" s="402"/>
      <c r="J3273" s="406" t="s">
        <v>255</v>
      </c>
      <c r="K3273" s="403">
        <v>41325</v>
      </c>
      <c r="L3273" s="398">
        <v>41316</v>
      </c>
      <c r="M3273" s="402">
        <f t="shared" si="191"/>
        <v>9</v>
      </c>
      <c r="N3273" s="402" t="s">
        <v>1</v>
      </c>
      <c r="O3273" s="404">
        <v>1.1000000000000001</v>
      </c>
      <c r="P3273" s="402">
        <v>5.15</v>
      </c>
      <c r="Q3273" s="404">
        <v>7.06</v>
      </c>
      <c r="R3273" s="402">
        <v>6.8</v>
      </c>
      <c r="S3273" s="404">
        <v>2</v>
      </c>
      <c r="T3273" s="402">
        <f>0.05/2</f>
        <v>2.5000000000000001E-2</v>
      </c>
      <c r="U3273" s="395">
        <v>0.92</v>
      </c>
      <c r="V3273" s="402">
        <v>0.49</v>
      </c>
      <c r="W3273" s="404">
        <v>0.01</v>
      </c>
      <c r="X3273" s="402">
        <v>0.35</v>
      </c>
      <c r="Y3273" s="404">
        <f>0.02/2</f>
        <v>0.01</v>
      </c>
      <c r="Z3273" s="397">
        <v>1</v>
      </c>
      <c r="AA3273" s="399">
        <v>0.70699999999999996</v>
      </c>
      <c r="AB3273" s="394">
        <v>1.2</v>
      </c>
      <c r="AC3273" s="402">
        <v>20.399999999999999</v>
      </c>
      <c r="AD3273" s="399">
        <v>0.05</v>
      </c>
      <c r="AE3273" s="402"/>
      <c r="AF3273" s="391"/>
      <c r="AG3273" s="394"/>
      <c r="AH3273" s="394"/>
      <c r="AI3273" s="394"/>
      <c r="AJ3273" s="394"/>
      <c r="AK3273" s="394"/>
      <c r="AL3273" s="394"/>
      <c r="AM3273" s="394"/>
      <c r="AN3273" s="394"/>
      <c r="AO3273" s="394"/>
      <c r="AP3273" s="394"/>
      <c r="AQ3273" s="394"/>
      <c r="AR3273" s="394"/>
      <c r="AS3273" s="402"/>
      <c r="AT3273" s="404"/>
      <c r="AU3273" s="394"/>
      <c r="AV3273" s="394"/>
      <c r="AW3273" s="394"/>
      <c r="AX3273" s="5"/>
      <c r="AY3273" s="5"/>
      <c r="AZ3273" s="5"/>
      <c r="BA3273" s="5"/>
      <c r="BB3273" s="5"/>
      <c r="BC3273" s="5"/>
      <c r="BD3273" s="5"/>
      <c r="BE3273" s="5"/>
      <c r="BF3273" s="5"/>
      <c r="BG3273" s="5"/>
      <c r="BH3273" s="5"/>
      <c r="BI3273" s="5"/>
      <c r="BJ3273" s="5"/>
      <c r="BK3273" s="5"/>
      <c r="BL3273" s="5"/>
      <c r="BM3273" s="5"/>
      <c r="BN3273" s="5"/>
      <c r="BO3273" s="5"/>
      <c r="BP3273" s="5"/>
      <c r="BQ3273" s="5"/>
      <c r="BR3273" s="5"/>
      <c r="BS3273" s="5"/>
      <c r="BT3273" s="5"/>
      <c r="BU3273" s="5"/>
      <c r="BV3273" s="5"/>
      <c r="BW3273" s="5"/>
      <c r="BX3273" s="5"/>
      <c r="BY3273" s="5"/>
      <c r="BZ3273" s="5"/>
      <c r="CA3273" s="5"/>
    </row>
    <row r="3274" spans="1:79" s="400" customFormat="1" ht="15" customHeight="1">
      <c r="A3274" s="41" t="s">
        <v>183</v>
      </c>
      <c r="B3274" s="402" t="s">
        <v>5804</v>
      </c>
      <c r="C3274" s="113" t="s">
        <v>5805</v>
      </c>
      <c r="D3274" s="393" t="s">
        <v>1217</v>
      </c>
      <c r="E3274" s="394" t="s">
        <v>2654</v>
      </c>
      <c r="F3274" s="402" t="s">
        <v>1051</v>
      </c>
      <c r="G3274" s="405" t="s">
        <v>5806</v>
      </c>
      <c r="H3274" s="404">
        <v>3229</v>
      </c>
      <c r="I3274" s="402" t="s">
        <v>2</v>
      </c>
      <c r="J3274" s="406" t="s">
        <v>2102</v>
      </c>
      <c r="K3274" s="403">
        <v>41352</v>
      </c>
      <c r="L3274" s="398">
        <v>41346</v>
      </c>
      <c r="M3274" s="402">
        <f t="shared" si="191"/>
        <v>6</v>
      </c>
      <c r="N3274" s="402" t="s">
        <v>1</v>
      </c>
      <c r="O3274" s="404">
        <f>1.4/2</f>
        <v>0.7</v>
      </c>
      <c r="P3274" s="402">
        <v>6.58</v>
      </c>
      <c r="Q3274" s="404">
        <v>6.7</v>
      </c>
      <c r="R3274" s="402">
        <v>21</v>
      </c>
      <c r="S3274" s="404">
        <v>35</v>
      </c>
      <c r="T3274" s="402">
        <v>0.05</v>
      </c>
      <c r="U3274" s="395">
        <v>0.63</v>
      </c>
      <c r="V3274" s="402">
        <v>0.15</v>
      </c>
      <c r="W3274" s="404">
        <f>0.005/2</f>
        <v>2.5000000000000001E-3</v>
      </c>
      <c r="X3274" s="402">
        <v>0.1</v>
      </c>
      <c r="Y3274" s="404">
        <v>3.0000000000000001E-3</v>
      </c>
      <c r="Z3274" s="397"/>
      <c r="AA3274" s="399"/>
      <c r="AB3274" s="394"/>
      <c r="AC3274" s="402"/>
      <c r="AD3274" s="399"/>
      <c r="AE3274" s="402"/>
      <c r="AF3274" s="391"/>
      <c r="AG3274" s="394"/>
      <c r="AH3274" s="394"/>
      <c r="AI3274" s="394"/>
      <c r="AJ3274" s="394"/>
      <c r="AK3274" s="394"/>
      <c r="AL3274" s="394"/>
      <c r="AM3274" s="394"/>
      <c r="AN3274" s="394"/>
      <c r="AO3274" s="394"/>
      <c r="AP3274" s="394"/>
      <c r="AQ3274" s="394"/>
      <c r="AR3274" s="394"/>
      <c r="AS3274" s="402"/>
      <c r="AT3274" s="404"/>
      <c r="AU3274" s="394"/>
      <c r="AV3274" s="394"/>
      <c r="AW3274" s="394"/>
      <c r="AX3274" s="5"/>
      <c r="AY3274" s="5"/>
      <c r="AZ3274" s="5"/>
      <c r="BA3274" s="5"/>
      <c r="BB3274" s="5"/>
      <c r="BC3274" s="5"/>
      <c r="BD3274" s="5"/>
      <c r="BE3274" s="5"/>
      <c r="BF3274" s="5"/>
      <c r="BG3274" s="5"/>
      <c r="BH3274" s="5"/>
      <c r="BI3274" s="5"/>
      <c r="BJ3274" s="5"/>
      <c r="BK3274" s="5"/>
      <c r="BL3274" s="5"/>
      <c r="BM3274" s="5"/>
      <c r="BN3274" s="5"/>
      <c r="BO3274" s="5"/>
      <c r="BP3274" s="5"/>
      <c r="BQ3274" s="5"/>
      <c r="BR3274" s="5"/>
      <c r="BS3274" s="5"/>
      <c r="BT3274" s="5"/>
      <c r="BU3274" s="5"/>
      <c r="BV3274" s="5"/>
      <c r="BW3274" s="5"/>
      <c r="BX3274" s="5"/>
      <c r="BY3274" s="5"/>
      <c r="BZ3274" s="5"/>
      <c r="CA3274" s="5"/>
    </row>
    <row r="3275" spans="1:79" s="400" customFormat="1" ht="15" customHeight="1">
      <c r="A3275" s="41" t="s">
        <v>183</v>
      </c>
      <c r="B3275" s="402" t="s">
        <v>5799</v>
      </c>
      <c r="C3275" s="113" t="s">
        <v>5799</v>
      </c>
      <c r="D3275" s="393" t="s">
        <v>684</v>
      </c>
      <c r="E3275" s="20" t="s">
        <v>112</v>
      </c>
      <c r="F3275" s="402"/>
      <c r="G3275" s="405" t="s">
        <v>3275</v>
      </c>
      <c r="H3275" s="404">
        <v>3841</v>
      </c>
      <c r="I3275" s="402" t="s">
        <v>2</v>
      </c>
      <c r="J3275" s="406" t="s">
        <v>3276</v>
      </c>
      <c r="K3275" s="403">
        <v>41345</v>
      </c>
      <c r="L3275" s="398">
        <v>41342</v>
      </c>
      <c r="M3275" s="402">
        <f t="shared" si="191"/>
        <v>3</v>
      </c>
      <c r="N3275" s="402" t="s">
        <v>2</v>
      </c>
      <c r="O3275" s="404">
        <v>2.2000000000000002</v>
      </c>
      <c r="P3275" s="402">
        <v>6</v>
      </c>
      <c r="Q3275" s="404">
        <v>6.6</v>
      </c>
      <c r="R3275" s="402">
        <f>10/2</f>
        <v>5</v>
      </c>
      <c r="S3275" s="404">
        <v>35</v>
      </c>
      <c r="T3275" s="402">
        <v>0.06</v>
      </c>
      <c r="U3275" s="395">
        <v>0.9</v>
      </c>
      <c r="V3275" s="402">
        <v>0.7</v>
      </c>
      <c r="W3275" s="404">
        <v>4.1000000000000002E-2</v>
      </c>
      <c r="X3275" s="402">
        <v>0.42</v>
      </c>
      <c r="Y3275" s="404">
        <f>0.03/2</f>
        <v>1.4999999999999999E-2</v>
      </c>
      <c r="Z3275" s="397">
        <v>0.70699999999999996</v>
      </c>
      <c r="AA3275" s="399">
        <v>0.57399999999999995</v>
      </c>
      <c r="AB3275" s="394">
        <v>9</v>
      </c>
      <c r="AC3275" s="402">
        <v>346</v>
      </c>
      <c r="AD3275" s="399">
        <v>0</v>
      </c>
      <c r="AE3275" s="402"/>
      <c r="AF3275" s="391"/>
      <c r="AG3275" s="394"/>
      <c r="AH3275" s="394"/>
      <c r="AI3275" s="394"/>
      <c r="AJ3275" s="394"/>
      <c r="AK3275" s="394"/>
      <c r="AL3275" s="394"/>
      <c r="AM3275" s="394"/>
      <c r="AN3275" s="394"/>
      <c r="AO3275" s="394"/>
      <c r="AP3275" s="394"/>
      <c r="AQ3275" s="394"/>
      <c r="AR3275" s="394"/>
      <c r="AS3275" s="402"/>
      <c r="AT3275" s="404"/>
      <c r="AU3275" s="394"/>
      <c r="AV3275" s="394"/>
      <c r="AW3275" s="394"/>
      <c r="AX3275" s="5"/>
      <c r="AY3275" s="5"/>
      <c r="AZ3275" s="5"/>
      <c r="BA3275" s="5"/>
      <c r="BB3275" s="5"/>
      <c r="BC3275" s="5"/>
      <c r="BD3275" s="5"/>
      <c r="BE3275" s="5"/>
      <c r="BF3275" s="5"/>
      <c r="BG3275" s="5"/>
      <c r="BH3275" s="5"/>
      <c r="BI3275" s="5"/>
      <c r="BJ3275" s="5"/>
      <c r="BK3275" s="5"/>
      <c r="BL3275" s="5"/>
      <c r="BM3275" s="5"/>
      <c r="BN3275" s="5"/>
      <c r="BO3275" s="5"/>
      <c r="BP3275" s="5"/>
      <c r="BQ3275" s="5"/>
      <c r="BR3275" s="5"/>
      <c r="BS3275" s="5"/>
      <c r="BT3275" s="5"/>
      <c r="BU3275" s="5"/>
      <c r="BV3275" s="5"/>
      <c r="BW3275" s="5"/>
      <c r="BX3275" s="5"/>
      <c r="BY3275" s="5"/>
      <c r="BZ3275" s="5"/>
      <c r="CA3275" s="5"/>
    </row>
    <row r="3276" spans="1:79" s="400" customFormat="1" ht="15" customHeight="1">
      <c r="A3276" s="41" t="s">
        <v>183</v>
      </c>
      <c r="B3276" s="402" t="s">
        <v>5799</v>
      </c>
      <c r="C3276" s="113" t="s">
        <v>5799</v>
      </c>
      <c r="D3276" s="393" t="s">
        <v>684</v>
      </c>
      <c r="E3276" s="20" t="s">
        <v>112</v>
      </c>
      <c r="F3276" s="402"/>
      <c r="G3276" s="405" t="s">
        <v>3275</v>
      </c>
      <c r="H3276" s="404">
        <v>3841</v>
      </c>
      <c r="I3276" s="402" t="s">
        <v>2</v>
      </c>
      <c r="J3276" s="406" t="s">
        <v>3277</v>
      </c>
      <c r="K3276" s="403">
        <v>41345</v>
      </c>
      <c r="L3276" s="398">
        <v>41342</v>
      </c>
      <c r="M3276" s="402">
        <v>3</v>
      </c>
      <c r="N3276" s="402" t="s">
        <v>2</v>
      </c>
      <c r="O3276" s="404">
        <f>2/2</f>
        <v>1</v>
      </c>
      <c r="P3276" s="402">
        <v>6</v>
      </c>
      <c r="Q3276" s="404">
        <v>7.2</v>
      </c>
      <c r="R3276" s="402">
        <f>10/2</f>
        <v>5</v>
      </c>
      <c r="S3276" s="404">
        <f>1/2</f>
        <v>0.5</v>
      </c>
      <c r="T3276" s="402">
        <f>0.05/2</f>
        <v>2.5000000000000001E-2</v>
      </c>
      <c r="U3276" s="395">
        <v>0.18</v>
      </c>
      <c r="V3276" s="402">
        <v>2.95</v>
      </c>
      <c r="W3276" s="404">
        <f>0.01/2</f>
        <v>5.0000000000000001E-3</v>
      </c>
      <c r="X3276" s="402">
        <f>0.03/2</f>
        <v>1.4999999999999999E-2</v>
      </c>
      <c r="Y3276" s="404">
        <f>0.03/2</f>
        <v>1.4999999999999999E-2</v>
      </c>
      <c r="Z3276" s="397">
        <v>1</v>
      </c>
      <c r="AA3276" s="399">
        <v>1</v>
      </c>
      <c r="AB3276" s="394">
        <v>101</v>
      </c>
      <c r="AC3276" s="402">
        <v>701</v>
      </c>
      <c r="AD3276" s="399">
        <v>1</v>
      </c>
      <c r="AE3276" s="402"/>
      <c r="AF3276" s="391"/>
      <c r="AG3276" s="394"/>
      <c r="AH3276" s="394"/>
      <c r="AI3276" s="394"/>
      <c r="AJ3276" s="394"/>
      <c r="AK3276" s="394"/>
      <c r="AL3276" s="394"/>
      <c r="AM3276" s="394"/>
      <c r="AN3276" s="394"/>
      <c r="AO3276" s="394"/>
      <c r="AP3276" s="394"/>
      <c r="AQ3276" s="394"/>
      <c r="AR3276" s="394"/>
      <c r="AS3276" s="402"/>
      <c r="AT3276" s="404"/>
      <c r="AU3276" s="394"/>
      <c r="AV3276" s="394"/>
      <c r="AW3276" s="394"/>
      <c r="AX3276" s="5"/>
      <c r="AY3276" s="5"/>
      <c r="AZ3276" s="5"/>
      <c r="BA3276" s="5"/>
      <c r="BB3276" s="5"/>
      <c r="BC3276" s="5"/>
      <c r="BD3276" s="5"/>
      <c r="BE3276" s="5"/>
      <c r="BF3276" s="5"/>
      <c r="BG3276" s="5"/>
      <c r="BH3276" s="5"/>
      <c r="BI3276" s="5"/>
      <c r="BJ3276" s="5"/>
      <c r="BK3276" s="5"/>
      <c r="BL3276" s="5"/>
      <c r="BM3276" s="5"/>
      <c r="BN3276" s="5"/>
      <c r="BO3276" s="5"/>
      <c r="BP3276" s="5"/>
      <c r="BQ3276" s="5"/>
      <c r="BR3276" s="5"/>
      <c r="BS3276" s="5"/>
      <c r="BT3276" s="5"/>
      <c r="BU3276" s="5"/>
      <c r="BV3276" s="5"/>
      <c r="BW3276" s="5"/>
      <c r="BX3276" s="5"/>
      <c r="BY3276" s="5"/>
      <c r="BZ3276" s="5"/>
      <c r="CA3276" s="5"/>
    </row>
    <row r="3277" spans="1:79" s="400" customFormat="1" ht="15" customHeight="1">
      <c r="A3277" s="41" t="s">
        <v>183</v>
      </c>
      <c r="B3277" s="402" t="s">
        <v>5799</v>
      </c>
      <c r="C3277" s="113" t="s">
        <v>5799</v>
      </c>
      <c r="D3277" s="393" t="s">
        <v>684</v>
      </c>
      <c r="E3277" s="20" t="s">
        <v>112</v>
      </c>
      <c r="F3277" s="402"/>
      <c r="G3277" s="405" t="s">
        <v>3275</v>
      </c>
      <c r="H3277" s="404">
        <v>3841</v>
      </c>
      <c r="I3277" s="402" t="s">
        <v>2</v>
      </c>
      <c r="J3277" s="406" t="s">
        <v>3278</v>
      </c>
      <c r="K3277" s="403">
        <v>41345</v>
      </c>
      <c r="L3277" s="398">
        <v>41342</v>
      </c>
      <c r="M3277" s="402">
        <v>3</v>
      </c>
      <c r="N3277" s="402" t="s">
        <v>2</v>
      </c>
      <c r="O3277" s="404">
        <f>2/2</f>
        <v>1</v>
      </c>
      <c r="P3277" s="402">
        <v>6</v>
      </c>
      <c r="Q3277" s="404">
        <v>6.8</v>
      </c>
      <c r="R3277" s="402">
        <f>10/2</f>
        <v>5</v>
      </c>
      <c r="S3277" s="404">
        <v>11</v>
      </c>
      <c r="T3277" s="402">
        <f>0.05/2</f>
        <v>2.5000000000000001E-2</v>
      </c>
      <c r="U3277" s="395">
        <v>0.49</v>
      </c>
      <c r="V3277" s="402">
        <v>1.08</v>
      </c>
      <c r="W3277" s="404">
        <v>3.5000000000000003E-2</v>
      </c>
      <c r="X3277" s="402">
        <v>0.182</v>
      </c>
      <c r="Y3277" s="404">
        <f>0.03/2</f>
        <v>1.4999999999999999E-2</v>
      </c>
      <c r="Z3277" s="397">
        <v>1</v>
      </c>
      <c r="AA3277" s="399">
        <v>1</v>
      </c>
      <c r="AB3277" s="394">
        <v>81</v>
      </c>
      <c r="AC3277" s="402">
        <v>576</v>
      </c>
      <c r="AD3277" s="399">
        <v>0.9</v>
      </c>
      <c r="AE3277" s="402"/>
      <c r="AF3277" s="391"/>
      <c r="AG3277" s="394"/>
      <c r="AH3277" s="394"/>
      <c r="AI3277" s="394"/>
      <c r="AJ3277" s="394"/>
      <c r="AK3277" s="394"/>
      <c r="AL3277" s="394"/>
      <c r="AM3277" s="394"/>
      <c r="AN3277" s="394"/>
      <c r="AO3277" s="394"/>
      <c r="AP3277" s="394"/>
      <c r="AQ3277" s="394"/>
      <c r="AR3277" s="394"/>
      <c r="AS3277" s="402"/>
      <c r="AT3277" s="404"/>
      <c r="AU3277" s="394"/>
      <c r="AV3277" s="394"/>
      <c r="AW3277" s="394"/>
      <c r="AX3277" s="5"/>
      <c r="AY3277" s="5"/>
      <c r="AZ3277" s="5"/>
      <c r="BA3277" s="5"/>
      <c r="BB3277" s="5"/>
      <c r="BC3277" s="5"/>
      <c r="BD3277" s="5"/>
      <c r="BE3277" s="5"/>
      <c r="BF3277" s="5"/>
      <c r="BG3277" s="5"/>
      <c r="BH3277" s="5"/>
      <c r="BI3277" s="5"/>
      <c r="BJ3277" s="5"/>
      <c r="BK3277" s="5"/>
      <c r="BL3277" s="5"/>
      <c r="BM3277" s="5"/>
      <c r="BN3277" s="5"/>
      <c r="BO3277" s="5"/>
      <c r="BP3277" s="5"/>
      <c r="BQ3277" s="5"/>
      <c r="BR3277" s="5"/>
      <c r="BS3277" s="5"/>
      <c r="BT3277" s="5"/>
      <c r="BU3277" s="5"/>
      <c r="BV3277" s="5"/>
      <c r="BW3277" s="5"/>
      <c r="BX3277" s="5"/>
      <c r="BY3277" s="5"/>
      <c r="BZ3277" s="5"/>
      <c r="CA3277" s="5"/>
    </row>
    <row r="3278" spans="1:79" s="400" customFormat="1" ht="15" customHeight="1">
      <c r="A3278" s="41" t="s">
        <v>183</v>
      </c>
      <c r="B3278" s="402" t="s">
        <v>2516</v>
      </c>
      <c r="C3278" s="113" t="s">
        <v>2516</v>
      </c>
      <c r="D3278" s="393" t="s">
        <v>89</v>
      </c>
      <c r="E3278" s="394" t="s">
        <v>535</v>
      </c>
      <c r="F3278" s="402"/>
      <c r="G3278" s="405" t="s">
        <v>2517</v>
      </c>
      <c r="H3278" s="404">
        <v>3827</v>
      </c>
      <c r="I3278" s="402" t="s">
        <v>1</v>
      </c>
      <c r="J3278" s="406" t="s">
        <v>3197</v>
      </c>
      <c r="K3278" s="403">
        <v>41285</v>
      </c>
      <c r="L3278" s="398">
        <v>41272</v>
      </c>
      <c r="M3278" s="402">
        <f t="shared" si="191"/>
        <v>13</v>
      </c>
      <c r="N3278" s="402" t="s">
        <v>2</v>
      </c>
      <c r="O3278" s="404">
        <v>2.2999999999999998</v>
      </c>
      <c r="P3278" s="402">
        <v>6.27</v>
      </c>
      <c r="Q3278" s="404">
        <v>7.09</v>
      </c>
      <c r="R3278" s="402">
        <v>30</v>
      </c>
      <c r="S3278" s="404">
        <v>210</v>
      </c>
      <c r="T3278" s="402">
        <v>0.38</v>
      </c>
      <c r="U3278" s="395">
        <v>1.21</v>
      </c>
      <c r="V3278" s="402">
        <v>0.88</v>
      </c>
      <c r="W3278" s="404">
        <v>3.7999999999999999E-2</v>
      </c>
      <c r="X3278" s="402">
        <v>0.14099999999999999</v>
      </c>
      <c r="Y3278" s="404">
        <v>2.8000000000000001E-2</v>
      </c>
      <c r="Z3278" s="397">
        <v>1</v>
      </c>
      <c r="AA3278" s="399">
        <v>1</v>
      </c>
      <c r="AB3278" s="394">
        <v>166</v>
      </c>
      <c r="AC3278" s="402">
        <v>2380</v>
      </c>
      <c r="AD3278" s="399">
        <v>1</v>
      </c>
      <c r="AE3278" s="402"/>
      <c r="AF3278" s="391"/>
      <c r="AG3278" s="394"/>
      <c r="AH3278" s="394"/>
      <c r="AI3278" s="394"/>
      <c r="AJ3278" s="394"/>
      <c r="AK3278" s="394"/>
      <c r="AL3278" s="394"/>
      <c r="AM3278" s="394"/>
      <c r="AN3278" s="394"/>
      <c r="AO3278" s="394"/>
      <c r="AP3278" s="394"/>
      <c r="AQ3278" s="394"/>
      <c r="AR3278" s="394"/>
      <c r="AS3278" s="402"/>
      <c r="AT3278" s="404"/>
      <c r="AU3278" s="394"/>
      <c r="AV3278" s="394"/>
      <c r="AW3278" s="394"/>
      <c r="AX3278" s="5"/>
      <c r="AY3278" s="5"/>
      <c r="AZ3278" s="5"/>
      <c r="BA3278" s="5"/>
      <c r="BB3278" s="5"/>
      <c r="BC3278" s="5"/>
      <c r="BD3278" s="5"/>
      <c r="BE3278" s="5"/>
      <c r="BF3278" s="5"/>
      <c r="BG3278" s="5"/>
      <c r="BH3278" s="5"/>
      <c r="BI3278" s="5"/>
      <c r="BJ3278" s="5"/>
      <c r="BK3278" s="5"/>
      <c r="BL3278" s="5"/>
      <c r="BM3278" s="5"/>
      <c r="BN3278" s="5"/>
      <c r="BO3278" s="5"/>
      <c r="BP3278" s="5"/>
      <c r="BQ3278" s="5"/>
      <c r="BR3278" s="5"/>
      <c r="BS3278" s="5"/>
      <c r="BT3278" s="5"/>
      <c r="BU3278" s="5"/>
      <c r="BV3278" s="5"/>
      <c r="BW3278" s="5"/>
      <c r="BX3278" s="5"/>
      <c r="BY3278" s="5"/>
      <c r="BZ3278" s="5"/>
      <c r="CA3278" s="5"/>
    </row>
    <row r="3279" spans="1:79" s="400" customFormat="1" ht="15" customHeight="1">
      <c r="A3279" s="41" t="s">
        <v>183</v>
      </c>
      <c r="B3279" s="402" t="s">
        <v>2516</v>
      </c>
      <c r="C3279" s="113" t="s">
        <v>2516</v>
      </c>
      <c r="D3279" s="393" t="s">
        <v>89</v>
      </c>
      <c r="E3279" s="394" t="s">
        <v>535</v>
      </c>
      <c r="F3279" s="402"/>
      <c r="G3279" s="406" t="s">
        <v>2517</v>
      </c>
      <c r="H3279" s="391">
        <v>3827</v>
      </c>
      <c r="I3279" s="402" t="s">
        <v>1</v>
      </c>
      <c r="J3279" s="406" t="s">
        <v>6622</v>
      </c>
      <c r="K3279" s="403">
        <v>41285</v>
      </c>
      <c r="L3279" s="398">
        <v>41272</v>
      </c>
      <c r="M3279" s="402">
        <v>13</v>
      </c>
      <c r="N3279" s="402" t="s">
        <v>2</v>
      </c>
      <c r="O3279" s="404">
        <f>1.4/2</f>
        <v>0.7</v>
      </c>
      <c r="P3279" s="402">
        <v>6.27</v>
      </c>
      <c r="Q3279" s="404">
        <v>7.53</v>
      </c>
      <c r="R3279" s="402">
        <f>10/2</f>
        <v>5</v>
      </c>
      <c r="S3279" s="404">
        <v>9</v>
      </c>
      <c r="T3279" s="402">
        <v>0.03</v>
      </c>
      <c r="U3279" s="395">
        <v>0.28999999999999998</v>
      </c>
      <c r="V3279" s="402">
        <v>0.08</v>
      </c>
      <c r="W3279" s="404">
        <f>0.005/2</f>
        <v>2.5000000000000001E-3</v>
      </c>
      <c r="X3279" s="402">
        <v>8.9999999999999993E-3</v>
      </c>
      <c r="Y3279" s="404">
        <f>0.002/2</f>
        <v>1E-3</v>
      </c>
      <c r="Z3279" s="397">
        <v>1</v>
      </c>
      <c r="AA3279" s="399">
        <v>1</v>
      </c>
      <c r="AB3279" s="394">
        <v>110</v>
      </c>
      <c r="AC3279" s="402">
        <v>238</v>
      </c>
      <c r="AD3279" s="399">
        <v>1</v>
      </c>
      <c r="AE3279" s="402"/>
      <c r="AF3279" s="391"/>
      <c r="AG3279" s="394"/>
      <c r="AH3279" s="394"/>
      <c r="AI3279" s="394"/>
      <c r="AJ3279" s="394"/>
      <c r="AK3279" s="394"/>
      <c r="AL3279" s="394"/>
      <c r="AM3279" s="394"/>
      <c r="AN3279" s="394"/>
      <c r="AO3279" s="394"/>
      <c r="AP3279" s="394"/>
      <c r="AQ3279" s="394"/>
      <c r="AR3279" s="394"/>
      <c r="AS3279" s="402"/>
      <c r="AT3279" s="404"/>
      <c r="AU3279" s="394"/>
      <c r="AV3279" s="394"/>
      <c r="AW3279" s="394"/>
      <c r="AX3279" s="5"/>
      <c r="AY3279" s="5"/>
      <c r="AZ3279" s="5"/>
      <c r="BA3279" s="5"/>
      <c r="BB3279" s="5"/>
      <c r="BC3279" s="5"/>
      <c r="BD3279" s="5"/>
      <c r="BE3279" s="5"/>
      <c r="BF3279" s="5"/>
      <c r="BG3279" s="5"/>
      <c r="BH3279" s="5"/>
      <c r="BI3279" s="5"/>
      <c r="BJ3279" s="5"/>
      <c r="BK3279" s="5"/>
      <c r="BL3279" s="5"/>
      <c r="BM3279" s="5"/>
      <c r="BN3279" s="5"/>
      <c r="BO3279" s="5"/>
      <c r="BP3279" s="5"/>
      <c r="BQ3279" s="5"/>
      <c r="BR3279" s="5"/>
      <c r="BS3279" s="5"/>
      <c r="BT3279" s="5"/>
      <c r="BU3279" s="5"/>
      <c r="BV3279" s="5"/>
      <c r="BW3279" s="5"/>
      <c r="BX3279" s="5"/>
      <c r="BY3279" s="5"/>
      <c r="BZ3279" s="5"/>
      <c r="CA3279" s="5"/>
    </row>
    <row r="3280" spans="1:79" s="400" customFormat="1" ht="15" customHeight="1">
      <c r="A3280" s="41" t="s">
        <v>183</v>
      </c>
      <c r="B3280" s="402" t="s">
        <v>2516</v>
      </c>
      <c r="C3280" s="113" t="s">
        <v>2516</v>
      </c>
      <c r="D3280" s="393" t="s">
        <v>89</v>
      </c>
      <c r="E3280" s="394" t="s">
        <v>535</v>
      </c>
      <c r="F3280" s="402"/>
      <c r="G3280" s="406" t="s">
        <v>2517</v>
      </c>
      <c r="H3280" s="391">
        <v>3827</v>
      </c>
      <c r="I3280" s="402" t="s">
        <v>1</v>
      </c>
      <c r="J3280" s="406" t="s">
        <v>2141</v>
      </c>
      <c r="K3280" s="403">
        <v>41285</v>
      </c>
      <c r="L3280" s="398">
        <v>41272</v>
      </c>
      <c r="M3280" s="402">
        <f t="shared" si="191"/>
        <v>13</v>
      </c>
      <c r="N3280" s="402" t="s">
        <v>2</v>
      </c>
      <c r="O3280" s="404">
        <f>1.4/2</f>
        <v>0.7</v>
      </c>
      <c r="P3280" s="402">
        <v>6.27</v>
      </c>
      <c r="Q3280" s="404">
        <v>7.19</v>
      </c>
      <c r="R3280" s="402">
        <v>30</v>
      </c>
      <c r="S3280" s="404">
        <v>82</v>
      </c>
      <c r="T3280" s="402">
        <v>0.15</v>
      </c>
      <c r="U3280" s="395">
        <v>1.74</v>
      </c>
      <c r="V3280" s="402">
        <v>0.74</v>
      </c>
      <c r="W3280" s="404">
        <v>2.8000000000000001E-2</v>
      </c>
      <c r="X3280" s="402">
        <v>0.23799999999999999</v>
      </c>
      <c r="Y3280" s="404">
        <v>7.0000000000000001E-3</v>
      </c>
      <c r="Z3280" s="397">
        <v>1</v>
      </c>
      <c r="AA3280" s="399">
        <v>1</v>
      </c>
      <c r="AB3280" s="394">
        <v>142</v>
      </c>
      <c r="AC3280" s="402">
        <v>973</v>
      </c>
      <c r="AD3280" s="399">
        <v>1</v>
      </c>
      <c r="AE3280" s="402"/>
      <c r="AF3280" s="391"/>
      <c r="AG3280" s="394"/>
      <c r="AH3280" s="394"/>
      <c r="AI3280" s="394"/>
      <c r="AJ3280" s="394"/>
      <c r="AK3280" s="394"/>
      <c r="AL3280" s="394"/>
      <c r="AM3280" s="394"/>
      <c r="AN3280" s="394"/>
      <c r="AO3280" s="394"/>
      <c r="AP3280" s="394"/>
      <c r="AQ3280" s="394"/>
      <c r="AR3280" s="394"/>
      <c r="AS3280" s="402"/>
      <c r="AT3280" s="404"/>
      <c r="AU3280" s="394"/>
      <c r="AV3280" s="394"/>
      <c r="AW3280" s="394"/>
      <c r="AX3280" s="5"/>
      <c r="AY3280" s="5"/>
      <c r="AZ3280" s="5"/>
      <c r="BA3280" s="5"/>
      <c r="BB3280" s="5"/>
      <c r="BC3280" s="5"/>
      <c r="BD3280" s="5"/>
      <c r="BE3280" s="5"/>
      <c r="BF3280" s="5"/>
      <c r="BG3280" s="5"/>
      <c r="BH3280" s="5"/>
      <c r="BI3280" s="5"/>
      <c r="BJ3280" s="5"/>
      <c r="BK3280" s="5"/>
      <c r="BL3280" s="5"/>
      <c r="BM3280" s="5"/>
      <c r="BN3280" s="5"/>
      <c r="BO3280" s="5"/>
      <c r="BP3280" s="5"/>
      <c r="BQ3280" s="5"/>
      <c r="BR3280" s="5"/>
      <c r="BS3280" s="5"/>
      <c r="BT3280" s="5"/>
      <c r="BU3280" s="5"/>
      <c r="BV3280" s="5"/>
      <c r="BW3280" s="5"/>
      <c r="BX3280" s="5"/>
      <c r="BY3280" s="5"/>
      <c r="BZ3280" s="5"/>
      <c r="CA3280" s="5"/>
    </row>
    <row r="3281" spans="1:79" s="400" customFormat="1" ht="15" customHeight="1">
      <c r="A3281" s="41" t="s">
        <v>183</v>
      </c>
      <c r="B3281" s="402" t="s">
        <v>5807</v>
      </c>
      <c r="C3281" s="113" t="s">
        <v>5807</v>
      </c>
      <c r="D3281" s="393" t="s">
        <v>756</v>
      </c>
      <c r="E3281" s="394" t="s">
        <v>2266</v>
      </c>
      <c r="F3281" s="402"/>
      <c r="G3281" s="405" t="s">
        <v>2267</v>
      </c>
      <c r="H3281" s="113">
        <v>3669</v>
      </c>
      <c r="I3281" s="402" t="s">
        <v>2</v>
      </c>
      <c r="J3281" s="401" t="s">
        <v>2268</v>
      </c>
      <c r="K3281" s="403">
        <v>41345</v>
      </c>
      <c r="L3281" s="398">
        <v>41341</v>
      </c>
      <c r="M3281" s="402">
        <f t="shared" si="191"/>
        <v>4</v>
      </c>
      <c r="N3281" s="402" t="s">
        <v>2</v>
      </c>
      <c r="O3281" s="404">
        <f>1/2</f>
        <v>0.5</v>
      </c>
      <c r="P3281" s="402">
        <v>3.8</v>
      </c>
      <c r="Q3281" s="404">
        <v>4.88</v>
      </c>
      <c r="R3281" s="402">
        <v>3.7</v>
      </c>
      <c r="S3281" s="404">
        <v>1</v>
      </c>
      <c r="T3281" s="402">
        <f>0.05/2</f>
        <v>2.5000000000000001E-2</v>
      </c>
      <c r="U3281" s="395">
        <v>1.08</v>
      </c>
      <c r="V3281" s="402">
        <v>0.34</v>
      </c>
      <c r="W3281" s="404">
        <v>5.0000000000000001E-3</v>
      </c>
      <c r="X3281" s="402">
        <v>5.5E-2</v>
      </c>
      <c r="Y3281" s="404">
        <v>7.0000000000000001E-3</v>
      </c>
      <c r="Z3281" s="397">
        <v>1</v>
      </c>
      <c r="AA3281" s="399">
        <v>0.85199999999999998</v>
      </c>
      <c r="AB3281" s="394">
        <v>2.71</v>
      </c>
      <c r="AC3281" s="402">
        <v>29</v>
      </c>
      <c r="AD3281" s="399">
        <v>0.35</v>
      </c>
      <c r="AE3281" s="402"/>
      <c r="AF3281" s="391"/>
      <c r="AG3281" s="394"/>
      <c r="AH3281" s="394"/>
      <c r="AI3281" s="394"/>
      <c r="AJ3281" s="394"/>
      <c r="AK3281" s="394"/>
      <c r="AL3281" s="394"/>
      <c r="AM3281" s="394"/>
      <c r="AN3281" s="394"/>
      <c r="AO3281" s="394"/>
      <c r="AP3281" s="394"/>
      <c r="AQ3281" s="394"/>
      <c r="AR3281" s="394"/>
      <c r="AS3281" s="402"/>
      <c r="AT3281" s="404"/>
      <c r="AU3281" s="394"/>
      <c r="AV3281" s="394"/>
      <c r="AW3281" s="394"/>
      <c r="AX3281" s="5"/>
      <c r="AY3281" s="5"/>
      <c r="AZ3281" s="5"/>
      <c r="BA3281" s="5"/>
      <c r="BB3281" s="5"/>
      <c r="BC3281" s="5"/>
      <c r="BD3281" s="5"/>
      <c r="BE3281" s="5"/>
      <c r="BF3281" s="5"/>
      <c r="BG3281" s="5"/>
      <c r="BH3281" s="5"/>
      <c r="BI3281" s="5"/>
      <c r="BJ3281" s="5"/>
      <c r="BK3281" s="5"/>
      <c r="BL3281" s="5"/>
      <c r="BM3281" s="5"/>
      <c r="BN3281" s="5"/>
      <c r="BO3281" s="5"/>
      <c r="BP3281" s="5"/>
      <c r="BQ3281" s="5"/>
      <c r="BR3281" s="5"/>
      <c r="BS3281" s="5"/>
      <c r="BT3281" s="5"/>
      <c r="BU3281" s="5"/>
      <c r="BV3281" s="5"/>
      <c r="BW3281" s="5"/>
      <c r="BX3281" s="5"/>
      <c r="BY3281" s="5"/>
      <c r="BZ3281" s="5"/>
      <c r="CA3281" s="5"/>
    </row>
    <row r="3282" spans="1:79" s="400" customFormat="1" ht="15" customHeight="1">
      <c r="A3282" s="41" t="s">
        <v>183</v>
      </c>
      <c r="B3282" s="402" t="s">
        <v>5807</v>
      </c>
      <c r="C3282" s="113" t="s">
        <v>5807</v>
      </c>
      <c r="D3282" s="393" t="s">
        <v>756</v>
      </c>
      <c r="E3282" s="394" t="s">
        <v>2266</v>
      </c>
      <c r="F3282" s="402"/>
      <c r="G3282" s="405" t="s">
        <v>2267</v>
      </c>
      <c r="H3282" s="113">
        <v>3669</v>
      </c>
      <c r="I3282" s="402" t="s">
        <v>2</v>
      </c>
      <c r="J3282" s="401" t="s">
        <v>2268</v>
      </c>
      <c r="K3282" s="403">
        <v>41527</v>
      </c>
      <c r="L3282" s="398">
        <v>41519</v>
      </c>
      <c r="M3282" s="402">
        <f t="shared" si="191"/>
        <v>8</v>
      </c>
      <c r="N3282" s="402" t="s">
        <v>2</v>
      </c>
      <c r="O3282" s="404">
        <v>1.2</v>
      </c>
      <c r="P3282" s="402">
        <v>6</v>
      </c>
      <c r="Q3282" s="404">
        <v>4.2</v>
      </c>
      <c r="R3282" s="402">
        <v>7.5</v>
      </c>
      <c r="S3282" s="404">
        <v>2</v>
      </c>
      <c r="T3282" s="402">
        <v>0.05</v>
      </c>
      <c r="U3282" s="395">
        <v>1.36</v>
      </c>
      <c r="V3282" s="402">
        <v>1.48</v>
      </c>
      <c r="W3282" s="404">
        <f>0.005/2</f>
        <v>2.5000000000000001E-3</v>
      </c>
      <c r="X3282" s="402">
        <v>8.5000000000000006E-2</v>
      </c>
      <c r="Y3282" s="404">
        <v>6.0000000000000001E-3</v>
      </c>
      <c r="Z3282" s="397"/>
      <c r="AA3282" s="399"/>
      <c r="AB3282" s="394"/>
      <c r="AC3282" s="402"/>
      <c r="AD3282" s="399"/>
      <c r="AE3282" s="402"/>
      <c r="AF3282" s="391"/>
      <c r="AG3282" s="394"/>
      <c r="AH3282" s="394"/>
      <c r="AI3282" s="394"/>
      <c r="AJ3282" s="394"/>
      <c r="AK3282" s="394"/>
      <c r="AL3282" s="394"/>
      <c r="AM3282" s="394"/>
      <c r="AN3282" s="394"/>
      <c r="AO3282" s="394"/>
      <c r="AP3282" s="394"/>
      <c r="AQ3282" s="394"/>
      <c r="AR3282" s="394"/>
      <c r="AS3282" s="402"/>
      <c r="AT3282" s="404"/>
      <c r="AU3282" s="394"/>
      <c r="AV3282" s="394"/>
      <c r="AW3282" s="394"/>
      <c r="AX3282" s="5"/>
      <c r="AY3282" s="5"/>
      <c r="AZ3282" s="5"/>
      <c r="BA3282" s="5"/>
      <c r="BB3282" s="5"/>
      <c r="BC3282" s="5"/>
      <c r="BD3282" s="5"/>
      <c r="BE3282" s="5"/>
      <c r="BF3282" s="5"/>
      <c r="BG3282" s="5"/>
      <c r="BH3282" s="5"/>
      <c r="BI3282" s="5"/>
      <c r="BJ3282" s="5"/>
      <c r="BK3282" s="5"/>
      <c r="BL3282" s="5"/>
      <c r="BM3282" s="5"/>
      <c r="BN3282" s="5"/>
      <c r="BO3282" s="5"/>
      <c r="BP3282" s="5"/>
      <c r="BQ3282" s="5"/>
      <c r="BR3282" s="5"/>
      <c r="BS3282" s="5"/>
      <c r="BT3282" s="5"/>
      <c r="BU3282" s="5"/>
      <c r="BV3282" s="5"/>
      <c r="BW3282" s="5"/>
      <c r="BX3282" s="5"/>
      <c r="BY3282" s="5"/>
      <c r="BZ3282" s="5"/>
      <c r="CA3282" s="5"/>
    </row>
    <row r="3283" spans="1:79" ht="15" customHeight="1">
      <c r="A3283" s="41" t="s">
        <v>183</v>
      </c>
      <c r="B3283" s="402" t="s">
        <v>1857</v>
      </c>
      <c r="C3283" s="113" t="s">
        <v>1857</v>
      </c>
      <c r="D3283" s="393" t="s">
        <v>397</v>
      </c>
      <c r="E3283" s="422" t="s">
        <v>1961</v>
      </c>
      <c r="F3283" s="413">
        <v>3004</v>
      </c>
      <c r="G3283" s="405" t="s">
        <v>137</v>
      </c>
      <c r="H3283" s="74">
        <v>3829</v>
      </c>
      <c r="J3283" s="78" t="s">
        <v>1119</v>
      </c>
      <c r="K3283" s="51">
        <v>41402</v>
      </c>
      <c r="L3283" s="173"/>
      <c r="N3283" s="50" t="s">
        <v>2</v>
      </c>
      <c r="O3283" s="74">
        <v>2.9</v>
      </c>
      <c r="P3283" s="50">
        <v>6.07</v>
      </c>
      <c r="Q3283" s="74">
        <v>5.91</v>
      </c>
      <c r="R3283" s="50">
        <v>232</v>
      </c>
      <c r="S3283" s="74">
        <v>490</v>
      </c>
      <c r="T3283" s="50">
        <v>0.92</v>
      </c>
      <c r="U3283" s="131">
        <v>3.56</v>
      </c>
      <c r="V3283" s="50">
        <v>0.24</v>
      </c>
      <c r="W3283" s="74">
        <v>6.9000000000000006E-2</v>
      </c>
      <c r="X3283" s="50">
        <v>0.17100000000000001</v>
      </c>
      <c r="Y3283" s="74">
        <v>7.2999999999999995E-2</v>
      </c>
      <c r="Z3283" s="165">
        <v>1</v>
      </c>
      <c r="AA3283" s="271">
        <v>1</v>
      </c>
      <c r="AB3283" s="114">
        <v>12</v>
      </c>
      <c r="AC3283" s="50">
        <v>41</v>
      </c>
      <c r="AD3283" s="271">
        <v>1</v>
      </c>
    </row>
    <row r="3284" spans="1:79" ht="15" customHeight="1">
      <c r="A3284" s="41" t="s">
        <v>183</v>
      </c>
      <c r="B3284" s="402" t="s">
        <v>1857</v>
      </c>
      <c r="C3284" s="113" t="s">
        <v>1857</v>
      </c>
      <c r="D3284" s="393" t="s">
        <v>397</v>
      </c>
      <c r="E3284" s="422" t="s">
        <v>1961</v>
      </c>
      <c r="F3284" s="413">
        <v>3004</v>
      </c>
      <c r="G3284" s="405" t="s">
        <v>137</v>
      </c>
      <c r="H3284" s="74">
        <v>3829</v>
      </c>
      <c r="J3284" s="78" t="s">
        <v>1939</v>
      </c>
      <c r="K3284" s="51">
        <v>41402</v>
      </c>
      <c r="L3284" s="173"/>
      <c r="N3284" s="50" t="s">
        <v>2</v>
      </c>
      <c r="O3284" s="74">
        <v>4.2</v>
      </c>
      <c r="P3284" s="50">
        <v>6.16</v>
      </c>
      <c r="Q3284" s="74">
        <v>6.07</v>
      </c>
      <c r="R3284" s="50">
        <v>332</v>
      </c>
      <c r="S3284" s="74">
        <v>210</v>
      </c>
      <c r="T3284" s="50">
        <v>0.82</v>
      </c>
      <c r="U3284" s="131">
        <v>3.11</v>
      </c>
      <c r="V3284" s="50">
        <v>0.32</v>
      </c>
      <c r="W3284" s="74">
        <v>6.2E-2</v>
      </c>
      <c r="X3284" s="50">
        <v>0.21199999999999999</v>
      </c>
      <c r="Y3284" s="74">
        <v>5.3999999999999999E-2</v>
      </c>
      <c r="Z3284" s="165">
        <v>1</v>
      </c>
      <c r="AA3284" s="271">
        <v>1</v>
      </c>
      <c r="AB3284" s="114">
        <v>20</v>
      </c>
      <c r="AC3284" s="50">
        <v>53</v>
      </c>
      <c r="AD3284" s="271">
        <v>0.95</v>
      </c>
    </row>
    <row r="3285" spans="1:79" s="400" customFormat="1" ht="15" customHeight="1">
      <c r="A3285" s="41" t="s">
        <v>183</v>
      </c>
      <c r="B3285" s="386" t="s">
        <v>307</v>
      </c>
      <c r="C3285" s="149" t="s">
        <v>307</v>
      </c>
      <c r="D3285" s="392" t="s">
        <v>308</v>
      </c>
      <c r="E3285" s="258" t="s">
        <v>309</v>
      </c>
      <c r="F3285" s="402"/>
      <c r="G3285" s="405" t="s">
        <v>310</v>
      </c>
      <c r="H3285" s="404">
        <v>3269</v>
      </c>
      <c r="I3285" s="402" t="s">
        <v>2</v>
      </c>
      <c r="J3285" s="392" t="s">
        <v>312</v>
      </c>
      <c r="K3285" s="403">
        <v>41345</v>
      </c>
      <c r="L3285" s="398">
        <v>41341</v>
      </c>
      <c r="M3285" s="402">
        <f t="shared" ref="M3285:M3292" si="193">K3285-L3285</f>
        <v>4</v>
      </c>
      <c r="N3285" s="402" t="s">
        <v>1</v>
      </c>
      <c r="O3285" s="404">
        <f>1.4/2</f>
        <v>0.7</v>
      </c>
      <c r="P3285" s="402">
        <v>6.2</v>
      </c>
      <c r="Q3285" s="404">
        <v>6.94</v>
      </c>
      <c r="R3285" s="402">
        <v>14</v>
      </c>
      <c r="S3285" s="404">
        <v>6.5</v>
      </c>
      <c r="T3285" s="402">
        <v>0.04</v>
      </c>
      <c r="U3285" s="395">
        <v>0.92</v>
      </c>
      <c r="V3285" s="402">
        <f>0.06/2</f>
        <v>0.03</v>
      </c>
      <c r="W3285" s="404">
        <f>0.003/2</f>
        <v>1.5E-3</v>
      </c>
      <c r="X3285" s="402">
        <v>6.2E-2</v>
      </c>
      <c r="Y3285" s="404">
        <f>0.002/2</f>
        <v>1E-3</v>
      </c>
      <c r="Z3285" s="397">
        <v>1</v>
      </c>
      <c r="AA3285" s="399">
        <v>1</v>
      </c>
      <c r="AB3285" s="394">
        <v>60</v>
      </c>
      <c r="AC3285" s="402">
        <v>1876</v>
      </c>
      <c r="AD3285" s="399">
        <v>1</v>
      </c>
      <c r="AE3285" s="402"/>
      <c r="AF3285" s="391"/>
      <c r="AG3285" s="394"/>
      <c r="AH3285" s="394"/>
      <c r="AI3285" s="394"/>
      <c r="AJ3285" s="394"/>
      <c r="AK3285" s="394"/>
      <c r="AL3285" s="394"/>
      <c r="AM3285" s="394"/>
      <c r="AN3285" s="394"/>
      <c r="AO3285" s="394"/>
      <c r="AP3285" s="394"/>
      <c r="AQ3285" s="394"/>
      <c r="AR3285" s="394"/>
      <c r="AS3285" s="402"/>
      <c r="AT3285" s="404"/>
      <c r="AU3285" s="394"/>
      <c r="AV3285" s="394"/>
      <c r="AW3285" s="394"/>
      <c r="AX3285" s="5"/>
      <c r="AY3285" s="5"/>
      <c r="AZ3285" s="5"/>
      <c r="BA3285" s="5"/>
      <c r="BB3285" s="5"/>
      <c r="BC3285" s="5"/>
      <c r="BD3285" s="5"/>
      <c r="BE3285" s="5"/>
      <c r="BF3285" s="5"/>
      <c r="BG3285" s="5"/>
      <c r="BH3285" s="5"/>
      <c r="BI3285" s="5"/>
      <c r="BJ3285" s="5"/>
      <c r="BK3285" s="5"/>
      <c r="BL3285" s="5"/>
      <c r="BM3285" s="5"/>
      <c r="BN3285" s="5"/>
      <c r="BO3285" s="5"/>
      <c r="BP3285" s="5"/>
      <c r="BQ3285" s="5"/>
      <c r="BR3285" s="5"/>
      <c r="BS3285" s="5"/>
      <c r="BT3285" s="5"/>
      <c r="BU3285" s="5"/>
      <c r="BV3285" s="5"/>
      <c r="BW3285" s="5"/>
      <c r="BX3285" s="5"/>
      <c r="BY3285" s="5"/>
      <c r="BZ3285" s="5"/>
      <c r="CA3285" s="5"/>
    </row>
    <row r="3286" spans="1:79" s="400" customFormat="1" ht="15" customHeight="1">
      <c r="A3286" s="41" t="s">
        <v>183</v>
      </c>
      <c r="B3286" s="386" t="s">
        <v>307</v>
      </c>
      <c r="C3286" s="149" t="s">
        <v>307</v>
      </c>
      <c r="D3286" s="392" t="s">
        <v>308</v>
      </c>
      <c r="E3286" s="258" t="s">
        <v>309</v>
      </c>
      <c r="F3286" s="402"/>
      <c r="G3286" s="405" t="s">
        <v>310</v>
      </c>
      <c r="H3286" s="404">
        <v>3269</v>
      </c>
      <c r="I3286" s="402" t="s">
        <v>2</v>
      </c>
      <c r="J3286" s="406" t="s">
        <v>5808</v>
      </c>
      <c r="K3286" s="403">
        <v>41345</v>
      </c>
      <c r="L3286" s="398">
        <v>41341</v>
      </c>
      <c r="M3286" s="402">
        <f t="shared" si="193"/>
        <v>4</v>
      </c>
      <c r="N3286" s="402" t="s">
        <v>1</v>
      </c>
      <c r="O3286" s="404">
        <f>1.4/2</f>
        <v>0.7</v>
      </c>
      <c r="P3286" s="402">
        <v>6.2</v>
      </c>
      <c r="Q3286" s="404">
        <v>6.9</v>
      </c>
      <c r="R3286" s="402">
        <v>28</v>
      </c>
      <c r="S3286" s="404">
        <f>5/2</f>
        <v>2.5</v>
      </c>
      <c r="T3286" s="402">
        <v>0.03</v>
      </c>
      <c r="U3286" s="395">
        <f>0.05/2</f>
        <v>2.5000000000000001E-2</v>
      </c>
      <c r="V3286" s="402">
        <v>0.03</v>
      </c>
      <c r="W3286" s="404">
        <v>2E-3</v>
      </c>
      <c r="X3286" s="402">
        <v>8.7999999999999995E-2</v>
      </c>
      <c r="Y3286" s="404">
        <f>0.002/2</f>
        <v>1E-3</v>
      </c>
      <c r="Z3286" s="397">
        <v>1</v>
      </c>
      <c r="AA3286" s="399">
        <v>1</v>
      </c>
      <c r="AB3286" s="394">
        <v>38</v>
      </c>
      <c r="AC3286" s="402">
        <v>2012</v>
      </c>
      <c r="AD3286" s="399">
        <v>1</v>
      </c>
      <c r="AE3286" s="402"/>
      <c r="AF3286" s="391"/>
      <c r="AG3286" s="394"/>
      <c r="AH3286" s="394"/>
      <c r="AI3286" s="394"/>
      <c r="AJ3286" s="394"/>
      <c r="AK3286" s="394"/>
      <c r="AL3286" s="394"/>
      <c r="AM3286" s="394"/>
      <c r="AN3286" s="394"/>
      <c r="AO3286" s="394"/>
      <c r="AP3286" s="394"/>
      <c r="AQ3286" s="394"/>
      <c r="AR3286" s="394"/>
      <c r="AS3286" s="402"/>
      <c r="AT3286" s="404"/>
      <c r="AU3286" s="394"/>
      <c r="AV3286" s="394"/>
      <c r="AW3286" s="394"/>
      <c r="AX3286" s="5"/>
      <c r="AY3286" s="5"/>
      <c r="AZ3286" s="5"/>
      <c r="BA3286" s="5"/>
      <c r="BB3286" s="5"/>
      <c r="BC3286" s="5"/>
      <c r="BD3286" s="5"/>
      <c r="BE3286" s="5"/>
      <c r="BF3286" s="5"/>
      <c r="BG3286" s="5"/>
      <c r="BH3286" s="5"/>
      <c r="BI3286" s="5"/>
      <c r="BJ3286" s="5"/>
      <c r="BK3286" s="5"/>
      <c r="BL3286" s="5"/>
      <c r="BM3286" s="5"/>
      <c r="BN3286" s="5"/>
      <c r="BO3286" s="5"/>
      <c r="BP3286" s="5"/>
      <c r="BQ3286" s="5"/>
      <c r="BR3286" s="5"/>
      <c r="BS3286" s="5"/>
      <c r="BT3286" s="5"/>
      <c r="BU3286" s="5"/>
      <c r="BV3286" s="5"/>
      <c r="BW3286" s="5"/>
      <c r="BX3286" s="5"/>
      <c r="BY3286" s="5"/>
      <c r="BZ3286" s="5"/>
      <c r="CA3286" s="5"/>
    </row>
    <row r="3287" spans="1:79" s="400" customFormat="1" ht="15" customHeight="1">
      <c r="A3287" s="41" t="s">
        <v>183</v>
      </c>
      <c r="B3287" s="386" t="s">
        <v>155</v>
      </c>
      <c r="C3287" s="149" t="s">
        <v>155</v>
      </c>
      <c r="D3287" s="392" t="s">
        <v>156</v>
      </c>
      <c r="E3287" s="258" t="s">
        <v>157</v>
      </c>
      <c r="F3287" s="386"/>
      <c r="G3287" s="405" t="s">
        <v>158</v>
      </c>
      <c r="H3287" s="404">
        <v>3429</v>
      </c>
      <c r="I3287" s="402" t="s">
        <v>1</v>
      </c>
      <c r="J3287" s="392" t="s">
        <v>159</v>
      </c>
      <c r="K3287" s="403">
        <v>41345</v>
      </c>
      <c r="L3287" s="398">
        <v>41342</v>
      </c>
      <c r="M3287" s="402">
        <f t="shared" si="193"/>
        <v>3</v>
      </c>
      <c r="N3287" s="402" t="s">
        <v>2</v>
      </c>
      <c r="O3287" s="404">
        <f>5/2</f>
        <v>2.5</v>
      </c>
      <c r="P3287" s="402"/>
      <c r="Q3287" s="404">
        <v>6.93</v>
      </c>
      <c r="R3287" s="402">
        <v>30</v>
      </c>
      <c r="S3287" s="404">
        <v>33</v>
      </c>
      <c r="T3287" s="402">
        <f>0.1/2</f>
        <v>0.05</v>
      </c>
      <c r="U3287" s="395">
        <f>1/2</f>
        <v>0.5</v>
      </c>
      <c r="V3287" s="402">
        <v>0.35</v>
      </c>
      <c r="W3287" s="404">
        <v>6.2E-2</v>
      </c>
      <c r="X3287" s="402">
        <v>9.5000000000000001E-2</v>
      </c>
      <c r="Y3287" s="404">
        <v>1.6E-2</v>
      </c>
      <c r="Z3287" s="397">
        <v>1</v>
      </c>
      <c r="AA3287" s="399">
        <v>0.93899999999999995</v>
      </c>
      <c r="AB3287" s="394">
        <v>22</v>
      </c>
      <c r="AC3287" s="402">
        <v>81</v>
      </c>
      <c r="AD3287" s="399">
        <v>0.45</v>
      </c>
      <c r="AE3287" s="402"/>
      <c r="AF3287" s="391"/>
      <c r="AG3287" s="394"/>
      <c r="AH3287" s="394"/>
      <c r="AI3287" s="394"/>
      <c r="AJ3287" s="394"/>
      <c r="AK3287" s="394"/>
      <c r="AL3287" s="394"/>
      <c r="AM3287" s="394"/>
      <c r="AN3287" s="394"/>
      <c r="AO3287" s="394"/>
      <c r="AP3287" s="394"/>
      <c r="AQ3287" s="394"/>
      <c r="AR3287" s="394"/>
      <c r="AS3287" s="402"/>
      <c r="AT3287" s="404"/>
      <c r="AU3287" s="394"/>
      <c r="AV3287" s="394"/>
      <c r="AW3287" s="394"/>
      <c r="AX3287" s="5"/>
      <c r="AY3287" s="5"/>
      <c r="AZ3287" s="5"/>
      <c r="BA3287" s="5"/>
      <c r="BB3287" s="5"/>
      <c r="BC3287" s="5"/>
      <c r="BD3287" s="5"/>
      <c r="BE3287" s="5"/>
      <c r="BF3287" s="5"/>
      <c r="BG3287" s="5"/>
      <c r="BH3287" s="5"/>
      <c r="BI3287" s="5"/>
      <c r="BJ3287" s="5"/>
      <c r="BK3287" s="5"/>
      <c r="BL3287" s="5"/>
      <c r="BM3287" s="5"/>
      <c r="BN3287" s="5"/>
      <c r="BO3287" s="5"/>
      <c r="BP3287" s="5"/>
      <c r="BQ3287" s="5"/>
      <c r="BR3287" s="5"/>
      <c r="BS3287" s="5"/>
      <c r="BT3287" s="5"/>
      <c r="BU3287" s="5"/>
      <c r="BV3287" s="5"/>
      <c r="BW3287" s="5"/>
      <c r="BX3287" s="5"/>
      <c r="BY3287" s="5"/>
      <c r="BZ3287" s="5"/>
      <c r="CA3287" s="5"/>
    </row>
    <row r="3288" spans="1:79" s="400" customFormat="1" ht="15" customHeight="1">
      <c r="A3288" s="41" t="s">
        <v>183</v>
      </c>
      <c r="B3288" s="386" t="s">
        <v>155</v>
      </c>
      <c r="C3288" s="149" t="s">
        <v>155</v>
      </c>
      <c r="D3288" s="392" t="s">
        <v>156</v>
      </c>
      <c r="E3288" s="258" t="s">
        <v>157</v>
      </c>
      <c r="F3288" s="386"/>
      <c r="G3288" s="405" t="s">
        <v>158</v>
      </c>
      <c r="H3288" s="404">
        <v>3429</v>
      </c>
      <c r="I3288" s="402" t="s">
        <v>1</v>
      </c>
      <c r="J3288" s="392" t="s">
        <v>160</v>
      </c>
      <c r="K3288" s="403">
        <v>41345</v>
      </c>
      <c r="L3288" s="398">
        <v>41342</v>
      </c>
      <c r="M3288" s="402">
        <f t="shared" si="193"/>
        <v>3</v>
      </c>
      <c r="N3288" s="402" t="s">
        <v>2</v>
      </c>
      <c r="O3288" s="404">
        <f>5/2</f>
        <v>2.5</v>
      </c>
      <c r="P3288" s="402"/>
      <c r="Q3288" s="404">
        <v>7.12</v>
      </c>
      <c r="R3288" s="402">
        <v>32</v>
      </c>
      <c r="S3288" s="404">
        <v>43</v>
      </c>
      <c r="T3288" s="402">
        <f>0.1/2</f>
        <v>0.05</v>
      </c>
      <c r="U3288" s="395">
        <f>1/2</f>
        <v>0.5</v>
      </c>
      <c r="V3288" s="402">
        <f>0.1/2</f>
        <v>0.05</v>
      </c>
      <c r="W3288" s="404">
        <f>0.04/2</f>
        <v>0.02</v>
      </c>
      <c r="X3288" s="402">
        <v>3.5999999999999997E-2</v>
      </c>
      <c r="Y3288" s="404">
        <f>0.013/2</f>
        <v>6.4999999999999997E-3</v>
      </c>
      <c r="Z3288" s="397">
        <v>1</v>
      </c>
      <c r="AA3288" s="399">
        <v>1</v>
      </c>
      <c r="AB3288" s="394">
        <v>100</v>
      </c>
      <c r="AC3288" s="402">
        <v>463</v>
      </c>
      <c r="AD3288" s="399">
        <v>1</v>
      </c>
      <c r="AE3288" s="402"/>
      <c r="AF3288" s="391"/>
      <c r="AG3288" s="394"/>
      <c r="AH3288" s="394"/>
      <c r="AI3288" s="394"/>
      <c r="AJ3288" s="394"/>
      <c r="AK3288" s="394"/>
      <c r="AL3288" s="394"/>
      <c r="AM3288" s="394"/>
      <c r="AN3288" s="394"/>
      <c r="AO3288" s="394"/>
      <c r="AP3288" s="394"/>
      <c r="AQ3288" s="394"/>
      <c r="AR3288" s="394"/>
      <c r="AS3288" s="402"/>
      <c r="AT3288" s="404"/>
      <c r="AU3288" s="394"/>
      <c r="AV3288" s="394"/>
      <c r="AW3288" s="394"/>
      <c r="AX3288" s="5"/>
      <c r="AY3288" s="5"/>
      <c r="AZ3288" s="5"/>
      <c r="BA3288" s="5"/>
      <c r="BB3288" s="5"/>
      <c r="BC3288" s="5"/>
      <c r="BD3288" s="5"/>
      <c r="BE3288" s="5"/>
      <c r="BF3288" s="5"/>
      <c r="BG3288" s="5"/>
      <c r="BH3288" s="5"/>
      <c r="BI3288" s="5"/>
      <c r="BJ3288" s="5"/>
      <c r="BK3288" s="5"/>
      <c r="BL3288" s="5"/>
      <c r="BM3288" s="5"/>
      <c r="BN3288" s="5"/>
      <c r="BO3288" s="5"/>
      <c r="BP3288" s="5"/>
      <c r="BQ3288" s="5"/>
      <c r="BR3288" s="5"/>
      <c r="BS3288" s="5"/>
      <c r="BT3288" s="5"/>
      <c r="BU3288" s="5"/>
      <c r="BV3288" s="5"/>
      <c r="BW3288" s="5"/>
      <c r="BX3288" s="5"/>
      <c r="BY3288" s="5"/>
      <c r="BZ3288" s="5"/>
      <c r="CA3288" s="5"/>
    </row>
    <row r="3289" spans="1:79" s="400" customFormat="1" ht="15" customHeight="1">
      <c r="A3289" s="41" t="s">
        <v>183</v>
      </c>
      <c r="B3289" s="386" t="s">
        <v>155</v>
      </c>
      <c r="C3289" s="149" t="s">
        <v>155</v>
      </c>
      <c r="D3289" s="392" t="s">
        <v>156</v>
      </c>
      <c r="E3289" s="258" t="s">
        <v>157</v>
      </c>
      <c r="F3289" s="386"/>
      <c r="G3289" s="405" t="s">
        <v>158</v>
      </c>
      <c r="H3289" s="404">
        <v>3429</v>
      </c>
      <c r="I3289" s="402" t="s">
        <v>1</v>
      </c>
      <c r="J3289" s="392" t="s">
        <v>161</v>
      </c>
      <c r="K3289" s="403">
        <v>41345</v>
      </c>
      <c r="L3289" s="398">
        <v>41342</v>
      </c>
      <c r="M3289" s="402">
        <f t="shared" si="193"/>
        <v>3</v>
      </c>
      <c r="N3289" s="402" t="s">
        <v>2</v>
      </c>
      <c r="O3289" s="404">
        <f>5/2</f>
        <v>2.5</v>
      </c>
      <c r="P3289" s="402"/>
      <c r="Q3289" s="404">
        <v>6.63</v>
      </c>
      <c r="R3289" s="402">
        <v>43</v>
      </c>
      <c r="S3289" s="404">
        <v>28</v>
      </c>
      <c r="T3289" s="402">
        <f>0.1/2</f>
        <v>0.05</v>
      </c>
      <c r="U3289" s="395">
        <f>1/2</f>
        <v>0.5</v>
      </c>
      <c r="V3289" s="402">
        <v>0.18</v>
      </c>
      <c r="W3289" s="404">
        <v>8.5999999999999993E-2</v>
      </c>
      <c r="X3289" s="402">
        <v>0.26</v>
      </c>
      <c r="Y3289" s="404">
        <f>0.013/2</f>
        <v>6.4999999999999997E-3</v>
      </c>
      <c r="Z3289" s="397">
        <v>0.25</v>
      </c>
      <c r="AA3289" s="399">
        <v>0.18099999999999999</v>
      </c>
      <c r="AB3289" s="394">
        <v>14</v>
      </c>
      <c r="AC3289" s="402">
        <v>230</v>
      </c>
      <c r="AD3289" s="399">
        <v>0</v>
      </c>
      <c r="AE3289" s="402"/>
      <c r="AF3289" s="391"/>
      <c r="AG3289" s="394"/>
      <c r="AH3289" s="394"/>
      <c r="AI3289" s="394"/>
      <c r="AJ3289" s="394"/>
      <c r="AK3289" s="394"/>
      <c r="AL3289" s="394"/>
      <c r="AM3289" s="394"/>
      <c r="AN3289" s="394"/>
      <c r="AO3289" s="394"/>
      <c r="AP3289" s="394"/>
      <c r="AQ3289" s="394"/>
      <c r="AR3289" s="394"/>
      <c r="AS3289" s="402"/>
      <c r="AT3289" s="404"/>
      <c r="AU3289" s="394"/>
      <c r="AV3289" s="394"/>
      <c r="AW3289" s="394"/>
      <c r="AX3289" s="5"/>
      <c r="AY3289" s="5"/>
      <c r="AZ3289" s="5"/>
      <c r="BA3289" s="5"/>
      <c r="BB3289" s="5"/>
      <c r="BC3289" s="5"/>
      <c r="BD3289" s="5"/>
      <c r="BE3289" s="5"/>
      <c r="BF3289" s="5"/>
      <c r="BG3289" s="5"/>
      <c r="BH3289" s="5"/>
      <c r="BI3289" s="5"/>
      <c r="BJ3289" s="5"/>
      <c r="BK3289" s="5"/>
      <c r="BL3289" s="5"/>
      <c r="BM3289" s="5"/>
      <c r="BN3289" s="5"/>
      <c r="BO3289" s="5"/>
      <c r="BP3289" s="5"/>
      <c r="BQ3289" s="5"/>
      <c r="BR3289" s="5"/>
      <c r="BS3289" s="5"/>
      <c r="BT3289" s="5"/>
      <c r="BU3289" s="5"/>
      <c r="BV3289" s="5"/>
      <c r="BW3289" s="5"/>
      <c r="BX3289" s="5"/>
      <c r="BY3289" s="5"/>
      <c r="BZ3289" s="5"/>
      <c r="CA3289" s="5"/>
    </row>
    <row r="3290" spans="1:79" s="400" customFormat="1" ht="15" customHeight="1">
      <c r="A3290" s="41" t="s">
        <v>183</v>
      </c>
      <c r="B3290" s="386" t="s">
        <v>155</v>
      </c>
      <c r="C3290" s="149" t="s">
        <v>155</v>
      </c>
      <c r="D3290" s="392" t="s">
        <v>156</v>
      </c>
      <c r="E3290" s="258" t="s">
        <v>157</v>
      </c>
      <c r="F3290" s="386"/>
      <c r="G3290" s="405" t="s">
        <v>158</v>
      </c>
      <c r="H3290" s="404">
        <v>3429</v>
      </c>
      <c r="I3290" s="402" t="s">
        <v>1</v>
      </c>
      <c r="J3290" s="392" t="s">
        <v>162</v>
      </c>
      <c r="K3290" s="403">
        <v>41345</v>
      </c>
      <c r="L3290" s="398">
        <v>41342</v>
      </c>
      <c r="M3290" s="402">
        <f t="shared" si="193"/>
        <v>3</v>
      </c>
      <c r="N3290" s="402" t="s">
        <v>2</v>
      </c>
      <c r="O3290" s="404">
        <f>5/2</f>
        <v>2.5</v>
      </c>
      <c r="P3290" s="402"/>
      <c r="Q3290" s="404">
        <v>6.97</v>
      </c>
      <c r="R3290" s="402">
        <v>30</v>
      </c>
      <c r="S3290" s="404">
        <v>19</v>
      </c>
      <c r="T3290" s="402">
        <f>0.1/2</f>
        <v>0.05</v>
      </c>
      <c r="U3290" s="395">
        <f>1/2</f>
        <v>0.5</v>
      </c>
      <c r="V3290" s="402">
        <v>0.43</v>
      </c>
      <c r="W3290" s="404">
        <v>0.28000000000000003</v>
      </c>
      <c r="X3290" s="402">
        <v>0.14000000000000001</v>
      </c>
      <c r="Y3290" s="404">
        <f>0.013/2</f>
        <v>6.4999999999999997E-3</v>
      </c>
      <c r="Z3290" s="397">
        <v>6.25E-2</v>
      </c>
      <c r="AA3290" s="399">
        <v>6.25E-2</v>
      </c>
      <c r="AB3290" s="394">
        <v>38</v>
      </c>
      <c r="AC3290" s="402">
        <v>175</v>
      </c>
      <c r="AD3290" s="399">
        <v>0</v>
      </c>
      <c r="AE3290" s="402"/>
      <c r="AF3290" s="391"/>
      <c r="AG3290" s="394"/>
      <c r="AH3290" s="394"/>
      <c r="AI3290" s="394"/>
      <c r="AJ3290" s="394"/>
      <c r="AK3290" s="394"/>
      <c r="AL3290" s="394"/>
      <c r="AM3290" s="394"/>
      <c r="AN3290" s="394"/>
      <c r="AO3290" s="394"/>
      <c r="AP3290" s="394"/>
      <c r="AQ3290" s="394"/>
      <c r="AR3290" s="394"/>
      <c r="AS3290" s="402"/>
      <c r="AT3290" s="404"/>
      <c r="AU3290" s="394"/>
      <c r="AV3290" s="394"/>
      <c r="AW3290" s="394"/>
      <c r="AX3290" s="5"/>
      <c r="AY3290" s="5"/>
      <c r="AZ3290" s="5"/>
      <c r="BA3290" s="5"/>
      <c r="BB3290" s="5"/>
      <c r="BC3290" s="5"/>
      <c r="BD3290" s="5"/>
      <c r="BE3290" s="5"/>
      <c r="BF3290" s="5"/>
      <c r="BG3290" s="5"/>
      <c r="BH3290" s="5"/>
      <c r="BI3290" s="5"/>
      <c r="BJ3290" s="5"/>
      <c r="BK3290" s="5"/>
      <c r="BL3290" s="5"/>
      <c r="BM3290" s="5"/>
      <c r="BN3290" s="5"/>
      <c r="BO3290" s="5"/>
      <c r="BP3290" s="5"/>
      <c r="BQ3290" s="5"/>
      <c r="BR3290" s="5"/>
      <c r="BS3290" s="5"/>
      <c r="BT3290" s="5"/>
      <c r="BU3290" s="5"/>
      <c r="BV3290" s="5"/>
      <c r="BW3290" s="5"/>
      <c r="BX3290" s="5"/>
      <c r="BY3290" s="5"/>
      <c r="BZ3290" s="5"/>
      <c r="CA3290" s="5"/>
    </row>
    <row r="3291" spans="1:79" s="400" customFormat="1" ht="15" customHeight="1">
      <c r="A3291" s="41" t="s">
        <v>183</v>
      </c>
      <c r="B3291" s="402" t="s">
        <v>4766</v>
      </c>
      <c r="C3291" s="113" t="s">
        <v>4767</v>
      </c>
      <c r="D3291" s="393" t="s">
        <v>406</v>
      </c>
      <c r="E3291" s="394" t="s">
        <v>4768</v>
      </c>
      <c r="F3291" s="402"/>
      <c r="G3291" s="405" t="s">
        <v>4769</v>
      </c>
      <c r="H3291" s="404">
        <v>4011</v>
      </c>
      <c r="I3291" s="402" t="s">
        <v>2</v>
      </c>
      <c r="J3291" s="406" t="s">
        <v>4770</v>
      </c>
      <c r="K3291" s="403">
        <v>41320</v>
      </c>
      <c r="L3291" s="398">
        <v>41316</v>
      </c>
      <c r="M3291" s="402">
        <f t="shared" si="193"/>
        <v>4</v>
      </c>
      <c r="N3291" s="402" t="s">
        <v>2</v>
      </c>
      <c r="O3291" s="404">
        <f>4/2</f>
        <v>2</v>
      </c>
      <c r="P3291" s="402"/>
      <c r="Q3291" s="404">
        <v>6.2</v>
      </c>
      <c r="R3291" s="402">
        <v>86</v>
      </c>
      <c r="S3291" s="404">
        <v>23</v>
      </c>
      <c r="T3291" s="402">
        <v>6.3E-2</v>
      </c>
      <c r="U3291" s="395">
        <v>0.69599999999999995</v>
      </c>
      <c r="V3291" s="402">
        <v>0.62</v>
      </c>
      <c r="W3291" s="404">
        <f>0.005/2</f>
        <v>2.5000000000000001E-3</v>
      </c>
      <c r="X3291" s="402">
        <v>0.27</v>
      </c>
      <c r="Y3291" s="404">
        <f>0.005/2</f>
        <v>2.5000000000000001E-3</v>
      </c>
      <c r="Z3291" s="397"/>
      <c r="AA3291" s="399"/>
      <c r="AB3291" s="394"/>
      <c r="AC3291" s="402"/>
      <c r="AD3291" s="399"/>
      <c r="AE3291" s="402"/>
      <c r="AF3291" s="391"/>
      <c r="AG3291" s="394"/>
      <c r="AH3291" s="394"/>
      <c r="AI3291" s="394"/>
      <c r="AJ3291" s="394"/>
      <c r="AK3291" s="394"/>
      <c r="AL3291" s="394"/>
      <c r="AM3291" s="394"/>
      <c r="AN3291" s="394"/>
      <c r="AO3291" s="394"/>
      <c r="AP3291" s="394"/>
      <c r="AQ3291" s="394"/>
      <c r="AR3291" s="394"/>
      <c r="AS3291" s="402"/>
      <c r="AT3291" s="404"/>
      <c r="AU3291" s="394"/>
      <c r="AV3291" s="394"/>
      <c r="AW3291" s="394"/>
      <c r="AX3291" s="5"/>
      <c r="AY3291" s="5"/>
      <c r="AZ3291" s="5"/>
      <c r="BA3291" s="5"/>
      <c r="BB3291" s="5"/>
      <c r="BC3291" s="5"/>
      <c r="BD3291" s="5"/>
      <c r="BE3291" s="5"/>
      <c r="BF3291" s="5"/>
      <c r="BG3291" s="5"/>
      <c r="BH3291" s="5"/>
      <c r="BI3291" s="5"/>
      <c r="BJ3291" s="5"/>
      <c r="BK3291" s="5"/>
      <c r="BL3291" s="5"/>
      <c r="BM3291" s="5"/>
      <c r="BN3291" s="5"/>
      <c r="BO3291" s="5"/>
      <c r="BP3291" s="5"/>
      <c r="BQ3291" s="5"/>
      <c r="BR3291" s="5"/>
      <c r="BS3291" s="5"/>
      <c r="BT3291" s="5"/>
      <c r="BU3291" s="5"/>
      <c r="BV3291" s="5"/>
      <c r="BW3291" s="5"/>
      <c r="BX3291" s="5"/>
      <c r="BY3291" s="5"/>
      <c r="BZ3291" s="5"/>
      <c r="CA3291" s="5"/>
    </row>
    <row r="3292" spans="1:79" s="400" customFormat="1" ht="15" customHeight="1">
      <c r="A3292" s="41" t="s">
        <v>183</v>
      </c>
      <c r="B3292" s="385" t="s">
        <v>4198</v>
      </c>
      <c r="C3292" s="18" t="s">
        <v>4203</v>
      </c>
      <c r="D3292" s="377" t="s">
        <v>56</v>
      </c>
      <c r="E3292" s="20" t="s">
        <v>4204</v>
      </c>
      <c r="F3292" s="385"/>
      <c r="G3292" s="405" t="s">
        <v>4205</v>
      </c>
      <c r="H3292" s="404">
        <v>4011</v>
      </c>
      <c r="I3292" s="402" t="s">
        <v>2</v>
      </c>
      <c r="J3292" s="344" t="s">
        <v>4206</v>
      </c>
      <c r="K3292" s="403">
        <v>41320</v>
      </c>
      <c r="L3292" s="398">
        <v>41316</v>
      </c>
      <c r="M3292" s="402">
        <f t="shared" si="193"/>
        <v>4</v>
      </c>
      <c r="N3292" s="402" t="s">
        <v>1</v>
      </c>
      <c r="O3292" s="404">
        <f>2/2</f>
        <v>1</v>
      </c>
      <c r="P3292" s="402"/>
      <c r="Q3292" s="404">
        <v>6.4</v>
      </c>
      <c r="R3292" s="402">
        <f>75/2</f>
        <v>37.5</v>
      </c>
      <c r="S3292" s="404">
        <f>90/2</f>
        <v>45</v>
      </c>
      <c r="T3292" s="402">
        <v>1.6E-2</v>
      </c>
      <c r="U3292" s="395">
        <v>0.436</v>
      </c>
      <c r="V3292" s="402">
        <v>0.31</v>
      </c>
      <c r="W3292" s="404">
        <v>1.9E-2</v>
      </c>
      <c r="X3292" s="402">
        <v>0.25</v>
      </c>
      <c r="Y3292" s="404">
        <f>0.005/2</f>
        <v>2.5000000000000001E-3</v>
      </c>
      <c r="Z3292" s="397"/>
      <c r="AA3292" s="399"/>
      <c r="AB3292" s="394"/>
      <c r="AC3292" s="402"/>
      <c r="AD3292" s="399"/>
      <c r="AE3292" s="402"/>
      <c r="AF3292" s="391"/>
      <c r="AG3292" s="394"/>
      <c r="AH3292" s="394"/>
      <c r="AI3292" s="394"/>
      <c r="AJ3292" s="394"/>
      <c r="AK3292" s="394"/>
      <c r="AL3292" s="394"/>
      <c r="AM3292" s="394"/>
      <c r="AN3292" s="394"/>
      <c r="AO3292" s="394"/>
      <c r="AP3292" s="394"/>
      <c r="AQ3292" s="394"/>
      <c r="AR3292" s="394"/>
      <c r="AS3292" s="402"/>
      <c r="AT3292" s="404"/>
      <c r="AU3292" s="394"/>
      <c r="AV3292" s="394"/>
      <c r="AW3292" s="394"/>
      <c r="AX3292" s="5"/>
      <c r="AY3292" s="5"/>
      <c r="AZ3292" s="5"/>
      <c r="BA3292" s="5"/>
      <c r="BB3292" s="5"/>
      <c r="BC3292" s="5"/>
      <c r="BD3292" s="5"/>
      <c r="BE3292" s="5"/>
      <c r="BF3292" s="5"/>
      <c r="BG3292" s="5"/>
      <c r="BH3292" s="5"/>
      <c r="BI3292" s="5"/>
      <c r="BJ3292" s="5"/>
      <c r="BK3292" s="5"/>
      <c r="BL3292" s="5"/>
      <c r="BM3292" s="5"/>
      <c r="BN3292" s="5"/>
      <c r="BO3292" s="5"/>
      <c r="BP3292" s="5"/>
      <c r="BQ3292" s="5"/>
      <c r="BR3292" s="5"/>
      <c r="BS3292" s="5"/>
      <c r="BT3292" s="5"/>
      <c r="BU3292" s="5"/>
      <c r="BV3292" s="5"/>
      <c r="BW3292" s="5"/>
      <c r="BX3292" s="5"/>
      <c r="BY3292" s="5"/>
      <c r="BZ3292" s="5"/>
      <c r="CA3292" s="5"/>
    </row>
    <row r="3293" spans="1:79" s="400" customFormat="1" ht="15" customHeight="1">
      <c r="A3293" s="41" t="s">
        <v>183</v>
      </c>
      <c r="B3293" s="402" t="s">
        <v>5154</v>
      </c>
      <c r="C3293" s="113" t="s">
        <v>5154</v>
      </c>
      <c r="D3293" s="393" t="s">
        <v>111</v>
      </c>
      <c r="E3293" s="394" t="s">
        <v>5795</v>
      </c>
      <c r="F3293" s="402">
        <v>5200</v>
      </c>
      <c r="G3293" s="405" t="s">
        <v>5156</v>
      </c>
      <c r="H3293" s="404">
        <v>3441</v>
      </c>
      <c r="I3293" s="402" t="s">
        <v>2</v>
      </c>
      <c r="J3293" s="406" t="s">
        <v>74</v>
      </c>
      <c r="K3293" s="403">
        <v>41021</v>
      </c>
      <c r="L3293" s="398" t="s">
        <v>5380</v>
      </c>
      <c r="M3293" s="402"/>
      <c r="N3293" s="402" t="s">
        <v>2</v>
      </c>
      <c r="O3293" s="404">
        <f>5/2</f>
        <v>2.5</v>
      </c>
      <c r="P3293" s="402">
        <v>6.21</v>
      </c>
      <c r="Q3293" s="404">
        <v>5.28</v>
      </c>
      <c r="R3293" s="402">
        <v>47</v>
      </c>
      <c r="S3293" s="404">
        <v>53</v>
      </c>
      <c r="T3293" s="402">
        <f>0.1/2</f>
        <v>0.05</v>
      </c>
      <c r="U3293" s="395">
        <f>1/2</f>
        <v>0.5</v>
      </c>
      <c r="V3293" s="402">
        <f>0.1/2</f>
        <v>0.05</v>
      </c>
      <c r="W3293" s="404">
        <f>0.04/2</f>
        <v>0.02</v>
      </c>
      <c r="X3293" s="402">
        <v>3.5999999999999997E-2</v>
      </c>
      <c r="Y3293" s="404">
        <f>0.013/2</f>
        <v>6.4999999999999997E-3</v>
      </c>
      <c r="Z3293" s="397">
        <v>1</v>
      </c>
      <c r="AA3293" s="399">
        <v>1</v>
      </c>
      <c r="AB3293" s="394">
        <v>21.1</v>
      </c>
      <c r="AC3293" s="402">
        <v>15</v>
      </c>
      <c r="AD3293" s="399">
        <v>1</v>
      </c>
      <c r="AE3293" s="402"/>
      <c r="AF3293" s="391"/>
      <c r="AG3293" s="394"/>
      <c r="AH3293" s="394"/>
      <c r="AI3293" s="394"/>
      <c r="AJ3293" s="394"/>
      <c r="AK3293" s="394"/>
      <c r="AL3293" s="394"/>
      <c r="AM3293" s="394"/>
      <c r="AN3293" s="394"/>
      <c r="AO3293" s="394"/>
      <c r="AP3293" s="394"/>
      <c r="AQ3293" s="394"/>
      <c r="AR3293" s="394"/>
      <c r="AS3293" s="402"/>
      <c r="AT3293" s="404"/>
      <c r="AU3293" s="394"/>
      <c r="AV3293" s="394"/>
      <c r="AW3293" s="394"/>
      <c r="AX3293" s="5"/>
      <c r="AY3293" s="5"/>
      <c r="AZ3293" s="5"/>
      <c r="BA3293" s="5"/>
      <c r="BB3293" s="5"/>
      <c r="BC3293" s="5"/>
      <c r="BD3293" s="5"/>
      <c r="BE3293" s="5"/>
      <c r="BF3293" s="5"/>
      <c r="BG3293" s="5"/>
      <c r="BH3293" s="5"/>
      <c r="BI3293" s="5"/>
      <c r="BJ3293" s="5"/>
      <c r="BK3293" s="5"/>
      <c r="BL3293" s="5"/>
      <c r="BM3293" s="5"/>
      <c r="BN3293" s="5"/>
      <c r="BO3293" s="5"/>
      <c r="BP3293" s="5"/>
      <c r="BQ3293" s="5"/>
      <c r="BR3293" s="5"/>
      <c r="BS3293" s="5"/>
      <c r="BT3293" s="5"/>
      <c r="BU3293" s="5"/>
      <c r="BV3293" s="5"/>
      <c r="BW3293" s="5"/>
      <c r="BX3293" s="5"/>
      <c r="BY3293" s="5"/>
      <c r="BZ3293" s="5"/>
      <c r="CA3293" s="5"/>
    </row>
    <row r="3294" spans="1:79" s="400" customFormat="1" ht="15" customHeight="1">
      <c r="A3294" s="41" t="s">
        <v>183</v>
      </c>
      <c r="B3294" s="402" t="s">
        <v>5804</v>
      </c>
      <c r="C3294" s="113" t="s">
        <v>5805</v>
      </c>
      <c r="D3294" s="393" t="s">
        <v>1217</v>
      </c>
      <c r="E3294" s="394" t="s">
        <v>2654</v>
      </c>
      <c r="F3294" s="402" t="s">
        <v>1051</v>
      </c>
      <c r="G3294" s="405" t="s">
        <v>5806</v>
      </c>
      <c r="H3294" s="404">
        <v>3229</v>
      </c>
      <c r="I3294" s="402" t="s">
        <v>2</v>
      </c>
      <c r="J3294" s="406" t="s">
        <v>2102</v>
      </c>
      <c r="K3294" s="403">
        <v>41157</v>
      </c>
      <c r="L3294" s="398">
        <v>41141</v>
      </c>
      <c r="M3294" s="402">
        <f t="shared" ref="M3294" si="194">K3294-L3294</f>
        <v>16</v>
      </c>
      <c r="N3294" s="402" t="s">
        <v>2</v>
      </c>
      <c r="O3294" s="404">
        <f>5/2</f>
        <v>2.5</v>
      </c>
      <c r="P3294" s="402">
        <v>6.5</v>
      </c>
      <c r="Q3294" s="404">
        <v>6.31</v>
      </c>
      <c r="R3294" s="402">
        <f>20/2</f>
        <v>10</v>
      </c>
      <c r="S3294" s="404">
        <f>2.5/2</f>
        <v>1.25</v>
      </c>
      <c r="T3294" s="402">
        <f>0.1/2</f>
        <v>0.05</v>
      </c>
      <c r="U3294" s="395">
        <f>1/2</f>
        <v>0.5</v>
      </c>
      <c r="V3294" s="402">
        <v>0.18</v>
      </c>
      <c r="W3294" s="404">
        <v>2.8E-3</v>
      </c>
      <c r="X3294" s="402">
        <v>2.1000000000000001E-2</v>
      </c>
      <c r="Y3294" s="404">
        <v>1.1999999999999999E-3</v>
      </c>
      <c r="Z3294" s="397">
        <v>1</v>
      </c>
      <c r="AA3294" s="399">
        <v>1</v>
      </c>
      <c r="AB3294" s="394">
        <v>8</v>
      </c>
      <c r="AC3294" s="402">
        <v>30</v>
      </c>
      <c r="AD3294" s="399">
        <v>1</v>
      </c>
      <c r="AE3294" s="402"/>
      <c r="AF3294" s="391"/>
      <c r="AG3294" s="394"/>
      <c r="AH3294" s="394"/>
      <c r="AI3294" s="394"/>
      <c r="AJ3294" s="394"/>
      <c r="AK3294" s="394"/>
      <c r="AL3294" s="394"/>
      <c r="AM3294" s="394"/>
      <c r="AN3294" s="394"/>
      <c r="AO3294" s="394"/>
      <c r="AP3294" s="394"/>
      <c r="AQ3294" s="394"/>
      <c r="AR3294" s="394"/>
      <c r="AS3294" s="402"/>
      <c r="AT3294" s="404"/>
      <c r="AU3294" s="394"/>
      <c r="AV3294" s="394"/>
      <c r="AW3294" s="394"/>
      <c r="AX3294" s="5"/>
      <c r="AY3294" s="5"/>
      <c r="AZ3294" s="5"/>
      <c r="BA3294" s="5"/>
      <c r="BB3294" s="5"/>
      <c r="BC3294" s="5"/>
      <c r="BD3294" s="5"/>
      <c r="BE3294" s="5"/>
      <c r="BF3294" s="5"/>
      <c r="BG3294" s="5"/>
      <c r="BH3294" s="5"/>
      <c r="BI3294" s="5"/>
      <c r="BJ3294" s="5"/>
      <c r="BK3294" s="5"/>
      <c r="BL3294" s="5"/>
      <c r="BM3294" s="5"/>
      <c r="BN3294" s="5"/>
      <c r="BO3294" s="5"/>
      <c r="BP3294" s="5"/>
      <c r="BQ3294" s="5"/>
      <c r="BR3294" s="5"/>
      <c r="BS3294" s="5"/>
      <c r="BT3294" s="5"/>
      <c r="BU3294" s="5"/>
      <c r="BV3294" s="5"/>
      <c r="BW3294" s="5"/>
      <c r="BX3294" s="5"/>
      <c r="BY3294" s="5"/>
      <c r="BZ3294" s="5"/>
      <c r="CA3294" s="5"/>
    </row>
    <row r="3295" spans="1:79" ht="15" customHeight="1">
      <c r="A3295" s="404" t="s">
        <v>4668</v>
      </c>
      <c r="B3295" s="402" t="s">
        <v>5807</v>
      </c>
      <c r="C3295" s="113" t="s">
        <v>5807</v>
      </c>
      <c r="D3295" s="393" t="s">
        <v>756</v>
      </c>
      <c r="E3295" s="394" t="s">
        <v>2266</v>
      </c>
      <c r="G3295" s="405" t="s">
        <v>2267</v>
      </c>
      <c r="H3295" s="113">
        <v>3669</v>
      </c>
      <c r="I3295" s="50" t="s">
        <v>2</v>
      </c>
      <c r="J3295" s="48" t="s">
        <v>2268</v>
      </c>
      <c r="K3295" s="51">
        <v>41201</v>
      </c>
      <c r="L3295" s="173">
        <v>41197</v>
      </c>
      <c r="M3295" s="50">
        <f t="shared" si="191"/>
        <v>4</v>
      </c>
      <c r="N3295" s="50" t="s">
        <v>2</v>
      </c>
      <c r="O3295" s="74">
        <f>1/2</f>
        <v>0.5</v>
      </c>
      <c r="P3295" s="50">
        <v>6.7</v>
      </c>
      <c r="Q3295" s="74">
        <v>3.99</v>
      </c>
      <c r="R3295" s="50">
        <v>7.5</v>
      </c>
      <c r="S3295" s="74">
        <v>2</v>
      </c>
      <c r="T3295" s="50">
        <v>0.05</v>
      </c>
      <c r="U3295" s="131">
        <v>0.57999999999999996</v>
      </c>
      <c r="V3295" s="50">
        <f>0.1/2</f>
        <v>0.05</v>
      </c>
      <c r="W3295" s="74">
        <v>8.9999999999999993E-3</v>
      </c>
      <c r="X3295" s="50">
        <v>6.3E-2</v>
      </c>
      <c r="Y3295" s="74">
        <v>8.9999999999999993E-3</v>
      </c>
      <c r="Z3295" s="165">
        <v>1</v>
      </c>
      <c r="AA3295" s="271">
        <v>1</v>
      </c>
      <c r="AB3295" s="114">
        <v>14</v>
      </c>
      <c r="AC3295" s="50">
        <v>65</v>
      </c>
      <c r="AD3295" s="271">
        <v>1</v>
      </c>
      <c r="AE3295" s="50">
        <v>1200</v>
      </c>
    </row>
    <row r="3296" spans="1:79" ht="15" customHeight="1">
      <c r="A3296" s="41" t="s">
        <v>183</v>
      </c>
      <c r="B3296" s="402" t="s">
        <v>3207</v>
      </c>
      <c r="C3296" s="113" t="s">
        <v>3207</v>
      </c>
      <c r="D3296" s="393" t="s">
        <v>350</v>
      </c>
      <c r="E3296" s="394" t="s">
        <v>4786</v>
      </c>
      <c r="G3296" s="405" t="s">
        <v>3209</v>
      </c>
      <c r="H3296" s="74">
        <v>3629</v>
      </c>
      <c r="I3296" s="50" t="s">
        <v>2</v>
      </c>
      <c r="J3296" s="339" t="s">
        <v>890</v>
      </c>
      <c r="K3296" s="51">
        <v>41037</v>
      </c>
      <c r="L3296" s="173">
        <v>41032</v>
      </c>
      <c r="M3296" s="50">
        <f>K3296-L3296</f>
        <v>5</v>
      </c>
      <c r="N3296" s="50" t="s">
        <v>2</v>
      </c>
      <c r="O3296" s="74">
        <f>1.4/2</f>
        <v>0.7</v>
      </c>
      <c r="P3296" s="50">
        <v>7.15</v>
      </c>
      <c r="Q3296" s="74">
        <v>6.02</v>
      </c>
      <c r="R3296" s="50">
        <v>48</v>
      </c>
      <c r="S3296" s="74">
        <v>50</v>
      </c>
      <c r="T3296" s="50">
        <v>0.19</v>
      </c>
      <c r="U3296" s="131">
        <v>1.53</v>
      </c>
      <c r="V3296" s="50">
        <v>0.48</v>
      </c>
      <c r="W3296" s="74">
        <v>1.6E-2</v>
      </c>
      <c r="X3296" s="50">
        <v>0.18</v>
      </c>
      <c r="Y3296" s="74">
        <v>0.01</v>
      </c>
      <c r="Z3296" s="165"/>
    </row>
    <row r="3297" spans="1:79" ht="15" customHeight="1">
      <c r="A3297" s="41" t="s">
        <v>183</v>
      </c>
      <c r="B3297" s="402" t="s">
        <v>3207</v>
      </c>
      <c r="C3297" s="113" t="s">
        <v>3207</v>
      </c>
      <c r="D3297" s="393" t="s">
        <v>350</v>
      </c>
      <c r="E3297" s="394" t="s">
        <v>3208</v>
      </c>
      <c r="G3297" s="405" t="s">
        <v>3209</v>
      </c>
      <c r="H3297" s="113">
        <v>3629</v>
      </c>
      <c r="I3297" s="49" t="s">
        <v>2</v>
      </c>
      <c r="J3297" s="48" t="s">
        <v>510</v>
      </c>
      <c r="K3297" s="51">
        <v>41037</v>
      </c>
      <c r="L3297" s="173">
        <v>41032</v>
      </c>
      <c r="M3297" s="50">
        <f>K3297-L3297</f>
        <v>5</v>
      </c>
      <c r="N3297" s="50" t="s">
        <v>2</v>
      </c>
      <c r="O3297" s="74">
        <f>1.4/2</f>
        <v>0.7</v>
      </c>
      <c r="P3297" s="50">
        <v>7.15</v>
      </c>
      <c r="Q3297" s="74">
        <v>6.34</v>
      </c>
      <c r="R3297" s="50">
        <v>25</v>
      </c>
      <c r="S3297" s="74">
        <f>5/2</f>
        <v>2.5</v>
      </c>
      <c r="T3297" s="50">
        <v>0.02</v>
      </c>
      <c r="U3297" s="131">
        <v>0.66</v>
      </c>
      <c r="V3297" s="50">
        <v>0.79</v>
      </c>
      <c r="W3297" s="74">
        <v>6.0000000000000001E-3</v>
      </c>
      <c r="X3297" s="50">
        <v>4.8000000000000001E-2</v>
      </c>
      <c r="Y3297" s="74">
        <f>0.002/2</f>
        <v>1E-3</v>
      </c>
      <c r="Z3297" s="165"/>
    </row>
    <row r="3298" spans="1:79" ht="15" customHeight="1">
      <c r="A3298" s="41" t="s">
        <v>183</v>
      </c>
      <c r="B3298" s="402" t="s">
        <v>3207</v>
      </c>
      <c r="C3298" s="113" t="s">
        <v>3207</v>
      </c>
      <c r="D3298" s="393" t="s">
        <v>350</v>
      </c>
      <c r="E3298" s="394" t="s">
        <v>4786</v>
      </c>
      <c r="G3298" s="405" t="s">
        <v>3209</v>
      </c>
      <c r="H3298" s="74">
        <v>3629</v>
      </c>
      <c r="I3298" s="50" t="s">
        <v>2</v>
      </c>
      <c r="J3298" s="76" t="s">
        <v>357</v>
      </c>
      <c r="K3298" s="51">
        <v>41037</v>
      </c>
      <c r="L3298" s="173">
        <v>41032</v>
      </c>
      <c r="M3298" s="50">
        <f>K3298-L3298</f>
        <v>5</v>
      </c>
      <c r="N3298" s="50" t="s">
        <v>2</v>
      </c>
      <c r="O3298" s="74">
        <f>1.4/2</f>
        <v>0.7</v>
      </c>
      <c r="P3298" s="50">
        <v>7.15</v>
      </c>
      <c r="Q3298" s="74">
        <v>5.34</v>
      </c>
      <c r="R3298" s="50">
        <v>69</v>
      </c>
      <c r="S3298" s="74">
        <v>25</v>
      </c>
      <c r="T3298" s="50">
        <v>0.18</v>
      </c>
      <c r="U3298" s="131">
        <v>2.96</v>
      </c>
      <c r="V3298" s="50">
        <v>1.63</v>
      </c>
      <c r="W3298" s="74">
        <v>2.1999999999999999E-2</v>
      </c>
      <c r="X3298" s="50">
        <v>0.108</v>
      </c>
      <c r="Y3298" s="74">
        <v>1.2E-2</v>
      </c>
      <c r="Z3298" s="165"/>
    </row>
    <row r="3299" spans="1:79" s="400" customFormat="1" ht="15" customHeight="1">
      <c r="A3299" s="41" t="s">
        <v>183</v>
      </c>
      <c r="B3299" s="386" t="s">
        <v>854</v>
      </c>
      <c r="C3299" s="149" t="s">
        <v>854</v>
      </c>
      <c r="D3299" s="392" t="s">
        <v>262</v>
      </c>
      <c r="E3299" s="258" t="s">
        <v>851</v>
      </c>
      <c r="F3299" s="402"/>
      <c r="G3299" s="405" t="s">
        <v>855</v>
      </c>
      <c r="H3299" s="404">
        <v>5171</v>
      </c>
      <c r="I3299" s="402"/>
      <c r="J3299" s="406" t="s">
        <v>856</v>
      </c>
      <c r="K3299" s="403">
        <v>41170</v>
      </c>
      <c r="L3299" s="398">
        <v>41160</v>
      </c>
      <c r="M3299" s="402">
        <f t="shared" ref="M3299:M3313" si="195">K3299-L3299</f>
        <v>10</v>
      </c>
      <c r="N3299" s="402" t="s">
        <v>2</v>
      </c>
      <c r="O3299" s="404">
        <v>6.1</v>
      </c>
      <c r="P3299" s="402">
        <v>5.72</v>
      </c>
      <c r="Q3299" s="404">
        <v>6.88</v>
      </c>
      <c r="R3299" s="402">
        <v>86</v>
      </c>
      <c r="S3299" s="404">
        <v>183</v>
      </c>
      <c r="T3299" s="402">
        <v>0.39</v>
      </c>
      <c r="U3299" s="395">
        <v>3.88</v>
      </c>
      <c r="V3299" s="402">
        <f>0.2/2</f>
        <v>0.1</v>
      </c>
      <c r="W3299" s="404">
        <v>0.05</v>
      </c>
      <c r="X3299" s="402">
        <v>0.75</v>
      </c>
      <c r="Y3299" s="404">
        <v>0.04</v>
      </c>
      <c r="Z3299" s="397"/>
      <c r="AA3299" s="399"/>
      <c r="AB3299" s="394"/>
      <c r="AC3299" s="402"/>
      <c r="AD3299" s="399"/>
      <c r="AE3299" s="402"/>
      <c r="AF3299" s="391"/>
      <c r="AG3299" s="394"/>
      <c r="AH3299" s="394"/>
      <c r="AI3299" s="394"/>
      <c r="AJ3299" s="394"/>
      <c r="AK3299" s="394"/>
      <c r="AL3299" s="394"/>
      <c r="AM3299" s="394"/>
      <c r="AN3299" s="394"/>
      <c r="AO3299" s="394"/>
      <c r="AP3299" s="394"/>
      <c r="AQ3299" s="394"/>
      <c r="AR3299" s="394"/>
      <c r="AS3299" s="402"/>
      <c r="AT3299" s="404"/>
      <c r="AU3299" s="394"/>
      <c r="AV3299" s="394"/>
      <c r="AW3299" s="394"/>
      <c r="AX3299" s="5"/>
      <c r="AY3299" s="5"/>
      <c r="AZ3299" s="5"/>
      <c r="BA3299" s="5"/>
      <c r="BB3299" s="5"/>
      <c r="BC3299" s="5"/>
      <c r="BD3299" s="5"/>
      <c r="BE3299" s="5"/>
      <c r="BF3299" s="5"/>
      <c r="BG3299" s="5"/>
      <c r="BH3299" s="5"/>
      <c r="BI3299" s="5"/>
      <c r="BJ3299" s="5"/>
      <c r="BK3299" s="5"/>
      <c r="BL3299" s="5"/>
      <c r="BM3299" s="5"/>
      <c r="BN3299" s="5"/>
      <c r="BO3299" s="5"/>
      <c r="BP3299" s="5"/>
      <c r="BQ3299" s="5"/>
      <c r="BR3299" s="5"/>
      <c r="BS3299" s="5"/>
      <c r="BT3299" s="5"/>
      <c r="BU3299" s="5"/>
      <c r="BV3299" s="5"/>
      <c r="BW3299" s="5"/>
      <c r="BX3299" s="5"/>
      <c r="BY3299" s="5"/>
      <c r="BZ3299" s="5"/>
      <c r="CA3299" s="5"/>
    </row>
    <row r="3300" spans="1:79" s="400" customFormat="1" ht="15" customHeight="1">
      <c r="A3300" s="41" t="s">
        <v>183</v>
      </c>
      <c r="B3300" s="386" t="s">
        <v>155</v>
      </c>
      <c r="C3300" s="149" t="s">
        <v>155</v>
      </c>
      <c r="D3300" s="392" t="s">
        <v>156</v>
      </c>
      <c r="E3300" s="258" t="s">
        <v>157</v>
      </c>
      <c r="F3300" s="386"/>
      <c r="G3300" s="405" t="s">
        <v>158</v>
      </c>
      <c r="H3300" s="387">
        <v>3429</v>
      </c>
      <c r="I3300" s="386" t="s">
        <v>1</v>
      </c>
      <c r="J3300" s="392" t="s">
        <v>162</v>
      </c>
      <c r="K3300" s="403">
        <v>41030</v>
      </c>
      <c r="L3300" s="398">
        <v>41022</v>
      </c>
      <c r="M3300" s="402">
        <f t="shared" si="195"/>
        <v>8</v>
      </c>
      <c r="N3300" s="402" t="s">
        <v>2</v>
      </c>
      <c r="O3300" s="404">
        <f>5/2</f>
        <v>2.5</v>
      </c>
      <c r="P3300" s="402">
        <v>4.9000000000000004</v>
      </c>
      <c r="Q3300" s="404">
        <v>7.2</v>
      </c>
      <c r="R3300" s="402">
        <v>16</v>
      </c>
      <c r="S3300" s="404">
        <v>15</v>
      </c>
      <c r="T3300" s="402">
        <f>0.1/2</f>
        <v>0.05</v>
      </c>
      <c r="U3300" s="395">
        <f>1/2</f>
        <v>0.5</v>
      </c>
      <c r="V3300" s="402">
        <v>0.92</v>
      </c>
      <c r="W3300" s="404">
        <f>0.04/2</f>
        <v>0.02</v>
      </c>
      <c r="X3300" s="402">
        <v>2.7E-2</v>
      </c>
      <c r="Y3300" s="404">
        <f>0.013/2</f>
        <v>6.4999999999999997E-3</v>
      </c>
      <c r="Z3300" s="397">
        <v>1</v>
      </c>
      <c r="AA3300" s="399">
        <v>1</v>
      </c>
      <c r="AB3300" s="394">
        <v>230</v>
      </c>
      <c r="AC3300" s="402">
        <v>502</v>
      </c>
      <c r="AD3300" s="399">
        <v>1</v>
      </c>
      <c r="AE3300" s="402">
        <f>1/2</f>
        <v>0.5</v>
      </c>
      <c r="AF3300" s="391"/>
      <c r="AG3300" s="394"/>
      <c r="AH3300" s="394"/>
      <c r="AI3300" s="394"/>
      <c r="AJ3300" s="394"/>
      <c r="AK3300" s="394"/>
      <c r="AL3300" s="394"/>
      <c r="AM3300" s="394"/>
      <c r="AN3300" s="394"/>
      <c r="AO3300" s="394"/>
      <c r="AP3300" s="394"/>
      <c r="AQ3300" s="394"/>
      <c r="AR3300" s="394"/>
      <c r="AS3300" s="402"/>
      <c r="AT3300" s="404"/>
      <c r="AU3300" s="394"/>
      <c r="AV3300" s="394"/>
      <c r="AW3300" s="394"/>
      <c r="AX3300" s="5"/>
      <c r="AY3300" s="5"/>
      <c r="AZ3300" s="5"/>
      <c r="BA3300" s="5"/>
      <c r="BB3300" s="5"/>
      <c r="BC3300" s="5"/>
      <c r="BD3300" s="5"/>
      <c r="BE3300" s="5"/>
      <c r="BF3300" s="5"/>
      <c r="BG3300" s="5"/>
      <c r="BH3300" s="5"/>
      <c r="BI3300" s="5"/>
      <c r="BJ3300" s="5"/>
      <c r="BK3300" s="5"/>
      <c r="BL3300" s="5"/>
      <c r="BM3300" s="5"/>
      <c r="BN3300" s="5"/>
      <c r="BO3300" s="5"/>
      <c r="BP3300" s="5"/>
      <c r="BQ3300" s="5"/>
      <c r="BR3300" s="5"/>
      <c r="BS3300" s="5"/>
      <c r="BT3300" s="5"/>
      <c r="BU3300" s="5"/>
      <c r="BV3300" s="5"/>
      <c r="BW3300" s="5"/>
      <c r="BX3300" s="5"/>
      <c r="BY3300" s="5"/>
      <c r="BZ3300" s="5"/>
      <c r="CA3300" s="5"/>
    </row>
    <row r="3301" spans="1:79" s="400" customFormat="1" ht="15" customHeight="1">
      <c r="A3301" s="41" t="s">
        <v>183</v>
      </c>
      <c r="B3301" s="386" t="s">
        <v>155</v>
      </c>
      <c r="C3301" s="149" t="s">
        <v>155</v>
      </c>
      <c r="D3301" s="392" t="s">
        <v>156</v>
      </c>
      <c r="E3301" s="258" t="s">
        <v>157</v>
      </c>
      <c r="F3301" s="386"/>
      <c r="G3301" s="405" t="s">
        <v>158</v>
      </c>
      <c r="H3301" s="387">
        <v>3429</v>
      </c>
      <c r="I3301" s="386" t="s">
        <v>1</v>
      </c>
      <c r="J3301" s="392" t="s">
        <v>160</v>
      </c>
      <c r="K3301" s="403">
        <v>41030</v>
      </c>
      <c r="L3301" s="398">
        <v>41022</v>
      </c>
      <c r="M3301" s="402">
        <f t="shared" si="195"/>
        <v>8</v>
      </c>
      <c r="N3301" s="402" t="s">
        <v>2</v>
      </c>
      <c r="O3301" s="404">
        <f>5/2</f>
        <v>2.5</v>
      </c>
      <c r="P3301" s="402">
        <v>4.9000000000000004</v>
      </c>
      <c r="Q3301" s="404">
        <v>7.1</v>
      </c>
      <c r="R3301" s="402">
        <v>13</v>
      </c>
      <c r="S3301" s="404">
        <v>10</v>
      </c>
      <c r="T3301" s="402">
        <f>0.1/2</f>
        <v>0.05</v>
      </c>
      <c r="U3301" s="395">
        <f>1/2</f>
        <v>0.5</v>
      </c>
      <c r="V3301" s="402">
        <v>0.94</v>
      </c>
      <c r="W3301" s="404">
        <f>0.04/2</f>
        <v>0.02</v>
      </c>
      <c r="X3301" s="402">
        <f>0.01/2</f>
        <v>5.0000000000000001E-3</v>
      </c>
      <c r="Y3301" s="404">
        <f>0.013/2</f>
        <v>6.4999999999999997E-3</v>
      </c>
      <c r="Z3301" s="397">
        <v>1</v>
      </c>
      <c r="AA3301" s="399">
        <v>1</v>
      </c>
      <c r="AB3301" s="394">
        <v>230</v>
      </c>
      <c r="AC3301" s="402">
        <v>509</v>
      </c>
      <c r="AD3301" s="399">
        <v>1</v>
      </c>
      <c r="AE3301" s="402">
        <f>1/2</f>
        <v>0.5</v>
      </c>
      <c r="AF3301" s="391"/>
      <c r="AG3301" s="394"/>
      <c r="AH3301" s="394"/>
      <c r="AI3301" s="394"/>
      <c r="AJ3301" s="394"/>
      <c r="AK3301" s="394"/>
      <c r="AL3301" s="394"/>
      <c r="AM3301" s="394"/>
      <c r="AN3301" s="394"/>
      <c r="AO3301" s="394"/>
      <c r="AP3301" s="394"/>
      <c r="AQ3301" s="394"/>
      <c r="AR3301" s="394"/>
      <c r="AS3301" s="402"/>
      <c r="AT3301" s="404"/>
      <c r="AU3301" s="394"/>
      <c r="AV3301" s="394"/>
      <c r="AW3301" s="394"/>
      <c r="AX3301" s="5"/>
      <c r="AY3301" s="5"/>
      <c r="AZ3301" s="5"/>
      <c r="BA3301" s="5"/>
      <c r="BB3301" s="5"/>
      <c r="BC3301" s="5"/>
      <c r="BD3301" s="5"/>
      <c r="BE3301" s="5"/>
      <c r="BF3301" s="5"/>
      <c r="BG3301" s="5"/>
      <c r="BH3301" s="5"/>
      <c r="BI3301" s="5"/>
      <c r="BJ3301" s="5"/>
      <c r="BK3301" s="5"/>
      <c r="BL3301" s="5"/>
      <c r="BM3301" s="5"/>
      <c r="BN3301" s="5"/>
      <c r="BO3301" s="5"/>
      <c r="BP3301" s="5"/>
      <c r="BQ3301" s="5"/>
      <c r="BR3301" s="5"/>
      <c r="BS3301" s="5"/>
      <c r="BT3301" s="5"/>
      <c r="BU3301" s="5"/>
      <c r="BV3301" s="5"/>
      <c r="BW3301" s="5"/>
      <c r="BX3301" s="5"/>
      <c r="BY3301" s="5"/>
      <c r="BZ3301" s="5"/>
      <c r="CA3301" s="5"/>
    </row>
    <row r="3302" spans="1:79" s="400" customFormat="1" ht="15" customHeight="1">
      <c r="A3302" s="41" t="s">
        <v>183</v>
      </c>
      <c r="B3302" s="386" t="s">
        <v>155</v>
      </c>
      <c r="C3302" s="149" t="s">
        <v>155</v>
      </c>
      <c r="D3302" s="392" t="s">
        <v>156</v>
      </c>
      <c r="E3302" s="258" t="s">
        <v>157</v>
      </c>
      <c r="F3302" s="386"/>
      <c r="G3302" s="405" t="s">
        <v>158</v>
      </c>
      <c r="H3302" s="387">
        <v>3429</v>
      </c>
      <c r="I3302" s="386" t="s">
        <v>1</v>
      </c>
      <c r="J3302" s="392" t="s">
        <v>161</v>
      </c>
      <c r="K3302" s="403">
        <v>41030</v>
      </c>
      <c r="L3302" s="398">
        <v>41022</v>
      </c>
      <c r="M3302" s="402">
        <f t="shared" si="195"/>
        <v>8</v>
      </c>
      <c r="N3302" s="402" t="s">
        <v>2</v>
      </c>
      <c r="O3302" s="404">
        <f>5/2</f>
        <v>2.5</v>
      </c>
      <c r="P3302" s="402">
        <v>4.9000000000000004</v>
      </c>
      <c r="Q3302" s="404">
        <v>6.4</v>
      </c>
      <c r="R3302" s="402">
        <v>49</v>
      </c>
      <c r="S3302" s="404">
        <v>55</v>
      </c>
      <c r="T3302" s="402">
        <v>0.46</v>
      </c>
      <c r="U3302" s="395">
        <f>1/2</f>
        <v>0.5</v>
      </c>
      <c r="V3302" s="402">
        <v>1</v>
      </c>
      <c r="W3302" s="404">
        <v>0.28000000000000003</v>
      </c>
      <c r="X3302" s="402">
        <v>0.11</v>
      </c>
      <c r="Y3302" s="404">
        <f>0.013/2</f>
        <v>6.4999999999999997E-3</v>
      </c>
      <c r="Z3302" s="397">
        <v>1</v>
      </c>
      <c r="AA3302" s="399">
        <v>1</v>
      </c>
      <c r="AB3302" s="394">
        <v>820</v>
      </c>
      <c r="AC3302" s="402">
        <v>2100</v>
      </c>
      <c r="AD3302" s="399">
        <v>1</v>
      </c>
      <c r="AE3302" s="402">
        <f>1/2</f>
        <v>0.5</v>
      </c>
      <c r="AF3302" s="391"/>
      <c r="AG3302" s="394"/>
      <c r="AH3302" s="394"/>
      <c r="AI3302" s="394"/>
      <c r="AJ3302" s="394"/>
      <c r="AK3302" s="394"/>
      <c r="AL3302" s="394"/>
      <c r="AM3302" s="394"/>
      <c r="AN3302" s="394"/>
      <c r="AO3302" s="394"/>
      <c r="AP3302" s="394"/>
      <c r="AQ3302" s="394"/>
      <c r="AR3302" s="394"/>
      <c r="AS3302" s="402"/>
      <c r="AT3302" s="404"/>
      <c r="AU3302" s="394"/>
      <c r="AV3302" s="394"/>
      <c r="AW3302" s="394"/>
      <c r="AX3302" s="5"/>
      <c r="AY3302" s="5"/>
      <c r="AZ3302" s="5"/>
      <c r="BA3302" s="5"/>
      <c r="BB3302" s="5"/>
      <c r="BC3302" s="5"/>
      <c r="BD3302" s="5"/>
      <c r="BE3302" s="5"/>
      <c r="BF3302" s="5"/>
      <c r="BG3302" s="5"/>
      <c r="BH3302" s="5"/>
      <c r="BI3302" s="5"/>
      <c r="BJ3302" s="5"/>
      <c r="BK3302" s="5"/>
      <c r="BL3302" s="5"/>
      <c r="BM3302" s="5"/>
      <c r="BN3302" s="5"/>
      <c r="BO3302" s="5"/>
      <c r="BP3302" s="5"/>
      <c r="BQ3302" s="5"/>
      <c r="BR3302" s="5"/>
      <c r="BS3302" s="5"/>
      <c r="BT3302" s="5"/>
      <c r="BU3302" s="5"/>
      <c r="BV3302" s="5"/>
      <c r="BW3302" s="5"/>
      <c r="BX3302" s="5"/>
      <c r="BY3302" s="5"/>
      <c r="BZ3302" s="5"/>
      <c r="CA3302" s="5"/>
    </row>
    <row r="3303" spans="1:79" s="400" customFormat="1" ht="15" customHeight="1">
      <c r="A3303" s="41" t="s">
        <v>183</v>
      </c>
      <c r="B3303" s="386" t="s">
        <v>155</v>
      </c>
      <c r="C3303" s="149" t="s">
        <v>155</v>
      </c>
      <c r="D3303" s="392" t="s">
        <v>156</v>
      </c>
      <c r="E3303" s="258" t="s">
        <v>157</v>
      </c>
      <c r="F3303" s="386"/>
      <c r="G3303" s="405" t="s">
        <v>158</v>
      </c>
      <c r="H3303" s="387">
        <v>3429</v>
      </c>
      <c r="I3303" s="386" t="s">
        <v>1</v>
      </c>
      <c r="J3303" s="392" t="s">
        <v>162</v>
      </c>
      <c r="K3303" s="403">
        <v>41030</v>
      </c>
      <c r="L3303" s="398">
        <v>41022</v>
      </c>
      <c r="M3303" s="402">
        <f t="shared" si="195"/>
        <v>8</v>
      </c>
      <c r="N3303" s="402" t="s">
        <v>2</v>
      </c>
      <c r="O3303" s="404">
        <f>5/2</f>
        <v>2.5</v>
      </c>
      <c r="P3303" s="402">
        <v>4.9000000000000004</v>
      </c>
      <c r="Q3303" s="404">
        <v>6.7</v>
      </c>
      <c r="R3303" s="402">
        <v>33</v>
      </c>
      <c r="S3303" s="404">
        <v>24</v>
      </c>
      <c r="T3303" s="402">
        <f>0.1/2</f>
        <v>0.05</v>
      </c>
      <c r="U3303" s="395">
        <f>1/2</f>
        <v>0.5</v>
      </c>
      <c r="V3303" s="402">
        <v>3</v>
      </c>
      <c r="W3303" s="404">
        <v>9.4E-2</v>
      </c>
      <c r="X3303" s="402">
        <v>5.5E-2</v>
      </c>
      <c r="Y3303" s="404">
        <v>2.4E-2</v>
      </c>
      <c r="Z3303" s="397">
        <v>1</v>
      </c>
      <c r="AA3303" s="399">
        <v>1</v>
      </c>
      <c r="AB3303" s="394">
        <v>190</v>
      </c>
      <c r="AC3303" s="402">
        <v>526</v>
      </c>
      <c r="AD3303" s="399">
        <v>1</v>
      </c>
      <c r="AE3303" s="402">
        <f>1/2</f>
        <v>0.5</v>
      </c>
      <c r="AF3303" s="391"/>
      <c r="AG3303" s="394"/>
      <c r="AH3303" s="394"/>
      <c r="AI3303" s="394"/>
      <c r="AJ3303" s="394"/>
      <c r="AK3303" s="394"/>
      <c r="AL3303" s="394"/>
      <c r="AM3303" s="394"/>
      <c r="AN3303" s="394"/>
      <c r="AO3303" s="394"/>
      <c r="AP3303" s="394"/>
      <c r="AQ3303" s="394"/>
      <c r="AR3303" s="394"/>
      <c r="AS3303" s="402"/>
      <c r="AT3303" s="404"/>
      <c r="AU3303" s="394"/>
      <c r="AV3303" s="394"/>
      <c r="AW3303" s="394"/>
      <c r="AX3303" s="5"/>
      <c r="AY3303" s="5"/>
      <c r="AZ3303" s="5"/>
      <c r="BA3303" s="5"/>
      <c r="BB3303" s="5"/>
      <c r="BC3303" s="5"/>
      <c r="BD3303" s="5"/>
      <c r="BE3303" s="5"/>
      <c r="BF3303" s="5"/>
      <c r="BG3303" s="5"/>
      <c r="BH3303" s="5"/>
      <c r="BI3303" s="5"/>
      <c r="BJ3303" s="5"/>
      <c r="BK3303" s="5"/>
      <c r="BL3303" s="5"/>
      <c r="BM3303" s="5"/>
      <c r="BN3303" s="5"/>
      <c r="BO3303" s="5"/>
      <c r="BP3303" s="5"/>
      <c r="BQ3303" s="5"/>
      <c r="BR3303" s="5"/>
      <c r="BS3303" s="5"/>
      <c r="BT3303" s="5"/>
      <c r="BU3303" s="5"/>
      <c r="BV3303" s="5"/>
      <c r="BW3303" s="5"/>
      <c r="BX3303" s="5"/>
      <c r="BY3303" s="5"/>
      <c r="BZ3303" s="5"/>
      <c r="CA3303" s="5"/>
    </row>
    <row r="3304" spans="1:79" s="400" customFormat="1" ht="15" customHeight="1">
      <c r="A3304" s="41" t="s">
        <v>183</v>
      </c>
      <c r="B3304" s="386" t="s">
        <v>307</v>
      </c>
      <c r="C3304" s="149" t="s">
        <v>307</v>
      </c>
      <c r="D3304" s="392" t="s">
        <v>308</v>
      </c>
      <c r="E3304" s="258" t="s">
        <v>309</v>
      </c>
      <c r="F3304" s="402"/>
      <c r="G3304" s="405" t="s">
        <v>310</v>
      </c>
      <c r="H3304" s="404">
        <v>3269</v>
      </c>
      <c r="I3304" s="402" t="s">
        <v>2</v>
      </c>
      <c r="J3304" s="392" t="s">
        <v>312</v>
      </c>
      <c r="K3304" s="403">
        <v>41072</v>
      </c>
      <c r="L3304" s="398">
        <v>41064</v>
      </c>
      <c r="M3304" s="402">
        <f t="shared" si="195"/>
        <v>8</v>
      </c>
      <c r="N3304" s="402" t="s">
        <v>2</v>
      </c>
      <c r="O3304" s="404">
        <f>1.4/2</f>
        <v>0.7</v>
      </c>
      <c r="P3304" s="402">
        <v>4.3</v>
      </c>
      <c r="Q3304" s="404">
        <v>6.73</v>
      </c>
      <c r="R3304" s="402">
        <v>22</v>
      </c>
      <c r="S3304" s="404">
        <v>20</v>
      </c>
      <c r="T3304" s="402">
        <v>0.01</v>
      </c>
      <c r="U3304" s="395">
        <v>0.51</v>
      </c>
      <c r="V3304" s="402">
        <f>0.01/2</f>
        <v>5.0000000000000001E-3</v>
      </c>
      <c r="W3304" s="404">
        <f>0.001/2</f>
        <v>5.0000000000000001E-4</v>
      </c>
      <c r="X3304" s="402">
        <v>1.4999999999999999E-2</v>
      </c>
      <c r="Y3304" s="404">
        <f>0.005/2</f>
        <v>2.5000000000000001E-3</v>
      </c>
      <c r="Z3304" s="397"/>
      <c r="AA3304" s="399"/>
      <c r="AB3304" s="394"/>
      <c r="AC3304" s="402"/>
      <c r="AD3304" s="399"/>
      <c r="AE3304" s="402"/>
      <c r="AF3304" s="391"/>
      <c r="AG3304" s="394"/>
      <c r="AH3304" s="394"/>
      <c r="AI3304" s="394"/>
      <c r="AJ3304" s="394"/>
      <c r="AK3304" s="394"/>
      <c r="AL3304" s="394"/>
      <c r="AM3304" s="394"/>
      <c r="AN3304" s="394"/>
      <c r="AO3304" s="394"/>
      <c r="AP3304" s="394"/>
      <c r="AQ3304" s="394"/>
      <c r="AR3304" s="394"/>
      <c r="AS3304" s="402"/>
      <c r="AT3304" s="404"/>
      <c r="AU3304" s="394"/>
      <c r="AV3304" s="394"/>
      <c r="AW3304" s="394"/>
      <c r="AX3304" s="5"/>
      <c r="AY3304" s="5"/>
      <c r="AZ3304" s="5"/>
      <c r="BA3304" s="5"/>
      <c r="BB3304" s="5"/>
      <c r="BC3304" s="5"/>
      <c r="BD3304" s="5"/>
      <c r="BE3304" s="5"/>
      <c r="BF3304" s="5"/>
      <c r="BG3304" s="5"/>
      <c r="BH3304" s="5"/>
      <c r="BI3304" s="5"/>
      <c r="BJ3304" s="5"/>
      <c r="BK3304" s="5"/>
      <c r="BL3304" s="5"/>
      <c r="BM3304" s="5"/>
      <c r="BN3304" s="5"/>
      <c r="BO3304" s="5"/>
      <c r="BP3304" s="5"/>
      <c r="BQ3304" s="5"/>
      <c r="BR3304" s="5"/>
      <c r="BS3304" s="5"/>
      <c r="BT3304" s="5"/>
      <c r="BU3304" s="5"/>
      <c r="BV3304" s="5"/>
      <c r="BW3304" s="5"/>
      <c r="BX3304" s="5"/>
      <c r="BY3304" s="5"/>
      <c r="BZ3304" s="5"/>
      <c r="CA3304" s="5"/>
    </row>
    <row r="3305" spans="1:79" s="400" customFormat="1" ht="15" customHeight="1">
      <c r="A3305" s="41" t="s">
        <v>183</v>
      </c>
      <c r="B3305" s="386" t="s">
        <v>307</v>
      </c>
      <c r="C3305" s="149" t="s">
        <v>307</v>
      </c>
      <c r="D3305" s="392" t="s">
        <v>308</v>
      </c>
      <c r="E3305" s="258" t="s">
        <v>309</v>
      </c>
      <c r="F3305" s="402"/>
      <c r="G3305" s="405" t="s">
        <v>310</v>
      </c>
      <c r="H3305" s="404">
        <v>3269</v>
      </c>
      <c r="I3305" s="402" t="s">
        <v>2</v>
      </c>
      <c r="J3305" s="392" t="s">
        <v>311</v>
      </c>
      <c r="K3305" s="403">
        <v>41072</v>
      </c>
      <c r="L3305" s="398">
        <v>41064</v>
      </c>
      <c r="M3305" s="402">
        <f t="shared" si="195"/>
        <v>8</v>
      </c>
      <c r="N3305" s="402" t="s">
        <v>2</v>
      </c>
      <c r="O3305" s="404">
        <f>1.4/2</f>
        <v>0.7</v>
      </c>
      <c r="P3305" s="402">
        <v>4.3</v>
      </c>
      <c r="Q3305" s="404">
        <v>7.25</v>
      </c>
      <c r="R3305" s="402">
        <v>29</v>
      </c>
      <c r="S3305" s="404">
        <f>5/2</f>
        <v>2.5</v>
      </c>
      <c r="T3305" s="402">
        <v>0.09</v>
      </c>
      <c r="U3305" s="395">
        <v>0.98</v>
      </c>
      <c r="V3305" s="402">
        <v>0.03</v>
      </c>
      <c r="W3305" s="404">
        <v>2E-3</v>
      </c>
      <c r="X3305" s="402">
        <v>1.0999999999999999E-2</v>
      </c>
      <c r="Y3305" s="404">
        <v>8.0000000000000002E-3</v>
      </c>
      <c r="Z3305" s="397"/>
      <c r="AA3305" s="399"/>
      <c r="AB3305" s="394"/>
      <c r="AC3305" s="402"/>
      <c r="AD3305" s="399"/>
      <c r="AE3305" s="402"/>
      <c r="AF3305" s="391"/>
      <c r="AG3305" s="394"/>
      <c r="AH3305" s="394"/>
      <c r="AI3305" s="394"/>
      <c r="AJ3305" s="394"/>
      <c r="AK3305" s="394"/>
      <c r="AL3305" s="394"/>
      <c r="AM3305" s="394"/>
      <c r="AN3305" s="394"/>
      <c r="AO3305" s="394"/>
      <c r="AP3305" s="394"/>
      <c r="AQ3305" s="394"/>
      <c r="AR3305" s="394"/>
      <c r="AS3305" s="402"/>
      <c r="AT3305" s="404"/>
      <c r="AU3305" s="394"/>
      <c r="AV3305" s="394"/>
      <c r="AW3305" s="394"/>
      <c r="AX3305" s="5"/>
      <c r="AY3305" s="5"/>
      <c r="AZ3305" s="5"/>
      <c r="BA3305" s="5"/>
      <c r="BB3305" s="5"/>
      <c r="BC3305" s="5"/>
      <c r="BD3305" s="5"/>
      <c r="BE3305" s="5"/>
      <c r="BF3305" s="5"/>
      <c r="BG3305" s="5"/>
      <c r="BH3305" s="5"/>
      <c r="BI3305" s="5"/>
      <c r="BJ3305" s="5"/>
      <c r="BK3305" s="5"/>
      <c r="BL3305" s="5"/>
      <c r="BM3305" s="5"/>
      <c r="BN3305" s="5"/>
      <c r="BO3305" s="5"/>
      <c r="BP3305" s="5"/>
      <c r="BQ3305" s="5"/>
      <c r="BR3305" s="5"/>
      <c r="BS3305" s="5"/>
      <c r="BT3305" s="5"/>
      <c r="BU3305" s="5"/>
      <c r="BV3305" s="5"/>
      <c r="BW3305" s="5"/>
      <c r="BX3305" s="5"/>
      <c r="BY3305" s="5"/>
      <c r="BZ3305" s="5"/>
      <c r="CA3305" s="5"/>
    </row>
    <row r="3306" spans="1:79" s="400" customFormat="1" ht="15" customHeight="1">
      <c r="A3306" s="404" t="s">
        <v>183</v>
      </c>
      <c r="B3306" s="385" t="s">
        <v>4198</v>
      </c>
      <c r="C3306" s="18" t="s">
        <v>4203</v>
      </c>
      <c r="D3306" s="377" t="s">
        <v>56</v>
      </c>
      <c r="E3306" s="20" t="s">
        <v>4204</v>
      </c>
      <c r="F3306" s="402"/>
      <c r="G3306" s="405" t="s">
        <v>4205</v>
      </c>
      <c r="H3306" s="404">
        <v>4011</v>
      </c>
      <c r="I3306" s="402" t="s">
        <v>2</v>
      </c>
      <c r="J3306" s="344" t="s">
        <v>4206</v>
      </c>
      <c r="K3306" s="403">
        <v>41021</v>
      </c>
      <c r="L3306" s="398">
        <v>41011</v>
      </c>
      <c r="M3306" s="402">
        <f t="shared" si="195"/>
        <v>10</v>
      </c>
      <c r="N3306" s="402" t="s">
        <v>2</v>
      </c>
      <c r="O3306" s="404">
        <f>4.4/2</f>
        <v>2.2000000000000002</v>
      </c>
      <c r="P3306" s="402">
        <v>6.32</v>
      </c>
      <c r="Q3306" s="404">
        <v>6.7</v>
      </c>
      <c r="R3306" s="402">
        <f>20/2</f>
        <v>10</v>
      </c>
      <c r="S3306" s="404">
        <f>5/2</f>
        <v>2.5</v>
      </c>
      <c r="T3306" s="402">
        <v>1.6E-2</v>
      </c>
      <c r="U3306" s="395">
        <v>1</v>
      </c>
      <c r="V3306" s="402">
        <v>0.25</v>
      </c>
      <c r="W3306" s="404">
        <f>0.01/2</f>
        <v>5.0000000000000001E-3</v>
      </c>
      <c r="X3306" s="402">
        <v>0.628</v>
      </c>
      <c r="Y3306" s="404">
        <f>0.01/2</f>
        <v>5.0000000000000001E-3</v>
      </c>
      <c r="Z3306" s="397">
        <v>1</v>
      </c>
      <c r="AA3306" s="399">
        <v>0.76</v>
      </c>
      <c r="AB3306" s="394">
        <v>20</v>
      </c>
      <c r="AC3306" s="402">
        <v>518</v>
      </c>
      <c r="AD3306" s="399">
        <v>0.2</v>
      </c>
      <c r="AE3306" s="402"/>
      <c r="AF3306" s="391"/>
      <c r="AG3306" s="394"/>
      <c r="AH3306" s="394"/>
      <c r="AI3306" s="394"/>
      <c r="AJ3306" s="394"/>
      <c r="AK3306" s="394"/>
      <c r="AL3306" s="394"/>
      <c r="AM3306" s="394"/>
      <c r="AN3306" s="394"/>
      <c r="AO3306" s="394"/>
      <c r="AP3306" s="394"/>
      <c r="AQ3306" s="394"/>
      <c r="AR3306" s="394"/>
      <c r="AS3306" s="402"/>
      <c r="AT3306" s="404"/>
      <c r="AU3306" s="394"/>
      <c r="AV3306" s="394"/>
      <c r="AW3306" s="394"/>
      <c r="AX3306" s="5"/>
      <c r="AY3306" s="5"/>
      <c r="AZ3306" s="5"/>
      <c r="BA3306" s="5"/>
      <c r="BB3306" s="5"/>
      <c r="BC3306" s="5"/>
      <c r="BD3306" s="5"/>
      <c r="BE3306" s="5"/>
      <c r="BF3306" s="5"/>
      <c r="BG3306" s="5"/>
      <c r="BH3306" s="5"/>
      <c r="BI3306" s="5"/>
      <c r="BJ3306" s="5"/>
      <c r="BK3306" s="5"/>
      <c r="BL3306" s="5"/>
      <c r="BM3306" s="5"/>
      <c r="BN3306" s="5"/>
      <c r="BO3306" s="5"/>
      <c r="BP3306" s="5"/>
      <c r="BQ3306" s="5"/>
      <c r="BR3306" s="5"/>
      <c r="BS3306" s="5"/>
      <c r="BT3306" s="5"/>
      <c r="BU3306" s="5"/>
      <c r="BV3306" s="5"/>
      <c r="BW3306" s="5"/>
      <c r="BX3306" s="5"/>
      <c r="BY3306" s="5"/>
      <c r="BZ3306" s="5"/>
      <c r="CA3306" s="5"/>
    </row>
    <row r="3307" spans="1:79" s="400" customFormat="1" ht="15" customHeight="1">
      <c r="A3307" s="41" t="s">
        <v>183</v>
      </c>
      <c r="B3307" s="385" t="s">
        <v>4198</v>
      </c>
      <c r="C3307" s="18" t="s">
        <v>4203</v>
      </c>
      <c r="D3307" s="377" t="s">
        <v>56</v>
      </c>
      <c r="E3307" s="20" t="s">
        <v>4204</v>
      </c>
      <c r="F3307" s="402"/>
      <c r="G3307" s="405" t="s">
        <v>4205</v>
      </c>
      <c r="H3307" s="404">
        <v>4011</v>
      </c>
      <c r="I3307" s="402" t="s">
        <v>2</v>
      </c>
      <c r="J3307" s="344" t="s">
        <v>4206</v>
      </c>
      <c r="K3307" s="403">
        <v>41148</v>
      </c>
      <c r="L3307" s="398">
        <v>41139</v>
      </c>
      <c r="M3307" s="402">
        <f t="shared" si="195"/>
        <v>9</v>
      </c>
      <c r="N3307" s="402" t="s">
        <v>2</v>
      </c>
      <c r="O3307" s="404">
        <f>4.4/2</f>
        <v>2.2000000000000002</v>
      </c>
      <c r="P3307" s="402">
        <v>5.9</v>
      </c>
      <c r="Q3307" s="404">
        <v>6.6</v>
      </c>
      <c r="R3307" s="402">
        <f>10/2</f>
        <v>5</v>
      </c>
      <c r="S3307" s="404">
        <v>9.3000000000000007</v>
      </c>
      <c r="T3307" s="402">
        <v>2.5999999999999999E-2</v>
      </c>
      <c r="U3307" s="395">
        <v>0.55000000000000004</v>
      </c>
      <c r="V3307" s="402">
        <f>0.05/2</f>
        <v>2.5000000000000001E-2</v>
      </c>
      <c r="W3307" s="404">
        <v>2.3E-2</v>
      </c>
      <c r="X3307" s="402">
        <v>0.125</v>
      </c>
      <c r="Y3307" s="404">
        <f>0.005/2</f>
        <v>2.5000000000000001E-3</v>
      </c>
      <c r="Z3307" s="397"/>
      <c r="AA3307" s="399"/>
      <c r="AB3307" s="394"/>
      <c r="AC3307" s="402"/>
      <c r="AD3307" s="399"/>
      <c r="AE3307" s="402"/>
      <c r="AF3307" s="391"/>
      <c r="AG3307" s="394"/>
      <c r="AH3307" s="394"/>
      <c r="AI3307" s="394"/>
      <c r="AJ3307" s="394"/>
      <c r="AK3307" s="394"/>
      <c r="AL3307" s="394"/>
      <c r="AM3307" s="394"/>
      <c r="AN3307" s="394"/>
      <c r="AO3307" s="394"/>
      <c r="AP3307" s="394"/>
      <c r="AQ3307" s="394"/>
      <c r="AR3307" s="394"/>
      <c r="AS3307" s="402"/>
      <c r="AT3307" s="404"/>
      <c r="AU3307" s="394"/>
      <c r="AV3307" s="394"/>
      <c r="AW3307" s="394"/>
      <c r="AX3307" s="5"/>
      <c r="AY3307" s="5"/>
      <c r="AZ3307" s="5"/>
      <c r="BA3307" s="5"/>
      <c r="BB3307" s="5"/>
      <c r="BC3307" s="5"/>
      <c r="BD3307" s="5"/>
      <c r="BE3307" s="5"/>
      <c r="BF3307" s="5"/>
      <c r="BG3307" s="5"/>
      <c r="BH3307" s="5"/>
      <c r="BI3307" s="5"/>
      <c r="BJ3307" s="5"/>
      <c r="BK3307" s="5"/>
      <c r="BL3307" s="5"/>
      <c r="BM3307" s="5"/>
      <c r="BN3307" s="5"/>
      <c r="BO3307" s="5"/>
      <c r="BP3307" s="5"/>
      <c r="BQ3307" s="5"/>
      <c r="BR3307" s="5"/>
      <c r="BS3307" s="5"/>
      <c r="BT3307" s="5"/>
      <c r="BU3307" s="5"/>
      <c r="BV3307" s="5"/>
      <c r="BW3307" s="5"/>
      <c r="BX3307" s="5"/>
      <c r="BY3307" s="5"/>
      <c r="BZ3307" s="5"/>
      <c r="CA3307" s="5"/>
    </row>
    <row r="3308" spans="1:79" s="400" customFormat="1" ht="15" customHeight="1">
      <c r="A3308" s="41" t="s">
        <v>183</v>
      </c>
      <c r="B3308" s="402" t="s">
        <v>4766</v>
      </c>
      <c r="C3308" s="113" t="s">
        <v>4767</v>
      </c>
      <c r="D3308" s="393" t="s">
        <v>406</v>
      </c>
      <c r="E3308" s="394" t="s">
        <v>4768</v>
      </c>
      <c r="F3308" s="402"/>
      <c r="G3308" s="405" t="s">
        <v>4769</v>
      </c>
      <c r="H3308" s="404">
        <v>4011</v>
      </c>
      <c r="I3308" s="402" t="s">
        <v>2</v>
      </c>
      <c r="J3308" s="406" t="s">
        <v>4770</v>
      </c>
      <c r="K3308" s="403">
        <v>41156</v>
      </c>
      <c r="L3308" s="398">
        <v>41139</v>
      </c>
      <c r="M3308" s="402">
        <f t="shared" si="195"/>
        <v>17</v>
      </c>
      <c r="N3308" s="402" t="s">
        <v>2</v>
      </c>
      <c r="O3308" s="404">
        <f>2/2</f>
        <v>1</v>
      </c>
      <c r="P3308" s="402">
        <v>6.18</v>
      </c>
      <c r="Q3308" s="404">
        <v>6.8</v>
      </c>
      <c r="R3308" s="402">
        <v>110</v>
      </c>
      <c r="S3308" s="404">
        <v>97</v>
      </c>
      <c r="T3308" s="402">
        <v>0.53100000000000003</v>
      </c>
      <c r="U3308" s="395">
        <v>4.4000000000000004</v>
      </c>
      <c r="V3308" s="402">
        <v>0.57999999999999996</v>
      </c>
      <c r="W3308" s="404">
        <v>3.2000000000000001E-2</v>
      </c>
      <c r="X3308" s="402">
        <v>0.27300000000000002</v>
      </c>
      <c r="Y3308" s="404">
        <v>1.4999999999999999E-2</v>
      </c>
      <c r="Z3308" s="397"/>
      <c r="AA3308" s="399"/>
      <c r="AB3308" s="394"/>
      <c r="AC3308" s="402"/>
      <c r="AD3308" s="399"/>
      <c r="AE3308" s="402"/>
      <c r="AF3308" s="391"/>
      <c r="AG3308" s="394"/>
      <c r="AH3308" s="394"/>
      <c r="AI3308" s="394"/>
      <c r="AJ3308" s="394"/>
      <c r="AK3308" s="394"/>
      <c r="AL3308" s="394"/>
      <c r="AM3308" s="394"/>
      <c r="AN3308" s="394"/>
      <c r="AO3308" s="394"/>
      <c r="AP3308" s="394"/>
      <c r="AQ3308" s="394"/>
      <c r="AR3308" s="394"/>
      <c r="AS3308" s="402"/>
      <c r="AT3308" s="404"/>
      <c r="AU3308" s="394"/>
      <c r="AV3308" s="394"/>
      <c r="AW3308" s="394"/>
      <c r="AX3308" s="5"/>
      <c r="AY3308" s="5"/>
      <c r="AZ3308" s="5"/>
      <c r="BA3308" s="5"/>
      <c r="BB3308" s="5"/>
      <c r="BC3308" s="5"/>
      <c r="BD3308" s="5"/>
      <c r="BE3308" s="5"/>
      <c r="BF3308" s="5"/>
      <c r="BG3308" s="5"/>
      <c r="BH3308" s="5"/>
      <c r="BI3308" s="5"/>
      <c r="BJ3308" s="5"/>
      <c r="BK3308" s="5"/>
      <c r="BL3308" s="5"/>
      <c r="BM3308" s="5"/>
      <c r="BN3308" s="5"/>
      <c r="BO3308" s="5"/>
      <c r="BP3308" s="5"/>
      <c r="BQ3308" s="5"/>
      <c r="BR3308" s="5"/>
      <c r="BS3308" s="5"/>
      <c r="BT3308" s="5"/>
      <c r="BU3308" s="5"/>
      <c r="BV3308" s="5"/>
      <c r="BW3308" s="5"/>
      <c r="BX3308" s="5"/>
      <c r="BY3308" s="5"/>
      <c r="BZ3308" s="5"/>
      <c r="CA3308" s="5"/>
    </row>
    <row r="3309" spans="1:79" s="400" customFormat="1" ht="15" customHeight="1">
      <c r="A3309" s="41" t="s">
        <v>183</v>
      </c>
      <c r="B3309" s="402" t="s">
        <v>4766</v>
      </c>
      <c r="C3309" s="113" t="s">
        <v>4767</v>
      </c>
      <c r="D3309" s="393" t="s">
        <v>406</v>
      </c>
      <c r="E3309" s="394" t="s">
        <v>4768</v>
      </c>
      <c r="F3309" s="402"/>
      <c r="G3309" s="405" t="s">
        <v>4769</v>
      </c>
      <c r="H3309" s="404">
        <v>4011</v>
      </c>
      <c r="I3309" s="402" t="s">
        <v>2</v>
      </c>
      <c r="J3309" s="406" t="s">
        <v>4770</v>
      </c>
      <c r="K3309" s="403">
        <v>41021</v>
      </c>
      <c r="L3309" s="398">
        <v>40996</v>
      </c>
      <c r="M3309" s="402">
        <f t="shared" si="195"/>
        <v>25</v>
      </c>
      <c r="N3309" s="402" t="s">
        <v>2</v>
      </c>
      <c r="O3309" s="404">
        <f>4/2</f>
        <v>2</v>
      </c>
      <c r="P3309" s="402">
        <v>6.51</v>
      </c>
      <c r="Q3309" s="404">
        <v>6.2</v>
      </c>
      <c r="R3309" s="402">
        <v>100</v>
      </c>
      <c r="S3309" s="404">
        <v>66</v>
      </c>
      <c r="T3309" s="402">
        <v>0.29799999999999999</v>
      </c>
      <c r="U3309" s="395">
        <v>2.9</v>
      </c>
      <c r="V3309" s="402">
        <v>0.81</v>
      </c>
      <c r="W3309" s="404">
        <v>2.9000000000000001E-2</v>
      </c>
      <c r="X3309" s="402">
        <v>0.23300000000000001</v>
      </c>
      <c r="Y3309" s="404">
        <f>0.01/2</f>
        <v>5.0000000000000001E-3</v>
      </c>
      <c r="Z3309" s="397">
        <v>1</v>
      </c>
      <c r="AA3309" s="399">
        <v>1</v>
      </c>
      <c r="AB3309" s="394">
        <v>100</v>
      </c>
      <c r="AC3309" s="402">
        <v>402</v>
      </c>
      <c r="AD3309" s="399">
        <v>1</v>
      </c>
      <c r="AE3309" s="402"/>
      <c r="AF3309" s="391"/>
      <c r="AG3309" s="394"/>
      <c r="AH3309" s="394"/>
      <c r="AI3309" s="394"/>
      <c r="AJ3309" s="394"/>
      <c r="AK3309" s="394"/>
      <c r="AL3309" s="394"/>
      <c r="AM3309" s="394"/>
      <c r="AN3309" s="394"/>
      <c r="AO3309" s="394"/>
      <c r="AP3309" s="394"/>
      <c r="AQ3309" s="394"/>
      <c r="AR3309" s="394"/>
      <c r="AS3309" s="402"/>
      <c r="AT3309" s="404"/>
      <c r="AU3309" s="394"/>
      <c r="AV3309" s="394"/>
      <c r="AW3309" s="394"/>
      <c r="AX3309" s="5"/>
      <c r="AY3309" s="5"/>
      <c r="AZ3309" s="5"/>
      <c r="BA3309" s="5"/>
      <c r="BB3309" s="5"/>
      <c r="BC3309" s="5"/>
      <c r="BD3309" s="5"/>
      <c r="BE3309" s="5"/>
      <c r="BF3309" s="5"/>
      <c r="BG3309" s="5"/>
      <c r="BH3309" s="5"/>
      <c r="BI3309" s="5"/>
      <c r="BJ3309" s="5"/>
      <c r="BK3309" s="5"/>
      <c r="BL3309" s="5"/>
      <c r="BM3309" s="5"/>
      <c r="BN3309" s="5"/>
      <c r="BO3309" s="5"/>
      <c r="BP3309" s="5"/>
      <c r="BQ3309" s="5"/>
      <c r="BR3309" s="5"/>
      <c r="BS3309" s="5"/>
      <c r="BT3309" s="5"/>
      <c r="BU3309" s="5"/>
      <c r="BV3309" s="5"/>
      <c r="BW3309" s="5"/>
      <c r="BX3309" s="5"/>
      <c r="BY3309" s="5"/>
      <c r="BZ3309" s="5"/>
      <c r="CA3309" s="5"/>
    </row>
    <row r="3310" spans="1:79" s="400" customFormat="1" ht="15" customHeight="1">
      <c r="A3310" s="41" t="s">
        <v>183</v>
      </c>
      <c r="B3310" s="402" t="s">
        <v>5097</v>
      </c>
      <c r="C3310" s="113" t="s">
        <v>2018</v>
      </c>
      <c r="D3310" s="393" t="s">
        <v>1881</v>
      </c>
      <c r="E3310" s="394" t="s">
        <v>49</v>
      </c>
      <c r="F3310" s="402">
        <v>4500</v>
      </c>
      <c r="G3310" s="405" t="s">
        <v>5098</v>
      </c>
      <c r="H3310" s="404">
        <v>3511</v>
      </c>
      <c r="I3310" s="402" t="s">
        <v>2</v>
      </c>
      <c r="J3310" s="404" t="s">
        <v>1030</v>
      </c>
      <c r="K3310" s="403">
        <v>41495</v>
      </c>
      <c r="L3310" s="398">
        <v>41489</v>
      </c>
      <c r="M3310" s="402">
        <f t="shared" si="195"/>
        <v>6</v>
      </c>
      <c r="N3310" s="402" t="s">
        <v>2</v>
      </c>
      <c r="O3310" s="404">
        <f>1.4/2</f>
        <v>0.7</v>
      </c>
      <c r="P3310" s="402">
        <v>6.34</v>
      </c>
      <c r="Q3310" s="404">
        <v>5.24</v>
      </c>
      <c r="R3310" s="402">
        <v>48</v>
      </c>
      <c r="S3310" s="404">
        <v>20</v>
      </c>
      <c r="T3310" s="402">
        <v>0.09</v>
      </c>
      <c r="U3310" s="395">
        <v>0.79</v>
      </c>
      <c r="V3310" s="402">
        <v>0.11</v>
      </c>
      <c r="W3310" s="404">
        <v>6.0000000000000001E-3</v>
      </c>
      <c r="X3310" s="402">
        <v>0.108</v>
      </c>
      <c r="Y3310" s="404">
        <v>2E-3</v>
      </c>
      <c r="Z3310" s="397"/>
      <c r="AA3310" s="399"/>
      <c r="AB3310" s="394"/>
      <c r="AC3310" s="402"/>
      <c r="AD3310" s="399"/>
      <c r="AE3310" s="402"/>
      <c r="AF3310" s="391"/>
      <c r="AG3310" s="394"/>
      <c r="AH3310" s="394"/>
      <c r="AI3310" s="394"/>
      <c r="AJ3310" s="394"/>
      <c r="AK3310" s="394"/>
      <c r="AL3310" s="394"/>
      <c r="AM3310" s="394"/>
      <c r="AN3310" s="394"/>
      <c r="AO3310" s="394"/>
      <c r="AP3310" s="394"/>
      <c r="AQ3310" s="394"/>
      <c r="AR3310" s="394"/>
      <c r="AS3310" s="402"/>
      <c r="AT3310" s="404"/>
      <c r="AU3310" s="394"/>
      <c r="AV3310" s="394"/>
      <c r="AW3310" s="394"/>
      <c r="AX3310" s="5"/>
      <c r="AY3310" s="5"/>
      <c r="AZ3310" s="5"/>
      <c r="BA3310" s="5"/>
      <c r="BB3310" s="5"/>
      <c r="BC3310" s="5"/>
      <c r="BD3310" s="5"/>
      <c r="BE3310" s="5"/>
      <c r="BF3310" s="5"/>
      <c r="BG3310" s="5"/>
      <c r="BH3310" s="5"/>
      <c r="BI3310" s="5"/>
      <c r="BJ3310" s="5"/>
      <c r="BK3310" s="5"/>
      <c r="BL3310" s="5"/>
      <c r="BM3310" s="5"/>
      <c r="BN3310" s="5"/>
      <c r="BO3310" s="5"/>
      <c r="BP3310" s="5"/>
      <c r="BQ3310" s="5"/>
      <c r="BR3310" s="5"/>
      <c r="BS3310" s="5"/>
      <c r="BT3310" s="5"/>
      <c r="BU3310" s="5"/>
      <c r="BV3310" s="5"/>
      <c r="BW3310" s="5"/>
      <c r="BX3310" s="5"/>
      <c r="BY3310" s="5"/>
      <c r="BZ3310" s="5"/>
      <c r="CA3310" s="5"/>
    </row>
    <row r="3311" spans="1:79" s="400" customFormat="1" ht="15" customHeight="1">
      <c r="A3311" s="41" t="s">
        <v>183</v>
      </c>
      <c r="B3311" s="402" t="s">
        <v>2024</v>
      </c>
      <c r="C3311" s="113" t="s">
        <v>2024</v>
      </c>
      <c r="D3311" s="393" t="s">
        <v>836</v>
      </c>
      <c r="E3311" s="394" t="s">
        <v>364</v>
      </c>
      <c r="F3311" s="402">
        <v>4300</v>
      </c>
      <c r="G3311" s="405" t="s">
        <v>2025</v>
      </c>
      <c r="H3311" s="402">
        <v>2759</v>
      </c>
      <c r="I3311" s="402" t="s">
        <v>2</v>
      </c>
      <c r="J3311" s="402" t="s">
        <v>5809</v>
      </c>
      <c r="K3311" s="403">
        <v>41539</v>
      </c>
      <c r="L3311" s="398">
        <v>41529</v>
      </c>
      <c r="M3311" s="402">
        <f t="shared" si="195"/>
        <v>10</v>
      </c>
      <c r="N3311" s="402" t="s">
        <v>2</v>
      </c>
      <c r="O3311" s="404">
        <f>1.6/2</f>
        <v>0.8</v>
      </c>
      <c r="P3311" s="402">
        <v>6</v>
      </c>
      <c r="Q3311" s="404">
        <v>7.56</v>
      </c>
      <c r="R3311" s="402">
        <f>10/2</f>
        <v>5</v>
      </c>
      <c r="S3311" s="404">
        <f>5/2</f>
        <v>2.5</v>
      </c>
      <c r="T3311" s="402">
        <v>0.04</v>
      </c>
      <c r="U3311" s="395">
        <v>0.28000000000000003</v>
      </c>
      <c r="V3311" s="402">
        <v>0.47</v>
      </c>
      <c r="W3311" s="404">
        <f>0.005/2</f>
        <v>2.5000000000000001E-3</v>
      </c>
      <c r="X3311" s="402">
        <v>5.8000000000000003E-2</v>
      </c>
      <c r="Y3311" s="404">
        <f>0.002/2</f>
        <v>1E-3</v>
      </c>
      <c r="Z3311" s="397"/>
      <c r="AA3311" s="399"/>
      <c r="AB3311" s="394"/>
      <c r="AC3311" s="402"/>
      <c r="AD3311" s="399"/>
      <c r="AE3311" s="402"/>
      <c r="AF3311" s="391"/>
      <c r="AG3311" s="394"/>
      <c r="AH3311" s="394"/>
      <c r="AI3311" s="394"/>
      <c r="AJ3311" s="394"/>
      <c r="AK3311" s="394"/>
      <c r="AL3311" s="394"/>
      <c r="AM3311" s="394"/>
      <c r="AN3311" s="394"/>
      <c r="AO3311" s="394"/>
      <c r="AP3311" s="394"/>
      <c r="AQ3311" s="394"/>
      <c r="AR3311" s="394"/>
      <c r="AS3311" s="402"/>
      <c r="AT3311" s="404"/>
      <c r="AU3311" s="394"/>
      <c r="AV3311" s="394"/>
      <c r="AW3311" s="394"/>
      <c r="AX3311" s="5"/>
      <c r="AY3311" s="5"/>
      <c r="AZ3311" s="5"/>
      <c r="BA3311" s="5"/>
      <c r="BB3311" s="5"/>
      <c r="BC3311" s="5"/>
      <c r="BD3311" s="5"/>
      <c r="BE3311" s="5"/>
      <c r="BF3311" s="5"/>
      <c r="BG3311" s="5"/>
      <c r="BH3311" s="5"/>
      <c r="BI3311" s="5"/>
      <c r="BJ3311" s="5"/>
      <c r="BK3311" s="5"/>
      <c r="BL3311" s="5"/>
      <c r="BM3311" s="5"/>
      <c r="BN3311" s="5"/>
      <c r="BO3311" s="5"/>
      <c r="BP3311" s="5"/>
      <c r="BQ3311" s="5"/>
      <c r="BR3311" s="5"/>
      <c r="BS3311" s="5"/>
      <c r="BT3311" s="5"/>
      <c r="BU3311" s="5"/>
      <c r="BV3311" s="5"/>
      <c r="BW3311" s="5"/>
      <c r="BX3311" s="5"/>
      <c r="BY3311" s="5"/>
      <c r="BZ3311" s="5"/>
      <c r="CA3311" s="5"/>
    </row>
    <row r="3312" spans="1:79" s="400" customFormat="1" ht="15" customHeight="1">
      <c r="A3312" s="41" t="s">
        <v>183</v>
      </c>
      <c r="B3312" s="402" t="s">
        <v>461</v>
      </c>
      <c r="C3312" s="113" t="s">
        <v>461</v>
      </c>
      <c r="D3312" s="393" t="s">
        <v>462</v>
      </c>
      <c r="E3312" s="394" t="s">
        <v>1838</v>
      </c>
      <c r="F3312" s="402"/>
      <c r="G3312" s="405" t="s">
        <v>464</v>
      </c>
      <c r="H3312" s="404">
        <v>2499</v>
      </c>
      <c r="I3312" s="402" t="s">
        <v>2</v>
      </c>
      <c r="J3312" s="404" t="s">
        <v>1376</v>
      </c>
      <c r="K3312" s="403">
        <v>41495</v>
      </c>
      <c r="L3312" s="398">
        <v>41490</v>
      </c>
      <c r="M3312" s="402">
        <f t="shared" si="195"/>
        <v>5</v>
      </c>
      <c r="N3312" s="402" t="s">
        <v>2</v>
      </c>
      <c r="O3312" s="404">
        <f>1.4/2</f>
        <v>0.7</v>
      </c>
      <c r="P3312" s="402">
        <v>5.6</v>
      </c>
      <c r="Q3312" s="404">
        <v>6.2</v>
      </c>
      <c r="R3312" s="402">
        <v>139</v>
      </c>
      <c r="S3312" s="404">
        <v>31</v>
      </c>
      <c r="T3312" s="402">
        <v>0.16</v>
      </c>
      <c r="U3312" s="395">
        <v>1.17</v>
      </c>
      <c r="V3312" s="402">
        <v>0.1</v>
      </c>
      <c r="W3312" s="404">
        <v>1.7000000000000001E-2</v>
      </c>
      <c r="X3312" s="402">
        <v>7.6999999999999999E-2</v>
      </c>
      <c r="Y3312" s="404">
        <v>4.0000000000000001E-3</v>
      </c>
      <c r="Z3312" s="397">
        <v>1</v>
      </c>
      <c r="AA3312" s="399">
        <v>1</v>
      </c>
      <c r="AB3312" s="394">
        <v>18</v>
      </c>
      <c r="AC3312" s="402">
        <v>23</v>
      </c>
      <c r="AD3312" s="399">
        <v>1</v>
      </c>
      <c r="AE3312" s="402"/>
      <c r="AF3312" s="391"/>
      <c r="AG3312" s="394"/>
      <c r="AH3312" s="394"/>
      <c r="AI3312" s="394"/>
      <c r="AJ3312" s="394"/>
      <c r="AK3312" s="394"/>
      <c r="AL3312" s="394"/>
      <c r="AM3312" s="394"/>
      <c r="AN3312" s="394"/>
      <c r="AO3312" s="394"/>
      <c r="AP3312" s="394"/>
      <c r="AQ3312" s="394"/>
      <c r="AR3312" s="394"/>
      <c r="AS3312" s="402"/>
      <c r="AT3312" s="404"/>
      <c r="AU3312" s="394"/>
      <c r="AV3312" s="394"/>
      <c r="AW3312" s="394"/>
      <c r="AX3312" s="5"/>
      <c r="AY3312" s="5"/>
      <c r="AZ3312" s="5"/>
      <c r="BA3312" s="5"/>
      <c r="BB3312" s="5"/>
      <c r="BC3312" s="5"/>
      <c r="BD3312" s="5"/>
      <c r="BE3312" s="5"/>
      <c r="BF3312" s="5"/>
      <c r="BG3312" s="5"/>
      <c r="BH3312" s="5"/>
      <c r="BI3312" s="5"/>
      <c r="BJ3312" s="5"/>
      <c r="BK3312" s="5"/>
      <c r="BL3312" s="5"/>
      <c r="BM3312" s="5"/>
      <c r="BN3312" s="5"/>
      <c r="BO3312" s="5"/>
      <c r="BP3312" s="5"/>
      <c r="BQ3312" s="5"/>
      <c r="BR3312" s="5"/>
      <c r="BS3312" s="5"/>
      <c r="BT3312" s="5"/>
      <c r="BU3312" s="5"/>
      <c r="BV3312" s="5"/>
      <c r="BW3312" s="5"/>
      <c r="BX3312" s="5"/>
      <c r="BY3312" s="5"/>
      <c r="BZ3312" s="5"/>
      <c r="CA3312" s="5"/>
    </row>
    <row r="3313" spans="1:79" s="400" customFormat="1" ht="15" customHeight="1">
      <c r="A3313" s="41" t="s">
        <v>183</v>
      </c>
      <c r="B3313" s="402" t="s">
        <v>1985</v>
      </c>
      <c r="C3313" s="113" t="s">
        <v>1986</v>
      </c>
      <c r="D3313" s="393" t="s">
        <v>257</v>
      </c>
      <c r="E3313" s="394" t="s">
        <v>252</v>
      </c>
      <c r="F3313" s="402">
        <v>4402</v>
      </c>
      <c r="G3313" s="405" t="s">
        <v>1987</v>
      </c>
      <c r="H3313" s="113">
        <v>3423</v>
      </c>
      <c r="I3313" s="391" t="s">
        <v>1</v>
      </c>
      <c r="J3313" s="401" t="s">
        <v>669</v>
      </c>
      <c r="K3313" s="403">
        <v>41345</v>
      </c>
      <c r="L3313" s="398">
        <v>41341</v>
      </c>
      <c r="M3313" s="402">
        <f t="shared" si="195"/>
        <v>4</v>
      </c>
      <c r="N3313" s="402" t="s">
        <v>2</v>
      </c>
      <c r="O3313" s="404">
        <f>1.8/2</f>
        <v>0.9</v>
      </c>
      <c r="P3313" s="402">
        <v>6.4</v>
      </c>
      <c r="Q3313" s="404">
        <v>7.7</v>
      </c>
      <c r="R3313" s="402">
        <f>20/2</f>
        <v>10</v>
      </c>
      <c r="S3313" s="404">
        <v>2</v>
      </c>
      <c r="T3313" s="402">
        <v>7.6999999999999999E-2</v>
      </c>
      <c r="U3313" s="395">
        <v>1.7</v>
      </c>
      <c r="V3313" s="402">
        <v>3</v>
      </c>
      <c r="W3313" s="404">
        <f>0.005/2</f>
        <v>2.5000000000000001E-3</v>
      </c>
      <c r="X3313" s="402">
        <v>7.3999999999999996E-2</v>
      </c>
      <c r="Y3313" s="404">
        <f>0.005/2</f>
        <v>2.5000000000000001E-3</v>
      </c>
      <c r="Z3313" s="397"/>
      <c r="AA3313" s="399"/>
      <c r="AB3313" s="394"/>
      <c r="AC3313" s="402"/>
      <c r="AD3313" s="399"/>
      <c r="AE3313" s="402"/>
      <c r="AF3313" s="391"/>
      <c r="AG3313" s="394"/>
      <c r="AH3313" s="394"/>
      <c r="AI3313" s="394"/>
      <c r="AJ3313" s="394"/>
      <c r="AK3313" s="394"/>
      <c r="AL3313" s="394"/>
      <c r="AM3313" s="394"/>
      <c r="AN3313" s="394"/>
      <c r="AO3313" s="394"/>
      <c r="AP3313" s="394"/>
      <c r="AQ3313" s="394"/>
      <c r="AR3313" s="394"/>
      <c r="AS3313" s="402"/>
      <c r="AT3313" s="404"/>
      <c r="AU3313" s="394"/>
      <c r="AV3313" s="394"/>
      <c r="AW3313" s="394"/>
      <c r="AX3313" s="5"/>
      <c r="AY3313" s="5"/>
      <c r="AZ3313" s="5"/>
      <c r="BA3313" s="5"/>
      <c r="BB3313" s="5"/>
      <c r="BC3313" s="5"/>
      <c r="BD3313" s="5"/>
      <c r="BE3313" s="5"/>
      <c r="BF3313" s="5"/>
      <c r="BG3313" s="5"/>
      <c r="BH3313" s="5"/>
      <c r="BI3313" s="5"/>
      <c r="BJ3313" s="5"/>
      <c r="BK3313" s="5"/>
      <c r="BL3313" s="5"/>
      <c r="BM3313" s="5"/>
      <c r="BN3313" s="5"/>
      <c r="BO3313" s="5"/>
      <c r="BP3313" s="5"/>
      <c r="BQ3313" s="5"/>
      <c r="BR3313" s="5"/>
      <c r="BS3313" s="5"/>
      <c r="BT3313" s="5"/>
      <c r="BU3313" s="5"/>
      <c r="BV3313" s="5"/>
      <c r="BW3313" s="5"/>
      <c r="BX3313" s="5"/>
      <c r="BY3313" s="5"/>
      <c r="BZ3313" s="5"/>
      <c r="CA3313" s="5"/>
    </row>
    <row r="3314" spans="1:79" s="400" customFormat="1" ht="15" customHeight="1">
      <c r="A3314" s="41" t="s">
        <v>183</v>
      </c>
      <c r="B3314" s="402" t="s">
        <v>1985</v>
      </c>
      <c r="C3314" s="113" t="s">
        <v>1986</v>
      </c>
      <c r="D3314" s="393" t="s">
        <v>257</v>
      </c>
      <c r="E3314" s="394" t="s">
        <v>252</v>
      </c>
      <c r="F3314" s="402">
        <v>4402</v>
      </c>
      <c r="G3314" s="405" t="s">
        <v>1987</v>
      </c>
      <c r="H3314" s="113">
        <v>3423</v>
      </c>
      <c r="I3314" s="391" t="s">
        <v>1</v>
      </c>
      <c r="J3314" s="401" t="s">
        <v>1988</v>
      </c>
      <c r="K3314" s="403">
        <v>41030</v>
      </c>
      <c r="L3314" s="379">
        <v>41022</v>
      </c>
      <c r="M3314" s="402">
        <v>8</v>
      </c>
      <c r="N3314" s="402" t="s">
        <v>2</v>
      </c>
      <c r="O3314" s="404">
        <f>1.7/2</f>
        <v>0.85</v>
      </c>
      <c r="P3314" s="402">
        <v>6.4</v>
      </c>
      <c r="Q3314" s="404">
        <v>7.6</v>
      </c>
      <c r="R3314" s="402">
        <v>41</v>
      </c>
      <c r="S3314" s="404">
        <v>24.5</v>
      </c>
      <c r="T3314" s="402">
        <v>0.111</v>
      </c>
      <c r="U3314" s="395">
        <v>1.9</v>
      </c>
      <c r="V3314" s="402">
        <f>0.46/2</f>
        <v>0.23</v>
      </c>
      <c r="W3314" s="404">
        <v>1.2999999999999999E-2</v>
      </c>
      <c r="X3314" s="402">
        <v>7.5999999999999998E-2</v>
      </c>
      <c r="Y3314" s="404">
        <v>2.53E-2</v>
      </c>
      <c r="Z3314" s="397"/>
      <c r="AA3314" s="399"/>
      <c r="AB3314" s="394"/>
      <c r="AC3314" s="402"/>
      <c r="AD3314" s="399"/>
      <c r="AE3314" s="402"/>
      <c r="AF3314" s="391"/>
      <c r="AG3314" s="394"/>
      <c r="AH3314" s="394"/>
      <c r="AI3314" s="394"/>
      <c r="AJ3314" s="394"/>
      <c r="AK3314" s="394"/>
      <c r="AL3314" s="394"/>
      <c r="AM3314" s="394"/>
      <c r="AN3314" s="394"/>
      <c r="AO3314" s="394"/>
      <c r="AP3314" s="394"/>
      <c r="AQ3314" s="394"/>
      <c r="AR3314" s="394"/>
      <c r="AS3314" s="402"/>
      <c r="AT3314" s="404"/>
      <c r="AU3314" s="394"/>
      <c r="AV3314" s="394"/>
      <c r="AW3314" s="394"/>
      <c r="AX3314" s="5"/>
      <c r="AY3314" s="5"/>
      <c r="AZ3314" s="5"/>
      <c r="BA3314" s="5"/>
      <c r="BB3314" s="5"/>
      <c r="BC3314" s="5"/>
      <c r="BD3314" s="5"/>
      <c r="BE3314" s="5"/>
      <c r="BF3314" s="5"/>
      <c r="BG3314" s="5"/>
      <c r="BH3314" s="5"/>
      <c r="BI3314" s="5"/>
      <c r="BJ3314" s="5"/>
      <c r="BK3314" s="5"/>
      <c r="BL3314" s="5"/>
      <c r="BM3314" s="5"/>
      <c r="BN3314" s="5"/>
      <c r="BO3314" s="5"/>
      <c r="BP3314" s="5"/>
      <c r="BQ3314" s="5"/>
      <c r="BR3314" s="5"/>
      <c r="BS3314" s="5"/>
      <c r="BT3314" s="5"/>
      <c r="BU3314" s="5"/>
      <c r="BV3314" s="5"/>
      <c r="BW3314" s="5"/>
      <c r="BX3314" s="5"/>
      <c r="BY3314" s="5"/>
      <c r="BZ3314" s="5"/>
      <c r="CA3314" s="5"/>
    </row>
    <row r="3315" spans="1:79" s="400" customFormat="1" ht="15" customHeight="1">
      <c r="A3315" s="41" t="s">
        <v>183</v>
      </c>
      <c r="B3315" s="402" t="s">
        <v>5097</v>
      </c>
      <c r="C3315" s="113" t="s">
        <v>2018</v>
      </c>
      <c r="D3315" s="393" t="s">
        <v>1881</v>
      </c>
      <c r="E3315" s="394" t="s">
        <v>49</v>
      </c>
      <c r="F3315" s="402">
        <v>4500</v>
      </c>
      <c r="G3315" s="405" t="s">
        <v>5098</v>
      </c>
      <c r="H3315" s="404">
        <v>3511</v>
      </c>
      <c r="I3315" s="402" t="s">
        <v>2</v>
      </c>
      <c r="J3315" s="404" t="s">
        <v>1030</v>
      </c>
      <c r="K3315" s="403">
        <v>41345</v>
      </c>
      <c r="L3315" s="398">
        <v>41341</v>
      </c>
      <c r="M3315" s="402">
        <f t="shared" ref="M3315" si="196">K3315-L3315</f>
        <v>4</v>
      </c>
      <c r="N3315" s="402" t="s">
        <v>2</v>
      </c>
      <c r="O3315" s="404">
        <f>1.4/2</f>
        <v>0.7</v>
      </c>
      <c r="P3315" s="402">
        <v>6.83</v>
      </c>
      <c r="Q3315" s="404">
        <v>7.57</v>
      </c>
      <c r="R3315" s="402">
        <v>32</v>
      </c>
      <c r="S3315" s="404">
        <v>60</v>
      </c>
      <c r="T3315" s="402">
        <v>0.15</v>
      </c>
      <c r="U3315" s="395">
        <v>0.8</v>
      </c>
      <c r="V3315" s="402">
        <v>0.09</v>
      </c>
      <c r="W3315" s="404">
        <v>6.0000000000000001E-3</v>
      </c>
      <c r="X3315" s="402">
        <v>0.05</v>
      </c>
      <c r="Y3315" s="404">
        <f>0.002/2</f>
        <v>1E-3</v>
      </c>
      <c r="Z3315" s="397">
        <v>1</v>
      </c>
      <c r="AA3315" s="399">
        <v>1</v>
      </c>
      <c r="AB3315" s="394">
        <v>84</v>
      </c>
      <c r="AC3315" s="402">
        <v>419</v>
      </c>
      <c r="AD3315" s="399">
        <v>1</v>
      </c>
      <c r="AE3315" s="402"/>
      <c r="AF3315" s="391"/>
      <c r="AG3315" s="394"/>
      <c r="AH3315" s="394"/>
      <c r="AI3315" s="394"/>
      <c r="AJ3315" s="394"/>
      <c r="AK3315" s="394"/>
      <c r="AL3315" s="394"/>
      <c r="AM3315" s="394"/>
      <c r="AN3315" s="394"/>
      <c r="AO3315" s="394"/>
      <c r="AP3315" s="394"/>
      <c r="AQ3315" s="394"/>
      <c r="AR3315" s="394"/>
      <c r="AS3315" s="402"/>
      <c r="AT3315" s="404"/>
      <c r="AU3315" s="394"/>
      <c r="AV3315" s="394"/>
      <c r="AW3315" s="394"/>
      <c r="AX3315" s="5"/>
      <c r="AY3315" s="5"/>
      <c r="AZ3315" s="5"/>
      <c r="BA3315" s="5"/>
      <c r="BB3315" s="5"/>
      <c r="BC3315" s="5"/>
      <c r="BD3315" s="5"/>
      <c r="BE3315" s="5"/>
      <c r="BF3315" s="5"/>
      <c r="BG3315" s="5"/>
      <c r="BH3315" s="5"/>
      <c r="BI3315" s="5"/>
      <c r="BJ3315" s="5"/>
      <c r="BK3315" s="5"/>
      <c r="BL3315" s="5"/>
      <c r="BM3315" s="5"/>
      <c r="BN3315" s="5"/>
      <c r="BO3315" s="5"/>
      <c r="BP3315" s="5"/>
      <c r="BQ3315" s="5"/>
      <c r="BR3315" s="5"/>
      <c r="BS3315" s="5"/>
      <c r="BT3315" s="5"/>
      <c r="BU3315" s="5"/>
      <c r="BV3315" s="5"/>
      <c r="BW3315" s="5"/>
      <c r="BX3315" s="5"/>
      <c r="BY3315" s="5"/>
      <c r="BZ3315" s="5"/>
      <c r="CA3315" s="5"/>
    </row>
    <row r="3316" spans="1:79" ht="15" customHeight="1">
      <c r="A3316" s="41" t="s">
        <v>183</v>
      </c>
      <c r="B3316" s="386" t="s">
        <v>633</v>
      </c>
      <c r="C3316" s="149" t="s">
        <v>633</v>
      </c>
      <c r="D3316" s="393" t="s">
        <v>314</v>
      </c>
      <c r="E3316" s="258" t="s">
        <v>634</v>
      </c>
      <c r="G3316" s="405" t="s">
        <v>5810</v>
      </c>
      <c r="H3316" s="74">
        <v>3087</v>
      </c>
      <c r="J3316" s="339" t="s">
        <v>272</v>
      </c>
      <c r="K3316" s="51">
        <v>41197</v>
      </c>
      <c r="L3316" s="173">
        <v>41192</v>
      </c>
      <c r="M3316" s="50">
        <f t="shared" ref="M3316:M3373" si="197">K3316-L3316</f>
        <v>5</v>
      </c>
      <c r="N3316" s="50" t="s">
        <v>2</v>
      </c>
      <c r="O3316" s="74">
        <f>1.4/2</f>
        <v>0.7</v>
      </c>
      <c r="P3316" s="50">
        <v>7.35</v>
      </c>
      <c r="Q3316" s="74">
        <v>6.51</v>
      </c>
      <c r="R3316" s="50">
        <v>32</v>
      </c>
      <c r="S3316" s="74">
        <v>21</v>
      </c>
      <c r="T3316" s="50">
        <v>0.41</v>
      </c>
      <c r="U3316" s="131">
        <v>1.93</v>
      </c>
      <c r="V3316" s="50">
        <v>0.26</v>
      </c>
      <c r="W3316" s="74">
        <v>8.9999999999999993E-3</v>
      </c>
      <c r="X3316" s="50">
        <v>5.5E-2</v>
      </c>
      <c r="Y3316" s="74">
        <f>0.002/2</f>
        <v>1E-3</v>
      </c>
      <c r="Z3316" s="165">
        <v>1</v>
      </c>
      <c r="AA3316" s="271">
        <v>1</v>
      </c>
      <c r="AB3316" s="114">
        <v>2</v>
      </c>
      <c r="AC3316" s="50">
        <v>13</v>
      </c>
      <c r="AD3316" s="271">
        <v>1</v>
      </c>
    </row>
    <row r="3317" spans="1:79" ht="15" customHeight="1">
      <c r="A3317" s="41" t="s">
        <v>183</v>
      </c>
      <c r="B3317" s="386" t="s">
        <v>633</v>
      </c>
      <c r="C3317" s="149" t="s">
        <v>633</v>
      </c>
      <c r="D3317" s="393" t="s">
        <v>314</v>
      </c>
      <c r="E3317" s="258" t="s">
        <v>634</v>
      </c>
      <c r="G3317" s="405" t="s">
        <v>5810</v>
      </c>
      <c r="H3317" s="74">
        <v>3087</v>
      </c>
      <c r="J3317" s="339" t="s">
        <v>270</v>
      </c>
      <c r="K3317" s="51">
        <v>41197</v>
      </c>
      <c r="L3317" s="173">
        <v>41192</v>
      </c>
      <c r="M3317" s="50">
        <f t="shared" si="197"/>
        <v>5</v>
      </c>
      <c r="N3317" s="50" t="s">
        <v>2</v>
      </c>
      <c r="O3317" s="74">
        <f>1.4/2</f>
        <v>0.7</v>
      </c>
      <c r="P3317" s="50">
        <v>7.35</v>
      </c>
      <c r="Q3317" s="74">
        <v>5.76</v>
      </c>
      <c r="R3317" s="50">
        <v>48</v>
      </c>
      <c r="S3317" s="74">
        <v>51</v>
      </c>
      <c r="T3317" s="50">
        <v>0.15</v>
      </c>
      <c r="U3317" s="131">
        <v>1.65</v>
      </c>
      <c r="V3317" s="50">
        <v>0.09</v>
      </c>
      <c r="W3317" s="74">
        <v>8.0000000000000002E-3</v>
      </c>
      <c r="X3317" s="50">
        <v>0.13</v>
      </c>
      <c r="Y3317" s="74">
        <f>0.002/2</f>
        <v>1E-3</v>
      </c>
      <c r="Z3317" s="165">
        <v>1</v>
      </c>
      <c r="AA3317" s="271">
        <v>1</v>
      </c>
      <c r="AB3317" s="114">
        <f>2/2</f>
        <v>1</v>
      </c>
      <c r="AC3317" s="50">
        <v>1</v>
      </c>
      <c r="AD3317" s="271">
        <v>0.6</v>
      </c>
    </row>
    <row r="3318" spans="1:79" s="400" customFormat="1" ht="15" customHeight="1">
      <c r="A3318" s="41" t="s">
        <v>183</v>
      </c>
      <c r="B3318" s="402" t="s">
        <v>5811</v>
      </c>
      <c r="C3318" s="113" t="s">
        <v>5811</v>
      </c>
      <c r="D3318" s="393" t="s">
        <v>350</v>
      </c>
      <c r="E3318" s="394"/>
      <c r="F3318" s="402"/>
      <c r="G3318" s="405" t="s">
        <v>2323</v>
      </c>
      <c r="H3318" s="404">
        <v>3479</v>
      </c>
      <c r="I3318" s="402" t="s">
        <v>2</v>
      </c>
      <c r="J3318" s="406" t="s">
        <v>829</v>
      </c>
      <c r="K3318" s="403">
        <v>41478</v>
      </c>
      <c r="L3318" s="398">
        <v>41436</v>
      </c>
      <c r="M3318" s="402">
        <f t="shared" si="197"/>
        <v>42</v>
      </c>
      <c r="N3318" s="402" t="s">
        <v>2</v>
      </c>
      <c r="O3318" s="404">
        <f>1.4/2</f>
        <v>0.7</v>
      </c>
      <c r="P3318" s="402">
        <v>5.4</v>
      </c>
      <c r="Q3318" s="404">
        <v>5.46</v>
      </c>
      <c r="R3318" s="402">
        <v>19</v>
      </c>
      <c r="S3318" s="404">
        <v>11</v>
      </c>
      <c r="T3318" s="402">
        <v>0.02</v>
      </c>
      <c r="U3318" s="395">
        <v>0.53</v>
      </c>
      <c r="V3318" s="402">
        <v>7.0000000000000007E-2</v>
      </c>
      <c r="W3318" s="404">
        <v>2.5000000000000001E-2</v>
      </c>
      <c r="X3318" s="402">
        <v>1.7000000000000001E-2</v>
      </c>
      <c r="Y3318" s="404">
        <f>0.002/2</f>
        <v>1E-3</v>
      </c>
      <c r="Z3318" s="397">
        <v>0.7</v>
      </c>
      <c r="AA3318" s="399">
        <v>0.30499999999999999</v>
      </c>
      <c r="AB3318" s="394">
        <f>2/2</f>
        <v>1</v>
      </c>
      <c r="AC3318" s="402">
        <v>5</v>
      </c>
      <c r="AD3318" s="399">
        <v>0</v>
      </c>
      <c r="AE3318" s="402"/>
      <c r="AF3318" s="391"/>
      <c r="AG3318" s="394"/>
      <c r="AH3318" s="394"/>
      <c r="AI3318" s="394"/>
      <c r="AJ3318" s="394"/>
      <c r="AK3318" s="394"/>
      <c r="AL3318" s="394"/>
      <c r="AM3318" s="394"/>
      <c r="AN3318" s="394"/>
      <c r="AO3318" s="394"/>
      <c r="AP3318" s="394"/>
      <c r="AQ3318" s="394"/>
      <c r="AR3318" s="394"/>
      <c r="AS3318" s="402"/>
      <c r="AT3318" s="404"/>
      <c r="AU3318" s="394"/>
      <c r="AV3318" s="394"/>
      <c r="AW3318" s="394"/>
      <c r="AX3318" s="5"/>
      <c r="AY3318" s="5"/>
      <c r="AZ3318" s="5"/>
      <c r="BA3318" s="5"/>
      <c r="BB3318" s="5"/>
      <c r="BC3318" s="5"/>
      <c r="BD3318" s="5"/>
      <c r="BE3318" s="5"/>
      <c r="BF3318" s="5"/>
      <c r="BG3318" s="5"/>
      <c r="BH3318" s="5"/>
      <c r="BI3318" s="5"/>
      <c r="BJ3318" s="5"/>
      <c r="BK3318" s="5"/>
      <c r="BL3318" s="5"/>
      <c r="BM3318" s="5"/>
      <c r="BN3318" s="5"/>
      <c r="BO3318" s="5"/>
      <c r="BP3318" s="5"/>
      <c r="BQ3318" s="5"/>
      <c r="BR3318" s="5"/>
      <c r="BS3318" s="5"/>
      <c r="BT3318" s="5"/>
      <c r="BU3318" s="5"/>
      <c r="BV3318" s="5"/>
      <c r="BW3318" s="5"/>
      <c r="BX3318" s="5"/>
      <c r="BY3318" s="5"/>
      <c r="BZ3318" s="5"/>
      <c r="CA3318" s="5"/>
    </row>
    <row r="3319" spans="1:79" s="400" customFormat="1" ht="15" customHeight="1">
      <c r="A3319" s="41" t="s">
        <v>183</v>
      </c>
      <c r="B3319" s="402" t="s">
        <v>325</v>
      </c>
      <c r="C3319" s="113" t="s">
        <v>2161</v>
      </c>
      <c r="D3319" s="393" t="s">
        <v>56</v>
      </c>
      <c r="E3319" s="394" t="s">
        <v>95</v>
      </c>
      <c r="F3319" s="402"/>
      <c r="G3319" s="405" t="s">
        <v>995</v>
      </c>
      <c r="H3319" s="404">
        <v>5171</v>
      </c>
      <c r="I3319" s="402" t="s">
        <v>1</v>
      </c>
      <c r="J3319" s="401" t="s">
        <v>3144</v>
      </c>
      <c r="K3319" s="403">
        <v>41428</v>
      </c>
      <c r="L3319" s="398">
        <v>41422</v>
      </c>
      <c r="M3319" s="402">
        <f t="shared" si="197"/>
        <v>6</v>
      </c>
      <c r="N3319" s="402" t="s">
        <v>2</v>
      </c>
      <c r="O3319" s="404">
        <f>5/2</f>
        <v>2.5</v>
      </c>
      <c r="P3319" s="402">
        <v>6.1</v>
      </c>
      <c r="Q3319" s="404">
        <v>7.4</v>
      </c>
      <c r="R3319" s="402">
        <v>31</v>
      </c>
      <c r="S3319" s="404">
        <v>69</v>
      </c>
      <c r="T3319" s="402">
        <v>0.26</v>
      </c>
      <c r="U3319" s="395">
        <f>1/2</f>
        <v>0.5</v>
      </c>
      <c r="V3319" s="402">
        <v>0.2</v>
      </c>
      <c r="W3319" s="404">
        <f>0.04/2</f>
        <v>0.02</v>
      </c>
      <c r="X3319" s="402">
        <v>0.16</v>
      </c>
      <c r="Y3319" s="404">
        <v>8.1000000000000003E-2</v>
      </c>
      <c r="Z3319" s="397"/>
      <c r="AA3319" s="399"/>
      <c r="AB3319" s="394"/>
      <c r="AC3319" s="402"/>
      <c r="AD3319" s="399"/>
      <c r="AE3319" s="402"/>
      <c r="AF3319" s="391"/>
      <c r="AG3319" s="394"/>
      <c r="AH3319" s="394"/>
      <c r="AI3319" s="394"/>
      <c r="AJ3319" s="394"/>
      <c r="AK3319" s="394"/>
      <c r="AL3319" s="394"/>
      <c r="AM3319" s="394"/>
      <c r="AN3319" s="394"/>
      <c r="AO3319" s="394"/>
      <c r="AP3319" s="394"/>
      <c r="AQ3319" s="394"/>
      <c r="AR3319" s="394"/>
      <c r="AS3319" s="402"/>
      <c r="AT3319" s="404"/>
      <c r="AU3319" s="394"/>
      <c r="AV3319" s="394"/>
      <c r="AW3319" s="394"/>
      <c r="AX3319" s="5"/>
      <c r="AY3319" s="5"/>
      <c r="AZ3319" s="5"/>
      <c r="BA3319" s="5"/>
      <c r="BB3319" s="5"/>
      <c r="BC3319" s="5"/>
      <c r="BD3319" s="5"/>
      <c r="BE3319" s="5"/>
      <c r="BF3319" s="5"/>
      <c r="BG3319" s="5"/>
      <c r="BH3319" s="5"/>
      <c r="BI3319" s="5"/>
      <c r="BJ3319" s="5"/>
      <c r="BK3319" s="5"/>
      <c r="BL3319" s="5"/>
      <c r="BM3319" s="5"/>
      <c r="BN3319" s="5"/>
      <c r="BO3319" s="5"/>
      <c r="BP3319" s="5"/>
      <c r="BQ3319" s="5"/>
      <c r="BR3319" s="5"/>
      <c r="BS3319" s="5"/>
      <c r="BT3319" s="5"/>
      <c r="BU3319" s="5"/>
      <c r="BV3319" s="5"/>
      <c r="BW3319" s="5"/>
      <c r="BX3319" s="5"/>
      <c r="BY3319" s="5"/>
      <c r="BZ3319" s="5"/>
      <c r="CA3319" s="5"/>
    </row>
    <row r="3320" spans="1:79" s="400" customFormat="1" ht="15" customHeight="1">
      <c r="A3320" s="41" t="s">
        <v>183</v>
      </c>
      <c r="B3320" s="386" t="s">
        <v>633</v>
      </c>
      <c r="C3320" s="149" t="s">
        <v>633</v>
      </c>
      <c r="D3320" s="393" t="s">
        <v>314</v>
      </c>
      <c r="E3320" s="258" t="s">
        <v>634</v>
      </c>
      <c r="F3320" s="402"/>
      <c r="G3320" s="405" t="s">
        <v>5810</v>
      </c>
      <c r="H3320" s="404">
        <v>3087</v>
      </c>
      <c r="I3320" s="402"/>
      <c r="J3320" s="404" t="s">
        <v>272</v>
      </c>
      <c r="K3320" s="403">
        <v>41402</v>
      </c>
      <c r="L3320" s="398">
        <v>41384</v>
      </c>
      <c r="M3320" s="402">
        <f t="shared" si="197"/>
        <v>18</v>
      </c>
      <c r="N3320" s="402" t="s">
        <v>2</v>
      </c>
      <c r="O3320" s="404">
        <v>52</v>
      </c>
      <c r="P3320" s="402">
        <v>5.53</v>
      </c>
      <c r="Q3320" s="404">
        <v>6.69</v>
      </c>
      <c r="R3320" s="402">
        <v>47</v>
      </c>
      <c r="S3320" s="404">
        <v>2000</v>
      </c>
      <c r="T3320" s="402">
        <v>2.36</v>
      </c>
      <c r="U3320" s="395">
        <v>10.7</v>
      </c>
      <c r="V3320" s="402">
        <v>0.08</v>
      </c>
      <c r="W3320" s="404">
        <v>5.3999999999999999E-2</v>
      </c>
      <c r="X3320" s="402">
        <v>0.60499999999999998</v>
      </c>
      <c r="Y3320" s="404">
        <v>1.6E-2</v>
      </c>
      <c r="Z3320" s="397"/>
      <c r="AA3320" s="399"/>
      <c r="AB3320" s="394"/>
      <c r="AC3320" s="402"/>
      <c r="AD3320" s="399"/>
      <c r="AE3320" s="402"/>
      <c r="AF3320" s="391"/>
      <c r="AG3320" s="394"/>
      <c r="AH3320" s="394"/>
      <c r="AI3320" s="394"/>
      <c r="AJ3320" s="394"/>
      <c r="AK3320" s="394"/>
      <c r="AL3320" s="394"/>
      <c r="AM3320" s="394"/>
      <c r="AN3320" s="394"/>
      <c r="AO3320" s="394"/>
      <c r="AP3320" s="394"/>
      <c r="AQ3320" s="394"/>
      <c r="AR3320" s="394"/>
      <c r="AS3320" s="402"/>
      <c r="AT3320" s="404"/>
      <c r="AU3320" s="394"/>
      <c r="AV3320" s="394"/>
      <c r="AW3320" s="394"/>
      <c r="AX3320" s="5"/>
      <c r="AY3320" s="5"/>
      <c r="AZ3320" s="5"/>
      <c r="BA3320" s="5"/>
      <c r="BB3320" s="5"/>
      <c r="BC3320" s="5"/>
      <c r="BD3320" s="5"/>
      <c r="BE3320" s="5"/>
      <c r="BF3320" s="5"/>
      <c r="BG3320" s="5"/>
      <c r="BH3320" s="5"/>
      <c r="BI3320" s="5"/>
      <c r="BJ3320" s="5"/>
      <c r="BK3320" s="5"/>
      <c r="BL3320" s="5"/>
      <c r="BM3320" s="5"/>
      <c r="BN3320" s="5"/>
      <c r="BO3320" s="5"/>
      <c r="BP3320" s="5"/>
      <c r="BQ3320" s="5"/>
      <c r="BR3320" s="5"/>
      <c r="BS3320" s="5"/>
      <c r="BT3320" s="5"/>
      <c r="BU3320" s="5"/>
      <c r="BV3320" s="5"/>
      <c r="BW3320" s="5"/>
      <c r="BX3320" s="5"/>
      <c r="BY3320" s="5"/>
      <c r="BZ3320" s="5"/>
      <c r="CA3320" s="5"/>
    </row>
    <row r="3321" spans="1:79" s="400" customFormat="1" ht="15" customHeight="1">
      <c r="A3321" s="41" t="s">
        <v>183</v>
      </c>
      <c r="B3321" s="386" t="s">
        <v>633</v>
      </c>
      <c r="C3321" s="149" t="s">
        <v>633</v>
      </c>
      <c r="D3321" s="393" t="s">
        <v>314</v>
      </c>
      <c r="E3321" s="258" t="s">
        <v>634</v>
      </c>
      <c r="F3321" s="402"/>
      <c r="G3321" s="405" t="s">
        <v>5810</v>
      </c>
      <c r="H3321" s="404">
        <v>3087</v>
      </c>
      <c r="I3321" s="402"/>
      <c r="J3321" s="404" t="s">
        <v>270</v>
      </c>
      <c r="K3321" s="403">
        <v>41402</v>
      </c>
      <c r="L3321" s="398">
        <v>41384</v>
      </c>
      <c r="M3321" s="402">
        <f t="shared" si="197"/>
        <v>18</v>
      </c>
      <c r="N3321" s="402" t="s">
        <v>2</v>
      </c>
      <c r="O3321" s="404">
        <f>1.4/2</f>
        <v>0.7</v>
      </c>
      <c r="P3321" s="402">
        <v>5.53</v>
      </c>
      <c r="Q3321" s="404">
        <v>6.22</v>
      </c>
      <c r="R3321" s="402">
        <v>19</v>
      </c>
      <c r="S3321" s="404">
        <v>180</v>
      </c>
      <c r="T3321" s="402">
        <v>0.46</v>
      </c>
      <c r="U3321" s="395">
        <v>1.29</v>
      </c>
      <c r="V3321" s="402">
        <v>0.03</v>
      </c>
      <c r="W3321" s="404">
        <v>0.01</v>
      </c>
      <c r="X3321" s="402">
        <v>0.1</v>
      </c>
      <c r="Y3321" s="404">
        <v>6.0000000000000001E-3</v>
      </c>
      <c r="Z3321" s="397"/>
      <c r="AA3321" s="399"/>
      <c r="AB3321" s="394"/>
      <c r="AC3321" s="402"/>
      <c r="AD3321" s="399"/>
      <c r="AE3321" s="402"/>
      <c r="AF3321" s="391"/>
      <c r="AG3321" s="394"/>
      <c r="AH3321" s="394"/>
      <c r="AI3321" s="394"/>
      <c r="AJ3321" s="394"/>
      <c r="AK3321" s="394"/>
      <c r="AL3321" s="394"/>
      <c r="AM3321" s="394"/>
      <c r="AN3321" s="394"/>
      <c r="AO3321" s="394"/>
      <c r="AP3321" s="394"/>
      <c r="AQ3321" s="394"/>
      <c r="AR3321" s="394"/>
      <c r="AS3321" s="402"/>
      <c r="AT3321" s="404"/>
      <c r="AU3321" s="394"/>
      <c r="AV3321" s="394"/>
      <c r="AW3321" s="394"/>
      <c r="AX3321" s="5"/>
      <c r="AY3321" s="5"/>
      <c r="AZ3321" s="5"/>
      <c r="BA3321" s="5"/>
      <c r="BB3321" s="5"/>
      <c r="BC3321" s="5"/>
      <c r="BD3321" s="5"/>
      <c r="BE3321" s="5"/>
      <c r="BF3321" s="5"/>
      <c r="BG3321" s="5"/>
      <c r="BH3321" s="5"/>
      <c r="BI3321" s="5"/>
      <c r="BJ3321" s="5"/>
      <c r="BK3321" s="5"/>
      <c r="BL3321" s="5"/>
      <c r="BM3321" s="5"/>
      <c r="BN3321" s="5"/>
      <c r="BO3321" s="5"/>
      <c r="BP3321" s="5"/>
      <c r="BQ3321" s="5"/>
      <c r="BR3321" s="5"/>
      <c r="BS3321" s="5"/>
      <c r="BT3321" s="5"/>
      <c r="BU3321" s="5"/>
      <c r="BV3321" s="5"/>
      <c r="BW3321" s="5"/>
      <c r="BX3321" s="5"/>
      <c r="BY3321" s="5"/>
      <c r="BZ3321" s="5"/>
      <c r="CA3321" s="5"/>
    </row>
    <row r="3322" spans="1:79" s="400" customFormat="1" ht="15" customHeight="1">
      <c r="A3322" s="41" t="s">
        <v>183</v>
      </c>
      <c r="B3322" s="402" t="s">
        <v>55</v>
      </c>
      <c r="C3322" s="113" t="s">
        <v>55</v>
      </c>
      <c r="D3322" s="393" t="s">
        <v>56</v>
      </c>
      <c r="E3322" s="394" t="s">
        <v>95</v>
      </c>
      <c r="F3322" s="402"/>
      <c r="G3322" s="405" t="s">
        <v>58</v>
      </c>
      <c r="H3322" s="404">
        <v>3441</v>
      </c>
      <c r="I3322" s="402" t="s">
        <v>1</v>
      </c>
      <c r="J3322" s="393" t="s">
        <v>59</v>
      </c>
      <c r="K3322" s="403">
        <v>41402</v>
      </c>
      <c r="L3322" s="398">
        <v>41379</v>
      </c>
      <c r="M3322" s="402">
        <f t="shared" si="197"/>
        <v>23</v>
      </c>
      <c r="N3322" s="402" t="s">
        <v>2</v>
      </c>
      <c r="O3322" s="404">
        <f>5/2</f>
        <v>2.5</v>
      </c>
      <c r="P3322" s="402">
        <v>6.74</v>
      </c>
      <c r="Q3322" s="404">
        <v>6.27</v>
      </c>
      <c r="R3322" s="402">
        <v>23</v>
      </c>
      <c r="S3322" s="404">
        <v>43</v>
      </c>
      <c r="T3322" s="402">
        <f>0.1/2</f>
        <v>0.05</v>
      </c>
      <c r="U3322" s="395">
        <f>1/2</f>
        <v>0.5</v>
      </c>
      <c r="V3322" s="402">
        <v>0.28000000000000003</v>
      </c>
      <c r="W3322" s="404">
        <v>6.0999999999999999E-2</v>
      </c>
      <c r="X3322" s="402">
        <v>6.0999999999999999E-2</v>
      </c>
      <c r="Y3322" s="404">
        <v>1.6E-2</v>
      </c>
      <c r="Z3322" s="397">
        <v>0.61599999999999999</v>
      </c>
      <c r="AA3322" s="399">
        <v>0.59499999999999997</v>
      </c>
      <c r="AB3322" s="394">
        <v>2.8</v>
      </c>
      <c r="AC3322" s="402">
        <v>33</v>
      </c>
      <c r="AD3322" s="399">
        <v>0</v>
      </c>
      <c r="AE3322" s="402"/>
      <c r="AF3322" s="391"/>
      <c r="AG3322" s="394"/>
      <c r="AH3322" s="394"/>
      <c r="AI3322" s="394">
        <f>1/2</f>
        <v>0.5</v>
      </c>
      <c r="AJ3322" s="394">
        <v>75</v>
      </c>
      <c r="AK3322" s="394"/>
      <c r="AL3322" s="394"/>
      <c r="AM3322" s="394"/>
      <c r="AN3322" s="394"/>
      <c r="AO3322" s="394"/>
      <c r="AP3322" s="394"/>
      <c r="AQ3322" s="394"/>
      <c r="AR3322" s="394"/>
      <c r="AS3322" s="402"/>
      <c r="AT3322" s="404"/>
      <c r="AU3322" s="394"/>
      <c r="AV3322" s="394"/>
      <c r="AW3322" s="394"/>
      <c r="AX3322" s="5"/>
      <c r="AY3322" s="5"/>
      <c r="AZ3322" s="5"/>
      <c r="BA3322" s="5"/>
      <c r="BB3322" s="5"/>
      <c r="BC3322" s="5"/>
      <c r="BD3322" s="5"/>
      <c r="BE3322" s="5"/>
      <c r="BF3322" s="5"/>
      <c r="BG3322" s="5"/>
      <c r="BH3322" s="5"/>
      <c r="BI3322" s="5"/>
      <c r="BJ3322" s="5"/>
      <c r="BK3322" s="5"/>
      <c r="BL3322" s="5"/>
      <c r="BM3322" s="5"/>
      <c r="BN3322" s="5"/>
      <c r="BO3322" s="5"/>
      <c r="BP3322" s="5"/>
      <c r="BQ3322" s="5"/>
      <c r="BR3322" s="5"/>
      <c r="BS3322" s="5"/>
      <c r="BT3322" s="5"/>
      <c r="BU3322" s="5"/>
      <c r="BV3322" s="5"/>
      <c r="BW3322" s="5"/>
      <c r="BX3322" s="5"/>
      <c r="BY3322" s="5"/>
      <c r="BZ3322" s="5"/>
      <c r="CA3322" s="5"/>
    </row>
    <row r="3323" spans="1:79" s="400" customFormat="1" ht="15" customHeight="1">
      <c r="A3323" s="41" t="s">
        <v>183</v>
      </c>
      <c r="B3323" s="402" t="s">
        <v>55</v>
      </c>
      <c r="C3323" s="113" t="s">
        <v>55</v>
      </c>
      <c r="D3323" s="393" t="s">
        <v>56</v>
      </c>
      <c r="E3323" s="394" t="s">
        <v>95</v>
      </c>
      <c r="F3323" s="402"/>
      <c r="G3323" s="405" t="s">
        <v>58</v>
      </c>
      <c r="H3323" s="404">
        <v>3441</v>
      </c>
      <c r="I3323" s="402" t="s">
        <v>1</v>
      </c>
      <c r="J3323" s="393" t="s">
        <v>60</v>
      </c>
      <c r="K3323" s="403">
        <v>41402</v>
      </c>
      <c r="L3323" s="398">
        <v>41379</v>
      </c>
      <c r="M3323" s="402">
        <f t="shared" si="197"/>
        <v>23</v>
      </c>
      <c r="N3323" s="402" t="s">
        <v>2</v>
      </c>
      <c r="O3323" s="404">
        <f>5/2</f>
        <v>2.5</v>
      </c>
      <c r="P3323" s="402">
        <v>6.74</v>
      </c>
      <c r="Q3323" s="404">
        <v>5.72</v>
      </c>
      <c r="R3323" s="402">
        <f t="shared" ref="R3323:S3325" si="198">5/2</f>
        <v>2.5</v>
      </c>
      <c r="S3323" s="404">
        <f t="shared" si="198"/>
        <v>2.5</v>
      </c>
      <c r="T3323" s="402">
        <f>0.1/2</f>
        <v>0.05</v>
      </c>
      <c r="U3323" s="395">
        <f>1/2</f>
        <v>0.5</v>
      </c>
      <c r="V3323" s="402">
        <v>0.18</v>
      </c>
      <c r="W3323" s="404">
        <v>6.2E-2</v>
      </c>
      <c r="X3323" s="402">
        <v>0.1</v>
      </c>
      <c r="Y3323" s="404">
        <v>0.04</v>
      </c>
      <c r="Z3323" s="397">
        <v>0.35399999999999998</v>
      </c>
      <c r="AA3323" s="399">
        <v>0.17699999999999999</v>
      </c>
      <c r="AB3323" s="394">
        <v>2.8</v>
      </c>
      <c r="AC3323" s="402">
        <v>18</v>
      </c>
      <c r="AD3323" s="399">
        <v>0</v>
      </c>
      <c r="AE3323" s="402"/>
      <c r="AF3323" s="391"/>
      <c r="AG3323" s="394"/>
      <c r="AH3323" s="394"/>
      <c r="AI3323" s="394">
        <v>18.7</v>
      </c>
      <c r="AJ3323" s="394">
        <v>52</v>
      </c>
      <c r="AK3323" s="394"/>
      <c r="AL3323" s="394"/>
      <c r="AM3323" s="394"/>
      <c r="AN3323" s="394"/>
      <c r="AO3323" s="394"/>
      <c r="AP3323" s="394"/>
      <c r="AQ3323" s="394"/>
      <c r="AR3323" s="394"/>
      <c r="AS3323" s="402"/>
      <c r="AT3323" s="404"/>
      <c r="AU3323" s="394"/>
      <c r="AV3323" s="394"/>
      <c r="AW3323" s="394"/>
      <c r="AX3323" s="5"/>
      <c r="AY3323" s="5"/>
      <c r="AZ3323" s="5"/>
      <c r="BA3323" s="5"/>
      <c r="BB3323" s="5"/>
      <c r="BC3323" s="5"/>
      <c r="BD3323" s="5"/>
      <c r="BE3323" s="5"/>
      <c r="BF3323" s="5"/>
      <c r="BG3323" s="5"/>
      <c r="BH3323" s="5"/>
      <c r="BI3323" s="5"/>
      <c r="BJ3323" s="5"/>
      <c r="BK3323" s="5"/>
      <c r="BL3323" s="5"/>
      <c r="BM3323" s="5"/>
      <c r="BN3323" s="5"/>
      <c r="BO3323" s="5"/>
      <c r="BP3323" s="5"/>
      <c r="BQ3323" s="5"/>
      <c r="BR3323" s="5"/>
      <c r="BS3323" s="5"/>
      <c r="BT3323" s="5"/>
      <c r="BU3323" s="5"/>
      <c r="BV3323" s="5"/>
      <c r="BW3323" s="5"/>
      <c r="BX3323" s="5"/>
      <c r="BY3323" s="5"/>
      <c r="BZ3323" s="5"/>
      <c r="CA3323" s="5"/>
    </row>
    <row r="3324" spans="1:79" s="400" customFormat="1" ht="15" customHeight="1">
      <c r="A3324" s="41" t="s">
        <v>183</v>
      </c>
      <c r="B3324" s="402" t="s">
        <v>55</v>
      </c>
      <c r="C3324" s="113" t="s">
        <v>55</v>
      </c>
      <c r="D3324" s="393" t="s">
        <v>56</v>
      </c>
      <c r="E3324" s="394" t="s">
        <v>95</v>
      </c>
      <c r="F3324" s="402"/>
      <c r="G3324" s="405" t="s">
        <v>58</v>
      </c>
      <c r="H3324" s="404">
        <v>3441</v>
      </c>
      <c r="I3324" s="402" t="s">
        <v>1</v>
      </c>
      <c r="J3324" s="393" t="s">
        <v>61</v>
      </c>
      <c r="K3324" s="403">
        <v>41402</v>
      </c>
      <c r="L3324" s="398">
        <v>41379</v>
      </c>
      <c r="M3324" s="402">
        <f t="shared" si="197"/>
        <v>23</v>
      </c>
      <c r="N3324" s="402" t="s">
        <v>2</v>
      </c>
      <c r="O3324" s="382">
        <f>5/2</f>
        <v>2.5</v>
      </c>
      <c r="P3324" s="402">
        <v>6.74</v>
      </c>
      <c r="Q3324" s="404">
        <v>5.6</v>
      </c>
      <c r="R3324" s="402">
        <f t="shared" si="198"/>
        <v>2.5</v>
      </c>
      <c r="S3324" s="404">
        <f t="shared" si="198"/>
        <v>2.5</v>
      </c>
      <c r="T3324" s="402">
        <v>0.26</v>
      </c>
      <c r="U3324" s="395">
        <v>1.2</v>
      </c>
      <c r="V3324" s="402">
        <v>0.2</v>
      </c>
      <c r="W3324" s="404">
        <v>5.3999999999999999E-2</v>
      </c>
      <c r="X3324" s="402">
        <v>0.13</v>
      </c>
      <c r="Y3324" s="404">
        <v>3.9E-2</v>
      </c>
      <c r="Z3324" s="397">
        <v>0.23300000000000001</v>
      </c>
      <c r="AA3324" s="399">
        <v>0.17299999999999999</v>
      </c>
      <c r="AB3324" s="394">
        <v>3.9</v>
      </c>
      <c r="AC3324" s="402">
        <v>29</v>
      </c>
      <c r="AD3324" s="399">
        <v>0</v>
      </c>
      <c r="AE3324" s="402"/>
      <c r="AF3324" s="391"/>
      <c r="AG3324" s="394"/>
      <c r="AH3324" s="394"/>
      <c r="AI3324" s="394">
        <v>17.3</v>
      </c>
      <c r="AJ3324" s="394">
        <v>132</v>
      </c>
      <c r="AK3324" s="394"/>
      <c r="AL3324" s="394"/>
      <c r="AM3324" s="394"/>
      <c r="AN3324" s="394"/>
      <c r="AO3324" s="394"/>
      <c r="AP3324" s="394"/>
      <c r="AQ3324" s="394"/>
      <c r="AR3324" s="394"/>
      <c r="AS3324" s="402"/>
      <c r="AT3324" s="404"/>
      <c r="AU3324" s="394"/>
      <c r="AV3324" s="394"/>
      <c r="AW3324" s="394"/>
      <c r="AX3324" s="5"/>
      <c r="AY3324" s="5"/>
      <c r="AZ3324" s="5"/>
      <c r="BA3324" s="5"/>
      <c r="BB3324" s="5"/>
      <c r="BC3324" s="5"/>
      <c r="BD3324" s="5"/>
      <c r="BE3324" s="5"/>
      <c r="BF3324" s="5"/>
      <c r="BG3324" s="5"/>
      <c r="BH3324" s="5"/>
      <c r="BI3324" s="5"/>
      <c r="BJ3324" s="5"/>
      <c r="BK3324" s="5"/>
      <c r="BL3324" s="5"/>
      <c r="BM3324" s="5"/>
      <c r="BN3324" s="5"/>
      <c r="BO3324" s="5"/>
      <c r="BP3324" s="5"/>
      <c r="BQ3324" s="5"/>
      <c r="BR3324" s="5"/>
      <c r="BS3324" s="5"/>
      <c r="BT3324" s="5"/>
      <c r="BU3324" s="5"/>
      <c r="BV3324" s="5"/>
      <c r="BW3324" s="5"/>
      <c r="BX3324" s="5"/>
      <c r="BY3324" s="5"/>
      <c r="BZ3324" s="5"/>
      <c r="CA3324" s="5"/>
    </row>
    <row r="3325" spans="1:79" s="400" customFormat="1" ht="15" customHeight="1">
      <c r="A3325" s="41" t="s">
        <v>183</v>
      </c>
      <c r="B3325" s="402" t="s">
        <v>55</v>
      </c>
      <c r="C3325" s="113" t="s">
        <v>55</v>
      </c>
      <c r="D3325" s="393" t="s">
        <v>56</v>
      </c>
      <c r="E3325" s="394" t="s">
        <v>95</v>
      </c>
      <c r="F3325" s="402"/>
      <c r="G3325" s="405" t="s">
        <v>58</v>
      </c>
      <c r="H3325" s="404">
        <v>3441</v>
      </c>
      <c r="I3325" s="402" t="s">
        <v>1</v>
      </c>
      <c r="J3325" s="393" t="s">
        <v>62</v>
      </c>
      <c r="K3325" s="403">
        <v>41402</v>
      </c>
      <c r="L3325" s="398">
        <v>41379</v>
      </c>
      <c r="M3325" s="402">
        <f t="shared" si="197"/>
        <v>23</v>
      </c>
      <c r="N3325" s="402" t="s">
        <v>2</v>
      </c>
      <c r="O3325" s="404">
        <f>5/2</f>
        <v>2.5</v>
      </c>
      <c r="P3325" s="402">
        <v>6.74</v>
      </c>
      <c r="Q3325" s="404">
        <v>5.95</v>
      </c>
      <c r="R3325" s="402">
        <f t="shared" si="198"/>
        <v>2.5</v>
      </c>
      <c r="S3325" s="404">
        <f t="shared" si="198"/>
        <v>2.5</v>
      </c>
      <c r="T3325" s="402">
        <f>0.1/2</f>
        <v>0.05</v>
      </c>
      <c r="U3325" s="395">
        <f>1/2</f>
        <v>0.5</v>
      </c>
      <c r="V3325" s="402">
        <v>0.24</v>
      </c>
      <c r="W3325" s="404">
        <f>0.04/2</f>
        <v>0.02</v>
      </c>
      <c r="X3325" s="402">
        <v>0.17</v>
      </c>
      <c r="Y3325" s="404">
        <v>4.1000000000000002E-2</v>
      </c>
      <c r="Z3325" s="397">
        <v>0.70699999999999996</v>
      </c>
      <c r="AA3325" s="399">
        <v>0.70699999999999996</v>
      </c>
      <c r="AB3325" s="394">
        <v>5.0999999999999996</v>
      </c>
      <c r="AC3325" s="402">
        <v>26</v>
      </c>
      <c r="AD3325" s="399">
        <v>0</v>
      </c>
      <c r="AE3325" s="402"/>
      <c r="AF3325" s="391"/>
      <c r="AG3325" s="394"/>
      <c r="AH3325" s="394"/>
      <c r="AI3325" s="394">
        <v>3.1</v>
      </c>
      <c r="AJ3325" s="394">
        <v>350</v>
      </c>
      <c r="AK3325" s="394"/>
      <c r="AL3325" s="394"/>
      <c r="AM3325" s="394"/>
      <c r="AN3325" s="394"/>
      <c r="AO3325" s="394"/>
      <c r="AP3325" s="394"/>
      <c r="AQ3325" s="394"/>
      <c r="AR3325" s="394"/>
      <c r="AS3325" s="402"/>
      <c r="AT3325" s="404"/>
      <c r="AU3325" s="394"/>
      <c r="AV3325" s="394"/>
      <c r="AW3325" s="394"/>
      <c r="AX3325" s="5"/>
      <c r="AY3325" s="5"/>
      <c r="AZ3325" s="5"/>
      <c r="BA3325" s="5"/>
      <c r="BB3325" s="5"/>
      <c r="BC3325" s="5"/>
      <c r="BD3325" s="5"/>
      <c r="BE3325" s="5"/>
      <c r="BF3325" s="5"/>
      <c r="BG3325" s="5"/>
      <c r="BH3325" s="5"/>
      <c r="BI3325" s="5"/>
      <c r="BJ3325" s="5"/>
      <c r="BK3325" s="5"/>
      <c r="BL3325" s="5"/>
      <c r="BM3325" s="5"/>
      <c r="BN3325" s="5"/>
      <c r="BO3325" s="5"/>
      <c r="BP3325" s="5"/>
      <c r="BQ3325" s="5"/>
      <c r="BR3325" s="5"/>
      <c r="BS3325" s="5"/>
      <c r="BT3325" s="5"/>
      <c r="BU3325" s="5"/>
      <c r="BV3325" s="5"/>
      <c r="BW3325" s="5"/>
      <c r="BX3325" s="5"/>
      <c r="BY3325" s="5"/>
      <c r="BZ3325" s="5"/>
      <c r="CA3325" s="5"/>
    </row>
    <row r="3326" spans="1:79" s="400" customFormat="1" ht="15" customHeight="1">
      <c r="A3326" s="41" t="s">
        <v>183</v>
      </c>
      <c r="B3326" s="402" t="s">
        <v>4213</v>
      </c>
      <c r="C3326" s="113" t="s">
        <v>4214</v>
      </c>
      <c r="D3326" s="393"/>
      <c r="E3326" s="394"/>
      <c r="F3326" s="402" t="s">
        <v>3336</v>
      </c>
      <c r="G3326" s="405" t="s">
        <v>4215</v>
      </c>
      <c r="H3326" s="404">
        <v>4212</v>
      </c>
      <c r="I3326" s="402" t="s">
        <v>2</v>
      </c>
      <c r="J3326" s="406" t="s">
        <v>366</v>
      </c>
      <c r="K3326" s="403">
        <v>41332</v>
      </c>
      <c r="L3326" s="398">
        <v>41329</v>
      </c>
      <c r="M3326" s="402">
        <f t="shared" si="197"/>
        <v>3</v>
      </c>
      <c r="N3326" s="402" t="s">
        <v>2</v>
      </c>
      <c r="O3326" s="404">
        <v>52</v>
      </c>
      <c r="P3326" s="402">
        <v>7.73</v>
      </c>
      <c r="Q3326" s="404">
        <v>7.18</v>
      </c>
      <c r="R3326" s="402">
        <v>178</v>
      </c>
      <c r="S3326" s="404">
        <v>570</v>
      </c>
      <c r="T3326" s="402">
        <v>0.59</v>
      </c>
      <c r="U3326" s="395">
        <v>2.0499999999999998</v>
      </c>
      <c r="V3326" s="402">
        <v>0.01</v>
      </c>
      <c r="W3326" s="404">
        <v>7.1999999999999995E-2</v>
      </c>
      <c r="X3326" s="402">
        <v>0.48299999999999998</v>
      </c>
      <c r="Y3326" s="404">
        <v>0.114</v>
      </c>
      <c r="Z3326" s="397">
        <v>1</v>
      </c>
      <c r="AA3326" s="399">
        <v>1</v>
      </c>
      <c r="AB3326" s="394">
        <v>14</v>
      </c>
      <c r="AC3326" s="402">
        <v>57</v>
      </c>
      <c r="AD3326" s="399">
        <v>1</v>
      </c>
      <c r="AE3326" s="402"/>
      <c r="AF3326" s="391"/>
      <c r="AG3326" s="394"/>
      <c r="AH3326" s="394"/>
      <c r="AI3326" s="394"/>
      <c r="AJ3326" s="394"/>
      <c r="AK3326" s="394"/>
      <c r="AL3326" s="394"/>
      <c r="AM3326" s="394"/>
      <c r="AN3326" s="394"/>
      <c r="AO3326" s="394"/>
      <c r="AP3326" s="394"/>
      <c r="AQ3326" s="394"/>
      <c r="AR3326" s="394"/>
      <c r="AS3326" s="402"/>
      <c r="AT3326" s="404"/>
      <c r="AU3326" s="394"/>
      <c r="AV3326" s="394"/>
      <c r="AW3326" s="394"/>
      <c r="AX3326" s="5"/>
      <c r="AY3326" s="5"/>
      <c r="AZ3326" s="5"/>
      <c r="BA3326" s="5"/>
      <c r="BB3326" s="5"/>
      <c r="BC3326" s="5"/>
      <c r="BD3326" s="5"/>
      <c r="BE3326" s="5"/>
      <c r="BF3326" s="5"/>
      <c r="BG3326" s="5"/>
      <c r="BH3326" s="5"/>
      <c r="BI3326" s="5"/>
      <c r="BJ3326" s="5"/>
      <c r="BK3326" s="5"/>
      <c r="BL3326" s="5"/>
      <c r="BM3326" s="5"/>
      <c r="BN3326" s="5"/>
      <c r="BO3326" s="5"/>
      <c r="BP3326" s="5"/>
      <c r="BQ3326" s="5"/>
      <c r="BR3326" s="5"/>
      <c r="BS3326" s="5"/>
      <c r="BT3326" s="5"/>
      <c r="BU3326" s="5"/>
      <c r="BV3326" s="5"/>
      <c r="BW3326" s="5"/>
      <c r="BX3326" s="5"/>
      <c r="BY3326" s="5"/>
      <c r="BZ3326" s="5"/>
      <c r="CA3326" s="5"/>
    </row>
    <row r="3327" spans="1:79" s="400" customFormat="1" ht="15" customHeight="1">
      <c r="A3327" s="41" t="s">
        <v>183</v>
      </c>
      <c r="B3327" s="402" t="s">
        <v>4453</v>
      </c>
      <c r="C3327" s="113" t="s">
        <v>4453</v>
      </c>
      <c r="D3327" s="393" t="s">
        <v>1683</v>
      </c>
      <c r="E3327" s="394" t="s">
        <v>304</v>
      </c>
      <c r="F3327" s="402"/>
      <c r="G3327" s="405" t="s">
        <v>4454</v>
      </c>
      <c r="H3327" s="404">
        <v>3069</v>
      </c>
      <c r="I3327" s="402"/>
      <c r="J3327" s="406" t="s">
        <v>74</v>
      </c>
      <c r="K3327" s="403">
        <v>41495</v>
      </c>
      <c r="L3327" s="398" t="s">
        <v>5380</v>
      </c>
      <c r="M3327" s="402"/>
      <c r="N3327" s="402" t="s">
        <v>2</v>
      </c>
      <c r="O3327" s="404">
        <f>5/2</f>
        <v>2.5</v>
      </c>
      <c r="P3327" s="402">
        <v>6.9</v>
      </c>
      <c r="Q3327" s="404">
        <v>6.49</v>
      </c>
      <c r="R3327" s="402">
        <v>53</v>
      </c>
      <c r="S3327" s="404">
        <v>59</v>
      </c>
      <c r="T3327" s="402">
        <v>0.22</v>
      </c>
      <c r="U3327" s="395">
        <v>1.6</v>
      </c>
      <c r="V3327" s="402">
        <v>0.6</v>
      </c>
      <c r="W3327" s="404">
        <f>0.04/2</f>
        <v>0.02</v>
      </c>
      <c r="X3327" s="402">
        <v>9.5000000000000001E-2</v>
      </c>
      <c r="Y3327" s="404">
        <f>0.013/2</f>
        <v>6.4999999999999997E-3</v>
      </c>
      <c r="Z3327" s="397"/>
      <c r="AA3327" s="399"/>
      <c r="AB3327" s="394"/>
      <c r="AC3327" s="402"/>
      <c r="AD3327" s="399"/>
      <c r="AE3327" s="402"/>
      <c r="AF3327" s="391"/>
      <c r="AG3327" s="394"/>
      <c r="AH3327" s="394"/>
      <c r="AI3327" s="394"/>
      <c r="AJ3327" s="394"/>
      <c r="AK3327" s="394"/>
      <c r="AL3327" s="394"/>
      <c r="AM3327" s="394"/>
      <c r="AN3327" s="394"/>
      <c r="AO3327" s="394"/>
      <c r="AP3327" s="394"/>
      <c r="AQ3327" s="394"/>
      <c r="AR3327" s="394"/>
      <c r="AS3327" s="402"/>
      <c r="AT3327" s="404"/>
      <c r="AU3327" s="394"/>
      <c r="AV3327" s="394"/>
      <c r="AW3327" s="394"/>
      <c r="AX3327" s="5"/>
      <c r="AY3327" s="5"/>
      <c r="AZ3327" s="5"/>
      <c r="BA3327" s="5"/>
      <c r="BB3327" s="5"/>
      <c r="BC3327" s="5"/>
      <c r="BD3327" s="5"/>
      <c r="BE3327" s="5"/>
      <c r="BF3327" s="5"/>
      <c r="BG3327" s="5"/>
      <c r="BH3327" s="5"/>
      <c r="BI3327" s="5"/>
      <c r="BJ3327" s="5"/>
      <c r="BK3327" s="5"/>
      <c r="BL3327" s="5"/>
      <c r="BM3327" s="5"/>
      <c r="BN3327" s="5"/>
      <c r="BO3327" s="5"/>
      <c r="BP3327" s="5"/>
      <c r="BQ3327" s="5"/>
      <c r="BR3327" s="5"/>
      <c r="BS3327" s="5"/>
      <c r="BT3327" s="5"/>
      <c r="BU3327" s="5"/>
      <c r="BV3327" s="5"/>
      <c r="BW3327" s="5"/>
      <c r="BX3327" s="5"/>
      <c r="BY3327" s="5"/>
      <c r="BZ3327" s="5"/>
      <c r="CA3327" s="5"/>
    </row>
    <row r="3328" spans="1:79" s="400" customFormat="1" ht="15" customHeight="1">
      <c r="A3328" s="41" t="s">
        <v>183</v>
      </c>
      <c r="B3328" s="402" t="s">
        <v>4453</v>
      </c>
      <c r="C3328" s="113" t="s">
        <v>4453</v>
      </c>
      <c r="D3328" s="393" t="s">
        <v>1683</v>
      </c>
      <c r="E3328" s="394" t="s">
        <v>304</v>
      </c>
      <c r="F3328" s="402"/>
      <c r="G3328" s="405" t="s">
        <v>4454</v>
      </c>
      <c r="H3328" s="404">
        <v>3069</v>
      </c>
      <c r="I3328" s="402"/>
      <c r="J3328" s="406" t="s">
        <v>75</v>
      </c>
      <c r="K3328" s="403">
        <v>41495</v>
      </c>
      <c r="L3328" s="398" t="s">
        <v>5380</v>
      </c>
      <c r="M3328" s="402"/>
      <c r="N3328" s="402" t="s">
        <v>2</v>
      </c>
      <c r="O3328" s="404">
        <f>5/2</f>
        <v>2.5</v>
      </c>
      <c r="P3328" s="402">
        <v>6.9</v>
      </c>
      <c r="Q3328" s="404">
        <v>6.41</v>
      </c>
      <c r="R3328" s="402">
        <v>33</v>
      </c>
      <c r="S3328" s="404">
        <v>13</v>
      </c>
      <c r="T3328" s="402">
        <v>0.17</v>
      </c>
      <c r="U3328" s="395">
        <v>11</v>
      </c>
      <c r="V3328" s="402">
        <v>0.43</v>
      </c>
      <c r="W3328" s="404">
        <f>0.04/2</f>
        <v>0.02</v>
      </c>
      <c r="X3328" s="402">
        <v>4.2999999999999997E-2</v>
      </c>
      <c r="Y3328" s="404">
        <f>0.013/2</f>
        <v>6.4999999999999997E-3</v>
      </c>
      <c r="Z3328" s="397"/>
      <c r="AA3328" s="399"/>
      <c r="AB3328" s="394"/>
      <c r="AC3328" s="402"/>
      <c r="AD3328" s="399"/>
      <c r="AE3328" s="402"/>
      <c r="AF3328" s="391"/>
      <c r="AG3328" s="394"/>
      <c r="AH3328" s="394"/>
      <c r="AI3328" s="394"/>
      <c r="AJ3328" s="394"/>
      <c r="AK3328" s="394"/>
      <c r="AL3328" s="394"/>
      <c r="AM3328" s="394"/>
      <c r="AN3328" s="394"/>
      <c r="AO3328" s="394"/>
      <c r="AP3328" s="394"/>
      <c r="AQ3328" s="394"/>
      <c r="AR3328" s="394"/>
      <c r="AS3328" s="402"/>
      <c r="AT3328" s="404"/>
      <c r="AU3328" s="394"/>
      <c r="AV3328" s="394"/>
      <c r="AW3328" s="394"/>
      <c r="AX3328" s="5"/>
      <c r="AY3328" s="5"/>
      <c r="AZ3328" s="5"/>
      <c r="BA3328" s="5"/>
      <c r="BB3328" s="5"/>
      <c r="BC3328" s="5"/>
      <c r="BD3328" s="5"/>
      <c r="BE3328" s="5"/>
      <c r="BF3328" s="5"/>
      <c r="BG3328" s="5"/>
      <c r="BH3328" s="5"/>
      <c r="BI3328" s="5"/>
      <c r="BJ3328" s="5"/>
      <c r="BK3328" s="5"/>
      <c r="BL3328" s="5"/>
      <c r="BM3328" s="5"/>
      <c r="BN3328" s="5"/>
      <c r="BO3328" s="5"/>
      <c r="BP3328" s="5"/>
      <c r="BQ3328" s="5"/>
      <c r="BR3328" s="5"/>
      <c r="BS3328" s="5"/>
      <c r="BT3328" s="5"/>
      <c r="BU3328" s="5"/>
      <c r="BV3328" s="5"/>
      <c r="BW3328" s="5"/>
      <c r="BX3328" s="5"/>
      <c r="BY3328" s="5"/>
      <c r="BZ3328" s="5"/>
      <c r="CA3328" s="5"/>
    </row>
    <row r="3329" spans="1:79" s="400" customFormat="1" ht="15" customHeight="1">
      <c r="A3329" s="41" t="s">
        <v>183</v>
      </c>
      <c r="B3329" s="402" t="s">
        <v>590</v>
      </c>
      <c r="C3329" s="113" t="s">
        <v>604</v>
      </c>
      <c r="D3329" s="393" t="s">
        <v>308</v>
      </c>
      <c r="E3329" s="394" t="s">
        <v>235</v>
      </c>
      <c r="F3329" s="402"/>
      <c r="G3329" s="405" t="s">
        <v>605</v>
      </c>
      <c r="H3329" s="404">
        <v>7538</v>
      </c>
      <c r="I3329" s="402" t="s">
        <v>2</v>
      </c>
      <c r="J3329" s="392" t="s">
        <v>366</v>
      </c>
      <c r="K3329" s="403">
        <v>41499</v>
      </c>
      <c r="L3329" s="398">
        <v>41495</v>
      </c>
      <c r="M3329" s="402">
        <f t="shared" si="197"/>
        <v>4</v>
      </c>
      <c r="N3329" s="402" t="s">
        <v>2</v>
      </c>
      <c r="O3329" s="404">
        <f>1.9/2</f>
        <v>0.95</v>
      </c>
      <c r="P3329" s="402">
        <v>5</v>
      </c>
      <c r="Q3329" s="404">
        <v>7.44</v>
      </c>
      <c r="R3329" s="402">
        <v>132</v>
      </c>
      <c r="S3329" s="404">
        <v>130</v>
      </c>
      <c r="T3329" s="402">
        <v>0.35</v>
      </c>
      <c r="U3329" s="395">
        <v>1.7</v>
      </c>
      <c r="V3329" s="402">
        <v>0.32</v>
      </c>
      <c r="W3329" s="404">
        <v>4.5999999999999999E-2</v>
      </c>
      <c r="X3329" s="402">
        <v>0.182</v>
      </c>
      <c r="Y3329" s="404">
        <v>3.2000000000000001E-2</v>
      </c>
      <c r="Z3329" s="397"/>
      <c r="AA3329" s="399"/>
      <c r="AB3329" s="394"/>
      <c r="AC3329" s="402"/>
      <c r="AD3329" s="399"/>
      <c r="AE3329" s="402"/>
      <c r="AF3329" s="391"/>
      <c r="AG3329" s="394"/>
      <c r="AH3329" s="394"/>
      <c r="AI3329" s="394"/>
      <c r="AJ3329" s="394"/>
      <c r="AK3329" s="394"/>
      <c r="AL3329" s="394"/>
      <c r="AM3329" s="394"/>
      <c r="AN3329" s="394"/>
      <c r="AO3329" s="394"/>
      <c r="AP3329" s="394"/>
      <c r="AQ3329" s="394"/>
      <c r="AR3329" s="394"/>
      <c r="AS3329" s="402"/>
      <c r="AT3329" s="404"/>
      <c r="AU3329" s="394"/>
      <c r="AV3329" s="394"/>
      <c r="AW3329" s="394"/>
      <c r="AX3329" s="5"/>
      <c r="AY3329" s="5"/>
      <c r="AZ3329" s="5"/>
      <c r="BA3329" s="5"/>
      <c r="BB3329" s="5"/>
      <c r="BC3329" s="5"/>
      <c r="BD3329" s="5"/>
      <c r="BE3329" s="5"/>
      <c r="BF3329" s="5"/>
      <c r="BG3329" s="5"/>
      <c r="BH3329" s="5"/>
      <c r="BI3329" s="5"/>
      <c r="BJ3329" s="5"/>
      <c r="BK3329" s="5"/>
      <c r="BL3329" s="5"/>
      <c r="BM3329" s="5"/>
      <c r="BN3329" s="5"/>
      <c r="BO3329" s="5"/>
      <c r="BP3329" s="5"/>
      <c r="BQ3329" s="5"/>
      <c r="BR3329" s="5"/>
      <c r="BS3329" s="5"/>
      <c r="BT3329" s="5"/>
      <c r="BU3329" s="5"/>
      <c r="BV3329" s="5"/>
      <c r="BW3329" s="5"/>
      <c r="BX3329" s="5"/>
      <c r="BY3329" s="5"/>
      <c r="BZ3329" s="5"/>
      <c r="CA3329" s="5"/>
    </row>
    <row r="3330" spans="1:79" s="400" customFormat="1" ht="15" customHeight="1">
      <c r="A3330" s="41" t="s">
        <v>183</v>
      </c>
      <c r="B3330" s="402" t="s">
        <v>590</v>
      </c>
      <c r="C3330" s="113" t="s">
        <v>604</v>
      </c>
      <c r="D3330" s="393" t="s">
        <v>308</v>
      </c>
      <c r="E3330" s="394" t="s">
        <v>235</v>
      </c>
      <c r="F3330" s="402"/>
      <c r="G3330" s="405" t="s">
        <v>605</v>
      </c>
      <c r="H3330" s="404">
        <v>7538</v>
      </c>
      <c r="I3330" s="402" t="s">
        <v>2</v>
      </c>
      <c r="J3330" s="392" t="s">
        <v>593</v>
      </c>
      <c r="K3330" s="403">
        <v>41499</v>
      </c>
      <c r="L3330" s="398">
        <v>41495</v>
      </c>
      <c r="M3330" s="402">
        <f t="shared" si="197"/>
        <v>4</v>
      </c>
      <c r="N3330" s="402" t="s">
        <v>2</v>
      </c>
      <c r="O3330" s="404">
        <v>5.5</v>
      </c>
      <c r="P3330" s="402">
        <v>5</v>
      </c>
      <c r="Q3330" s="404">
        <v>6.94</v>
      </c>
      <c r="R3330" s="402">
        <v>124</v>
      </c>
      <c r="S3330" s="404">
        <v>58</v>
      </c>
      <c r="T3330" s="402">
        <v>0.23</v>
      </c>
      <c r="U3330" s="395">
        <v>1.99</v>
      </c>
      <c r="V3330" s="402">
        <v>0.71</v>
      </c>
      <c r="W3330" s="404">
        <v>2.7E-2</v>
      </c>
      <c r="X3330" s="402">
        <v>7.4999999999999997E-2</v>
      </c>
      <c r="Y3330" s="404">
        <v>1.2999999999999999E-2</v>
      </c>
      <c r="Z3330" s="397"/>
      <c r="AA3330" s="399"/>
      <c r="AB3330" s="394"/>
      <c r="AC3330" s="402"/>
      <c r="AD3330" s="399"/>
      <c r="AE3330" s="402"/>
      <c r="AF3330" s="391"/>
      <c r="AG3330" s="394"/>
      <c r="AH3330" s="394"/>
      <c r="AI3330" s="394"/>
      <c r="AJ3330" s="394"/>
      <c r="AK3330" s="394"/>
      <c r="AL3330" s="394"/>
      <c r="AM3330" s="394"/>
      <c r="AN3330" s="394"/>
      <c r="AO3330" s="394"/>
      <c r="AP3330" s="394"/>
      <c r="AQ3330" s="394"/>
      <c r="AR3330" s="394"/>
      <c r="AS3330" s="402"/>
      <c r="AT3330" s="404"/>
      <c r="AU3330" s="394"/>
      <c r="AV3330" s="394"/>
      <c r="AW3330" s="394"/>
      <c r="AX3330" s="5"/>
      <c r="AY3330" s="5"/>
      <c r="AZ3330" s="5"/>
      <c r="BA3330" s="5"/>
      <c r="BB3330" s="5"/>
      <c r="BC3330" s="5"/>
      <c r="BD3330" s="5"/>
      <c r="BE3330" s="5"/>
      <c r="BF3330" s="5"/>
      <c r="BG3330" s="5"/>
      <c r="BH3330" s="5"/>
      <c r="BI3330" s="5"/>
      <c r="BJ3330" s="5"/>
      <c r="BK3330" s="5"/>
      <c r="BL3330" s="5"/>
      <c r="BM3330" s="5"/>
      <c r="BN3330" s="5"/>
      <c r="BO3330" s="5"/>
      <c r="BP3330" s="5"/>
      <c r="BQ3330" s="5"/>
      <c r="BR3330" s="5"/>
      <c r="BS3330" s="5"/>
      <c r="BT3330" s="5"/>
      <c r="BU3330" s="5"/>
      <c r="BV3330" s="5"/>
      <c r="BW3330" s="5"/>
      <c r="BX3330" s="5"/>
      <c r="BY3330" s="5"/>
      <c r="BZ3330" s="5"/>
      <c r="CA3330" s="5"/>
    </row>
    <row r="3331" spans="1:79" s="400" customFormat="1" ht="15" customHeight="1">
      <c r="A3331" s="41" t="s">
        <v>183</v>
      </c>
      <c r="B3331" s="402" t="s">
        <v>590</v>
      </c>
      <c r="C3331" s="113" t="s">
        <v>604</v>
      </c>
      <c r="D3331" s="393" t="s">
        <v>308</v>
      </c>
      <c r="E3331" s="394" t="s">
        <v>235</v>
      </c>
      <c r="F3331" s="402"/>
      <c r="G3331" s="405" t="s">
        <v>605</v>
      </c>
      <c r="H3331" s="404">
        <v>7538</v>
      </c>
      <c r="I3331" s="402" t="s">
        <v>2</v>
      </c>
      <c r="J3331" s="392" t="s">
        <v>477</v>
      </c>
      <c r="K3331" s="403">
        <v>41499</v>
      </c>
      <c r="L3331" s="398">
        <v>41495</v>
      </c>
      <c r="M3331" s="402">
        <f t="shared" si="197"/>
        <v>4</v>
      </c>
      <c r="N3331" s="402" t="s">
        <v>2</v>
      </c>
      <c r="O3331" s="404">
        <v>2</v>
      </c>
      <c r="P3331" s="402">
        <v>5</v>
      </c>
      <c r="Q3331" s="404">
        <v>7.17</v>
      </c>
      <c r="R3331" s="402">
        <v>45</v>
      </c>
      <c r="S3331" s="404">
        <v>29</v>
      </c>
      <c r="T3331" s="402">
        <v>0.08</v>
      </c>
      <c r="U3331" s="395">
        <v>0.68</v>
      </c>
      <c r="V3331" s="402">
        <v>0.96</v>
      </c>
      <c r="W3331" s="404">
        <v>1.4999999999999999E-2</v>
      </c>
      <c r="X3331" s="402">
        <v>5.8000000000000003E-2</v>
      </c>
      <c r="Y3331" s="404">
        <v>8.9999999999999993E-3</v>
      </c>
      <c r="Z3331" s="397"/>
      <c r="AA3331" s="399"/>
      <c r="AB3331" s="394"/>
      <c r="AC3331" s="402"/>
      <c r="AD3331" s="399"/>
      <c r="AE3331" s="402"/>
      <c r="AF3331" s="391"/>
      <c r="AG3331" s="394"/>
      <c r="AH3331" s="394"/>
      <c r="AI3331" s="394"/>
      <c r="AJ3331" s="394"/>
      <c r="AK3331" s="394"/>
      <c r="AL3331" s="394"/>
      <c r="AM3331" s="394"/>
      <c r="AN3331" s="394"/>
      <c r="AO3331" s="394"/>
      <c r="AP3331" s="394"/>
      <c r="AQ3331" s="394"/>
      <c r="AR3331" s="394"/>
      <c r="AS3331" s="402"/>
      <c r="AT3331" s="404"/>
      <c r="AU3331" s="394"/>
      <c r="AV3331" s="394"/>
      <c r="AW3331" s="394"/>
      <c r="AX3331" s="5"/>
      <c r="AY3331" s="5"/>
      <c r="AZ3331" s="5"/>
      <c r="BA3331" s="5"/>
      <c r="BB3331" s="5"/>
      <c r="BC3331" s="5"/>
      <c r="BD3331" s="5"/>
      <c r="BE3331" s="5"/>
      <c r="BF3331" s="5"/>
      <c r="BG3331" s="5"/>
      <c r="BH3331" s="5"/>
      <c r="BI3331" s="5"/>
      <c r="BJ3331" s="5"/>
      <c r="BK3331" s="5"/>
      <c r="BL3331" s="5"/>
      <c r="BM3331" s="5"/>
      <c r="BN3331" s="5"/>
      <c r="BO3331" s="5"/>
      <c r="BP3331" s="5"/>
      <c r="BQ3331" s="5"/>
      <c r="BR3331" s="5"/>
      <c r="BS3331" s="5"/>
      <c r="BT3331" s="5"/>
      <c r="BU3331" s="5"/>
      <c r="BV3331" s="5"/>
      <c r="BW3331" s="5"/>
      <c r="BX3331" s="5"/>
      <c r="BY3331" s="5"/>
      <c r="BZ3331" s="5"/>
      <c r="CA3331" s="5"/>
    </row>
    <row r="3332" spans="1:79" s="400" customFormat="1" ht="15" customHeight="1">
      <c r="A3332" s="41" t="s">
        <v>183</v>
      </c>
      <c r="B3332" s="402" t="s">
        <v>590</v>
      </c>
      <c r="C3332" s="113" t="s">
        <v>604</v>
      </c>
      <c r="D3332" s="393" t="s">
        <v>308</v>
      </c>
      <c r="E3332" s="394" t="s">
        <v>235</v>
      </c>
      <c r="F3332" s="402"/>
      <c r="G3332" s="405" t="s">
        <v>605</v>
      </c>
      <c r="H3332" s="404">
        <v>7538</v>
      </c>
      <c r="I3332" s="402" t="s">
        <v>2</v>
      </c>
      <c r="J3332" s="392" t="s">
        <v>474</v>
      </c>
      <c r="K3332" s="403">
        <v>41499</v>
      </c>
      <c r="L3332" s="398">
        <v>41495</v>
      </c>
      <c r="M3332" s="402">
        <f t="shared" si="197"/>
        <v>4</v>
      </c>
      <c r="N3332" s="402" t="s">
        <v>2</v>
      </c>
      <c r="O3332" s="404">
        <f>1.9/2</f>
        <v>0.95</v>
      </c>
      <c r="P3332" s="402">
        <v>5</v>
      </c>
      <c r="Q3332" s="404">
        <v>7.26</v>
      </c>
      <c r="R3332" s="402">
        <v>52</v>
      </c>
      <c r="S3332" s="404">
        <v>20</v>
      </c>
      <c r="T3332" s="402">
        <v>0.09</v>
      </c>
      <c r="U3332" s="395">
        <v>0.75</v>
      </c>
      <c r="V3332" s="402">
        <v>0.38</v>
      </c>
      <c r="W3332" s="404">
        <v>1.2E-2</v>
      </c>
      <c r="X3332" s="402">
        <v>4.3999999999999997E-2</v>
      </c>
      <c r="Y3332" s="404">
        <v>5.0000000000000001E-3</v>
      </c>
      <c r="Z3332" s="397"/>
      <c r="AA3332" s="399"/>
      <c r="AB3332" s="394"/>
      <c r="AC3332" s="402"/>
      <c r="AD3332" s="399"/>
      <c r="AE3332" s="402"/>
      <c r="AF3332" s="391"/>
      <c r="AG3332" s="394"/>
      <c r="AH3332" s="394"/>
      <c r="AI3332" s="394"/>
      <c r="AJ3332" s="394"/>
      <c r="AK3332" s="394"/>
      <c r="AL3332" s="394"/>
      <c r="AM3332" s="394"/>
      <c r="AN3332" s="394"/>
      <c r="AO3332" s="394"/>
      <c r="AP3332" s="394"/>
      <c r="AQ3332" s="394"/>
      <c r="AR3332" s="394"/>
      <c r="AS3332" s="402"/>
      <c r="AT3332" s="404"/>
      <c r="AU3332" s="394"/>
      <c r="AV3332" s="394"/>
      <c r="AW3332" s="394"/>
      <c r="AX3332" s="5"/>
      <c r="AY3332" s="5"/>
      <c r="AZ3332" s="5"/>
      <c r="BA3332" s="5"/>
      <c r="BB3332" s="5"/>
      <c r="BC3332" s="5"/>
      <c r="BD3332" s="5"/>
      <c r="BE3332" s="5"/>
      <c r="BF3332" s="5"/>
      <c r="BG3332" s="5"/>
      <c r="BH3332" s="5"/>
      <c r="BI3332" s="5"/>
      <c r="BJ3332" s="5"/>
      <c r="BK3332" s="5"/>
      <c r="BL3332" s="5"/>
      <c r="BM3332" s="5"/>
      <c r="BN3332" s="5"/>
      <c r="BO3332" s="5"/>
      <c r="BP3332" s="5"/>
      <c r="BQ3332" s="5"/>
      <c r="BR3332" s="5"/>
      <c r="BS3332" s="5"/>
      <c r="BT3332" s="5"/>
      <c r="BU3332" s="5"/>
      <c r="BV3332" s="5"/>
      <c r="BW3332" s="5"/>
      <c r="BX3332" s="5"/>
      <c r="BY3332" s="5"/>
      <c r="BZ3332" s="5"/>
      <c r="CA3332" s="5"/>
    </row>
    <row r="3333" spans="1:79" s="400" customFormat="1" ht="15" customHeight="1">
      <c r="A3333" s="41" t="s">
        <v>183</v>
      </c>
      <c r="B3333" s="402" t="s">
        <v>590</v>
      </c>
      <c r="C3333" s="113" t="s">
        <v>604</v>
      </c>
      <c r="D3333" s="393" t="s">
        <v>308</v>
      </c>
      <c r="E3333" s="394" t="s">
        <v>235</v>
      </c>
      <c r="F3333" s="402"/>
      <c r="G3333" s="405" t="s">
        <v>605</v>
      </c>
      <c r="H3333" s="404">
        <v>7538</v>
      </c>
      <c r="I3333" s="402" t="s">
        <v>2</v>
      </c>
      <c r="J3333" s="392" t="s">
        <v>606</v>
      </c>
      <c r="K3333" s="403">
        <v>41499</v>
      </c>
      <c r="L3333" s="398">
        <v>41495</v>
      </c>
      <c r="M3333" s="402">
        <f t="shared" si="197"/>
        <v>4</v>
      </c>
      <c r="N3333" s="402" t="s">
        <v>2</v>
      </c>
      <c r="O3333" s="404">
        <f>2/2</f>
        <v>1</v>
      </c>
      <c r="P3333" s="402">
        <v>5</v>
      </c>
      <c r="Q3333" s="404">
        <v>5.81</v>
      </c>
      <c r="R3333" s="402">
        <v>32</v>
      </c>
      <c r="S3333" s="404">
        <v>53</v>
      </c>
      <c r="T3333" s="402">
        <v>0.08</v>
      </c>
      <c r="U3333" s="395">
        <v>0.62</v>
      </c>
      <c r="V3333" s="402">
        <v>0.28000000000000003</v>
      </c>
      <c r="W3333" s="404">
        <v>2.1999999999999999E-2</v>
      </c>
      <c r="X3333" s="402">
        <v>0.125</v>
      </c>
      <c r="Y3333" s="404">
        <v>7.0000000000000001E-3</v>
      </c>
      <c r="Z3333" s="397"/>
      <c r="AA3333" s="399"/>
      <c r="AB3333" s="394"/>
      <c r="AC3333" s="402"/>
      <c r="AD3333" s="399"/>
      <c r="AE3333" s="402"/>
      <c r="AF3333" s="391"/>
      <c r="AG3333" s="394"/>
      <c r="AH3333" s="394"/>
      <c r="AI3333" s="394"/>
      <c r="AJ3333" s="394"/>
      <c r="AK3333" s="394"/>
      <c r="AL3333" s="394"/>
      <c r="AM3333" s="394"/>
      <c r="AN3333" s="394"/>
      <c r="AO3333" s="394"/>
      <c r="AP3333" s="394"/>
      <c r="AQ3333" s="394"/>
      <c r="AR3333" s="394"/>
      <c r="AS3333" s="402"/>
      <c r="AT3333" s="404"/>
      <c r="AU3333" s="394"/>
      <c r="AV3333" s="394"/>
      <c r="AW3333" s="394"/>
      <c r="AX3333" s="5"/>
      <c r="AY3333" s="5"/>
      <c r="AZ3333" s="5"/>
      <c r="BA3333" s="5"/>
      <c r="BB3333" s="5"/>
      <c r="BC3333" s="5"/>
      <c r="BD3333" s="5"/>
      <c r="BE3333" s="5"/>
      <c r="BF3333" s="5"/>
      <c r="BG3333" s="5"/>
      <c r="BH3333" s="5"/>
      <c r="BI3333" s="5"/>
      <c r="BJ3333" s="5"/>
      <c r="BK3333" s="5"/>
      <c r="BL3333" s="5"/>
      <c r="BM3333" s="5"/>
      <c r="BN3333" s="5"/>
      <c r="BO3333" s="5"/>
      <c r="BP3333" s="5"/>
      <c r="BQ3333" s="5"/>
      <c r="BR3333" s="5"/>
      <c r="BS3333" s="5"/>
      <c r="BT3333" s="5"/>
      <c r="BU3333" s="5"/>
      <c r="BV3333" s="5"/>
      <c r="BW3333" s="5"/>
      <c r="BX3333" s="5"/>
      <c r="BY3333" s="5"/>
      <c r="BZ3333" s="5"/>
      <c r="CA3333" s="5"/>
    </row>
    <row r="3334" spans="1:79" s="400" customFormat="1" ht="15" customHeight="1">
      <c r="A3334" s="41" t="s">
        <v>183</v>
      </c>
      <c r="B3334" s="402" t="s">
        <v>5812</v>
      </c>
      <c r="C3334" s="113" t="s">
        <v>5812</v>
      </c>
      <c r="D3334" s="393" t="s">
        <v>836</v>
      </c>
      <c r="E3334" s="394" t="s">
        <v>5481</v>
      </c>
      <c r="F3334" s="402"/>
      <c r="G3334" s="405" t="s">
        <v>5482</v>
      </c>
      <c r="H3334" s="404">
        <v>3357</v>
      </c>
      <c r="I3334" s="402" t="s">
        <v>2</v>
      </c>
      <c r="J3334" s="406" t="s">
        <v>75</v>
      </c>
      <c r="K3334" s="403">
        <v>41149</v>
      </c>
      <c r="L3334" s="398">
        <v>41139</v>
      </c>
      <c r="M3334" s="402">
        <f t="shared" si="197"/>
        <v>10</v>
      </c>
      <c r="N3334" s="402" t="s">
        <v>2</v>
      </c>
      <c r="O3334" s="404">
        <f>1.6/2</f>
        <v>0.8</v>
      </c>
      <c r="P3334" s="402">
        <v>4.8</v>
      </c>
      <c r="Q3334" s="404">
        <v>6.1</v>
      </c>
      <c r="R3334" s="402">
        <v>57</v>
      </c>
      <c r="S3334" s="404">
        <v>21.2</v>
      </c>
      <c r="T3334" s="402">
        <v>5.7000000000000002E-2</v>
      </c>
      <c r="U3334" s="395">
        <f>1/2</f>
        <v>0.5</v>
      </c>
      <c r="V3334" s="402">
        <f>0.46/2</f>
        <v>0.23</v>
      </c>
      <c r="W3334" s="404">
        <f>0.005/2</f>
        <v>2.5000000000000001E-3</v>
      </c>
      <c r="X3334" s="402">
        <v>3.2000000000000001E-2</v>
      </c>
      <c r="Y3334" s="404">
        <v>1.21E-2</v>
      </c>
      <c r="Z3334" s="397">
        <v>1</v>
      </c>
      <c r="AA3334" s="399">
        <v>1</v>
      </c>
      <c r="AB3334" s="394">
        <v>2</v>
      </c>
      <c r="AC3334" s="402">
        <v>10</v>
      </c>
      <c r="AD3334" s="399">
        <v>1</v>
      </c>
      <c r="AE3334" s="402"/>
      <c r="AF3334" s="391"/>
      <c r="AG3334" s="394"/>
      <c r="AH3334" s="394"/>
      <c r="AI3334" s="394"/>
      <c r="AJ3334" s="394"/>
      <c r="AK3334" s="394"/>
      <c r="AL3334" s="394"/>
      <c r="AM3334" s="394"/>
      <c r="AN3334" s="394"/>
      <c r="AO3334" s="394"/>
      <c r="AP3334" s="394"/>
      <c r="AQ3334" s="394"/>
      <c r="AR3334" s="394"/>
      <c r="AS3334" s="402"/>
      <c r="AT3334" s="404"/>
      <c r="AU3334" s="394"/>
      <c r="AV3334" s="394"/>
      <c r="AW3334" s="394"/>
      <c r="AX3334" s="5"/>
      <c r="AY3334" s="5"/>
      <c r="AZ3334" s="5"/>
      <c r="BA3334" s="5"/>
      <c r="BB3334" s="5"/>
      <c r="BC3334" s="5"/>
      <c r="BD3334" s="5"/>
      <c r="BE3334" s="5"/>
      <c r="BF3334" s="5"/>
      <c r="BG3334" s="5"/>
      <c r="BH3334" s="5"/>
      <c r="BI3334" s="5"/>
      <c r="BJ3334" s="5"/>
      <c r="BK3334" s="5"/>
      <c r="BL3334" s="5"/>
      <c r="BM3334" s="5"/>
      <c r="BN3334" s="5"/>
      <c r="BO3334" s="5"/>
      <c r="BP3334" s="5"/>
      <c r="BQ3334" s="5"/>
      <c r="BR3334" s="5"/>
      <c r="BS3334" s="5"/>
      <c r="BT3334" s="5"/>
      <c r="BU3334" s="5"/>
      <c r="BV3334" s="5"/>
      <c r="BW3334" s="5"/>
      <c r="BX3334" s="5"/>
      <c r="BY3334" s="5"/>
      <c r="BZ3334" s="5"/>
      <c r="CA3334" s="5"/>
    </row>
    <row r="3335" spans="1:79" s="400" customFormat="1" ht="15" customHeight="1">
      <c r="A3335" s="41" t="s">
        <v>183</v>
      </c>
      <c r="B3335" s="402" t="s">
        <v>2024</v>
      </c>
      <c r="C3335" s="113" t="s">
        <v>2024</v>
      </c>
      <c r="D3335" s="393" t="s">
        <v>836</v>
      </c>
      <c r="E3335" s="394" t="s">
        <v>364</v>
      </c>
      <c r="F3335" s="402">
        <v>4300</v>
      </c>
      <c r="G3335" s="405" t="s">
        <v>2025</v>
      </c>
      <c r="H3335" s="402">
        <v>2759</v>
      </c>
      <c r="I3335" s="402" t="s">
        <v>2</v>
      </c>
      <c r="J3335" s="402" t="s">
        <v>5809</v>
      </c>
      <c r="K3335" s="403">
        <v>41180</v>
      </c>
      <c r="L3335" s="398">
        <v>41174</v>
      </c>
      <c r="M3335" s="402">
        <f t="shared" si="197"/>
        <v>6</v>
      </c>
      <c r="N3335" s="402" t="s">
        <v>2</v>
      </c>
      <c r="O3335" s="404">
        <f>1.4/2</f>
        <v>0.7</v>
      </c>
      <c r="P3335" s="402">
        <v>5.8</v>
      </c>
      <c r="Q3335" s="404">
        <v>7.12</v>
      </c>
      <c r="R3335" s="402">
        <v>33</v>
      </c>
      <c r="S3335" s="404">
        <f>5/2</f>
        <v>2.5</v>
      </c>
      <c r="T3335" s="402">
        <v>0.04</v>
      </c>
      <c r="U3335" s="395">
        <v>0.91</v>
      </c>
      <c r="V3335" s="402">
        <v>1.32</v>
      </c>
      <c r="W3335" s="404">
        <v>3.0000000000000001E-3</v>
      </c>
      <c r="X3335" s="402">
        <v>0.19</v>
      </c>
      <c r="Y3335" s="404">
        <f>0.002/2</f>
        <v>1E-3</v>
      </c>
      <c r="Z3335" s="397"/>
      <c r="AA3335" s="399"/>
      <c r="AB3335" s="394"/>
      <c r="AC3335" s="402"/>
      <c r="AD3335" s="399"/>
      <c r="AE3335" s="402"/>
      <c r="AF3335" s="391"/>
      <c r="AG3335" s="394"/>
      <c r="AH3335" s="394"/>
      <c r="AI3335" s="394"/>
      <c r="AJ3335" s="394"/>
      <c r="AK3335" s="394"/>
      <c r="AL3335" s="394"/>
      <c r="AM3335" s="394"/>
      <c r="AN3335" s="394"/>
      <c r="AO3335" s="394"/>
      <c r="AP3335" s="394"/>
      <c r="AQ3335" s="394"/>
      <c r="AR3335" s="394"/>
      <c r="AS3335" s="402"/>
      <c r="AT3335" s="404"/>
      <c r="AU3335" s="394"/>
      <c r="AV3335" s="394"/>
      <c r="AW3335" s="394"/>
      <c r="AX3335" s="5"/>
      <c r="AY3335" s="5"/>
      <c r="AZ3335" s="5"/>
      <c r="BA3335" s="5"/>
      <c r="BB3335" s="5"/>
      <c r="BC3335" s="5"/>
      <c r="BD3335" s="5"/>
      <c r="BE3335" s="5"/>
      <c r="BF3335" s="5"/>
      <c r="BG3335" s="5"/>
      <c r="BH3335" s="5"/>
      <c r="BI3335" s="5"/>
      <c r="BJ3335" s="5"/>
      <c r="BK3335" s="5"/>
      <c r="BL3335" s="5"/>
      <c r="BM3335" s="5"/>
      <c r="BN3335" s="5"/>
      <c r="BO3335" s="5"/>
      <c r="BP3335" s="5"/>
      <c r="BQ3335" s="5"/>
      <c r="BR3335" s="5"/>
      <c r="BS3335" s="5"/>
      <c r="BT3335" s="5"/>
      <c r="BU3335" s="5"/>
      <c r="BV3335" s="5"/>
      <c r="BW3335" s="5"/>
      <c r="BX3335" s="5"/>
      <c r="BY3335" s="5"/>
      <c r="BZ3335" s="5"/>
      <c r="CA3335" s="5"/>
    </row>
    <row r="3336" spans="1:79" s="400" customFormat="1" ht="15" customHeight="1">
      <c r="A3336" s="41" t="s">
        <v>183</v>
      </c>
      <c r="B3336" s="402" t="s">
        <v>5812</v>
      </c>
      <c r="C3336" s="113" t="s">
        <v>5812</v>
      </c>
      <c r="D3336" s="393" t="s">
        <v>836</v>
      </c>
      <c r="E3336" s="394" t="s">
        <v>5481</v>
      </c>
      <c r="F3336" s="402"/>
      <c r="G3336" s="405" t="s">
        <v>5482</v>
      </c>
      <c r="H3336" s="404">
        <v>3357</v>
      </c>
      <c r="I3336" s="402" t="s">
        <v>2</v>
      </c>
      <c r="J3336" s="406" t="s">
        <v>75</v>
      </c>
      <c r="K3336" s="403">
        <v>41345</v>
      </c>
      <c r="L3336" s="398">
        <v>41341</v>
      </c>
      <c r="M3336" s="402">
        <f t="shared" si="197"/>
        <v>4</v>
      </c>
      <c r="N3336" s="402" t="s">
        <v>2</v>
      </c>
      <c r="O3336" s="404">
        <f>1.9/2</f>
        <v>0.95</v>
      </c>
      <c r="P3336" s="402">
        <v>6.4</v>
      </c>
      <c r="Q3336" s="404">
        <v>7.2</v>
      </c>
      <c r="R3336" s="402">
        <f>20/2</f>
        <v>10</v>
      </c>
      <c r="S3336" s="404">
        <v>8.1999999999999993</v>
      </c>
      <c r="T3336" s="402">
        <v>2.7E-2</v>
      </c>
      <c r="U3336" s="395">
        <v>1.7</v>
      </c>
      <c r="V3336" s="402">
        <f>0.46/2</f>
        <v>0.23</v>
      </c>
      <c r="W3336" s="404">
        <f>0.005/2</f>
        <v>2.5000000000000001E-3</v>
      </c>
      <c r="X3336" s="402">
        <v>2.1000000000000001E-2</v>
      </c>
      <c r="Y3336" s="404">
        <v>1.8499999999999999E-2</v>
      </c>
      <c r="Z3336" s="397"/>
      <c r="AA3336" s="399"/>
      <c r="AB3336" s="394"/>
      <c r="AC3336" s="402"/>
      <c r="AD3336" s="399"/>
      <c r="AE3336" s="402"/>
      <c r="AF3336" s="391"/>
      <c r="AG3336" s="394"/>
      <c r="AH3336" s="394"/>
      <c r="AI3336" s="394"/>
      <c r="AJ3336" s="394"/>
      <c r="AK3336" s="394"/>
      <c r="AL3336" s="394"/>
      <c r="AM3336" s="394"/>
      <c r="AN3336" s="394"/>
      <c r="AO3336" s="394"/>
      <c r="AP3336" s="394"/>
      <c r="AQ3336" s="394"/>
      <c r="AR3336" s="394"/>
      <c r="AS3336" s="402"/>
      <c r="AT3336" s="404"/>
      <c r="AU3336" s="394"/>
      <c r="AV3336" s="394"/>
      <c r="AW3336" s="394"/>
      <c r="AX3336" s="5"/>
      <c r="AY3336" s="5"/>
      <c r="AZ3336" s="5"/>
      <c r="BA3336" s="5"/>
      <c r="BB3336" s="5"/>
      <c r="BC3336" s="5"/>
      <c r="BD3336" s="5"/>
      <c r="BE3336" s="5"/>
      <c r="BF3336" s="5"/>
      <c r="BG3336" s="5"/>
      <c r="BH3336" s="5"/>
      <c r="BI3336" s="5"/>
      <c r="BJ3336" s="5"/>
      <c r="BK3336" s="5"/>
      <c r="BL3336" s="5"/>
      <c r="BM3336" s="5"/>
      <c r="BN3336" s="5"/>
      <c r="BO3336" s="5"/>
      <c r="BP3336" s="5"/>
      <c r="BQ3336" s="5"/>
      <c r="BR3336" s="5"/>
      <c r="BS3336" s="5"/>
      <c r="BT3336" s="5"/>
      <c r="BU3336" s="5"/>
      <c r="BV3336" s="5"/>
      <c r="BW3336" s="5"/>
      <c r="BX3336" s="5"/>
      <c r="BY3336" s="5"/>
      <c r="BZ3336" s="5"/>
      <c r="CA3336" s="5"/>
    </row>
    <row r="3337" spans="1:79" ht="15" customHeight="1">
      <c r="A3337" s="41" t="s">
        <v>183</v>
      </c>
      <c r="B3337" s="402" t="s">
        <v>4453</v>
      </c>
      <c r="C3337" s="113" t="s">
        <v>4453</v>
      </c>
      <c r="D3337" s="393" t="s">
        <v>1683</v>
      </c>
      <c r="E3337" s="394" t="s">
        <v>304</v>
      </c>
      <c r="G3337" s="405" t="s">
        <v>4454</v>
      </c>
      <c r="H3337" s="74">
        <v>3069</v>
      </c>
      <c r="J3337" s="339" t="s">
        <v>74</v>
      </c>
      <c r="K3337" s="51">
        <v>41021</v>
      </c>
      <c r="L3337" s="173" t="s">
        <v>5380</v>
      </c>
      <c r="N3337" s="50" t="s">
        <v>2</v>
      </c>
      <c r="O3337" s="74">
        <f>5/2</f>
        <v>2.5</v>
      </c>
      <c r="P3337" s="50">
        <v>6.21</v>
      </c>
      <c r="Q3337" s="74">
        <v>6.25</v>
      </c>
      <c r="R3337" s="50">
        <v>31</v>
      </c>
      <c r="S3337" s="74">
        <v>13</v>
      </c>
      <c r="T3337" s="50">
        <f>0.1/2</f>
        <v>0.05</v>
      </c>
      <c r="U3337" s="131">
        <f>1/2</f>
        <v>0.5</v>
      </c>
      <c r="V3337" s="50">
        <v>0.12</v>
      </c>
      <c r="W3337" s="74">
        <f>0.04/2</f>
        <v>0.02</v>
      </c>
      <c r="X3337" s="50">
        <v>6.5000000000000002E-2</v>
      </c>
      <c r="Y3337" s="74">
        <f>0.013/2</f>
        <v>6.4999999999999997E-3</v>
      </c>
      <c r="Z3337" s="165">
        <v>1</v>
      </c>
      <c r="AA3337" s="271">
        <v>1</v>
      </c>
      <c r="AB3337" s="114">
        <v>3.7</v>
      </c>
      <c r="AC3337" s="50">
        <v>31</v>
      </c>
      <c r="AD3337" s="271">
        <v>1</v>
      </c>
    </row>
    <row r="3338" spans="1:79" ht="15" customHeight="1">
      <c r="A3338" s="41" t="s">
        <v>183</v>
      </c>
      <c r="B3338" s="402" t="s">
        <v>4453</v>
      </c>
      <c r="C3338" s="113" t="s">
        <v>4453</v>
      </c>
      <c r="D3338" s="393" t="s">
        <v>1683</v>
      </c>
      <c r="E3338" s="394" t="s">
        <v>304</v>
      </c>
      <c r="G3338" s="405" t="s">
        <v>4454</v>
      </c>
      <c r="H3338" s="74">
        <v>3069</v>
      </c>
      <c r="J3338" s="339" t="s">
        <v>75</v>
      </c>
      <c r="K3338" s="51">
        <v>41021</v>
      </c>
      <c r="L3338" s="173" t="s">
        <v>5380</v>
      </c>
      <c r="N3338" s="50" t="s">
        <v>2</v>
      </c>
      <c r="O3338" s="74">
        <f>5/2</f>
        <v>2.5</v>
      </c>
      <c r="P3338" s="50">
        <v>6.21</v>
      </c>
      <c r="Q3338" s="74">
        <v>5.98</v>
      </c>
      <c r="R3338" s="50">
        <v>57</v>
      </c>
      <c r="S3338" s="74">
        <v>16</v>
      </c>
      <c r="T3338" s="50">
        <f>0.1/2</f>
        <v>0.05</v>
      </c>
      <c r="U3338" s="131">
        <f>1/2</f>
        <v>0.5</v>
      </c>
      <c r="V3338" s="50">
        <v>0.11</v>
      </c>
      <c r="W3338" s="74">
        <f>0.04/2</f>
        <v>0.02</v>
      </c>
      <c r="X3338" s="50">
        <v>5.3999999999999999E-2</v>
      </c>
      <c r="Y3338" s="74">
        <f>0.013/2</f>
        <v>6.4999999999999997E-3</v>
      </c>
      <c r="Z3338" s="165">
        <v>1</v>
      </c>
      <c r="AA3338" s="271">
        <v>1</v>
      </c>
      <c r="AB3338" s="114">
        <v>1.7</v>
      </c>
      <c r="AC3338" s="50">
        <v>37</v>
      </c>
      <c r="AD3338" s="271">
        <v>0.65</v>
      </c>
    </row>
    <row r="3339" spans="1:79" s="400" customFormat="1" ht="15" customHeight="1">
      <c r="A3339" s="41" t="s">
        <v>183</v>
      </c>
      <c r="B3339" s="385" t="s">
        <v>4343</v>
      </c>
      <c r="C3339" s="18" t="s">
        <v>4343</v>
      </c>
      <c r="D3339" s="377" t="s">
        <v>314</v>
      </c>
      <c r="E3339" s="20" t="s">
        <v>2019</v>
      </c>
      <c r="F3339" s="385" t="s">
        <v>4344</v>
      </c>
      <c r="G3339" s="405" t="s">
        <v>2021</v>
      </c>
      <c r="H3339" s="404">
        <v>3511</v>
      </c>
      <c r="I3339" s="402" t="s">
        <v>1</v>
      </c>
      <c r="J3339" s="344" t="s">
        <v>1030</v>
      </c>
      <c r="K3339" s="403">
        <v>41345</v>
      </c>
      <c r="L3339" s="398">
        <v>41341</v>
      </c>
      <c r="M3339" s="402">
        <f t="shared" ref="M3339:M3340" si="199">K3339-L3339</f>
        <v>4</v>
      </c>
      <c r="N3339" s="402" t="s">
        <v>2</v>
      </c>
      <c r="O3339" s="404">
        <v>2.4</v>
      </c>
      <c r="P3339" s="402">
        <v>6.78</v>
      </c>
      <c r="Q3339" s="404">
        <v>6.61</v>
      </c>
      <c r="R3339" s="402">
        <v>40</v>
      </c>
      <c r="S3339" s="404">
        <v>32</v>
      </c>
      <c r="T3339" s="402">
        <v>0.11</v>
      </c>
      <c r="U3339" s="395">
        <v>0.71</v>
      </c>
      <c r="V3339" s="402">
        <v>7.0000000000000007E-2</v>
      </c>
      <c r="W3339" s="404">
        <v>1.2999999999999999E-2</v>
      </c>
      <c r="X3339" s="402">
        <v>9.0999999999999998E-2</v>
      </c>
      <c r="Y3339" s="404">
        <v>5.0000000000000001E-3</v>
      </c>
      <c r="Z3339" s="397">
        <v>1</v>
      </c>
      <c r="AA3339" s="399">
        <v>1</v>
      </c>
      <c r="AB3339" s="394">
        <v>12</v>
      </c>
      <c r="AC3339" s="402">
        <v>64</v>
      </c>
      <c r="AD3339" s="399">
        <v>0.8</v>
      </c>
      <c r="AE3339" s="402"/>
      <c r="AF3339" s="391"/>
      <c r="AG3339" s="394"/>
      <c r="AH3339" s="394"/>
      <c r="AI3339" s="394"/>
      <c r="AJ3339" s="394"/>
      <c r="AK3339" s="394"/>
      <c r="AL3339" s="394"/>
      <c r="AM3339" s="394"/>
      <c r="AN3339" s="394"/>
      <c r="AO3339" s="394"/>
      <c r="AP3339" s="394"/>
      <c r="AQ3339" s="394"/>
      <c r="AR3339" s="394"/>
      <c r="AS3339" s="402"/>
      <c r="AT3339" s="404"/>
      <c r="AU3339" s="394"/>
      <c r="AV3339" s="394"/>
      <c r="AW3339" s="394"/>
      <c r="AX3339" s="5"/>
      <c r="AY3339" s="5"/>
      <c r="AZ3339" s="5"/>
      <c r="BA3339" s="5"/>
      <c r="BB3339" s="5"/>
      <c r="BC3339" s="5"/>
      <c r="BD3339" s="5"/>
      <c r="BE3339" s="5"/>
      <c r="BF3339" s="5"/>
      <c r="BG3339" s="5"/>
      <c r="BH3339" s="5"/>
      <c r="BI3339" s="5"/>
      <c r="BJ3339" s="5"/>
      <c r="BK3339" s="5"/>
      <c r="BL3339" s="5"/>
      <c r="BM3339" s="5"/>
      <c r="BN3339" s="5"/>
      <c r="BO3339" s="5"/>
      <c r="BP3339" s="5"/>
      <c r="BQ3339" s="5"/>
      <c r="BR3339" s="5"/>
      <c r="BS3339" s="5"/>
      <c r="BT3339" s="5"/>
      <c r="BU3339" s="5"/>
      <c r="BV3339" s="5"/>
      <c r="BW3339" s="5"/>
      <c r="BX3339" s="5"/>
      <c r="BY3339" s="5"/>
      <c r="BZ3339" s="5"/>
      <c r="CA3339" s="5"/>
    </row>
    <row r="3340" spans="1:79" s="400" customFormat="1" ht="15" customHeight="1">
      <c r="A3340" s="41" t="s">
        <v>183</v>
      </c>
      <c r="B3340" s="402" t="s">
        <v>2024</v>
      </c>
      <c r="C3340" s="113" t="s">
        <v>2024</v>
      </c>
      <c r="D3340" s="393" t="s">
        <v>836</v>
      </c>
      <c r="E3340" s="394" t="s">
        <v>364</v>
      </c>
      <c r="F3340" s="402">
        <v>4300</v>
      </c>
      <c r="G3340" s="405" t="s">
        <v>2025</v>
      </c>
      <c r="H3340" s="404">
        <v>2759</v>
      </c>
      <c r="I3340" s="402" t="s">
        <v>2</v>
      </c>
      <c r="J3340" s="402" t="s">
        <v>5809</v>
      </c>
      <c r="K3340" s="403">
        <v>41345</v>
      </c>
      <c r="L3340" s="398">
        <v>41339</v>
      </c>
      <c r="M3340" s="402">
        <f t="shared" si="199"/>
        <v>6</v>
      </c>
      <c r="N3340" s="402" t="s">
        <v>2</v>
      </c>
      <c r="O3340" s="404">
        <v>2.9</v>
      </c>
      <c r="P3340" s="402">
        <v>4.8</v>
      </c>
      <c r="Q3340" s="404">
        <v>6.95</v>
      </c>
      <c r="R3340" s="402">
        <v>41</v>
      </c>
      <c r="S3340" s="404">
        <v>45</v>
      </c>
      <c r="T3340" s="402">
        <v>0.09</v>
      </c>
      <c r="U3340" s="395">
        <v>1.31</v>
      </c>
      <c r="V3340" s="402">
        <v>1.73</v>
      </c>
      <c r="W3340" s="404">
        <v>1.4E-2</v>
      </c>
      <c r="X3340" s="402">
        <v>9.8000000000000004E-2</v>
      </c>
      <c r="Y3340" s="404">
        <v>4.0000000000000001E-3</v>
      </c>
      <c r="Z3340" s="397">
        <v>1</v>
      </c>
      <c r="AA3340" s="399">
        <v>1</v>
      </c>
      <c r="AB3340" s="394">
        <v>12</v>
      </c>
      <c r="AC3340" s="402">
        <v>368</v>
      </c>
      <c r="AD3340" s="399">
        <v>1</v>
      </c>
      <c r="AE3340" s="402"/>
      <c r="AF3340" s="391"/>
      <c r="AG3340" s="394"/>
      <c r="AH3340" s="394"/>
      <c r="AI3340" s="394"/>
      <c r="AJ3340" s="394"/>
      <c r="AK3340" s="394"/>
      <c r="AL3340" s="394"/>
      <c r="AM3340" s="394"/>
      <c r="AN3340" s="394"/>
      <c r="AO3340" s="394"/>
      <c r="AP3340" s="394"/>
      <c r="AQ3340" s="394"/>
      <c r="AR3340" s="394"/>
      <c r="AS3340" s="402"/>
      <c r="AT3340" s="404"/>
      <c r="AU3340" s="394"/>
      <c r="AV3340" s="394"/>
      <c r="AW3340" s="394"/>
      <c r="AX3340" s="5"/>
      <c r="AY3340" s="5"/>
      <c r="AZ3340" s="5"/>
      <c r="BA3340" s="5"/>
      <c r="BB3340" s="5"/>
      <c r="BC3340" s="5"/>
      <c r="BD3340" s="5"/>
      <c r="BE3340" s="5"/>
      <c r="BF3340" s="5"/>
      <c r="BG3340" s="5"/>
      <c r="BH3340" s="5"/>
      <c r="BI3340" s="5"/>
      <c r="BJ3340" s="5"/>
      <c r="BK3340" s="5"/>
      <c r="BL3340" s="5"/>
      <c r="BM3340" s="5"/>
      <c r="BN3340" s="5"/>
      <c r="BO3340" s="5"/>
      <c r="BP3340" s="5"/>
      <c r="BQ3340" s="5"/>
      <c r="BR3340" s="5"/>
      <c r="BS3340" s="5"/>
      <c r="BT3340" s="5"/>
      <c r="BU3340" s="5"/>
      <c r="BV3340" s="5"/>
      <c r="BW3340" s="5"/>
      <c r="BX3340" s="5"/>
      <c r="BY3340" s="5"/>
      <c r="BZ3340" s="5"/>
      <c r="CA3340" s="5"/>
    </row>
    <row r="3341" spans="1:79" s="400" customFormat="1" ht="15" customHeight="1">
      <c r="A3341" s="41" t="s">
        <v>183</v>
      </c>
      <c r="B3341" s="402" t="s">
        <v>5813</v>
      </c>
      <c r="C3341" s="113" t="s">
        <v>5814</v>
      </c>
      <c r="D3341" s="393" t="s">
        <v>3953</v>
      </c>
      <c r="E3341" s="394" t="s">
        <v>5815</v>
      </c>
      <c r="F3341" s="402"/>
      <c r="G3341" s="405" t="s">
        <v>5816</v>
      </c>
      <c r="H3341" s="404">
        <v>2892</v>
      </c>
      <c r="I3341" s="402" t="s">
        <v>2</v>
      </c>
      <c r="J3341" s="406" t="s">
        <v>5817</v>
      </c>
      <c r="K3341" s="403">
        <v>41529</v>
      </c>
      <c r="L3341" s="398">
        <v>41519</v>
      </c>
      <c r="M3341" s="402">
        <f t="shared" si="197"/>
        <v>10</v>
      </c>
      <c r="N3341" s="402" t="s">
        <v>2</v>
      </c>
      <c r="O3341" s="404">
        <f>1.4/2</f>
        <v>0.7</v>
      </c>
      <c r="P3341" s="402">
        <v>7.1</v>
      </c>
      <c r="Q3341" s="404">
        <v>7.25</v>
      </c>
      <c r="R3341" s="402">
        <v>28</v>
      </c>
      <c r="S3341" s="404">
        <v>13</v>
      </c>
      <c r="T3341" s="402">
        <v>0.16</v>
      </c>
      <c r="U3341" s="395">
        <v>4.45</v>
      </c>
      <c r="V3341" s="402">
        <v>0.39</v>
      </c>
      <c r="W3341" s="404">
        <v>5.0000000000000001E-3</v>
      </c>
      <c r="X3341" s="402">
        <v>7.0000000000000001E-3</v>
      </c>
      <c r="Y3341" s="404">
        <v>4.0000000000000001E-3</v>
      </c>
      <c r="Z3341" s="397"/>
      <c r="AA3341" s="399"/>
      <c r="AB3341" s="394"/>
      <c r="AC3341" s="402"/>
      <c r="AD3341" s="399"/>
      <c r="AE3341" s="402"/>
      <c r="AF3341" s="391"/>
      <c r="AG3341" s="394"/>
      <c r="AH3341" s="394"/>
      <c r="AI3341" s="394"/>
      <c r="AJ3341" s="394"/>
      <c r="AK3341" s="394"/>
      <c r="AL3341" s="394"/>
      <c r="AM3341" s="394"/>
      <c r="AN3341" s="394"/>
      <c r="AO3341" s="394"/>
      <c r="AP3341" s="394"/>
      <c r="AQ3341" s="394"/>
      <c r="AR3341" s="394"/>
      <c r="AS3341" s="402"/>
      <c r="AT3341" s="404"/>
      <c r="AU3341" s="394"/>
      <c r="AV3341" s="394"/>
      <c r="AW3341" s="394"/>
      <c r="AX3341" s="5"/>
      <c r="AY3341" s="5"/>
      <c r="AZ3341" s="5"/>
      <c r="BA3341" s="5"/>
      <c r="BB3341" s="5"/>
      <c r="BC3341" s="5"/>
      <c r="BD3341" s="5"/>
      <c r="BE3341" s="5"/>
      <c r="BF3341" s="5"/>
      <c r="BG3341" s="5"/>
      <c r="BH3341" s="5"/>
      <c r="BI3341" s="5"/>
      <c r="BJ3341" s="5"/>
      <c r="BK3341" s="5"/>
      <c r="BL3341" s="5"/>
      <c r="BM3341" s="5"/>
      <c r="BN3341" s="5"/>
      <c r="BO3341" s="5"/>
      <c r="BP3341" s="5"/>
      <c r="BQ3341" s="5"/>
      <c r="BR3341" s="5"/>
      <c r="BS3341" s="5"/>
      <c r="BT3341" s="5"/>
      <c r="BU3341" s="5"/>
      <c r="BV3341" s="5"/>
      <c r="BW3341" s="5"/>
      <c r="BX3341" s="5"/>
      <c r="BY3341" s="5"/>
      <c r="BZ3341" s="5"/>
      <c r="CA3341" s="5"/>
    </row>
    <row r="3342" spans="1:79" s="400" customFormat="1" ht="15" customHeight="1">
      <c r="A3342" s="41" t="s">
        <v>183</v>
      </c>
      <c r="B3342" s="402" t="s">
        <v>5813</v>
      </c>
      <c r="C3342" s="113" t="s">
        <v>5814</v>
      </c>
      <c r="D3342" s="393" t="s">
        <v>3953</v>
      </c>
      <c r="E3342" s="394" t="s">
        <v>5815</v>
      </c>
      <c r="F3342" s="402"/>
      <c r="G3342" s="405" t="s">
        <v>5816</v>
      </c>
      <c r="H3342" s="404">
        <v>2892</v>
      </c>
      <c r="I3342" s="402" t="s">
        <v>2</v>
      </c>
      <c r="J3342" s="406" t="s">
        <v>5818</v>
      </c>
      <c r="K3342" s="403">
        <v>41529</v>
      </c>
      <c r="L3342" s="398">
        <v>41519</v>
      </c>
      <c r="M3342" s="402">
        <f t="shared" si="197"/>
        <v>10</v>
      </c>
      <c r="N3342" s="402" t="s">
        <v>2</v>
      </c>
      <c r="O3342" s="404">
        <f>1.4/2</f>
        <v>0.7</v>
      </c>
      <c r="P3342" s="402">
        <v>7.1</v>
      </c>
      <c r="Q3342" s="404">
        <v>7.83</v>
      </c>
      <c r="R3342" s="402">
        <v>11</v>
      </c>
      <c r="S3342" s="404">
        <f>5/2</f>
        <v>2.5</v>
      </c>
      <c r="T3342" s="402">
        <v>0.04</v>
      </c>
      <c r="U3342" s="395">
        <v>0.32</v>
      </c>
      <c r="V3342" s="402">
        <v>1.04</v>
      </c>
      <c r="W3342" s="404">
        <v>1E-3</v>
      </c>
      <c r="X3342" s="402">
        <f>0.002/2</f>
        <v>1E-3</v>
      </c>
      <c r="Y3342" s="404">
        <f>0.002/2</f>
        <v>1E-3</v>
      </c>
      <c r="Z3342" s="397"/>
      <c r="AA3342" s="399"/>
      <c r="AB3342" s="394"/>
      <c r="AC3342" s="402"/>
      <c r="AD3342" s="399"/>
      <c r="AE3342" s="402"/>
      <c r="AF3342" s="391"/>
      <c r="AG3342" s="394"/>
      <c r="AH3342" s="394"/>
      <c r="AI3342" s="394"/>
      <c r="AJ3342" s="394"/>
      <c r="AK3342" s="394"/>
      <c r="AL3342" s="394"/>
      <c r="AM3342" s="394"/>
      <c r="AN3342" s="394"/>
      <c r="AO3342" s="394"/>
      <c r="AP3342" s="394"/>
      <c r="AQ3342" s="394"/>
      <c r="AR3342" s="394"/>
      <c r="AS3342" s="402"/>
      <c r="AT3342" s="404"/>
      <c r="AU3342" s="394"/>
      <c r="AV3342" s="394"/>
      <c r="AW3342" s="394"/>
      <c r="AX3342" s="5"/>
      <c r="AY3342" s="5"/>
      <c r="AZ3342" s="5"/>
      <c r="BA3342" s="5"/>
      <c r="BB3342" s="5"/>
      <c r="BC3342" s="5"/>
      <c r="BD3342" s="5"/>
      <c r="BE3342" s="5"/>
      <c r="BF3342" s="5"/>
      <c r="BG3342" s="5"/>
      <c r="BH3342" s="5"/>
      <c r="BI3342" s="5"/>
      <c r="BJ3342" s="5"/>
      <c r="BK3342" s="5"/>
      <c r="BL3342" s="5"/>
      <c r="BM3342" s="5"/>
      <c r="BN3342" s="5"/>
      <c r="BO3342" s="5"/>
      <c r="BP3342" s="5"/>
      <c r="BQ3342" s="5"/>
      <c r="BR3342" s="5"/>
      <c r="BS3342" s="5"/>
      <c r="BT3342" s="5"/>
      <c r="BU3342" s="5"/>
      <c r="BV3342" s="5"/>
      <c r="BW3342" s="5"/>
      <c r="BX3342" s="5"/>
      <c r="BY3342" s="5"/>
      <c r="BZ3342" s="5"/>
      <c r="CA3342" s="5"/>
    </row>
    <row r="3343" spans="1:79" s="400" customFormat="1" ht="15" customHeight="1">
      <c r="A3343" s="41" t="s">
        <v>183</v>
      </c>
      <c r="B3343" s="402" t="s">
        <v>5813</v>
      </c>
      <c r="C3343" s="113" t="s">
        <v>5814</v>
      </c>
      <c r="D3343" s="393" t="s">
        <v>3953</v>
      </c>
      <c r="E3343" s="394" t="s">
        <v>5815</v>
      </c>
      <c r="F3343" s="402"/>
      <c r="G3343" s="405" t="s">
        <v>5816</v>
      </c>
      <c r="H3343" s="404">
        <v>2892</v>
      </c>
      <c r="I3343" s="402" t="s">
        <v>2</v>
      </c>
      <c r="J3343" s="406" t="s">
        <v>5819</v>
      </c>
      <c r="K3343" s="403">
        <v>41529</v>
      </c>
      <c r="L3343" s="398">
        <v>41519</v>
      </c>
      <c r="M3343" s="402">
        <f t="shared" si="197"/>
        <v>10</v>
      </c>
      <c r="N3343" s="402" t="s">
        <v>2</v>
      </c>
      <c r="O3343" s="404">
        <f>1.4/2</f>
        <v>0.7</v>
      </c>
      <c r="P3343" s="402">
        <v>7.1</v>
      </c>
      <c r="Q3343" s="404">
        <v>7.1</v>
      </c>
      <c r="R3343" s="402">
        <v>13</v>
      </c>
      <c r="S3343" s="404">
        <v>12</v>
      </c>
      <c r="T3343" s="402">
        <v>0.09</v>
      </c>
      <c r="U3343" s="395">
        <v>1.54</v>
      </c>
      <c r="V3343" s="402">
        <v>0.02</v>
      </c>
      <c r="W3343" s="404">
        <v>0.02</v>
      </c>
      <c r="X3343" s="402">
        <v>3.6999999999999998E-2</v>
      </c>
      <c r="Y3343" s="404">
        <v>0.01</v>
      </c>
      <c r="Z3343" s="397"/>
      <c r="AA3343" s="399"/>
      <c r="AB3343" s="394"/>
      <c r="AC3343" s="402"/>
      <c r="AD3343" s="399"/>
      <c r="AE3343" s="402"/>
      <c r="AF3343" s="391"/>
      <c r="AG3343" s="394"/>
      <c r="AH3343" s="394"/>
      <c r="AI3343" s="394"/>
      <c r="AJ3343" s="394"/>
      <c r="AK3343" s="394"/>
      <c r="AL3343" s="394"/>
      <c r="AM3343" s="394"/>
      <c r="AN3343" s="394"/>
      <c r="AO3343" s="394"/>
      <c r="AP3343" s="394"/>
      <c r="AQ3343" s="394"/>
      <c r="AR3343" s="394"/>
      <c r="AS3343" s="402"/>
      <c r="AT3343" s="404"/>
      <c r="AU3343" s="394"/>
      <c r="AV3343" s="394"/>
      <c r="AW3343" s="394"/>
      <c r="AX3343" s="5"/>
      <c r="AY3343" s="5"/>
      <c r="AZ3343" s="5"/>
      <c r="BA3343" s="5"/>
      <c r="BB3343" s="5"/>
      <c r="BC3343" s="5"/>
      <c r="BD3343" s="5"/>
      <c r="BE3343" s="5"/>
      <c r="BF3343" s="5"/>
      <c r="BG3343" s="5"/>
      <c r="BH3343" s="5"/>
      <c r="BI3343" s="5"/>
      <c r="BJ3343" s="5"/>
      <c r="BK3343" s="5"/>
      <c r="BL3343" s="5"/>
      <c r="BM3343" s="5"/>
      <c r="BN3343" s="5"/>
      <c r="BO3343" s="5"/>
      <c r="BP3343" s="5"/>
      <c r="BQ3343" s="5"/>
      <c r="BR3343" s="5"/>
      <c r="BS3343" s="5"/>
      <c r="BT3343" s="5"/>
      <c r="BU3343" s="5"/>
      <c r="BV3343" s="5"/>
      <c r="BW3343" s="5"/>
      <c r="BX3343" s="5"/>
      <c r="BY3343" s="5"/>
      <c r="BZ3343" s="5"/>
      <c r="CA3343" s="5"/>
    </row>
    <row r="3344" spans="1:79" s="400" customFormat="1" ht="15" customHeight="1">
      <c r="A3344" s="41" t="s">
        <v>183</v>
      </c>
      <c r="B3344" s="402" t="s">
        <v>5813</v>
      </c>
      <c r="C3344" s="113" t="s">
        <v>5814</v>
      </c>
      <c r="D3344" s="393" t="s">
        <v>3953</v>
      </c>
      <c r="E3344" s="394" t="s">
        <v>5815</v>
      </c>
      <c r="F3344" s="402"/>
      <c r="G3344" s="405" t="s">
        <v>5816</v>
      </c>
      <c r="H3344" s="404">
        <v>2892</v>
      </c>
      <c r="I3344" s="402" t="s">
        <v>2</v>
      </c>
      <c r="J3344" s="406" t="s">
        <v>5820</v>
      </c>
      <c r="K3344" s="403">
        <v>41529</v>
      </c>
      <c r="L3344" s="398">
        <v>41519</v>
      </c>
      <c r="M3344" s="402">
        <f t="shared" si="197"/>
        <v>10</v>
      </c>
      <c r="N3344" s="402" t="s">
        <v>2</v>
      </c>
      <c r="O3344" s="404">
        <v>8.6</v>
      </c>
      <c r="P3344" s="402">
        <v>7.1</v>
      </c>
      <c r="Q3344" s="404">
        <v>7.15</v>
      </c>
      <c r="R3344" s="402">
        <v>13</v>
      </c>
      <c r="S3344" s="404">
        <v>790</v>
      </c>
      <c r="T3344" s="402">
        <v>0.19</v>
      </c>
      <c r="U3344" s="395">
        <v>1.18</v>
      </c>
      <c r="V3344" s="402">
        <v>0.41</v>
      </c>
      <c r="W3344" s="404">
        <v>3.3000000000000002E-2</v>
      </c>
      <c r="X3344" s="402">
        <v>0.10199999999999999</v>
      </c>
      <c r="Y3344" s="404">
        <v>2E-3</v>
      </c>
      <c r="Z3344" s="397"/>
      <c r="AA3344" s="399"/>
      <c r="AB3344" s="394"/>
      <c r="AC3344" s="402"/>
      <c r="AD3344" s="399"/>
      <c r="AE3344" s="402"/>
      <c r="AF3344" s="391"/>
      <c r="AG3344" s="394"/>
      <c r="AH3344" s="394"/>
      <c r="AI3344" s="394"/>
      <c r="AJ3344" s="394"/>
      <c r="AK3344" s="394"/>
      <c r="AL3344" s="394"/>
      <c r="AM3344" s="394"/>
      <c r="AN3344" s="394"/>
      <c r="AO3344" s="394"/>
      <c r="AP3344" s="394"/>
      <c r="AQ3344" s="394"/>
      <c r="AR3344" s="394"/>
      <c r="AS3344" s="402"/>
      <c r="AT3344" s="404"/>
      <c r="AU3344" s="394"/>
      <c r="AV3344" s="394"/>
      <c r="AW3344" s="394"/>
      <c r="AX3344" s="5"/>
      <c r="AY3344" s="5"/>
      <c r="AZ3344" s="5"/>
      <c r="BA3344" s="5"/>
      <c r="BB3344" s="5"/>
      <c r="BC3344" s="5"/>
      <c r="BD3344" s="5"/>
      <c r="BE3344" s="5"/>
      <c r="BF3344" s="5"/>
      <c r="BG3344" s="5"/>
      <c r="BH3344" s="5"/>
      <c r="BI3344" s="5"/>
      <c r="BJ3344" s="5"/>
      <c r="BK3344" s="5"/>
      <c r="BL3344" s="5"/>
      <c r="BM3344" s="5"/>
      <c r="BN3344" s="5"/>
      <c r="BO3344" s="5"/>
      <c r="BP3344" s="5"/>
      <c r="BQ3344" s="5"/>
      <c r="BR3344" s="5"/>
      <c r="BS3344" s="5"/>
      <c r="BT3344" s="5"/>
      <c r="BU3344" s="5"/>
      <c r="BV3344" s="5"/>
      <c r="BW3344" s="5"/>
      <c r="BX3344" s="5"/>
      <c r="BY3344" s="5"/>
      <c r="BZ3344" s="5"/>
      <c r="CA3344" s="5"/>
    </row>
    <row r="3345" spans="1:79" s="400" customFormat="1" ht="15" customHeight="1">
      <c r="A3345" s="41" t="s">
        <v>183</v>
      </c>
      <c r="B3345" s="402" t="s">
        <v>5813</v>
      </c>
      <c r="C3345" s="113" t="s">
        <v>5814</v>
      </c>
      <c r="D3345" s="393" t="s">
        <v>3953</v>
      </c>
      <c r="E3345" s="394" t="s">
        <v>5815</v>
      </c>
      <c r="F3345" s="402"/>
      <c r="G3345" s="405" t="s">
        <v>5816</v>
      </c>
      <c r="H3345" s="404">
        <v>2892</v>
      </c>
      <c r="I3345" s="402" t="s">
        <v>2</v>
      </c>
      <c r="J3345" s="406" t="s">
        <v>5821</v>
      </c>
      <c r="K3345" s="403">
        <v>41529</v>
      </c>
      <c r="L3345" s="398">
        <v>41519</v>
      </c>
      <c r="M3345" s="402">
        <f t="shared" si="197"/>
        <v>10</v>
      </c>
      <c r="N3345" s="402" t="s">
        <v>2</v>
      </c>
      <c r="O3345" s="404">
        <f>1.4/2</f>
        <v>0.7</v>
      </c>
      <c r="P3345" s="402">
        <v>7.1</v>
      </c>
      <c r="Q3345" s="404">
        <v>7.89</v>
      </c>
      <c r="R3345" s="402">
        <v>32</v>
      </c>
      <c r="S3345" s="404">
        <f>5/2</f>
        <v>2.5</v>
      </c>
      <c r="T3345" s="402">
        <v>13.6</v>
      </c>
      <c r="U3345" s="395">
        <v>2.13</v>
      </c>
      <c r="V3345" s="402">
        <v>3.71</v>
      </c>
      <c r="W3345" s="404">
        <v>1.83</v>
      </c>
      <c r="X3345" s="402">
        <v>0.32100000000000001</v>
      </c>
      <c r="Y3345" s="404">
        <v>8.9999999999999993E-3</v>
      </c>
      <c r="Z3345" s="397"/>
      <c r="AA3345" s="399"/>
      <c r="AB3345" s="394"/>
      <c r="AC3345" s="402"/>
      <c r="AD3345" s="399"/>
      <c r="AE3345" s="402"/>
      <c r="AF3345" s="391"/>
      <c r="AG3345" s="394"/>
      <c r="AH3345" s="394"/>
      <c r="AI3345" s="394"/>
      <c r="AJ3345" s="394"/>
      <c r="AK3345" s="394"/>
      <c r="AL3345" s="394"/>
      <c r="AM3345" s="394"/>
      <c r="AN3345" s="394"/>
      <c r="AO3345" s="394"/>
      <c r="AP3345" s="394"/>
      <c r="AQ3345" s="394"/>
      <c r="AR3345" s="394"/>
      <c r="AS3345" s="402"/>
      <c r="AT3345" s="404"/>
      <c r="AU3345" s="394"/>
      <c r="AV3345" s="394"/>
      <c r="AW3345" s="394"/>
      <c r="AX3345" s="5"/>
      <c r="AY3345" s="5"/>
      <c r="AZ3345" s="5"/>
      <c r="BA3345" s="5"/>
      <c r="BB3345" s="5"/>
      <c r="BC3345" s="5"/>
      <c r="BD3345" s="5"/>
      <c r="BE3345" s="5"/>
      <c r="BF3345" s="5"/>
      <c r="BG3345" s="5"/>
      <c r="BH3345" s="5"/>
      <c r="BI3345" s="5"/>
      <c r="BJ3345" s="5"/>
      <c r="BK3345" s="5"/>
      <c r="BL3345" s="5"/>
      <c r="BM3345" s="5"/>
      <c r="BN3345" s="5"/>
      <c r="BO3345" s="5"/>
      <c r="BP3345" s="5"/>
      <c r="BQ3345" s="5"/>
      <c r="BR3345" s="5"/>
      <c r="BS3345" s="5"/>
      <c r="BT3345" s="5"/>
      <c r="BU3345" s="5"/>
      <c r="BV3345" s="5"/>
      <c r="BW3345" s="5"/>
      <c r="BX3345" s="5"/>
      <c r="BY3345" s="5"/>
      <c r="BZ3345" s="5"/>
      <c r="CA3345" s="5"/>
    </row>
    <row r="3346" spans="1:79" s="400" customFormat="1" ht="15" customHeight="1">
      <c r="A3346" s="41" t="s">
        <v>183</v>
      </c>
      <c r="B3346" s="402" t="s">
        <v>1381</v>
      </c>
      <c r="C3346" s="113" t="s">
        <v>2000</v>
      </c>
      <c r="D3346" s="393" t="s">
        <v>200</v>
      </c>
      <c r="E3346" s="394" t="s">
        <v>214</v>
      </c>
      <c r="F3346" s="402"/>
      <c r="G3346" s="405" t="s">
        <v>2840</v>
      </c>
      <c r="H3346" s="404">
        <v>4952</v>
      </c>
      <c r="I3346" s="402" t="s">
        <v>1</v>
      </c>
      <c r="J3346" s="406" t="s">
        <v>5137</v>
      </c>
      <c r="K3346" s="403">
        <v>41529</v>
      </c>
      <c r="L3346" s="398">
        <v>41481</v>
      </c>
      <c r="M3346" s="402">
        <f t="shared" si="197"/>
        <v>48</v>
      </c>
      <c r="N3346" s="402" t="s">
        <v>2</v>
      </c>
      <c r="O3346" s="404">
        <f>1.4/2</f>
        <v>0.7</v>
      </c>
      <c r="P3346" s="402">
        <v>4.9800000000000004</v>
      </c>
      <c r="Q3346" s="404">
        <v>7.34</v>
      </c>
      <c r="R3346" s="402">
        <v>21</v>
      </c>
      <c r="S3346" s="404">
        <v>11</v>
      </c>
      <c r="T3346" s="402">
        <v>3.65</v>
      </c>
      <c r="U3346" s="395">
        <v>2.54</v>
      </c>
      <c r="V3346" s="402">
        <v>3.74</v>
      </c>
      <c r="W3346" s="404">
        <v>0.11</v>
      </c>
      <c r="X3346" s="402">
        <v>0.17399999999999999</v>
      </c>
      <c r="Y3346" s="404">
        <v>6.0000000000000001E-3</v>
      </c>
      <c r="Z3346" s="397"/>
      <c r="AA3346" s="399"/>
      <c r="AB3346" s="394"/>
      <c r="AC3346" s="402"/>
      <c r="AD3346" s="399"/>
      <c r="AE3346" s="402">
        <v>6130</v>
      </c>
      <c r="AF3346" s="391"/>
      <c r="AG3346" s="394"/>
      <c r="AH3346" s="394"/>
      <c r="AI3346" s="394"/>
      <c r="AJ3346" s="394"/>
      <c r="AK3346" s="394"/>
      <c r="AL3346" s="394"/>
      <c r="AM3346" s="394"/>
      <c r="AN3346" s="394"/>
      <c r="AO3346" s="394"/>
      <c r="AP3346" s="394"/>
      <c r="AQ3346" s="394"/>
      <c r="AR3346" s="394"/>
      <c r="AS3346" s="402"/>
      <c r="AT3346" s="404"/>
      <c r="AU3346" s="394"/>
      <c r="AV3346" s="394"/>
      <c r="AW3346" s="394"/>
      <c r="AX3346" s="5"/>
      <c r="AY3346" s="5"/>
      <c r="AZ3346" s="5"/>
      <c r="BA3346" s="5"/>
      <c r="BB3346" s="5"/>
      <c r="BC3346" s="5"/>
      <c r="BD3346" s="5"/>
      <c r="BE3346" s="5"/>
      <c r="BF3346" s="5"/>
      <c r="BG3346" s="5"/>
      <c r="BH3346" s="5"/>
      <c r="BI3346" s="5"/>
      <c r="BJ3346" s="5"/>
      <c r="BK3346" s="5"/>
      <c r="BL3346" s="5"/>
      <c r="BM3346" s="5"/>
      <c r="BN3346" s="5"/>
      <c r="BO3346" s="5"/>
      <c r="BP3346" s="5"/>
      <c r="BQ3346" s="5"/>
      <c r="BR3346" s="5"/>
      <c r="BS3346" s="5"/>
      <c r="BT3346" s="5"/>
      <c r="BU3346" s="5"/>
      <c r="BV3346" s="5"/>
      <c r="BW3346" s="5"/>
      <c r="BX3346" s="5"/>
      <c r="BY3346" s="5"/>
      <c r="BZ3346" s="5"/>
      <c r="CA3346" s="5"/>
    </row>
    <row r="3347" spans="1:79" s="400" customFormat="1" ht="15" customHeight="1">
      <c r="A3347" s="41" t="s">
        <v>183</v>
      </c>
      <c r="B3347" s="402" t="s">
        <v>1381</v>
      </c>
      <c r="C3347" s="113" t="s">
        <v>2000</v>
      </c>
      <c r="D3347" s="393" t="s">
        <v>200</v>
      </c>
      <c r="E3347" s="394" t="s">
        <v>214</v>
      </c>
      <c r="F3347" s="402"/>
      <c r="G3347" s="405" t="s">
        <v>2840</v>
      </c>
      <c r="H3347" s="404">
        <v>4952</v>
      </c>
      <c r="I3347" s="402" t="s">
        <v>1</v>
      </c>
      <c r="J3347" s="406" t="s">
        <v>5822</v>
      </c>
      <c r="K3347" s="403">
        <v>41529</v>
      </c>
      <c r="L3347" s="398">
        <v>41487</v>
      </c>
      <c r="M3347" s="402">
        <f t="shared" si="197"/>
        <v>42</v>
      </c>
      <c r="N3347" s="402" t="s">
        <v>2</v>
      </c>
      <c r="O3347" s="404">
        <f>1.4/2</f>
        <v>0.7</v>
      </c>
      <c r="P3347" s="402">
        <v>4.9800000000000004</v>
      </c>
      <c r="Q3347" s="404">
        <v>6.69</v>
      </c>
      <c r="R3347" s="402">
        <f>10/2</f>
        <v>5</v>
      </c>
      <c r="S3347" s="404">
        <f>5/2</f>
        <v>2.5</v>
      </c>
      <c r="T3347" s="402">
        <v>0.24</v>
      </c>
      <c r="U3347" s="395">
        <v>0.85</v>
      </c>
      <c r="V3347" s="402">
        <v>0.46</v>
      </c>
      <c r="W3347" s="404">
        <f>0.005/2</f>
        <v>2.5000000000000001E-3</v>
      </c>
      <c r="X3347" s="402">
        <v>2.1000000000000001E-2</v>
      </c>
      <c r="Y3347" s="404">
        <f>0.002/2</f>
        <v>1E-3</v>
      </c>
      <c r="Z3347" s="397"/>
      <c r="AA3347" s="399"/>
      <c r="AB3347" s="394"/>
      <c r="AC3347" s="402"/>
      <c r="AD3347" s="399"/>
      <c r="AE3347" s="402">
        <v>2380</v>
      </c>
      <c r="AF3347" s="391"/>
      <c r="AG3347" s="394"/>
      <c r="AH3347" s="394"/>
      <c r="AI3347" s="394"/>
      <c r="AJ3347" s="394"/>
      <c r="AK3347" s="394"/>
      <c r="AL3347" s="394"/>
      <c r="AM3347" s="394"/>
      <c r="AN3347" s="394"/>
      <c r="AO3347" s="394"/>
      <c r="AP3347" s="394"/>
      <c r="AQ3347" s="394"/>
      <c r="AR3347" s="394"/>
      <c r="AS3347" s="402"/>
      <c r="AT3347" s="404"/>
      <c r="AU3347" s="394"/>
      <c r="AV3347" s="394"/>
      <c r="AW3347" s="394"/>
      <c r="AX3347" s="5"/>
      <c r="AY3347" s="5"/>
      <c r="AZ3347" s="5"/>
      <c r="BA3347" s="5"/>
      <c r="BB3347" s="5"/>
      <c r="BC3347" s="5"/>
      <c r="BD3347" s="5"/>
      <c r="BE3347" s="5"/>
      <c r="BF3347" s="5"/>
      <c r="BG3347" s="5"/>
      <c r="BH3347" s="5"/>
      <c r="BI3347" s="5"/>
      <c r="BJ3347" s="5"/>
      <c r="BK3347" s="5"/>
      <c r="BL3347" s="5"/>
      <c r="BM3347" s="5"/>
      <c r="BN3347" s="5"/>
      <c r="BO3347" s="5"/>
      <c r="BP3347" s="5"/>
      <c r="BQ3347" s="5"/>
      <c r="BR3347" s="5"/>
      <c r="BS3347" s="5"/>
      <c r="BT3347" s="5"/>
      <c r="BU3347" s="5"/>
      <c r="BV3347" s="5"/>
      <c r="BW3347" s="5"/>
      <c r="BX3347" s="5"/>
      <c r="BY3347" s="5"/>
      <c r="BZ3347" s="5"/>
      <c r="CA3347" s="5"/>
    </row>
    <row r="3348" spans="1:79" s="400" customFormat="1" ht="15" customHeight="1">
      <c r="A3348" s="41" t="s">
        <v>183</v>
      </c>
      <c r="B3348" s="402" t="s">
        <v>1381</v>
      </c>
      <c r="C3348" s="113" t="s">
        <v>2000</v>
      </c>
      <c r="D3348" s="393" t="s">
        <v>200</v>
      </c>
      <c r="E3348" s="394" t="s">
        <v>214</v>
      </c>
      <c r="F3348" s="402"/>
      <c r="G3348" s="405" t="s">
        <v>2840</v>
      </c>
      <c r="H3348" s="404">
        <v>4952</v>
      </c>
      <c r="I3348" s="402" t="s">
        <v>1</v>
      </c>
      <c r="J3348" s="406" t="s">
        <v>5823</v>
      </c>
      <c r="K3348" s="403">
        <v>41529</v>
      </c>
      <c r="L3348" s="398">
        <v>41487</v>
      </c>
      <c r="M3348" s="402">
        <f t="shared" si="197"/>
        <v>42</v>
      </c>
      <c r="N3348" s="402" t="s">
        <v>2</v>
      </c>
      <c r="O3348" s="404">
        <f>1.4/2</f>
        <v>0.7</v>
      </c>
      <c r="P3348" s="402">
        <v>4.9800000000000004</v>
      </c>
      <c r="Q3348" s="404">
        <v>5.13</v>
      </c>
      <c r="R3348" s="402">
        <v>11</v>
      </c>
      <c r="S3348" s="404">
        <f>5/2</f>
        <v>2.5</v>
      </c>
      <c r="T3348" s="402">
        <v>0.02</v>
      </c>
      <c r="U3348" s="395">
        <v>0.36</v>
      </c>
      <c r="V3348" s="402">
        <v>0.22</v>
      </c>
      <c r="W3348" s="404">
        <v>8.9999999999999993E-3</v>
      </c>
      <c r="X3348" s="402">
        <v>5.8000000000000003E-2</v>
      </c>
      <c r="Y3348" s="404">
        <v>1.4E-2</v>
      </c>
      <c r="Z3348" s="397"/>
      <c r="AA3348" s="399"/>
      <c r="AB3348" s="394"/>
      <c r="AC3348" s="402"/>
      <c r="AD3348" s="399"/>
      <c r="AE3348" s="402">
        <v>2720</v>
      </c>
      <c r="AF3348" s="391"/>
      <c r="AG3348" s="394"/>
      <c r="AH3348" s="394"/>
      <c r="AI3348" s="394"/>
      <c r="AJ3348" s="394"/>
      <c r="AK3348" s="394"/>
      <c r="AL3348" s="394"/>
      <c r="AM3348" s="394"/>
      <c r="AN3348" s="394"/>
      <c r="AO3348" s="394"/>
      <c r="AP3348" s="394"/>
      <c r="AQ3348" s="394"/>
      <c r="AR3348" s="394"/>
      <c r="AS3348" s="402"/>
      <c r="AT3348" s="404"/>
      <c r="AU3348" s="394"/>
      <c r="AV3348" s="394"/>
      <c r="AW3348" s="394"/>
      <c r="AX3348" s="5"/>
      <c r="AY3348" s="5"/>
      <c r="AZ3348" s="5"/>
      <c r="BA3348" s="5"/>
      <c r="BB3348" s="5"/>
      <c r="BC3348" s="5"/>
      <c r="BD3348" s="5"/>
      <c r="BE3348" s="5"/>
      <c r="BF3348" s="5"/>
      <c r="BG3348" s="5"/>
      <c r="BH3348" s="5"/>
      <c r="BI3348" s="5"/>
      <c r="BJ3348" s="5"/>
      <c r="BK3348" s="5"/>
      <c r="BL3348" s="5"/>
      <c r="BM3348" s="5"/>
      <c r="BN3348" s="5"/>
      <c r="BO3348" s="5"/>
      <c r="BP3348" s="5"/>
      <c r="BQ3348" s="5"/>
      <c r="BR3348" s="5"/>
      <c r="BS3348" s="5"/>
      <c r="BT3348" s="5"/>
      <c r="BU3348" s="5"/>
      <c r="BV3348" s="5"/>
      <c r="BW3348" s="5"/>
      <c r="BX3348" s="5"/>
      <c r="BY3348" s="5"/>
      <c r="BZ3348" s="5"/>
      <c r="CA3348" s="5"/>
    </row>
    <row r="3349" spans="1:79" s="400" customFormat="1" ht="15" customHeight="1">
      <c r="A3349" s="41" t="s">
        <v>183</v>
      </c>
      <c r="B3349" s="402" t="s">
        <v>1381</v>
      </c>
      <c r="C3349" s="113" t="s">
        <v>2000</v>
      </c>
      <c r="D3349" s="393" t="s">
        <v>200</v>
      </c>
      <c r="E3349" s="394" t="s">
        <v>214</v>
      </c>
      <c r="F3349" s="402"/>
      <c r="G3349" s="405" t="s">
        <v>2840</v>
      </c>
      <c r="H3349" s="404">
        <v>4952</v>
      </c>
      <c r="I3349" s="402" t="s">
        <v>1</v>
      </c>
      <c r="J3349" s="406" t="s">
        <v>5824</v>
      </c>
      <c r="K3349" s="403">
        <v>41529</v>
      </c>
      <c r="L3349" s="398">
        <v>41518</v>
      </c>
      <c r="M3349" s="402">
        <f t="shared" si="197"/>
        <v>11</v>
      </c>
      <c r="N3349" s="402" t="s">
        <v>2</v>
      </c>
      <c r="O3349" s="404">
        <f>1.4/2</f>
        <v>0.7</v>
      </c>
      <c r="P3349" s="402">
        <v>4.9800000000000004</v>
      </c>
      <c r="Q3349" s="404">
        <v>6.07</v>
      </c>
      <c r="R3349" s="402">
        <v>17</v>
      </c>
      <c r="S3349" s="404">
        <f>5/2</f>
        <v>2.5</v>
      </c>
      <c r="T3349" s="402">
        <v>0.04</v>
      </c>
      <c r="U3349" s="395">
        <v>0.45</v>
      </c>
      <c r="V3349" s="402">
        <v>0.27</v>
      </c>
      <c r="W3349" s="404">
        <v>7.0000000000000001E-3</v>
      </c>
      <c r="X3349" s="402">
        <v>2.1999999999999999E-2</v>
      </c>
      <c r="Y3349" s="404">
        <v>1.7000000000000001E-2</v>
      </c>
      <c r="Z3349" s="397"/>
      <c r="AA3349" s="399"/>
      <c r="AB3349" s="394"/>
      <c r="AC3349" s="402"/>
      <c r="AD3349" s="399"/>
      <c r="AE3349" s="402">
        <v>6870</v>
      </c>
      <c r="AF3349" s="391"/>
      <c r="AG3349" s="394"/>
      <c r="AH3349" s="394"/>
      <c r="AI3349" s="394"/>
      <c r="AJ3349" s="394"/>
      <c r="AK3349" s="394"/>
      <c r="AL3349" s="394"/>
      <c r="AM3349" s="394"/>
      <c r="AN3349" s="394"/>
      <c r="AO3349" s="394"/>
      <c r="AP3349" s="394"/>
      <c r="AQ3349" s="394"/>
      <c r="AR3349" s="394"/>
      <c r="AS3349" s="402"/>
      <c r="AT3349" s="404"/>
      <c r="AU3349" s="394"/>
      <c r="AV3349" s="394"/>
      <c r="AW3349" s="394"/>
      <c r="AX3349" s="5"/>
      <c r="AY3349" s="5"/>
      <c r="AZ3349" s="5"/>
      <c r="BA3349" s="5"/>
      <c r="BB3349" s="5"/>
      <c r="BC3349" s="5"/>
      <c r="BD3349" s="5"/>
      <c r="BE3349" s="5"/>
      <c r="BF3349" s="5"/>
      <c r="BG3349" s="5"/>
      <c r="BH3349" s="5"/>
      <c r="BI3349" s="5"/>
      <c r="BJ3349" s="5"/>
      <c r="BK3349" s="5"/>
      <c r="BL3349" s="5"/>
      <c r="BM3349" s="5"/>
      <c r="BN3349" s="5"/>
      <c r="BO3349" s="5"/>
      <c r="BP3349" s="5"/>
      <c r="BQ3349" s="5"/>
      <c r="BR3349" s="5"/>
      <c r="BS3349" s="5"/>
      <c r="BT3349" s="5"/>
      <c r="BU3349" s="5"/>
      <c r="BV3349" s="5"/>
      <c r="BW3349" s="5"/>
      <c r="BX3349" s="5"/>
      <c r="BY3349" s="5"/>
      <c r="BZ3349" s="5"/>
      <c r="CA3349" s="5"/>
    </row>
    <row r="3350" spans="1:79" s="400" customFormat="1" ht="15" customHeight="1">
      <c r="A3350" s="41" t="s">
        <v>183</v>
      </c>
      <c r="B3350" s="386" t="s">
        <v>597</v>
      </c>
      <c r="C3350" s="149" t="s">
        <v>598</v>
      </c>
      <c r="D3350" s="392" t="s">
        <v>372</v>
      </c>
      <c r="E3350" s="258" t="s">
        <v>599</v>
      </c>
      <c r="F3350" s="402"/>
      <c r="G3350" s="405" t="s">
        <v>600</v>
      </c>
      <c r="H3350" s="391">
        <v>3273</v>
      </c>
      <c r="I3350" s="402" t="s">
        <v>1</v>
      </c>
      <c r="J3350" s="260" t="s">
        <v>366</v>
      </c>
      <c r="K3350" s="403">
        <v>41529</v>
      </c>
      <c r="L3350" s="398">
        <v>41520</v>
      </c>
      <c r="M3350" s="402">
        <f t="shared" si="197"/>
        <v>9</v>
      </c>
      <c r="N3350" s="402" t="s">
        <v>2</v>
      </c>
      <c r="O3350" s="404">
        <f>1.5/2</f>
        <v>0.75</v>
      </c>
      <c r="P3350" s="402">
        <v>5</v>
      </c>
      <c r="Q3350" s="404">
        <v>7.29</v>
      </c>
      <c r="R3350" s="402">
        <v>15</v>
      </c>
      <c r="S3350" s="404">
        <v>10</v>
      </c>
      <c r="T3350" s="402">
        <v>0.28000000000000003</v>
      </c>
      <c r="U3350" s="395">
        <v>1</v>
      </c>
      <c r="V3350" s="402">
        <v>0.25</v>
      </c>
      <c r="W3350" s="404">
        <v>7.5999999999999998E-2</v>
      </c>
      <c r="X3350" s="402">
        <v>0.13</v>
      </c>
      <c r="Y3350" s="404">
        <v>2.1999999999999999E-2</v>
      </c>
      <c r="Z3350" s="397"/>
      <c r="AA3350" s="399"/>
      <c r="AB3350" s="394"/>
      <c r="AC3350" s="402"/>
      <c r="AD3350" s="399"/>
      <c r="AE3350" s="402"/>
      <c r="AF3350" s="391"/>
      <c r="AG3350" s="394"/>
      <c r="AH3350" s="394"/>
      <c r="AI3350" s="394"/>
      <c r="AJ3350" s="394"/>
      <c r="AK3350" s="394"/>
      <c r="AL3350" s="394"/>
      <c r="AM3350" s="394"/>
      <c r="AN3350" s="394"/>
      <c r="AO3350" s="394"/>
      <c r="AP3350" s="394"/>
      <c r="AQ3350" s="394"/>
      <c r="AR3350" s="394"/>
      <c r="AS3350" s="402"/>
      <c r="AT3350" s="404"/>
      <c r="AU3350" s="394"/>
      <c r="AV3350" s="394"/>
      <c r="AW3350" s="394"/>
      <c r="AX3350" s="5"/>
      <c r="AY3350" s="5"/>
      <c r="AZ3350" s="5"/>
      <c r="BA3350" s="5"/>
      <c r="BB3350" s="5"/>
      <c r="BC3350" s="5"/>
      <c r="BD3350" s="5"/>
      <c r="BE3350" s="5"/>
      <c r="BF3350" s="5"/>
      <c r="BG3350" s="5"/>
      <c r="BH3350" s="5"/>
      <c r="BI3350" s="5"/>
      <c r="BJ3350" s="5"/>
      <c r="BK3350" s="5"/>
      <c r="BL3350" s="5"/>
      <c r="BM3350" s="5"/>
      <c r="BN3350" s="5"/>
      <c r="BO3350" s="5"/>
      <c r="BP3350" s="5"/>
      <c r="BQ3350" s="5"/>
      <c r="BR3350" s="5"/>
      <c r="BS3350" s="5"/>
      <c r="BT3350" s="5"/>
      <c r="BU3350" s="5"/>
      <c r="BV3350" s="5"/>
      <c r="BW3350" s="5"/>
      <c r="BX3350" s="5"/>
      <c r="BY3350" s="5"/>
      <c r="BZ3350" s="5"/>
      <c r="CA3350" s="5"/>
    </row>
    <row r="3351" spans="1:79" s="400" customFormat="1" ht="15" customHeight="1">
      <c r="A3351" s="41" t="s">
        <v>183</v>
      </c>
      <c r="B3351" s="402" t="s">
        <v>5825</v>
      </c>
      <c r="C3351" s="113" t="s">
        <v>5826</v>
      </c>
      <c r="D3351" s="393" t="s">
        <v>41</v>
      </c>
      <c r="E3351" s="394" t="s">
        <v>1933</v>
      </c>
      <c r="F3351" s="402"/>
      <c r="G3351" s="405" t="s">
        <v>1934</v>
      </c>
      <c r="H3351" s="404">
        <v>2051</v>
      </c>
      <c r="I3351" s="402" t="s">
        <v>2</v>
      </c>
      <c r="J3351" s="404" t="s">
        <v>5827</v>
      </c>
      <c r="K3351" s="403">
        <v>41529</v>
      </c>
      <c r="L3351" s="398">
        <v>41520</v>
      </c>
      <c r="M3351" s="402">
        <f t="shared" si="197"/>
        <v>9</v>
      </c>
      <c r="N3351" s="402" t="s">
        <v>2</v>
      </c>
      <c r="O3351" s="404">
        <f>1/2</f>
        <v>0.5</v>
      </c>
      <c r="P3351" s="402">
        <v>6.78</v>
      </c>
      <c r="Q3351" s="404">
        <v>7.44</v>
      </c>
      <c r="R3351" s="402">
        <f>1/2</f>
        <v>0.5</v>
      </c>
      <c r="S3351" s="404">
        <f>1/2</f>
        <v>0.5</v>
      </c>
      <c r="T3351" s="402">
        <f>0.05/2</f>
        <v>2.5000000000000001E-2</v>
      </c>
      <c r="U3351" s="395">
        <v>0.9</v>
      </c>
      <c r="V3351" s="402">
        <v>1.93</v>
      </c>
      <c r="W3351" s="404">
        <f>0.005/2</f>
        <v>2.5000000000000001E-3</v>
      </c>
      <c r="X3351" s="402">
        <v>1.4999999999999999E-2</v>
      </c>
      <c r="Y3351" s="404">
        <f>0.002/2</f>
        <v>1E-3</v>
      </c>
      <c r="Z3351" s="397">
        <v>1</v>
      </c>
      <c r="AA3351" s="399">
        <v>1</v>
      </c>
      <c r="AB3351" s="394">
        <v>4.3099999999999996</v>
      </c>
      <c r="AC3351" s="402">
        <v>14</v>
      </c>
      <c r="AD3351" s="399">
        <v>1</v>
      </c>
      <c r="AE3351" s="402"/>
      <c r="AF3351" s="391"/>
      <c r="AG3351" s="394"/>
      <c r="AH3351" s="394"/>
      <c r="AI3351" s="394"/>
      <c r="AJ3351" s="394"/>
      <c r="AK3351" s="394"/>
      <c r="AL3351" s="394"/>
      <c r="AM3351" s="394"/>
      <c r="AN3351" s="394"/>
      <c r="AO3351" s="394"/>
      <c r="AP3351" s="394"/>
      <c r="AQ3351" s="394"/>
      <c r="AR3351" s="394"/>
      <c r="AS3351" s="402"/>
      <c r="AT3351" s="404"/>
      <c r="AU3351" s="394"/>
      <c r="AV3351" s="394"/>
      <c r="AW3351" s="394"/>
      <c r="AX3351" s="5"/>
      <c r="AY3351" s="5"/>
      <c r="AZ3351" s="5"/>
      <c r="BA3351" s="5"/>
      <c r="BB3351" s="5"/>
      <c r="BC3351" s="5"/>
      <c r="BD3351" s="5"/>
      <c r="BE3351" s="5"/>
      <c r="BF3351" s="5"/>
      <c r="BG3351" s="5"/>
      <c r="BH3351" s="5"/>
      <c r="BI3351" s="5"/>
      <c r="BJ3351" s="5"/>
      <c r="BK3351" s="5"/>
      <c r="BL3351" s="5"/>
      <c r="BM3351" s="5"/>
      <c r="BN3351" s="5"/>
      <c r="BO3351" s="5"/>
      <c r="BP3351" s="5"/>
      <c r="BQ3351" s="5"/>
      <c r="BR3351" s="5"/>
      <c r="BS3351" s="5"/>
      <c r="BT3351" s="5"/>
      <c r="BU3351" s="5"/>
      <c r="BV3351" s="5"/>
      <c r="BW3351" s="5"/>
      <c r="BX3351" s="5"/>
      <c r="BY3351" s="5"/>
      <c r="BZ3351" s="5"/>
      <c r="CA3351" s="5"/>
    </row>
    <row r="3352" spans="1:79" s="400" customFormat="1" ht="15" customHeight="1">
      <c r="A3352" s="41" t="s">
        <v>183</v>
      </c>
      <c r="B3352" s="402" t="s">
        <v>466</v>
      </c>
      <c r="C3352" s="113" t="s">
        <v>466</v>
      </c>
      <c r="D3352" s="393" t="s">
        <v>268</v>
      </c>
      <c r="E3352" s="258" t="s">
        <v>467</v>
      </c>
      <c r="F3352" s="402">
        <v>4402</v>
      </c>
      <c r="G3352" s="405" t="s">
        <v>468</v>
      </c>
      <c r="H3352" s="404">
        <v>3724</v>
      </c>
      <c r="I3352" s="402" t="s">
        <v>2</v>
      </c>
      <c r="J3352" s="392" t="s">
        <v>469</v>
      </c>
      <c r="K3352" s="403">
        <v>41345</v>
      </c>
      <c r="L3352" s="398">
        <v>41341</v>
      </c>
      <c r="M3352" s="402">
        <f t="shared" si="197"/>
        <v>4</v>
      </c>
      <c r="N3352" s="402" t="s">
        <v>2</v>
      </c>
      <c r="O3352" s="404">
        <f>5/2</f>
        <v>2.5</v>
      </c>
      <c r="P3352" s="402">
        <v>4.47</v>
      </c>
      <c r="Q3352" s="404">
        <v>7.09</v>
      </c>
      <c r="R3352" s="402">
        <v>24</v>
      </c>
      <c r="S3352" s="404">
        <v>17</v>
      </c>
      <c r="T3352" s="402">
        <f>0.1/2</f>
        <v>0.05</v>
      </c>
      <c r="U3352" s="395">
        <f>1/2</f>
        <v>0.5</v>
      </c>
      <c r="V3352" s="402">
        <v>1.1000000000000001</v>
      </c>
      <c r="W3352" s="404">
        <f>0.04/2</f>
        <v>0.02</v>
      </c>
      <c r="X3352" s="402">
        <v>0.14000000000000001</v>
      </c>
      <c r="Y3352" s="404">
        <f>0.013/2</f>
        <v>6.4999999999999997E-3</v>
      </c>
      <c r="Z3352" s="397">
        <v>1</v>
      </c>
      <c r="AA3352" s="399">
        <v>1</v>
      </c>
      <c r="AB3352" s="394">
        <v>150</v>
      </c>
      <c r="AC3352" s="402">
        <v>53</v>
      </c>
      <c r="AD3352" s="399">
        <v>1</v>
      </c>
      <c r="AE3352" s="402"/>
      <c r="AF3352" s="391"/>
      <c r="AG3352" s="394"/>
      <c r="AH3352" s="394"/>
      <c r="AI3352" s="394"/>
      <c r="AJ3352" s="394"/>
      <c r="AK3352" s="394"/>
      <c r="AL3352" s="394"/>
      <c r="AM3352" s="394"/>
      <c r="AN3352" s="394"/>
      <c r="AO3352" s="394"/>
      <c r="AP3352" s="394"/>
      <c r="AQ3352" s="394"/>
      <c r="AR3352" s="394"/>
      <c r="AS3352" s="402"/>
      <c r="AT3352" s="404"/>
      <c r="AU3352" s="394"/>
      <c r="AV3352" s="394"/>
      <c r="AW3352" s="394"/>
      <c r="AX3352" s="5"/>
      <c r="AY3352" s="5"/>
      <c r="AZ3352" s="5"/>
      <c r="BA3352" s="5"/>
      <c r="BB3352" s="5"/>
      <c r="BC3352" s="5"/>
      <c r="BD3352" s="5"/>
      <c r="BE3352" s="5"/>
      <c r="BF3352" s="5"/>
      <c r="BG3352" s="5"/>
      <c r="BH3352" s="5"/>
      <c r="BI3352" s="5"/>
      <c r="BJ3352" s="5"/>
      <c r="BK3352" s="5"/>
      <c r="BL3352" s="5"/>
      <c r="BM3352" s="5"/>
      <c r="BN3352" s="5"/>
      <c r="BO3352" s="5"/>
      <c r="BP3352" s="5"/>
      <c r="BQ3352" s="5"/>
      <c r="BR3352" s="5"/>
      <c r="BS3352" s="5"/>
      <c r="BT3352" s="5"/>
      <c r="BU3352" s="5"/>
      <c r="BV3352" s="5"/>
      <c r="BW3352" s="5"/>
      <c r="BX3352" s="5"/>
      <c r="BY3352" s="5"/>
      <c r="BZ3352" s="5"/>
      <c r="CA3352" s="5"/>
    </row>
    <row r="3353" spans="1:79" s="400" customFormat="1" ht="15" customHeight="1">
      <c r="A3353" s="41" t="s">
        <v>183</v>
      </c>
      <c r="B3353" s="402" t="s">
        <v>466</v>
      </c>
      <c r="C3353" s="113" t="s">
        <v>466</v>
      </c>
      <c r="D3353" s="393" t="s">
        <v>268</v>
      </c>
      <c r="E3353" s="258" t="s">
        <v>467</v>
      </c>
      <c r="F3353" s="402">
        <v>4402</v>
      </c>
      <c r="G3353" s="405" t="s">
        <v>468</v>
      </c>
      <c r="H3353" s="404">
        <v>3724</v>
      </c>
      <c r="I3353" s="402" t="s">
        <v>2</v>
      </c>
      <c r="J3353" s="392" t="s">
        <v>469</v>
      </c>
      <c r="K3353" s="403">
        <v>41529</v>
      </c>
      <c r="L3353" s="398">
        <v>41341</v>
      </c>
      <c r="M3353" s="402">
        <f t="shared" si="197"/>
        <v>188</v>
      </c>
      <c r="N3353" s="402" t="s">
        <v>2</v>
      </c>
      <c r="O3353" s="404">
        <f>5/2</f>
        <v>2.5</v>
      </c>
      <c r="P3353" s="402">
        <v>4.75</v>
      </c>
      <c r="Q3353" s="404">
        <v>6.7</v>
      </c>
      <c r="R3353" s="402">
        <v>23</v>
      </c>
      <c r="S3353" s="404">
        <v>6</v>
      </c>
      <c r="T3353" s="402">
        <f>0.1/2</f>
        <v>0.05</v>
      </c>
      <c r="U3353" s="395">
        <v>1.2</v>
      </c>
      <c r="V3353" s="402">
        <v>0.48</v>
      </c>
      <c r="W3353" s="404">
        <f>0.04/2</f>
        <v>0.02</v>
      </c>
      <c r="X3353" s="402">
        <v>0.19</v>
      </c>
      <c r="Y3353" s="404">
        <f>0.013/2</f>
        <v>6.4999999999999997E-3</v>
      </c>
      <c r="Z3353" s="397">
        <v>1</v>
      </c>
      <c r="AA3353" s="399">
        <v>0.92600000000000005</v>
      </c>
      <c r="AB3353" s="394">
        <v>12</v>
      </c>
      <c r="AC3353" s="402">
        <v>38</v>
      </c>
      <c r="AD3353" s="399">
        <v>0.45</v>
      </c>
      <c r="AE3353" s="402"/>
      <c r="AF3353" s="391"/>
      <c r="AG3353" s="394"/>
      <c r="AH3353" s="394"/>
      <c r="AI3353" s="394"/>
      <c r="AJ3353" s="394"/>
      <c r="AK3353" s="394"/>
      <c r="AL3353" s="394"/>
      <c r="AM3353" s="394"/>
      <c r="AN3353" s="394"/>
      <c r="AO3353" s="394"/>
      <c r="AP3353" s="394"/>
      <c r="AQ3353" s="394"/>
      <c r="AR3353" s="394"/>
      <c r="AS3353" s="402"/>
      <c r="AT3353" s="404"/>
      <c r="AU3353" s="394"/>
      <c r="AV3353" s="394"/>
      <c r="AW3353" s="394"/>
      <c r="AX3353" s="5"/>
      <c r="AY3353" s="5"/>
      <c r="AZ3353" s="5"/>
      <c r="BA3353" s="5"/>
      <c r="BB3353" s="5"/>
      <c r="BC3353" s="5"/>
      <c r="BD3353" s="5"/>
      <c r="BE3353" s="5"/>
      <c r="BF3353" s="5"/>
      <c r="BG3353" s="5"/>
      <c r="BH3353" s="5"/>
      <c r="BI3353" s="5"/>
      <c r="BJ3353" s="5"/>
      <c r="BK3353" s="5"/>
      <c r="BL3353" s="5"/>
      <c r="BM3353" s="5"/>
      <c r="BN3353" s="5"/>
      <c r="BO3353" s="5"/>
      <c r="BP3353" s="5"/>
      <c r="BQ3353" s="5"/>
      <c r="BR3353" s="5"/>
      <c r="BS3353" s="5"/>
      <c r="BT3353" s="5"/>
      <c r="BU3353" s="5"/>
      <c r="BV3353" s="5"/>
      <c r="BW3353" s="5"/>
      <c r="BX3353" s="5"/>
      <c r="BY3353" s="5"/>
      <c r="BZ3353" s="5"/>
      <c r="CA3353" s="5"/>
    </row>
    <row r="3354" spans="1:79" s="400" customFormat="1" ht="15" customHeight="1">
      <c r="A3354" s="41" t="s">
        <v>183</v>
      </c>
      <c r="B3354" s="402" t="s">
        <v>5813</v>
      </c>
      <c r="C3354" s="113" t="s">
        <v>5814</v>
      </c>
      <c r="D3354" s="393" t="s">
        <v>3953</v>
      </c>
      <c r="E3354" s="394" t="s">
        <v>5815</v>
      </c>
      <c r="F3354" s="402"/>
      <c r="G3354" s="405" t="s">
        <v>5816</v>
      </c>
      <c r="H3354" s="404">
        <v>2892</v>
      </c>
      <c r="I3354" s="402" t="s">
        <v>2</v>
      </c>
      <c r="J3354" s="406" t="s">
        <v>5817</v>
      </c>
      <c r="K3354" s="403">
        <v>41345</v>
      </c>
      <c r="L3354" s="398">
        <v>41341</v>
      </c>
      <c r="M3354" s="402">
        <f t="shared" si="197"/>
        <v>4</v>
      </c>
      <c r="N3354" s="402" t="s">
        <v>2</v>
      </c>
      <c r="O3354" s="404">
        <f>1.4/2</f>
        <v>0.7</v>
      </c>
      <c r="P3354" s="402">
        <v>5.6</v>
      </c>
      <c r="Q3354" s="404">
        <v>7.31</v>
      </c>
      <c r="R3354" s="402">
        <v>32</v>
      </c>
      <c r="S3354" s="404">
        <v>8</v>
      </c>
      <c r="T3354" s="402">
        <v>0.05</v>
      </c>
      <c r="U3354" s="395">
        <v>0.39</v>
      </c>
      <c r="V3354" s="402">
        <v>0.25</v>
      </c>
      <c r="W3354" s="404">
        <v>8.9999999999999993E-3</v>
      </c>
      <c r="X3354" s="402">
        <v>2.8000000000000001E-2</v>
      </c>
      <c r="Y3354" s="404">
        <v>5.0000000000000001E-3</v>
      </c>
      <c r="Z3354" s="397">
        <v>1</v>
      </c>
      <c r="AA3354" s="399">
        <v>1</v>
      </c>
      <c r="AB3354" s="394">
        <v>20</v>
      </c>
      <c r="AC3354" s="402">
        <v>42</v>
      </c>
      <c r="AD3354" s="399">
        <v>1</v>
      </c>
      <c r="AE3354" s="402"/>
      <c r="AF3354" s="391"/>
      <c r="AG3354" s="394"/>
      <c r="AH3354" s="394"/>
      <c r="AI3354" s="394"/>
      <c r="AJ3354" s="394"/>
      <c r="AK3354" s="394"/>
      <c r="AL3354" s="394"/>
      <c r="AM3354" s="394"/>
      <c r="AN3354" s="394"/>
      <c r="AO3354" s="394"/>
      <c r="AP3354" s="394"/>
      <c r="AQ3354" s="394"/>
      <c r="AR3354" s="394"/>
      <c r="AS3354" s="402"/>
      <c r="AT3354" s="404"/>
      <c r="AU3354" s="394"/>
      <c r="AV3354" s="394"/>
      <c r="AW3354" s="394"/>
      <c r="AX3354" s="5"/>
      <c r="AY3354" s="5"/>
      <c r="AZ3354" s="5"/>
      <c r="BA3354" s="5"/>
      <c r="BB3354" s="5"/>
      <c r="BC3354" s="5"/>
      <c r="BD3354" s="5"/>
      <c r="BE3354" s="5"/>
      <c r="BF3354" s="5"/>
      <c r="BG3354" s="5"/>
      <c r="BH3354" s="5"/>
      <c r="BI3354" s="5"/>
      <c r="BJ3354" s="5"/>
      <c r="BK3354" s="5"/>
      <c r="BL3354" s="5"/>
      <c r="BM3354" s="5"/>
      <c r="BN3354" s="5"/>
      <c r="BO3354" s="5"/>
      <c r="BP3354" s="5"/>
      <c r="BQ3354" s="5"/>
      <c r="BR3354" s="5"/>
      <c r="BS3354" s="5"/>
      <c r="BT3354" s="5"/>
      <c r="BU3354" s="5"/>
      <c r="BV3354" s="5"/>
      <c r="BW3354" s="5"/>
      <c r="BX3354" s="5"/>
      <c r="BY3354" s="5"/>
      <c r="BZ3354" s="5"/>
      <c r="CA3354" s="5"/>
    </row>
    <row r="3355" spans="1:79" s="400" customFormat="1" ht="15" customHeight="1">
      <c r="A3355" s="41" t="s">
        <v>183</v>
      </c>
      <c r="B3355" s="402" t="s">
        <v>5813</v>
      </c>
      <c r="C3355" s="113" t="s">
        <v>5814</v>
      </c>
      <c r="D3355" s="393" t="s">
        <v>3953</v>
      </c>
      <c r="E3355" s="394" t="s">
        <v>5815</v>
      </c>
      <c r="F3355" s="402"/>
      <c r="G3355" s="405" t="s">
        <v>5816</v>
      </c>
      <c r="H3355" s="404">
        <v>2892</v>
      </c>
      <c r="I3355" s="402" t="s">
        <v>2</v>
      </c>
      <c r="J3355" s="406" t="s">
        <v>5818</v>
      </c>
      <c r="K3355" s="403">
        <v>41345</v>
      </c>
      <c r="L3355" s="398">
        <v>41341</v>
      </c>
      <c r="M3355" s="402">
        <f t="shared" si="197"/>
        <v>4</v>
      </c>
      <c r="N3355" s="402" t="s">
        <v>2</v>
      </c>
      <c r="O3355" s="404">
        <f>1.4/2</f>
        <v>0.7</v>
      </c>
      <c r="P3355" s="402">
        <v>5.6</v>
      </c>
      <c r="Q3355" s="404">
        <v>7.24</v>
      </c>
      <c r="R3355" s="402">
        <v>23</v>
      </c>
      <c r="S3355" s="404">
        <v>7.5</v>
      </c>
      <c r="T3355" s="402">
        <v>0.05</v>
      </c>
      <c r="U3355" s="395">
        <v>0.47</v>
      </c>
      <c r="V3355" s="402">
        <v>0.16</v>
      </c>
      <c r="W3355" s="404">
        <f>0.005/2</f>
        <v>2.5000000000000001E-3</v>
      </c>
      <c r="X3355" s="402">
        <v>1.9E-2</v>
      </c>
      <c r="Y3355" s="404">
        <f>0.002/2</f>
        <v>1E-3</v>
      </c>
      <c r="Z3355" s="397">
        <v>1</v>
      </c>
      <c r="AA3355" s="399">
        <v>1</v>
      </c>
      <c r="AB3355" s="394">
        <v>8</v>
      </c>
      <c r="AC3355" s="402">
        <v>32</v>
      </c>
      <c r="AD3355" s="399">
        <v>1</v>
      </c>
      <c r="AE3355" s="402"/>
      <c r="AF3355" s="391"/>
      <c r="AG3355" s="394"/>
      <c r="AH3355" s="394"/>
      <c r="AI3355" s="394"/>
      <c r="AJ3355" s="394"/>
      <c r="AK3355" s="394"/>
      <c r="AL3355" s="394"/>
      <c r="AM3355" s="394"/>
      <c r="AN3355" s="394"/>
      <c r="AO3355" s="394"/>
      <c r="AP3355" s="394"/>
      <c r="AQ3355" s="394"/>
      <c r="AR3355" s="394"/>
      <c r="AS3355" s="402"/>
      <c r="AT3355" s="404"/>
      <c r="AU3355" s="394"/>
      <c r="AV3355" s="394"/>
      <c r="AW3355" s="394"/>
      <c r="AX3355" s="5"/>
      <c r="AY3355" s="5"/>
      <c r="AZ3355" s="5"/>
      <c r="BA3355" s="5"/>
      <c r="BB3355" s="5"/>
      <c r="BC3355" s="5"/>
      <c r="BD3355" s="5"/>
      <c r="BE3355" s="5"/>
      <c r="BF3355" s="5"/>
      <c r="BG3355" s="5"/>
      <c r="BH3355" s="5"/>
      <c r="BI3355" s="5"/>
      <c r="BJ3355" s="5"/>
      <c r="BK3355" s="5"/>
      <c r="BL3355" s="5"/>
      <c r="BM3355" s="5"/>
      <c r="BN3355" s="5"/>
      <c r="BO3355" s="5"/>
      <c r="BP3355" s="5"/>
      <c r="BQ3355" s="5"/>
      <c r="BR3355" s="5"/>
      <c r="BS3355" s="5"/>
      <c r="BT3355" s="5"/>
      <c r="BU3355" s="5"/>
      <c r="BV3355" s="5"/>
      <c r="BW3355" s="5"/>
      <c r="BX3355" s="5"/>
      <c r="BY3355" s="5"/>
      <c r="BZ3355" s="5"/>
      <c r="CA3355" s="5"/>
    </row>
    <row r="3356" spans="1:79" s="400" customFormat="1" ht="15" customHeight="1">
      <c r="A3356" s="41" t="s">
        <v>183</v>
      </c>
      <c r="B3356" s="402" t="s">
        <v>5813</v>
      </c>
      <c r="C3356" s="113" t="s">
        <v>5814</v>
      </c>
      <c r="D3356" s="393" t="s">
        <v>3953</v>
      </c>
      <c r="E3356" s="394" t="s">
        <v>5815</v>
      </c>
      <c r="F3356" s="402"/>
      <c r="G3356" s="405" t="s">
        <v>5816</v>
      </c>
      <c r="H3356" s="404">
        <v>2892</v>
      </c>
      <c r="I3356" s="402" t="s">
        <v>2</v>
      </c>
      <c r="J3356" s="406" t="s">
        <v>5819</v>
      </c>
      <c r="K3356" s="403">
        <v>41345</v>
      </c>
      <c r="L3356" s="398">
        <v>41341</v>
      </c>
      <c r="M3356" s="402">
        <f t="shared" si="197"/>
        <v>4</v>
      </c>
      <c r="N3356" s="402" t="s">
        <v>2</v>
      </c>
      <c r="O3356" s="404">
        <v>3.3</v>
      </c>
      <c r="P3356" s="402">
        <v>5.6</v>
      </c>
      <c r="Q3356" s="404">
        <v>7.04</v>
      </c>
      <c r="R3356" s="402">
        <v>83</v>
      </c>
      <c r="S3356" s="404">
        <v>58</v>
      </c>
      <c r="T3356" s="402">
        <v>0.11</v>
      </c>
      <c r="U3356" s="395">
        <v>0.63</v>
      </c>
      <c r="V3356" s="402">
        <v>0.17</v>
      </c>
      <c r="W3356" s="404">
        <v>2.4E-2</v>
      </c>
      <c r="X3356" s="402">
        <v>8.1000000000000003E-2</v>
      </c>
      <c r="Y3356" s="404">
        <v>1.4999999999999999E-2</v>
      </c>
      <c r="Z3356" s="397">
        <v>1</v>
      </c>
      <c r="AA3356" s="399">
        <v>1</v>
      </c>
      <c r="AB3356" s="394">
        <v>20</v>
      </c>
      <c r="AC3356" s="402">
        <v>49</v>
      </c>
      <c r="AD3356" s="399">
        <v>1</v>
      </c>
      <c r="AE3356" s="402"/>
      <c r="AF3356" s="391"/>
      <c r="AG3356" s="394"/>
      <c r="AH3356" s="394"/>
      <c r="AI3356" s="394"/>
      <c r="AJ3356" s="394"/>
      <c r="AK3356" s="394"/>
      <c r="AL3356" s="394"/>
      <c r="AM3356" s="394"/>
      <c r="AN3356" s="394"/>
      <c r="AO3356" s="394"/>
      <c r="AP3356" s="394"/>
      <c r="AQ3356" s="394"/>
      <c r="AR3356" s="394"/>
      <c r="AS3356" s="402"/>
      <c r="AT3356" s="404"/>
      <c r="AU3356" s="394"/>
      <c r="AV3356" s="394"/>
      <c r="AW3356" s="394"/>
      <c r="AX3356" s="5"/>
      <c r="AY3356" s="5"/>
      <c r="AZ3356" s="5"/>
      <c r="BA3356" s="5"/>
      <c r="BB3356" s="5"/>
      <c r="BC3356" s="5"/>
      <c r="BD3356" s="5"/>
      <c r="BE3356" s="5"/>
      <c r="BF3356" s="5"/>
      <c r="BG3356" s="5"/>
      <c r="BH3356" s="5"/>
      <c r="BI3356" s="5"/>
      <c r="BJ3356" s="5"/>
      <c r="BK3356" s="5"/>
      <c r="BL3356" s="5"/>
      <c r="BM3356" s="5"/>
      <c r="BN3356" s="5"/>
      <c r="BO3356" s="5"/>
      <c r="BP3356" s="5"/>
      <c r="BQ3356" s="5"/>
      <c r="BR3356" s="5"/>
      <c r="BS3356" s="5"/>
      <c r="BT3356" s="5"/>
      <c r="BU3356" s="5"/>
      <c r="BV3356" s="5"/>
      <c r="BW3356" s="5"/>
      <c r="BX3356" s="5"/>
      <c r="BY3356" s="5"/>
      <c r="BZ3356" s="5"/>
      <c r="CA3356" s="5"/>
    </row>
    <row r="3357" spans="1:79" s="400" customFormat="1" ht="15" customHeight="1">
      <c r="A3357" s="41" t="s">
        <v>183</v>
      </c>
      <c r="B3357" s="402" t="s">
        <v>5813</v>
      </c>
      <c r="C3357" s="113" t="s">
        <v>5814</v>
      </c>
      <c r="D3357" s="393" t="s">
        <v>3953</v>
      </c>
      <c r="E3357" s="394" t="s">
        <v>5815</v>
      </c>
      <c r="F3357" s="402"/>
      <c r="G3357" s="405" t="s">
        <v>5816</v>
      </c>
      <c r="H3357" s="404">
        <v>2892</v>
      </c>
      <c r="I3357" s="402" t="s">
        <v>2</v>
      </c>
      <c r="J3357" s="406" t="s">
        <v>5820</v>
      </c>
      <c r="K3357" s="403">
        <v>41345</v>
      </c>
      <c r="L3357" s="398">
        <v>41341</v>
      </c>
      <c r="M3357" s="402">
        <f t="shared" si="197"/>
        <v>4</v>
      </c>
      <c r="N3357" s="402" t="s">
        <v>2</v>
      </c>
      <c r="O3357" s="404">
        <v>11</v>
      </c>
      <c r="P3357" s="402">
        <v>5.6</v>
      </c>
      <c r="Q3357" s="404">
        <v>7.39</v>
      </c>
      <c r="R3357" s="402">
        <v>202</v>
      </c>
      <c r="S3357" s="404">
        <v>220</v>
      </c>
      <c r="T3357" s="402">
        <v>0.3</v>
      </c>
      <c r="U3357" s="395">
        <v>1.19</v>
      </c>
      <c r="V3357" s="402">
        <v>0.17</v>
      </c>
      <c r="W3357" s="404">
        <v>2.5999999999999999E-2</v>
      </c>
      <c r="X3357" s="402">
        <v>9.4E-2</v>
      </c>
      <c r="Y3357" s="404">
        <v>0.105</v>
      </c>
      <c r="Z3357" s="397">
        <v>1</v>
      </c>
      <c r="AA3357" s="399">
        <v>1</v>
      </c>
      <c r="AB3357" s="394">
        <v>30</v>
      </c>
      <c r="AC3357" s="402">
        <v>577</v>
      </c>
      <c r="AD3357" s="399">
        <v>1</v>
      </c>
      <c r="AE3357" s="402"/>
      <c r="AF3357" s="391"/>
      <c r="AG3357" s="394"/>
      <c r="AH3357" s="394"/>
      <c r="AI3357" s="394"/>
      <c r="AJ3357" s="394"/>
      <c r="AK3357" s="394"/>
      <c r="AL3357" s="394"/>
      <c r="AM3357" s="394"/>
      <c r="AN3357" s="394"/>
      <c r="AO3357" s="394"/>
      <c r="AP3357" s="394"/>
      <c r="AQ3357" s="394"/>
      <c r="AR3357" s="394"/>
      <c r="AS3357" s="402"/>
      <c r="AT3357" s="404"/>
      <c r="AU3357" s="394"/>
      <c r="AV3357" s="394"/>
      <c r="AW3357" s="394"/>
      <c r="AX3357" s="5"/>
      <c r="AY3357" s="5"/>
      <c r="AZ3357" s="5"/>
      <c r="BA3357" s="5"/>
      <c r="BB3357" s="5"/>
      <c r="BC3357" s="5"/>
      <c r="BD3357" s="5"/>
      <c r="BE3357" s="5"/>
      <c r="BF3357" s="5"/>
      <c r="BG3357" s="5"/>
      <c r="BH3357" s="5"/>
      <c r="BI3357" s="5"/>
      <c r="BJ3357" s="5"/>
      <c r="BK3357" s="5"/>
      <c r="BL3357" s="5"/>
      <c r="BM3357" s="5"/>
      <c r="BN3357" s="5"/>
      <c r="BO3357" s="5"/>
      <c r="BP3357" s="5"/>
      <c r="BQ3357" s="5"/>
      <c r="BR3357" s="5"/>
      <c r="BS3357" s="5"/>
      <c r="BT3357" s="5"/>
      <c r="BU3357" s="5"/>
      <c r="BV3357" s="5"/>
      <c r="BW3357" s="5"/>
      <c r="BX3357" s="5"/>
      <c r="BY3357" s="5"/>
      <c r="BZ3357" s="5"/>
      <c r="CA3357" s="5"/>
    </row>
    <row r="3358" spans="1:79" s="400" customFormat="1" ht="15" customHeight="1">
      <c r="A3358" s="41" t="s">
        <v>183</v>
      </c>
      <c r="B3358" s="402" t="s">
        <v>5813</v>
      </c>
      <c r="C3358" s="113" t="s">
        <v>5814</v>
      </c>
      <c r="D3358" s="393" t="s">
        <v>3953</v>
      </c>
      <c r="E3358" s="394" t="s">
        <v>5815</v>
      </c>
      <c r="F3358" s="402"/>
      <c r="G3358" s="405" t="s">
        <v>5816</v>
      </c>
      <c r="H3358" s="404">
        <v>2892</v>
      </c>
      <c r="I3358" s="402" t="s">
        <v>2</v>
      </c>
      <c r="J3358" s="406" t="s">
        <v>5821</v>
      </c>
      <c r="K3358" s="403">
        <v>41345</v>
      </c>
      <c r="L3358" s="398">
        <v>41341</v>
      </c>
      <c r="M3358" s="402">
        <f t="shared" si="197"/>
        <v>4</v>
      </c>
      <c r="N3358" s="402" t="s">
        <v>2</v>
      </c>
      <c r="O3358" s="404">
        <f>1.4/2</f>
        <v>0.7</v>
      </c>
      <c r="P3358" s="402">
        <v>5.6</v>
      </c>
      <c r="Q3358" s="404">
        <v>7.04</v>
      </c>
      <c r="R3358" s="402">
        <v>30</v>
      </c>
      <c r="S3358" s="404">
        <v>14</v>
      </c>
      <c r="T3358" s="402">
        <v>0.82</v>
      </c>
      <c r="U3358" s="395">
        <v>0.45</v>
      </c>
      <c r="V3358" s="402">
        <v>0.27</v>
      </c>
      <c r="W3358" s="404">
        <v>0.158</v>
      </c>
      <c r="X3358" s="402">
        <v>6.9000000000000006E-2</v>
      </c>
      <c r="Y3358" s="404">
        <v>3.0000000000000001E-3</v>
      </c>
      <c r="Z3358" s="397">
        <v>1</v>
      </c>
      <c r="AA3358" s="399">
        <v>1</v>
      </c>
      <c r="AB3358" s="394">
        <v>10</v>
      </c>
      <c r="AC3358" s="402">
        <v>156</v>
      </c>
      <c r="AD3358" s="399">
        <v>1</v>
      </c>
      <c r="AE3358" s="402"/>
      <c r="AF3358" s="391"/>
      <c r="AG3358" s="394"/>
      <c r="AH3358" s="394"/>
      <c r="AI3358" s="394"/>
      <c r="AJ3358" s="394"/>
      <c r="AK3358" s="394"/>
      <c r="AL3358" s="394"/>
      <c r="AM3358" s="394"/>
      <c r="AN3358" s="394"/>
      <c r="AO3358" s="394"/>
      <c r="AP3358" s="394"/>
      <c r="AQ3358" s="394"/>
      <c r="AR3358" s="394"/>
      <c r="AS3358" s="402"/>
      <c r="AT3358" s="404"/>
      <c r="AU3358" s="394"/>
      <c r="AV3358" s="394"/>
      <c r="AW3358" s="394"/>
      <c r="AX3358" s="5"/>
      <c r="AY3358" s="5"/>
      <c r="AZ3358" s="5"/>
      <c r="BA3358" s="5"/>
      <c r="BB3358" s="5"/>
      <c r="BC3358" s="5"/>
      <c r="BD3358" s="5"/>
      <c r="BE3358" s="5"/>
      <c r="BF3358" s="5"/>
      <c r="BG3358" s="5"/>
      <c r="BH3358" s="5"/>
      <c r="BI3358" s="5"/>
      <c r="BJ3358" s="5"/>
      <c r="BK3358" s="5"/>
      <c r="BL3358" s="5"/>
      <c r="BM3358" s="5"/>
      <c r="BN3358" s="5"/>
      <c r="BO3358" s="5"/>
      <c r="BP3358" s="5"/>
      <c r="BQ3358" s="5"/>
      <c r="BR3358" s="5"/>
      <c r="BS3358" s="5"/>
      <c r="BT3358" s="5"/>
      <c r="BU3358" s="5"/>
      <c r="BV3358" s="5"/>
      <c r="BW3358" s="5"/>
      <c r="BX3358" s="5"/>
      <c r="BY3358" s="5"/>
      <c r="BZ3358" s="5"/>
      <c r="CA3358" s="5"/>
    </row>
    <row r="3359" spans="1:79" s="400" customFormat="1" ht="15" customHeight="1">
      <c r="A3359" s="41" t="s">
        <v>183</v>
      </c>
      <c r="B3359" s="402" t="s">
        <v>5813</v>
      </c>
      <c r="C3359" s="113" t="s">
        <v>5814</v>
      </c>
      <c r="D3359" s="393" t="s">
        <v>3953</v>
      </c>
      <c r="E3359" s="394" t="s">
        <v>5815</v>
      </c>
      <c r="F3359" s="402"/>
      <c r="G3359" s="405" t="s">
        <v>5816</v>
      </c>
      <c r="H3359" s="404">
        <v>2892</v>
      </c>
      <c r="I3359" s="402" t="s">
        <v>2</v>
      </c>
      <c r="J3359" s="406" t="s">
        <v>5828</v>
      </c>
      <c r="K3359" s="403">
        <v>40984</v>
      </c>
      <c r="L3359" s="398">
        <v>40977</v>
      </c>
      <c r="M3359" s="402">
        <f t="shared" si="197"/>
        <v>7</v>
      </c>
      <c r="N3359" s="402" t="s">
        <v>2</v>
      </c>
      <c r="O3359" s="404">
        <v>2.7</v>
      </c>
      <c r="P3359" s="402">
        <v>7</v>
      </c>
      <c r="Q3359" s="404">
        <v>7.59</v>
      </c>
      <c r="R3359" s="402">
        <v>18</v>
      </c>
      <c r="S3359" s="404">
        <v>250</v>
      </c>
      <c r="T3359" s="402">
        <v>3.44</v>
      </c>
      <c r="U3359" s="395">
        <v>2.08</v>
      </c>
      <c r="V3359" s="402">
        <v>1.9</v>
      </c>
      <c r="W3359" s="404">
        <v>0.66500000000000004</v>
      </c>
      <c r="X3359" s="402">
        <v>0.151</v>
      </c>
      <c r="Y3359" s="404">
        <v>0.114</v>
      </c>
      <c r="Z3359" s="397">
        <v>1</v>
      </c>
      <c r="AA3359" s="399">
        <v>1</v>
      </c>
      <c r="AB3359" s="394">
        <v>24</v>
      </c>
      <c r="AC3359" s="402">
        <v>321</v>
      </c>
      <c r="AD3359" s="399">
        <v>1</v>
      </c>
      <c r="AE3359" s="402"/>
      <c r="AF3359" s="391"/>
      <c r="AG3359" s="394"/>
      <c r="AH3359" s="394"/>
      <c r="AI3359" s="394"/>
      <c r="AJ3359" s="394"/>
      <c r="AK3359" s="394"/>
      <c r="AL3359" s="394"/>
      <c r="AM3359" s="394"/>
      <c r="AN3359" s="394"/>
      <c r="AO3359" s="394"/>
      <c r="AP3359" s="394"/>
      <c r="AQ3359" s="394"/>
      <c r="AR3359" s="394"/>
      <c r="AS3359" s="402"/>
      <c r="AT3359" s="404"/>
      <c r="AU3359" s="394"/>
      <c r="AV3359" s="394"/>
      <c r="AW3359" s="394"/>
      <c r="AX3359" s="5"/>
      <c r="AY3359" s="5"/>
      <c r="AZ3359" s="5"/>
      <c r="BA3359" s="5"/>
      <c r="BB3359" s="5"/>
      <c r="BC3359" s="5"/>
      <c r="BD3359" s="5"/>
      <c r="BE3359" s="5"/>
      <c r="BF3359" s="5"/>
      <c r="BG3359" s="5"/>
      <c r="BH3359" s="5"/>
      <c r="BI3359" s="5"/>
      <c r="BJ3359" s="5"/>
      <c r="BK3359" s="5"/>
      <c r="BL3359" s="5"/>
      <c r="BM3359" s="5"/>
      <c r="BN3359" s="5"/>
      <c r="BO3359" s="5"/>
      <c r="BP3359" s="5"/>
      <c r="BQ3359" s="5"/>
      <c r="BR3359" s="5"/>
      <c r="BS3359" s="5"/>
      <c r="BT3359" s="5"/>
      <c r="BU3359" s="5"/>
      <c r="BV3359" s="5"/>
      <c r="BW3359" s="5"/>
      <c r="BX3359" s="5"/>
      <c r="BY3359" s="5"/>
      <c r="BZ3359" s="5"/>
      <c r="CA3359" s="5"/>
    </row>
    <row r="3360" spans="1:79" s="400" customFormat="1" ht="15" customHeight="1">
      <c r="A3360" s="41" t="s">
        <v>183</v>
      </c>
      <c r="B3360" s="402" t="s">
        <v>5813</v>
      </c>
      <c r="C3360" s="113" t="s">
        <v>5814</v>
      </c>
      <c r="D3360" s="393" t="s">
        <v>3953</v>
      </c>
      <c r="E3360" s="394" t="s">
        <v>5815</v>
      </c>
      <c r="F3360" s="402"/>
      <c r="G3360" s="405" t="s">
        <v>5816</v>
      </c>
      <c r="H3360" s="404">
        <v>2892</v>
      </c>
      <c r="I3360" s="402" t="s">
        <v>2</v>
      </c>
      <c r="J3360" s="406" t="s">
        <v>6623</v>
      </c>
      <c r="K3360" s="403">
        <v>40984</v>
      </c>
      <c r="L3360" s="398">
        <v>40977</v>
      </c>
      <c r="M3360" s="402">
        <v>7</v>
      </c>
      <c r="N3360" s="402" t="s">
        <v>2</v>
      </c>
      <c r="O3360" s="404">
        <f>1.4/2</f>
        <v>0.7</v>
      </c>
      <c r="P3360" s="402">
        <v>7</v>
      </c>
      <c r="Q3360" s="404">
        <v>7.88</v>
      </c>
      <c r="R3360" s="402">
        <f>10/2</f>
        <v>5</v>
      </c>
      <c r="S3360" s="404">
        <v>7</v>
      </c>
      <c r="T3360" s="402">
        <v>0.08</v>
      </c>
      <c r="U3360" s="395">
        <v>0.36</v>
      </c>
      <c r="V3360" s="402">
        <v>0.75</v>
      </c>
      <c r="W3360" s="404">
        <v>1.4E-2</v>
      </c>
      <c r="X3360" s="402">
        <v>3.0000000000000001E-3</v>
      </c>
      <c r="Y3360" s="404">
        <f>0.002/2</f>
        <v>1E-3</v>
      </c>
      <c r="Z3360" s="397">
        <v>1</v>
      </c>
      <c r="AA3360" s="399">
        <v>1</v>
      </c>
      <c r="AB3360" s="394">
        <v>30</v>
      </c>
      <c r="AC3360" s="402">
        <v>108</v>
      </c>
      <c r="AD3360" s="399">
        <v>1</v>
      </c>
      <c r="AE3360" s="402"/>
      <c r="AF3360" s="391"/>
      <c r="AG3360" s="394"/>
      <c r="AH3360" s="394"/>
      <c r="AI3360" s="394"/>
      <c r="AJ3360" s="394"/>
      <c r="AK3360" s="394"/>
      <c r="AL3360" s="394"/>
      <c r="AM3360" s="394"/>
      <c r="AN3360" s="394"/>
      <c r="AO3360" s="394"/>
      <c r="AP3360" s="394"/>
      <c r="AQ3360" s="394"/>
      <c r="AR3360" s="394"/>
      <c r="AS3360" s="402"/>
      <c r="AT3360" s="404"/>
      <c r="AU3360" s="394"/>
      <c r="AV3360" s="394"/>
      <c r="AW3360" s="394"/>
      <c r="AX3360" s="5"/>
      <c r="AY3360" s="5"/>
      <c r="AZ3360" s="5"/>
      <c r="BA3360" s="5"/>
      <c r="BB3360" s="5"/>
      <c r="BC3360" s="5"/>
      <c r="BD3360" s="5"/>
      <c r="BE3360" s="5"/>
      <c r="BF3360" s="5"/>
      <c r="BG3360" s="5"/>
      <c r="BH3360" s="5"/>
      <c r="BI3360" s="5"/>
      <c r="BJ3360" s="5"/>
      <c r="BK3360" s="5"/>
      <c r="BL3360" s="5"/>
      <c r="BM3360" s="5"/>
      <c r="BN3360" s="5"/>
      <c r="BO3360" s="5"/>
      <c r="BP3360" s="5"/>
      <c r="BQ3360" s="5"/>
      <c r="BR3360" s="5"/>
      <c r="BS3360" s="5"/>
      <c r="BT3360" s="5"/>
      <c r="BU3360" s="5"/>
      <c r="BV3360" s="5"/>
      <c r="BW3360" s="5"/>
      <c r="BX3360" s="5"/>
      <c r="BY3360" s="5"/>
      <c r="BZ3360" s="5"/>
      <c r="CA3360" s="5"/>
    </row>
    <row r="3361" spans="1:79" s="400" customFormat="1" ht="15" customHeight="1">
      <c r="A3361" s="41" t="s">
        <v>183</v>
      </c>
      <c r="B3361" s="402" t="s">
        <v>5813</v>
      </c>
      <c r="C3361" s="113" t="s">
        <v>5814</v>
      </c>
      <c r="D3361" s="393" t="s">
        <v>3953</v>
      </c>
      <c r="E3361" s="394" t="s">
        <v>5815</v>
      </c>
      <c r="F3361" s="402"/>
      <c r="G3361" s="405" t="s">
        <v>5816</v>
      </c>
      <c r="H3361" s="404">
        <v>2892</v>
      </c>
      <c r="I3361" s="402" t="s">
        <v>2</v>
      </c>
      <c r="J3361" s="406" t="s">
        <v>5829</v>
      </c>
      <c r="K3361" s="403">
        <v>40984</v>
      </c>
      <c r="L3361" s="398">
        <v>40977</v>
      </c>
      <c r="M3361" s="402">
        <v>7</v>
      </c>
      <c r="N3361" s="402" t="s">
        <v>2</v>
      </c>
      <c r="O3361" s="404">
        <f>1.4/2</f>
        <v>0.7</v>
      </c>
      <c r="P3361" s="402">
        <v>7</v>
      </c>
      <c r="Q3361" s="404">
        <v>7.38</v>
      </c>
      <c r="R3361" s="402">
        <f>10/2</f>
        <v>5</v>
      </c>
      <c r="S3361" s="404">
        <v>26</v>
      </c>
      <c r="T3361" s="402">
        <v>0.08</v>
      </c>
      <c r="U3361" s="395">
        <v>0.63</v>
      </c>
      <c r="V3361" s="402">
        <v>2.5</v>
      </c>
      <c r="W3361" s="404">
        <v>8.9999999999999993E-3</v>
      </c>
      <c r="X3361" s="402">
        <v>1.4999999999999999E-2</v>
      </c>
      <c r="Y3361" s="404">
        <v>5.0000000000000001E-3</v>
      </c>
      <c r="Z3361" s="397">
        <v>1</v>
      </c>
      <c r="AA3361" s="399">
        <v>1</v>
      </c>
      <c r="AB3361" s="394">
        <v>32</v>
      </c>
      <c r="AC3361" s="402">
        <v>512</v>
      </c>
      <c r="AD3361" s="399">
        <v>1</v>
      </c>
      <c r="AE3361" s="402"/>
      <c r="AF3361" s="391"/>
      <c r="AG3361" s="394"/>
      <c r="AH3361" s="394"/>
      <c r="AI3361" s="394"/>
      <c r="AJ3361" s="394"/>
      <c r="AK3361" s="394"/>
      <c r="AL3361" s="394"/>
      <c r="AM3361" s="394"/>
      <c r="AN3361" s="394"/>
      <c r="AO3361" s="394"/>
      <c r="AP3361" s="394"/>
      <c r="AQ3361" s="394"/>
      <c r="AR3361" s="394"/>
      <c r="AS3361" s="402"/>
      <c r="AT3361" s="404"/>
      <c r="AU3361" s="394"/>
      <c r="AV3361" s="394"/>
      <c r="AW3361" s="394"/>
      <c r="AX3361" s="5"/>
      <c r="AY3361" s="5"/>
      <c r="AZ3361" s="5"/>
      <c r="BA3361" s="5"/>
      <c r="BB3361" s="5"/>
      <c r="BC3361" s="5"/>
      <c r="BD3361" s="5"/>
      <c r="BE3361" s="5"/>
      <c r="BF3361" s="5"/>
      <c r="BG3361" s="5"/>
      <c r="BH3361" s="5"/>
      <c r="BI3361" s="5"/>
      <c r="BJ3361" s="5"/>
      <c r="BK3361" s="5"/>
      <c r="BL3361" s="5"/>
      <c r="BM3361" s="5"/>
      <c r="BN3361" s="5"/>
      <c r="BO3361" s="5"/>
      <c r="BP3361" s="5"/>
      <c r="BQ3361" s="5"/>
      <c r="BR3361" s="5"/>
      <c r="BS3361" s="5"/>
      <c r="BT3361" s="5"/>
      <c r="BU3361" s="5"/>
      <c r="BV3361" s="5"/>
      <c r="BW3361" s="5"/>
      <c r="BX3361" s="5"/>
      <c r="BY3361" s="5"/>
      <c r="BZ3361" s="5"/>
      <c r="CA3361" s="5"/>
    </row>
    <row r="3362" spans="1:79" s="400" customFormat="1" ht="15" customHeight="1">
      <c r="A3362" s="41" t="s">
        <v>183</v>
      </c>
      <c r="B3362" s="402" t="s">
        <v>5813</v>
      </c>
      <c r="C3362" s="113" t="s">
        <v>5814</v>
      </c>
      <c r="D3362" s="393" t="s">
        <v>3953</v>
      </c>
      <c r="E3362" s="394" t="s">
        <v>5815</v>
      </c>
      <c r="F3362" s="402"/>
      <c r="G3362" s="405" t="s">
        <v>5816</v>
      </c>
      <c r="H3362" s="404">
        <v>2892</v>
      </c>
      <c r="I3362" s="402" t="s">
        <v>2</v>
      </c>
      <c r="J3362" s="406" t="s">
        <v>5829</v>
      </c>
      <c r="K3362" s="403">
        <v>40984</v>
      </c>
      <c r="L3362" s="398">
        <v>40977</v>
      </c>
      <c r="M3362" s="402">
        <f t="shared" si="197"/>
        <v>7</v>
      </c>
      <c r="N3362" s="402" t="s">
        <v>2</v>
      </c>
      <c r="O3362" s="404">
        <v>7</v>
      </c>
      <c r="P3362" s="402">
        <v>7</v>
      </c>
      <c r="Q3362" s="404">
        <v>7.84</v>
      </c>
      <c r="R3362" s="402">
        <f>10/2</f>
        <v>5</v>
      </c>
      <c r="S3362" s="404">
        <v>410</v>
      </c>
      <c r="T3362" s="402">
        <v>0.39</v>
      </c>
      <c r="U3362" s="395">
        <v>2.21</v>
      </c>
      <c r="V3362" s="402">
        <v>0.36</v>
      </c>
      <c r="W3362" s="404">
        <v>4.2999999999999997E-2</v>
      </c>
      <c r="X3362" s="402">
        <v>0.13800000000000001</v>
      </c>
      <c r="Y3362" s="404">
        <v>0.156</v>
      </c>
      <c r="Z3362" s="397">
        <v>1</v>
      </c>
      <c r="AA3362" s="399">
        <v>1</v>
      </c>
      <c r="AB3362" s="394">
        <v>20</v>
      </c>
      <c r="AC3362" s="402">
        <v>267</v>
      </c>
      <c r="AD3362" s="399">
        <v>1</v>
      </c>
      <c r="AE3362" s="402"/>
      <c r="AF3362" s="391"/>
      <c r="AG3362" s="394"/>
      <c r="AH3362" s="394"/>
      <c r="AI3362" s="394"/>
      <c r="AJ3362" s="394"/>
      <c r="AK3362" s="394"/>
      <c r="AL3362" s="394"/>
      <c r="AM3362" s="394"/>
      <c r="AN3362" s="394"/>
      <c r="AO3362" s="394"/>
      <c r="AP3362" s="394"/>
      <c r="AQ3362" s="394"/>
      <c r="AR3362" s="394"/>
      <c r="AS3362" s="402"/>
      <c r="AT3362" s="404"/>
      <c r="AU3362" s="394"/>
      <c r="AV3362" s="394"/>
      <c r="AW3362" s="394"/>
      <c r="AX3362" s="5"/>
      <c r="AY3362" s="5"/>
      <c r="AZ3362" s="5"/>
      <c r="BA3362" s="5"/>
      <c r="BB3362" s="5"/>
      <c r="BC3362" s="5"/>
      <c r="BD3362" s="5"/>
      <c r="BE3362" s="5"/>
      <c r="BF3362" s="5"/>
      <c r="BG3362" s="5"/>
      <c r="BH3362" s="5"/>
      <c r="BI3362" s="5"/>
      <c r="BJ3362" s="5"/>
      <c r="BK3362" s="5"/>
      <c r="BL3362" s="5"/>
      <c r="BM3362" s="5"/>
      <c r="BN3362" s="5"/>
      <c r="BO3362" s="5"/>
      <c r="BP3362" s="5"/>
      <c r="BQ3362" s="5"/>
      <c r="BR3362" s="5"/>
      <c r="BS3362" s="5"/>
      <c r="BT3362" s="5"/>
      <c r="BU3362" s="5"/>
      <c r="BV3362" s="5"/>
      <c r="BW3362" s="5"/>
      <c r="BX3362" s="5"/>
      <c r="BY3362" s="5"/>
      <c r="BZ3362" s="5"/>
      <c r="CA3362" s="5"/>
    </row>
    <row r="3363" spans="1:79" s="400" customFormat="1" ht="15" customHeight="1">
      <c r="A3363" s="41" t="s">
        <v>183</v>
      </c>
      <c r="B3363" s="402" t="s">
        <v>5813</v>
      </c>
      <c r="C3363" s="113" t="s">
        <v>5814</v>
      </c>
      <c r="D3363" s="393" t="s">
        <v>3953</v>
      </c>
      <c r="E3363" s="394" t="s">
        <v>5815</v>
      </c>
      <c r="F3363" s="402"/>
      <c r="G3363" s="405" t="s">
        <v>5816</v>
      </c>
      <c r="H3363" s="404">
        <v>2892</v>
      </c>
      <c r="I3363" s="402" t="s">
        <v>2</v>
      </c>
      <c r="J3363" s="406" t="s">
        <v>5830</v>
      </c>
      <c r="K3363" s="403">
        <v>40984</v>
      </c>
      <c r="L3363" s="398">
        <v>40977</v>
      </c>
      <c r="M3363" s="402">
        <f t="shared" si="197"/>
        <v>7</v>
      </c>
      <c r="N3363" s="402" t="s">
        <v>2</v>
      </c>
      <c r="O3363" s="404">
        <f>1.4/2</f>
        <v>0.7</v>
      </c>
      <c r="P3363" s="402">
        <v>7</v>
      </c>
      <c r="Q3363" s="404">
        <v>8.16</v>
      </c>
      <c r="R3363" s="402">
        <v>45</v>
      </c>
      <c r="S3363" s="404">
        <v>7</v>
      </c>
      <c r="T3363" s="402">
        <v>11.2</v>
      </c>
      <c r="U3363" s="395">
        <v>2.12</v>
      </c>
      <c r="V3363" s="402">
        <v>4.47</v>
      </c>
      <c r="W3363" s="404">
        <v>4.4800000000000004</v>
      </c>
      <c r="X3363" s="402">
        <v>0.377</v>
      </c>
      <c r="Y3363" s="404">
        <v>1.2E-2</v>
      </c>
      <c r="Z3363" s="397">
        <v>1</v>
      </c>
      <c r="AA3363" s="399">
        <v>1</v>
      </c>
      <c r="AB3363" s="394">
        <v>68</v>
      </c>
      <c r="AC3363" s="402">
        <v>307</v>
      </c>
      <c r="AD3363" s="399">
        <v>0.95</v>
      </c>
      <c r="AE3363" s="402"/>
      <c r="AF3363" s="391"/>
      <c r="AG3363" s="394"/>
      <c r="AH3363" s="394"/>
      <c r="AI3363" s="394"/>
      <c r="AJ3363" s="394"/>
      <c r="AK3363" s="394"/>
      <c r="AL3363" s="394"/>
      <c r="AM3363" s="394"/>
      <c r="AN3363" s="394"/>
      <c r="AO3363" s="394"/>
      <c r="AP3363" s="394"/>
      <c r="AQ3363" s="394"/>
      <c r="AR3363" s="394"/>
      <c r="AS3363" s="402"/>
      <c r="AT3363" s="404"/>
      <c r="AU3363" s="394"/>
      <c r="AV3363" s="394"/>
      <c r="AW3363" s="394"/>
      <c r="AX3363" s="5"/>
      <c r="AY3363" s="5"/>
      <c r="AZ3363" s="5"/>
      <c r="BA3363" s="5"/>
      <c r="BB3363" s="5"/>
      <c r="BC3363" s="5"/>
      <c r="BD3363" s="5"/>
      <c r="BE3363" s="5"/>
      <c r="BF3363" s="5"/>
      <c r="BG3363" s="5"/>
      <c r="BH3363" s="5"/>
      <c r="BI3363" s="5"/>
      <c r="BJ3363" s="5"/>
      <c r="BK3363" s="5"/>
      <c r="BL3363" s="5"/>
      <c r="BM3363" s="5"/>
      <c r="BN3363" s="5"/>
      <c r="BO3363" s="5"/>
      <c r="BP3363" s="5"/>
      <c r="BQ3363" s="5"/>
      <c r="BR3363" s="5"/>
      <c r="BS3363" s="5"/>
      <c r="BT3363" s="5"/>
      <c r="BU3363" s="5"/>
      <c r="BV3363" s="5"/>
      <c r="BW3363" s="5"/>
      <c r="BX3363" s="5"/>
      <c r="BY3363" s="5"/>
      <c r="BZ3363" s="5"/>
      <c r="CA3363" s="5"/>
    </row>
    <row r="3364" spans="1:79" s="400" customFormat="1" ht="15" customHeight="1">
      <c r="A3364" s="41" t="s">
        <v>183</v>
      </c>
      <c r="B3364" s="402" t="s">
        <v>597</v>
      </c>
      <c r="C3364" s="113" t="s">
        <v>626</v>
      </c>
      <c r="D3364" s="393" t="s">
        <v>534</v>
      </c>
      <c r="E3364" s="394" t="s">
        <v>627</v>
      </c>
      <c r="F3364" s="402"/>
      <c r="G3364" s="405" t="s">
        <v>628</v>
      </c>
      <c r="H3364" s="391">
        <v>3273</v>
      </c>
      <c r="I3364" s="402" t="s">
        <v>1</v>
      </c>
      <c r="J3364" s="406" t="s">
        <v>255</v>
      </c>
      <c r="K3364" s="403">
        <v>41285</v>
      </c>
      <c r="L3364" s="398">
        <v>41270</v>
      </c>
      <c r="M3364" s="402">
        <f t="shared" si="197"/>
        <v>15</v>
      </c>
      <c r="N3364" s="402" t="s">
        <v>2</v>
      </c>
      <c r="O3364" s="404">
        <f>1/2</f>
        <v>0.5</v>
      </c>
      <c r="P3364" s="402">
        <v>5.5</v>
      </c>
      <c r="Q3364" s="404">
        <v>9.1</v>
      </c>
      <c r="R3364" s="402">
        <v>12.5</v>
      </c>
      <c r="S3364" s="404">
        <v>115</v>
      </c>
      <c r="T3364" s="402">
        <v>0.02</v>
      </c>
      <c r="U3364" s="395">
        <v>0.62</v>
      </c>
      <c r="V3364" s="402">
        <v>0.55000000000000004</v>
      </c>
      <c r="W3364" s="404">
        <v>8.0000000000000002E-3</v>
      </c>
      <c r="X3364" s="402">
        <v>0.14000000000000001</v>
      </c>
      <c r="Y3364" s="404">
        <v>1.4E-2</v>
      </c>
      <c r="Z3364" s="397"/>
      <c r="AA3364" s="399"/>
      <c r="AB3364" s="394"/>
      <c r="AC3364" s="402"/>
      <c r="AD3364" s="399"/>
      <c r="AE3364" s="402">
        <v>0</v>
      </c>
      <c r="AF3364" s="391"/>
      <c r="AG3364" s="394"/>
      <c r="AH3364" s="394"/>
      <c r="AI3364" s="394"/>
      <c r="AJ3364" s="394"/>
      <c r="AK3364" s="394"/>
      <c r="AL3364" s="394"/>
      <c r="AM3364" s="394"/>
      <c r="AN3364" s="394"/>
      <c r="AO3364" s="394"/>
      <c r="AP3364" s="394"/>
      <c r="AQ3364" s="394"/>
      <c r="AR3364" s="394"/>
      <c r="AS3364" s="402"/>
      <c r="AT3364" s="404"/>
      <c r="AU3364" s="394"/>
      <c r="AV3364" s="394"/>
      <c r="AW3364" s="394"/>
      <c r="AX3364" s="5"/>
      <c r="AY3364" s="5"/>
      <c r="AZ3364" s="5"/>
      <c r="BA3364" s="5"/>
      <c r="BB3364" s="5"/>
      <c r="BC3364" s="5"/>
      <c r="BD3364" s="5"/>
      <c r="BE3364" s="5"/>
      <c r="BF3364" s="5"/>
      <c r="BG3364" s="5"/>
      <c r="BH3364" s="5"/>
      <c r="BI3364" s="5"/>
      <c r="BJ3364" s="5"/>
      <c r="BK3364" s="5"/>
      <c r="BL3364" s="5"/>
      <c r="BM3364" s="5"/>
      <c r="BN3364" s="5"/>
      <c r="BO3364" s="5"/>
      <c r="BP3364" s="5"/>
      <c r="BQ3364" s="5"/>
      <c r="BR3364" s="5"/>
      <c r="BS3364" s="5"/>
      <c r="BT3364" s="5"/>
      <c r="BU3364" s="5"/>
      <c r="BV3364" s="5"/>
      <c r="BW3364" s="5"/>
      <c r="BX3364" s="5"/>
      <c r="BY3364" s="5"/>
      <c r="BZ3364" s="5"/>
      <c r="CA3364" s="5"/>
    </row>
    <row r="3365" spans="1:79" s="400" customFormat="1" ht="15" customHeight="1">
      <c r="A3365" s="41" t="s">
        <v>183</v>
      </c>
      <c r="B3365" s="402" t="s">
        <v>597</v>
      </c>
      <c r="C3365" s="113" t="s">
        <v>626</v>
      </c>
      <c r="D3365" s="393" t="s">
        <v>534</v>
      </c>
      <c r="E3365" s="394" t="s">
        <v>627</v>
      </c>
      <c r="F3365" s="402"/>
      <c r="G3365" s="405" t="s">
        <v>628</v>
      </c>
      <c r="H3365" s="391">
        <v>3273</v>
      </c>
      <c r="I3365" s="402" t="s">
        <v>1</v>
      </c>
      <c r="J3365" s="406" t="s">
        <v>96</v>
      </c>
      <c r="K3365" s="403">
        <v>41285</v>
      </c>
      <c r="L3365" s="398">
        <v>41270</v>
      </c>
      <c r="M3365" s="402">
        <f t="shared" si="197"/>
        <v>15</v>
      </c>
      <c r="N3365" s="402" t="s">
        <v>2</v>
      </c>
      <c r="O3365" s="404">
        <f>1/2</f>
        <v>0.5</v>
      </c>
      <c r="P3365" s="402">
        <v>5.5</v>
      </c>
      <c r="Q3365" s="404">
        <v>8.4</v>
      </c>
      <c r="R3365" s="402">
        <v>18</v>
      </c>
      <c r="S3365" s="404">
        <v>171</v>
      </c>
      <c r="T3365" s="402">
        <v>0.02</v>
      </c>
      <c r="U3365" s="395">
        <v>0.77</v>
      </c>
      <c r="V3365" s="402">
        <v>0.39</v>
      </c>
      <c r="W3365" s="404">
        <v>0.01</v>
      </c>
      <c r="X3365" s="402">
        <v>0.13</v>
      </c>
      <c r="Y3365" s="404">
        <v>1.4999999999999999E-2</v>
      </c>
      <c r="Z3365" s="397"/>
      <c r="AA3365" s="399"/>
      <c r="AB3365" s="394"/>
      <c r="AC3365" s="402"/>
      <c r="AD3365" s="399"/>
      <c r="AE3365" s="402">
        <v>0</v>
      </c>
      <c r="AF3365" s="391"/>
      <c r="AG3365" s="394"/>
      <c r="AH3365" s="394"/>
      <c r="AI3365" s="394"/>
      <c r="AJ3365" s="394"/>
      <c r="AK3365" s="394"/>
      <c r="AL3365" s="394"/>
      <c r="AM3365" s="394"/>
      <c r="AN3365" s="394"/>
      <c r="AO3365" s="394"/>
      <c r="AP3365" s="394"/>
      <c r="AQ3365" s="394"/>
      <c r="AR3365" s="394"/>
      <c r="AS3365" s="402"/>
      <c r="AT3365" s="404"/>
      <c r="AU3365" s="394"/>
      <c r="AV3365" s="394"/>
      <c r="AW3365" s="394"/>
      <c r="AX3365" s="5"/>
      <c r="AY3365" s="5"/>
      <c r="AZ3365" s="5"/>
      <c r="BA3365" s="5"/>
      <c r="BB3365" s="5"/>
      <c r="BC3365" s="5"/>
      <c r="BD3365" s="5"/>
      <c r="BE3365" s="5"/>
      <c r="BF3365" s="5"/>
      <c r="BG3365" s="5"/>
      <c r="BH3365" s="5"/>
      <c r="BI3365" s="5"/>
      <c r="BJ3365" s="5"/>
      <c r="BK3365" s="5"/>
      <c r="BL3365" s="5"/>
      <c r="BM3365" s="5"/>
      <c r="BN3365" s="5"/>
      <c r="BO3365" s="5"/>
      <c r="BP3365" s="5"/>
      <c r="BQ3365" s="5"/>
      <c r="BR3365" s="5"/>
      <c r="BS3365" s="5"/>
      <c r="BT3365" s="5"/>
      <c r="BU3365" s="5"/>
      <c r="BV3365" s="5"/>
      <c r="BW3365" s="5"/>
      <c r="BX3365" s="5"/>
      <c r="BY3365" s="5"/>
      <c r="BZ3365" s="5"/>
      <c r="CA3365" s="5"/>
    </row>
    <row r="3366" spans="1:79" ht="15" customHeight="1">
      <c r="A3366" s="404" t="s">
        <v>4668</v>
      </c>
      <c r="B3366" s="402" t="s">
        <v>597</v>
      </c>
      <c r="C3366" s="113" t="s">
        <v>626</v>
      </c>
      <c r="D3366" s="393" t="s">
        <v>534</v>
      </c>
      <c r="E3366" s="394" t="s">
        <v>627</v>
      </c>
      <c r="G3366" s="405" t="s">
        <v>628</v>
      </c>
      <c r="H3366" s="49">
        <v>3273</v>
      </c>
      <c r="I3366" s="50" t="s">
        <v>1</v>
      </c>
      <c r="J3366" s="339" t="s">
        <v>255</v>
      </c>
      <c r="K3366" s="51">
        <v>41345</v>
      </c>
      <c r="L3366" s="173">
        <v>41341</v>
      </c>
      <c r="M3366" s="50">
        <f t="shared" si="197"/>
        <v>4</v>
      </c>
      <c r="N3366" s="50" t="s">
        <v>2</v>
      </c>
      <c r="O3366" s="74">
        <f>1.4/2</f>
        <v>0.7</v>
      </c>
      <c r="P3366" s="50">
        <v>5.6</v>
      </c>
      <c r="Q3366" s="74">
        <v>6.21</v>
      </c>
      <c r="R3366" s="50">
        <f>10/2</f>
        <v>5</v>
      </c>
      <c r="S3366" s="74">
        <v>6.5</v>
      </c>
      <c r="T3366" s="50">
        <f>0.02/2</f>
        <v>0.01</v>
      </c>
      <c r="U3366" s="131">
        <v>0.17</v>
      </c>
      <c r="V3366" s="50">
        <v>0.03</v>
      </c>
      <c r="W3366" s="74">
        <f>0.005/2</f>
        <v>2.5000000000000001E-3</v>
      </c>
      <c r="X3366" s="50">
        <v>0.01</v>
      </c>
      <c r="Y3366" s="74">
        <f>0.002/2</f>
        <v>1E-3</v>
      </c>
      <c r="Z3366" s="165">
        <v>1</v>
      </c>
      <c r="AA3366" s="271">
        <v>1</v>
      </c>
      <c r="AB3366" s="114">
        <v>2</v>
      </c>
      <c r="AC3366" s="50">
        <v>58</v>
      </c>
      <c r="AD3366" s="271">
        <v>0.95</v>
      </c>
      <c r="AE3366" s="50">
        <v>20</v>
      </c>
    </row>
    <row r="3367" spans="1:79" s="400" customFormat="1" ht="15" customHeight="1">
      <c r="A3367" s="41" t="s">
        <v>183</v>
      </c>
      <c r="B3367" s="402" t="s">
        <v>5343</v>
      </c>
      <c r="C3367" s="113" t="s">
        <v>5831</v>
      </c>
      <c r="D3367" s="393" t="s">
        <v>406</v>
      </c>
      <c r="E3367" s="394" t="s">
        <v>5344</v>
      </c>
      <c r="F3367" s="402"/>
      <c r="G3367" s="405" t="s">
        <v>5345</v>
      </c>
      <c r="H3367" s="404">
        <v>3724</v>
      </c>
      <c r="I3367" s="402" t="s">
        <v>2</v>
      </c>
      <c r="J3367" s="406" t="s">
        <v>96</v>
      </c>
      <c r="K3367" s="403">
        <v>41443</v>
      </c>
      <c r="L3367" s="398">
        <v>41439</v>
      </c>
      <c r="M3367" s="402">
        <f t="shared" si="197"/>
        <v>4</v>
      </c>
      <c r="N3367" s="402" t="s">
        <v>2</v>
      </c>
      <c r="O3367" s="404">
        <f t="shared" ref="O3367:O3372" si="200">1/2</f>
        <v>0.5</v>
      </c>
      <c r="P3367" s="402">
        <v>7.1</v>
      </c>
      <c r="Q3367" s="404">
        <v>6.28</v>
      </c>
      <c r="R3367" s="402">
        <v>15</v>
      </c>
      <c r="S3367" s="404">
        <v>9</v>
      </c>
      <c r="T3367" s="402">
        <v>0.06</v>
      </c>
      <c r="U3367" s="395">
        <v>0.72</v>
      </c>
      <c r="V3367" s="402">
        <v>0.24</v>
      </c>
      <c r="W3367" s="404">
        <v>1.2999999999999999E-2</v>
      </c>
      <c r="X3367" s="402">
        <v>6.0999999999999999E-2</v>
      </c>
      <c r="Y3367" s="404">
        <v>8.0000000000000002E-3</v>
      </c>
      <c r="Z3367" s="397"/>
      <c r="AA3367" s="399"/>
      <c r="AB3367" s="394"/>
      <c r="AC3367" s="402"/>
      <c r="AD3367" s="399"/>
      <c r="AE3367" s="402"/>
      <c r="AF3367" s="391"/>
      <c r="AG3367" s="394"/>
      <c r="AH3367" s="394"/>
      <c r="AI3367" s="394"/>
      <c r="AJ3367" s="394"/>
      <c r="AK3367" s="394"/>
      <c r="AL3367" s="394"/>
      <c r="AM3367" s="394"/>
      <c r="AN3367" s="394"/>
      <c r="AO3367" s="394"/>
      <c r="AP3367" s="394"/>
      <c r="AQ3367" s="394"/>
      <c r="AR3367" s="394"/>
      <c r="AS3367" s="402"/>
      <c r="AT3367" s="404"/>
      <c r="AU3367" s="394"/>
      <c r="AV3367" s="394"/>
      <c r="AW3367" s="394"/>
      <c r="AX3367" s="5"/>
      <c r="AY3367" s="5"/>
      <c r="AZ3367" s="5"/>
      <c r="BA3367" s="5"/>
      <c r="BB3367" s="5"/>
      <c r="BC3367" s="5"/>
      <c r="BD3367" s="5"/>
      <c r="BE3367" s="5"/>
      <c r="BF3367" s="5"/>
      <c r="BG3367" s="5"/>
      <c r="BH3367" s="5"/>
      <c r="BI3367" s="5"/>
      <c r="BJ3367" s="5"/>
      <c r="BK3367" s="5"/>
      <c r="BL3367" s="5"/>
      <c r="BM3367" s="5"/>
      <c r="BN3367" s="5"/>
      <c r="BO3367" s="5"/>
      <c r="BP3367" s="5"/>
      <c r="BQ3367" s="5"/>
      <c r="BR3367" s="5"/>
      <c r="BS3367" s="5"/>
      <c r="BT3367" s="5"/>
      <c r="BU3367" s="5"/>
      <c r="BV3367" s="5"/>
      <c r="BW3367" s="5"/>
      <c r="BX3367" s="5"/>
      <c r="BY3367" s="5"/>
      <c r="BZ3367" s="5"/>
      <c r="CA3367" s="5"/>
    </row>
    <row r="3368" spans="1:79" s="400" customFormat="1" ht="15" customHeight="1">
      <c r="A3368" s="41" t="s">
        <v>183</v>
      </c>
      <c r="B3368" s="402" t="s">
        <v>5343</v>
      </c>
      <c r="C3368" s="113" t="s">
        <v>5831</v>
      </c>
      <c r="D3368" s="393" t="s">
        <v>406</v>
      </c>
      <c r="E3368" s="394" t="s">
        <v>5344</v>
      </c>
      <c r="F3368" s="402"/>
      <c r="G3368" s="405" t="s">
        <v>5345</v>
      </c>
      <c r="H3368" s="404">
        <v>3724</v>
      </c>
      <c r="I3368" s="402" t="s">
        <v>2</v>
      </c>
      <c r="J3368" s="406" t="s">
        <v>690</v>
      </c>
      <c r="K3368" s="403">
        <v>41443</v>
      </c>
      <c r="L3368" s="398">
        <v>41439</v>
      </c>
      <c r="M3368" s="402">
        <f t="shared" si="197"/>
        <v>4</v>
      </c>
      <c r="N3368" s="402" t="s">
        <v>2</v>
      </c>
      <c r="O3368" s="404">
        <f t="shared" si="200"/>
        <v>0.5</v>
      </c>
      <c r="P3368" s="402">
        <v>7.1</v>
      </c>
      <c r="Q3368" s="404">
        <v>6.4</v>
      </c>
      <c r="R3368" s="402">
        <v>47.3</v>
      </c>
      <c r="S3368" s="404">
        <v>60</v>
      </c>
      <c r="T3368" s="402">
        <v>0.26</v>
      </c>
      <c r="U3368" s="395">
        <v>3.4</v>
      </c>
      <c r="V3368" s="402">
        <v>0.99</v>
      </c>
      <c r="W3368" s="404">
        <v>1.7999999999999999E-2</v>
      </c>
      <c r="X3368" s="402">
        <v>0.112</v>
      </c>
      <c r="Y3368" s="404">
        <f>0.002/2</f>
        <v>1E-3</v>
      </c>
      <c r="Z3368" s="397"/>
      <c r="AA3368" s="399"/>
      <c r="AB3368" s="394"/>
      <c r="AC3368" s="402"/>
      <c r="AD3368" s="399"/>
      <c r="AE3368" s="402"/>
      <c r="AF3368" s="391"/>
      <c r="AG3368" s="394"/>
      <c r="AH3368" s="394"/>
      <c r="AI3368" s="394"/>
      <c r="AJ3368" s="394"/>
      <c r="AK3368" s="394"/>
      <c r="AL3368" s="394"/>
      <c r="AM3368" s="394"/>
      <c r="AN3368" s="394"/>
      <c r="AO3368" s="394"/>
      <c r="AP3368" s="394"/>
      <c r="AQ3368" s="394"/>
      <c r="AR3368" s="394"/>
      <c r="AS3368" s="402"/>
      <c r="AT3368" s="404"/>
      <c r="AU3368" s="394"/>
      <c r="AV3368" s="394"/>
      <c r="AW3368" s="394"/>
      <c r="AX3368" s="5"/>
      <c r="AY3368" s="5"/>
      <c r="AZ3368" s="5"/>
      <c r="BA3368" s="5"/>
      <c r="BB3368" s="5"/>
      <c r="BC3368" s="5"/>
      <c r="BD3368" s="5"/>
      <c r="BE3368" s="5"/>
      <c r="BF3368" s="5"/>
      <c r="BG3368" s="5"/>
      <c r="BH3368" s="5"/>
      <c r="BI3368" s="5"/>
      <c r="BJ3368" s="5"/>
      <c r="BK3368" s="5"/>
      <c r="BL3368" s="5"/>
      <c r="BM3368" s="5"/>
      <c r="BN3368" s="5"/>
      <c r="BO3368" s="5"/>
      <c r="BP3368" s="5"/>
      <c r="BQ3368" s="5"/>
      <c r="BR3368" s="5"/>
      <c r="BS3368" s="5"/>
      <c r="BT3368" s="5"/>
      <c r="BU3368" s="5"/>
      <c r="BV3368" s="5"/>
      <c r="BW3368" s="5"/>
      <c r="BX3368" s="5"/>
      <c r="BY3368" s="5"/>
      <c r="BZ3368" s="5"/>
      <c r="CA3368" s="5"/>
    </row>
    <row r="3369" spans="1:79" s="400" customFormat="1" ht="15" customHeight="1">
      <c r="A3369" s="41" t="s">
        <v>183</v>
      </c>
      <c r="B3369" s="402" t="s">
        <v>5343</v>
      </c>
      <c r="C3369" s="113" t="s">
        <v>5831</v>
      </c>
      <c r="D3369" s="393" t="s">
        <v>406</v>
      </c>
      <c r="E3369" s="394" t="s">
        <v>5344</v>
      </c>
      <c r="F3369" s="402"/>
      <c r="G3369" s="405" t="s">
        <v>5345</v>
      </c>
      <c r="H3369" s="404">
        <v>3724</v>
      </c>
      <c r="I3369" s="402" t="s">
        <v>2</v>
      </c>
      <c r="J3369" s="406" t="s">
        <v>1867</v>
      </c>
      <c r="K3369" s="403">
        <v>41443</v>
      </c>
      <c r="L3369" s="398">
        <v>41439</v>
      </c>
      <c r="M3369" s="402">
        <f t="shared" si="197"/>
        <v>4</v>
      </c>
      <c r="N3369" s="402" t="s">
        <v>2</v>
      </c>
      <c r="O3369" s="404">
        <f t="shared" si="200"/>
        <v>0.5</v>
      </c>
      <c r="P3369" s="402">
        <v>7.1</v>
      </c>
      <c r="Q3369" s="404">
        <v>5.95</v>
      </c>
      <c r="R3369" s="402">
        <v>32.1</v>
      </c>
      <c r="S3369" s="404">
        <v>17</v>
      </c>
      <c r="T3369" s="402">
        <v>0.09</v>
      </c>
      <c r="U3369" s="395">
        <v>4.04</v>
      </c>
      <c r="V3369" s="402">
        <v>0.45</v>
      </c>
      <c r="W3369" s="404">
        <v>3.3000000000000002E-2</v>
      </c>
      <c r="X3369" s="402">
        <v>6.3E-2</v>
      </c>
      <c r="Y3369" s="404">
        <v>2E-3</v>
      </c>
      <c r="Z3369" s="397"/>
      <c r="AA3369" s="399"/>
      <c r="AB3369" s="394"/>
      <c r="AC3369" s="402"/>
      <c r="AD3369" s="399"/>
      <c r="AE3369" s="402"/>
      <c r="AF3369" s="391"/>
      <c r="AG3369" s="394"/>
      <c r="AH3369" s="394"/>
      <c r="AI3369" s="394"/>
      <c r="AJ3369" s="394"/>
      <c r="AK3369" s="394"/>
      <c r="AL3369" s="394"/>
      <c r="AM3369" s="394"/>
      <c r="AN3369" s="394"/>
      <c r="AO3369" s="394"/>
      <c r="AP3369" s="394"/>
      <c r="AQ3369" s="394"/>
      <c r="AR3369" s="394"/>
      <c r="AS3369" s="402"/>
      <c r="AT3369" s="404"/>
      <c r="AU3369" s="394"/>
      <c r="AV3369" s="394"/>
      <c r="AW3369" s="394"/>
      <c r="AX3369" s="5"/>
      <c r="AY3369" s="5"/>
      <c r="AZ3369" s="5"/>
      <c r="BA3369" s="5"/>
      <c r="BB3369" s="5"/>
      <c r="BC3369" s="5"/>
      <c r="BD3369" s="5"/>
      <c r="BE3369" s="5"/>
      <c r="BF3369" s="5"/>
      <c r="BG3369" s="5"/>
      <c r="BH3369" s="5"/>
      <c r="BI3369" s="5"/>
      <c r="BJ3369" s="5"/>
      <c r="BK3369" s="5"/>
      <c r="BL3369" s="5"/>
      <c r="BM3369" s="5"/>
      <c r="BN3369" s="5"/>
      <c r="BO3369" s="5"/>
      <c r="BP3369" s="5"/>
      <c r="BQ3369" s="5"/>
      <c r="BR3369" s="5"/>
      <c r="BS3369" s="5"/>
      <c r="BT3369" s="5"/>
      <c r="BU3369" s="5"/>
      <c r="BV3369" s="5"/>
      <c r="BW3369" s="5"/>
      <c r="BX3369" s="5"/>
      <c r="BY3369" s="5"/>
      <c r="BZ3369" s="5"/>
      <c r="CA3369" s="5"/>
    </row>
    <row r="3370" spans="1:79" s="400" customFormat="1" ht="15" customHeight="1">
      <c r="A3370" s="41" t="s">
        <v>183</v>
      </c>
      <c r="B3370" s="402" t="s">
        <v>5343</v>
      </c>
      <c r="C3370" s="113" t="s">
        <v>5831</v>
      </c>
      <c r="D3370" s="393" t="s">
        <v>406</v>
      </c>
      <c r="E3370" s="394" t="s">
        <v>5344</v>
      </c>
      <c r="F3370" s="402"/>
      <c r="G3370" s="405" t="s">
        <v>5345</v>
      </c>
      <c r="H3370" s="404">
        <v>3724</v>
      </c>
      <c r="I3370" s="402" t="s">
        <v>2</v>
      </c>
      <c r="J3370" s="406" t="s">
        <v>5832</v>
      </c>
      <c r="K3370" s="403">
        <v>41443</v>
      </c>
      <c r="L3370" s="398">
        <v>41439</v>
      </c>
      <c r="M3370" s="402">
        <f t="shared" si="197"/>
        <v>4</v>
      </c>
      <c r="N3370" s="402" t="s">
        <v>2</v>
      </c>
      <c r="O3370" s="404">
        <f t="shared" si="200"/>
        <v>0.5</v>
      </c>
      <c r="P3370" s="402">
        <v>7.1</v>
      </c>
      <c r="Q3370" s="404">
        <v>7.02</v>
      </c>
      <c r="R3370" s="402">
        <v>28.9</v>
      </c>
      <c r="S3370" s="404">
        <v>4</v>
      </c>
      <c r="T3370" s="402">
        <v>7.0000000000000007E-2</v>
      </c>
      <c r="U3370" s="395">
        <v>0.9</v>
      </c>
      <c r="V3370" s="402">
        <v>1.57</v>
      </c>
      <c r="W3370" s="404">
        <v>2.7E-2</v>
      </c>
      <c r="X3370" s="402">
        <v>0.26700000000000002</v>
      </c>
      <c r="Y3370" s="404">
        <f>0.002/2</f>
        <v>1E-3</v>
      </c>
      <c r="Z3370" s="397"/>
      <c r="AA3370" s="399"/>
      <c r="AB3370" s="394"/>
      <c r="AC3370" s="402"/>
      <c r="AD3370" s="399"/>
      <c r="AE3370" s="402"/>
      <c r="AF3370" s="391"/>
      <c r="AG3370" s="394"/>
      <c r="AH3370" s="394"/>
      <c r="AI3370" s="394"/>
      <c r="AJ3370" s="394"/>
      <c r="AK3370" s="394"/>
      <c r="AL3370" s="394"/>
      <c r="AM3370" s="394"/>
      <c r="AN3370" s="394"/>
      <c r="AO3370" s="394"/>
      <c r="AP3370" s="394"/>
      <c r="AQ3370" s="394"/>
      <c r="AR3370" s="394"/>
      <c r="AS3370" s="402"/>
      <c r="AT3370" s="404"/>
      <c r="AU3370" s="394"/>
      <c r="AV3370" s="394"/>
      <c r="AW3370" s="394"/>
      <c r="AX3370" s="5"/>
      <c r="AY3370" s="5"/>
      <c r="AZ3370" s="5"/>
      <c r="BA3370" s="5"/>
      <c r="BB3370" s="5"/>
      <c r="BC3370" s="5"/>
      <c r="BD3370" s="5"/>
      <c r="BE3370" s="5"/>
      <c r="BF3370" s="5"/>
      <c r="BG3370" s="5"/>
      <c r="BH3370" s="5"/>
      <c r="BI3370" s="5"/>
      <c r="BJ3370" s="5"/>
      <c r="BK3370" s="5"/>
      <c r="BL3370" s="5"/>
      <c r="BM3370" s="5"/>
      <c r="BN3370" s="5"/>
      <c r="BO3370" s="5"/>
      <c r="BP3370" s="5"/>
      <c r="BQ3370" s="5"/>
      <c r="BR3370" s="5"/>
      <c r="BS3370" s="5"/>
      <c r="BT3370" s="5"/>
      <c r="BU3370" s="5"/>
      <c r="BV3370" s="5"/>
      <c r="BW3370" s="5"/>
      <c r="BX3370" s="5"/>
      <c r="BY3370" s="5"/>
      <c r="BZ3370" s="5"/>
      <c r="CA3370" s="5"/>
    </row>
    <row r="3371" spans="1:79" s="400" customFormat="1" ht="15" customHeight="1">
      <c r="A3371" s="41" t="s">
        <v>183</v>
      </c>
      <c r="B3371" s="402" t="s">
        <v>5343</v>
      </c>
      <c r="C3371" s="113" t="s">
        <v>5831</v>
      </c>
      <c r="D3371" s="393" t="s">
        <v>406</v>
      </c>
      <c r="E3371" s="394" t="s">
        <v>5344</v>
      </c>
      <c r="F3371" s="402"/>
      <c r="G3371" s="405" t="s">
        <v>5345</v>
      </c>
      <c r="H3371" s="404">
        <v>3724</v>
      </c>
      <c r="I3371" s="402" t="s">
        <v>2</v>
      </c>
      <c r="J3371" s="406" t="s">
        <v>2097</v>
      </c>
      <c r="K3371" s="403">
        <v>41443</v>
      </c>
      <c r="L3371" s="398">
        <v>41439</v>
      </c>
      <c r="M3371" s="402">
        <f t="shared" si="197"/>
        <v>4</v>
      </c>
      <c r="N3371" s="402" t="s">
        <v>2</v>
      </c>
      <c r="O3371" s="404">
        <f t="shared" si="200"/>
        <v>0.5</v>
      </c>
      <c r="P3371" s="402">
        <v>7.1</v>
      </c>
      <c r="Q3371" s="404">
        <v>7.02</v>
      </c>
      <c r="R3371" s="402">
        <v>28.9</v>
      </c>
      <c r="S3371" s="404">
        <v>12</v>
      </c>
      <c r="T3371" s="402">
        <v>7.0000000000000007E-2</v>
      </c>
      <c r="U3371" s="395">
        <v>1.18</v>
      </c>
      <c r="V3371" s="402">
        <v>0.61</v>
      </c>
      <c r="W3371" s="404">
        <v>1.6E-2</v>
      </c>
      <c r="X3371" s="402">
        <v>3.4000000000000002E-2</v>
      </c>
      <c r="Y3371" s="404">
        <f>0.002/2</f>
        <v>1E-3</v>
      </c>
      <c r="Z3371" s="397"/>
      <c r="AA3371" s="399"/>
      <c r="AB3371" s="394"/>
      <c r="AC3371" s="402"/>
      <c r="AD3371" s="399"/>
      <c r="AE3371" s="402"/>
      <c r="AF3371" s="391"/>
      <c r="AG3371" s="394"/>
      <c r="AH3371" s="394"/>
      <c r="AI3371" s="394"/>
      <c r="AJ3371" s="394"/>
      <c r="AK3371" s="394"/>
      <c r="AL3371" s="394"/>
      <c r="AM3371" s="394"/>
      <c r="AN3371" s="394"/>
      <c r="AO3371" s="394"/>
      <c r="AP3371" s="394"/>
      <c r="AQ3371" s="394"/>
      <c r="AR3371" s="394"/>
      <c r="AS3371" s="402"/>
      <c r="AT3371" s="404"/>
      <c r="AU3371" s="394"/>
      <c r="AV3371" s="394"/>
      <c r="AW3371" s="394"/>
      <c r="AX3371" s="5"/>
      <c r="AY3371" s="5"/>
      <c r="AZ3371" s="5"/>
      <c r="BA3371" s="5"/>
      <c r="BB3371" s="5"/>
      <c r="BC3371" s="5"/>
      <c r="BD3371" s="5"/>
      <c r="BE3371" s="5"/>
      <c r="BF3371" s="5"/>
      <c r="BG3371" s="5"/>
      <c r="BH3371" s="5"/>
      <c r="BI3371" s="5"/>
      <c r="BJ3371" s="5"/>
      <c r="BK3371" s="5"/>
      <c r="BL3371" s="5"/>
      <c r="BM3371" s="5"/>
      <c r="BN3371" s="5"/>
      <c r="BO3371" s="5"/>
      <c r="BP3371" s="5"/>
      <c r="BQ3371" s="5"/>
      <c r="BR3371" s="5"/>
      <c r="BS3371" s="5"/>
      <c r="BT3371" s="5"/>
      <c r="BU3371" s="5"/>
      <c r="BV3371" s="5"/>
      <c r="BW3371" s="5"/>
      <c r="BX3371" s="5"/>
      <c r="BY3371" s="5"/>
      <c r="BZ3371" s="5"/>
      <c r="CA3371" s="5"/>
    </row>
    <row r="3372" spans="1:79" s="400" customFormat="1" ht="15" customHeight="1">
      <c r="A3372" s="41" t="s">
        <v>183</v>
      </c>
      <c r="B3372" s="402" t="s">
        <v>5343</v>
      </c>
      <c r="C3372" s="113" t="s">
        <v>5831</v>
      </c>
      <c r="D3372" s="393" t="s">
        <v>406</v>
      </c>
      <c r="E3372" s="394" t="s">
        <v>5344</v>
      </c>
      <c r="F3372" s="402"/>
      <c r="G3372" s="405" t="s">
        <v>5345</v>
      </c>
      <c r="H3372" s="404">
        <v>3724</v>
      </c>
      <c r="I3372" s="402" t="s">
        <v>2</v>
      </c>
      <c r="J3372" s="406" t="s">
        <v>96</v>
      </c>
      <c r="K3372" s="403">
        <v>41402</v>
      </c>
      <c r="L3372" s="398">
        <v>41388</v>
      </c>
      <c r="M3372" s="402">
        <f t="shared" si="197"/>
        <v>14</v>
      </c>
      <c r="N3372" s="402" t="s">
        <v>2</v>
      </c>
      <c r="O3372" s="404">
        <f t="shared" si="200"/>
        <v>0.5</v>
      </c>
      <c r="P3372" s="402">
        <v>6.2</v>
      </c>
      <c r="Q3372" s="404">
        <v>6.62</v>
      </c>
      <c r="R3372" s="402">
        <v>317</v>
      </c>
      <c r="S3372" s="404">
        <v>656</v>
      </c>
      <c r="T3372" s="402">
        <v>0.85</v>
      </c>
      <c r="U3372" s="395">
        <v>3.83</v>
      </c>
      <c r="V3372" s="402">
        <v>0.49</v>
      </c>
      <c r="W3372" s="404">
        <v>3.5000000000000003E-2</v>
      </c>
      <c r="X3372" s="402">
        <v>0.157</v>
      </c>
      <c r="Y3372" s="404">
        <v>2.1999999999999999E-2</v>
      </c>
      <c r="Z3372" s="397">
        <v>1</v>
      </c>
      <c r="AA3372" s="399">
        <v>1</v>
      </c>
      <c r="AB3372" s="394">
        <v>44.45</v>
      </c>
      <c r="AC3372" s="402">
        <v>439</v>
      </c>
      <c r="AD3372" s="399">
        <v>1</v>
      </c>
      <c r="AE3372" s="402"/>
      <c r="AF3372" s="391"/>
      <c r="AG3372" s="394"/>
      <c r="AH3372" s="394"/>
      <c r="AI3372" s="394"/>
      <c r="AJ3372" s="394"/>
      <c r="AK3372" s="394"/>
      <c r="AL3372" s="394"/>
      <c r="AM3372" s="394"/>
      <c r="AN3372" s="394"/>
      <c r="AO3372" s="394"/>
      <c r="AP3372" s="394"/>
      <c r="AQ3372" s="394"/>
      <c r="AR3372" s="394"/>
      <c r="AS3372" s="402"/>
      <c r="AT3372" s="404"/>
      <c r="AU3372" s="394"/>
      <c r="AV3372" s="394"/>
      <c r="AW3372" s="394"/>
      <c r="AX3372" s="5"/>
      <c r="AY3372" s="5"/>
      <c r="AZ3372" s="5"/>
      <c r="BA3372" s="5"/>
      <c r="BB3372" s="5"/>
      <c r="BC3372" s="5"/>
      <c r="BD3372" s="5"/>
      <c r="BE3372" s="5"/>
      <c r="BF3372" s="5"/>
      <c r="BG3372" s="5"/>
      <c r="BH3372" s="5"/>
      <c r="BI3372" s="5"/>
      <c r="BJ3372" s="5"/>
      <c r="BK3372" s="5"/>
      <c r="BL3372" s="5"/>
      <c r="BM3372" s="5"/>
      <c r="BN3372" s="5"/>
      <c r="BO3372" s="5"/>
      <c r="BP3372" s="5"/>
      <c r="BQ3372" s="5"/>
      <c r="BR3372" s="5"/>
      <c r="BS3372" s="5"/>
      <c r="BT3372" s="5"/>
      <c r="BU3372" s="5"/>
      <c r="BV3372" s="5"/>
      <c r="BW3372" s="5"/>
      <c r="BX3372" s="5"/>
      <c r="BY3372" s="5"/>
      <c r="BZ3372" s="5"/>
      <c r="CA3372" s="5"/>
    </row>
    <row r="3373" spans="1:79" s="400" customFormat="1" ht="15" customHeight="1">
      <c r="A3373" s="41" t="s">
        <v>183</v>
      </c>
      <c r="B3373" s="402" t="s">
        <v>5343</v>
      </c>
      <c r="C3373" s="113" t="s">
        <v>5831</v>
      </c>
      <c r="D3373" s="393" t="s">
        <v>406</v>
      </c>
      <c r="E3373" s="394" t="s">
        <v>5344</v>
      </c>
      <c r="F3373" s="402"/>
      <c r="G3373" s="405" t="s">
        <v>5345</v>
      </c>
      <c r="H3373" s="404">
        <v>3724</v>
      </c>
      <c r="I3373" s="402" t="s">
        <v>2</v>
      </c>
      <c r="J3373" s="406" t="s">
        <v>690</v>
      </c>
      <c r="K3373" s="403">
        <v>41402</v>
      </c>
      <c r="L3373" s="398">
        <v>41388</v>
      </c>
      <c r="M3373" s="402">
        <f t="shared" si="197"/>
        <v>14</v>
      </c>
      <c r="N3373" s="402" t="s">
        <v>2</v>
      </c>
      <c r="O3373" s="404">
        <v>1.2</v>
      </c>
      <c r="P3373" s="402">
        <v>6.2</v>
      </c>
      <c r="Q3373" s="404">
        <v>6.47</v>
      </c>
      <c r="R3373" s="402">
        <v>134.5</v>
      </c>
      <c r="S3373" s="404">
        <v>190</v>
      </c>
      <c r="T3373" s="402">
        <v>0.47</v>
      </c>
      <c r="U3373" s="395">
        <v>6.32</v>
      </c>
      <c r="V3373" s="402">
        <v>0.71</v>
      </c>
      <c r="W3373" s="404">
        <v>5.8999999999999997E-2</v>
      </c>
      <c r="X3373" s="402">
        <v>0.23699999999999999</v>
      </c>
      <c r="Y3373" s="404">
        <v>3.3000000000000002E-2</v>
      </c>
      <c r="Z3373" s="397">
        <v>1</v>
      </c>
      <c r="AA3373" s="399">
        <v>1</v>
      </c>
      <c r="AB3373" s="394">
        <v>173.5</v>
      </c>
      <c r="AC3373" s="402">
        <v>790</v>
      </c>
      <c r="AD3373" s="399">
        <v>0.8</v>
      </c>
      <c r="AE3373" s="402"/>
      <c r="AF3373" s="391"/>
      <c r="AG3373" s="394"/>
      <c r="AH3373" s="394"/>
      <c r="AI3373" s="394"/>
      <c r="AJ3373" s="394"/>
      <c r="AK3373" s="394"/>
      <c r="AL3373" s="394"/>
      <c r="AM3373" s="394"/>
      <c r="AN3373" s="394"/>
      <c r="AO3373" s="394"/>
      <c r="AP3373" s="394"/>
      <c r="AQ3373" s="394"/>
      <c r="AR3373" s="394"/>
      <c r="AS3373" s="402"/>
      <c r="AT3373" s="404"/>
      <c r="AU3373" s="394"/>
      <c r="AV3373" s="394"/>
      <c r="AW3373" s="394"/>
      <c r="AX3373" s="5"/>
      <c r="AY3373" s="5"/>
      <c r="AZ3373" s="5"/>
      <c r="BA3373" s="5"/>
      <c r="BB3373" s="5"/>
      <c r="BC3373" s="5"/>
      <c r="BD3373" s="5"/>
      <c r="BE3373" s="5"/>
      <c r="BF3373" s="5"/>
      <c r="BG3373" s="5"/>
      <c r="BH3373" s="5"/>
      <c r="BI3373" s="5"/>
      <c r="BJ3373" s="5"/>
      <c r="BK3373" s="5"/>
      <c r="BL3373" s="5"/>
      <c r="BM3373" s="5"/>
      <c r="BN3373" s="5"/>
      <c r="BO3373" s="5"/>
      <c r="BP3373" s="5"/>
      <c r="BQ3373" s="5"/>
      <c r="BR3373" s="5"/>
      <c r="BS3373" s="5"/>
      <c r="BT3373" s="5"/>
      <c r="BU3373" s="5"/>
      <c r="BV3373" s="5"/>
      <c r="BW3373" s="5"/>
      <c r="BX3373" s="5"/>
      <c r="BY3373" s="5"/>
      <c r="BZ3373" s="5"/>
      <c r="CA3373" s="5"/>
    </row>
    <row r="3374" spans="1:79" s="400" customFormat="1" ht="15" customHeight="1">
      <c r="A3374" s="41" t="s">
        <v>183</v>
      </c>
      <c r="B3374" s="402" t="s">
        <v>5343</v>
      </c>
      <c r="C3374" s="113" t="s">
        <v>5831</v>
      </c>
      <c r="D3374" s="393" t="s">
        <v>406</v>
      </c>
      <c r="E3374" s="394" t="s">
        <v>5344</v>
      </c>
      <c r="F3374" s="402"/>
      <c r="G3374" s="405" t="s">
        <v>5345</v>
      </c>
      <c r="H3374" s="404">
        <v>3724</v>
      </c>
      <c r="I3374" s="402" t="s">
        <v>2</v>
      </c>
      <c r="J3374" s="406" t="s">
        <v>1867</v>
      </c>
      <c r="K3374" s="403">
        <v>41402</v>
      </c>
      <c r="L3374" s="398">
        <v>41388</v>
      </c>
      <c r="M3374" s="402">
        <f t="shared" ref="M3374:M3392" si="201">K3374-L3374</f>
        <v>14</v>
      </c>
      <c r="N3374" s="402" t="s">
        <v>2</v>
      </c>
      <c r="O3374" s="404">
        <f>1/2</f>
        <v>0.5</v>
      </c>
      <c r="P3374" s="402">
        <v>6.2</v>
      </c>
      <c r="Q3374" s="404">
        <v>5.63</v>
      </c>
      <c r="R3374" s="402">
        <v>239</v>
      </c>
      <c r="S3374" s="404">
        <v>267</v>
      </c>
      <c r="T3374" s="402">
        <v>0.41</v>
      </c>
      <c r="U3374" s="395">
        <v>3.03</v>
      </c>
      <c r="V3374" s="402">
        <v>0.84</v>
      </c>
      <c r="W3374" s="404">
        <v>4.1000000000000002E-2</v>
      </c>
      <c r="X3374" s="402">
        <v>0.307</v>
      </c>
      <c r="Y3374" s="404">
        <v>1.0999999999999999E-2</v>
      </c>
      <c r="Z3374" s="397">
        <v>1</v>
      </c>
      <c r="AA3374" s="399">
        <v>1</v>
      </c>
      <c r="AB3374" s="394">
        <v>31.89</v>
      </c>
      <c r="AC3374" s="402">
        <v>286</v>
      </c>
      <c r="AD3374" s="399">
        <v>1</v>
      </c>
      <c r="AE3374" s="402"/>
      <c r="AF3374" s="391"/>
      <c r="AG3374" s="394"/>
      <c r="AH3374" s="394"/>
      <c r="AI3374" s="394"/>
      <c r="AJ3374" s="394"/>
      <c r="AK3374" s="394"/>
      <c r="AL3374" s="394"/>
      <c r="AM3374" s="394"/>
      <c r="AN3374" s="394"/>
      <c r="AO3374" s="394"/>
      <c r="AP3374" s="394"/>
      <c r="AQ3374" s="394"/>
      <c r="AR3374" s="394"/>
      <c r="AS3374" s="402"/>
      <c r="AT3374" s="404"/>
      <c r="AU3374" s="394"/>
      <c r="AV3374" s="394"/>
      <c r="AW3374" s="394"/>
      <c r="AX3374" s="5"/>
      <c r="AY3374" s="5"/>
      <c r="AZ3374" s="5"/>
      <c r="BA3374" s="5"/>
      <c r="BB3374" s="5"/>
      <c r="BC3374" s="5"/>
      <c r="BD3374" s="5"/>
      <c r="BE3374" s="5"/>
      <c r="BF3374" s="5"/>
      <c r="BG3374" s="5"/>
      <c r="BH3374" s="5"/>
      <c r="BI3374" s="5"/>
      <c r="BJ3374" s="5"/>
      <c r="BK3374" s="5"/>
      <c r="BL3374" s="5"/>
      <c r="BM3374" s="5"/>
      <c r="BN3374" s="5"/>
      <c r="BO3374" s="5"/>
      <c r="BP3374" s="5"/>
      <c r="BQ3374" s="5"/>
      <c r="BR3374" s="5"/>
      <c r="BS3374" s="5"/>
      <c r="BT3374" s="5"/>
      <c r="BU3374" s="5"/>
      <c r="BV3374" s="5"/>
      <c r="BW3374" s="5"/>
      <c r="BX3374" s="5"/>
      <c r="BY3374" s="5"/>
      <c r="BZ3374" s="5"/>
      <c r="CA3374" s="5"/>
    </row>
    <row r="3375" spans="1:79" s="400" customFormat="1" ht="15" customHeight="1">
      <c r="A3375" s="41" t="s">
        <v>183</v>
      </c>
      <c r="B3375" s="402" t="s">
        <v>5343</v>
      </c>
      <c r="C3375" s="113" t="s">
        <v>5831</v>
      </c>
      <c r="D3375" s="393" t="s">
        <v>406</v>
      </c>
      <c r="E3375" s="394" t="s">
        <v>5344</v>
      </c>
      <c r="F3375" s="402"/>
      <c r="G3375" s="405" t="s">
        <v>5345</v>
      </c>
      <c r="H3375" s="404">
        <v>3724</v>
      </c>
      <c r="I3375" s="402" t="s">
        <v>2</v>
      </c>
      <c r="J3375" s="406" t="s">
        <v>5832</v>
      </c>
      <c r="K3375" s="403">
        <v>41402</v>
      </c>
      <c r="L3375" s="398">
        <v>41388</v>
      </c>
      <c r="M3375" s="402">
        <f t="shared" si="201"/>
        <v>14</v>
      </c>
      <c r="N3375" s="402" t="s">
        <v>2</v>
      </c>
      <c r="O3375" s="404">
        <v>4.8</v>
      </c>
      <c r="P3375" s="402">
        <v>6.2</v>
      </c>
      <c r="Q3375" s="404">
        <v>7.07</v>
      </c>
      <c r="R3375" s="402">
        <v>147</v>
      </c>
      <c r="S3375" s="404">
        <v>125</v>
      </c>
      <c r="T3375" s="402">
        <v>0.08</v>
      </c>
      <c r="U3375" s="395">
        <v>1.62</v>
      </c>
      <c r="V3375" s="402">
        <v>1.82</v>
      </c>
      <c r="W3375" s="404">
        <v>6.6000000000000003E-2</v>
      </c>
      <c r="X3375" s="402">
        <v>1.3979999999999999</v>
      </c>
      <c r="Y3375" s="404">
        <v>8.0000000000000002E-3</v>
      </c>
      <c r="Z3375" s="397">
        <v>1</v>
      </c>
      <c r="AA3375" s="399">
        <v>1</v>
      </c>
      <c r="AB3375" s="394">
        <v>44.41</v>
      </c>
      <c r="AC3375" s="402">
        <v>422</v>
      </c>
      <c r="AD3375" s="399">
        <v>0.6</v>
      </c>
      <c r="AE3375" s="402"/>
      <c r="AF3375" s="391"/>
      <c r="AG3375" s="394"/>
      <c r="AH3375" s="394"/>
      <c r="AI3375" s="394"/>
      <c r="AJ3375" s="394"/>
      <c r="AK3375" s="394"/>
      <c r="AL3375" s="394"/>
      <c r="AM3375" s="394"/>
      <c r="AN3375" s="394"/>
      <c r="AO3375" s="394"/>
      <c r="AP3375" s="394"/>
      <c r="AQ3375" s="394"/>
      <c r="AR3375" s="394"/>
      <c r="AS3375" s="402"/>
      <c r="AT3375" s="404"/>
      <c r="AU3375" s="394"/>
      <c r="AV3375" s="394"/>
      <c r="AW3375" s="394"/>
      <c r="AX3375" s="5"/>
      <c r="AY3375" s="5"/>
      <c r="AZ3375" s="5"/>
      <c r="BA3375" s="5"/>
      <c r="BB3375" s="5"/>
      <c r="BC3375" s="5"/>
      <c r="BD3375" s="5"/>
      <c r="BE3375" s="5"/>
      <c r="BF3375" s="5"/>
      <c r="BG3375" s="5"/>
      <c r="BH3375" s="5"/>
      <c r="BI3375" s="5"/>
      <c r="BJ3375" s="5"/>
      <c r="BK3375" s="5"/>
      <c r="BL3375" s="5"/>
      <c r="BM3375" s="5"/>
      <c r="BN3375" s="5"/>
      <c r="BO3375" s="5"/>
      <c r="BP3375" s="5"/>
      <c r="BQ3375" s="5"/>
      <c r="BR3375" s="5"/>
      <c r="BS3375" s="5"/>
      <c r="BT3375" s="5"/>
      <c r="BU3375" s="5"/>
      <c r="BV3375" s="5"/>
      <c r="BW3375" s="5"/>
      <c r="BX3375" s="5"/>
      <c r="BY3375" s="5"/>
      <c r="BZ3375" s="5"/>
      <c r="CA3375" s="5"/>
    </row>
    <row r="3376" spans="1:79" s="400" customFormat="1" ht="15" customHeight="1">
      <c r="A3376" s="41" t="s">
        <v>183</v>
      </c>
      <c r="B3376" s="402" t="s">
        <v>5343</v>
      </c>
      <c r="C3376" s="113" t="s">
        <v>5831</v>
      </c>
      <c r="D3376" s="393" t="s">
        <v>406</v>
      </c>
      <c r="E3376" s="394" t="s">
        <v>5344</v>
      </c>
      <c r="F3376" s="402"/>
      <c r="G3376" s="405" t="s">
        <v>5345</v>
      </c>
      <c r="H3376" s="404">
        <v>3724</v>
      </c>
      <c r="I3376" s="402" t="s">
        <v>2</v>
      </c>
      <c r="J3376" s="406" t="s">
        <v>2097</v>
      </c>
      <c r="K3376" s="403">
        <v>41402</v>
      </c>
      <c r="L3376" s="398">
        <v>41388</v>
      </c>
      <c r="M3376" s="402">
        <f t="shared" si="201"/>
        <v>14</v>
      </c>
      <c r="N3376" s="402" t="s">
        <v>2</v>
      </c>
      <c r="O3376" s="404">
        <v>1.6</v>
      </c>
      <c r="P3376" s="402">
        <v>6.2</v>
      </c>
      <c r="Q3376" s="404">
        <v>6.17</v>
      </c>
      <c r="R3376" s="402">
        <v>264</v>
      </c>
      <c r="S3376" s="404">
        <v>127</v>
      </c>
      <c r="T3376" s="402">
        <v>0.48</v>
      </c>
      <c r="U3376" s="395">
        <v>4.88</v>
      </c>
      <c r="V3376" s="402">
        <v>2.81</v>
      </c>
      <c r="W3376" s="404">
        <v>7.3999999999999996E-2</v>
      </c>
      <c r="X3376" s="402">
        <v>0.45700000000000002</v>
      </c>
      <c r="Y3376" s="404">
        <v>1.0999999999999999E-2</v>
      </c>
      <c r="Z3376" s="397">
        <v>1</v>
      </c>
      <c r="AA3376" s="399">
        <v>1</v>
      </c>
      <c r="AB3376" s="394">
        <v>147.80000000000001</v>
      </c>
      <c r="AC3376" s="402">
        <v>1465</v>
      </c>
      <c r="AD3376" s="399">
        <v>1</v>
      </c>
      <c r="AE3376" s="402"/>
      <c r="AF3376" s="391"/>
      <c r="AG3376" s="394"/>
      <c r="AH3376" s="394"/>
      <c r="AI3376" s="394"/>
      <c r="AJ3376" s="394"/>
      <c r="AK3376" s="394"/>
      <c r="AL3376" s="394"/>
      <c r="AM3376" s="394"/>
      <c r="AN3376" s="394"/>
      <c r="AO3376" s="394"/>
      <c r="AP3376" s="394"/>
      <c r="AQ3376" s="394"/>
      <c r="AR3376" s="394"/>
      <c r="AS3376" s="402"/>
      <c r="AT3376" s="404"/>
      <c r="AU3376" s="394"/>
      <c r="AV3376" s="394"/>
      <c r="AW3376" s="394"/>
      <c r="AX3376" s="5"/>
      <c r="AY3376" s="5"/>
      <c r="AZ3376" s="5"/>
      <c r="BA3376" s="5"/>
      <c r="BB3376" s="5"/>
      <c r="BC3376" s="5"/>
      <c r="BD3376" s="5"/>
      <c r="BE3376" s="5"/>
      <c r="BF3376" s="5"/>
      <c r="BG3376" s="5"/>
      <c r="BH3376" s="5"/>
      <c r="BI3376" s="5"/>
      <c r="BJ3376" s="5"/>
      <c r="BK3376" s="5"/>
      <c r="BL3376" s="5"/>
      <c r="BM3376" s="5"/>
      <c r="BN3376" s="5"/>
      <c r="BO3376" s="5"/>
      <c r="BP3376" s="5"/>
      <c r="BQ3376" s="5"/>
      <c r="BR3376" s="5"/>
      <c r="BS3376" s="5"/>
      <c r="BT3376" s="5"/>
      <c r="BU3376" s="5"/>
      <c r="BV3376" s="5"/>
      <c r="BW3376" s="5"/>
      <c r="BX3376" s="5"/>
      <c r="BY3376" s="5"/>
      <c r="BZ3376" s="5"/>
      <c r="CA3376" s="5"/>
    </row>
    <row r="3377" spans="1:79" s="400" customFormat="1" ht="15" customHeight="1">
      <c r="A3377" s="41" t="s">
        <v>183</v>
      </c>
      <c r="B3377" s="402" t="s">
        <v>5343</v>
      </c>
      <c r="C3377" s="113" t="s">
        <v>5831</v>
      </c>
      <c r="D3377" s="393" t="s">
        <v>406</v>
      </c>
      <c r="E3377" s="394" t="s">
        <v>5344</v>
      </c>
      <c r="F3377" s="402"/>
      <c r="G3377" s="405" t="s">
        <v>5345</v>
      </c>
      <c r="H3377" s="404">
        <v>3724</v>
      </c>
      <c r="I3377" s="402" t="s">
        <v>2</v>
      </c>
      <c r="J3377" s="406" t="s">
        <v>96</v>
      </c>
      <c r="K3377" s="403">
        <v>41170</v>
      </c>
      <c r="L3377" s="398">
        <v>41161</v>
      </c>
      <c r="M3377" s="402">
        <f t="shared" si="201"/>
        <v>9</v>
      </c>
      <c r="N3377" s="402" t="s">
        <v>2</v>
      </c>
      <c r="O3377" s="404">
        <v>2.4</v>
      </c>
      <c r="P3377" s="402">
        <v>6.8</v>
      </c>
      <c r="Q3377" s="404">
        <v>4.75</v>
      </c>
      <c r="R3377" s="402">
        <v>22.2</v>
      </c>
      <c r="S3377" s="404">
        <v>8</v>
      </c>
      <c r="T3377" s="402">
        <v>0.11</v>
      </c>
      <c r="U3377" s="395">
        <v>0.83</v>
      </c>
      <c r="V3377" s="402">
        <v>0.83</v>
      </c>
      <c r="W3377" s="404">
        <v>4.4999999999999998E-2</v>
      </c>
      <c r="X3377" s="402">
        <v>7.0999999999999994E-2</v>
      </c>
      <c r="Y3377" s="404">
        <v>2E-3</v>
      </c>
      <c r="Z3377" s="397"/>
      <c r="AA3377" s="399"/>
      <c r="AB3377" s="394"/>
      <c r="AC3377" s="402"/>
      <c r="AD3377" s="399"/>
      <c r="AE3377" s="402"/>
      <c r="AF3377" s="391"/>
      <c r="AG3377" s="394"/>
      <c r="AH3377" s="394"/>
      <c r="AI3377" s="394"/>
      <c r="AJ3377" s="394"/>
      <c r="AK3377" s="394"/>
      <c r="AL3377" s="394"/>
      <c r="AM3377" s="394"/>
      <c r="AN3377" s="394"/>
      <c r="AO3377" s="394"/>
      <c r="AP3377" s="394"/>
      <c r="AQ3377" s="394"/>
      <c r="AR3377" s="394"/>
      <c r="AS3377" s="402"/>
      <c r="AT3377" s="404"/>
      <c r="AU3377" s="394"/>
      <c r="AV3377" s="394"/>
      <c r="AW3377" s="394"/>
      <c r="AX3377" s="5"/>
      <c r="AY3377" s="5"/>
      <c r="AZ3377" s="5"/>
      <c r="BA3377" s="5"/>
      <c r="BB3377" s="5"/>
      <c r="BC3377" s="5"/>
      <c r="BD3377" s="5"/>
      <c r="BE3377" s="5"/>
      <c r="BF3377" s="5"/>
      <c r="BG3377" s="5"/>
      <c r="BH3377" s="5"/>
      <c r="BI3377" s="5"/>
      <c r="BJ3377" s="5"/>
      <c r="BK3377" s="5"/>
      <c r="BL3377" s="5"/>
      <c r="BM3377" s="5"/>
      <c r="BN3377" s="5"/>
      <c r="BO3377" s="5"/>
      <c r="BP3377" s="5"/>
      <c r="BQ3377" s="5"/>
      <c r="BR3377" s="5"/>
      <c r="BS3377" s="5"/>
      <c r="BT3377" s="5"/>
      <c r="BU3377" s="5"/>
      <c r="BV3377" s="5"/>
      <c r="BW3377" s="5"/>
      <c r="BX3377" s="5"/>
      <c r="BY3377" s="5"/>
      <c r="BZ3377" s="5"/>
      <c r="CA3377" s="5"/>
    </row>
    <row r="3378" spans="1:79" s="400" customFormat="1" ht="15" customHeight="1">
      <c r="A3378" s="41" t="s">
        <v>183</v>
      </c>
      <c r="B3378" s="402" t="s">
        <v>5343</v>
      </c>
      <c r="C3378" s="113" t="s">
        <v>5831</v>
      </c>
      <c r="D3378" s="393" t="s">
        <v>406</v>
      </c>
      <c r="E3378" s="394" t="s">
        <v>5344</v>
      </c>
      <c r="F3378" s="402"/>
      <c r="G3378" s="405" t="s">
        <v>5345</v>
      </c>
      <c r="H3378" s="404">
        <v>3724</v>
      </c>
      <c r="I3378" s="402" t="s">
        <v>2</v>
      </c>
      <c r="J3378" s="406" t="s">
        <v>690</v>
      </c>
      <c r="K3378" s="403">
        <v>41170</v>
      </c>
      <c r="L3378" s="398">
        <v>41161</v>
      </c>
      <c r="M3378" s="402">
        <f t="shared" si="201"/>
        <v>9</v>
      </c>
      <c r="N3378" s="402" t="s">
        <v>2</v>
      </c>
      <c r="O3378" s="404">
        <v>2.8</v>
      </c>
      <c r="P3378" s="402">
        <v>6.4</v>
      </c>
      <c r="Q3378" s="404">
        <v>6.46</v>
      </c>
      <c r="R3378" s="402">
        <v>55.8</v>
      </c>
      <c r="S3378" s="404">
        <v>2</v>
      </c>
      <c r="T3378" s="402">
        <v>0.05</v>
      </c>
      <c r="U3378" s="395">
        <v>10.93</v>
      </c>
      <c r="V3378" s="402">
        <v>0.72</v>
      </c>
      <c r="W3378" s="404">
        <v>0.109</v>
      </c>
      <c r="X3378" s="402">
        <v>7.2999999999999995E-2</v>
      </c>
      <c r="Y3378" s="404">
        <f>0.004/2</f>
        <v>2E-3</v>
      </c>
      <c r="Z3378" s="397"/>
      <c r="AA3378" s="399"/>
      <c r="AB3378" s="394"/>
      <c r="AC3378" s="402"/>
      <c r="AD3378" s="399"/>
      <c r="AE3378" s="402"/>
      <c r="AF3378" s="391"/>
      <c r="AG3378" s="394"/>
      <c r="AH3378" s="394"/>
      <c r="AI3378" s="394"/>
      <c r="AJ3378" s="394"/>
      <c r="AK3378" s="394"/>
      <c r="AL3378" s="394"/>
      <c r="AM3378" s="394"/>
      <c r="AN3378" s="394"/>
      <c r="AO3378" s="394"/>
      <c r="AP3378" s="394"/>
      <c r="AQ3378" s="394"/>
      <c r="AR3378" s="394"/>
      <c r="AS3378" s="402"/>
      <c r="AT3378" s="404"/>
      <c r="AU3378" s="394"/>
      <c r="AV3378" s="394"/>
      <c r="AW3378" s="394"/>
      <c r="AX3378" s="5"/>
      <c r="AY3378" s="5"/>
      <c r="AZ3378" s="5"/>
      <c r="BA3378" s="5"/>
      <c r="BB3378" s="5"/>
      <c r="BC3378" s="5"/>
      <c r="BD3378" s="5"/>
      <c r="BE3378" s="5"/>
      <c r="BF3378" s="5"/>
      <c r="BG3378" s="5"/>
      <c r="BH3378" s="5"/>
      <c r="BI3378" s="5"/>
      <c r="BJ3378" s="5"/>
      <c r="BK3378" s="5"/>
      <c r="BL3378" s="5"/>
      <c r="BM3378" s="5"/>
      <c r="BN3378" s="5"/>
      <c r="BO3378" s="5"/>
      <c r="BP3378" s="5"/>
      <c r="BQ3378" s="5"/>
      <c r="BR3378" s="5"/>
      <c r="BS3378" s="5"/>
      <c r="BT3378" s="5"/>
      <c r="BU3378" s="5"/>
      <c r="BV3378" s="5"/>
      <c r="BW3378" s="5"/>
      <c r="BX3378" s="5"/>
      <c r="BY3378" s="5"/>
      <c r="BZ3378" s="5"/>
      <c r="CA3378" s="5"/>
    </row>
    <row r="3379" spans="1:79" s="400" customFormat="1" ht="15" customHeight="1">
      <c r="A3379" s="41" t="s">
        <v>183</v>
      </c>
      <c r="B3379" s="402" t="s">
        <v>5343</v>
      </c>
      <c r="C3379" s="113" t="s">
        <v>5831</v>
      </c>
      <c r="D3379" s="393" t="s">
        <v>406</v>
      </c>
      <c r="E3379" s="394" t="s">
        <v>5344</v>
      </c>
      <c r="F3379" s="402"/>
      <c r="G3379" s="405" t="s">
        <v>5345</v>
      </c>
      <c r="H3379" s="404">
        <v>3724</v>
      </c>
      <c r="I3379" s="402" t="s">
        <v>2</v>
      </c>
      <c r="J3379" s="406" t="s">
        <v>1867</v>
      </c>
      <c r="K3379" s="403">
        <v>41170</v>
      </c>
      <c r="L3379" s="398">
        <v>41161</v>
      </c>
      <c r="M3379" s="402">
        <f t="shared" si="201"/>
        <v>9</v>
      </c>
      <c r="N3379" s="402" t="s">
        <v>2</v>
      </c>
      <c r="O3379" s="404">
        <v>2.8</v>
      </c>
      <c r="P3379" s="402">
        <v>6.4</v>
      </c>
      <c r="Q3379" s="404">
        <v>4.87</v>
      </c>
      <c r="R3379" s="402">
        <v>18.7</v>
      </c>
      <c r="S3379" s="404">
        <v>7</v>
      </c>
      <c r="T3379" s="402">
        <v>0.15</v>
      </c>
      <c r="U3379" s="395">
        <v>1.1499999999999999</v>
      </c>
      <c r="V3379" s="402">
        <v>0.22</v>
      </c>
      <c r="W3379" s="404">
        <f>0.005/2</f>
        <v>2.5000000000000001E-3</v>
      </c>
      <c r="X3379" s="402">
        <v>5.0999999999999997E-2</v>
      </c>
      <c r="Y3379" s="404">
        <f>0.002/2</f>
        <v>1E-3</v>
      </c>
      <c r="Z3379" s="397"/>
      <c r="AA3379" s="399"/>
      <c r="AB3379" s="394"/>
      <c r="AC3379" s="402"/>
      <c r="AD3379" s="399"/>
      <c r="AE3379" s="402"/>
      <c r="AF3379" s="391"/>
      <c r="AG3379" s="394"/>
      <c r="AH3379" s="394"/>
      <c r="AI3379" s="394"/>
      <c r="AJ3379" s="394"/>
      <c r="AK3379" s="394"/>
      <c r="AL3379" s="394"/>
      <c r="AM3379" s="394"/>
      <c r="AN3379" s="394"/>
      <c r="AO3379" s="394"/>
      <c r="AP3379" s="394"/>
      <c r="AQ3379" s="394"/>
      <c r="AR3379" s="394"/>
      <c r="AS3379" s="402"/>
      <c r="AT3379" s="404"/>
      <c r="AU3379" s="394"/>
      <c r="AV3379" s="394"/>
      <c r="AW3379" s="394"/>
      <c r="AX3379" s="5"/>
      <c r="AY3379" s="5"/>
      <c r="AZ3379" s="5"/>
      <c r="BA3379" s="5"/>
      <c r="BB3379" s="5"/>
      <c r="BC3379" s="5"/>
      <c r="BD3379" s="5"/>
      <c r="BE3379" s="5"/>
      <c r="BF3379" s="5"/>
      <c r="BG3379" s="5"/>
      <c r="BH3379" s="5"/>
      <c r="BI3379" s="5"/>
      <c r="BJ3379" s="5"/>
      <c r="BK3379" s="5"/>
      <c r="BL3379" s="5"/>
      <c r="BM3379" s="5"/>
      <c r="BN3379" s="5"/>
      <c r="BO3379" s="5"/>
      <c r="BP3379" s="5"/>
      <c r="BQ3379" s="5"/>
      <c r="BR3379" s="5"/>
      <c r="BS3379" s="5"/>
      <c r="BT3379" s="5"/>
      <c r="BU3379" s="5"/>
      <c r="BV3379" s="5"/>
      <c r="BW3379" s="5"/>
      <c r="BX3379" s="5"/>
      <c r="BY3379" s="5"/>
      <c r="BZ3379" s="5"/>
      <c r="CA3379" s="5"/>
    </row>
    <row r="3380" spans="1:79" s="400" customFormat="1" ht="15" customHeight="1">
      <c r="A3380" s="41" t="s">
        <v>183</v>
      </c>
      <c r="B3380" s="402" t="s">
        <v>5343</v>
      </c>
      <c r="C3380" s="113" t="s">
        <v>5831</v>
      </c>
      <c r="D3380" s="393" t="s">
        <v>406</v>
      </c>
      <c r="E3380" s="394" t="s">
        <v>5344</v>
      </c>
      <c r="F3380" s="402"/>
      <c r="G3380" s="405" t="s">
        <v>5345</v>
      </c>
      <c r="H3380" s="404">
        <v>3724</v>
      </c>
      <c r="I3380" s="402" t="s">
        <v>2</v>
      </c>
      <c r="J3380" s="406" t="s">
        <v>5832</v>
      </c>
      <c r="K3380" s="403">
        <v>41170</v>
      </c>
      <c r="L3380" s="398">
        <v>41161</v>
      </c>
      <c r="M3380" s="402">
        <f t="shared" si="201"/>
        <v>9</v>
      </c>
      <c r="N3380" s="402" t="s">
        <v>2</v>
      </c>
      <c r="O3380" s="404">
        <v>1.6</v>
      </c>
      <c r="P3380" s="402">
        <v>6.4</v>
      </c>
      <c r="Q3380" s="404">
        <v>6.34</v>
      </c>
      <c r="R3380" s="402">
        <v>28.9</v>
      </c>
      <c r="S3380" s="404">
        <v>23</v>
      </c>
      <c r="T3380" s="402">
        <v>0.17</v>
      </c>
      <c r="U3380" s="395">
        <v>1.19</v>
      </c>
      <c r="V3380" s="402">
        <v>0.41</v>
      </c>
      <c r="W3380" s="404">
        <v>2.8000000000000001E-2</v>
      </c>
      <c r="X3380" s="402">
        <v>0.33400000000000002</v>
      </c>
      <c r="Y3380" s="404">
        <v>4.0000000000000001E-3</v>
      </c>
      <c r="Z3380" s="397"/>
      <c r="AA3380" s="399"/>
      <c r="AB3380" s="394"/>
      <c r="AC3380" s="402"/>
      <c r="AD3380" s="399"/>
      <c r="AE3380" s="402"/>
      <c r="AF3380" s="391"/>
      <c r="AG3380" s="394"/>
      <c r="AH3380" s="394"/>
      <c r="AI3380" s="394"/>
      <c r="AJ3380" s="394"/>
      <c r="AK3380" s="394"/>
      <c r="AL3380" s="394"/>
      <c r="AM3380" s="394"/>
      <c r="AN3380" s="394"/>
      <c r="AO3380" s="394"/>
      <c r="AP3380" s="394"/>
      <c r="AQ3380" s="394"/>
      <c r="AR3380" s="394"/>
      <c r="AS3380" s="402"/>
      <c r="AT3380" s="404"/>
      <c r="AU3380" s="394"/>
      <c r="AV3380" s="394"/>
      <c r="AW3380" s="394"/>
      <c r="AX3380" s="5"/>
      <c r="AY3380" s="5"/>
      <c r="AZ3380" s="5"/>
      <c r="BA3380" s="5"/>
      <c r="BB3380" s="5"/>
      <c r="BC3380" s="5"/>
      <c r="BD3380" s="5"/>
      <c r="BE3380" s="5"/>
      <c r="BF3380" s="5"/>
      <c r="BG3380" s="5"/>
      <c r="BH3380" s="5"/>
      <c r="BI3380" s="5"/>
      <c r="BJ3380" s="5"/>
      <c r="BK3380" s="5"/>
      <c r="BL3380" s="5"/>
      <c r="BM3380" s="5"/>
      <c r="BN3380" s="5"/>
      <c r="BO3380" s="5"/>
      <c r="BP3380" s="5"/>
      <c r="BQ3380" s="5"/>
      <c r="BR3380" s="5"/>
      <c r="BS3380" s="5"/>
      <c r="BT3380" s="5"/>
      <c r="BU3380" s="5"/>
      <c r="BV3380" s="5"/>
      <c r="BW3380" s="5"/>
      <c r="BX3380" s="5"/>
      <c r="BY3380" s="5"/>
      <c r="BZ3380" s="5"/>
      <c r="CA3380" s="5"/>
    </row>
    <row r="3381" spans="1:79" s="400" customFormat="1" ht="15" customHeight="1">
      <c r="A3381" s="41" t="s">
        <v>183</v>
      </c>
      <c r="B3381" s="402" t="s">
        <v>5343</v>
      </c>
      <c r="C3381" s="113" t="s">
        <v>5831</v>
      </c>
      <c r="D3381" s="393" t="s">
        <v>406</v>
      </c>
      <c r="E3381" s="394" t="s">
        <v>5344</v>
      </c>
      <c r="F3381" s="402"/>
      <c r="G3381" s="405" t="s">
        <v>5345</v>
      </c>
      <c r="H3381" s="404">
        <v>3724</v>
      </c>
      <c r="I3381" s="402" t="s">
        <v>2</v>
      </c>
      <c r="J3381" s="406" t="s">
        <v>2097</v>
      </c>
      <c r="K3381" s="403">
        <v>41170</v>
      </c>
      <c r="L3381" s="398">
        <v>41161</v>
      </c>
      <c r="M3381" s="402">
        <f t="shared" si="201"/>
        <v>9</v>
      </c>
      <c r="N3381" s="402" t="s">
        <v>2</v>
      </c>
      <c r="O3381" s="404">
        <f>1/2</f>
        <v>0.5</v>
      </c>
      <c r="P3381" s="402">
        <v>6.4</v>
      </c>
      <c r="Q3381" s="404">
        <v>5.24</v>
      </c>
      <c r="R3381" s="402">
        <v>15</v>
      </c>
      <c r="S3381" s="404">
        <v>2</v>
      </c>
      <c r="T3381" s="402">
        <v>0.12</v>
      </c>
      <c r="U3381" s="395">
        <v>0.7</v>
      </c>
      <c r="V3381" s="402">
        <f>0.1/2</f>
        <v>0.05</v>
      </c>
      <c r="W3381" s="404">
        <v>6.0000000000000001E-3</v>
      </c>
      <c r="X3381" s="402">
        <v>5.3999999999999999E-2</v>
      </c>
      <c r="Y3381" s="404">
        <f>0.002/2</f>
        <v>1E-3</v>
      </c>
      <c r="Z3381" s="397"/>
      <c r="AA3381" s="399"/>
      <c r="AB3381" s="394"/>
      <c r="AC3381" s="402"/>
      <c r="AD3381" s="399"/>
      <c r="AE3381" s="402"/>
      <c r="AF3381" s="391"/>
      <c r="AG3381" s="394"/>
      <c r="AH3381" s="394"/>
      <c r="AI3381" s="394"/>
      <c r="AJ3381" s="394"/>
      <c r="AK3381" s="394"/>
      <c r="AL3381" s="394"/>
      <c r="AM3381" s="394"/>
      <c r="AN3381" s="394"/>
      <c r="AO3381" s="394"/>
      <c r="AP3381" s="394"/>
      <c r="AQ3381" s="394"/>
      <c r="AR3381" s="394"/>
      <c r="AS3381" s="402"/>
      <c r="AT3381" s="404"/>
      <c r="AU3381" s="394"/>
      <c r="AV3381" s="394"/>
      <c r="AW3381" s="394"/>
      <c r="AX3381" s="5"/>
      <c r="AY3381" s="5"/>
      <c r="AZ3381" s="5"/>
      <c r="BA3381" s="5"/>
      <c r="BB3381" s="5"/>
      <c r="BC3381" s="5"/>
      <c r="BD3381" s="5"/>
      <c r="BE3381" s="5"/>
      <c r="BF3381" s="5"/>
      <c r="BG3381" s="5"/>
      <c r="BH3381" s="5"/>
      <c r="BI3381" s="5"/>
      <c r="BJ3381" s="5"/>
      <c r="BK3381" s="5"/>
      <c r="BL3381" s="5"/>
      <c r="BM3381" s="5"/>
      <c r="BN3381" s="5"/>
      <c r="BO3381" s="5"/>
      <c r="BP3381" s="5"/>
      <c r="BQ3381" s="5"/>
      <c r="BR3381" s="5"/>
      <c r="BS3381" s="5"/>
      <c r="BT3381" s="5"/>
      <c r="BU3381" s="5"/>
      <c r="BV3381" s="5"/>
      <c r="BW3381" s="5"/>
      <c r="BX3381" s="5"/>
      <c r="BY3381" s="5"/>
      <c r="BZ3381" s="5"/>
      <c r="CA3381" s="5"/>
    </row>
    <row r="3382" spans="1:79" s="400" customFormat="1" ht="15" customHeight="1">
      <c r="A3382" s="41" t="s">
        <v>183</v>
      </c>
      <c r="B3382" s="402" t="s">
        <v>5343</v>
      </c>
      <c r="C3382" s="113" t="s">
        <v>5831</v>
      </c>
      <c r="D3382" s="393" t="s">
        <v>406</v>
      </c>
      <c r="E3382" s="394" t="s">
        <v>5344</v>
      </c>
      <c r="F3382" s="402"/>
      <c r="G3382" s="405" t="s">
        <v>5345</v>
      </c>
      <c r="H3382" s="404">
        <v>3724</v>
      </c>
      <c r="I3382" s="402" t="s">
        <v>2</v>
      </c>
      <c r="J3382" s="406" t="s">
        <v>96</v>
      </c>
      <c r="K3382" s="403">
        <v>41131</v>
      </c>
      <c r="L3382" s="398">
        <v>41127</v>
      </c>
      <c r="M3382" s="402">
        <f t="shared" si="201"/>
        <v>4</v>
      </c>
      <c r="N3382" s="402" t="s">
        <v>2</v>
      </c>
      <c r="O3382" s="404">
        <f>1/2</f>
        <v>0.5</v>
      </c>
      <c r="P3382" s="402">
        <v>6.4</v>
      </c>
      <c r="Q3382" s="404">
        <v>6.9</v>
      </c>
      <c r="R3382" s="402">
        <v>44.4</v>
      </c>
      <c r="S3382" s="404">
        <v>25</v>
      </c>
      <c r="T3382" s="402">
        <v>0.25</v>
      </c>
      <c r="U3382" s="395">
        <v>3.65</v>
      </c>
      <c r="V3382" s="402">
        <v>0.36</v>
      </c>
      <c r="W3382" s="404">
        <v>1.2999999999999999E-2</v>
      </c>
      <c r="X3382" s="402">
        <v>0.111</v>
      </c>
      <c r="Y3382" s="404">
        <f>0.002/2</f>
        <v>1E-3</v>
      </c>
      <c r="Z3382" s="397">
        <v>1</v>
      </c>
      <c r="AA3382" s="399">
        <v>1</v>
      </c>
      <c r="AB3382" s="394">
        <v>10.41</v>
      </c>
      <c r="AC3382" s="402">
        <v>38</v>
      </c>
      <c r="AD3382" s="399">
        <v>0.75</v>
      </c>
      <c r="AE3382" s="402"/>
      <c r="AF3382" s="391"/>
      <c r="AG3382" s="394"/>
      <c r="AH3382" s="394"/>
      <c r="AI3382" s="394"/>
      <c r="AJ3382" s="394"/>
      <c r="AK3382" s="394"/>
      <c r="AL3382" s="394"/>
      <c r="AM3382" s="394"/>
      <c r="AN3382" s="394"/>
      <c r="AO3382" s="394"/>
      <c r="AP3382" s="394"/>
      <c r="AQ3382" s="394"/>
      <c r="AR3382" s="394"/>
      <c r="AS3382" s="402"/>
      <c r="AT3382" s="404"/>
      <c r="AU3382" s="394"/>
      <c r="AV3382" s="394"/>
      <c r="AW3382" s="394"/>
      <c r="AX3382" s="5"/>
      <c r="AY3382" s="5"/>
      <c r="AZ3382" s="5"/>
      <c r="BA3382" s="5"/>
      <c r="BB3382" s="5"/>
      <c r="BC3382" s="5"/>
      <c r="BD3382" s="5"/>
      <c r="BE3382" s="5"/>
      <c r="BF3382" s="5"/>
      <c r="BG3382" s="5"/>
      <c r="BH3382" s="5"/>
      <c r="BI3382" s="5"/>
      <c r="BJ3382" s="5"/>
      <c r="BK3382" s="5"/>
      <c r="BL3382" s="5"/>
      <c r="BM3382" s="5"/>
      <c r="BN3382" s="5"/>
      <c r="BO3382" s="5"/>
      <c r="BP3382" s="5"/>
      <c r="BQ3382" s="5"/>
      <c r="BR3382" s="5"/>
      <c r="BS3382" s="5"/>
      <c r="BT3382" s="5"/>
      <c r="BU3382" s="5"/>
      <c r="BV3382" s="5"/>
      <c r="BW3382" s="5"/>
      <c r="BX3382" s="5"/>
      <c r="BY3382" s="5"/>
      <c r="BZ3382" s="5"/>
      <c r="CA3382" s="5"/>
    </row>
    <row r="3383" spans="1:79" s="400" customFormat="1" ht="15" customHeight="1">
      <c r="A3383" s="41" t="s">
        <v>183</v>
      </c>
      <c r="B3383" s="402" t="s">
        <v>5343</v>
      </c>
      <c r="C3383" s="113" t="s">
        <v>5831</v>
      </c>
      <c r="D3383" s="393" t="s">
        <v>406</v>
      </c>
      <c r="E3383" s="394" t="s">
        <v>5344</v>
      </c>
      <c r="F3383" s="402"/>
      <c r="G3383" s="405" t="s">
        <v>5345</v>
      </c>
      <c r="H3383" s="404">
        <v>3724</v>
      </c>
      <c r="I3383" s="402" t="s">
        <v>2</v>
      </c>
      <c r="J3383" s="406" t="s">
        <v>690</v>
      </c>
      <c r="K3383" s="403">
        <v>41131</v>
      </c>
      <c r="L3383" s="398">
        <v>41127</v>
      </c>
      <c r="M3383" s="402">
        <f t="shared" si="201"/>
        <v>4</v>
      </c>
      <c r="N3383" s="402" t="s">
        <v>2</v>
      </c>
      <c r="O3383" s="404">
        <f>1/2</f>
        <v>0.5</v>
      </c>
      <c r="P3383" s="402">
        <v>6.4</v>
      </c>
      <c r="Q3383" s="404">
        <v>7.33</v>
      </c>
      <c r="R3383" s="402">
        <v>35.299999999999997</v>
      </c>
      <c r="S3383" s="404">
        <v>2</v>
      </c>
      <c r="T3383" s="402">
        <f>0.05/2</f>
        <v>2.5000000000000001E-2</v>
      </c>
      <c r="U3383" s="395">
        <v>6.22</v>
      </c>
      <c r="V3383" s="402">
        <v>0.23</v>
      </c>
      <c r="W3383" s="404">
        <v>7.5999999999999998E-2</v>
      </c>
      <c r="X3383" s="402">
        <v>0.151</v>
      </c>
      <c r="Y3383" s="404">
        <f>0.002/2</f>
        <v>1E-3</v>
      </c>
      <c r="Z3383" s="397">
        <v>0.17699999999999999</v>
      </c>
      <c r="AA3383" s="399">
        <v>9.4E-2</v>
      </c>
      <c r="AB3383" s="394">
        <v>2.44</v>
      </c>
      <c r="AC3383" s="402">
        <v>56</v>
      </c>
      <c r="AD3383" s="399">
        <v>0</v>
      </c>
      <c r="AE3383" s="402"/>
      <c r="AF3383" s="391"/>
      <c r="AG3383" s="394"/>
      <c r="AH3383" s="394"/>
      <c r="AI3383" s="394"/>
      <c r="AJ3383" s="394"/>
      <c r="AK3383" s="394"/>
      <c r="AL3383" s="394"/>
      <c r="AM3383" s="394"/>
      <c r="AN3383" s="394"/>
      <c r="AO3383" s="394"/>
      <c r="AP3383" s="394"/>
      <c r="AQ3383" s="394"/>
      <c r="AR3383" s="394"/>
      <c r="AS3383" s="402"/>
      <c r="AT3383" s="404"/>
      <c r="AU3383" s="394"/>
      <c r="AV3383" s="394"/>
      <c r="AW3383" s="394"/>
      <c r="AX3383" s="5"/>
      <c r="AY3383" s="5"/>
      <c r="AZ3383" s="5"/>
      <c r="BA3383" s="5"/>
      <c r="BB3383" s="5"/>
      <c r="BC3383" s="5"/>
      <c r="BD3383" s="5"/>
      <c r="BE3383" s="5"/>
      <c r="BF3383" s="5"/>
      <c r="BG3383" s="5"/>
      <c r="BH3383" s="5"/>
      <c r="BI3383" s="5"/>
      <c r="BJ3383" s="5"/>
      <c r="BK3383" s="5"/>
      <c r="BL3383" s="5"/>
      <c r="BM3383" s="5"/>
      <c r="BN3383" s="5"/>
      <c r="BO3383" s="5"/>
      <c r="BP3383" s="5"/>
      <c r="BQ3383" s="5"/>
      <c r="BR3383" s="5"/>
      <c r="BS3383" s="5"/>
      <c r="BT3383" s="5"/>
      <c r="BU3383" s="5"/>
      <c r="BV3383" s="5"/>
      <c r="BW3383" s="5"/>
      <c r="BX3383" s="5"/>
      <c r="BY3383" s="5"/>
      <c r="BZ3383" s="5"/>
      <c r="CA3383" s="5"/>
    </row>
    <row r="3384" spans="1:79" s="400" customFormat="1" ht="15" customHeight="1">
      <c r="A3384" s="41" t="s">
        <v>183</v>
      </c>
      <c r="B3384" s="402" t="s">
        <v>5343</v>
      </c>
      <c r="C3384" s="113" t="s">
        <v>5831</v>
      </c>
      <c r="D3384" s="393" t="s">
        <v>406</v>
      </c>
      <c r="E3384" s="394" t="s">
        <v>5344</v>
      </c>
      <c r="F3384" s="402"/>
      <c r="G3384" s="405" t="s">
        <v>5345</v>
      </c>
      <c r="H3384" s="404">
        <v>3724</v>
      </c>
      <c r="I3384" s="402" t="s">
        <v>2</v>
      </c>
      <c r="J3384" s="406" t="s">
        <v>1867</v>
      </c>
      <c r="K3384" s="403">
        <v>41131</v>
      </c>
      <c r="L3384" s="398">
        <v>41127</v>
      </c>
      <c r="M3384" s="402">
        <f t="shared" si="201"/>
        <v>4</v>
      </c>
      <c r="N3384" s="402" t="s">
        <v>2</v>
      </c>
      <c r="O3384" s="404">
        <f>1/2</f>
        <v>0.5</v>
      </c>
      <c r="P3384" s="402">
        <v>6.4</v>
      </c>
      <c r="Q3384" s="404">
        <v>5.79</v>
      </c>
      <c r="R3384" s="402">
        <v>47.3</v>
      </c>
      <c r="S3384" s="404">
        <v>14</v>
      </c>
      <c r="T3384" s="402">
        <v>0.23</v>
      </c>
      <c r="U3384" s="395">
        <v>2</v>
      </c>
      <c r="V3384" s="402">
        <v>0.21</v>
      </c>
      <c r="W3384" s="404">
        <v>2.1000000000000001E-2</v>
      </c>
      <c r="X3384" s="402">
        <v>0.14099999999999999</v>
      </c>
      <c r="Y3384" s="404">
        <f>0.002/2</f>
        <v>1E-3</v>
      </c>
      <c r="Z3384" s="397">
        <v>1</v>
      </c>
      <c r="AA3384" s="399">
        <v>1</v>
      </c>
      <c r="AB3384" s="394">
        <v>6.9</v>
      </c>
      <c r="AC3384" s="402">
        <v>32</v>
      </c>
      <c r="AD3384" s="399">
        <v>0.5</v>
      </c>
      <c r="AE3384" s="402"/>
      <c r="AF3384" s="391"/>
      <c r="AG3384" s="394"/>
      <c r="AH3384" s="394"/>
      <c r="AI3384" s="394"/>
      <c r="AJ3384" s="394"/>
      <c r="AK3384" s="394"/>
      <c r="AL3384" s="394"/>
      <c r="AM3384" s="394"/>
      <c r="AN3384" s="394"/>
      <c r="AO3384" s="394"/>
      <c r="AP3384" s="394"/>
      <c r="AQ3384" s="394"/>
      <c r="AR3384" s="394"/>
      <c r="AS3384" s="402"/>
      <c r="AT3384" s="404"/>
      <c r="AU3384" s="394"/>
      <c r="AV3384" s="394"/>
      <c r="AW3384" s="394"/>
      <c r="AX3384" s="5"/>
      <c r="AY3384" s="5"/>
      <c r="AZ3384" s="5"/>
      <c r="BA3384" s="5"/>
      <c r="BB3384" s="5"/>
      <c r="BC3384" s="5"/>
      <c r="BD3384" s="5"/>
      <c r="BE3384" s="5"/>
      <c r="BF3384" s="5"/>
      <c r="BG3384" s="5"/>
      <c r="BH3384" s="5"/>
      <c r="BI3384" s="5"/>
      <c r="BJ3384" s="5"/>
      <c r="BK3384" s="5"/>
      <c r="BL3384" s="5"/>
      <c r="BM3384" s="5"/>
      <c r="BN3384" s="5"/>
      <c r="BO3384" s="5"/>
      <c r="BP3384" s="5"/>
      <c r="BQ3384" s="5"/>
      <c r="BR3384" s="5"/>
      <c r="BS3384" s="5"/>
      <c r="BT3384" s="5"/>
      <c r="BU3384" s="5"/>
      <c r="BV3384" s="5"/>
      <c r="BW3384" s="5"/>
      <c r="BX3384" s="5"/>
      <c r="BY3384" s="5"/>
      <c r="BZ3384" s="5"/>
      <c r="CA3384" s="5"/>
    </row>
    <row r="3385" spans="1:79" s="400" customFormat="1" ht="15" customHeight="1">
      <c r="A3385" s="41" t="s">
        <v>183</v>
      </c>
      <c r="B3385" s="402" t="s">
        <v>5343</v>
      </c>
      <c r="C3385" s="113" t="s">
        <v>5831</v>
      </c>
      <c r="D3385" s="393" t="s">
        <v>406</v>
      </c>
      <c r="E3385" s="394" t="s">
        <v>5344</v>
      </c>
      <c r="F3385" s="402"/>
      <c r="G3385" s="405" t="s">
        <v>5345</v>
      </c>
      <c r="H3385" s="404">
        <v>3724</v>
      </c>
      <c r="I3385" s="402" t="s">
        <v>2</v>
      </c>
      <c r="J3385" s="406" t="s">
        <v>5832</v>
      </c>
      <c r="K3385" s="403">
        <v>41131</v>
      </c>
      <c r="L3385" s="398">
        <v>41127</v>
      </c>
      <c r="M3385" s="402">
        <f t="shared" si="201"/>
        <v>4</v>
      </c>
      <c r="N3385" s="402" t="s">
        <v>2</v>
      </c>
      <c r="O3385" s="404">
        <v>2</v>
      </c>
      <c r="P3385" s="402">
        <v>6.4</v>
      </c>
      <c r="Q3385" s="404">
        <v>7.68</v>
      </c>
      <c r="R3385" s="402">
        <v>38.4</v>
      </c>
      <c r="S3385" s="404">
        <v>36</v>
      </c>
      <c r="T3385" s="402">
        <v>0.35</v>
      </c>
      <c r="U3385" s="395">
        <v>1.73</v>
      </c>
      <c r="V3385" s="402">
        <v>0.65</v>
      </c>
      <c r="W3385" s="404">
        <v>5.5E-2</v>
      </c>
      <c r="X3385" s="402">
        <v>0.746</v>
      </c>
      <c r="Y3385" s="404">
        <v>7.0000000000000001E-3</v>
      </c>
      <c r="Z3385" s="397">
        <v>1</v>
      </c>
      <c r="AA3385" s="399">
        <v>0.47499999999999998</v>
      </c>
      <c r="AB3385" s="394">
        <v>17.75</v>
      </c>
      <c r="AC3385" s="402">
        <v>70</v>
      </c>
      <c r="AD3385" s="399">
        <v>0.1</v>
      </c>
      <c r="AE3385" s="402"/>
      <c r="AF3385" s="391"/>
      <c r="AG3385" s="394"/>
      <c r="AH3385" s="394"/>
      <c r="AI3385" s="394"/>
      <c r="AJ3385" s="394"/>
      <c r="AK3385" s="394"/>
      <c r="AL3385" s="394"/>
      <c r="AM3385" s="394"/>
      <c r="AN3385" s="394"/>
      <c r="AO3385" s="394"/>
      <c r="AP3385" s="394"/>
      <c r="AQ3385" s="394"/>
      <c r="AR3385" s="394"/>
      <c r="AS3385" s="402"/>
      <c r="AT3385" s="404"/>
      <c r="AU3385" s="394"/>
      <c r="AV3385" s="394"/>
      <c r="AW3385" s="394"/>
      <c r="AX3385" s="5"/>
      <c r="AY3385" s="5"/>
      <c r="AZ3385" s="5"/>
      <c r="BA3385" s="5"/>
      <c r="BB3385" s="5"/>
      <c r="BC3385" s="5"/>
      <c r="BD3385" s="5"/>
      <c r="BE3385" s="5"/>
      <c r="BF3385" s="5"/>
      <c r="BG3385" s="5"/>
      <c r="BH3385" s="5"/>
      <c r="BI3385" s="5"/>
      <c r="BJ3385" s="5"/>
      <c r="BK3385" s="5"/>
      <c r="BL3385" s="5"/>
      <c r="BM3385" s="5"/>
      <c r="BN3385" s="5"/>
      <c r="BO3385" s="5"/>
      <c r="BP3385" s="5"/>
      <c r="BQ3385" s="5"/>
      <c r="BR3385" s="5"/>
      <c r="BS3385" s="5"/>
      <c r="BT3385" s="5"/>
      <c r="BU3385" s="5"/>
      <c r="BV3385" s="5"/>
      <c r="BW3385" s="5"/>
      <c r="BX3385" s="5"/>
      <c r="BY3385" s="5"/>
      <c r="BZ3385" s="5"/>
      <c r="CA3385" s="5"/>
    </row>
    <row r="3386" spans="1:79" s="400" customFormat="1" ht="15" customHeight="1">
      <c r="A3386" s="41" t="s">
        <v>183</v>
      </c>
      <c r="B3386" s="402" t="s">
        <v>5343</v>
      </c>
      <c r="C3386" s="113" t="s">
        <v>5831</v>
      </c>
      <c r="D3386" s="393" t="s">
        <v>406</v>
      </c>
      <c r="E3386" s="394" t="s">
        <v>5344</v>
      </c>
      <c r="F3386" s="402"/>
      <c r="G3386" s="405" t="s">
        <v>5345</v>
      </c>
      <c r="H3386" s="404">
        <v>3724</v>
      </c>
      <c r="I3386" s="402" t="s">
        <v>2</v>
      </c>
      <c r="J3386" s="406" t="s">
        <v>2097</v>
      </c>
      <c r="K3386" s="403">
        <v>41131</v>
      </c>
      <c r="L3386" s="398">
        <v>41127</v>
      </c>
      <c r="M3386" s="402">
        <f t="shared" si="201"/>
        <v>4</v>
      </c>
      <c r="N3386" s="402" t="s">
        <v>2</v>
      </c>
      <c r="O3386" s="404">
        <v>1.2</v>
      </c>
      <c r="P3386" s="402">
        <v>6.4</v>
      </c>
      <c r="Q3386" s="404">
        <v>7.27</v>
      </c>
      <c r="R3386" s="402">
        <v>22.2</v>
      </c>
      <c r="S3386" s="404">
        <v>20</v>
      </c>
      <c r="T3386" s="402">
        <v>0.17</v>
      </c>
      <c r="U3386" s="395">
        <v>0.78</v>
      </c>
      <c r="V3386" s="402">
        <v>0.14000000000000001</v>
      </c>
      <c r="W3386" s="404">
        <v>1.4999999999999999E-2</v>
      </c>
      <c r="X3386" s="402">
        <v>5.7000000000000002E-2</v>
      </c>
      <c r="Y3386" s="404">
        <v>5.0000000000000001E-3</v>
      </c>
      <c r="Z3386" s="397">
        <v>1</v>
      </c>
      <c r="AA3386" s="399">
        <v>1</v>
      </c>
      <c r="AB3386" s="394">
        <v>6.88</v>
      </c>
      <c r="AC3386" s="402">
        <v>27</v>
      </c>
      <c r="AD3386" s="399">
        <v>0.85</v>
      </c>
      <c r="AE3386" s="402"/>
      <c r="AF3386" s="391"/>
      <c r="AG3386" s="394"/>
      <c r="AH3386" s="394"/>
      <c r="AI3386" s="394"/>
      <c r="AJ3386" s="394"/>
      <c r="AK3386" s="394"/>
      <c r="AL3386" s="394"/>
      <c r="AM3386" s="394"/>
      <c r="AN3386" s="394"/>
      <c r="AO3386" s="394"/>
      <c r="AP3386" s="394"/>
      <c r="AQ3386" s="394"/>
      <c r="AR3386" s="394"/>
      <c r="AS3386" s="402"/>
      <c r="AT3386" s="404"/>
      <c r="AU3386" s="394"/>
      <c r="AV3386" s="394"/>
      <c r="AW3386" s="394"/>
      <c r="AX3386" s="5"/>
      <c r="AY3386" s="5"/>
      <c r="AZ3386" s="5"/>
      <c r="BA3386" s="5"/>
      <c r="BB3386" s="5"/>
      <c r="BC3386" s="5"/>
      <c r="BD3386" s="5"/>
      <c r="BE3386" s="5"/>
      <c r="BF3386" s="5"/>
      <c r="BG3386" s="5"/>
      <c r="BH3386" s="5"/>
      <c r="BI3386" s="5"/>
      <c r="BJ3386" s="5"/>
      <c r="BK3386" s="5"/>
      <c r="BL3386" s="5"/>
      <c r="BM3386" s="5"/>
      <c r="BN3386" s="5"/>
      <c r="BO3386" s="5"/>
      <c r="BP3386" s="5"/>
      <c r="BQ3386" s="5"/>
      <c r="BR3386" s="5"/>
      <c r="BS3386" s="5"/>
      <c r="BT3386" s="5"/>
      <c r="BU3386" s="5"/>
      <c r="BV3386" s="5"/>
      <c r="BW3386" s="5"/>
      <c r="BX3386" s="5"/>
      <c r="BY3386" s="5"/>
      <c r="BZ3386" s="5"/>
      <c r="CA3386" s="5"/>
    </row>
    <row r="3387" spans="1:79" s="400" customFormat="1" ht="15" customHeight="1">
      <c r="A3387" s="41" t="s">
        <v>183</v>
      </c>
      <c r="B3387" s="402" t="s">
        <v>4263</v>
      </c>
      <c r="C3387" s="113" t="s">
        <v>4263</v>
      </c>
      <c r="D3387" s="393" t="s">
        <v>251</v>
      </c>
      <c r="E3387" s="394" t="s">
        <v>252</v>
      </c>
      <c r="F3387" s="402" t="s">
        <v>2816</v>
      </c>
      <c r="G3387" s="405" t="s">
        <v>4264</v>
      </c>
      <c r="H3387" s="404">
        <v>2023</v>
      </c>
      <c r="I3387" s="402" t="s">
        <v>1</v>
      </c>
      <c r="J3387" s="406" t="s">
        <v>4265</v>
      </c>
      <c r="K3387" s="403">
        <v>41402</v>
      </c>
      <c r="L3387" s="398">
        <v>41384</v>
      </c>
      <c r="M3387" s="402">
        <f t="shared" si="201"/>
        <v>18</v>
      </c>
      <c r="N3387" s="402" t="s">
        <v>2</v>
      </c>
      <c r="O3387" s="404">
        <f t="shared" ref="O3387:O3392" si="202">5/2</f>
        <v>2.5</v>
      </c>
      <c r="P3387" s="402">
        <v>6.05</v>
      </c>
      <c r="Q3387" s="404">
        <v>7.23</v>
      </c>
      <c r="R3387" s="402">
        <v>180</v>
      </c>
      <c r="S3387" s="404">
        <v>570</v>
      </c>
      <c r="T3387" s="402">
        <v>0.71</v>
      </c>
      <c r="U3387" s="395">
        <v>1.5</v>
      </c>
      <c r="V3387" s="402">
        <v>0.24</v>
      </c>
      <c r="W3387" s="404">
        <v>6.2E-2</v>
      </c>
      <c r="X3387" s="402">
        <v>0.57999999999999996</v>
      </c>
      <c r="Y3387" s="404">
        <v>1.7999999999999999E-2</v>
      </c>
      <c r="Z3387" s="397">
        <v>1</v>
      </c>
      <c r="AA3387" s="399">
        <v>1</v>
      </c>
      <c r="AB3387" s="394">
        <v>56</v>
      </c>
      <c r="AC3387" s="402">
        <v>232</v>
      </c>
      <c r="AD3387" s="399">
        <v>1</v>
      </c>
      <c r="AE3387" s="402">
        <v>500</v>
      </c>
      <c r="AF3387" s="391"/>
      <c r="AG3387" s="394"/>
      <c r="AH3387" s="394"/>
      <c r="AI3387" s="394"/>
      <c r="AJ3387" s="394"/>
      <c r="AK3387" s="394"/>
      <c r="AL3387" s="394"/>
      <c r="AM3387" s="394"/>
      <c r="AN3387" s="394"/>
      <c r="AO3387" s="394"/>
      <c r="AP3387" s="394"/>
      <c r="AQ3387" s="394"/>
      <c r="AR3387" s="394"/>
      <c r="AS3387" s="402"/>
      <c r="AT3387" s="404"/>
      <c r="AU3387" s="394"/>
      <c r="AV3387" s="394"/>
      <c r="AW3387" s="394"/>
      <c r="AX3387" s="5"/>
      <c r="AY3387" s="5"/>
      <c r="AZ3387" s="5"/>
      <c r="BA3387" s="5"/>
      <c r="BB3387" s="5"/>
      <c r="BC3387" s="5"/>
      <c r="BD3387" s="5"/>
      <c r="BE3387" s="5"/>
      <c r="BF3387" s="5"/>
      <c r="BG3387" s="5"/>
      <c r="BH3387" s="5"/>
      <c r="BI3387" s="5"/>
      <c r="BJ3387" s="5"/>
      <c r="BK3387" s="5"/>
      <c r="BL3387" s="5"/>
      <c r="BM3387" s="5"/>
      <c r="BN3387" s="5"/>
      <c r="BO3387" s="5"/>
      <c r="BP3387" s="5"/>
      <c r="BQ3387" s="5"/>
      <c r="BR3387" s="5"/>
      <c r="BS3387" s="5"/>
      <c r="BT3387" s="5"/>
      <c r="BU3387" s="5"/>
      <c r="BV3387" s="5"/>
      <c r="BW3387" s="5"/>
      <c r="BX3387" s="5"/>
      <c r="BY3387" s="5"/>
      <c r="BZ3387" s="5"/>
      <c r="CA3387" s="5"/>
    </row>
    <row r="3388" spans="1:79" s="400" customFormat="1" ht="15" customHeight="1">
      <c r="A3388" s="41" t="s">
        <v>183</v>
      </c>
      <c r="B3388" s="402" t="s">
        <v>4263</v>
      </c>
      <c r="C3388" s="113" t="s">
        <v>4263</v>
      </c>
      <c r="D3388" s="393" t="s">
        <v>251</v>
      </c>
      <c r="E3388" s="394" t="s">
        <v>252</v>
      </c>
      <c r="F3388" s="402" t="s">
        <v>2816</v>
      </c>
      <c r="G3388" s="405" t="s">
        <v>4264</v>
      </c>
      <c r="H3388" s="404">
        <v>2023</v>
      </c>
      <c r="I3388" s="402" t="s">
        <v>1</v>
      </c>
      <c r="J3388" s="406" t="s">
        <v>4266</v>
      </c>
      <c r="K3388" s="403">
        <v>41402</v>
      </c>
      <c r="L3388" s="398">
        <v>41384</v>
      </c>
      <c r="M3388" s="402">
        <f t="shared" si="201"/>
        <v>18</v>
      </c>
      <c r="N3388" s="402" t="s">
        <v>2</v>
      </c>
      <c r="O3388" s="404">
        <f t="shared" si="202"/>
        <v>2.5</v>
      </c>
      <c r="P3388" s="402">
        <v>6.05</v>
      </c>
      <c r="Q3388" s="404">
        <v>6.38</v>
      </c>
      <c r="R3388" s="402">
        <v>18</v>
      </c>
      <c r="S3388" s="404">
        <v>14</v>
      </c>
      <c r="T3388" s="402">
        <v>0.19</v>
      </c>
      <c r="U3388" s="395">
        <f>1/2</f>
        <v>0.5</v>
      </c>
      <c r="V3388" s="402">
        <v>0.2</v>
      </c>
      <c r="W3388" s="404">
        <f>0.04/2</f>
        <v>0.02</v>
      </c>
      <c r="X3388" s="402">
        <v>0.19</v>
      </c>
      <c r="Y3388" s="404">
        <f>0.013/2</f>
        <v>6.4999999999999997E-3</v>
      </c>
      <c r="Z3388" s="397">
        <v>0.85599999999999998</v>
      </c>
      <c r="AA3388" s="399">
        <v>0.70699999999999996</v>
      </c>
      <c r="AB3388" s="394">
        <v>2.2000000000000002</v>
      </c>
      <c r="AC3388" s="402">
        <v>19</v>
      </c>
      <c r="AD3388" s="399">
        <v>0</v>
      </c>
      <c r="AE3388" s="402">
        <v>300</v>
      </c>
      <c r="AF3388" s="391"/>
      <c r="AG3388" s="394"/>
      <c r="AH3388" s="394"/>
      <c r="AI3388" s="394"/>
      <c r="AJ3388" s="394"/>
      <c r="AK3388" s="394"/>
      <c r="AL3388" s="394"/>
      <c r="AM3388" s="394"/>
      <c r="AN3388" s="394"/>
      <c r="AO3388" s="394"/>
      <c r="AP3388" s="394"/>
      <c r="AQ3388" s="394"/>
      <c r="AR3388" s="394"/>
      <c r="AS3388" s="402"/>
      <c r="AT3388" s="404"/>
      <c r="AU3388" s="394"/>
      <c r="AV3388" s="394"/>
      <c r="AW3388" s="394"/>
      <c r="AX3388" s="5"/>
      <c r="AY3388" s="5"/>
      <c r="AZ3388" s="5"/>
      <c r="BA3388" s="5"/>
      <c r="BB3388" s="5"/>
      <c r="BC3388" s="5"/>
      <c r="BD3388" s="5"/>
      <c r="BE3388" s="5"/>
      <c r="BF3388" s="5"/>
      <c r="BG3388" s="5"/>
      <c r="BH3388" s="5"/>
      <c r="BI3388" s="5"/>
      <c r="BJ3388" s="5"/>
      <c r="BK3388" s="5"/>
      <c r="BL3388" s="5"/>
      <c r="BM3388" s="5"/>
      <c r="BN3388" s="5"/>
      <c r="BO3388" s="5"/>
      <c r="BP3388" s="5"/>
      <c r="BQ3388" s="5"/>
      <c r="BR3388" s="5"/>
      <c r="BS3388" s="5"/>
      <c r="BT3388" s="5"/>
      <c r="BU3388" s="5"/>
      <c r="BV3388" s="5"/>
      <c r="BW3388" s="5"/>
      <c r="BX3388" s="5"/>
      <c r="BY3388" s="5"/>
      <c r="BZ3388" s="5"/>
      <c r="CA3388" s="5"/>
    </row>
    <row r="3389" spans="1:79" s="400" customFormat="1" ht="15" customHeight="1">
      <c r="A3389" s="41" t="s">
        <v>183</v>
      </c>
      <c r="B3389" s="402" t="s">
        <v>4263</v>
      </c>
      <c r="C3389" s="113" t="s">
        <v>4263</v>
      </c>
      <c r="D3389" s="393" t="s">
        <v>251</v>
      </c>
      <c r="E3389" s="394" t="s">
        <v>252</v>
      </c>
      <c r="F3389" s="402" t="s">
        <v>2816</v>
      </c>
      <c r="G3389" s="405" t="s">
        <v>4264</v>
      </c>
      <c r="H3389" s="404">
        <v>2023</v>
      </c>
      <c r="I3389" s="402" t="s">
        <v>1</v>
      </c>
      <c r="J3389" s="406" t="s">
        <v>4267</v>
      </c>
      <c r="K3389" s="403">
        <v>41402</v>
      </c>
      <c r="L3389" s="398">
        <v>41384</v>
      </c>
      <c r="M3389" s="402">
        <f t="shared" si="201"/>
        <v>18</v>
      </c>
      <c r="N3389" s="402" t="s">
        <v>2</v>
      </c>
      <c r="O3389" s="404">
        <f t="shared" si="202"/>
        <v>2.5</v>
      </c>
      <c r="P3389" s="402">
        <v>6.05</v>
      </c>
      <c r="Q3389" s="404">
        <v>6.63</v>
      </c>
      <c r="R3389" s="402">
        <v>57</v>
      </c>
      <c r="S3389" s="404">
        <v>160</v>
      </c>
      <c r="T3389" s="402">
        <f>0.1/2</f>
        <v>0.05</v>
      </c>
      <c r="U3389" s="395">
        <f>1/2</f>
        <v>0.5</v>
      </c>
      <c r="V3389" s="402">
        <v>0.2</v>
      </c>
      <c r="W3389" s="404">
        <f>0.04/2</f>
        <v>0.02</v>
      </c>
      <c r="X3389" s="402">
        <v>0.19</v>
      </c>
      <c r="Y3389" s="404">
        <f>0.013/2</f>
        <v>6.4999999999999997E-3</v>
      </c>
      <c r="Z3389" s="397">
        <v>1</v>
      </c>
      <c r="AA3389" s="399">
        <v>1</v>
      </c>
      <c r="AB3389" s="394">
        <v>26</v>
      </c>
      <c r="AC3389" s="402">
        <v>124</v>
      </c>
      <c r="AD3389" s="399">
        <v>1</v>
      </c>
      <c r="AE3389" s="402">
        <v>260</v>
      </c>
      <c r="AF3389" s="391"/>
      <c r="AG3389" s="394"/>
      <c r="AH3389" s="394"/>
      <c r="AI3389" s="394"/>
      <c r="AJ3389" s="394"/>
      <c r="AK3389" s="394"/>
      <c r="AL3389" s="394"/>
      <c r="AM3389" s="394"/>
      <c r="AN3389" s="394"/>
      <c r="AO3389" s="394"/>
      <c r="AP3389" s="394"/>
      <c r="AQ3389" s="394"/>
      <c r="AR3389" s="394"/>
      <c r="AS3389" s="402"/>
      <c r="AT3389" s="404"/>
      <c r="AU3389" s="394"/>
      <c r="AV3389" s="394"/>
      <c r="AW3389" s="394"/>
      <c r="AX3389" s="5"/>
      <c r="AY3389" s="5"/>
      <c r="AZ3389" s="5"/>
      <c r="BA3389" s="5"/>
      <c r="BB3389" s="5"/>
      <c r="BC3389" s="5"/>
      <c r="BD3389" s="5"/>
      <c r="BE3389" s="5"/>
      <c r="BF3389" s="5"/>
      <c r="BG3389" s="5"/>
      <c r="BH3389" s="5"/>
      <c r="BI3389" s="5"/>
      <c r="BJ3389" s="5"/>
      <c r="BK3389" s="5"/>
      <c r="BL3389" s="5"/>
      <c r="BM3389" s="5"/>
      <c r="BN3389" s="5"/>
      <c r="BO3389" s="5"/>
      <c r="BP3389" s="5"/>
      <c r="BQ3389" s="5"/>
      <c r="BR3389" s="5"/>
      <c r="BS3389" s="5"/>
      <c r="BT3389" s="5"/>
      <c r="BU3389" s="5"/>
      <c r="BV3389" s="5"/>
      <c r="BW3389" s="5"/>
      <c r="BX3389" s="5"/>
      <c r="BY3389" s="5"/>
      <c r="BZ3389" s="5"/>
      <c r="CA3389" s="5"/>
    </row>
    <row r="3390" spans="1:79" s="400" customFormat="1" ht="15" customHeight="1">
      <c r="A3390" s="41" t="s">
        <v>183</v>
      </c>
      <c r="B3390" s="402" t="s">
        <v>4263</v>
      </c>
      <c r="C3390" s="113" t="s">
        <v>4263</v>
      </c>
      <c r="D3390" s="393" t="s">
        <v>251</v>
      </c>
      <c r="E3390" s="394" t="s">
        <v>252</v>
      </c>
      <c r="F3390" s="402" t="s">
        <v>2816</v>
      </c>
      <c r="G3390" s="405" t="s">
        <v>4264</v>
      </c>
      <c r="H3390" s="404">
        <v>2023</v>
      </c>
      <c r="I3390" s="402" t="s">
        <v>1</v>
      </c>
      <c r="J3390" s="406" t="s">
        <v>2905</v>
      </c>
      <c r="K3390" s="403">
        <v>41030</v>
      </c>
      <c r="L3390" s="398">
        <v>41023</v>
      </c>
      <c r="M3390" s="402">
        <f t="shared" si="201"/>
        <v>7</v>
      </c>
      <c r="N3390" s="402" t="s">
        <v>2</v>
      </c>
      <c r="O3390" s="404">
        <f t="shared" si="202"/>
        <v>2.5</v>
      </c>
      <c r="P3390" s="402">
        <v>8.4</v>
      </c>
      <c r="Q3390" s="404">
        <v>8.1</v>
      </c>
      <c r="R3390" s="402">
        <v>180</v>
      </c>
      <c r="S3390" s="404">
        <v>130</v>
      </c>
      <c r="T3390" s="402">
        <v>0.16</v>
      </c>
      <c r="U3390" s="395">
        <v>1.1000000000000001</v>
      </c>
      <c r="V3390" s="402">
        <v>0.54</v>
      </c>
      <c r="W3390" s="404">
        <f>0.04/2</f>
        <v>0.02</v>
      </c>
      <c r="X3390" s="402">
        <v>0.24</v>
      </c>
      <c r="Y3390" s="404">
        <f>0.013/2</f>
        <v>6.4999999999999997E-3</v>
      </c>
      <c r="Z3390" s="397">
        <v>1</v>
      </c>
      <c r="AA3390" s="399">
        <v>1</v>
      </c>
      <c r="AB3390" s="394">
        <v>19</v>
      </c>
      <c r="AC3390" s="402">
        <v>163</v>
      </c>
      <c r="AD3390" s="399">
        <v>1</v>
      </c>
      <c r="AE3390" s="402">
        <v>820</v>
      </c>
      <c r="AF3390" s="391"/>
      <c r="AG3390" s="394"/>
      <c r="AH3390" s="394"/>
      <c r="AI3390" s="394"/>
      <c r="AJ3390" s="394"/>
      <c r="AK3390" s="394"/>
      <c r="AL3390" s="394"/>
      <c r="AM3390" s="394"/>
      <c r="AN3390" s="394"/>
      <c r="AO3390" s="394"/>
      <c r="AP3390" s="394"/>
      <c r="AQ3390" s="394"/>
      <c r="AR3390" s="394"/>
      <c r="AS3390" s="402"/>
      <c r="AT3390" s="404"/>
      <c r="AU3390" s="394"/>
      <c r="AV3390" s="394"/>
      <c r="AW3390" s="394"/>
      <c r="AX3390" s="5"/>
      <c r="AY3390" s="5"/>
      <c r="AZ3390" s="5"/>
      <c r="BA3390" s="5"/>
      <c r="BB3390" s="5"/>
      <c r="BC3390" s="5"/>
      <c r="BD3390" s="5"/>
      <c r="BE3390" s="5"/>
      <c r="BF3390" s="5"/>
      <c r="BG3390" s="5"/>
      <c r="BH3390" s="5"/>
      <c r="BI3390" s="5"/>
      <c r="BJ3390" s="5"/>
      <c r="BK3390" s="5"/>
      <c r="BL3390" s="5"/>
      <c r="BM3390" s="5"/>
      <c r="BN3390" s="5"/>
      <c r="BO3390" s="5"/>
      <c r="BP3390" s="5"/>
      <c r="BQ3390" s="5"/>
      <c r="BR3390" s="5"/>
      <c r="BS3390" s="5"/>
      <c r="BT3390" s="5"/>
      <c r="BU3390" s="5"/>
      <c r="BV3390" s="5"/>
      <c r="BW3390" s="5"/>
      <c r="BX3390" s="5"/>
      <c r="BY3390" s="5"/>
      <c r="BZ3390" s="5"/>
      <c r="CA3390" s="5"/>
    </row>
    <row r="3391" spans="1:79" s="400" customFormat="1" ht="15" customHeight="1">
      <c r="A3391" s="41" t="s">
        <v>183</v>
      </c>
      <c r="B3391" s="402" t="s">
        <v>4263</v>
      </c>
      <c r="C3391" s="113" t="s">
        <v>4263</v>
      </c>
      <c r="D3391" s="393" t="s">
        <v>251</v>
      </c>
      <c r="E3391" s="394" t="s">
        <v>252</v>
      </c>
      <c r="F3391" s="402" t="s">
        <v>2816</v>
      </c>
      <c r="G3391" s="405" t="s">
        <v>4264</v>
      </c>
      <c r="H3391" s="404">
        <v>2023</v>
      </c>
      <c r="I3391" s="402" t="s">
        <v>1</v>
      </c>
      <c r="J3391" s="406" t="s">
        <v>5076</v>
      </c>
      <c r="K3391" s="403">
        <v>41030</v>
      </c>
      <c r="L3391" s="398">
        <v>41023</v>
      </c>
      <c r="M3391" s="402">
        <f t="shared" si="201"/>
        <v>7</v>
      </c>
      <c r="N3391" s="402" t="s">
        <v>2</v>
      </c>
      <c r="O3391" s="404">
        <f t="shared" si="202"/>
        <v>2.5</v>
      </c>
      <c r="P3391" s="402">
        <v>8.4</v>
      </c>
      <c r="Q3391" s="404">
        <v>7.81</v>
      </c>
      <c r="R3391" s="402">
        <f>5/2</f>
        <v>2.5</v>
      </c>
      <c r="S3391" s="404">
        <v>21</v>
      </c>
      <c r="T3391" s="402">
        <v>0.11</v>
      </c>
      <c r="U3391" s="395">
        <v>1.1000000000000001</v>
      </c>
      <c r="V3391" s="402">
        <v>0.36</v>
      </c>
      <c r="W3391" s="404">
        <f>0.04/2</f>
        <v>0.02</v>
      </c>
      <c r="X3391" s="402">
        <v>0.27</v>
      </c>
      <c r="Y3391" s="404">
        <f>0.013/2</f>
        <v>6.4999999999999997E-3</v>
      </c>
      <c r="Z3391" s="397">
        <v>0.82</v>
      </c>
      <c r="AA3391" s="399">
        <v>0.66</v>
      </c>
      <c r="AB3391" s="394">
        <v>2.9</v>
      </c>
      <c r="AC3391" s="402">
        <v>19</v>
      </c>
      <c r="AD3391" s="399"/>
      <c r="AE3391" s="402">
        <v>12</v>
      </c>
      <c r="AF3391" s="391"/>
      <c r="AG3391" s="394"/>
      <c r="AH3391" s="394"/>
      <c r="AI3391" s="394"/>
      <c r="AJ3391" s="394"/>
      <c r="AK3391" s="394"/>
      <c r="AL3391" s="394"/>
      <c r="AM3391" s="394"/>
      <c r="AN3391" s="394"/>
      <c r="AO3391" s="394"/>
      <c r="AP3391" s="394"/>
      <c r="AQ3391" s="394"/>
      <c r="AR3391" s="394"/>
      <c r="AS3391" s="402"/>
      <c r="AT3391" s="404"/>
      <c r="AU3391" s="394"/>
      <c r="AV3391" s="394"/>
      <c r="AW3391" s="394"/>
      <c r="AX3391" s="5"/>
      <c r="AY3391" s="5"/>
      <c r="AZ3391" s="5"/>
      <c r="BA3391" s="5"/>
      <c r="BB3391" s="5"/>
      <c r="BC3391" s="5"/>
      <c r="BD3391" s="5"/>
      <c r="BE3391" s="5"/>
      <c r="BF3391" s="5"/>
      <c r="BG3391" s="5"/>
      <c r="BH3391" s="5"/>
      <c r="BI3391" s="5"/>
      <c r="BJ3391" s="5"/>
      <c r="BK3391" s="5"/>
      <c r="BL3391" s="5"/>
      <c r="BM3391" s="5"/>
      <c r="BN3391" s="5"/>
      <c r="BO3391" s="5"/>
      <c r="BP3391" s="5"/>
      <c r="BQ3391" s="5"/>
      <c r="BR3391" s="5"/>
      <c r="BS3391" s="5"/>
      <c r="BT3391" s="5"/>
      <c r="BU3391" s="5"/>
      <c r="BV3391" s="5"/>
      <c r="BW3391" s="5"/>
      <c r="BX3391" s="5"/>
      <c r="BY3391" s="5"/>
      <c r="BZ3391" s="5"/>
      <c r="CA3391" s="5"/>
    </row>
    <row r="3392" spans="1:79" s="400" customFormat="1" ht="15" customHeight="1">
      <c r="A3392" s="41" t="s">
        <v>183</v>
      </c>
      <c r="B3392" s="402" t="s">
        <v>4263</v>
      </c>
      <c r="C3392" s="113" t="s">
        <v>4263</v>
      </c>
      <c r="D3392" s="393" t="s">
        <v>251</v>
      </c>
      <c r="E3392" s="394" t="s">
        <v>252</v>
      </c>
      <c r="F3392" s="402" t="s">
        <v>2816</v>
      </c>
      <c r="G3392" s="405" t="s">
        <v>4264</v>
      </c>
      <c r="H3392" s="404">
        <v>2023</v>
      </c>
      <c r="I3392" s="402" t="s">
        <v>1</v>
      </c>
      <c r="J3392" s="406" t="s">
        <v>5833</v>
      </c>
      <c r="K3392" s="403">
        <v>41030</v>
      </c>
      <c r="L3392" s="398">
        <v>41023</v>
      </c>
      <c r="M3392" s="402">
        <f t="shared" si="201"/>
        <v>7</v>
      </c>
      <c r="N3392" s="402" t="s">
        <v>2</v>
      </c>
      <c r="O3392" s="404">
        <f t="shared" si="202"/>
        <v>2.5</v>
      </c>
      <c r="P3392" s="402">
        <v>8.4</v>
      </c>
      <c r="Q3392" s="404">
        <v>8</v>
      </c>
      <c r="R3392" s="402">
        <f>5/2</f>
        <v>2.5</v>
      </c>
      <c r="S3392" s="404">
        <v>18</v>
      </c>
      <c r="T3392" s="402">
        <f>0.1/2</f>
        <v>0.05</v>
      </c>
      <c r="U3392" s="395">
        <v>1.5</v>
      </c>
      <c r="V3392" s="402">
        <v>0.75</v>
      </c>
      <c r="W3392" s="404">
        <f>0.04/2</f>
        <v>0.02</v>
      </c>
      <c r="X3392" s="402">
        <v>0.18</v>
      </c>
      <c r="Y3392" s="404">
        <f>0.013/2</f>
        <v>6.4999999999999997E-3</v>
      </c>
      <c r="Z3392" s="397">
        <v>1</v>
      </c>
      <c r="AA3392" s="399">
        <v>1</v>
      </c>
      <c r="AB3392" s="394">
        <v>24</v>
      </c>
      <c r="AC3392" s="402">
        <v>124</v>
      </c>
      <c r="AD3392" s="399">
        <v>1</v>
      </c>
      <c r="AE3392" s="402">
        <v>64</v>
      </c>
      <c r="AF3392" s="391"/>
      <c r="AG3392" s="394"/>
      <c r="AH3392" s="394"/>
      <c r="AI3392" s="394"/>
      <c r="AJ3392" s="394"/>
      <c r="AK3392" s="394"/>
      <c r="AL3392" s="394"/>
      <c r="AM3392" s="394"/>
      <c r="AN3392" s="394"/>
      <c r="AO3392" s="394"/>
      <c r="AP3392" s="394"/>
      <c r="AQ3392" s="394"/>
      <c r="AR3392" s="394"/>
      <c r="AS3392" s="402"/>
      <c r="AT3392" s="404"/>
      <c r="AU3392" s="394"/>
      <c r="AV3392" s="394"/>
      <c r="AW3392" s="394"/>
      <c r="AX3392" s="5"/>
      <c r="AY3392" s="5"/>
      <c r="AZ3392" s="5"/>
      <c r="BA3392" s="5"/>
      <c r="BB3392" s="5"/>
      <c r="BC3392" s="5"/>
      <c r="BD3392" s="5"/>
      <c r="BE3392" s="5"/>
      <c r="BF3392" s="5"/>
      <c r="BG3392" s="5"/>
      <c r="BH3392" s="5"/>
      <c r="BI3392" s="5"/>
      <c r="BJ3392" s="5"/>
      <c r="BK3392" s="5"/>
      <c r="BL3392" s="5"/>
      <c r="BM3392" s="5"/>
      <c r="BN3392" s="5"/>
      <c r="BO3392" s="5"/>
      <c r="BP3392" s="5"/>
      <c r="BQ3392" s="5"/>
      <c r="BR3392" s="5"/>
      <c r="BS3392" s="5"/>
      <c r="BT3392" s="5"/>
      <c r="BU3392" s="5"/>
      <c r="BV3392" s="5"/>
      <c r="BW3392" s="5"/>
      <c r="BX3392" s="5"/>
      <c r="BY3392" s="5"/>
      <c r="BZ3392" s="5"/>
      <c r="CA3392" s="5"/>
    </row>
    <row r="3393" spans="1:79" s="400" customFormat="1" ht="15" customHeight="1">
      <c r="A3393" s="41" t="s">
        <v>183</v>
      </c>
      <c r="B3393" s="402" t="s">
        <v>5834</v>
      </c>
      <c r="C3393" s="113" t="s">
        <v>5835</v>
      </c>
      <c r="D3393" s="393" t="s">
        <v>98</v>
      </c>
      <c r="E3393" s="394" t="s">
        <v>44</v>
      </c>
      <c r="F3393" s="402" t="s">
        <v>4582</v>
      </c>
      <c r="G3393" s="405" t="s">
        <v>4583</v>
      </c>
      <c r="H3393" s="404">
        <v>1442</v>
      </c>
      <c r="I3393" s="402"/>
      <c r="J3393" s="406" t="s">
        <v>74</v>
      </c>
      <c r="K3393" s="403">
        <v>41073</v>
      </c>
      <c r="L3393" s="398"/>
      <c r="M3393" s="402"/>
      <c r="N3393" s="402" t="s">
        <v>2</v>
      </c>
      <c r="O3393" s="404">
        <v>2</v>
      </c>
      <c r="P3393" s="402"/>
      <c r="Q3393" s="404">
        <v>7.9</v>
      </c>
      <c r="R3393" s="402">
        <v>9</v>
      </c>
      <c r="S3393" s="404">
        <v>266</v>
      </c>
      <c r="T3393" s="402">
        <v>0.28999999999999998</v>
      </c>
      <c r="U3393" s="395">
        <v>0.46</v>
      </c>
      <c r="V3393" s="402">
        <f>0.1/2</f>
        <v>0.05</v>
      </c>
      <c r="W3393" s="404">
        <v>6.3E-2</v>
      </c>
      <c r="X3393" s="402">
        <v>8.5000000000000006E-2</v>
      </c>
      <c r="Y3393" s="404">
        <f>0.03/2</f>
        <v>1.4999999999999999E-2</v>
      </c>
      <c r="Z3393" s="397">
        <v>1</v>
      </c>
      <c r="AA3393" s="399">
        <v>1</v>
      </c>
      <c r="AB3393" s="394">
        <v>156</v>
      </c>
      <c r="AC3393" s="402">
        <v>537</v>
      </c>
      <c r="AD3393" s="399">
        <v>1</v>
      </c>
      <c r="AE3393" s="402"/>
      <c r="AF3393" s="391"/>
      <c r="AG3393" s="394"/>
      <c r="AH3393" s="394"/>
      <c r="AI3393" s="394"/>
      <c r="AJ3393" s="394"/>
      <c r="AK3393" s="394"/>
      <c r="AL3393" s="394"/>
      <c r="AM3393" s="394"/>
      <c r="AN3393" s="394"/>
      <c r="AO3393" s="394"/>
      <c r="AP3393" s="394"/>
      <c r="AQ3393" s="394"/>
      <c r="AR3393" s="394"/>
      <c r="AS3393" s="402"/>
      <c r="AT3393" s="404"/>
      <c r="AU3393" s="394"/>
      <c r="AV3393" s="394"/>
      <c r="AW3393" s="394"/>
      <c r="AX3393" s="5"/>
      <c r="AY3393" s="5"/>
      <c r="AZ3393" s="5"/>
      <c r="BA3393" s="5"/>
      <c r="BB3393" s="5"/>
      <c r="BC3393" s="5"/>
      <c r="BD3393" s="5"/>
      <c r="BE3393" s="5"/>
      <c r="BF3393" s="5"/>
      <c r="BG3393" s="5"/>
      <c r="BH3393" s="5"/>
      <c r="BI3393" s="5"/>
      <c r="BJ3393" s="5"/>
      <c r="BK3393" s="5"/>
      <c r="BL3393" s="5"/>
      <c r="BM3393" s="5"/>
      <c r="BN3393" s="5"/>
      <c r="BO3393" s="5"/>
      <c r="BP3393" s="5"/>
      <c r="BQ3393" s="5"/>
      <c r="BR3393" s="5"/>
      <c r="BS3393" s="5"/>
      <c r="BT3393" s="5"/>
      <c r="BU3393" s="5"/>
      <c r="BV3393" s="5"/>
      <c r="BW3393" s="5"/>
      <c r="BX3393" s="5"/>
      <c r="BY3393" s="5"/>
      <c r="BZ3393" s="5"/>
      <c r="CA3393" s="5"/>
    </row>
    <row r="3394" spans="1:79" s="400" customFormat="1" ht="15" customHeight="1">
      <c r="A3394" s="41" t="s">
        <v>183</v>
      </c>
      <c r="B3394" s="402" t="s">
        <v>5834</v>
      </c>
      <c r="C3394" s="113" t="s">
        <v>5835</v>
      </c>
      <c r="D3394" s="393" t="s">
        <v>98</v>
      </c>
      <c r="E3394" s="394" t="s">
        <v>44</v>
      </c>
      <c r="F3394" s="402" t="s">
        <v>4582</v>
      </c>
      <c r="G3394" s="405" t="s">
        <v>4583</v>
      </c>
      <c r="H3394" s="404">
        <v>1442</v>
      </c>
      <c r="I3394" s="402"/>
      <c r="J3394" s="406" t="s">
        <v>75</v>
      </c>
      <c r="K3394" s="403">
        <v>41073</v>
      </c>
      <c r="L3394" s="398"/>
      <c r="M3394" s="402"/>
      <c r="N3394" s="402" t="s">
        <v>2</v>
      </c>
      <c r="O3394" s="404">
        <f>2/2</f>
        <v>1</v>
      </c>
      <c r="P3394" s="402"/>
      <c r="Q3394" s="404">
        <v>8</v>
      </c>
      <c r="R3394" s="402">
        <v>8</v>
      </c>
      <c r="S3394" s="404">
        <v>236</v>
      </c>
      <c r="T3394" s="402">
        <v>0.23</v>
      </c>
      <c r="U3394" s="395">
        <v>0.62</v>
      </c>
      <c r="V3394" s="402">
        <v>0.17</v>
      </c>
      <c r="W3394" s="404">
        <v>3.3000000000000002E-2</v>
      </c>
      <c r="X3394" s="402">
        <v>0.04</v>
      </c>
      <c r="Y3394" s="404">
        <f>0.03/2</f>
        <v>1.4999999999999999E-2</v>
      </c>
      <c r="Z3394" s="397">
        <v>1</v>
      </c>
      <c r="AA3394" s="399">
        <v>1</v>
      </c>
      <c r="AB3394" s="394">
        <v>82</v>
      </c>
      <c r="AC3394" s="402">
        <v>247</v>
      </c>
      <c r="AD3394" s="399">
        <v>1</v>
      </c>
      <c r="AE3394" s="402"/>
      <c r="AF3394" s="391"/>
      <c r="AG3394" s="394"/>
      <c r="AH3394" s="394"/>
      <c r="AI3394" s="394"/>
      <c r="AJ3394" s="394"/>
      <c r="AK3394" s="394"/>
      <c r="AL3394" s="394"/>
      <c r="AM3394" s="394"/>
      <c r="AN3394" s="394"/>
      <c r="AO3394" s="394"/>
      <c r="AP3394" s="394"/>
      <c r="AQ3394" s="394"/>
      <c r="AR3394" s="394"/>
      <c r="AS3394" s="402"/>
      <c r="AT3394" s="404"/>
      <c r="AU3394" s="394"/>
      <c r="AV3394" s="394"/>
      <c r="AW3394" s="394"/>
      <c r="AX3394" s="5"/>
      <c r="AY3394" s="5"/>
      <c r="AZ3394" s="5"/>
      <c r="BA3394" s="5"/>
      <c r="BB3394" s="5"/>
      <c r="BC3394" s="5"/>
      <c r="BD3394" s="5"/>
      <c r="BE3394" s="5"/>
      <c r="BF3394" s="5"/>
      <c r="BG3394" s="5"/>
      <c r="BH3394" s="5"/>
      <c r="BI3394" s="5"/>
      <c r="BJ3394" s="5"/>
      <c r="BK3394" s="5"/>
      <c r="BL3394" s="5"/>
      <c r="BM3394" s="5"/>
      <c r="BN3394" s="5"/>
      <c r="BO3394" s="5"/>
      <c r="BP3394" s="5"/>
      <c r="BQ3394" s="5"/>
      <c r="BR3394" s="5"/>
      <c r="BS3394" s="5"/>
      <c r="BT3394" s="5"/>
      <c r="BU3394" s="5"/>
      <c r="BV3394" s="5"/>
      <c r="BW3394" s="5"/>
      <c r="BX3394" s="5"/>
      <c r="BY3394" s="5"/>
      <c r="BZ3394" s="5"/>
      <c r="CA3394" s="5"/>
    </row>
    <row r="3395" spans="1:79" s="400" customFormat="1" ht="15" customHeight="1">
      <c r="A3395" s="41" t="s">
        <v>183</v>
      </c>
      <c r="B3395" s="402" t="s">
        <v>5834</v>
      </c>
      <c r="C3395" s="113" t="s">
        <v>5835</v>
      </c>
      <c r="D3395" s="393" t="s">
        <v>98</v>
      </c>
      <c r="E3395" s="394" t="s">
        <v>44</v>
      </c>
      <c r="F3395" s="402" t="s">
        <v>4582</v>
      </c>
      <c r="G3395" s="405" t="s">
        <v>4583</v>
      </c>
      <c r="H3395" s="404">
        <v>1442</v>
      </c>
      <c r="I3395" s="402"/>
      <c r="J3395" s="406" t="s">
        <v>5836</v>
      </c>
      <c r="K3395" s="403">
        <v>41073</v>
      </c>
      <c r="L3395" s="398"/>
      <c r="M3395" s="402"/>
      <c r="N3395" s="402" t="s">
        <v>2</v>
      </c>
      <c r="O3395" s="404">
        <f>2/2</f>
        <v>1</v>
      </c>
      <c r="P3395" s="402"/>
      <c r="Q3395" s="404">
        <v>7.3</v>
      </c>
      <c r="R3395" s="402">
        <v>7</v>
      </c>
      <c r="S3395" s="404">
        <v>208</v>
      </c>
      <c r="T3395" s="402">
        <v>0.32</v>
      </c>
      <c r="U3395" s="395">
        <v>1.1599999999999999</v>
      </c>
      <c r="V3395" s="402">
        <v>0.51</v>
      </c>
      <c r="W3395" s="404">
        <v>2.4E-2</v>
      </c>
      <c r="X3395" s="402">
        <v>3.1E-2</v>
      </c>
      <c r="Y3395" s="404">
        <f>0.03/2</f>
        <v>1.4999999999999999E-2</v>
      </c>
      <c r="Z3395" s="397">
        <v>1</v>
      </c>
      <c r="AA3395" s="399">
        <v>1</v>
      </c>
      <c r="AB3395" s="394">
        <v>91</v>
      </c>
      <c r="AC3395" s="402">
        <v>267</v>
      </c>
      <c r="AD3395" s="399">
        <v>1</v>
      </c>
      <c r="AE3395" s="402"/>
      <c r="AF3395" s="391"/>
      <c r="AG3395" s="394"/>
      <c r="AH3395" s="394"/>
      <c r="AI3395" s="394"/>
      <c r="AJ3395" s="394"/>
      <c r="AK3395" s="394"/>
      <c r="AL3395" s="394"/>
      <c r="AM3395" s="394"/>
      <c r="AN3395" s="394"/>
      <c r="AO3395" s="394"/>
      <c r="AP3395" s="394"/>
      <c r="AQ3395" s="394"/>
      <c r="AR3395" s="394"/>
      <c r="AS3395" s="402"/>
      <c r="AT3395" s="404"/>
      <c r="AU3395" s="394"/>
      <c r="AV3395" s="394"/>
      <c r="AW3395" s="394"/>
      <c r="AX3395" s="5"/>
      <c r="AY3395" s="5"/>
      <c r="AZ3395" s="5"/>
      <c r="BA3395" s="5"/>
      <c r="BB3395" s="5"/>
      <c r="BC3395" s="5"/>
      <c r="BD3395" s="5"/>
      <c r="BE3395" s="5"/>
      <c r="BF3395" s="5"/>
      <c r="BG3395" s="5"/>
      <c r="BH3395" s="5"/>
      <c r="BI3395" s="5"/>
      <c r="BJ3395" s="5"/>
      <c r="BK3395" s="5"/>
      <c r="BL3395" s="5"/>
      <c r="BM3395" s="5"/>
      <c r="BN3395" s="5"/>
      <c r="BO3395" s="5"/>
      <c r="BP3395" s="5"/>
      <c r="BQ3395" s="5"/>
      <c r="BR3395" s="5"/>
      <c r="BS3395" s="5"/>
      <c r="BT3395" s="5"/>
      <c r="BU3395" s="5"/>
      <c r="BV3395" s="5"/>
      <c r="BW3395" s="5"/>
      <c r="BX3395" s="5"/>
      <c r="BY3395" s="5"/>
      <c r="BZ3395" s="5"/>
      <c r="CA3395" s="5"/>
    </row>
    <row r="3396" spans="1:79" s="400" customFormat="1" ht="15" customHeight="1">
      <c r="A3396" s="41" t="s">
        <v>183</v>
      </c>
      <c r="B3396" s="402" t="s">
        <v>4881</v>
      </c>
      <c r="C3396" s="113" t="s">
        <v>4588</v>
      </c>
      <c r="D3396" s="393" t="s">
        <v>910</v>
      </c>
      <c r="E3396" s="394" t="s">
        <v>1546</v>
      </c>
      <c r="F3396" s="402"/>
      <c r="G3396" s="405" t="s">
        <v>4589</v>
      </c>
      <c r="H3396" s="404">
        <v>4952</v>
      </c>
      <c r="I3396" s="402" t="s">
        <v>2</v>
      </c>
      <c r="J3396" s="404" t="s">
        <v>4590</v>
      </c>
      <c r="K3396" s="403">
        <v>41030</v>
      </c>
      <c r="L3396" s="379">
        <v>41021</v>
      </c>
      <c r="M3396" s="402">
        <f t="shared" ref="M3396:M3446" si="203">K3396-L3396</f>
        <v>9</v>
      </c>
      <c r="N3396" s="402" t="s">
        <v>2</v>
      </c>
      <c r="O3396" s="404">
        <f>0.5/2</f>
        <v>0.25</v>
      </c>
      <c r="P3396" s="402">
        <v>6</v>
      </c>
      <c r="Q3396" s="404">
        <v>7.39</v>
      </c>
      <c r="R3396" s="402">
        <v>180</v>
      </c>
      <c r="S3396" s="404">
        <v>279</v>
      </c>
      <c r="T3396" s="402">
        <v>0.15</v>
      </c>
      <c r="U3396" s="395">
        <v>2.6</v>
      </c>
      <c r="V3396" s="402">
        <v>0.44400000000000001</v>
      </c>
      <c r="W3396" s="404">
        <v>0.01</v>
      </c>
      <c r="X3396" s="402">
        <v>2.9700000000000001E-2</v>
      </c>
      <c r="Y3396" s="404">
        <v>4.7600000000000003E-3</v>
      </c>
      <c r="Z3396" s="397">
        <v>1</v>
      </c>
      <c r="AA3396" s="399">
        <v>1</v>
      </c>
      <c r="AB3396" s="394">
        <v>122</v>
      </c>
      <c r="AC3396" s="402">
        <v>413</v>
      </c>
      <c r="AD3396" s="399">
        <v>1</v>
      </c>
      <c r="AE3396" s="402"/>
      <c r="AF3396" s="391"/>
      <c r="AG3396" s="394"/>
      <c r="AH3396" s="394"/>
      <c r="AI3396" s="394"/>
      <c r="AJ3396" s="394"/>
      <c r="AK3396" s="394"/>
      <c r="AL3396" s="394"/>
      <c r="AM3396" s="394"/>
      <c r="AN3396" s="394"/>
      <c r="AO3396" s="394"/>
      <c r="AP3396" s="394"/>
      <c r="AQ3396" s="394"/>
      <c r="AR3396" s="394"/>
      <c r="AS3396" s="402"/>
      <c r="AT3396" s="404"/>
      <c r="AU3396" s="394"/>
      <c r="AV3396" s="394"/>
      <c r="AW3396" s="394"/>
      <c r="AX3396" s="5"/>
      <c r="AY3396" s="5"/>
      <c r="AZ3396" s="5"/>
      <c r="BA3396" s="5"/>
      <c r="BB3396" s="5"/>
      <c r="BC3396" s="5"/>
      <c r="BD3396" s="5"/>
      <c r="BE3396" s="5"/>
      <c r="BF3396" s="5"/>
      <c r="BG3396" s="5"/>
      <c r="BH3396" s="5"/>
      <c r="BI3396" s="5"/>
      <c r="BJ3396" s="5"/>
      <c r="BK3396" s="5"/>
      <c r="BL3396" s="5"/>
      <c r="BM3396" s="5"/>
      <c r="BN3396" s="5"/>
      <c r="BO3396" s="5"/>
      <c r="BP3396" s="5"/>
      <c r="BQ3396" s="5"/>
      <c r="BR3396" s="5"/>
      <c r="BS3396" s="5"/>
      <c r="BT3396" s="5"/>
      <c r="BU3396" s="5"/>
      <c r="BV3396" s="5"/>
      <c r="BW3396" s="5"/>
      <c r="BX3396" s="5"/>
      <c r="BY3396" s="5"/>
      <c r="BZ3396" s="5"/>
      <c r="CA3396" s="5"/>
    </row>
    <row r="3397" spans="1:79" s="400" customFormat="1" ht="15" customHeight="1">
      <c r="A3397" s="41" t="s">
        <v>183</v>
      </c>
      <c r="B3397" s="402" t="s">
        <v>4881</v>
      </c>
      <c r="C3397" s="113" t="s">
        <v>4455</v>
      </c>
      <c r="D3397" s="393" t="s">
        <v>1881</v>
      </c>
      <c r="E3397" s="394" t="s">
        <v>1546</v>
      </c>
      <c r="F3397" s="402"/>
      <c r="G3397" s="405" t="s">
        <v>4456</v>
      </c>
      <c r="H3397" s="404">
        <v>4952</v>
      </c>
      <c r="I3397" s="402" t="s">
        <v>2</v>
      </c>
      <c r="J3397" s="406" t="s">
        <v>96</v>
      </c>
      <c r="K3397" s="403">
        <v>41495</v>
      </c>
      <c r="L3397" s="398">
        <v>41490</v>
      </c>
      <c r="M3397" s="402">
        <f t="shared" si="203"/>
        <v>5</v>
      </c>
      <c r="N3397" s="402" t="s">
        <v>2</v>
      </c>
      <c r="O3397" s="404">
        <f>0.5/2</f>
        <v>0.25</v>
      </c>
      <c r="P3397" s="402">
        <v>6.6</v>
      </c>
      <c r="Q3397" s="404">
        <v>6.64</v>
      </c>
      <c r="R3397" s="402">
        <f>10/2</f>
        <v>5</v>
      </c>
      <c r="S3397" s="404">
        <v>6.4</v>
      </c>
      <c r="T3397" s="402">
        <f>0.05/2</f>
        <v>2.5000000000000001E-2</v>
      </c>
      <c r="U3397" s="395">
        <v>0.68200000000000005</v>
      </c>
      <c r="V3397" s="402">
        <v>0.39100000000000001</v>
      </c>
      <c r="W3397" s="404">
        <v>5.1599999999999997E-3</v>
      </c>
      <c r="X3397" s="402">
        <v>2.4500000000000001E-2</v>
      </c>
      <c r="Y3397" s="404">
        <f>0.003/2</f>
        <v>1.5E-3</v>
      </c>
      <c r="Z3397" s="397">
        <v>1</v>
      </c>
      <c r="AA3397" s="399">
        <v>1</v>
      </c>
      <c r="AB3397" s="394">
        <v>3.69</v>
      </c>
      <c r="AC3397" s="402">
        <v>40.299999999999997</v>
      </c>
      <c r="AD3397" s="399">
        <v>1</v>
      </c>
      <c r="AE3397" s="402"/>
      <c r="AF3397" s="391"/>
      <c r="AG3397" s="394"/>
      <c r="AH3397" s="394"/>
      <c r="AI3397" s="394"/>
      <c r="AJ3397" s="394"/>
      <c r="AK3397" s="394"/>
      <c r="AL3397" s="394"/>
      <c r="AM3397" s="394"/>
      <c r="AN3397" s="394"/>
      <c r="AO3397" s="394"/>
      <c r="AP3397" s="394"/>
      <c r="AQ3397" s="394"/>
      <c r="AR3397" s="394"/>
      <c r="AS3397" s="402"/>
      <c r="AT3397" s="404"/>
      <c r="AU3397" s="394"/>
      <c r="AV3397" s="394"/>
      <c r="AW3397" s="394"/>
      <c r="AX3397" s="5"/>
      <c r="AY3397" s="5"/>
      <c r="AZ3397" s="5"/>
      <c r="BA3397" s="5"/>
      <c r="BB3397" s="5"/>
      <c r="BC3397" s="5"/>
      <c r="BD3397" s="5"/>
      <c r="BE3397" s="5"/>
      <c r="BF3397" s="5"/>
      <c r="BG3397" s="5"/>
      <c r="BH3397" s="5"/>
      <c r="BI3397" s="5"/>
      <c r="BJ3397" s="5"/>
      <c r="BK3397" s="5"/>
      <c r="BL3397" s="5"/>
      <c r="BM3397" s="5"/>
      <c r="BN3397" s="5"/>
      <c r="BO3397" s="5"/>
      <c r="BP3397" s="5"/>
      <c r="BQ3397" s="5"/>
      <c r="BR3397" s="5"/>
      <c r="BS3397" s="5"/>
      <c r="BT3397" s="5"/>
      <c r="BU3397" s="5"/>
      <c r="BV3397" s="5"/>
      <c r="BW3397" s="5"/>
      <c r="BX3397" s="5"/>
      <c r="BY3397" s="5"/>
      <c r="BZ3397" s="5"/>
      <c r="CA3397" s="5"/>
    </row>
    <row r="3398" spans="1:79" s="400" customFormat="1" ht="15" customHeight="1">
      <c r="A3398" s="41" t="s">
        <v>183</v>
      </c>
      <c r="B3398" s="402" t="s">
        <v>4881</v>
      </c>
      <c r="C3398" s="113" t="s">
        <v>4455</v>
      </c>
      <c r="D3398" s="393" t="s">
        <v>1881</v>
      </c>
      <c r="E3398" s="394" t="s">
        <v>1546</v>
      </c>
      <c r="F3398" s="402"/>
      <c r="G3398" s="405" t="s">
        <v>4456</v>
      </c>
      <c r="H3398" s="404">
        <v>4952</v>
      </c>
      <c r="I3398" s="402" t="s">
        <v>2</v>
      </c>
      <c r="J3398" s="406" t="s">
        <v>169</v>
      </c>
      <c r="K3398" s="403">
        <v>41495</v>
      </c>
      <c r="L3398" s="398">
        <v>41490</v>
      </c>
      <c r="M3398" s="402">
        <f t="shared" si="203"/>
        <v>5</v>
      </c>
      <c r="N3398" s="402" t="s">
        <v>2</v>
      </c>
      <c r="O3398" s="404">
        <v>0.61499999999999999</v>
      </c>
      <c r="P3398" s="402">
        <v>6.6</v>
      </c>
      <c r="Q3398" s="404">
        <v>6.91</v>
      </c>
      <c r="R3398" s="402">
        <v>13</v>
      </c>
      <c r="S3398" s="404">
        <v>6</v>
      </c>
      <c r="T3398" s="402">
        <f>0.05/2</f>
        <v>2.5000000000000001E-2</v>
      </c>
      <c r="U3398" s="395">
        <v>1.19</v>
      </c>
      <c r="V3398" s="402">
        <v>0.60899999999999999</v>
      </c>
      <c r="W3398" s="404">
        <v>2.1999999999999999E-2</v>
      </c>
      <c r="X3398" s="402">
        <v>2.98E-2</v>
      </c>
      <c r="Y3398" s="404">
        <v>1.1599999999999999E-2</v>
      </c>
      <c r="Z3398" s="397">
        <v>1</v>
      </c>
      <c r="AA3398" s="399">
        <v>1</v>
      </c>
      <c r="AB3398" s="394">
        <v>8.49</v>
      </c>
      <c r="AC3398" s="402">
        <v>65.5</v>
      </c>
      <c r="AD3398" s="399">
        <v>1</v>
      </c>
      <c r="AE3398" s="402"/>
      <c r="AF3398" s="391"/>
      <c r="AG3398" s="394"/>
      <c r="AH3398" s="394"/>
      <c r="AI3398" s="394"/>
      <c r="AJ3398" s="394"/>
      <c r="AK3398" s="394"/>
      <c r="AL3398" s="394"/>
      <c r="AM3398" s="394"/>
      <c r="AN3398" s="394"/>
      <c r="AO3398" s="394"/>
      <c r="AP3398" s="394"/>
      <c r="AQ3398" s="394"/>
      <c r="AR3398" s="394"/>
      <c r="AS3398" s="402"/>
      <c r="AT3398" s="404"/>
      <c r="AU3398" s="394"/>
      <c r="AV3398" s="394"/>
      <c r="AW3398" s="394"/>
      <c r="AX3398" s="5"/>
      <c r="AY3398" s="5"/>
      <c r="AZ3398" s="5"/>
      <c r="BA3398" s="5"/>
      <c r="BB3398" s="5"/>
      <c r="BC3398" s="5"/>
      <c r="BD3398" s="5"/>
      <c r="BE3398" s="5"/>
      <c r="BF3398" s="5"/>
      <c r="BG3398" s="5"/>
      <c r="BH3398" s="5"/>
      <c r="BI3398" s="5"/>
      <c r="BJ3398" s="5"/>
      <c r="BK3398" s="5"/>
      <c r="BL3398" s="5"/>
      <c r="BM3398" s="5"/>
      <c r="BN3398" s="5"/>
      <c r="BO3398" s="5"/>
      <c r="BP3398" s="5"/>
      <c r="BQ3398" s="5"/>
      <c r="BR3398" s="5"/>
      <c r="BS3398" s="5"/>
      <c r="BT3398" s="5"/>
      <c r="BU3398" s="5"/>
      <c r="BV3398" s="5"/>
      <c r="BW3398" s="5"/>
      <c r="BX3398" s="5"/>
      <c r="BY3398" s="5"/>
      <c r="BZ3398" s="5"/>
      <c r="CA3398" s="5"/>
    </row>
    <row r="3399" spans="1:79" s="400" customFormat="1" ht="15" customHeight="1">
      <c r="A3399" s="41" t="s">
        <v>183</v>
      </c>
      <c r="B3399" s="402" t="s">
        <v>4881</v>
      </c>
      <c r="C3399" s="113" t="s">
        <v>4417</v>
      </c>
      <c r="D3399" s="393" t="s">
        <v>133</v>
      </c>
      <c r="E3399" s="394" t="s">
        <v>467</v>
      </c>
      <c r="F3399" s="402"/>
      <c r="G3399" s="405" t="s">
        <v>4418</v>
      </c>
      <c r="H3399" s="404">
        <v>4952</v>
      </c>
      <c r="I3399" s="402" t="s">
        <v>2</v>
      </c>
      <c r="J3399" s="406" t="s">
        <v>255</v>
      </c>
      <c r="K3399" s="403">
        <v>41478</v>
      </c>
      <c r="L3399" s="398">
        <v>41469</v>
      </c>
      <c r="M3399" s="402">
        <f t="shared" si="203"/>
        <v>9</v>
      </c>
      <c r="N3399" s="402" t="s">
        <v>2</v>
      </c>
      <c r="O3399" s="404">
        <f>1.9/2</f>
        <v>0.95</v>
      </c>
      <c r="P3399" s="402">
        <v>4.5</v>
      </c>
      <c r="Q3399" s="404">
        <v>7</v>
      </c>
      <c r="R3399" s="402">
        <v>93</v>
      </c>
      <c r="S3399" s="404">
        <v>194</v>
      </c>
      <c r="T3399" s="402">
        <v>0.32</v>
      </c>
      <c r="U3399" s="395">
        <f>1/2</f>
        <v>0.5</v>
      </c>
      <c r="V3399" s="402">
        <f>0.46/2</f>
        <v>0.23</v>
      </c>
      <c r="W3399" s="404">
        <v>2.1999999999999999E-2</v>
      </c>
      <c r="X3399" s="402">
        <v>7.0000000000000007E-2</v>
      </c>
      <c r="Y3399" s="404">
        <v>1.6E-2</v>
      </c>
      <c r="Z3399" s="397">
        <v>1</v>
      </c>
      <c r="AA3399" s="399">
        <v>1</v>
      </c>
      <c r="AB3399" s="394">
        <v>10</v>
      </c>
      <c r="AC3399" s="402">
        <v>28</v>
      </c>
      <c r="AD3399" s="399">
        <v>1</v>
      </c>
      <c r="AE3399" s="402"/>
      <c r="AF3399" s="391"/>
      <c r="AG3399" s="394"/>
      <c r="AH3399" s="394"/>
      <c r="AI3399" s="394"/>
      <c r="AJ3399" s="394"/>
      <c r="AK3399" s="394"/>
      <c r="AL3399" s="394"/>
      <c r="AM3399" s="394"/>
      <c r="AN3399" s="394"/>
      <c r="AO3399" s="394"/>
      <c r="AP3399" s="394"/>
      <c r="AQ3399" s="394"/>
      <c r="AR3399" s="394"/>
      <c r="AS3399" s="402"/>
      <c r="AT3399" s="404"/>
      <c r="AU3399" s="394"/>
      <c r="AV3399" s="394"/>
      <c r="AW3399" s="394"/>
      <c r="AX3399" s="5"/>
      <c r="AY3399" s="5"/>
      <c r="AZ3399" s="5"/>
      <c r="BA3399" s="5"/>
      <c r="BB3399" s="5"/>
      <c r="BC3399" s="5"/>
      <c r="BD3399" s="5"/>
      <c r="BE3399" s="5"/>
      <c r="BF3399" s="5"/>
      <c r="BG3399" s="5"/>
      <c r="BH3399" s="5"/>
      <c r="BI3399" s="5"/>
      <c r="BJ3399" s="5"/>
      <c r="BK3399" s="5"/>
      <c r="BL3399" s="5"/>
      <c r="BM3399" s="5"/>
      <c r="BN3399" s="5"/>
      <c r="BO3399" s="5"/>
      <c r="BP3399" s="5"/>
      <c r="BQ3399" s="5"/>
      <c r="BR3399" s="5"/>
      <c r="BS3399" s="5"/>
      <c r="BT3399" s="5"/>
      <c r="BU3399" s="5"/>
      <c r="BV3399" s="5"/>
      <c r="BW3399" s="5"/>
      <c r="BX3399" s="5"/>
      <c r="BY3399" s="5"/>
      <c r="BZ3399" s="5"/>
      <c r="CA3399" s="5"/>
    </row>
    <row r="3400" spans="1:79" s="400" customFormat="1" ht="15" customHeight="1">
      <c r="A3400" s="41" t="s">
        <v>183</v>
      </c>
      <c r="B3400" s="402" t="s">
        <v>4881</v>
      </c>
      <c r="C3400" s="113" t="s">
        <v>4417</v>
      </c>
      <c r="D3400" s="393" t="s">
        <v>133</v>
      </c>
      <c r="E3400" s="394" t="s">
        <v>467</v>
      </c>
      <c r="F3400" s="402"/>
      <c r="G3400" s="405" t="s">
        <v>4418</v>
      </c>
      <c r="H3400" s="404">
        <v>4952</v>
      </c>
      <c r="I3400" s="402" t="s">
        <v>2</v>
      </c>
      <c r="J3400" s="406" t="s">
        <v>255</v>
      </c>
      <c r="K3400" s="403">
        <v>41324</v>
      </c>
      <c r="L3400" s="398">
        <v>41316</v>
      </c>
      <c r="M3400" s="402">
        <f t="shared" si="203"/>
        <v>8</v>
      </c>
      <c r="N3400" s="402" t="s">
        <v>1</v>
      </c>
      <c r="O3400" s="404">
        <v>3.5</v>
      </c>
      <c r="P3400" s="402">
        <v>6.6</v>
      </c>
      <c r="Q3400" s="404">
        <v>6.9</v>
      </c>
      <c r="R3400" s="402">
        <v>110</v>
      </c>
      <c r="S3400" s="404">
        <v>81</v>
      </c>
      <c r="T3400" s="402">
        <v>0.27800000000000002</v>
      </c>
      <c r="U3400" s="395">
        <v>2.4</v>
      </c>
      <c r="V3400" s="402">
        <f>0.46/2</f>
        <v>0.23</v>
      </c>
      <c r="W3400" s="404">
        <v>5.5E-2</v>
      </c>
      <c r="X3400" s="402">
        <v>0.28100000000000003</v>
      </c>
      <c r="Y3400" s="404">
        <v>3.1600000000000003E-2</v>
      </c>
      <c r="Z3400" s="397"/>
      <c r="AA3400" s="399"/>
      <c r="AB3400" s="394"/>
      <c r="AC3400" s="402"/>
      <c r="AD3400" s="399"/>
      <c r="AE3400" s="402"/>
      <c r="AF3400" s="391"/>
      <c r="AG3400" s="394"/>
      <c r="AH3400" s="394"/>
      <c r="AI3400" s="394"/>
      <c r="AJ3400" s="394"/>
      <c r="AK3400" s="394"/>
      <c r="AL3400" s="394"/>
      <c r="AM3400" s="394"/>
      <c r="AN3400" s="394"/>
      <c r="AO3400" s="394"/>
      <c r="AP3400" s="394"/>
      <c r="AQ3400" s="394"/>
      <c r="AR3400" s="394"/>
      <c r="AS3400" s="402"/>
      <c r="AT3400" s="404"/>
      <c r="AU3400" s="394"/>
      <c r="AV3400" s="394"/>
      <c r="AW3400" s="394"/>
      <c r="AX3400" s="5"/>
      <c r="AY3400" s="5"/>
      <c r="AZ3400" s="5"/>
      <c r="BA3400" s="5"/>
      <c r="BB3400" s="5"/>
      <c r="BC3400" s="5"/>
      <c r="BD3400" s="5"/>
      <c r="BE3400" s="5"/>
      <c r="BF3400" s="5"/>
      <c r="BG3400" s="5"/>
      <c r="BH3400" s="5"/>
      <c r="BI3400" s="5"/>
      <c r="BJ3400" s="5"/>
      <c r="BK3400" s="5"/>
      <c r="BL3400" s="5"/>
      <c r="BM3400" s="5"/>
      <c r="BN3400" s="5"/>
      <c r="BO3400" s="5"/>
      <c r="BP3400" s="5"/>
      <c r="BQ3400" s="5"/>
      <c r="BR3400" s="5"/>
      <c r="BS3400" s="5"/>
      <c r="BT3400" s="5"/>
      <c r="BU3400" s="5"/>
      <c r="BV3400" s="5"/>
      <c r="BW3400" s="5"/>
      <c r="BX3400" s="5"/>
      <c r="BY3400" s="5"/>
      <c r="BZ3400" s="5"/>
      <c r="CA3400" s="5"/>
    </row>
    <row r="3401" spans="1:79" s="400" customFormat="1" ht="15" customHeight="1">
      <c r="A3401" s="41" t="s">
        <v>183</v>
      </c>
      <c r="B3401" s="402" t="s">
        <v>4881</v>
      </c>
      <c r="C3401" s="113" t="s">
        <v>4417</v>
      </c>
      <c r="D3401" s="393" t="s">
        <v>133</v>
      </c>
      <c r="E3401" s="394" t="s">
        <v>467</v>
      </c>
      <c r="F3401" s="402"/>
      <c r="G3401" s="405" t="s">
        <v>4418</v>
      </c>
      <c r="H3401" s="404">
        <v>4952</v>
      </c>
      <c r="I3401" s="402" t="s">
        <v>2</v>
      </c>
      <c r="J3401" s="406" t="s">
        <v>255</v>
      </c>
      <c r="K3401" s="403">
        <v>40999</v>
      </c>
      <c r="L3401" s="398">
        <v>40996</v>
      </c>
      <c r="M3401" s="402">
        <f t="shared" si="203"/>
        <v>3</v>
      </c>
      <c r="N3401" s="402" t="s">
        <v>2</v>
      </c>
      <c r="O3401" s="404">
        <v>1.8</v>
      </c>
      <c r="P3401" s="402">
        <v>5.7</v>
      </c>
      <c r="Q3401" s="404">
        <v>6.7</v>
      </c>
      <c r="R3401" s="402">
        <v>84</v>
      </c>
      <c r="S3401" s="404">
        <v>40</v>
      </c>
      <c r="T3401" s="402">
        <v>0.309</v>
      </c>
      <c r="U3401" s="395">
        <v>1.6</v>
      </c>
      <c r="V3401" s="402">
        <v>0.52</v>
      </c>
      <c r="W3401" s="404">
        <v>1.6E-2</v>
      </c>
      <c r="X3401" s="402">
        <v>9.8000000000000004E-2</v>
      </c>
      <c r="Y3401" s="404">
        <v>7.9000000000000008E-3</v>
      </c>
      <c r="Z3401" s="397"/>
      <c r="AA3401" s="399"/>
      <c r="AB3401" s="394"/>
      <c r="AC3401" s="402"/>
      <c r="AD3401" s="399"/>
      <c r="AE3401" s="402"/>
      <c r="AF3401" s="391"/>
      <c r="AG3401" s="394"/>
      <c r="AH3401" s="394"/>
      <c r="AI3401" s="394"/>
      <c r="AJ3401" s="394"/>
      <c r="AK3401" s="394"/>
      <c r="AL3401" s="394"/>
      <c r="AM3401" s="394"/>
      <c r="AN3401" s="394"/>
      <c r="AO3401" s="394"/>
      <c r="AP3401" s="394"/>
      <c r="AQ3401" s="394"/>
      <c r="AR3401" s="394"/>
      <c r="AS3401" s="402"/>
      <c r="AT3401" s="404"/>
      <c r="AU3401" s="394"/>
      <c r="AV3401" s="394"/>
      <c r="AW3401" s="394"/>
      <c r="AX3401" s="5"/>
      <c r="AY3401" s="5"/>
      <c r="AZ3401" s="5"/>
      <c r="BA3401" s="5"/>
      <c r="BB3401" s="5"/>
      <c r="BC3401" s="5"/>
      <c r="BD3401" s="5"/>
      <c r="BE3401" s="5"/>
      <c r="BF3401" s="5"/>
      <c r="BG3401" s="5"/>
      <c r="BH3401" s="5"/>
      <c r="BI3401" s="5"/>
      <c r="BJ3401" s="5"/>
      <c r="BK3401" s="5"/>
      <c r="BL3401" s="5"/>
      <c r="BM3401" s="5"/>
      <c r="BN3401" s="5"/>
      <c r="BO3401" s="5"/>
      <c r="BP3401" s="5"/>
      <c r="BQ3401" s="5"/>
      <c r="BR3401" s="5"/>
      <c r="BS3401" s="5"/>
      <c r="BT3401" s="5"/>
      <c r="BU3401" s="5"/>
      <c r="BV3401" s="5"/>
      <c r="BW3401" s="5"/>
      <c r="BX3401" s="5"/>
      <c r="BY3401" s="5"/>
      <c r="BZ3401" s="5"/>
      <c r="CA3401" s="5"/>
    </row>
    <row r="3402" spans="1:79" s="400" customFormat="1" ht="15" customHeight="1">
      <c r="A3402" s="41" t="s">
        <v>183</v>
      </c>
      <c r="B3402" s="402" t="s">
        <v>4881</v>
      </c>
      <c r="C3402" s="113" t="s">
        <v>4455</v>
      </c>
      <c r="D3402" s="393" t="s">
        <v>1881</v>
      </c>
      <c r="E3402" s="394" t="s">
        <v>1546</v>
      </c>
      <c r="F3402" s="402"/>
      <c r="G3402" s="405" t="s">
        <v>4456</v>
      </c>
      <c r="H3402" s="404">
        <v>4952</v>
      </c>
      <c r="I3402" s="402" t="s">
        <v>2</v>
      </c>
      <c r="J3402" s="406" t="s">
        <v>96</v>
      </c>
      <c r="K3402" s="403">
        <v>41072</v>
      </c>
      <c r="L3402" s="398">
        <v>41066</v>
      </c>
      <c r="M3402" s="402">
        <f t="shared" si="203"/>
        <v>6</v>
      </c>
      <c r="N3402" s="402" t="s">
        <v>2</v>
      </c>
      <c r="O3402" s="404">
        <v>0.67</v>
      </c>
      <c r="P3402" s="402">
        <v>6.1</v>
      </c>
      <c r="Q3402" s="404">
        <v>6.6</v>
      </c>
      <c r="R3402" s="402">
        <v>100</v>
      </c>
      <c r="S3402" s="404">
        <v>3</v>
      </c>
      <c r="T3402" s="402">
        <v>0.3</v>
      </c>
      <c r="U3402" s="395">
        <v>2</v>
      </c>
      <c r="V3402" s="402">
        <v>0.52500000000000002</v>
      </c>
      <c r="W3402" s="404">
        <v>1.06E-2</v>
      </c>
      <c r="X3402" s="402">
        <v>4.82E-2</v>
      </c>
      <c r="Y3402" s="404">
        <v>0.03</v>
      </c>
      <c r="Z3402" s="397">
        <v>1</v>
      </c>
      <c r="AA3402" s="399">
        <v>1</v>
      </c>
      <c r="AB3402" s="394">
        <v>12</v>
      </c>
      <c r="AC3402" s="402">
        <v>54</v>
      </c>
      <c r="AD3402" s="399">
        <v>1</v>
      </c>
      <c r="AE3402" s="402"/>
      <c r="AF3402" s="391"/>
      <c r="AG3402" s="394"/>
      <c r="AH3402" s="394"/>
      <c r="AI3402" s="394"/>
      <c r="AJ3402" s="394"/>
      <c r="AK3402" s="394"/>
      <c r="AL3402" s="394"/>
      <c r="AM3402" s="394"/>
      <c r="AN3402" s="394"/>
      <c r="AO3402" s="394"/>
      <c r="AP3402" s="394"/>
      <c r="AQ3402" s="394"/>
      <c r="AR3402" s="394"/>
      <c r="AS3402" s="402"/>
      <c r="AT3402" s="404"/>
      <c r="AU3402" s="394"/>
      <c r="AV3402" s="394"/>
      <c r="AW3402" s="394"/>
      <c r="AX3402" s="5"/>
      <c r="AY3402" s="5"/>
      <c r="AZ3402" s="5"/>
      <c r="BA3402" s="5"/>
      <c r="BB3402" s="5"/>
      <c r="BC3402" s="5"/>
      <c r="BD3402" s="5"/>
      <c r="BE3402" s="5"/>
      <c r="BF3402" s="5"/>
      <c r="BG3402" s="5"/>
      <c r="BH3402" s="5"/>
      <c r="BI3402" s="5"/>
      <c r="BJ3402" s="5"/>
      <c r="BK3402" s="5"/>
      <c r="BL3402" s="5"/>
      <c r="BM3402" s="5"/>
      <c r="BN3402" s="5"/>
      <c r="BO3402" s="5"/>
      <c r="BP3402" s="5"/>
      <c r="BQ3402" s="5"/>
      <c r="BR3402" s="5"/>
      <c r="BS3402" s="5"/>
      <c r="BT3402" s="5"/>
      <c r="BU3402" s="5"/>
      <c r="BV3402" s="5"/>
      <c r="BW3402" s="5"/>
      <c r="BX3402" s="5"/>
      <c r="BY3402" s="5"/>
      <c r="BZ3402" s="5"/>
      <c r="CA3402" s="5"/>
    </row>
    <row r="3403" spans="1:79" s="400" customFormat="1" ht="15" customHeight="1">
      <c r="A3403" s="41" t="s">
        <v>183</v>
      </c>
      <c r="B3403" s="402" t="s">
        <v>4881</v>
      </c>
      <c r="C3403" s="113" t="s">
        <v>4455</v>
      </c>
      <c r="D3403" s="393" t="s">
        <v>1881</v>
      </c>
      <c r="E3403" s="394" t="s">
        <v>1546</v>
      </c>
      <c r="F3403" s="402"/>
      <c r="G3403" s="405" t="s">
        <v>4456</v>
      </c>
      <c r="H3403" s="404">
        <v>4952</v>
      </c>
      <c r="I3403" s="402" t="s">
        <v>2</v>
      </c>
      <c r="J3403" s="406" t="s">
        <v>169</v>
      </c>
      <c r="K3403" s="403">
        <v>41495</v>
      </c>
      <c r="L3403" s="398">
        <v>41490</v>
      </c>
      <c r="M3403" s="402">
        <f t="shared" si="203"/>
        <v>5</v>
      </c>
      <c r="N3403" s="402" t="s">
        <v>2</v>
      </c>
      <c r="O3403" s="404">
        <v>28</v>
      </c>
      <c r="P3403" s="402">
        <v>6.1</v>
      </c>
      <c r="Q3403" s="404">
        <v>6.6</v>
      </c>
      <c r="R3403" s="402">
        <v>140</v>
      </c>
      <c r="S3403" s="404">
        <v>11</v>
      </c>
      <c r="T3403" s="402">
        <v>0.19</v>
      </c>
      <c r="U3403" s="395">
        <v>2.4</v>
      </c>
      <c r="V3403" s="402">
        <v>0.67200000000000004</v>
      </c>
      <c r="W3403" s="404">
        <v>3.8300000000000001E-2</v>
      </c>
      <c r="X3403" s="402">
        <v>3.1800000000000002E-2</v>
      </c>
      <c r="Y3403" s="404">
        <v>1.47E-2</v>
      </c>
      <c r="Z3403" s="397">
        <v>1</v>
      </c>
      <c r="AA3403" s="399">
        <v>1</v>
      </c>
      <c r="AB3403" s="394">
        <v>16</v>
      </c>
      <c r="AC3403" s="402">
        <v>62</v>
      </c>
      <c r="AD3403" s="399">
        <v>1</v>
      </c>
      <c r="AE3403" s="402"/>
      <c r="AF3403" s="391"/>
      <c r="AG3403" s="394"/>
      <c r="AH3403" s="394"/>
      <c r="AI3403" s="394"/>
      <c r="AJ3403" s="394"/>
      <c r="AK3403" s="394"/>
      <c r="AL3403" s="394"/>
      <c r="AM3403" s="394"/>
      <c r="AN3403" s="394"/>
      <c r="AO3403" s="394"/>
      <c r="AP3403" s="394"/>
      <c r="AQ3403" s="394"/>
      <c r="AR3403" s="394"/>
      <c r="AS3403" s="402"/>
      <c r="AT3403" s="404"/>
      <c r="AU3403" s="394"/>
      <c r="AV3403" s="394"/>
      <c r="AW3403" s="394"/>
      <c r="AX3403" s="5"/>
      <c r="AY3403" s="5"/>
      <c r="AZ3403" s="5"/>
      <c r="BA3403" s="5"/>
      <c r="BB3403" s="5"/>
      <c r="BC3403" s="5"/>
      <c r="BD3403" s="5"/>
      <c r="BE3403" s="5"/>
      <c r="BF3403" s="5"/>
      <c r="BG3403" s="5"/>
      <c r="BH3403" s="5"/>
      <c r="BI3403" s="5"/>
      <c r="BJ3403" s="5"/>
      <c r="BK3403" s="5"/>
      <c r="BL3403" s="5"/>
      <c r="BM3403" s="5"/>
      <c r="BN3403" s="5"/>
      <c r="BO3403" s="5"/>
      <c r="BP3403" s="5"/>
      <c r="BQ3403" s="5"/>
      <c r="BR3403" s="5"/>
      <c r="BS3403" s="5"/>
      <c r="BT3403" s="5"/>
      <c r="BU3403" s="5"/>
      <c r="BV3403" s="5"/>
      <c r="BW3403" s="5"/>
      <c r="BX3403" s="5"/>
      <c r="BY3403" s="5"/>
      <c r="BZ3403" s="5"/>
      <c r="CA3403" s="5"/>
    </row>
    <row r="3404" spans="1:79" s="400" customFormat="1" ht="15" customHeight="1">
      <c r="A3404" s="41" t="s">
        <v>183</v>
      </c>
      <c r="B3404" s="402" t="s">
        <v>4881</v>
      </c>
      <c r="C3404" s="113" t="s">
        <v>4587</v>
      </c>
      <c r="D3404" s="393" t="s">
        <v>268</v>
      </c>
      <c r="E3404" s="394" t="s">
        <v>2148</v>
      </c>
      <c r="F3404" s="402"/>
      <c r="G3404" s="405" t="s">
        <v>3616</v>
      </c>
      <c r="H3404" s="404">
        <v>4941</v>
      </c>
      <c r="I3404" s="402" t="s">
        <v>2</v>
      </c>
      <c r="J3404" s="406" t="s">
        <v>2097</v>
      </c>
      <c r="K3404" s="403">
        <v>41149</v>
      </c>
      <c r="L3404" s="398">
        <v>41139</v>
      </c>
      <c r="M3404" s="402">
        <f t="shared" si="203"/>
        <v>10</v>
      </c>
      <c r="N3404" s="402" t="s">
        <v>2</v>
      </c>
      <c r="O3404" s="404">
        <f>1.7/2</f>
        <v>0.85</v>
      </c>
      <c r="P3404" s="402">
        <v>4.9000000000000004</v>
      </c>
      <c r="Q3404" s="404">
        <v>6.9</v>
      </c>
      <c r="R3404" s="402">
        <v>48</v>
      </c>
      <c r="S3404" s="404">
        <v>120</v>
      </c>
      <c r="T3404" s="402">
        <v>0.41099999999999998</v>
      </c>
      <c r="U3404" s="395">
        <v>1.5</v>
      </c>
      <c r="V3404" s="402">
        <v>0.81</v>
      </c>
      <c r="W3404" s="404">
        <v>6.0000000000000001E-3</v>
      </c>
      <c r="X3404" s="402">
        <v>1.6E-2</v>
      </c>
      <c r="Y3404" s="404">
        <f>0.005/2</f>
        <v>2.5000000000000001E-3</v>
      </c>
      <c r="Z3404" s="397">
        <v>1</v>
      </c>
      <c r="AA3404" s="399">
        <v>1</v>
      </c>
      <c r="AB3404" s="394">
        <v>12</v>
      </c>
      <c r="AC3404" s="402">
        <v>49</v>
      </c>
      <c r="AD3404" s="399">
        <v>1</v>
      </c>
      <c r="AE3404" s="402"/>
      <c r="AF3404" s="391"/>
      <c r="AG3404" s="394"/>
      <c r="AH3404" s="394"/>
      <c r="AI3404" s="394"/>
      <c r="AJ3404" s="394"/>
      <c r="AK3404" s="394"/>
      <c r="AL3404" s="394"/>
      <c r="AM3404" s="394"/>
      <c r="AN3404" s="394"/>
      <c r="AO3404" s="394"/>
      <c r="AP3404" s="394"/>
      <c r="AQ3404" s="394"/>
      <c r="AR3404" s="394"/>
      <c r="AS3404" s="402"/>
      <c r="AT3404" s="404"/>
      <c r="AU3404" s="394"/>
      <c r="AV3404" s="394"/>
      <c r="AW3404" s="394"/>
      <c r="AX3404" s="5"/>
      <c r="AY3404" s="5"/>
      <c r="AZ3404" s="5"/>
      <c r="BA3404" s="5"/>
      <c r="BB3404" s="5"/>
      <c r="BC3404" s="5"/>
      <c r="BD3404" s="5"/>
      <c r="BE3404" s="5"/>
      <c r="BF3404" s="5"/>
      <c r="BG3404" s="5"/>
      <c r="BH3404" s="5"/>
      <c r="BI3404" s="5"/>
      <c r="BJ3404" s="5"/>
      <c r="BK3404" s="5"/>
      <c r="BL3404" s="5"/>
      <c r="BM3404" s="5"/>
      <c r="BN3404" s="5"/>
      <c r="BO3404" s="5"/>
      <c r="BP3404" s="5"/>
      <c r="BQ3404" s="5"/>
      <c r="BR3404" s="5"/>
      <c r="BS3404" s="5"/>
      <c r="BT3404" s="5"/>
      <c r="BU3404" s="5"/>
      <c r="BV3404" s="5"/>
      <c r="BW3404" s="5"/>
      <c r="BX3404" s="5"/>
      <c r="BY3404" s="5"/>
      <c r="BZ3404" s="5"/>
      <c r="CA3404" s="5"/>
    </row>
    <row r="3405" spans="1:79" s="400" customFormat="1" ht="15" customHeight="1">
      <c r="A3405" s="41" t="s">
        <v>183</v>
      </c>
      <c r="B3405" s="402" t="s">
        <v>4881</v>
      </c>
      <c r="C3405" s="113" t="s">
        <v>4587</v>
      </c>
      <c r="D3405" s="393" t="s">
        <v>268</v>
      </c>
      <c r="E3405" s="394" t="s">
        <v>2148</v>
      </c>
      <c r="F3405" s="402"/>
      <c r="G3405" s="405" t="s">
        <v>3616</v>
      </c>
      <c r="H3405" s="404">
        <v>4941</v>
      </c>
      <c r="I3405" s="402" t="s">
        <v>2</v>
      </c>
      <c r="J3405" s="406" t="s">
        <v>690</v>
      </c>
      <c r="K3405" s="403">
        <v>41149</v>
      </c>
      <c r="L3405" s="398">
        <v>41139</v>
      </c>
      <c r="M3405" s="402">
        <f t="shared" si="203"/>
        <v>10</v>
      </c>
      <c r="N3405" s="402" t="s">
        <v>2</v>
      </c>
      <c r="O3405" s="404">
        <f>1.7/2</f>
        <v>0.85</v>
      </c>
      <c r="P3405" s="402">
        <v>4.9000000000000004</v>
      </c>
      <c r="Q3405" s="404">
        <v>7</v>
      </c>
      <c r="R3405" s="402">
        <f>20/2</f>
        <v>10</v>
      </c>
      <c r="S3405" s="404">
        <v>1.4</v>
      </c>
      <c r="T3405" s="402">
        <v>0.17499999999999999</v>
      </c>
      <c r="U3405" s="395">
        <f>1/2</f>
        <v>0.5</v>
      </c>
      <c r="V3405" s="402">
        <v>0.48</v>
      </c>
      <c r="W3405" s="404">
        <f>0.005/2</f>
        <v>2.5000000000000001E-3</v>
      </c>
      <c r="X3405" s="402">
        <v>1.4E-2</v>
      </c>
      <c r="Y3405" s="404">
        <f>0.005/2</f>
        <v>2.5000000000000001E-3</v>
      </c>
      <c r="Z3405" s="397">
        <v>1</v>
      </c>
      <c r="AA3405" s="399">
        <v>1</v>
      </c>
      <c r="AB3405" s="394">
        <v>14</v>
      </c>
      <c r="AC3405" s="402">
        <v>83</v>
      </c>
      <c r="AD3405" s="399">
        <v>1</v>
      </c>
      <c r="AE3405" s="402"/>
      <c r="AF3405" s="391"/>
      <c r="AG3405" s="394"/>
      <c r="AH3405" s="394"/>
      <c r="AI3405" s="394"/>
      <c r="AJ3405" s="394"/>
      <c r="AK3405" s="394"/>
      <c r="AL3405" s="394"/>
      <c r="AM3405" s="394"/>
      <c r="AN3405" s="394"/>
      <c r="AO3405" s="394"/>
      <c r="AP3405" s="394"/>
      <c r="AQ3405" s="394"/>
      <c r="AR3405" s="394"/>
      <c r="AS3405" s="402"/>
      <c r="AT3405" s="404"/>
      <c r="AU3405" s="394"/>
      <c r="AV3405" s="394"/>
      <c r="AW3405" s="394"/>
      <c r="AX3405" s="5"/>
      <c r="AY3405" s="5"/>
      <c r="AZ3405" s="5"/>
      <c r="BA3405" s="5"/>
      <c r="BB3405" s="5"/>
      <c r="BC3405" s="5"/>
      <c r="BD3405" s="5"/>
      <c r="BE3405" s="5"/>
      <c r="BF3405" s="5"/>
      <c r="BG3405" s="5"/>
      <c r="BH3405" s="5"/>
      <c r="BI3405" s="5"/>
      <c r="BJ3405" s="5"/>
      <c r="BK3405" s="5"/>
      <c r="BL3405" s="5"/>
      <c r="BM3405" s="5"/>
      <c r="BN3405" s="5"/>
      <c r="BO3405" s="5"/>
      <c r="BP3405" s="5"/>
      <c r="BQ3405" s="5"/>
      <c r="BR3405" s="5"/>
      <c r="BS3405" s="5"/>
      <c r="BT3405" s="5"/>
      <c r="BU3405" s="5"/>
      <c r="BV3405" s="5"/>
      <c r="BW3405" s="5"/>
      <c r="BX3405" s="5"/>
      <c r="BY3405" s="5"/>
      <c r="BZ3405" s="5"/>
      <c r="CA3405" s="5"/>
    </row>
    <row r="3406" spans="1:79" s="400" customFormat="1" ht="15" customHeight="1">
      <c r="A3406" s="41" t="s">
        <v>183</v>
      </c>
      <c r="B3406" s="402" t="s">
        <v>4881</v>
      </c>
      <c r="C3406" s="113" t="s">
        <v>4587</v>
      </c>
      <c r="D3406" s="393" t="s">
        <v>268</v>
      </c>
      <c r="E3406" s="394" t="s">
        <v>2148</v>
      </c>
      <c r="F3406" s="402"/>
      <c r="G3406" s="405" t="s">
        <v>3616</v>
      </c>
      <c r="H3406" s="404">
        <v>4941</v>
      </c>
      <c r="I3406" s="402" t="s">
        <v>2</v>
      </c>
      <c r="J3406" s="406" t="s">
        <v>690</v>
      </c>
      <c r="K3406" s="403">
        <v>41529</v>
      </c>
      <c r="L3406" s="398">
        <v>41512</v>
      </c>
      <c r="M3406" s="402">
        <f t="shared" si="203"/>
        <v>17</v>
      </c>
      <c r="N3406" s="402" t="s">
        <v>2</v>
      </c>
      <c r="O3406" s="404">
        <f>1.8/2</f>
        <v>0.9</v>
      </c>
      <c r="P3406" s="402">
        <v>4.8</v>
      </c>
      <c r="Q3406" s="404">
        <v>7</v>
      </c>
      <c r="R3406" s="402">
        <f>20/2</f>
        <v>10</v>
      </c>
      <c r="S3406" s="404">
        <v>5</v>
      </c>
      <c r="T3406" s="402">
        <v>0.107</v>
      </c>
      <c r="U3406" s="395">
        <v>1.6</v>
      </c>
      <c r="V3406" s="402">
        <v>0.76</v>
      </c>
      <c r="W3406" s="404">
        <f>0.005/2</f>
        <v>2.5000000000000001E-3</v>
      </c>
      <c r="X3406" s="402">
        <v>1.0999999999999999E-2</v>
      </c>
      <c r="Y3406" s="404">
        <f>0.005/2</f>
        <v>2.5000000000000001E-3</v>
      </c>
      <c r="Z3406" s="397">
        <v>1</v>
      </c>
      <c r="AA3406" s="399">
        <v>1</v>
      </c>
      <c r="AB3406" s="394">
        <v>18</v>
      </c>
      <c r="AC3406" s="402">
        <v>94</v>
      </c>
      <c r="AD3406" s="399">
        <v>1</v>
      </c>
      <c r="AE3406" s="402"/>
      <c r="AF3406" s="391"/>
      <c r="AG3406" s="394"/>
      <c r="AH3406" s="394"/>
      <c r="AI3406" s="394"/>
      <c r="AJ3406" s="394"/>
      <c r="AK3406" s="394"/>
      <c r="AL3406" s="394"/>
      <c r="AM3406" s="394"/>
      <c r="AN3406" s="394"/>
      <c r="AO3406" s="394"/>
      <c r="AP3406" s="394"/>
      <c r="AQ3406" s="394"/>
      <c r="AR3406" s="394"/>
      <c r="AS3406" s="402"/>
      <c r="AT3406" s="404"/>
      <c r="AU3406" s="394"/>
      <c r="AV3406" s="394"/>
      <c r="AW3406" s="394"/>
      <c r="AX3406" s="5"/>
      <c r="AY3406" s="5"/>
      <c r="AZ3406" s="5"/>
      <c r="BA3406" s="5"/>
      <c r="BB3406" s="5"/>
      <c r="BC3406" s="5"/>
      <c r="BD3406" s="5"/>
      <c r="BE3406" s="5"/>
      <c r="BF3406" s="5"/>
      <c r="BG3406" s="5"/>
      <c r="BH3406" s="5"/>
      <c r="BI3406" s="5"/>
      <c r="BJ3406" s="5"/>
      <c r="BK3406" s="5"/>
      <c r="BL3406" s="5"/>
      <c r="BM3406" s="5"/>
      <c r="BN3406" s="5"/>
      <c r="BO3406" s="5"/>
      <c r="BP3406" s="5"/>
      <c r="BQ3406" s="5"/>
      <c r="BR3406" s="5"/>
      <c r="BS3406" s="5"/>
      <c r="BT3406" s="5"/>
      <c r="BU3406" s="5"/>
      <c r="BV3406" s="5"/>
      <c r="BW3406" s="5"/>
      <c r="BX3406" s="5"/>
      <c r="BY3406" s="5"/>
      <c r="BZ3406" s="5"/>
      <c r="CA3406" s="5"/>
    </row>
    <row r="3407" spans="1:79" s="400" customFormat="1" ht="15" customHeight="1">
      <c r="A3407" s="41" t="s">
        <v>183</v>
      </c>
      <c r="B3407" s="402" t="s">
        <v>4881</v>
      </c>
      <c r="C3407" s="113" t="s">
        <v>4587</v>
      </c>
      <c r="D3407" s="393" t="s">
        <v>268</v>
      </c>
      <c r="E3407" s="394" t="s">
        <v>2148</v>
      </c>
      <c r="F3407" s="402"/>
      <c r="G3407" s="405" t="s">
        <v>3616</v>
      </c>
      <c r="H3407" s="404">
        <v>4941</v>
      </c>
      <c r="I3407" s="402" t="s">
        <v>2</v>
      </c>
      <c r="J3407" s="406" t="s">
        <v>2097</v>
      </c>
      <c r="K3407" s="403">
        <v>41529</v>
      </c>
      <c r="L3407" s="398">
        <v>41512</v>
      </c>
      <c r="M3407" s="402">
        <f t="shared" si="203"/>
        <v>17</v>
      </c>
      <c r="N3407" s="402" t="s">
        <v>2</v>
      </c>
      <c r="O3407" s="404">
        <f>1.8/2</f>
        <v>0.9</v>
      </c>
      <c r="P3407" s="402">
        <v>4.8</v>
      </c>
      <c r="Q3407" s="404">
        <v>6.7</v>
      </c>
      <c r="R3407" s="402">
        <f>20/2</f>
        <v>10</v>
      </c>
      <c r="S3407" s="404">
        <v>228</v>
      </c>
      <c r="T3407" s="402">
        <v>0.18099999999999999</v>
      </c>
      <c r="U3407" s="395">
        <v>1.4</v>
      </c>
      <c r="V3407" s="402">
        <v>0.55000000000000004</v>
      </c>
      <c r="W3407" s="404">
        <v>2.4E-2</v>
      </c>
      <c r="X3407" s="402">
        <v>6.7000000000000004E-2</v>
      </c>
      <c r="Y3407" s="404">
        <v>1.8700000000000001E-2</v>
      </c>
      <c r="Z3407" s="397">
        <v>1</v>
      </c>
      <c r="AA3407" s="399">
        <v>1</v>
      </c>
      <c r="AB3407" s="394">
        <v>18</v>
      </c>
      <c r="AC3407" s="402">
        <v>84</v>
      </c>
      <c r="AD3407" s="399">
        <v>1</v>
      </c>
      <c r="AE3407" s="402"/>
      <c r="AF3407" s="391"/>
      <c r="AG3407" s="394"/>
      <c r="AH3407" s="394"/>
      <c r="AI3407" s="394"/>
      <c r="AJ3407" s="394"/>
      <c r="AK3407" s="394"/>
      <c r="AL3407" s="394"/>
      <c r="AM3407" s="394"/>
      <c r="AN3407" s="394"/>
      <c r="AO3407" s="394"/>
      <c r="AP3407" s="394"/>
      <c r="AQ3407" s="394"/>
      <c r="AR3407" s="394"/>
      <c r="AS3407" s="402"/>
      <c r="AT3407" s="404"/>
      <c r="AU3407" s="394"/>
      <c r="AV3407" s="394"/>
      <c r="AW3407" s="394"/>
      <c r="AX3407" s="5"/>
      <c r="AY3407" s="5"/>
      <c r="AZ3407" s="5"/>
      <c r="BA3407" s="5"/>
      <c r="BB3407" s="5"/>
      <c r="BC3407" s="5"/>
      <c r="BD3407" s="5"/>
      <c r="BE3407" s="5"/>
      <c r="BF3407" s="5"/>
      <c r="BG3407" s="5"/>
      <c r="BH3407" s="5"/>
      <c r="BI3407" s="5"/>
      <c r="BJ3407" s="5"/>
      <c r="BK3407" s="5"/>
      <c r="BL3407" s="5"/>
      <c r="BM3407" s="5"/>
      <c r="BN3407" s="5"/>
      <c r="BO3407" s="5"/>
      <c r="BP3407" s="5"/>
      <c r="BQ3407" s="5"/>
      <c r="BR3407" s="5"/>
      <c r="BS3407" s="5"/>
      <c r="BT3407" s="5"/>
      <c r="BU3407" s="5"/>
      <c r="BV3407" s="5"/>
      <c r="BW3407" s="5"/>
      <c r="BX3407" s="5"/>
      <c r="BY3407" s="5"/>
      <c r="BZ3407" s="5"/>
      <c r="CA3407" s="5"/>
    </row>
    <row r="3408" spans="1:79" s="400" customFormat="1" ht="15" customHeight="1">
      <c r="A3408" s="41" t="s">
        <v>183</v>
      </c>
      <c r="B3408" s="402" t="s">
        <v>5837</v>
      </c>
      <c r="C3408" s="113" t="s">
        <v>5837</v>
      </c>
      <c r="D3408" s="393" t="s">
        <v>1537</v>
      </c>
      <c r="E3408" s="394" t="s">
        <v>5838</v>
      </c>
      <c r="F3408" s="402">
        <v>7000</v>
      </c>
      <c r="G3408" s="405" t="s">
        <v>5839</v>
      </c>
      <c r="H3408" s="404"/>
      <c r="I3408" s="402"/>
      <c r="J3408" s="406" t="s">
        <v>5840</v>
      </c>
      <c r="K3408" s="403">
        <v>41529</v>
      </c>
      <c r="L3408" s="398"/>
      <c r="M3408" s="402"/>
      <c r="N3408" s="402" t="s">
        <v>2</v>
      </c>
      <c r="O3408" s="404">
        <f>1/2</f>
        <v>0.5</v>
      </c>
      <c r="P3408" s="402">
        <v>6.64</v>
      </c>
      <c r="Q3408" s="404">
        <v>6.57</v>
      </c>
      <c r="R3408" s="402">
        <v>26</v>
      </c>
      <c r="S3408" s="404">
        <v>57</v>
      </c>
      <c r="T3408" s="402">
        <v>0.25</v>
      </c>
      <c r="U3408" s="395">
        <v>6.02</v>
      </c>
      <c r="V3408" s="402">
        <v>0.28999999999999998</v>
      </c>
      <c r="W3408" s="404">
        <v>0.1</v>
      </c>
      <c r="X3408" s="402">
        <v>0.28000000000000003</v>
      </c>
      <c r="Y3408" s="404">
        <f>0.05/2</f>
        <v>2.5000000000000001E-2</v>
      </c>
      <c r="Z3408" s="397">
        <v>1</v>
      </c>
      <c r="AA3408" s="399">
        <v>1</v>
      </c>
      <c r="AB3408" s="394">
        <v>95</v>
      </c>
      <c r="AC3408" s="402">
        <v>44</v>
      </c>
      <c r="AD3408" s="399">
        <v>0.7</v>
      </c>
      <c r="AE3408" s="402"/>
      <c r="AF3408" s="391"/>
      <c r="AG3408" s="394"/>
      <c r="AH3408" s="394"/>
      <c r="AI3408" s="394"/>
      <c r="AJ3408" s="394"/>
      <c r="AK3408" s="394"/>
      <c r="AL3408" s="394"/>
      <c r="AM3408" s="394"/>
      <c r="AN3408" s="394"/>
      <c r="AO3408" s="394"/>
      <c r="AP3408" s="394"/>
      <c r="AQ3408" s="394"/>
      <c r="AR3408" s="394"/>
      <c r="AS3408" s="402"/>
      <c r="AT3408" s="404"/>
      <c r="AU3408" s="394"/>
      <c r="AV3408" s="394"/>
      <c r="AW3408" s="394"/>
      <c r="AX3408" s="5"/>
      <c r="AY3408" s="5"/>
      <c r="AZ3408" s="5"/>
      <c r="BA3408" s="5"/>
      <c r="BB3408" s="5"/>
      <c r="BC3408" s="5"/>
      <c r="BD3408" s="5"/>
      <c r="BE3408" s="5"/>
      <c r="BF3408" s="5"/>
      <c r="BG3408" s="5"/>
      <c r="BH3408" s="5"/>
      <c r="BI3408" s="5"/>
      <c r="BJ3408" s="5"/>
      <c r="BK3408" s="5"/>
      <c r="BL3408" s="5"/>
      <c r="BM3408" s="5"/>
      <c r="BN3408" s="5"/>
      <c r="BO3408" s="5"/>
      <c r="BP3408" s="5"/>
      <c r="BQ3408" s="5"/>
      <c r="BR3408" s="5"/>
      <c r="BS3408" s="5"/>
      <c r="BT3408" s="5"/>
      <c r="BU3408" s="5"/>
      <c r="BV3408" s="5"/>
      <c r="BW3408" s="5"/>
      <c r="BX3408" s="5"/>
      <c r="BY3408" s="5"/>
      <c r="BZ3408" s="5"/>
      <c r="CA3408" s="5"/>
    </row>
    <row r="3409" spans="1:79" s="400" customFormat="1" ht="15" customHeight="1">
      <c r="A3409" s="41" t="s">
        <v>183</v>
      </c>
      <c r="B3409" s="402" t="s">
        <v>307</v>
      </c>
      <c r="C3409" s="113" t="s">
        <v>918</v>
      </c>
      <c r="D3409" s="393" t="s">
        <v>89</v>
      </c>
      <c r="E3409" s="394" t="s">
        <v>116</v>
      </c>
      <c r="F3409" s="402"/>
      <c r="G3409" s="405" t="s">
        <v>919</v>
      </c>
      <c r="H3409" s="404">
        <v>3629</v>
      </c>
      <c r="I3409" s="72" t="s">
        <v>2</v>
      </c>
      <c r="J3409" s="406" t="s">
        <v>920</v>
      </c>
      <c r="K3409" s="403">
        <v>41487</v>
      </c>
      <c r="L3409" s="398">
        <v>41478</v>
      </c>
      <c r="M3409" s="402">
        <f>K3409-L3409</f>
        <v>9</v>
      </c>
      <c r="N3409" s="402" t="s">
        <v>2</v>
      </c>
      <c r="O3409" s="404">
        <f>1.4/2</f>
        <v>0.7</v>
      </c>
      <c r="P3409" s="402">
        <v>6.5</v>
      </c>
      <c r="Q3409" s="404">
        <v>6.91</v>
      </c>
      <c r="R3409" s="402">
        <v>54</v>
      </c>
      <c r="S3409" s="404">
        <v>9</v>
      </c>
      <c r="T3409" s="402">
        <v>7.0000000000000007E-2</v>
      </c>
      <c r="U3409" s="395">
        <v>0.79</v>
      </c>
      <c r="V3409" s="402">
        <v>0.61</v>
      </c>
      <c r="W3409" s="404">
        <v>1.2999999999999999E-2</v>
      </c>
      <c r="X3409" s="402">
        <v>5.2999999999999999E-2</v>
      </c>
      <c r="Y3409" s="404">
        <v>2E-3</v>
      </c>
      <c r="Z3409" s="397"/>
      <c r="AA3409" s="399"/>
      <c r="AB3409" s="394"/>
      <c r="AC3409" s="402"/>
      <c r="AD3409" s="399"/>
      <c r="AE3409" s="402"/>
      <c r="AF3409" s="391"/>
      <c r="AG3409" s="394"/>
      <c r="AH3409" s="394"/>
      <c r="AI3409" s="394"/>
      <c r="AJ3409" s="394"/>
      <c r="AK3409" s="394"/>
      <c r="AL3409" s="394"/>
      <c r="AM3409" s="394"/>
      <c r="AN3409" s="394"/>
      <c r="AO3409" s="394"/>
      <c r="AP3409" s="394"/>
      <c r="AQ3409" s="394"/>
      <c r="AR3409" s="394"/>
      <c r="AS3409" s="402"/>
      <c r="AT3409" s="404"/>
      <c r="AU3409" s="394"/>
      <c r="AV3409" s="394"/>
      <c r="AW3409" s="394"/>
      <c r="AX3409" s="5"/>
      <c r="AY3409" s="5"/>
      <c r="AZ3409" s="5"/>
      <c r="BA3409" s="5"/>
      <c r="BB3409" s="5"/>
      <c r="BC3409" s="5"/>
      <c r="BD3409" s="5"/>
      <c r="BE3409" s="5"/>
      <c r="BF3409" s="5"/>
      <c r="BG3409" s="5"/>
      <c r="BH3409" s="5"/>
      <c r="BI3409" s="5"/>
      <c r="BJ3409" s="5"/>
      <c r="BK3409" s="5"/>
      <c r="BL3409" s="5"/>
      <c r="BM3409" s="5"/>
      <c r="BN3409" s="5"/>
      <c r="BO3409" s="5"/>
      <c r="BP3409" s="5"/>
      <c r="BQ3409" s="5"/>
      <c r="BR3409" s="5"/>
      <c r="BS3409" s="5"/>
      <c r="BT3409" s="5"/>
      <c r="BU3409" s="5"/>
      <c r="BV3409" s="5"/>
      <c r="BW3409" s="5"/>
      <c r="BX3409" s="5"/>
      <c r="BY3409" s="5"/>
      <c r="BZ3409" s="5"/>
      <c r="CA3409" s="5"/>
    </row>
    <row r="3410" spans="1:79" s="400" customFormat="1" ht="15" customHeight="1">
      <c r="A3410" s="41" t="s">
        <v>183</v>
      </c>
      <c r="B3410" s="402" t="s">
        <v>2280</v>
      </c>
      <c r="C3410" s="113" t="s">
        <v>3030</v>
      </c>
      <c r="D3410" s="393" t="s">
        <v>195</v>
      </c>
      <c r="E3410" s="394" t="s">
        <v>1831</v>
      </c>
      <c r="F3410" s="86">
        <v>5302</v>
      </c>
      <c r="G3410" s="405" t="s">
        <v>2282</v>
      </c>
      <c r="H3410" s="404">
        <v>9199</v>
      </c>
      <c r="I3410" s="402" t="s">
        <v>2</v>
      </c>
      <c r="J3410" s="406" t="s">
        <v>81</v>
      </c>
      <c r="K3410" s="403">
        <v>41487</v>
      </c>
      <c r="L3410" s="398">
        <v>41481</v>
      </c>
      <c r="M3410" s="402">
        <f t="shared" ref="M3410:M3418" si="204">K3410-L3410</f>
        <v>6</v>
      </c>
      <c r="N3410" s="402" t="s">
        <v>2</v>
      </c>
      <c r="O3410" s="404">
        <v>2.4</v>
      </c>
      <c r="P3410" s="402">
        <v>6</v>
      </c>
      <c r="Q3410" s="404">
        <v>7.5</v>
      </c>
      <c r="R3410" s="402">
        <v>75</v>
      </c>
      <c r="S3410" s="404">
        <v>40</v>
      </c>
      <c r="T3410" s="402">
        <v>0.13</v>
      </c>
      <c r="U3410" s="395">
        <v>1.18</v>
      </c>
      <c r="V3410" s="402">
        <v>1.27</v>
      </c>
      <c r="W3410" s="404">
        <v>1.0999999999999999E-2</v>
      </c>
      <c r="X3410" s="402">
        <f>0.03/2</f>
        <v>1.4999999999999999E-2</v>
      </c>
      <c r="Y3410" s="404">
        <f>0.03/2</f>
        <v>1.4999999999999999E-2</v>
      </c>
      <c r="Z3410" s="397"/>
      <c r="AA3410" s="399"/>
      <c r="AB3410" s="394"/>
      <c r="AC3410" s="402"/>
      <c r="AD3410" s="399"/>
      <c r="AE3410" s="402"/>
      <c r="AF3410" s="391"/>
      <c r="AG3410" s="394"/>
      <c r="AH3410" s="394"/>
      <c r="AI3410" s="394"/>
      <c r="AJ3410" s="394"/>
      <c r="AK3410" s="394"/>
      <c r="AL3410" s="394"/>
      <c r="AM3410" s="394"/>
      <c r="AN3410" s="394"/>
      <c r="AO3410" s="394"/>
      <c r="AP3410" s="394"/>
      <c r="AQ3410" s="394"/>
      <c r="AR3410" s="394"/>
      <c r="AS3410" s="402"/>
      <c r="AT3410" s="404"/>
      <c r="AU3410" s="394"/>
      <c r="AV3410" s="394"/>
      <c r="AW3410" s="394"/>
      <c r="AX3410" s="5"/>
      <c r="AY3410" s="5"/>
      <c r="AZ3410" s="5"/>
      <c r="BA3410" s="5"/>
      <c r="BB3410" s="5"/>
      <c r="BC3410" s="5"/>
      <c r="BD3410" s="5"/>
      <c r="BE3410" s="5"/>
      <c r="BF3410" s="5"/>
      <c r="BG3410" s="5"/>
      <c r="BH3410" s="5"/>
      <c r="BI3410" s="5"/>
      <c r="BJ3410" s="5"/>
      <c r="BK3410" s="5"/>
      <c r="BL3410" s="5"/>
      <c r="BM3410" s="5"/>
      <c r="BN3410" s="5"/>
      <c r="BO3410" s="5"/>
      <c r="BP3410" s="5"/>
      <c r="BQ3410" s="5"/>
      <c r="BR3410" s="5"/>
      <c r="BS3410" s="5"/>
      <c r="BT3410" s="5"/>
      <c r="BU3410" s="5"/>
      <c r="BV3410" s="5"/>
      <c r="BW3410" s="5"/>
      <c r="BX3410" s="5"/>
      <c r="BY3410" s="5"/>
      <c r="BZ3410" s="5"/>
      <c r="CA3410" s="5"/>
    </row>
    <row r="3411" spans="1:79" s="400" customFormat="1" ht="15" customHeight="1">
      <c r="A3411" s="41" t="s">
        <v>183</v>
      </c>
      <c r="B3411" s="402" t="s">
        <v>2280</v>
      </c>
      <c r="C3411" s="113" t="s">
        <v>3030</v>
      </c>
      <c r="D3411" s="393" t="s">
        <v>195</v>
      </c>
      <c r="E3411" s="394" t="s">
        <v>1831</v>
      </c>
      <c r="F3411" s="86">
        <v>5302</v>
      </c>
      <c r="G3411" s="405" t="s">
        <v>2282</v>
      </c>
      <c r="H3411" s="404">
        <v>9199</v>
      </c>
      <c r="I3411" s="402" t="s">
        <v>2</v>
      </c>
      <c r="J3411" s="406" t="s">
        <v>115</v>
      </c>
      <c r="K3411" s="403">
        <v>41487</v>
      </c>
      <c r="L3411" s="398">
        <v>41481</v>
      </c>
      <c r="M3411" s="402">
        <f t="shared" si="204"/>
        <v>6</v>
      </c>
      <c r="N3411" s="402" t="s">
        <v>2</v>
      </c>
      <c r="O3411" s="404">
        <f>2/2</f>
        <v>1</v>
      </c>
      <c r="P3411" s="402">
        <v>6</v>
      </c>
      <c r="Q3411" s="404">
        <v>6.6</v>
      </c>
      <c r="R3411" s="402">
        <v>130</v>
      </c>
      <c r="S3411" s="404">
        <v>48</v>
      </c>
      <c r="T3411" s="402">
        <v>0.24</v>
      </c>
      <c r="U3411" s="395">
        <v>2.5</v>
      </c>
      <c r="V3411" s="402">
        <v>1.39</v>
      </c>
      <c r="W3411" s="404">
        <v>0.433</v>
      </c>
      <c r="X3411" s="402">
        <v>8.3000000000000004E-2</v>
      </c>
      <c r="Y3411" s="404">
        <f>0.03/2</f>
        <v>1.4999999999999999E-2</v>
      </c>
      <c r="Z3411" s="397"/>
      <c r="AA3411" s="399"/>
      <c r="AB3411" s="394"/>
      <c r="AC3411" s="402"/>
      <c r="AD3411" s="399"/>
      <c r="AE3411" s="402"/>
      <c r="AF3411" s="391"/>
      <c r="AG3411" s="394"/>
      <c r="AH3411" s="394"/>
      <c r="AI3411" s="394"/>
      <c r="AJ3411" s="394"/>
      <c r="AK3411" s="394"/>
      <c r="AL3411" s="394"/>
      <c r="AM3411" s="394"/>
      <c r="AN3411" s="394"/>
      <c r="AO3411" s="394"/>
      <c r="AP3411" s="394"/>
      <c r="AQ3411" s="394"/>
      <c r="AR3411" s="394"/>
      <c r="AS3411" s="402"/>
      <c r="AT3411" s="404"/>
      <c r="AU3411" s="394"/>
      <c r="AV3411" s="394"/>
      <c r="AW3411" s="394"/>
      <c r="AX3411" s="5"/>
      <c r="AY3411" s="5"/>
      <c r="AZ3411" s="5"/>
      <c r="BA3411" s="5"/>
      <c r="BB3411" s="5"/>
      <c r="BC3411" s="5"/>
      <c r="BD3411" s="5"/>
      <c r="BE3411" s="5"/>
      <c r="BF3411" s="5"/>
      <c r="BG3411" s="5"/>
      <c r="BH3411" s="5"/>
      <c r="BI3411" s="5"/>
      <c r="BJ3411" s="5"/>
      <c r="BK3411" s="5"/>
      <c r="BL3411" s="5"/>
      <c r="BM3411" s="5"/>
      <c r="BN3411" s="5"/>
      <c r="BO3411" s="5"/>
      <c r="BP3411" s="5"/>
      <c r="BQ3411" s="5"/>
      <c r="BR3411" s="5"/>
      <c r="BS3411" s="5"/>
      <c r="BT3411" s="5"/>
      <c r="BU3411" s="5"/>
      <c r="BV3411" s="5"/>
      <c r="BW3411" s="5"/>
      <c r="BX3411" s="5"/>
      <c r="BY3411" s="5"/>
      <c r="BZ3411" s="5"/>
      <c r="CA3411" s="5"/>
    </row>
    <row r="3412" spans="1:79" s="400" customFormat="1" ht="15" customHeight="1">
      <c r="A3412" s="41" t="s">
        <v>183</v>
      </c>
      <c r="B3412" s="402" t="s">
        <v>102</v>
      </c>
      <c r="C3412" s="113" t="s">
        <v>102</v>
      </c>
      <c r="D3412" s="393" t="s">
        <v>103</v>
      </c>
      <c r="E3412" s="394" t="s">
        <v>104</v>
      </c>
      <c r="F3412" s="402"/>
      <c r="G3412" s="405" t="s">
        <v>105</v>
      </c>
      <c r="H3412" s="404">
        <v>4952</v>
      </c>
      <c r="I3412" s="402" t="s">
        <v>2</v>
      </c>
      <c r="J3412" s="401" t="s">
        <v>5841</v>
      </c>
      <c r="K3412" s="403">
        <v>41345</v>
      </c>
      <c r="L3412" s="398">
        <v>41341</v>
      </c>
      <c r="M3412" s="402">
        <f t="shared" si="204"/>
        <v>4</v>
      </c>
      <c r="N3412" s="386" t="s">
        <v>2</v>
      </c>
      <c r="O3412" s="404">
        <f>2/2</f>
        <v>1</v>
      </c>
      <c r="P3412" s="402">
        <v>5.15</v>
      </c>
      <c r="Q3412" s="404">
        <v>7.13</v>
      </c>
      <c r="R3412" s="402">
        <v>19</v>
      </c>
      <c r="S3412" s="404">
        <v>10.4</v>
      </c>
      <c r="T3412" s="402">
        <v>7.0000000000000007E-2</v>
      </c>
      <c r="U3412" s="395">
        <v>0.7</v>
      </c>
      <c r="V3412" s="402">
        <v>0.123</v>
      </c>
      <c r="W3412" s="404">
        <v>1.7999999999999999E-2</v>
      </c>
      <c r="X3412" s="402">
        <v>5.0999999999999997E-2</v>
      </c>
      <c r="Y3412" s="404">
        <f>0.03/2</f>
        <v>1.4999999999999999E-2</v>
      </c>
      <c r="Z3412" s="397">
        <v>1</v>
      </c>
      <c r="AA3412" s="399">
        <v>1</v>
      </c>
      <c r="AB3412" s="394">
        <v>58</v>
      </c>
      <c r="AC3412" s="402">
        <v>891</v>
      </c>
      <c r="AD3412" s="399">
        <v>1</v>
      </c>
      <c r="AE3412" s="402"/>
      <c r="AF3412" s="391"/>
      <c r="AG3412" s="394"/>
      <c r="AH3412" s="394"/>
      <c r="AI3412" s="394"/>
      <c r="AJ3412" s="394"/>
      <c r="AK3412" s="394"/>
      <c r="AL3412" s="394"/>
      <c r="AM3412" s="394"/>
      <c r="AN3412" s="394"/>
      <c r="AO3412" s="394"/>
      <c r="AP3412" s="394"/>
      <c r="AQ3412" s="394"/>
      <c r="AR3412" s="394"/>
      <c r="AS3412" s="402"/>
      <c r="AT3412" s="404"/>
      <c r="AU3412" s="394"/>
      <c r="AV3412" s="394"/>
      <c r="AW3412" s="394"/>
      <c r="AX3412" s="5"/>
      <c r="AY3412" s="5"/>
      <c r="AZ3412" s="5"/>
      <c r="BA3412" s="5"/>
      <c r="BB3412" s="5"/>
      <c r="BC3412" s="5"/>
      <c r="BD3412" s="5"/>
      <c r="BE3412" s="5"/>
      <c r="BF3412" s="5"/>
      <c r="BG3412" s="5"/>
      <c r="BH3412" s="5"/>
      <c r="BI3412" s="5"/>
      <c r="BJ3412" s="5"/>
      <c r="BK3412" s="5"/>
      <c r="BL3412" s="5"/>
      <c r="BM3412" s="5"/>
      <c r="BN3412" s="5"/>
      <c r="BO3412" s="5"/>
      <c r="BP3412" s="5"/>
      <c r="BQ3412" s="5"/>
      <c r="BR3412" s="5"/>
      <c r="BS3412" s="5"/>
      <c r="BT3412" s="5"/>
      <c r="BU3412" s="5"/>
      <c r="BV3412" s="5"/>
      <c r="BW3412" s="5"/>
      <c r="BX3412" s="5"/>
      <c r="BY3412" s="5"/>
      <c r="BZ3412" s="5"/>
      <c r="CA3412" s="5"/>
    </row>
    <row r="3413" spans="1:79" s="400" customFormat="1" ht="15" customHeight="1">
      <c r="A3413" s="41" t="s">
        <v>183</v>
      </c>
      <c r="B3413" s="402" t="s">
        <v>102</v>
      </c>
      <c r="C3413" s="113" t="s">
        <v>102</v>
      </c>
      <c r="D3413" s="393" t="s">
        <v>103</v>
      </c>
      <c r="E3413" s="394" t="s">
        <v>104</v>
      </c>
      <c r="F3413" s="402"/>
      <c r="G3413" s="405" t="s">
        <v>105</v>
      </c>
      <c r="H3413" s="404">
        <v>4952</v>
      </c>
      <c r="I3413" s="402" t="s">
        <v>2</v>
      </c>
      <c r="J3413" s="401" t="s">
        <v>2011</v>
      </c>
      <c r="K3413" s="403">
        <v>41345</v>
      </c>
      <c r="L3413" s="398">
        <v>41341</v>
      </c>
      <c r="M3413" s="402">
        <f t="shared" si="204"/>
        <v>4</v>
      </c>
      <c r="N3413" s="386" t="s">
        <v>2</v>
      </c>
      <c r="O3413" s="404">
        <f>2/2</f>
        <v>1</v>
      </c>
      <c r="P3413" s="402">
        <v>5.15</v>
      </c>
      <c r="Q3413" s="404">
        <v>7.76</v>
      </c>
      <c r="R3413" s="402">
        <f>10/2</f>
        <v>5</v>
      </c>
      <c r="S3413" s="404">
        <v>136</v>
      </c>
      <c r="T3413" s="402">
        <v>0.42</v>
      </c>
      <c r="U3413" s="395">
        <v>0.78</v>
      </c>
      <c r="V3413" s="402">
        <v>0.13</v>
      </c>
      <c r="W3413" s="404">
        <v>0.04</v>
      </c>
      <c r="X3413" s="402">
        <v>9.4E-2</v>
      </c>
      <c r="Y3413" s="404">
        <f>0.03/2</f>
        <v>1.4999999999999999E-2</v>
      </c>
      <c r="Z3413" s="397">
        <v>1</v>
      </c>
      <c r="AA3413" s="399">
        <v>1</v>
      </c>
      <c r="AB3413" s="394">
        <v>46</v>
      </c>
      <c r="AC3413" s="402">
        <v>1408</v>
      </c>
      <c r="AD3413" s="399">
        <v>1</v>
      </c>
      <c r="AE3413" s="402"/>
      <c r="AF3413" s="391"/>
      <c r="AG3413" s="394"/>
      <c r="AH3413" s="394"/>
      <c r="AI3413" s="394"/>
      <c r="AJ3413" s="394"/>
      <c r="AK3413" s="394"/>
      <c r="AL3413" s="394"/>
      <c r="AM3413" s="394"/>
      <c r="AN3413" s="394"/>
      <c r="AO3413" s="394"/>
      <c r="AP3413" s="394"/>
      <c r="AQ3413" s="394"/>
      <c r="AR3413" s="394"/>
      <c r="AS3413" s="402"/>
      <c r="AT3413" s="404"/>
      <c r="AU3413" s="394"/>
      <c r="AV3413" s="394"/>
      <c r="AW3413" s="394"/>
      <c r="AX3413" s="5"/>
      <c r="AY3413" s="5"/>
      <c r="AZ3413" s="5"/>
      <c r="BA3413" s="5"/>
      <c r="BB3413" s="5"/>
      <c r="BC3413" s="5"/>
      <c r="BD3413" s="5"/>
      <c r="BE3413" s="5"/>
      <c r="BF3413" s="5"/>
      <c r="BG3413" s="5"/>
      <c r="BH3413" s="5"/>
      <c r="BI3413" s="5"/>
      <c r="BJ3413" s="5"/>
      <c r="BK3413" s="5"/>
      <c r="BL3413" s="5"/>
      <c r="BM3413" s="5"/>
      <c r="BN3413" s="5"/>
      <c r="BO3413" s="5"/>
      <c r="BP3413" s="5"/>
      <c r="BQ3413" s="5"/>
      <c r="BR3413" s="5"/>
      <c r="BS3413" s="5"/>
      <c r="BT3413" s="5"/>
      <c r="BU3413" s="5"/>
      <c r="BV3413" s="5"/>
      <c r="BW3413" s="5"/>
      <c r="BX3413" s="5"/>
      <c r="BY3413" s="5"/>
      <c r="BZ3413" s="5"/>
      <c r="CA3413" s="5"/>
    </row>
    <row r="3414" spans="1:79" s="400" customFormat="1" ht="15" customHeight="1">
      <c r="A3414" s="41" t="s">
        <v>183</v>
      </c>
      <c r="B3414" s="402" t="s">
        <v>102</v>
      </c>
      <c r="C3414" s="113" t="s">
        <v>102</v>
      </c>
      <c r="D3414" s="393" t="s">
        <v>103</v>
      </c>
      <c r="E3414" s="394" t="s">
        <v>104</v>
      </c>
      <c r="F3414" s="402"/>
      <c r="G3414" s="405" t="s">
        <v>105</v>
      </c>
      <c r="H3414" s="404">
        <v>4952</v>
      </c>
      <c r="I3414" s="402" t="s">
        <v>2</v>
      </c>
      <c r="J3414" s="401" t="s">
        <v>2012</v>
      </c>
      <c r="K3414" s="403">
        <v>41345</v>
      </c>
      <c r="L3414" s="398">
        <v>41341</v>
      </c>
      <c r="M3414" s="402">
        <f t="shared" si="204"/>
        <v>4</v>
      </c>
      <c r="N3414" s="386" t="s">
        <v>2</v>
      </c>
      <c r="O3414" s="404">
        <f>2/2</f>
        <v>1</v>
      </c>
      <c r="P3414" s="402">
        <v>5.15</v>
      </c>
      <c r="Q3414" s="404">
        <v>8.7899999999999991</v>
      </c>
      <c r="R3414" s="402">
        <f>10/2</f>
        <v>5</v>
      </c>
      <c r="S3414" s="404">
        <v>507</v>
      </c>
      <c r="T3414" s="402">
        <v>1.1499999999999999</v>
      </c>
      <c r="U3414" s="395">
        <v>1.88</v>
      </c>
      <c r="V3414" s="402">
        <v>0.122</v>
      </c>
      <c r="W3414" s="404">
        <v>0.10199999999999999</v>
      </c>
      <c r="X3414" s="402">
        <v>0.29899999999999999</v>
      </c>
      <c r="Y3414" s="404">
        <v>3.2000000000000001E-2</v>
      </c>
      <c r="Z3414" s="397">
        <v>1</v>
      </c>
      <c r="AA3414" s="399">
        <v>1</v>
      </c>
      <c r="AB3414" s="394">
        <v>40</v>
      </c>
      <c r="AC3414" s="402">
        <v>244</v>
      </c>
      <c r="AD3414" s="399">
        <v>1</v>
      </c>
      <c r="AE3414" s="402"/>
      <c r="AF3414" s="391"/>
      <c r="AG3414" s="394"/>
      <c r="AH3414" s="394"/>
      <c r="AI3414" s="394"/>
      <c r="AJ3414" s="394"/>
      <c r="AK3414" s="394"/>
      <c r="AL3414" s="394"/>
      <c r="AM3414" s="394"/>
      <c r="AN3414" s="394"/>
      <c r="AO3414" s="394"/>
      <c r="AP3414" s="394"/>
      <c r="AQ3414" s="394"/>
      <c r="AR3414" s="394"/>
      <c r="AS3414" s="402"/>
      <c r="AT3414" s="404"/>
      <c r="AU3414" s="394"/>
      <c r="AV3414" s="394"/>
      <c r="AW3414" s="394"/>
      <c r="AX3414" s="5"/>
      <c r="AY3414" s="5"/>
      <c r="AZ3414" s="5"/>
      <c r="BA3414" s="5"/>
      <c r="BB3414" s="5"/>
      <c r="BC3414" s="5"/>
      <c r="BD3414" s="5"/>
      <c r="BE3414" s="5"/>
      <c r="BF3414" s="5"/>
      <c r="BG3414" s="5"/>
      <c r="BH3414" s="5"/>
      <c r="BI3414" s="5"/>
      <c r="BJ3414" s="5"/>
      <c r="BK3414" s="5"/>
      <c r="BL3414" s="5"/>
      <c r="BM3414" s="5"/>
      <c r="BN3414" s="5"/>
      <c r="BO3414" s="5"/>
      <c r="BP3414" s="5"/>
      <c r="BQ3414" s="5"/>
      <c r="BR3414" s="5"/>
      <c r="BS3414" s="5"/>
      <c r="BT3414" s="5"/>
      <c r="BU3414" s="5"/>
      <c r="BV3414" s="5"/>
      <c r="BW3414" s="5"/>
      <c r="BX3414" s="5"/>
      <c r="BY3414" s="5"/>
      <c r="BZ3414" s="5"/>
      <c r="CA3414" s="5"/>
    </row>
    <row r="3415" spans="1:79" s="400" customFormat="1" ht="15" customHeight="1">
      <c r="A3415" s="41" t="s">
        <v>183</v>
      </c>
      <c r="B3415" s="402" t="s">
        <v>102</v>
      </c>
      <c r="C3415" s="113" t="s">
        <v>102</v>
      </c>
      <c r="D3415" s="393" t="s">
        <v>103</v>
      </c>
      <c r="E3415" s="394" t="s">
        <v>104</v>
      </c>
      <c r="F3415" s="402"/>
      <c r="G3415" s="405" t="s">
        <v>105</v>
      </c>
      <c r="H3415" s="404">
        <v>4952</v>
      </c>
      <c r="I3415" s="402" t="s">
        <v>2</v>
      </c>
      <c r="J3415" s="401" t="s">
        <v>5842</v>
      </c>
      <c r="K3415" s="403">
        <v>41345</v>
      </c>
      <c r="L3415" s="398">
        <v>41341</v>
      </c>
      <c r="M3415" s="402">
        <f t="shared" si="204"/>
        <v>4</v>
      </c>
      <c r="N3415" s="386" t="s">
        <v>2</v>
      </c>
      <c r="O3415" s="404">
        <f>2/2</f>
        <v>1</v>
      </c>
      <c r="P3415" s="402">
        <v>5.15</v>
      </c>
      <c r="Q3415" s="404">
        <v>7.99</v>
      </c>
      <c r="R3415" s="402">
        <f>10/2</f>
        <v>5</v>
      </c>
      <c r="S3415" s="404">
        <v>1181</v>
      </c>
      <c r="T3415" s="402">
        <v>0.76</v>
      </c>
      <c r="U3415" s="395">
        <v>1.77</v>
      </c>
      <c r="V3415" s="402">
        <v>0.432</v>
      </c>
      <c r="W3415" s="404">
        <v>6.4000000000000001E-2</v>
      </c>
      <c r="X3415" s="402">
        <v>0.17599999999999999</v>
      </c>
      <c r="Y3415" s="404">
        <f>0.03/2</f>
        <v>1.4999999999999999E-2</v>
      </c>
      <c r="Z3415" s="397">
        <v>1</v>
      </c>
      <c r="AA3415" s="399">
        <v>1</v>
      </c>
      <c r="AB3415" s="394">
        <v>96</v>
      </c>
      <c r="AC3415" s="402">
        <v>437</v>
      </c>
      <c r="AD3415" s="399">
        <v>1</v>
      </c>
      <c r="AE3415" s="402"/>
      <c r="AF3415" s="391"/>
      <c r="AG3415" s="394"/>
      <c r="AH3415" s="394"/>
      <c r="AI3415" s="394"/>
      <c r="AJ3415" s="394"/>
      <c r="AK3415" s="394"/>
      <c r="AL3415" s="394"/>
      <c r="AM3415" s="394"/>
      <c r="AN3415" s="394"/>
      <c r="AO3415" s="394"/>
      <c r="AP3415" s="394"/>
      <c r="AQ3415" s="394"/>
      <c r="AR3415" s="394"/>
      <c r="AS3415" s="402"/>
      <c r="AT3415" s="404"/>
      <c r="AU3415" s="394"/>
      <c r="AV3415" s="394"/>
      <c r="AW3415" s="394"/>
      <c r="AX3415" s="5"/>
      <c r="AY3415" s="5"/>
      <c r="AZ3415" s="5"/>
      <c r="BA3415" s="5"/>
      <c r="BB3415" s="5"/>
      <c r="BC3415" s="5"/>
      <c r="BD3415" s="5"/>
      <c r="BE3415" s="5"/>
      <c r="BF3415" s="5"/>
      <c r="BG3415" s="5"/>
      <c r="BH3415" s="5"/>
      <c r="BI3415" s="5"/>
      <c r="BJ3415" s="5"/>
      <c r="BK3415" s="5"/>
      <c r="BL3415" s="5"/>
      <c r="BM3415" s="5"/>
      <c r="BN3415" s="5"/>
      <c r="BO3415" s="5"/>
      <c r="BP3415" s="5"/>
      <c r="BQ3415" s="5"/>
      <c r="BR3415" s="5"/>
      <c r="BS3415" s="5"/>
      <c r="BT3415" s="5"/>
      <c r="BU3415" s="5"/>
      <c r="BV3415" s="5"/>
      <c r="BW3415" s="5"/>
      <c r="BX3415" s="5"/>
      <c r="BY3415" s="5"/>
      <c r="BZ3415" s="5"/>
      <c r="CA3415" s="5"/>
    </row>
    <row r="3416" spans="1:79" s="400" customFormat="1" ht="15" customHeight="1">
      <c r="A3416" s="41" t="s">
        <v>183</v>
      </c>
      <c r="B3416" s="402" t="s">
        <v>4526</v>
      </c>
      <c r="C3416" s="113" t="s">
        <v>1332</v>
      </c>
      <c r="D3416" s="393" t="s">
        <v>1569</v>
      </c>
      <c r="E3416" s="394" t="s">
        <v>1579</v>
      </c>
      <c r="F3416" s="402"/>
      <c r="G3416" s="405" t="s">
        <v>2650</v>
      </c>
      <c r="H3416" s="404">
        <v>4952</v>
      </c>
      <c r="I3416" s="402" t="s">
        <v>1</v>
      </c>
      <c r="J3416" s="406" t="s">
        <v>4918</v>
      </c>
      <c r="K3416" s="403">
        <v>41345</v>
      </c>
      <c r="L3416" s="398">
        <v>41341</v>
      </c>
      <c r="M3416" s="402">
        <f t="shared" si="204"/>
        <v>4</v>
      </c>
      <c r="N3416" s="402" t="s">
        <v>2</v>
      </c>
      <c r="O3416" s="404">
        <f>1.4/2</f>
        <v>0.7</v>
      </c>
      <c r="P3416" s="402"/>
      <c r="Q3416" s="404">
        <v>3.49</v>
      </c>
      <c r="R3416" s="402">
        <v>21</v>
      </c>
      <c r="S3416" s="404">
        <f>5/2</f>
        <v>2.5</v>
      </c>
      <c r="T3416" s="402">
        <v>0.03</v>
      </c>
      <c r="U3416" s="395">
        <v>0.35</v>
      </c>
      <c r="V3416" s="402">
        <v>0.38</v>
      </c>
      <c r="W3416" s="404">
        <v>0.20300000000000001</v>
      </c>
      <c r="X3416" s="402">
        <v>0.29499999999999998</v>
      </c>
      <c r="Y3416" s="404">
        <v>1.2E-2</v>
      </c>
      <c r="Z3416" s="397">
        <v>6.25E-2</v>
      </c>
      <c r="AA3416" s="399">
        <v>6.25E-2</v>
      </c>
      <c r="AB3416" s="394">
        <v>14</v>
      </c>
      <c r="AC3416" s="402">
        <v>158</v>
      </c>
      <c r="AD3416" s="399">
        <v>0</v>
      </c>
      <c r="AE3416" s="402"/>
      <c r="AF3416" s="391"/>
      <c r="AG3416" s="394"/>
      <c r="AH3416" s="394"/>
      <c r="AI3416" s="394"/>
      <c r="AJ3416" s="394"/>
      <c r="AK3416" s="394"/>
      <c r="AL3416" s="394"/>
      <c r="AM3416" s="394"/>
      <c r="AN3416" s="394"/>
      <c r="AO3416" s="394"/>
      <c r="AP3416" s="394"/>
      <c r="AQ3416" s="394"/>
      <c r="AR3416" s="394"/>
      <c r="AS3416" s="402"/>
      <c r="AT3416" s="404"/>
      <c r="AU3416" s="394"/>
      <c r="AV3416" s="394"/>
      <c r="AW3416" s="394"/>
      <c r="AX3416" s="5"/>
      <c r="AY3416" s="5"/>
      <c r="AZ3416" s="5"/>
      <c r="BA3416" s="5"/>
      <c r="BB3416" s="5"/>
      <c r="BC3416" s="5"/>
      <c r="BD3416" s="5"/>
      <c r="BE3416" s="5"/>
      <c r="BF3416" s="5"/>
      <c r="BG3416" s="5"/>
      <c r="BH3416" s="5"/>
      <c r="BI3416" s="5"/>
      <c r="BJ3416" s="5"/>
      <c r="BK3416" s="5"/>
      <c r="BL3416" s="5"/>
      <c r="BM3416" s="5"/>
      <c r="BN3416" s="5"/>
      <c r="BO3416" s="5"/>
      <c r="BP3416" s="5"/>
      <c r="BQ3416" s="5"/>
      <c r="BR3416" s="5"/>
      <c r="BS3416" s="5"/>
      <c r="BT3416" s="5"/>
      <c r="BU3416" s="5"/>
      <c r="BV3416" s="5"/>
      <c r="BW3416" s="5"/>
      <c r="BX3416" s="5"/>
      <c r="BY3416" s="5"/>
      <c r="BZ3416" s="5"/>
      <c r="CA3416" s="5"/>
    </row>
    <row r="3417" spans="1:79" s="400" customFormat="1" ht="15" customHeight="1">
      <c r="A3417" s="41" t="s">
        <v>183</v>
      </c>
      <c r="B3417" s="385" t="s">
        <v>4324</v>
      </c>
      <c r="C3417" s="18" t="s">
        <v>4210</v>
      </c>
      <c r="D3417" s="377" t="s">
        <v>462</v>
      </c>
      <c r="E3417" s="394" t="s">
        <v>5843</v>
      </c>
      <c r="F3417" s="402" t="s">
        <v>4211</v>
      </c>
      <c r="G3417" s="405" t="s">
        <v>4212</v>
      </c>
      <c r="H3417" s="404">
        <v>3273</v>
      </c>
      <c r="I3417" s="402" t="s">
        <v>2</v>
      </c>
      <c r="J3417" s="344" t="s">
        <v>510</v>
      </c>
      <c r="K3417" s="403">
        <v>41332</v>
      </c>
      <c r="L3417" s="398">
        <v>41329</v>
      </c>
      <c r="M3417" s="402">
        <f t="shared" si="204"/>
        <v>3</v>
      </c>
      <c r="N3417" s="402" t="s">
        <v>2</v>
      </c>
      <c r="O3417" s="404">
        <v>6.6</v>
      </c>
      <c r="P3417" s="402">
        <v>7.73</v>
      </c>
      <c r="Q3417" s="404">
        <v>8.7899999999999991</v>
      </c>
      <c r="R3417" s="402">
        <v>105</v>
      </c>
      <c r="S3417" s="404">
        <v>1700</v>
      </c>
      <c r="T3417" s="402">
        <v>0.9</v>
      </c>
      <c r="U3417" s="395">
        <v>0.95</v>
      </c>
      <c r="V3417" s="402">
        <v>0.06</v>
      </c>
      <c r="W3417" s="404">
        <v>0.10199999999999999</v>
      </c>
      <c r="X3417" s="402">
        <v>0.193</v>
      </c>
      <c r="Y3417" s="404">
        <v>2.4E-2</v>
      </c>
      <c r="Z3417" s="397">
        <v>1</v>
      </c>
      <c r="AA3417" s="399">
        <v>1</v>
      </c>
      <c r="AB3417" s="394">
        <v>40</v>
      </c>
      <c r="AC3417" s="402">
        <v>97</v>
      </c>
      <c r="AD3417" s="399">
        <v>1</v>
      </c>
      <c r="AE3417" s="402"/>
      <c r="AF3417" s="391"/>
      <c r="AG3417" s="394"/>
      <c r="AH3417" s="394"/>
      <c r="AI3417" s="394"/>
      <c r="AJ3417" s="394"/>
      <c r="AK3417" s="394"/>
      <c r="AL3417" s="394"/>
      <c r="AM3417" s="394"/>
      <c r="AN3417" s="394"/>
      <c r="AO3417" s="394"/>
      <c r="AP3417" s="394"/>
      <c r="AQ3417" s="394"/>
      <c r="AR3417" s="394"/>
      <c r="AS3417" s="402"/>
      <c r="AT3417" s="404"/>
      <c r="AU3417" s="394"/>
      <c r="AV3417" s="394"/>
      <c r="AW3417" s="394"/>
      <c r="AX3417" s="5"/>
      <c r="AY3417" s="5"/>
      <c r="AZ3417" s="5"/>
      <c r="BA3417" s="5"/>
      <c r="BB3417" s="5"/>
      <c r="BC3417" s="5"/>
      <c r="BD3417" s="5"/>
      <c r="BE3417" s="5"/>
      <c r="BF3417" s="5"/>
      <c r="BG3417" s="5"/>
      <c r="BH3417" s="5"/>
      <c r="BI3417" s="5"/>
      <c r="BJ3417" s="5"/>
      <c r="BK3417" s="5"/>
      <c r="BL3417" s="5"/>
      <c r="BM3417" s="5"/>
      <c r="BN3417" s="5"/>
      <c r="BO3417" s="5"/>
      <c r="BP3417" s="5"/>
      <c r="BQ3417" s="5"/>
      <c r="BR3417" s="5"/>
      <c r="BS3417" s="5"/>
      <c r="BT3417" s="5"/>
      <c r="BU3417" s="5"/>
      <c r="BV3417" s="5"/>
      <c r="BW3417" s="5"/>
      <c r="BX3417" s="5"/>
      <c r="BY3417" s="5"/>
      <c r="BZ3417" s="5"/>
      <c r="CA3417" s="5"/>
    </row>
    <row r="3418" spans="1:79" s="400" customFormat="1" ht="15" customHeight="1">
      <c r="A3418" s="41" t="s">
        <v>183</v>
      </c>
      <c r="B3418" s="402" t="s">
        <v>4854</v>
      </c>
      <c r="C3418" s="113" t="s">
        <v>4854</v>
      </c>
      <c r="D3418" s="393" t="s">
        <v>127</v>
      </c>
      <c r="E3418" s="394" t="s">
        <v>4855</v>
      </c>
      <c r="F3418" s="402"/>
      <c r="G3418" s="405" t="s">
        <v>899</v>
      </c>
      <c r="H3418" s="387">
        <v>3728</v>
      </c>
      <c r="I3418" s="386" t="s">
        <v>2</v>
      </c>
      <c r="J3418" s="392" t="s">
        <v>510</v>
      </c>
      <c r="K3418" s="403">
        <v>41345</v>
      </c>
      <c r="L3418" s="398">
        <v>41341</v>
      </c>
      <c r="M3418" s="402">
        <f t="shared" si="204"/>
        <v>4</v>
      </c>
      <c r="N3418" s="402" t="s">
        <v>2</v>
      </c>
      <c r="O3418" s="404">
        <f>5/2</f>
        <v>2.5</v>
      </c>
      <c r="P3418" s="402">
        <v>7.85</v>
      </c>
      <c r="Q3418" s="404">
        <v>7.92</v>
      </c>
      <c r="R3418" s="402">
        <v>14</v>
      </c>
      <c r="S3418" s="404">
        <v>12</v>
      </c>
      <c r="T3418" s="402">
        <f>0.1/2</f>
        <v>0.05</v>
      </c>
      <c r="U3418" s="395">
        <f>1/2</f>
        <v>0.5</v>
      </c>
      <c r="V3418" s="402">
        <v>0.15</v>
      </c>
      <c r="W3418" s="404">
        <f>0.04/2</f>
        <v>0.02</v>
      </c>
      <c r="X3418" s="402">
        <f>0.02/2</f>
        <v>0.01</v>
      </c>
      <c r="Y3418" s="404">
        <f>0.013/2</f>
        <v>6.4999999999999997E-3</v>
      </c>
      <c r="Z3418" s="397">
        <v>1</v>
      </c>
      <c r="AA3418" s="399">
        <v>1</v>
      </c>
      <c r="AB3418" s="394">
        <v>11</v>
      </c>
      <c r="AC3418" s="402">
        <v>382</v>
      </c>
      <c r="AD3418" s="399">
        <v>1</v>
      </c>
      <c r="AE3418" s="402"/>
      <c r="AF3418" s="391"/>
      <c r="AG3418" s="394"/>
      <c r="AH3418" s="394"/>
      <c r="AI3418" s="394"/>
      <c r="AJ3418" s="394"/>
      <c r="AK3418" s="394"/>
      <c r="AL3418" s="394"/>
      <c r="AM3418" s="394"/>
      <c r="AN3418" s="394"/>
      <c r="AO3418" s="394"/>
      <c r="AP3418" s="394"/>
      <c r="AQ3418" s="394"/>
      <c r="AR3418" s="394"/>
      <c r="AS3418" s="402"/>
      <c r="AT3418" s="404"/>
      <c r="AU3418" s="394"/>
      <c r="AV3418" s="394"/>
      <c r="AW3418" s="394"/>
      <c r="AX3418" s="5"/>
      <c r="AY3418" s="5"/>
      <c r="AZ3418" s="5"/>
      <c r="BA3418" s="5"/>
      <c r="BB3418" s="5"/>
      <c r="BC3418" s="5"/>
      <c r="BD3418" s="5"/>
      <c r="BE3418" s="5"/>
      <c r="BF3418" s="5"/>
      <c r="BG3418" s="5"/>
      <c r="BH3418" s="5"/>
      <c r="BI3418" s="5"/>
      <c r="BJ3418" s="5"/>
      <c r="BK3418" s="5"/>
      <c r="BL3418" s="5"/>
      <c r="BM3418" s="5"/>
      <c r="BN3418" s="5"/>
      <c r="BO3418" s="5"/>
      <c r="BP3418" s="5"/>
      <c r="BQ3418" s="5"/>
      <c r="BR3418" s="5"/>
      <c r="BS3418" s="5"/>
      <c r="BT3418" s="5"/>
      <c r="BU3418" s="5"/>
      <c r="BV3418" s="5"/>
      <c r="BW3418" s="5"/>
      <c r="BX3418" s="5"/>
      <c r="BY3418" s="5"/>
      <c r="BZ3418" s="5"/>
      <c r="CA3418" s="5"/>
    </row>
    <row r="3419" spans="1:79" s="400" customFormat="1" ht="15" customHeight="1">
      <c r="A3419" s="41" t="s">
        <v>183</v>
      </c>
      <c r="B3419" s="402" t="s">
        <v>5844</v>
      </c>
      <c r="C3419" s="113" t="s">
        <v>5845</v>
      </c>
      <c r="D3419" s="393" t="s">
        <v>379</v>
      </c>
      <c r="E3419" s="394" t="s">
        <v>5846</v>
      </c>
      <c r="F3419" s="402"/>
      <c r="G3419" s="405" t="s">
        <v>5847</v>
      </c>
      <c r="H3419" s="404">
        <v>4953</v>
      </c>
      <c r="I3419" s="402" t="s">
        <v>1</v>
      </c>
      <c r="J3419" s="406" t="s">
        <v>5848</v>
      </c>
      <c r="K3419" s="403">
        <v>41442</v>
      </c>
      <c r="L3419" s="398"/>
      <c r="M3419" s="402"/>
      <c r="N3419" s="402" t="s">
        <v>2</v>
      </c>
      <c r="O3419" s="404">
        <v>1.5</v>
      </c>
      <c r="P3419" s="402">
        <v>6.76</v>
      </c>
      <c r="Q3419" s="404">
        <v>6.58</v>
      </c>
      <c r="R3419" s="402">
        <v>33</v>
      </c>
      <c r="S3419" s="404">
        <v>63</v>
      </c>
      <c r="T3419" s="402">
        <v>0.47</v>
      </c>
      <c r="U3419" s="395">
        <v>0.13</v>
      </c>
      <c r="V3419" s="402">
        <f>0.2/2</f>
        <v>0.1</v>
      </c>
      <c r="W3419" s="404">
        <f>0.01/2</f>
        <v>5.0000000000000001E-3</v>
      </c>
      <c r="X3419" s="402">
        <f>0.01/2</f>
        <v>5.0000000000000001E-3</v>
      </c>
      <c r="Y3419" s="404">
        <f>0.02/2</f>
        <v>0.01</v>
      </c>
      <c r="Z3419" s="397">
        <v>1</v>
      </c>
      <c r="AA3419" s="399">
        <v>1</v>
      </c>
      <c r="AB3419" s="394">
        <v>68.7</v>
      </c>
      <c r="AC3419" s="402">
        <v>188</v>
      </c>
      <c r="AD3419" s="399">
        <v>1</v>
      </c>
      <c r="AE3419" s="402"/>
      <c r="AF3419" s="391"/>
      <c r="AG3419" s="394"/>
      <c r="AH3419" s="394"/>
      <c r="AI3419" s="394"/>
      <c r="AJ3419" s="394"/>
      <c r="AK3419" s="394"/>
      <c r="AL3419" s="394"/>
      <c r="AM3419" s="394"/>
      <c r="AN3419" s="394"/>
      <c r="AO3419" s="394"/>
      <c r="AP3419" s="394"/>
      <c r="AQ3419" s="394"/>
      <c r="AR3419" s="394"/>
      <c r="AS3419" s="402"/>
      <c r="AT3419" s="404"/>
      <c r="AU3419" s="394"/>
      <c r="AV3419" s="394"/>
      <c r="AW3419" s="394"/>
      <c r="AX3419" s="5"/>
      <c r="AY3419" s="5"/>
      <c r="AZ3419" s="5"/>
      <c r="BA3419" s="5"/>
      <c r="BB3419" s="5"/>
      <c r="BC3419" s="5"/>
      <c r="BD3419" s="5"/>
      <c r="BE3419" s="5"/>
      <c r="BF3419" s="5"/>
      <c r="BG3419" s="5"/>
      <c r="BH3419" s="5"/>
      <c r="BI3419" s="5"/>
      <c r="BJ3419" s="5"/>
      <c r="BK3419" s="5"/>
      <c r="BL3419" s="5"/>
      <c r="BM3419" s="5"/>
      <c r="BN3419" s="5"/>
      <c r="BO3419" s="5"/>
      <c r="BP3419" s="5"/>
      <c r="BQ3419" s="5"/>
      <c r="BR3419" s="5"/>
      <c r="BS3419" s="5"/>
      <c r="BT3419" s="5"/>
      <c r="BU3419" s="5"/>
      <c r="BV3419" s="5"/>
      <c r="BW3419" s="5"/>
      <c r="BX3419" s="5"/>
      <c r="BY3419" s="5"/>
      <c r="BZ3419" s="5"/>
      <c r="CA3419" s="5"/>
    </row>
    <row r="3420" spans="1:79" s="400" customFormat="1" ht="15" customHeight="1">
      <c r="A3420" s="41" t="s">
        <v>183</v>
      </c>
      <c r="B3420" s="402" t="s">
        <v>3062</v>
      </c>
      <c r="C3420" s="113" t="s">
        <v>3063</v>
      </c>
      <c r="D3420" s="393" t="s">
        <v>735</v>
      </c>
      <c r="E3420" s="394" t="s">
        <v>1293</v>
      </c>
      <c r="F3420" s="86"/>
      <c r="G3420" s="405" t="s">
        <v>3064</v>
      </c>
      <c r="H3420" s="404">
        <v>4952</v>
      </c>
      <c r="I3420" s="402" t="s">
        <v>2</v>
      </c>
      <c r="J3420" s="401" t="s">
        <v>3065</v>
      </c>
      <c r="K3420" s="403">
        <v>41402</v>
      </c>
      <c r="L3420" s="398">
        <v>41389</v>
      </c>
      <c r="M3420" s="402">
        <f t="shared" ref="M3420:M3422" si="205">K3420-L3420</f>
        <v>13</v>
      </c>
      <c r="N3420" s="402" t="s">
        <v>2</v>
      </c>
      <c r="O3420" s="404">
        <f>5/2</f>
        <v>2.5</v>
      </c>
      <c r="P3420" s="402">
        <v>6.45</v>
      </c>
      <c r="Q3420" s="404">
        <v>6.35</v>
      </c>
      <c r="R3420" s="402">
        <v>35</v>
      </c>
      <c r="S3420" s="404">
        <f>1/2</f>
        <v>0.5</v>
      </c>
      <c r="T3420" s="402">
        <v>0.1</v>
      </c>
      <c r="U3420" s="395">
        <v>0.67</v>
      </c>
      <c r="V3420" s="402">
        <v>2.17</v>
      </c>
      <c r="W3420" s="404">
        <v>1.6E-2</v>
      </c>
      <c r="X3420" s="402">
        <v>0.19</v>
      </c>
      <c r="Y3420" s="404">
        <v>1E-3</v>
      </c>
      <c r="Z3420" s="397">
        <v>0.97699999999999998</v>
      </c>
      <c r="AA3420" s="399">
        <v>0.5</v>
      </c>
      <c r="AB3420" s="394">
        <v>15.8</v>
      </c>
      <c r="AC3420" s="402">
        <v>61</v>
      </c>
      <c r="AD3420" s="399">
        <v>0</v>
      </c>
      <c r="AE3420" s="402"/>
      <c r="AF3420" s="391"/>
      <c r="AG3420" s="394"/>
      <c r="AH3420" s="394"/>
      <c r="AI3420" s="394"/>
      <c r="AJ3420" s="394"/>
      <c r="AK3420" s="394"/>
      <c r="AL3420" s="394"/>
      <c r="AM3420" s="394"/>
      <c r="AN3420" s="394"/>
      <c r="AO3420" s="394"/>
      <c r="AP3420" s="394"/>
      <c r="AQ3420" s="394"/>
      <c r="AR3420" s="394"/>
      <c r="AS3420" s="402"/>
      <c r="AT3420" s="404"/>
      <c r="AU3420" s="394"/>
      <c r="AV3420" s="394"/>
      <c r="AW3420" s="394"/>
      <c r="AX3420" s="5"/>
      <c r="AY3420" s="5"/>
      <c r="AZ3420" s="5"/>
      <c r="BA3420" s="5"/>
      <c r="BB3420" s="5"/>
      <c r="BC3420" s="5"/>
      <c r="BD3420" s="5"/>
      <c r="BE3420" s="5"/>
      <c r="BF3420" s="5"/>
      <c r="BG3420" s="5"/>
      <c r="BH3420" s="5"/>
      <c r="BI3420" s="5"/>
      <c r="BJ3420" s="5"/>
      <c r="BK3420" s="5"/>
      <c r="BL3420" s="5"/>
      <c r="BM3420" s="5"/>
      <c r="BN3420" s="5"/>
      <c r="BO3420" s="5"/>
      <c r="BP3420" s="5"/>
      <c r="BQ3420" s="5"/>
      <c r="BR3420" s="5"/>
      <c r="BS3420" s="5"/>
      <c r="BT3420" s="5"/>
      <c r="BU3420" s="5"/>
      <c r="BV3420" s="5"/>
      <c r="BW3420" s="5"/>
      <c r="BX3420" s="5"/>
      <c r="BY3420" s="5"/>
      <c r="BZ3420" s="5"/>
      <c r="CA3420" s="5"/>
    </row>
    <row r="3421" spans="1:79" s="400" customFormat="1" ht="15" customHeight="1">
      <c r="A3421" s="41" t="s">
        <v>183</v>
      </c>
      <c r="B3421" s="402" t="s">
        <v>3062</v>
      </c>
      <c r="C3421" s="113" t="s">
        <v>3063</v>
      </c>
      <c r="D3421" s="393" t="s">
        <v>735</v>
      </c>
      <c r="E3421" s="394" t="s">
        <v>1293</v>
      </c>
      <c r="F3421" s="86"/>
      <c r="G3421" s="405" t="s">
        <v>3064</v>
      </c>
      <c r="H3421" s="404">
        <v>4952</v>
      </c>
      <c r="I3421" s="402" t="s">
        <v>2</v>
      </c>
      <c r="J3421" s="401" t="s">
        <v>3066</v>
      </c>
      <c r="K3421" s="403">
        <v>41402</v>
      </c>
      <c r="L3421" s="398">
        <v>41389</v>
      </c>
      <c r="M3421" s="402">
        <f t="shared" si="205"/>
        <v>13</v>
      </c>
      <c r="N3421" s="402" t="s">
        <v>2</v>
      </c>
      <c r="O3421" s="404">
        <v>5.6</v>
      </c>
      <c r="P3421" s="402">
        <v>5.34</v>
      </c>
      <c r="Q3421" s="404">
        <v>5.94</v>
      </c>
      <c r="R3421" s="402">
        <v>54</v>
      </c>
      <c r="S3421" s="404">
        <v>5</v>
      </c>
      <c r="T3421" s="402">
        <v>0.1</v>
      </c>
      <c r="U3421" s="395">
        <v>2.12</v>
      </c>
      <c r="V3421" s="402">
        <v>1.19</v>
      </c>
      <c r="W3421" s="404">
        <v>0.1</v>
      </c>
      <c r="X3421" s="402">
        <v>0.03</v>
      </c>
      <c r="Y3421" s="404">
        <v>0.01</v>
      </c>
      <c r="Z3421" s="397">
        <v>0.70699999999999996</v>
      </c>
      <c r="AA3421" s="399">
        <v>0.61599999999999999</v>
      </c>
      <c r="AB3421" s="394">
        <v>4.7699999999999996</v>
      </c>
      <c r="AC3421" s="402">
        <v>36</v>
      </c>
      <c r="AD3421" s="399">
        <v>0</v>
      </c>
      <c r="AE3421" s="402"/>
      <c r="AF3421" s="391"/>
      <c r="AG3421" s="394"/>
      <c r="AH3421" s="394"/>
      <c r="AI3421" s="394"/>
      <c r="AJ3421" s="394"/>
      <c r="AK3421" s="394"/>
      <c r="AL3421" s="394"/>
      <c r="AM3421" s="394"/>
      <c r="AN3421" s="394"/>
      <c r="AO3421" s="394"/>
      <c r="AP3421" s="394"/>
      <c r="AQ3421" s="394"/>
      <c r="AR3421" s="394"/>
      <c r="AS3421" s="402"/>
      <c r="AT3421" s="404"/>
      <c r="AU3421" s="394"/>
      <c r="AV3421" s="394"/>
      <c r="AW3421" s="394"/>
      <c r="AX3421" s="5"/>
      <c r="AY3421" s="5"/>
      <c r="AZ3421" s="5"/>
      <c r="BA3421" s="5"/>
      <c r="BB3421" s="5"/>
      <c r="BC3421" s="5"/>
      <c r="BD3421" s="5"/>
      <c r="BE3421" s="5"/>
      <c r="BF3421" s="5"/>
      <c r="BG3421" s="5"/>
      <c r="BH3421" s="5"/>
      <c r="BI3421" s="5"/>
      <c r="BJ3421" s="5"/>
      <c r="BK3421" s="5"/>
      <c r="BL3421" s="5"/>
      <c r="BM3421" s="5"/>
      <c r="BN3421" s="5"/>
      <c r="BO3421" s="5"/>
      <c r="BP3421" s="5"/>
      <c r="BQ3421" s="5"/>
      <c r="BR3421" s="5"/>
      <c r="BS3421" s="5"/>
      <c r="BT3421" s="5"/>
      <c r="BU3421" s="5"/>
      <c r="BV3421" s="5"/>
      <c r="BW3421" s="5"/>
      <c r="BX3421" s="5"/>
      <c r="BY3421" s="5"/>
      <c r="BZ3421" s="5"/>
      <c r="CA3421" s="5"/>
    </row>
    <row r="3422" spans="1:79" s="400" customFormat="1" ht="15" customHeight="1">
      <c r="A3422" s="41" t="s">
        <v>183</v>
      </c>
      <c r="B3422" s="402" t="s">
        <v>2595</v>
      </c>
      <c r="C3422" s="113" t="s">
        <v>2595</v>
      </c>
      <c r="D3422" s="393" t="s">
        <v>2722</v>
      </c>
      <c r="E3422" s="394" t="s">
        <v>1056</v>
      </c>
      <c r="F3422" s="402"/>
      <c r="G3422" s="405" t="s">
        <v>2596</v>
      </c>
      <c r="H3422" s="404">
        <v>3842</v>
      </c>
      <c r="I3422" s="402" t="s">
        <v>2</v>
      </c>
      <c r="J3422" s="406" t="s">
        <v>510</v>
      </c>
      <c r="K3422" s="403">
        <v>41431</v>
      </c>
      <c r="L3422" s="398">
        <v>41428</v>
      </c>
      <c r="M3422" s="402">
        <f t="shared" si="205"/>
        <v>3</v>
      </c>
      <c r="N3422" s="402" t="s">
        <v>2</v>
      </c>
      <c r="O3422" s="404">
        <f>1.4/2</f>
        <v>0.7</v>
      </c>
      <c r="P3422" s="402">
        <v>6.92</v>
      </c>
      <c r="Q3422" s="404">
        <v>6.86</v>
      </c>
      <c r="R3422" s="402">
        <v>64</v>
      </c>
      <c r="S3422" s="404">
        <f>5/2</f>
        <v>2.5</v>
      </c>
      <c r="T3422" s="402">
        <v>0.02</v>
      </c>
      <c r="U3422" s="395">
        <v>0.41</v>
      </c>
      <c r="V3422" s="402">
        <v>0.11</v>
      </c>
      <c r="W3422" s="404">
        <v>6.0000000000000001E-3</v>
      </c>
      <c r="X3422" s="402">
        <v>0.124</v>
      </c>
      <c r="Y3422" s="404">
        <v>5.0000000000000001E-3</v>
      </c>
      <c r="Z3422" s="397">
        <v>1</v>
      </c>
      <c r="AA3422" s="399">
        <v>1</v>
      </c>
      <c r="AB3422" s="394">
        <v>30</v>
      </c>
      <c r="AC3422" s="402">
        <v>163</v>
      </c>
      <c r="AD3422" s="399">
        <v>1</v>
      </c>
      <c r="AE3422" s="402"/>
      <c r="AF3422" s="391"/>
      <c r="AG3422" s="394"/>
      <c r="AH3422" s="394"/>
      <c r="AI3422" s="394"/>
      <c r="AJ3422" s="394"/>
      <c r="AK3422" s="394"/>
      <c r="AL3422" s="394"/>
      <c r="AM3422" s="394"/>
      <c r="AN3422" s="394"/>
      <c r="AO3422" s="394"/>
      <c r="AP3422" s="394"/>
      <c r="AQ3422" s="394"/>
      <c r="AR3422" s="394"/>
      <c r="AS3422" s="402"/>
      <c r="AT3422" s="404"/>
      <c r="AU3422" s="394"/>
      <c r="AV3422" s="394"/>
      <c r="AW3422" s="394"/>
      <c r="AX3422" s="5"/>
      <c r="AY3422" s="5"/>
      <c r="AZ3422" s="5"/>
      <c r="BA3422" s="5"/>
      <c r="BB3422" s="5"/>
      <c r="BC3422" s="5"/>
      <c r="BD3422" s="5"/>
      <c r="BE3422" s="5"/>
      <c r="BF3422" s="5"/>
      <c r="BG3422" s="5"/>
      <c r="BH3422" s="5"/>
      <c r="BI3422" s="5"/>
      <c r="BJ3422" s="5"/>
      <c r="BK3422" s="5"/>
      <c r="BL3422" s="5"/>
      <c r="BM3422" s="5"/>
      <c r="BN3422" s="5"/>
      <c r="BO3422" s="5"/>
      <c r="BP3422" s="5"/>
      <c r="BQ3422" s="5"/>
      <c r="BR3422" s="5"/>
      <c r="BS3422" s="5"/>
      <c r="BT3422" s="5"/>
      <c r="BU3422" s="5"/>
      <c r="BV3422" s="5"/>
      <c r="BW3422" s="5"/>
      <c r="BX3422" s="5"/>
      <c r="BY3422" s="5"/>
      <c r="BZ3422" s="5"/>
      <c r="CA3422" s="5"/>
    </row>
    <row r="3423" spans="1:79" ht="15" customHeight="1">
      <c r="A3423" s="404" t="s">
        <v>4668</v>
      </c>
      <c r="B3423" s="402" t="s">
        <v>5177</v>
      </c>
      <c r="C3423" s="113" t="s">
        <v>5178</v>
      </c>
      <c r="D3423" s="393" t="s">
        <v>205</v>
      </c>
      <c r="E3423" s="394" t="s">
        <v>5179</v>
      </c>
      <c r="G3423" s="405" t="s">
        <v>5180</v>
      </c>
      <c r="H3423" s="74"/>
      <c r="J3423" s="339" t="s">
        <v>5179</v>
      </c>
      <c r="K3423" s="51">
        <v>41432</v>
      </c>
      <c r="L3423" s="173">
        <v>41428</v>
      </c>
      <c r="M3423" s="50">
        <f t="shared" si="203"/>
        <v>4</v>
      </c>
      <c r="N3423" s="50" t="s">
        <v>2</v>
      </c>
      <c r="O3423" s="74">
        <f>1.4/2</f>
        <v>0.7</v>
      </c>
      <c r="P3423" s="50">
        <v>6.3</v>
      </c>
      <c r="Q3423" s="74">
        <v>6.5</v>
      </c>
      <c r="R3423" s="50">
        <v>19</v>
      </c>
      <c r="S3423" s="74">
        <f>5/2</f>
        <v>2.5</v>
      </c>
      <c r="T3423" s="50">
        <v>0.06</v>
      </c>
      <c r="U3423" s="131">
        <v>0.42</v>
      </c>
      <c r="V3423" s="50">
        <v>0.08</v>
      </c>
      <c r="W3423" s="74">
        <f>0.005/2</f>
        <v>2.5000000000000001E-3</v>
      </c>
      <c r="X3423" s="50">
        <v>0.02</v>
      </c>
      <c r="Y3423" s="74">
        <f>0.002/2</f>
        <v>1E-3</v>
      </c>
      <c r="Z3423" s="165">
        <v>1</v>
      </c>
      <c r="AA3423" s="271">
        <v>1</v>
      </c>
    </row>
    <row r="3424" spans="1:79" s="400" customFormat="1" ht="15" customHeight="1">
      <c r="A3424" s="41" t="s">
        <v>183</v>
      </c>
      <c r="B3424" s="402" t="s">
        <v>4845</v>
      </c>
      <c r="C3424" s="113" t="s">
        <v>4846</v>
      </c>
      <c r="D3424" s="393" t="s">
        <v>290</v>
      </c>
      <c r="E3424" s="394" t="s">
        <v>112</v>
      </c>
      <c r="F3424" s="402"/>
      <c r="G3424" s="405" t="s">
        <v>4847</v>
      </c>
      <c r="H3424" s="404"/>
      <c r="I3424" s="402" t="s">
        <v>2</v>
      </c>
      <c r="J3424" s="406" t="s">
        <v>4848</v>
      </c>
      <c r="K3424" s="403">
        <v>41402</v>
      </c>
      <c r="L3424" s="398">
        <v>41383</v>
      </c>
      <c r="M3424" s="402">
        <f t="shared" si="203"/>
        <v>19</v>
      </c>
      <c r="N3424" s="402" t="s">
        <v>2</v>
      </c>
      <c r="O3424" s="404">
        <f t="shared" ref="O3424:O3429" si="206">1/2</f>
        <v>0.5</v>
      </c>
      <c r="P3424" s="402">
        <v>5.96</v>
      </c>
      <c r="Q3424" s="404">
        <v>6.45</v>
      </c>
      <c r="R3424" s="402">
        <v>44.4</v>
      </c>
      <c r="S3424" s="404">
        <v>17</v>
      </c>
      <c r="T3424" s="402">
        <v>0.23</v>
      </c>
      <c r="U3424" s="395">
        <v>1.92</v>
      </c>
      <c r="V3424" s="402">
        <v>0.54</v>
      </c>
      <c r="W3424" s="404">
        <v>2.1000000000000001E-2</v>
      </c>
      <c r="X3424" s="402">
        <v>0.1</v>
      </c>
      <c r="Y3424" s="404">
        <f>0.002/2</f>
        <v>1E-3</v>
      </c>
      <c r="Z3424" s="397"/>
      <c r="AA3424" s="399"/>
      <c r="AB3424" s="394"/>
      <c r="AC3424" s="402"/>
      <c r="AD3424" s="399"/>
      <c r="AE3424" s="402"/>
      <c r="AF3424" s="391"/>
      <c r="AG3424" s="394"/>
      <c r="AH3424" s="394"/>
      <c r="AI3424" s="394"/>
      <c r="AJ3424" s="394"/>
      <c r="AK3424" s="394"/>
      <c r="AL3424" s="394"/>
      <c r="AM3424" s="394"/>
      <c r="AN3424" s="394"/>
      <c r="AO3424" s="394"/>
      <c r="AP3424" s="394"/>
      <c r="AQ3424" s="394"/>
      <c r="AR3424" s="394"/>
      <c r="AS3424" s="402"/>
      <c r="AT3424" s="404"/>
      <c r="AU3424" s="394"/>
      <c r="AV3424" s="394"/>
      <c r="AW3424" s="394"/>
      <c r="AX3424" s="5"/>
      <c r="AY3424" s="5"/>
      <c r="AZ3424" s="5"/>
      <c r="BA3424" s="5"/>
      <c r="BB3424" s="5"/>
      <c r="BC3424" s="5"/>
      <c r="BD3424" s="5"/>
      <c r="BE3424" s="5"/>
      <c r="BF3424" s="5"/>
      <c r="BG3424" s="5"/>
      <c r="BH3424" s="5"/>
      <c r="BI3424" s="5"/>
      <c r="BJ3424" s="5"/>
      <c r="BK3424" s="5"/>
      <c r="BL3424" s="5"/>
      <c r="BM3424" s="5"/>
      <c r="BN3424" s="5"/>
      <c r="BO3424" s="5"/>
      <c r="BP3424" s="5"/>
      <c r="BQ3424" s="5"/>
      <c r="BR3424" s="5"/>
      <c r="BS3424" s="5"/>
      <c r="BT3424" s="5"/>
      <c r="BU3424" s="5"/>
      <c r="BV3424" s="5"/>
      <c r="BW3424" s="5"/>
      <c r="BX3424" s="5"/>
      <c r="BY3424" s="5"/>
      <c r="BZ3424" s="5"/>
      <c r="CA3424" s="5"/>
    </row>
    <row r="3425" spans="1:79" s="400" customFormat="1" ht="15" customHeight="1">
      <c r="A3425" s="41" t="s">
        <v>183</v>
      </c>
      <c r="B3425" s="402" t="s">
        <v>4845</v>
      </c>
      <c r="C3425" s="113" t="s">
        <v>4846</v>
      </c>
      <c r="D3425" s="393" t="s">
        <v>290</v>
      </c>
      <c r="E3425" s="394" t="s">
        <v>112</v>
      </c>
      <c r="F3425" s="402"/>
      <c r="G3425" s="405" t="s">
        <v>4847</v>
      </c>
      <c r="H3425" s="404"/>
      <c r="I3425" s="402" t="s">
        <v>2</v>
      </c>
      <c r="J3425" s="406" t="s">
        <v>4849</v>
      </c>
      <c r="K3425" s="403">
        <v>41402</v>
      </c>
      <c r="L3425" s="398">
        <v>41383</v>
      </c>
      <c r="M3425" s="402">
        <f t="shared" si="203"/>
        <v>19</v>
      </c>
      <c r="N3425" s="402" t="s">
        <v>2</v>
      </c>
      <c r="O3425" s="404">
        <f t="shared" si="206"/>
        <v>0.5</v>
      </c>
      <c r="P3425" s="402">
        <v>5.96</v>
      </c>
      <c r="Q3425" s="404">
        <v>6.32</v>
      </c>
      <c r="R3425" s="402">
        <v>50.2</v>
      </c>
      <c r="S3425" s="404">
        <v>19</v>
      </c>
      <c r="T3425" s="402">
        <v>0.22</v>
      </c>
      <c r="U3425" s="395">
        <v>1.71</v>
      </c>
      <c r="V3425" s="402">
        <v>0.61</v>
      </c>
      <c r="W3425" s="404">
        <v>2.9000000000000001E-2</v>
      </c>
      <c r="X3425" s="402">
        <v>0.11700000000000001</v>
      </c>
      <c r="Y3425" s="404">
        <v>3.0000000000000001E-3</v>
      </c>
      <c r="Z3425" s="397"/>
      <c r="AA3425" s="399"/>
      <c r="AB3425" s="394"/>
      <c r="AC3425" s="402"/>
      <c r="AD3425" s="399"/>
      <c r="AE3425" s="402"/>
      <c r="AF3425" s="391"/>
      <c r="AG3425" s="394"/>
      <c r="AH3425" s="394"/>
      <c r="AI3425" s="394"/>
      <c r="AJ3425" s="394"/>
      <c r="AK3425" s="394"/>
      <c r="AL3425" s="394"/>
      <c r="AM3425" s="394"/>
      <c r="AN3425" s="394"/>
      <c r="AO3425" s="394"/>
      <c r="AP3425" s="394"/>
      <c r="AQ3425" s="394"/>
      <c r="AR3425" s="394"/>
      <c r="AS3425" s="402"/>
      <c r="AT3425" s="404"/>
      <c r="AU3425" s="394"/>
      <c r="AV3425" s="394"/>
      <c r="AW3425" s="394"/>
      <c r="AX3425" s="5"/>
      <c r="AY3425" s="5"/>
      <c r="AZ3425" s="5"/>
      <c r="BA3425" s="5"/>
      <c r="BB3425" s="5"/>
      <c r="BC3425" s="5"/>
      <c r="BD3425" s="5"/>
      <c r="BE3425" s="5"/>
      <c r="BF3425" s="5"/>
      <c r="BG3425" s="5"/>
      <c r="BH3425" s="5"/>
      <c r="BI3425" s="5"/>
      <c r="BJ3425" s="5"/>
      <c r="BK3425" s="5"/>
      <c r="BL3425" s="5"/>
      <c r="BM3425" s="5"/>
      <c r="BN3425" s="5"/>
      <c r="BO3425" s="5"/>
      <c r="BP3425" s="5"/>
      <c r="BQ3425" s="5"/>
      <c r="BR3425" s="5"/>
      <c r="BS3425" s="5"/>
      <c r="BT3425" s="5"/>
      <c r="BU3425" s="5"/>
      <c r="BV3425" s="5"/>
      <c r="BW3425" s="5"/>
      <c r="BX3425" s="5"/>
      <c r="BY3425" s="5"/>
      <c r="BZ3425" s="5"/>
      <c r="CA3425" s="5"/>
    </row>
    <row r="3426" spans="1:79" s="400" customFormat="1" ht="15" customHeight="1">
      <c r="A3426" s="41" t="s">
        <v>183</v>
      </c>
      <c r="B3426" s="402" t="s">
        <v>4845</v>
      </c>
      <c r="C3426" s="113" t="s">
        <v>4846</v>
      </c>
      <c r="D3426" s="393" t="s">
        <v>290</v>
      </c>
      <c r="E3426" s="394" t="s">
        <v>112</v>
      </c>
      <c r="F3426" s="402"/>
      <c r="G3426" s="405" t="s">
        <v>4847</v>
      </c>
      <c r="H3426" s="404"/>
      <c r="I3426" s="402" t="s">
        <v>2</v>
      </c>
      <c r="J3426" s="406" t="s">
        <v>4850</v>
      </c>
      <c r="K3426" s="403">
        <v>41402</v>
      </c>
      <c r="L3426" s="398">
        <v>41383</v>
      </c>
      <c r="M3426" s="402">
        <f t="shared" si="203"/>
        <v>19</v>
      </c>
      <c r="N3426" s="402" t="s">
        <v>2</v>
      </c>
      <c r="O3426" s="404">
        <f t="shared" si="206"/>
        <v>0.5</v>
      </c>
      <c r="P3426" s="402">
        <v>5.96</v>
      </c>
      <c r="Q3426" s="404">
        <v>6.15</v>
      </c>
      <c r="R3426" s="402">
        <v>63.8</v>
      </c>
      <c r="S3426" s="404">
        <v>24</v>
      </c>
      <c r="T3426" s="402">
        <v>0.24</v>
      </c>
      <c r="U3426" s="395">
        <v>1.71</v>
      </c>
      <c r="V3426" s="402">
        <v>0.46</v>
      </c>
      <c r="W3426" s="404">
        <v>3.5999999999999997E-2</v>
      </c>
      <c r="X3426" s="402">
        <v>0.14399999999999999</v>
      </c>
      <c r="Y3426" s="404">
        <v>4.0000000000000001E-3</v>
      </c>
      <c r="Z3426" s="397"/>
      <c r="AA3426" s="399"/>
      <c r="AB3426" s="394"/>
      <c r="AC3426" s="402"/>
      <c r="AD3426" s="399"/>
      <c r="AE3426" s="402"/>
      <c r="AF3426" s="391"/>
      <c r="AG3426" s="394"/>
      <c r="AH3426" s="394"/>
      <c r="AI3426" s="394"/>
      <c r="AJ3426" s="394"/>
      <c r="AK3426" s="394"/>
      <c r="AL3426" s="394"/>
      <c r="AM3426" s="394"/>
      <c r="AN3426" s="394"/>
      <c r="AO3426" s="394"/>
      <c r="AP3426" s="394"/>
      <c r="AQ3426" s="394"/>
      <c r="AR3426" s="394"/>
      <c r="AS3426" s="402"/>
      <c r="AT3426" s="404"/>
      <c r="AU3426" s="394"/>
      <c r="AV3426" s="394"/>
      <c r="AW3426" s="394"/>
      <c r="AX3426" s="5"/>
      <c r="AY3426" s="5"/>
      <c r="AZ3426" s="5"/>
      <c r="BA3426" s="5"/>
      <c r="BB3426" s="5"/>
      <c r="BC3426" s="5"/>
      <c r="BD3426" s="5"/>
      <c r="BE3426" s="5"/>
      <c r="BF3426" s="5"/>
      <c r="BG3426" s="5"/>
      <c r="BH3426" s="5"/>
      <c r="BI3426" s="5"/>
      <c r="BJ3426" s="5"/>
      <c r="BK3426" s="5"/>
      <c r="BL3426" s="5"/>
      <c r="BM3426" s="5"/>
      <c r="BN3426" s="5"/>
      <c r="BO3426" s="5"/>
      <c r="BP3426" s="5"/>
      <c r="BQ3426" s="5"/>
      <c r="BR3426" s="5"/>
      <c r="BS3426" s="5"/>
      <c r="BT3426" s="5"/>
      <c r="BU3426" s="5"/>
      <c r="BV3426" s="5"/>
      <c r="BW3426" s="5"/>
      <c r="BX3426" s="5"/>
      <c r="BY3426" s="5"/>
      <c r="BZ3426" s="5"/>
      <c r="CA3426" s="5"/>
    </row>
    <row r="3427" spans="1:79" s="400" customFormat="1" ht="15" customHeight="1">
      <c r="A3427" s="41" t="s">
        <v>183</v>
      </c>
      <c r="B3427" s="402" t="s">
        <v>4845</v>
      </c>
      <c r="C3427" s="113" t="s">
        <v>4846</v>
      </c>
      <c r="D3427" s="393" t="s">
        <v>290</v>
      </c>
      <c r="E3427" s="394" t="s">
        <v>112</v>
      </c>
      <c r="F3427" s="402"/>
      <c r="G3427" s="405" t="s">
        <v>4847</v>
      </c>
      <c r="H3427" s="404"/>
      <c r="I3427" s="402" t="s">
        <v>2</v>
      </c>
      <c r="J3427" s="406" t="s">
        <v>4848</v>
      </c>
      <c r="K3427" s="403">
        <v>41364</v>
      </c>
      <c r="L3427" s="398">
        <v>41352</v>
      </c>
      <c r="M3427" s="402">
        <f t="shared" si="203"/>
        <v>12</v>
      </c>
      <c r="N3427" s="402" t="s">
        <v>2</v>
      </c>
      <c r="O3427" s="404">
        <f t="shared" si="206"/>
        <v>0.5</v>
      </c>
      <c r="P3427" s="402">
        <v>6.09</v>
      </c>
      <c r="Q3427" s="404">
        <v>6.63</v>
      </c>
      <c r="R3427" s="402">
        <v>112</v>
      </c>
      <c r="S3427" s="404">
        <v>108</v>
      </c>
      <c r="T3427" s="402">
        <v>0.39</v>
      </c>
      <c r="U3427" s="395">
        <v>2.21</v>
      </c>
      <c r="V3427" s="402">
        <v>1.24</v>
      </c>
      <c r="W3427" s="404">
        <v>0.03</v>
      </c>
      <c r="X3427" s="402">
        <v>0.252</v>
      </c>
      <c r="Y3427" s="404">
        <v>4.0000000000000001E-3</v>
      </c>
      <c r="Z3427" s="397">
        <v>1</v>
      </c>
      <c r="AA3427" s="399">
        <v>1</v>
      </c>
      <c r="AB3427" s="394">
        <v>130.19999999999999</v>
      </c>
      <c r="AC3427" s="402">
        <v>3320</v>
      </c>
      <c r="AD3427" s="399">
        <v>1</v>
      </c>
      <c r="AE3427" s="402"/>
      <c r="AF3427" s="391"/>
      <c r="AG3427" s="394"/>
      <c r="AH3427" s="394"/>
      <c r="AI3427" s="394"/>
      <c r="AJ3427" s="394"/>
      <c r="AK3427" s="394"/>
      <c r="AL3427" s="394"/>
      <c r="AM3427" s="394"/>
      <c r="AN3427" s="394"/>
      <c r="AO3427" s="394"/>
      <c r="AP3427" s="394"/>
      <c r="AQ3427" s="394"/>
      <c r="AR3427" s="394"/>
      <c r="AS3427" s="402"/>
      <c r="AT3427" s="404"/>
      <c r="AU3427" s="394"/>
      <c r="AV3427" s="394"/>
      <c r="AW3427" s="394"/>
      <c r="AX3427" s="5"/>
      <c r="AY3427" s="5"/>
      <c r="AZ3427" s="5"/>
      <c r="BA3427" s="5"/>
      <c r="BB3427" s="5"/>
      <c r="BC3427" s="5"/>
      <c r="BD3427" s="5"/>
      <c r="BE3427" s="5"/>
      <c r="BF3427" s="5"/>
      <c r="BG3427" s="5"/>
      <c r="BH3427" s="5"/>
      <c r="BI3427" s="5"/>
      <c r="BJ3427" s="5"/>
      <c r="BK3427" s="5"/>
      <c r="BL3427" s="5"/>
      <c r="BM3427" s="5"/>
      <c r="BN3427" s="5"/>
      <c r="BO3427" s="5"/>
      <c r="BP3427" s="5"/>
      <c r="BQ3427" s="5"/>
      <c r="BR3427" s="5"/>
      <c r="BS3427" s="5"/>
      <c r="BT3427" s="5"/>
      <c r="BU3427" s="5"/>
      <c r="BV3427" s="5"/>
      <c r="BW3427" s="5"/>
      <c r="BX3427" s="5"/>
      <c r="BY3427" s="5"/>
      <c r="BZ3427" s="5"/>
      <c r="CA3427" s="5"/>
    </row>
    <row r="3428" spans="1:79" s="400" customFormat="1" ht="15" customHeight="1">
      <c r="A3428" s="41" t="s">
        <v>183</v>
      </c>
      <c r="B3428" s="402" t="s">
        <v>4845</v>
      </c>
      <c r="C3428" s="113" t="s">
        <v>4846</v>
      </c>
      <c r="D3428" s="393" t="s">
        <v>290</v>
      </c>
      <c r="E3428" s="394" t="s">
        <v>112</v>
      </c>
      <c r="F3428" s="402"/>
      <c r="G3428" s="405" t="s">
        <v>4847</v>
      </c>
      <c r="H3428" s="404"/>
      <c r="I3428" s="402" t="s">
        <v>2</v>
      </c>
      <c r="J3428" s="406" t="s">
        <v>4849</v>
      </c>
      <c r="K3428" s="403">
        <v>41364</v>
      </c>
      <c r="L3428" s="398">
        <v>41352</v>
      </c>
      <c r="M3428" s="402">
        <f t="shared" si="203"/>
        <v>12</v>
      </c>
      <c r="N3428" s="402" t="s">
        <v>2</v>
      </c>
      <c r="O3428" s="404">
        <f t="shared" si="206"/>
        <v>0.5</v>
      </c>
      <c r="P3428" s="402">
        <v>6.09</v>
      </c>
      <c r="Q3428" s="404">
        <v>6.96</v>
      </c>
      <c r="R3428" s="402">
        <v>80.900000000000006</v>
      </c>
      <c r="S3428" s="404">
        <v>103</v>
      </c>
      <c r="T3428" s="402">
        <v>0.3</v>
      </c>
      <c r="U3428" s="395">
        <v>0.96</v>
      </c>
      <c r="V3428" s="402">
        <v>0.74</v>
      </c>
      <c r="W3428" s="404">
        <v>3.6999999999999998E-2</v>
      </c>
      <c r="X3428" s="402">
        <v>0.24299999999999999</v>
      </c>
      <c r="Y3428" s="404">
        <v>5.0000000000000001E-3</v>
      </c>
      <c r="Z3428" s="397">
        <v>1</v>
      </c>
      <c r="AA3428" s="399">
        <v>1</v>
      </c>
      <c r="AB3428" s="394">
        <v>41.95</v>
      </c>
      <c r="AC3428" s="402">
        <v>574</v>
      </c>
      <c r="AD3428" s="399">
        <v>1</v>
      </c>
      <c r="AE3428" s="402"/>
      <c r="AF3428" s="391"/>
      <c r="AG3428" s="394"/>
      <c r="AH3428" s="394"/>
      <c r="AI3428" s="394"/>
      <c r="AJ3428" s="394"/>
      <c r="AK3428" s="394"/>
      <c r="AL3428" s="394"/>
      <c r="AM3428" s="394"/>
      <c r="AN3428" s="394"/>
      <c r="AO3428" s="394"/>
      <c r="AP3428" s="394"/>
      <c r="AQ3428" s="394"/>
      <c r="AR3428" s="394"/>
      <c r="AS3428" s="402"/>
      <c r="AT3428" s="404"/>
      <c r="AU3428" s="394"/>
      <c r="AV3428" s="394"/>
      <c r="AW3428" s="394"/>
      <c r="AX3428" s="5"/>
      <c r="AY3428" s="5"/>
      <c r="AZ3428" s="5"/>
      <c r="BA3428" s="5"/>
      <c r="BB3428" s="5"/>
      <c r="BC3428" s="5"/>
      <c r="BD3428" s="5"/>
      <c r="BE3428" s="5"/>
      <c r="BF3428" s="5"/>
      <c r="BG3428" s="5"/>
      <c r="BH3428" s="5"/>
      <c r="BI3428" s="5"/>
      <c r="BJ3428" s="5"/>
      <c r="BK3428" s="5"/>
      <c r="BL3428" s="5"/>
      <c r="BM3428" s="5"/>
      <c r="BN3428" s="5"/>
      <c r="BO3428" s="5"/>
      <c r="BP3428" s="5"/>
      <c r="BQ3428" s="5"/>
      <c r="BR3428" s="5"/>
      <c r="BS3428" s="5"/>
      <c r="BT3428" s="5"/>
      <c r="BU3428" s="5"/>
      <c r="BV3428" s="5"/>
      <c r="BW3428" s="5"/>
      <c r="BX3428" s="5"/>
      <c r="BY3428" s="5"/>
      <c r="BZ3428" s="5"/>
      <c r="CA3428" s="5"/>
    </row>
    <row r="3429" spans="1:79" s="400" customFormat="1" ht="15" customHeight="1">
      <c r="A3429" s="41" t="s">
        <v>183</v>
      </c>
      <c r="B3429" s="402" t="s">
        <v>4845</v>
      </c>
      <c r="C3429" s="113" t="s">
        <v>4846</v>
      </c>
      <c r="D3429" s="393" t="s">
        <v>290</v>
      </c>
      <c r="E3429" s="394" t="s">
        <v>112</v>
      </c>
      <c r="F3429" s="402"/>
      <c r="G3429" s="405" t="s">
        <v>4847</v>
      </c>
      <c r="H3429" s="404"/>
      <c r="I3429" s="402" t="s">
        <v>2</v>
      </c>
      <c r="J3429" s="406" t="s">
        <v>4850</v>
      </c>
      <c r="K3429" s="403">
        <v>41364</v>
      </c>
      <c r="L3429" s="398">
        <v>41352</v>
      </c>
      <c r="M3429" s="402">
        <f t="shared" si="203"/>
        <v>12</v>
      </c>
      <c r="N3429" s="402" t="s">
        <v>2</v>
      </c>
      <c r="O3429" s="404">
        <f t="shared" si="206"/>
        <v>0.5</v>
      </c>
      <c r="P3429" s="402">
        <v>60.9</v>
      </c>
      <c r="Q3429" s="404">
        <v>6.88</v>
      </c>
      <c r="R3429" s="402">
        <v>94.2</v>
      </c>
      <c r="S3429" s="404">
        <v>64</v>
      </c>
      <c r="T3429" s="402">
        <v>0.23</v>
      </c>
      <c r="U3429" s="395">
        <v>1.22</v>
      </c>
      <c r="V3429" s="402">
        <v>0.56000000000000005</v>
      </c>
      <c r="W3429" s="404">
        <v>2.5999999999999999E-2</v>
      </c>
      <c r="X3429" s="402">
        <v>0.36</v>
      </c>
      <c r="Y3429" s="404">
        <v>3.0000000000000001E-3</v>
      </c>
      <c r="Z3429" s="397">
        <v>1</v>
      </c>
      <c r="AA3429" s="399">
        <v>1</v>
      </c>
      <c r="AB3429" s="394">
        <v>68.36</v>
      </c>
      <c r="AC3429" s="402">
        <v>3170</v>
      </c>
      <c r="AD3429" s="399">
        <v>1</v>
      </c>
      <c r="AE3429" s="402"/>
      <c r="AF3429" s="391"/>
      <c r="AG3429" s="394"/>
      <c r="AH3429" s="394"/>
      <c r="AI3429" s="394"/>
      <c r="AJ3429" s="394"/>
      <c r="AK3429" s="394"/>
      <c r="AL3429" s="394"/>
      <c r="AM3429" s="394"/>
      <c r="AN3429" s="394"/>
      <c r="AO3429" s="394"/>
      <c r="AP3429" s="394"/>
      <c r="AQ3429" s="394"/>
      <c r="AR3429" s="394"/>
      <c r="AS3429" s="402"/>
      <c r="AT3429" s="404"/>
      <c r="AU3429" s="394"/>
      <c r="AV3429" s="394"/>
      <c r="AW3429" s="394"/>
      <c r="AX3429" s="5"/>
      <c r="AY3429" s="5"/>
      <c r="AZ3429" s="5"/>
      <c r="BA3429" s="5"/>
      <c r="BB3429" s="5"/>
      <c r="BC3429" s="5"/>
      <c r="BD3429" s="5"/>
      <c r="BE3429" s="5"/>
      <c r="BF3429" s="5"/>
      <c r="BG3429" s="5"/>
      <c r="BH3429" s="5"/>
      <c r="BI3429" s="5"/>
      <c r="BJ3429" s="5"/>
      <c r="BK3429" s="5"/>
      <c r="BL3429" s="5"/>
      <c r="BM3429" s="5"/>
      <c r="BN3429" s="5"/>
      <c r="BO3429" s="5"/>
      <c r="BP3429" s="5"/>
      <c r="BQ3429" s="5"/>
      <c r="BR3429" s="5"/>
      <c r="BS3429" s="5"/>
      <c r="BT3429" s="5"/>
      <c r="BU3429" s="5"/>
      <c r="BV3429" s="5"/>
      <c r="BW3429" s="5"/>
      <c r="BX3429" s="5"/>
      <c r="BY3429" s="5"/>
      <c r="BZ3429" s="5"/>
      <c r="CA3429" s="5"/>
    </row>
    <row r="3430" spans="1:79" s="400" customFormat="1" ht="15" customHeight="1">
      <c r="A3430" s="427" t="s">
        <v>5328</v>
      </c>
      <c r="B3430" s="402" t="s">
        <v>5849</v>
      </c>
      <c r="C3430" s="113" t="s">
        <v>5850</v>
      </c>
      <c r="D3430" s="393" t="s">
        <v>1484</v>
      </c>
      <c r="E3430" s="394" t="s">
        <v>3758</v>
      </c>
      <c r="F3430" s="402"/>
      <c r="G3430" s="405" t="s">
        <v>3759</v>
      </c>
      <c r="H3430" s="404">
        <v>1442</v>
      </c>
      <c r="I3430" s="402" t="s">
        <v>2</v>
      </c>
      <c r="J3430" s="406" t="s">
        <v>3760</v>
      </c>
      <c r="K3430" s="403">
        <v>41402</v>
      </c>
      <c r="L3430" s="398">
        <v>41384</v>
      </c>
      <c r="M3430" s="402">
        <f t="shared" si="203"/>
        <v>18</v>
      </c>
      <c r="N3430" s="402" t="s">
        <v>2</v>
      </c>
      <c r="O3430" s="404">
        <v>14</v>
      </c>
      <c r="P3430" s="402">
        <v>6.2</v>
      </c>
      <c r="Q3430" s="404">
        <v>6.77</v>
      </c>
      <c r="R3430" s="402">
        <v>487</v>
      </c>
      <c r="S3430" s="404">
        <v>2300</v>
      </c>
      <c r="T3430" s="402">
        <v>2.04</v>
      </c>
      <c r="U3430" s="395">
        <v>5.2</v>
      </c>
      <c r="V3430" s="402">
        <v>0.05</v>
      </c>
      <c r="W3430" s="404">
        <v>9.4E-2</v>
      </c>
      <c r="X3430" s="402">
        <v>0.45600000000000002</v>
      </c>
      <c r="Y3430" s="404">
        <v>3.6999999999999998E-2</v>
      </c>
      <c r="Z3430" s="397"/>
      <c r="AA3430" s="399"/>
      <c r="AB3430" s="394"/>
      <c r="AC3430" s="402"/>
      <c r="AD3430" s="399"/>
      <c r="AE3430" s="402"/>
      <c r="AF3430" s="391"/>
      <c r="AG3430" s="394"/>
      <c r="AH3430" s="394"/>
      <c r="AI3430" s="394"/>
      <c r="AJ3430" s="394"/>
      <c r="AK3430" s="394"/>
      <c r="AL3430" s="394"/>
      <c r="AM3430" s="394"/>
      <c r="AN3430" s="394"/>
      <c r="AO3430" s="394"/>
      <c r="AP3430" s="394"/>
      <c r="AQ3430" s="394"/>
      <c r="AR3430" s="394"/>
      <c r="AS3430" s="402"/>
      <c r="AT3430" s="404"/>
      <c r="AU3430" s="394"/>
      <c r="AV3430" s="394"/>
      <c r="AW3430" s="394"/>
      <c r="AX3430" s="5"/>
      <c r="AY3430" s="5"/>
      <c r="AZ3430" s="5"/>
      <c r="BA3430" s="5"/>
      <c r="BB3430" s="5"/>
      <c r="BC3430" s="5"/>
      <c r="BD3430" s="5"/>
      <c r="BE3430" s="5"/>
      <c r="BF3430" s="5"/>
      <c r="BG3430" s="5"/>
      <c r="BH3430" s="5"/>
      <c r="BI3430" s="5"/>
      <c r="BJ3430" s="5"/>
      <c r="BK3430" s="5"/>
      <c r="BL3430" s="5"/>
      <c r="BM3430" s="5"/>
      <c r="BN3430" s="5"/>
      <c r="BO3430" s="5"/>
      <c r="BP3430" s="5"/>
      <c r="BQ3430" s="5"/>
      <c r="BR3430" s="5"/>
      <c r="BS3430" s="5"/>
      <c r="BT3430" s="5"/>
      <c r="BU3430" s="5"/>
      <c r="BV3430" s="5"/>
      <c r="BW3430" s="5"/>
      <c r="BX3430" s="5"/>
      <c r="BY3430" s="5"/>
      <c r="BZ3430" s="5"/>
      <c r="CA3430" s="5"/>
    </row>
    <row r="3431" spans="1:79" s="400" customFormat="1" ht="15" customHeight="1">
      <c r="A3431" s="404" t="s">
        <v>5328</v>
      </c>
      <c r="B3431" s="402" t="s">
        <v>5849</v>
      </c>
      <c r="C3431" s="113" t="s">
        <v>5851</v>
      </c>
      <c r="D3431" s="393" t="s">
        <v>308</v>
      </c>
      <c r="E3431" s="394" t="s">
        <v>3754</v>
      </c>
      <c r="F3431" s="402"/>
      <c r="G3431" s="405" t="s">
        <v>3755</v>
      </c>
      <c r="H3431" s="404">
        <v>1442</v>
      </c>
      <c r="I3431" s="402" t="s">
        <v>2</v>
      </c>
      <c r="J3431" s="406" t="s">
        <v>3756</v>
      </c>
      <c r="K3431" s="403">
        <v>41402</v>
      </c>
      <c r="L3431" s="398">
        <v>41384</v>
      </c>
      <c r="M3431" s="402">
        <f t="shared" si="203"/>
        <v>18</v>
      </c>
      <c r="N3431" s="402" t="s">
        <v>2</v>
      </c>
      <c r="O3431" s="404">
        <v>6.8</v>
      </c>
      <c r="P3431" s="402">
        <v>6.4</v>
      </c>
      <c r="Q3431" s="404">
        <v>7.61</v>
      </c>
      <c r="R3431" s="402">
        <v>250</v>
      </c>
      <c r="S3431" s="404">
        <v>700</v>
      </c>
      <c r="T3431" s="402">
        <v>1.04</v>
      </c>
      <c r="U3431" s="395">
        <v>4.09</v>
      </c>
      <c r="V3431" s="402">
        <v>3.12</v>
      </c>
      <c r="W3431" s="404">
        <v>4.2000000000000003E-2</v>
      </c>
      <c r="X3431" s="402">
        <v>0.161</v>
      </c>
      <c r="Y3431" s="404">
        <v>2.1999999999999999E-2</v>
      </c>
      <c r="Z3431" s="397"/>
      <c r="AA3431" s="399"/>
      <c r="AB3431" s="394"/>
      <c r="AC3431" s="402"/>
      <c r="AD3431" s="399"/>
      <c r="AE3431" s="402"/>
      <c r="AF3431" s="391"/>
      <c r="AG3431" s="394"/>
      <c r="AH3431" s="394"/>
      <c r="AI3431" s="394"/>
      <c r="AJ3431" s="394"/>
      <c r="AK3431" s="394"/>
      <c r="AL3431" s="394"/>
      <c r="AM3431" s="394"/>
      <c r="AN3431" s="394"/>
      <c r="AO3431" s="394"/>
      <c r="AP3431" s="394"/>
      <c r="AQ3431" s="394"/>
      <c r="AR3431" s="394"/>
      <c r="AS3431" s="402"/>
      <c r="AT3431" s="404"/>
      <c r="AU3431" s="394"/>
      <c r="AV3431" s="394"/>
      <c r="AW3431" s="394"/>
      <c r="AX3431" s="5"/>
      <c r="AY3431" s="5"/>
      <c r="AZ3431" s="5"/>
      <c r="BA3431" s="5"/>
      <c r="BB3431" s="5"/>
      <c r="BC3431" s="5"/>
      <c r="BD3431" s="5"/>
      <c r="BE3431" s="5"/>
      <c r="BF3431" s="5"/>
      <c r="BG3431" s="5"/>
      <c r="BH3431" s="5"/>
      <c r="BI3431" s="5"/>
      <c r="BJ3431" s="5"/>
      <c r="BK3431" s="5"/>
      <c r="BL3431" s="5"/>
      <c r="BM3431" s="5"/>
      <c r="BN3431" s="5"/>
      <c r="BO3431" s="5"/>
      <c r="BP3431" s="5"/>
      <c r="BQ3431" s="5"/>
      <c r="BR3431" s="5"/>
      <c r="BS3431" s="5"/>
      <c r="BT3431" s="5"/>
      <c r="BU3431" s="5"/>
      <c r="BV3431" s="5"/>
      <c r="BW3431" s="5"/>
      <c r="BX3431" s="5"/>
      <c r="BY3431" s="5"/>
      <c r="BZ3431" s="5"/>
      <c r="CA3431" s="5"/>
    </row>
    <row r="3432" spans="1:79" s="400" customFormat="1" ht="15" customHeight="1">
      <c r="A3432" s="404" t="s">
        <v>5328</v>
      </c>
      <c r="B3432" s="402" t="s">
        <v>5849</v>
      </c>
      <c r="C3432" s="113" t="s">
        <v>3749</v>
      </c>
      <c r="D3432" s="393" t="s">
        <v>1135</v>
      </c>
      <c r="E3432" s="394" t="s">
        <v>3750</v>
      </c>
      <c r="F3432" s="402"/>
      <c r="G3432" s="405" t="s">
        <v>3751</v>
      </c>
      <c r="H3432" s="404">
        <v>3273</v>
      </c>
      <c r="I3432" s="402" t="s">
        <v>2</v>
      </c>
      <c r="J3432" s="406" t="s">
        <v>3752</v>
      </c>
      <c r="K3432" s="403">
        <v>41402</v>
      </c>
      <c r="L3432" s="398">
        <v>41384</v>
      </c>
      <c r="M3432" s="402">
        <f t="shared" si="203"/>
        <v>18</v>
      </c>
      <c r="N3432" s="402" t="s">
        <v>2</v>
      </c>
      <c r="O3432" s="404">
        <v>3.6</v>
      </c>
      <c r="P3432" s="402">
        <v>6.7</v>
      </c>
      <c r="Q3432" s="404">
        <v>9.52</v>
      </c>
      <c r="R3432" s="402">
        <v>105</v>
      </c>
      <c r="S3432" s="404">
        <v>170</v>
      </c>
      <c r="T3432" s="402">
        <v>0.57999999999999996</v>
      </c>
      <c r="U3432" s="395">
        <v>1.4</v>
      </c>
      <c r="V3432" s="402">
        <v>0.03</v>
      </c>
      <c r="W3432" s="404">
        <v>0.01</v>
      </c>
      <c r="X3432" s="402">
        <v>9.8000000000000004E-2</v>
      </c>
      <c r="Y3432" s="404">
        <v>1.2E-2</v>
      </c>
      <c r="Z3432" s="397"/>
      <c r="AA3432" s="399"/>
      <c r="AB3432" s="394"/>
      <c r="AC3432" s="402"/>
      <c r="AD3432" s="399"/>
      <c r="AE3432" s="402"/>
      <c r="AF3432" s="391"/>
      <c r="AG3432" s="394"/>
      <c r="AH3432" s="394"/>
      <c r="AI3432" s="394"/>
      <c r="AJ3432" s="394"/>
      <c r="AK3432" s="394"/>
      <c r="AL3432" s="394"/>
      <c r="AM3432" s="394"/>
      <c r="AN3432" s="394"/>
      <c r="AO3432" s="394"/>
      <c r="AP3432" s="394"/>
      <c r="AQ3432" s="394"/>
      <c r="AR3432" s="394"/>
      <c r="AS3432" s="402"/>
      <c r="AT3432" s="404"/>
      <c r="AU3432" s="394"/>
      <c r="AV3432" s="394"/>
      <c r="AW3432" s="394"/>
      <c r="AX3432" s="5"/>
      <c r="AY3432" s="5"/>
      <c r="AZ3432" s="5"/>
      <c r="BA3432" s="5"/>
      <c r="BB3432" s="5"/>
      <c r="BC3432" s="5"/>
      <c r="BD3432" s="5"/>
      <c r="BE3432" s="5"/>
      <c r="BF3432" s="5"/>
      <c r="BG3432" s="5"/>
      <c r="BH3432" s="5"/>
      <c r="BI3432" s="5"/>
      <c r="BJ3432" s="5"/>
      <c r="BK3432" s="5"/>
      <c r="BL3432" s="5"/>
      <c r="BM3432" s="5"/>
      <c r="BN3432" s="5"/>
      <c r="BO3432" s="5"/>
      <c r="BP3432" s="5"/>
      <c r="BQ3432" s="5"/>
      <c r="BR3432" s="5"/>
      <c r="BS3432" s="5"/>
      <c r="BT3432" s="5"/>
      <c r="BU3432" s="5"/>
      <c r="BV3432" s="5"/>
      <c r="BW3432" s="5"/>
      <c r="BX3432" s="5"/>
      <c r="BY3432" s="5"/>
      <c r="BZ3432" s="5"/>
      <c r="CA3432" s="5"/>
    </row>
    <row r="3433" spans="1:79" s="400" customFormat="1" ht="15" customHeight="1">
      <c r="A3433" s="404" t="s">
        <v>5328</v>
      </c>
      <c r="B3433" s="402" t="s">
        <v>5849</v>
      </c>
      <c r="C3433" s="113" t="s">
        <v>5852</v>
      </c>
      <c r="D3433" s="393" t="s">
        <v>150</v>
      </c>
      <c r="E3433" s="394" t="s">
        <v>686</v>
      </c>
      <c r="F3433" s="402">
        <v>6919</v>
      </c>
      <c r="G3433" s="405" t="s">
        <v>3748</v>
      </c>
      <c r="H3433" s="404">
        <v>1429</v>
      </c>
      <c r="I3433" s="402" t="s">
        <v>2</v>
      </c>
      <c r="J3433" s="406" t="s">
        <v>3746</v>
      </c>
      <c r="K3433" s="403">
        <v>41417</v>
      </c>
      <c r="L3433" s="398">
        <v>41413</v>
      </c>
      <c r="M3433" s="402">
        <f t="shared" si="203"/>
        <v>4</v>
      </c>
      <c r="N3433" s="402" t="s">
        <v>2</v>
      </c>
      <c r="O3433" s="404">
        <f>1.6/2</f>
        <v>0.8</v>
      </c>
      <c r="P3433" s="402">
        <v>4</v>
      </c>
      <c r="Q3433" s="404">
        <v>6.21</v>
      </c>
      <c r="R3433" s="402">
        <v>146</v>
      </c>
      <c r="S3433" s="404">
        <v>320</v>
      </c>
      <c r="T3433" s="402">
        <v>0.5</v>
      </c>
      <c r="U3433" s="395">
        <v>2.17</v>
      </c>
      <c r="V3433" s="402">
        <v>0.17</v>
      </c>
      <c r="W3433" s="404">
        <v>1.7000000000000001E-2</v>
      </c>
      <c r="X3433" s="402">
        <v>4.7E-2</v>
      </c>
      <c r="Y3433" s="404">
        <v>1.0999999999999999E-2</v>
      </c>
      <c r="Z3433" s="397"/>
      <c r="AA3433" s="399"/>
      <c r="AB3433" s="394"/>
      <c r="AC3433" s="402"/>
      <c r="AD3433" s="399"/>
      <c r="AE3433" s="402"/>
      <c r="AF3433" s="391"/>
      <c r="AG3433" s="394"/>
      <c r="AH3433" s="394"/>
      <c r="AI3433" s="394"/>
      <c r="AJ3433" s="394"/>
      <c r="AK3433" s="394"/>
      <c r="AL3433" s="394"/>
      <c r="AM3433" s="394"/>
      <c r="AN3433" s="394"/>
      <c r="AO3433" s="394"/>
      <c r="AP3433" s="394"/>
      <c r="AQ3433" s="394"/>
      <c r="AR3433" s="394"/>
      <c r="AS3433" s="402"/>
      <c r="AT3433" s="404"/>
      <c r="AU3433" s="394"/>
      <c r="AV3433" s="394"/>
      <c r="AW3433" s="394"/>
      <c r="AX3433" s="5"/>
      <c r="AY3433" s="5"/>
      <c r="AZ3433" s="5"/>
      <c r="BA3433" s="5"/>
      <c r="BB3433" s="5"/>
      <c r="BC3433" s="5"/>
      <c r="BD3433" s="5"/>
      <c r="BE3433" s="5"/>
      <c r="BF3433" s="5"/>
      <c r="BG3433" s="5"/>
      <c r="BH3433" s="5"/>
      <c r="BI3433" s="5"/>
      <c r="BJ3433" s="5"/>
      <c r="BK3433" s="5"/>
      <c r="BL3433" s="5"/>
      <c r="BM3433" s="5"/>
      <c r="BN3433" s="5"/>
      <c r="BO3433" s="5"/>
      <c r="BP3433" s="5"/>
      <c r="BQ3433" s="5"/>
      <c r="BR3433" s="5"/>
      <c r="BS3433" s="5"/>
      <c r="BT3433" s="5"/>
      <c r="BU3433" s="5"/>
      <c r="BV3433" s="5"/>
      <c r="BW3433" s="5"/>
      <c r="BX3433" s="5"/>
      <c r="BY3433" s="5"/>
      <c r="BZ3433" s="5"/>
      <c r="CA3433" s="5"/>
    </row>
    <row r="3434" spans="1:79" s="400" customFormat="1" ht="15" customHeight="1">
      <c r="A3434" s="41" t="s">
        <v>183</v>
      </c>
      <c r="B3434" s="402" t="s">
        <v>345</v>
      </c>
      <c r="C3434" s="113" t="s">
        <v>2000</v>
      </c>
      <c r="D3434" s="393" t="s">
        <v>347</v>
      </c>
      <c r="E3434" s="394" t="s">
        <v>112</v>
      </c>
      <c r="F3434" s="402"/>
      <c r="G3434" s="405" t="s">
        <v>348</v>
      </c>
      <c r="H3434" s="404">
        <v>4952</v>
      </c>
      <c r="I3434" s="402" t="s">
        <v>1</v>
      </c>
      <c r="J3434" s="401" t="s">
        <v>593</v>
      </c>
      <c r="K3434" s="403">
        <v>41464</v>
      </c>
      <c r="L3434" s="398">
        <v>41456</v>
      </c>
      <c r="M3434" s="402">
        <f t="shared" si="203"/>
        <v>8</v>
      </c>
      <c r="N3434" s="402" t="s">
        <v>2</v>
      </c>
      <c r="O3434" s="404">
        <f>1.4/2</f>
        <v>0.7</v>
      </c>
      <c r="P3434" s="402">
        <v>5.2</v>
      </c>
      <c r="Q3434" s="404">
        <v>6.5</v>
      </c>
      <c r="R3434" s="402">
        <v>65</v>
      </c>
      <c r="S3434" s="404">
        <v>170</v>
      </c>
      <c r="T3434" s="402">
        <v>0.36</v>
      </c>
      <c r="U3434" s="395">
        <v>2.88</v>
      </c>
      <c r="V3434" s="402">
        <v>0.55000000000000004</v>
      </c>
      <c r="W3434" s="404">
        <v>3.5999999999999997E-2</v>
      </c>
      <c r="X3434" s="402">
        <v>0.14099999999999999</v>
      </c>
      <c r="Y3434" s="404">
        <v>3.6999999999999998E-2</v>
      </c>
      <c r="Z3434" s="397"/>
      <c r="AA3434" s="399"/>
      <c r="AB3434" s="394"/>
      <c r="AC3434" s="402"/>
      <c r="AD3434" s="399"/>
      <c r="AE3434" s="402"/>
      <c r="AF3434" s="391"/>
      <c r="AG3434" s="394"/>
      <c r="AH3434" s="394"/>
      <c r="AI3434" s="394"/>
      <c r="AJ3434" s="394"/>
      <c r="AK3434" s="394"/>
      <c r="AL3434" s="394"/>
      <c r="AM3434" s="394"/>
      <c r="AN3434" s="394"/>
      <c r="AO3434" s="394"/>
      <c r="AP3434" s="394"/>
      <c r="AQ3434" s="394"/>
      <c r="AR3434" s="394"/>
      <c r="AS3434" s="402"/>
      <c r="AT3434" s="404"/>
      <c r="AU3434" s="394"/>
      <c r="AV3434" s="394"/>
      <c r="AW3434" s="394"/>
      <c r="AX3434" s="5"/>
      <c r="AY3434" s="5"/>
      <c r="AZ3434" s="5"/>
      <c r="BA3434" s="5"/>
      <c r="BB3434" s="5"/>
      <c r="BC3434" s="5"/>
      <c r="BD3434" s="5"/>
      <c r="BE3434" s="5"/>
      <c r="BF3434" s="5"/>
      <c r="BG3434" s="5"/>
      <c r="BH3434" s="5"/>
      <c r="BI3434" s="5"/>
      <c r="BJ3434" s="5"/>
      <c r="BK3434" s="5"/>
      <c r="BL3434" s="5"/>
      <c r="BM3434" s="5"/>
      <c r="BN3434" s="5"/>
      <c r="BO3434" s="5"/>
      <c r="BP3434" s="5"/>
      <c r="BQ3434" s="5"/>
      <c r="BR3434" s="5"/>
      <c r="BS3434" s="5"/>
      <c r="BT3434" s="5"/>
      <c r="BU3434" s="5"/>
      <c r="BV3434" s="5"/>
      <c r="BW3434" s="5"/>
      <c r="BX3434" s="5"/>
      <c r="BY3434" s="5"/>
      <c r="BZ3434" s="5"/>
      <c r="CA3434" s="5"/>
    </row>
    <row r="3435" spans="1:79" s="400" customFormat="1" ht="15" customHeight="1">
      <c r="A3435" s="41" t="s">
        <v>183</v>
      </c>
      <c r="B3435" s="402" t="s">
        <v>1940</v>
      </c>
      <c r="C3435" s="113" t="s">
        <v>5853</v>
      </c>
      <c r="D3435" s="393" t="s">
        <v>1837</v>
      </c>
      <c r="E3435" s="394" t="s">
        <v>1941</v>
      </c>
      <c r="F3435" s="402" t="s">
        <v>112</v>
      </c>
      <c r="G3435" s="405" t="s">
        <v>1942</v>
      </c>
      <c r="H3435" s="404">
        <v>3812</v>
      </c>
      <c r="I3435" s="402" t="s">
        <v>2</v>
      </c>
      <c r="J3435" s="406" t="s">
        <v>1943</v>
      </c>
      <c r="K3435" s="403">
        <v>41324</v>
      </c>
      <c r="L3435" s="398">
        <v>41316</v>
      </c>
      <c r="M3435" s="402">
        <f t="shared" si="203"/>
        <v>8</v>
      </c>
      <c r="N3435" s="402" t="s">
        <v>1</v>
      </c>
      <c r="O3435" s="404">
        <f>2/2</f>
        <v>1</v>
      </c>
      <c r="P3435" s="402">
        <v>8.1999999999999993</v>
      </c>
      <c r="Q3435" s="404">
        <v>6.5</v>
      </c>
      <c r="R3435" s="402">
        <f>10/2</f>
        <v>5</v>
      </c>
      <c r="S3435" s="404">
        <v>2</v>
      </c>
      <c r="T3435" s="402">
        <f>0.05/2</f>
        <v>2.5000000000000001E-2</v>
      </c>
      <c r="U3435" s="395">
        <v>0.43</v>
      </c>
      <c r="V3435" s="402">
        <v>0.42</v>
      </c>
      <c r="W3435" s="404">
        <f>0.01/2</f>
        <v>5.0000000000000001E-3</v>
      </c>
      <c r="X3435" s="402">
        <f>0.03/2</f>
        <v>1.4999999999999999E-2</v>
      </c>
      <c r="Y3435" s="404">
        <f>0.03/2</f>
        <v>1.4999999999999999E-2</v>
      </c>
      <c r="Z3435" s="397">
        <v>1</v>
      </c>
      <c r="AA3435" s="399">
        <v>1</v>
      </c>
      <c r="AB3435" s="394">
        <v>62</v>
      </c>
      <c r="AC3435" s="402">
        <v>311</v>
      </c>
      <c r="AD3435" s="399">
        <v>0.75</v>
      </c>
      <c r="AE3435" s="402"/>
      <c r="AF3435" s="391"/>
      <c r="AG3435" s="394"/>
      <c r="AH3435" s="394"/>
      <c r="AI3435" s="394"/>
      <c r="AJ3435" s="394"/>
      <c r="AK3435" s="394"/>
      <c r="AL3435" s="394"/>
      <c r="AM3435" s="394"/>
      <c r="AN3435" s="394"/>
      <c r="AO3435" s="394"/>
      <c r="AP3435" s="394"/>
      <c r="AQ3435" s="394"/>
      <c r="AR3435" s="394"/>
      <c r="AS3435" s="402"/>
      <c r="AT3435" s="404"/>
      <c r="AU3435" s="394"/>
      <c r="AV3435" s="394"/>
      <c r="AW3435" s="394"/>
      <c r="AX3435" s="5"/>
      <c r="AY3435" s="5"/>
      <c r="AZ3435" s="5"/>
      <c r="BA3435" s="5"/>
      <c r="BB3435" s="5"/>
      <c r="BC3435" s="5"/>
      <c r="BD3435" s="5"/>
      <c r="BE3435" s="5"/>
      <c r="BF3435" s="5"/>
      <c r="BG3435" s="5"/>
      <c r="BH3435" s="5"/>
      <c r="BI3435" s="5"/>
      <c r="BJ3435" s="5"/>
      <c r="BK3435" s="5"/>
      <c r="BL3435" s="5"/>
      <c r="BM3435" s="5"/>
      <c r="BN3435" s="5"/>
      <c r="BO3435" s="5"/>
      <c r="BP3435" s="5"/>
      <c r="BQ3435" s="5"/>
      <c r="BR3435" s="5"/>
      <c r="BS3435" s="5"/>
      <c r="BT3435" s="5"/>
      <c r="BU3435" s="5"/>
      <c r="BV3435" s="5"/>
      <c r="BW3435" s="5"/>
      <c r="BX3435" s="5"/>
      <c r="BY3435" s="5"/>
      <c r="BZ3435" s="5"/>
      <c r="CA3435" s="5"/>
    </row>
    <row r="3436" spans="1:79" s="400" customFormat="1" ht="15" customHeight="1">
      <c r="A3436" s="41" t="s">
        <v>183</v>
      </c>
      <c r="B3436" s="402" t="s">
        <v>1940</v>
      </c>
      <c r="C3436" s="113" t="s">
        <v>5853</v>
      </c>
      <c r="D3436" s="393" t="s">
        <v>1837</v>
      </c>
      <c r="E3436" s="394" t="s">
        <v>1941</v>
      </c>
      <c r="F3436" s="402" t="s">
        <v>112</v>
      </c>
      <c r="G3436" s="405" t="s">
        <v>1942</v>
      </c>
      <c r="H3436" s="404">
        <v>3812</v>
      </c>
      <c r="I3436" s="402" t="s">
        <v>2</v>
      </c>
      <c r="J3436" s="406" t="s">
        <v>425</v>
      </c>
      <c r="K3436" s="403">
        <v>41324</v>
      </c>
      <c r="L3436" s="398">
        <v>41316</v>
      </c>
      <c r="M3436" s="402">
        <v>8</v>
      </c>
      <c r="N3436" s="402" t="s">
        <v>1</v>
      </c>
      <c r="O3436" s="404">
        <f>2/2</f>
        <v>1</v>
      </c>
      <c r="P3436" s="402">
        <v>8.1999999999999993</v>
      </c>
      <c r="Q3436" s="404">
        <v>4.5</v>
      </c>
      <c r="R3436" s="402">
        <f>10/2</f>
        <v>5</v>
      </c>
      <c r="S3436" s="404">
        <v>3</v>
      </c>
      <c r="T3436" s="402">
        <f>0.05/2</f>
        <v>2.5000000000000001E-2</v>
      </c>
      <c r="U3436" s="395">
        <v>0.54</v>
      </c>
      <c r="V3436" s="402">
        <v>0.72</v>
      </c>
      <c r="W3436" s="404">
        <v>1.2999999999999999E-2</v>
      </c>
      <c r="X3436" s="402">
        <v>0.20699999999999999</v>
      </c>
      <c r="Y3436" s="404">
        <f>0.03/2</f>
        <v>1.4999999999999999E-2</v>
      </c>
      <c r="Z3436" s="397">
        <v>1</v>
      </c>
      <c r="AA3436" s="399">
        <v>0.63700000000000001</v>
      </c>
      <c r="AB3436" s="394">
        <f>2/2</f>
        <v>1</v>
      </c>
      <c r="AC3436" s="402">
        <v>19</v>
      </c>
      <c r="AD3436" s="399">
        <v>0</v>
      </c>
      <c r="AE3436" s="402"/>
      <c r="AF3436" s="391"/>
      <c r="AG3436" s="394"/>
      <c r="AH3436" s="394"/>
      <c r="AI3436" s="394"/>
      <c r="AJ3436" s="394"/>
      <c r="AK3436" s="394"/>
      <c r="AL3436" s="394"/>
      <c r="AM3436" s="394"/>
      <c r="AN3436" s="394"/>
      <c r="AO3436" s="394"/>
      <c r="AP3436" s="394"/>
      <c r="AQ3436" s="394"/>
      <c r="AR3436" s="394"/>
      <c r="AS3436" s="402"/>
      <c r="AT3436" s="404"/>
      <c r="AU3436" s="394"/>
      <c r="AV3436" s="394"/>
      <c r="AW3436" s="394"/>
      <c r="AX3436" s="5"/>
      <c r="AY3436" s="5"/>
      <c r="AZ3436" s="5"/>
      <c r="BA3436" s="5"/>
      <c r="BB3436" s="5"/>
      <c r="BC3436" s="5"/>
      <c r="BD3436" s="5"/>
      <c r="BE3436" s="5"/>
      <c r="BF3436" s="5"/>
      <c r="BG3436" s="5"/>
      <c r="BH3436" s="5"/>
      <c r="BI3436" s="5"/>
      <c r="BJ3436" s="5"/>
      <c r="BK3436" s="5"/>
      <c r="BL3436" s="5"/>
      <c r="BM3436" s="5"/>
      <c r="BN3436" s="5"/>
      <c r="BO3436" s="5"/>
      <c r="BP3436" s="5"/>
      <c r="BQ3436" s="5"/>
      <c r="BR3436" s="5"/>
      <c r="BS3436" s="5"/>
      <c r="BT3436" s="5"/>
      <c r="BU3436" s="5"/>
      <c r="BV3436" s="5"/>
      <c r="BW3436" s="5"/>
      <c r="BX3436" s="5"/>
      <c r="BY3436" s="5"/>
      <c r="BZ3436" s="5"/>
      <c r="CA3436" s="5"/>
    </row>
    <row r="3437" spans="1:79" s="400" customFormat="1" ht="15" customHeight="1">
      <c r="A3437" s="41" t="s">
        <v>183</v>
      </c>
      <c r="B3437" s="402" t="s">
        <v>5854</v>
      </c>
      <c r="C3437" s="113" t="s">
        <v>5854</v>
      </c>
      <c r="D3437" s="393" t="s">
        <v>303</v>
      </c>
      <c r="E3437" s="394" t="s">
        <v>304</v>
      </c>
      <c r="F3437" s="402"/>
      <c r="G3437" s="405" t="s">
        <v>5855</v>
      </c>
      <c r="H3437" s="404">
        <v>4953</v>
      </c>
      <c r="I3437" s="402"/>
      <c r="J3437" s="406" t="s">
        <v>1503</v>
      </c>
      <c r="K3437" s="403">
        <v>41508</v>
      </c>
      <c r="L3437" s="398">
        <v>41499</v>
      </c>
      <c r="M3437" s="402">
        <f t="shared" si="203"/>
        <v>9</v>
      </c>
      <c r="N3437" s="402" t="s">
        <v>2</v>
      </c>
      <c r="O3437" s="404">
        <v>5</v>
      </c>
      <c r="P3437" s="402"/>
      <c r="Q3437" s="404">
        <v>7.97</v>
      </c>
      <c r="R3437" s="402">
        <v>450</v>
      </c>
      <c r="S3437" s="404">
        <v>220</v>
      </c>
      <c r="T3437" s="402">
        <v>4.0999999999999996</v>
      </c>
      <c r="U3437" s="395">
        <v>20</v>
      </c>
      <c r="V3437" s="402">
        <v>0.6</v>
      </c>
      <c r="W3437" s="404">
        <v>6.2E-2</v>
      </c>
      <c r="X3437" s="402">
        <v>0.12</v>
      </c>
      <c r="Y3437" s="404">
        <v>8.4000000000000005E-2</v>
      </c>
      <c r="Z3437" s="397">
        <v>1</v>
      </c>
      <c r="AA3437" s="399">
        <v>1</v>
      </c>
      <c r="AB3437" s="394"/>
      <c r="AC3437" s="402">
        <v>1080</v>
      </c>
      <c r="AD3437" s="399">
        <v>1</v>
      </c>
      <c r="AE3437" s="402"/>
      <c r="AF3437" s="391"/>
      <c r="AG3437" s="394"/>
      <c r="AH3437" s="394"/>
      <c r="AI3437" s="394"/>
      <c r="AJ3437" s="394"/>
      <c r="AK3437" s="394"/>
      <c r="AL3437" s="394"/>
      <c r="AM3437" s="394"/>
      <c r="AN3437" s="394"/>
      <c r="AO3437" s="394"/>
      <c r="AP3437" s="394"/>
      <c r="AQ3437" s="394"/>
      <c r="AR3437" s="394"/>
      <c r="AS3437" s="402"/>
      <c r="AT3437" s="404"/>
      <c r="AU3437" s="394"/>
      <c r="AV3437" s="394"/>
      <c r="AW3437" s="394"/>
      <c r="AX3437" s="5"/>
      <c r="AY3437" s="5"/>
      <c r="AZ3437" s="5"/>
      <c r="BA3437" s="5"/>
      <c r="BB3437" s="5"/>
      <c r="BC3437" s="5"/>
      <c r="BD3437" s="5"/>
      <c r="BE3437" s="5"/>
      <c r="BF3437" s="5"/>
      <c r="BG3437" s="5"/>
      <c r="BH3437" s="5"/>
      <c r="BI3437" s="5"/>
      <c r="BJ3437" s="5"/>
      <c r="BK3437" s="5"/>
      <c r="BL3437" s="5"/>
      <c r="BM3437" s="5"/>
      <c r="BN3437" s="5"/>
      <c r="BO3437" s="5"/>
      <c r="BP3437" s="5"/>
      <c r="BQ3437" s="5"/>
      <c r="BR3437" s="5"/>
      <c r="BS3437" s="5"/>
      <c r="BT3437" s="5"/>
      <c r="BU3437" s="5"/>
      <c r="BV3437" s="5"/>
      <c r="BW3437" s="5"/>
      <c r="BX3437" s="5"/>
      <c r="BY3437" s="5"/>
      <c r="BZ3437" s="5"/>
      <c r="CA3437" s="5"/>
    </row>
    <row r="3438" spans="1:79" s="400" customFormat="1" ht="15" customHeight="1">
      <c r="A3438" s="41" t="s">
        <v>183</v>
      </c>
      <c r="B3438" s="402" t="s">
        <v>4895</v>
      </c>
      <c r="C3438" s="113" t="s">
        <v>4895</v>
      </c>
      <c r="D3438" s="393" t="s">
        <v>836</v>
      </c>
      <c r="E3438" s="394" t="s">
        <v>364</v>
      </c>
      <c r="F3438" s="402"/>
      <c r="G3438" s="405" t="s">
        <v>837</v>
      </c>
      <c r="H3438" s="404">
        <v>2541</v>
      </c>
      <c r="I3438" s="402" t="s">
        <v>2</v>
      </c>
      <c r="J3438" s="406" t="s">
        <v>4896</v>
      </c>
      <c r="K3438" s="403">
        <v>41345</v>
      </c>
      <c r="L3438" s="398">
        <v>41341</v>
      </c>
      <c r="M3438" s="402">
        <f t="shared" si="203"/>
        <v>4</v>
      </c>
      <c r="N3438" s="402" t="s">
        <v>2</v>
      </c>
      <c r="O3438" s="404">
        <f>1.4/2</f>
        <v>0.7</v>
      </c>
      <c r="P3438" s="402">
        <v>6</v>
      </c>
      <c r="Q3438" s="404">
        <v>6.26</v>
      </c>
      <c r="R3438" s="402">
        <v>32</v>
      </c>
      <c r="S3438" s="404">
        <v>21</v>
      </c>
      <c r="T3438" s="402">
        <v>0.12</v>
      </c>
      <c r="U3438" s="395">
        <v>0.65</v>
      </c>
      <c r="V3438" s="402">
        <v>0.1</v>
      </c>
      <c r="W3438" s="404">
        <f>0.005/2</f>
        <v>2.5000000000000001E-3</v>
      </c>
      <c r="X3438" s="402">
        <v>1.7999999999999999E-2</v>
      </c>
      <c r="Y3438" s="404">
        <f>0.002/2</f>
        <v>1E-3</v>
      </c>
      <c r="Z3438" s="397">
        <v>0.70699999999999996</v>
      </c>
      <c r="AA3438" s="399">
        <v>0.70699999999999996</v>
      </c>
      <c r="AB3438" s="394">
        <v>12</v>
      </c>
      <c r="AC3438" s="402">
        <v>71</v>
      </c>
      <c r="AD3438" s="399">
        <v>0</v>
      </c>
      <c r="AE3438" s="402"/>
      <c r="AF3438" s="391"/>
      <c r="AG3438" s="394"/>
      <c r="AH3438" s="394"/>
      <c r="AI3438" s="394"/>
      <c r="AJ3438" s="394"/>
      <c r="AK3438" s="394"/>
      <c r="AL3438" s="394"/>
      <c r="AM3438" s="394"/>
      <c r="AN3438" s="394"/>
      <c r="AO3438" s="394"/>
      <c r="AP3438" s="394"/>
      <c r="AQ3438" s="394"/>
      <c r="AR3438" s="394"/>
      <c r="AS3438" s="402"/>
      <c r="AT3438" s="404"/>
      <c r="AU3438" s="394"/>
      <c r="AV3438" s="394"/>
      <c r="AW3438" s="394"/>
      <c r="AX3438" s="5"/>
      <c r="AY3438" s="5"/>
      <c r="AZ3438" s="5"/>
      <c r="BA3438" s="5"/>
      <c r="BB3438" s="5"/>
      <c r="BC3438" s="5"/>
      <c r="BD3438" s="5"/>
      <c r="BE3438" s="5"/>
      <c r="BF3438" s="5"/>
      <c r="BG3438" s="5"/>
      <c r="BH3438" s="5"/>
      <c r="BI3438" s="5"/>
      <c r="BJ3438" s="5"/>
      <c r="BK3438" s="5"/>
      <c r="BL3438" s="5"/>
      <c r="BM3438" s="5"/>
      <c r="BN3438" s="5"/>
      <c r="BO3438" s="5"/>
      <c r="BP3438" s="5"/>
      <c r="BQ3438" s="5"/>
      <c r="BR3438" s="5"/>
      <c r="BS3438" s="5"/>
      <c r="BT3438" s="5"/>
      <c r="BU3438" s="5"/>
      <c r="BV3438" s="5"/>
      <c r="BW3438" s="5"/>
      <c r="BX3438" s="5"/>
      <c r="BY3438" s="5"/>
      <c r="BZ3438" s="5"/>
      <c r="CA3438" s="5"/>
    </row>
    <row r="3439" spans="1:79" s="400" customFormat="1" ht="15" customHeight="1">
      <c r="A3439" s="41" t="s">
        <v>183</v>
      </c>
      <c r="B3439" s="402" t="s">
        <v>1989</v>
      </c>
      <c r="C3439" s="113" t="s">
        <v>1989</v>
      </c>
      <c r="D3439" s="393" t="s">
        <v>372</v>
      </c>
      <c r="E3439" s="394" t="s">
        <v>4754</v>
      </c>
      <c r="F3439" s="402"/>
      <c r="G3439" s="405" t="s">
        <v>1991</v>
      </c>
      <c r="H3439" s="404">
        <v>3469</v>
      </c>
      <c r="I3439" s="402" t="s">
        <v>2</v>
      </c>
      <c r="J3439" s="343" t="s">
        <v>1992</v>
      </c>
      <c r="K3439" s="403">
        <v>41149</v>
      </c>
      <c r="L3439" s="398">
        <v>41139</v>
      </c>
      <c r="M3439" s="402">
        <f t="shared" si="203"/>
        <v>10</v>
      </c>
      <c r="N3439" s="402" t="s">
        <v>2</v>
      </c>
      <c r="O3439" s="404">
        <f>1.7/2</f>
        <v>0.85</v>
      </c>
      <c r="P3439" s="402">
        <v>4.8</v>
      </c>
      <c r="Q3439" s="404">
        <v>6.9</v>
      </c>
      <c r="R3439" s="402">
        <v>69</v>
      </c>
      <c r="S3439" s="404">
        <v>19</v>
      </c>
      <c r="T3439" s="402">
        <v>9.0999999999999998E-2</v>
      </c>
      <c r="U3439" s="395">
        <v>2.5</v>
      </c>
      <c r="V3439" s="402">
        <v>0.53</v>
      </c>
      <c r="W3439" s="404">
        <v>1.9E-2</v>
      </c>
      <c r="X3439" s="402">
        <v>0.16900000000000001</v>
      </c>
      <c r="Y3439" s="404">
        <v>5.5999999999999999E-3</v>
      </c>
      <c r="Z3439" s="397"/>
      <c r="AA3439" s="399"/>
      <c r="AB3439" s="394"/>
      <c r="AC3439" s="402"/>
      <c r="AD3439" s="399"/>
      <c r="AE3439" s="402"/>
      <c r="AF3439" s="391"/>
      <c r="AG3439" s="394"/>
      <c r="AH3439" s="394"/>
      <c r="AI3439" s="394"/>
      <c r="AJ3439" s="394"/>
      <c r="AK3439" s="394"/>
      <c r="AL3439" s="394"/>
      <c r="AM3439" s="394"/>
      <c r="AN3439" s="394"/>
      <c r="AO3439" s="394"/>
      <c r="AP3439" s="394"/>
      <c r="AQ3439" s="394"/>
      <c r="AR3439" s="394"/>
      <c r="AS3439" s="402"/>
      <c r="AT3439" s="404"/>
      <c r="AU3439" s="394"/>
      <c r="AV3439" s="394"/>
      <c r="AW3439" s="394"/>
      <c r="AX3439" s="5"/>
      <c r="AY3439" s="5"/>
      <c r="AZ3439" s="5"/>
      <c r="BA3439" s="5"/>
      <c r="BB3439" s="5"/>
      <c r="BC3439" s="5"/>
      <c r="BD3439" s="5"/>
      <c r="BE3439" s="5"/>
      <c r="BF3439" s="5"/>
      <c r="BG3439" s="5"/>
      <c r="BH3439" s="5"/>
      <c r="BI3439" s="5"/>
      <c r="BJ3439" s="5"/>
      <c r="BK3439" s="5"/>
      <c r="BL3439" s="5"/>
      <c r="BM3439" s="5"/>
      <c r="BN3439" s="5"/>
      <c r="BO3439" s="5"/>
      <c r="BP3439" s="5"/>
      <c r="BQ3439" s="5"/>
      <c r="BR3439" s="5"/>
      <c r="BS3439" s="5"/>
      <c r="BT3439" s="5"/>
      <c r="BU3439" s="5"/>
      <c r="BV3439" s="5"/>
      <c r="BW3439" s="5"/>
      <c r="BX3439" s="5"/>
      <c r="BY3439" s="5"/>
      <c r="BZ3439" s="5"/>
      <c r="CA3439" s="5"/>
    </row>
    <row r="3440" spans="1:79" s="400" customFormat="1" ht="15" customHeight="1">
      <c r="A3440" s="41" t="s">
        <v>183</v>
      </c>
      <c r="B3440" s="402" t="s">
        <v>5338</v>
      </c>
      <c r="C3440" s="113" t="s">
        <v>5338</v>
      </c>
      <c r="D3440" s="393" t="s">
        <v>350</v>
      </c>
      <c r="E3440" s="394" t="s">
        <v>5339</v>
      </c>
      <c r="F3440" s="402"/>
      <c r="G3440" s="405" t="s">
        <v>5340</v>
      </c>
      <c r="H3440" s="404">
        <v>3398</v>
      </c>
      <c r="I3440" s="402" t="s">
        <v>2</v>
      </c>
      <c r="J3440" s="406" t="s">
        <v>5341</v>
      </c>
      <c r="K3440" s="403">
        <v>41184</v>
      </c>
      <c r="L3440" s="398">
        <v>41180</v>
      </c>
      <c r="M3440" s="402">
        <f t="shared" si="203"/>
        <v>4</v>
      </c>
      <c r="N3440" s="402" t="s">
        <v>2</v>
      </c>
      <c r="O3440" s="404">
        <v>2</v>
      </c>
      <c r="P3440" s="402">
        <v>6.9</v>
      </c>
      <c r="Q3440" s="404">
        <v>8.1</v>
      </c>
      <c r="R3440" s="402">
        <f>10/2</f>
        <v>5</v>
      </c>
      <c r="S3440" s="404">
        <v>13</v>
      </c>
      <c r="T3440" s="402">
        <v>0.13</v>
      </c>
      <c r="U3440" s="395">
        <v>0.6</v>
      </c>
      <c r="V3440" s="402">
        <f>0.1/2</f>
        <v>0.05</v>
      </c>
      <c r="W3440" s="404">
        <v>2.4E-2</v>
      </c>
      <c r="X3440" s="402">
        <v>5.1999999999999998E-2</v>
      </c>
      <c r="Y3440" s="404">
        <f>0.03/2</f>
        <v>1.4999999999999999E-2</v>
      </c>
      <c r="Z3440" s="397">
        <v>1</v>
      </c>
      <c r="AA3440" s="399">
        <v>1</v>
      </c>
      <c r="AB3440" s="394">
        <v>6</v>
      </c>
      <c r="AC3440" s="402">
        <v>11</v>
      </c>
      <c r="AD3440" s="399">
        <v>1</v>
      </c>
      <c r="AE3440" s="402"/>
      <c r="AF3440" s="391"/>
      <c r="AG3440" s="394"/>
      <c r="AH3440" s="394"/>
      <c r="AI3440" s="394"/>
      <c r="AJ3440" s="394"/>
      <c r="AK3440" s="394"/>
      <c r="AL3440" s="394"/>
      <c r="AM3440" s="394"/>
      <c r="AN3440" s="394"/>
      <c r="AO3440" s="394"/>
      <c r="AP3440" s="394"/>
      <c r="AQ3440" s="394"/>
      <c r="AR3440" s="394"/>
      <c r="AS3440" s="402"/>
      <c r="AT3440" s="404"/>
      <c r="AU3440" s="394"/>
      <c r="AV3440" s="394"/>
      <c r="AW3440" s="394"/>
      <c r="AX3440" s="5"/>
      <c r="AY3440" s="5"/>
      <c r="AZ3440" s="5"/>
      <c r="BA3440" s="5"/>
      <c r="BB3440" s="5"/>
      <c r="BC3440" s="5"/>
      <c r="BD3440" s="5"/>
      <c r="BE3440" s="5"/>
      <c r="BF3440" s="5"/>
      <c r="BG3440" s="5"/>
      <c r="BH3440" s="5"/>
      <c r="BI3440" s="5"/>
      <c r="BJ3440" s="5"/>
      <c r="BK3440" s="5"/>
      <c r="BL3440" s="5"/>
      <c r="BM3440" s="5"/>
      <c r="BN3440" s="5"/>
      <c r="BO3440" s="5"/>
      <c r="BP3440" s="5"/>
      <c r="BQ3440" s="5"/>
      <c r="BR3440" s="5"/>
      <c r="BS3440" s="5"/>
      <c r="BT3440" s="5"/>
      <c r="BU3440" s="5"/>
      <c r="BV3440" s="5"/>
      <c r="BW3440" s="5"/>
      <c r="BX3440" s="5"/>
      <c r="BY3440" s="5"/>
      <c r="BZ3440" s="5"/>
      <c r="CA3440" s="5"/>
    </row>
    <row r="3441" spans="1:79" s="400" customFormat="1" ht="15" customHeight="1">
      <c r="A3441" s="41" t="s">
        <v>183</v>
      </c>
      <c r="B3441" s="402" t="s">
        <v>5167</v>
      </c>
      <c r="C3441" s="113" t="s">
        <v>5167</v>
      </c>
      <c r="D3441" s="393" t="s">
        <v>659</v>
      </c>
      <c r="E3441" s="394" t="s">
        <v>44</v>
      </c>
      <c r="F3441" s="402" t="s">
        <v>5856</v>
      </c>
      <c r="G3441" s="405" t="s">
        <v>5168</v>
      </c>
      <c r="H3441" s="404">
        <v>5711</v>
      </c>
      <c r="I3441" s="402" t="s">
        <v>2</v>
      </c>
      <c r="J3441" s="406" t="s">
        <v>3964</v>
      </c>
      <c r="K3441" s="403">
        <v>41387</v>
      </c>
      <c r="L3441" s="398">
        <v>41376</v>
      </c>
      <c r="M3441" s="402">
        <f t="shared" si="203"/>
        <v>11</v>
      </c>
      <c r="N3441" s="402" t="s">
        <v>2</v>
      </c>
      <c r="O3441" s="404">
        <f>1/2</f>
        <v>0.5</v>
      </c>
      <c r="P3441" s="402">
        <v>6.35</v>
      </c>
      <c r="Q3441" s="404">
        <v>6.81</v>
      </c>
      <c r="R3441" s="402">
        <f>5/2</f>
        <v>2.5</v>
      </c>
      <c r="S3441" s="404">
        <f>5/2</f>
        <v>2.5</v>
      </c>
      <c r="T3441" s="402">
        <v>8.5599999999999996E-2</v>
      </c>
      <c r="U3441" s="395">
        <v>0.21</v>
      </c>
      <c r="V3441" s="402">
        <v>1.03</v>
      </c>
      <c r="W3441" s="404">
        <v>6.7999999999999996E-3</v>
      </c>
      <c r="X3441" s="402">
        <v>0.106</v>
      </c>
      <c r="Y3441" s="404">
        <f>0.0075/2</f>
        <v>3.7499999999999999E-3</v>
      </c>
      <c r="Z3441" s="397">
        <v>1</v>
      </c>
      <c r="AA3441" s="399">
        <v>1</v>
      </c>
      <c r="AB3441" s="394">
        <v>18</v>
      </c>
      <c r="AC3441" s="402">
        <v>196</v>
      </c>
      <c r="AD3441" s="399">
        <v>1</v>
      </c>
      <c r="AE3441" s="402"/>
      <c r="AF3441" s="391"/>
      <c r="AG3441" s="394"/>
      <c r="AH3441" s="394"/>
      <c r="AI3441" s="394"/>
      <c r="AJ3441" s="394"/>
      <c r="AK3441" s="394"/>
      <c r="AL3441" s="394"/>
      <c r="AM3441" s="394"/>
      <c r="AN3441" s="394"/>
      <c r="AO3441" s="394"/>
      <c r="AP3441" s="394"/>
      <c r="AQ3441" s="394"/>
      <c r="AR3441" s="394"/>
      <c r="AS3441" s="402"/>
      <c r="AT3441" s="404"/>
      <c r="AU3441" s="394"/>
      <c r="AV3441" s="394"/>
      <c r="AW3441" s="394"/>
      <c r="AX3441" s="5"/>
      <c r="AY3441" s="5"/>
      <c r="AZ3441" s="5"/>
      <c r="BA3441" s="5"/>
      <c r="BB3441" s="5"/>
      <c r="BC3441" s="5"/>
      <c r="BD3441" s="5"/>
      <c r="BE3441" s="5"/>
      <c r="BF3441" s="5"/>
      <c r="BG3441" s="5"/>
      <c r="BH3441" s="5"/>
      <c r="BI3441" s="5"/>
      <c r="BJ3441" s="5"/>
      <c r="BK3441" s="5"/>
      <c r="BL3441" s="5"/>
      <c r="BM3441" s="5"/>
      <c r="BN3441" s="5"/>
      <c r="BO3441" s="5"/>
      <c r="BP3441" s="5"/>
      <c r="BQ3441" s="5"/>
      <c r="BR3441" s="5"/>
      <c r="BS3441" s="5"/>
      <c r="BT3441" s="5"/>
      <c r="BU3441" s="5"/>
      <c r="BV3441" s="5"/>
      <c r="BW3441" s="5"/>
      <c r="BX3441" s="5"/>
      <c r="BY3441" s="5"/>
      <c r="BZ3441" s="5"/>
      <c r="CA3441" s="5"/>
    </row>
    <row r="3442" spans="1:79" ht="15" customHeight="1">
      <c r="A3442" s="404" t="s">
        <v>4668</v>
      </c>
      <c r="B3442" s="402" t="s">
        <v>2070</v>
      </c>
      <c r="C3442" s="113" t="s">
        <v>2071</v>
      </c>
      <c r="D3442" s="393" t="s">
        <v>1837</v>
      </c>
      <c r="E3442" s="394" t="s">
        <v>112</v>
      </c>
      <c r="G3442" s="405" t="s">
        <v>3105</v>
      </c>
      <c r="H3442" s="74">
        <v>4952</v>
      </c>
      <c r="I3442" s="50" t="s">
        <v>1</v>
      </c>
      <c r="J3442" s="48" t="s">
        <v>1943</v>
      </c>
      <c r="K3442" s="51">
        <v>41432</v>
      </c>
      <c r="L3442" s="173">
        <v>41428</v>
      </c>
      <c r="M3442" s="50">
        <f t="shared" si="203"/>
        <v>4</v>
      </c>
      <c r="N3442" s="50" t="s">
        <v>2</v>
      </c>
      <c r="O3442" s="74">
        <f>5/2</f>
        <v>2.5</v>
      </c>
      <c r="P3442" s="50">
        <v>5.97</v>
      </c>
      <c r="Q3442" s="74">
        <v>7.49</v>
      </c>
      <c r="R3442" s="50">
        <f>5/2</f>
        <v>2.5</v>
      </c>
      <c r="S3442" s="74">
        <v>9</v>
      </c>
      <c r="T3442" s="50">
        <v>1.1000000000000001</v>
      </c>
      <c r="U3442" s="131">
        <f>1/2</f>
        <v>0.5</v>
      </c>
      <c r="V3442" s="50">
        <v>0.51</v>
      </c>
      <c r="W3442" s="74">
        <f>0.04/2</f>
        <v>0.02</v>
      </c>
      <c r="X3442" s="50">
        <f>0.02/2</f>
        <v>0.01</v>
      </c>
      <c r="Y3442" s="74">
        <f>0.013/2</f>
        <v>6.4999999999999997E-3</v>
      </c>
      <c r="Z3442" s="165">
        <v>1</v>
      </c>
      <c r="AA3442" s="271">
        <v>1</v>
      </c>
    </row>
    <row r="3443" spans="1:79" ht="15" customHeight="1">
      <c r="A3443" s="404" t="s">
        <v>4668</v>
      </c>
      <c r="B3443" s="402" t="s">
        <v>2070</v>
      </c>
      <c r="C3443" s="113" t="s">
        <v>2071</v>
      </c>
      <c r="D3443" s="393" t="s">
        <v>1837</v>
      </c>
      <c r="E3443" s="394" t="s">
        <v>112</v>
      </c>
      <c r="G3443" s="405" t="s">
        <v>3105</v>
      </c>
      <c r="H3443" s="74">
        <v>4952</v>
      </c>
      <c r="I3443" s="50" t="s">
        <v>1</v>
      </c>
      <c r="J3443" s="48" t="s">
        <v>595</v>
      </c>
      <c r="K3443" s="51">
        <v>41432</v>
      </c>
      <c r="L3443" s="173">
        <v>41428</v>
      </c>
      <c r="M3443" s="50">
        <f t="shared" si="203"/>
        <v>4</v>
      </c>
      <c r="N3443" s="50" t="s">
        <v>2</v>
      </c>
      <c r="O3443" s="74">
        <f>5/2</f>
        <v>2.5</v>
      </c>
      <c r="P3443" s="50">
        <v>5.97</v>
      </c>
      <c r="Q3443" s="74">
        <v>6.47</v>
      </c>
      <c r="R3443" s="50">
        <f>5/2</f>
        <v>2.5</v>
      </c>
      <c r="S3443" s="74">
        <v>5</v>
      </c>
      <c r="T3443" s="50">
        <f>0.1/2</f>
        <v>0.05</v>
      </c>
      <c r="U3443" s="131">
        <f>1/2</f>
        <v>0.5</v>
      </c>
      <c r="V3443" s="50">
        <v>0.37</v>
      </c>
      <c r="W3443" s="74">
        <f>0.04/2</f>
        <v>0.02</v>
      </c>
      <c r="X3443" s="50">
        <f>0.02/2</f>
        <v>0.01</v>
      </c>
      <c r="Y3443" s="74">
        <f>0.013/2</f>
        <v>6.4999999999999997E-3</v>
      </c>
      <c r="Z3443" s="165">
        <v>1</v>
      </c>
      <c r="AA3443" s="271">
        <v>1</v>
      </c>
    </row>
    <row r="3444" spans="1:79" ht="15" customHeight="1">
      <c r="A3444" s="404" t="s">
        <v>4668</v>
      </c>
      <c r="B3444" s="402" t="s">
        <v>2070</v>
      </c>
      <c r="C3444" s="113" t="s">
        <v>2071</v>
      </c>
      <c r="D3444" s="393" t="s">
        <v>1837</v>
      </c>
      <c r="E3444" s="394" t="s">
        <v>112</v>
      </c>
      <c r="G3444" s="405" t="s">
        <v>3105</v>
      </c>
      <c r="H3444" s="74">
        <v>4952</v>
      </c>
      <c r="I3444" s="50" t="s">
        <v>1</v>
      </c>
      <c r="J3444" s="48" t="s">
        <v>1943</v>
      </c>
      <c r="K3444" s="51">
        <v>41332</v>
      </c>
      <c r="L3444" s="173">
        <v>41328</v>
      </c>
      <c r="M3444" s="50">
        <f t="shared" si="203"/>
        <v>4</v>
      </c>
      <c r="O3444" s="74">
        <f>5/2</f>
        <v>2.5</v>
      </c>
      <c r="P3444" s="50">
        <v>5.97</v>
      </c>
      <c r="Q3444" s="74">
        <v>7.28</v>
      </c>
      <c r="R3444" s="50">
        <v>22</v>
      </c>
      <c r="S3444" s="74">
        <v>6</v>
      </c>
      <c r="T3444" s="50">
        <v>1.1000000000000001</v>
      </c>
      <c r="U3444" s="131">
        <f>1/2</f>
        <v>0.5</v>
      </c>
      <c r="V3444" s="50">
        <v>0.95</v>
      </c>
      <c r="W3444" s="74">
        <f>0.04/2</f>
        <v>0.02</v>
      </c>
      <c r="X3444" s="50">
        <v>2.7E-2</v>
      </c>
      <c r="Y3444" s="74">
        <f>0.013/2</f>
        <v>6.4999999999999997E-3</v>
      </c>
      <c r="Z3444" s="165">
        <v>1</v>
      </c>
      <c r="AA3444" s="271">
        <v>1</v>
      </c>
      <c r="AB3444" s="114">
        <v>14</v>
      </c>
      <c r="AC3444" s="50">
        <v>124</v>
      </c>
      <c r="AD3444" s="271">
        <v>1</v>
      </c>
    </row>
    <row r="3445" spans="1:79" ht="15" customHeight="1">
      <c r="A3445" s="404" t="s">
        <v>4668</v>
      </c>
      <c r="B3445" s="402" t="s">
        <v>2070</v>
      </c>
      <c r="C3445" s="113" t="s">
        <v>2071</v>
      </c>
      <c r="D3445" s="393" t="s">
        <v>1837</v>
      </c>
      <c r="E3445" s="394" t="s">
        <v>112</v>
      </c>
      <c r="G3445" s="405" t="s">
        <v>3105</v>
      </c>
      <c r="H3445" s="74">
        <v>4952</v>
      </c>
      <c r="I3445" s="50" t="s">
        <v>1</v>
      </c>
      <c r="J3445" s="48" t="s">
        <v>595</v>
      </c>
      <c r="K3445" s="51">
        <v>41332</v>
      </c>
      <c r="L3445" s="173">
        <v>41328</v>
      </c>
      <c r="M3445" s="50">
        <f t="shared" si="203"/>
        <v>4</v>
      </c>
      <c r="O3445" s="74">
        <v>5</v>
      </c>
      <c r="P3445" s="50">
        <v>5.97</v>
      </c>
      <c r="Q3445" s="74">
        <v>6.65</v>
      </c>
      <c r="R3445" s="50">
        <v>18</v>
      </c>
      <c r="S3445" s="74">
        <v>270</v>
      </c>
      <c r="T3445" s="50">
        <v>0.24</v>
      </c>
      <c r="U3445" s="131">
        <f>1/2</f>
        <v>0.5</v>
      </c>
      <c r="V3445" s="50">
        <f>0.1/2</f>
        <v>0.05</v>
      </c>
      <c r="W3445" s="74">
        <f>0.04/2</f>
        <v>0.02</v>
      </c>
      <c r="X3445" s="50">
        <v>2.7E-2</v>
      </c>
      <c r="Y3445" s="74">
        <f>0.013/2</f>
        <v>6.4999999999999997E-3</v>
      </c>
      <c r="Z3445" s="165">
        <v>1</v>
      </c>
      <c r="AA3445" s="271">
        <v>1</v>
      </c>
    </row>
    <row r="3446" spans="1:79" s="400" customFormat="1" ht="15" customHeight="1">
      <c r="A3446" s="41" t="s">
        <v>183</v>
      </c>
      <c r="B3446" s="402" t="s">
        <v>4426</v>
      </c>
      <c r="C3446" s="113" t="s">
        <v>4426</v>
      </c>
      <c r="D3446" s="393" t="s">
        <v>507</v>
      </c>
      <c r="E3446" s="394" t="s">
        <v>508</v>
      </c>
      <c r="F3446" s="402" t="s">
        <v>5857</v>
      </c>
      <c r="G3446" s="405" t="s">
        <v>509</v>
      </c>
      <c r="H3446" s="404">
        <v>4215</v>
      </c>
      <c r="I3446" s="402" t="s">
        <v>2</v>
      </c>
      <c r="J3446" s="406" t="s">
        <v>510</v>
      </c>
      <c r="K3446" s="403">
        <v>41428</v>
      </c>
      <c r="L3446" s="398">
        <v>41423</v>
      </c>
      <c r="M3446" s="402">
        <f t="shared" si="203"/>
        <v>5</v>
      </c>
      <c r="N3446" s="402" t="s">
        <v>2</v>
      </c>
      <c r="O3446" s="404">
        <f>1.4/2</f>
        <v>0.7</v>
      </c>
      <c r="P3446" s="402">
        <v>5.0999999999999996</v>
      </c>
      <c r="Q3446" s="404">
        <v>5.96</v>
      </c>
      <c r="R3446" s="402">
        <f>10/2</f>
        <v>5</v>
      </c>
      <c r="S3446" s="404">
        <f>5/2</f>
        <v>2.5</v>
      </c>
      <c r="T3446" s="402">
        <v>0.03</v>
      </c>
      <c r="U3446" s="395">
        <v>0.37</v>
      </c>
      <c r="V3446" s="402">
        <f>0.01/2</f>
        <v>5.0000000000000001E-3</v>
      </c>
      <c r="W3446" s="404">
        <f>0.005/2</f>
        <v>2.5000000000000001E-3</v>
      </c>
      <c r="X3446" s="402">
        <v>2.5000000000000001E-2</v>
      </c>
      <c r="Y3446" s="404">
        <f>0.002/2</f>
        <v>1E-3</v>
      </c>
      <c r="Z3446" s="397"/>
      <c r="AA3446" s="399"/>
      <c r="AB3446" s="394"/>
      <c r="AC3446" s="402"/>
      <c r="AD3446" s="399"/>
      <c r="AE3446" s="402"/>
      <c r="AF3446" s="391"/>
      <c r="AG3446" s="394"/>
      <c r="AH3446" s="394"/>
      <c r="AI3446" s="394"/>
      <c r="AJ3446" s="394"/>
      <c r="AK3446" s="394"/>
      <c r="AL3446" s="394"/>
      <c r="AM3446" s="394"/>
      <c r="AN3446" s="394"/>
      <c r="AO3446" s="394"/>
      <c r="AP3446" s="394"/>
      <c r="AQ3446" s="394"/>
      <c r="AR3446" s="394"/>
      <c r="AS3446" s="402"/>
      <c r="AT3446" s="404"/>
      <c r="AU3446" s="394"/>
      <c r="AV3446" s="394"/>
      <c r="AW3446" s="394"/>
      <c r="AX3446" s="5"/>
      <c r="AY3446" s="5"/>
      <c r="AZ3446" s="5"/>
      <c r="BA3446" s="5"/>
      <c r="BB3446" s="5"/>
      <c r="BC3446" s="5"/>
      <c r="BD3446" s="5"/>
      <c r="BE3446" s="5"/>
      <c r="BF3446" s="5"/>
      <c r="BG3446" s="5"/>
      <c r="BH3446" s="5"/>
      <c r="BI3446" s="5"/>
      <c r="BJ3446" s="5"/>
      <c r="BK3446" s="5"/>
      <c r="BL3446" s="5"/>
      <c r="BM3446" s="5"/>
      <c r="BN3446" s="5"/>
      <c r="BO3446" s="5"/>
      <c r="BP3446" s="5"/>
      <c r="BQ3446" s="5"/>
      <c r="BR3446" s="5"/>
      <c r="BS3446" s="5"/>
      <c r="BT3446" s="5"/>
      <c r="BU3446" s="5"/>
      <c r="BV3446" s="5"/>
      <c r="BW3446" s="5"/>
      <c r="BX3446" s="5"/>
      <c r="BY3446" s="5"/>
      <c r="BZ3446" s="5"/>
      <c r="CA3446" s="5"/>
    </row>
    <row r="3447" spans="1:79" s="400" customFormat="1" ht="15" customHeight="1">
      <c r="A3447" s="41" t="s">
        <v>183</v>
      </c>
      <c r="B3447" s="402" t="s">
        <v>307</v>
      </c>
      <c r="C3447" s="113" t="s">
        <v>918</v>
      </c>
      <c r="D3447" s="393" t="s">
        <v>89</v>
      </c>
      <c r="E3447" s="394" t="s">
        <v>116</v>
      </c>
      <c r="F3447" s="402" t="s">
        <v>5858</v>
      </c>
      <c r="G3447" s="405" t="s">
        <v>919</v>
      </c>
      <c r="H3447" s="404">
        <v>3629</v>
      </c>
      <c r="I3447" s="402" t="s">
        <v>2</v>
      </c>
      <c r="J3447" s="406" t="s">
        <v>920</v>
      </c>
      <c r="K3447" s="403">
        <v>41131</v>
      </c>
      <c r="L3447" s="398">
        <v>41126</v>
      </c>
      <c r="M3447" s="402">
        <f t="shared" ref="M3447:M3450" si="207">K3447-L3447</f>
        <v>5</v>
      </c>
      <c r="N3447" s="402" t="s">
        <v>2</v>
      </c>
      <c r="O3447" s="404">
        <f>1.5/2</f>
        <v>0.75</v>
      </c>
      <c r="P3447" s="402">
        <v>6.5</v>
      </c>
      <c r="Q3447" s="404">
        <v>6.49</v>
      </c>
      <c r="R3447" s="402">
        <v>70</v>
      </c>
      <c r="S3447" s="404">
        <v>51</v>
      </c>
      <c r="T3447" s="402">
        <v>7.0000000000000007E-2</v>
      </c>
      <c r="U3447" s="395">
        <v>1.36</v>
      </c>
      <c r="V3447" s="402">
        <v>0.82</v>
      </c>
      <c r="W3447" s="404">
        <v>1.2E-2</v>
      </c>
      <c r="X3447" s="402">
        <v>4.4999999999999998E-2</v>
      </c>
      <c r="Y3447" s="404">
        <f>0.002/2</f>
        <v>1E-3</v>
      </c>
      <c r="Z3447" s="397">
        <v>1</v>
      </c>
      <c r="AA3447" s="399">
        <v>1</v>
      </c>
      <c r="AB3447" s="394">
        <v>20</v>
      </c>
      <c r="AC3447" s="402">
        <v>78</v>
      </c>
      <c r="AD3447" s="399">
        <v>1</v>
      </c>
      <c r="AE3447" s="402"/>
      <c r="AF3447" s="391"/>
      <c r="AG3447" s="394"/>
      <c r="AH3447" s="394"/>
      <c r="AI3447" s="394"/>
      <c r="AJ3447" s="394"/>
      <c r="AK3447" s="394"/>
      <c r="AL3447" s="394"/>
      <c r="AM3447" s="394"/>
      <c r="AN3447" s="394"/>
      <c r="AO3447" s="394"/>
      <c r="AP3447" s="394"/>
      <c r="AQ3447" s="394"/>
      <c r="AR3447" s="394"/>
      <c r="AS3447" s="402"/>
      <c r="AT3447" s="404"/>
      <c r="AU3447" s="394"/>
      <c r="AV3447" s="394"/>
      <c r="AW3447" s="394"/>
      <c r="AX3447" s="5"/>
      <c r="AY3447" s="5"/>
      <c r="AZ3447" s="5"/>
      <c r="BA3447" s="5"/>
      <c r="BB3447" s="5"/>
      <c r="BC3447" s="5"/>
      <c r="BD3447" s="5"/>
      <c r="BE3447" s="5"/>
      <c r="BF3447" s="5"/>
      <c r="BG3447" s="5"/>
      <c r="BH3447" s="5"/>
      <c r="BI3447" s="5"/>
      <c r="BJ3447" s="5"/>
      <c r="BK3447" s="5"/>
      <c r="BL3447" s="5"/>
      <c r="BM3447" s="5"/>
      <c r="BN3447" s="5"/>
      <c r="BO3447" s="5"/>
      <c r="BP3447" s="5"/>
      <c r="BQ3447" s="5"/>
      <c r="BR3447" s="5"/>
      <c r="BS3447" s="5"/>
      <c r="BT3447" s="5"/>
      <c r="BU3447" s="5"/>
      <c r="BV3447" s="5"/>
      <c r="BW3447" s="5"/>
      <c r="BX3447" s="5"/>
      <c r="BY3447" s="5"/>
      <c r="BZ3447" s="5"/>
      <c r="CA3447" s="5"/>
    </row>
    <row r="3448" spans="1:79" s="400" customFormat="1" ht="15" customHeight="1">
      <c r="A3448" s="41" t="s">
        <v>183</v>
      </c>
      <c r="B3448" s="402" t="s">
        <v>948</v>
      </c>
      <c r="C3448" s="113" t="s">
        <v>948</v>
      </c>
      <c r="D3448" s="393" t="s">
        <v>314</v>
      </c>
      <c r="E3448" s="394" t="s">
        <v>5859</v>
      </c>
      <c r="F3448" s="402" t="s">
        <v>5860</v>
      </c>
      <c r="G3448" s="405" t="s">
        <v>4762</v>
      </c>
      <c r="H3448" s="404">
        <v>3273</v>
      </c>
      <c r="I3448" s="402" t="s">
        <v>2</v>
      </c>
      <c r="J3448" s="406" t="s">
        <v>687</v>
      </c>
      <c r="K3448" s="403">
        <v>41131</v>
      </c>
      <c r="L3448" s="398">
        <v>41126</v>
      </c>
      <c r="M3448" s="402">
        <f t="shared" si="207"/>
        <v>5</v>
      </c>
      <c r="N3448" s="402" t="s">
        <v>2</v>
      </c>
      <c r="O3448" s="404">
        <v>6</v>
      </c>
      <c r="P3448" s="402"/>
      <c r="Q3448" s="404">
        <v>9.1</v>
      </c>
      <c r="R3448" s="402">
        <v>130</v>
      </c>
      <c r="S3448" s="404">
        <v>570</v>
      </c>
      <c r="T3448" s="402">
        <v>0.76</v>
      </c>
      <c r="U3448" s="395">
        <v>3.16</v>
      </c>
      <c r="V3448" s="402">
        <v>0.72</v>
      </c>
      <c r="W3448" s="404">
        <v>5.7000000000000002E-2</v>
      </c>
      <c r="X3448" s="402">
        <v>0.187</v>
      </c>
      <c r="Y3448" s="404">
        <v>5.2999999999999999E-2</v>
      </c>
      <c r="Z3448" s="397">
        <v>1</v>
      </c>
      <c r="AA3448" s="399">
        <v>1</v>
      </c>
      <c r="AB3448" s="394">
        <v>94</v>
      </c>
      <c r="AC3448" s="402">
        <v>507</v>
      </c>
      <c r="AD3448" s="399">
        <v>1</v>
      </c>
      <c r="AE3448" s="402"/>
      <c r="AF3448" s="391"/>
      <c r="AG3448" s="394"/>
      <c r="AH3448" s="394"/>
      <c r="AI3448" s="394"/>
      <c r="AJ3448" s="394"/>
      <c r="AK3448" s="394"/>
      <c r="AL3448" s="394"/>
      <c r="AM3448" s="394"/>
      <c r="AN3448" s="394"/>
      <c r="AO3448" s="394"/>
      <c r="AP3448" s="394"/>
      <c r="AQ3448" s="394"/>
      <c r="AR3448" s="394"/>
      <c r="AS3448" s="402"/>
      <c r="AT3448" s="404"/>
      <c r="AU3448" s="394"/>
      <c r="AV3448" s="394"/>
      <c r="AW3448" s="394"/>
      <c r="AX3448" s="5"/>
      <c r="AY3448" s="5"/>
      <c r="AZ3448" s="5"/>
      <c r="BA3448" s="5"/>
      <c r="BB3448" s="5"/>
      <c r="BC3448" s="5"/>
      <c r="BD3448" s="5"/>
      <c r="BE3448" s="5"/>
      <c r="BF3448" s="5"/>
      <c r="BG3448" s="5"/>
      <c r="BH3448" s="5"/>
      <c r="BI3448" s="5"/>
      <c r="BJ3448" s="5"/>
      <c r="BK3448" s="5"/>
      <c r="BL3448" s="5"/>
      <c r="BM3448" s="5"/>
      <c r="BN3448" s="5"/>
      <c r="BO3448" s="5"/>
      <c r="BP3448" s="5"/>
      <c r="BQ3448" s="5"/>
      <c r="BR3448" s="5"/>
      <c r="BS3448" s="5"/>
      <c r="BT3448" s="5"/>
      <c r="BU3448" s="5"/>
      <c r="BV3448" s="5"/>
      <c r="BW3448" s="5"/>
      <c r="BX3448" s="5"/>
      <c r="BY3448" s="5"/>
      <c r="BZ3448" s="5"/>
      <c r="CA3448" s="5"/>
    </row>
    <row r="3449" spans="1:79" s="400" customFormat="1" ht="15" customHeight="1">
      <c r="A3449" s="41" t="s">
        <v>183</v>
      </c>
      <c r="B3449" s="402" t="s">
        <v>948</v>
      </c>
      <c r="C3449" s="113" t="s">
        <v>948</v>
      </c>
      <c r="D3449" s="393" t="s">
        <v>314</v>
      </c>
      <c r="E3449" s="394" t="s">
        <v>5859</v>
      </c>
      <c r="F3449" s="402" t="s">
        <v>5860</v>
      </c>
      <c r="G3449" s="405" t="s">
        <v>4762</v>
      </c>
      <c r="H3449" s="404">
        <v>3273</v>
      </c>
      <c r="I3449" s="402" t="s">
        <v>2</v>
      </c>
      <c r="J3449" s="406" t="s">
        <v>687</v>
      </c>
      <c r="K3449" s="403">
        <v>41072</v>
      </c>
      <c r="L3449" s="398">
        <v>41066</v>
      </c>
      <c r="M3449" s="402">
        <f t="shared" si="207"/>
        <v>6</v>
      </c>
      <c r="N3449" s="402" t="s">
        <v>2</v>
      </c>
      <c r="O3449" s="404">
        <v>4.9000000000000004</v>
      </c>
      <c r="P3449" s="402"/>
      <c r="Q3449" s="404">
        <v>9.4600000000000009</v>
      </c>
      <c r="R3449" s="402">
        <v>21</v>
      </c>
      <c r="S3449" s="404">
        <v>620</v>
      </c>
      <c r="T3449" s="402">
        <v>0.59</v>
      </c>
      <c r="U3449" s="395">
        <v>1.41</v>
      </c>
      <c r="V3449" s="402">
        <v>0.13</v>
      </c>
      <c r="W3449" s="404">
        <v>4.2999999999999997E-2</v>
      </c>
      <c r="X3449" s="402">
        <v>0.157</v>
      </c>
      <c r="Y3449" s="404">
        <v>0.02</v>
      </c>
      <c r="Z3449" s="397">
        <v>1</v>
      </c>
      <c r="AA3449" s="399">
        <v>1</v>
      </c>
      <c r="AB3449" s="394">
        <v>40</v>
      </c>
      <c r="AC3449" s="402">
        <v>146</v>
      </c>
      <c r="AD3449" s="399">
        <v>1</v>
      </c>
      <c r="AE3449" s="402"/>
      <c r="AF3449" s="391"/>
      <c r="AG3449" s="394"/>
      <c r="AH3449" s="394"/>
      <c r="AI3449" s="394"/>
      <c r="AJ3449" s="394"/>
      <c r="AK3449" s="394"/>
      <c r="AL3449" s="394"/>
      <c r="AM3449" s="394"/>
      <c r="AN3449" s="394"/>
      <c r="AO3449" s="394"/>
      <c r="AP3449" s="394"/>
      <c r="AQ3449" s="394"/>
      <c r="AR3449" s="394"/>
      <c r="AS3449" s="402"/>
      <c r="AT3449" s="404"/>
      <c r="AU3449" s="394"/>
      <c r="AV3449" s="394"/>
      <c r="AW3449" s="394"/>
      <c r="AX3449" s="5"/>
      <c r="AY3449" s="5"/>
      <c r="AZ3449" s="5"/>
      <c r="BA3449" s="5"/>
      <c r="BB3449" s="5"/>
      <c r="BC3449" s="5"/>
      <c r="BD3449" s="5"/>
      <c r="BE3449" s="5"/>
      <c r="BF3449" s="5"/>
      <c r="BG3449" s="5"/>
      <c r="BH3449" s="5"/>
      <c r="BI3449" s="5"/>
      <c r="BJ3449" s="5"/>
      <c r="BK3449" s="5"/>
      <c r="BL3449" s="5"/>
      <c r="BM3449" s="5"/>
      <c r="BN3449" s="5"/>
      <c r="BO3449" s="5"/>
      <c r="BP3449" s="5"/>
      <c r="BQ3449" s="5"/>
      <c r="BR3449" s="5"/>
      <c r="BS3449" s="5"/>
      <c r="BT3449" s="5"/>
      <c r="BU3449" s="5"/>
      <c r="BV3449" s="5"/>
      <c r="BW3449" s="5"/>
      <c r="BX3449" s="5"/>
      <c r="BY3449" s="5"/>
      <c r="BZ3449" s="5"/>
      <c r="CA3449" s="5"/>
    </row>
    <row r="3450" spans="1:79" s="400" customFormat="1" ht="15" customHeight="1">
      <c r="A3450" s="41" t="s">
        <v>183</v>
      </c>
      <c r="B3450" s="402" t="s">
        <v>5167</v>
      </c>
      <c r="C3450" s="113" t="s">
        <v>5167</v>
      </c>
      <c r="D3450" s="393" t="s">
        <v>659</v>
      </c>
      <c r="E3450" s="394" t="s">
        <v>44</v>
      </c>
      <c r="F3450" s="402" t="s">
        <v>5856</v>
      </c>
      <c r="G3450" s="405" t="s">
        <v>5168</v>
      </c>
      <c r="H3450" s="404">
        <v>5711</v>
      </c>
      <c r="I3450" s="402" t="s">
        <v>2</v>
      </c>
      <c r="J3450" s="406" t="s">
        <v>3964</v>
      </c>
      <c r="K3450" s="403">
        <v>41513</v>
      </c>
      <c r="L3450" s="398">
        <v>41495</v>
      </c>
      <c r="M3450" s="402">
        <f t="shared" si="207"/>
        <v>18</v>
      </c>
      <c r="N3450" s="402" t="s">
        <v>2</v>
      </c>
      <c r="O3450" s="404">
        <f>1/2</f>
        <v>0.5</v>
      </c>
      <c r="P3450" s="402">
        <v>6.87</v>
      </c>
      <c r="Q3450" s="404">
        <v>6.94</v>
      </c>
      <c r="R3450" s="402">
        <f>5/2</f>
        <v>2.5</v>
      </c>
      <c r="S3450" s="404">
        <f>5/2</f>
        <v>2.5</v>
      </c>
      <c r="T3450" s="402">
        <v>7.1400000000000005E-2</v>
      </c>
      <c r="U3450" s="395">
        <v>0.35</v>
      </c>
      <c r="V3450" s="402">
        <v>0.73</v>
      </c>
      <c r="W3450" s="404">
        <f>0.01/2</f>
        <v>5.0000000000000001E-3</v>
      </c>
      <c r="X3450" s="402">
        <v>2.58E-2</v>
      </c>
      <c r="Y3450" s="404">
        <f>0.015/2</f>
        <v>7.4999999999999997E-3</v>
      </c>
      <c r="Z3450" s="397">
        <v>1</v>
      </c>
      <c r="AA3450" s="399">
        <v>1</v>
      </c>
      <c r="AB3450" s="394">
        <v>10</v>
      </c>
      <c r="AC3450" s="402">
        <v>41</v>
      </c>
      <c r="AD3450" s="399">
        <v>1</v>
      </c>
      <c r="AE3450" s="402"/>
      <c r="AF3450" s="391"/>
      <c r="AG3450" s="394"/>
      <c r="AH3450" s="394"/>
      <c r="AI3450" s="394"/>
      <c r="AJ3450" s="394"/>
      <c r="AK3450" s="394"/>
      <c r="AL3450" s="394"/>
      <c r="AM3450" s="394"/>
      <c r="AN3450" s="394"/>
      <c r="AO3450" s="394"/>
      <c r="AP3450" s="394"/>
      <c r="AQ3450" s="394"/>
      <c r="AR3450" s="394"/>
      <c r="AS3450" s="402"/>
      <c r="AT3450" s="404"/>
      <c r="AU3450" s="394"/>
      <c r="AV3450" s="394"/>
      <c r="AW3450" s="394"/>
      <c r="AX3450" s="5"/>
      <c r="AY3450" s="5"/>
      <c r="AZ3450" s="5"/>
      <c r="BA3450" s="5"/>
      <c r="BB3450" s="5"/>
      <c r="BC3450" s="5"/>
      <c r="BD3450" s="5"/>
      <c r="BE3450" s="5"/>
      <c r="BF3450" s="5"/>
      <c r="BG3450" s="5"/>
      <c r="BH3450" s="5"/>
      <c r="BI3450" s="5"/>
      <c r="BJ3450" s="5"/>
      <c r="BK3450" s="5"/>
      <c r="BL3450" s="5"/>
      <c r="BM3450" s="5"/>
      <c r="BN3450" s="5"/>
      <c r="BO3450" s="5"/>
      <c r="BP3450" s="5"/>
      <c r="BQ3450" s="5"/>
      <c r="BR3450" s="5"/>
      <c r="BS3450" s="5"/>
      <c r="BT3450" s="5"/>
      <c r="BU3450" s="5"/>
      <c r="BV3450" s="5"/>
      <c r="BW3450" s="5"/>
      <c r="BX3450" s="5"/>
      <c r="BY3450" s="5"/>
      <c r="BZ3450" s="5"/>
      <c r="CA3450" s="5"/>
    </row>
    <row r="3451" spans="1:79" ht="15" customHeight="1">
      <c r="A3451" s="404" t="s">
        <v>4668</v>
      </c>
      <c r="B3451" s="402" t="s">
        <v>3180</v>
      </c>
      <c r="C3451" s="113" t="s">
        <v>5357</v>
      </c>
      <c r="D3451" s="393" t="s">
        <v>1129</v>
      </c>
      <c r="E3451" s="394" t="s">
        <v>398</v>
      </c>
      <c r="G3451" s="405" t="s">
        <v>3181</v>
      </c>
      <c r="H3451" s="74">
        <v>4593</v>
      </c>
      <c r="I3451" s="50" t="s">
        <v>1</v>
      </c>
      <c r="J3451" s="339" t="s">
        <v>1376</v>
      </c>
      <c r="K3451" s="51">
        <v>41653</v>
      </c>
      <c r="L3451" s="173"/>
      <c r="N3451" s="50" t="s">
        <v>1</v>
      </c>
      <c r="O3451" s="74">
        <v>1.5</v>
      </c>
      <c r="P3451" s="50">
        <v>6</v>
      </c>
      <c r="Q3451" s="74">
        <v>6.8</v>
      </c>
      <c r="R3451" s="50">
        <v>160</v>
      </c>
      <c r="S3451" s="74">
        <v>58</v>
      </c>
      <c r="T3451" s="50">
        <v>0.7</v>
      </c>
      <c r="U3451" s="131">
        <v>6.8</v>
      </c>
      <c r="V3451" s="50">
        <f>0.05/2</f>
        <v>2.5000000000000001E-2</v>
      </c>
      <c r="W3451" s="74">
        <v>3.1E-2</v>
      </c>
      <c r="X3451" s="50">
        <v>0.4</v>
      </c>
      <c r="Y3451" s="74">
        <v>4.8000000000000001E-2</v>
      </c>
      <c r="Z3451" s="165"/>
      <c r="AI3451" s="114">
        <v>2700</v>
      </c>
      <c r="AJ3451" s="114">
        <v>10400</v>
      </c>
    </row>
    <row r="3452" spans="1:79" ht="15" customHeight="1">
      <c r="A3452" s="404" t="s">
        <v>4668</v>
      </c>
      <c r="B3452" s="402" t="s">
        <v>1964</v>
      </c>
      <c r="C3452" s="113" t="s">
        <v>1964</v>
      </c>
      <c r="D3452" s="393" t="s">
        <v>251</v>
      </c>
      <c r="E3452" s="394" t="s">
        <v>252</v>
      </c>
      <c r="F3452" s="402">
        <v>4402</v>
      </c>
      <c r="G3452" s="405" t="s">
        <v>1965</v>
      </c>
      <c r="H3452" s="74">
        <v>2891</v>
      </c>
      <c r="I3452" s="50" t="s">
        <v>2</v>
      </c>
      <c r="J3452" s="48" t="s">
        <v>1966</v>
      </c>
      <c r="K3452" s="51">
        <v>41604</v>
      </c>
      <c r="L3452" s="173">
        <v>41600</v>
      </c>
      <c r="M3452" s="50">
        <f t="shared" ref="M3452:M3473" si="208">K3452-L3452</f>
        <v>4</v>
      </c>
      <c r="N3452" s="50" t="s">
        <v>2</v>
      </c>
      <c r="O3452" s="74">
        <v>2.2000000000000002</v>
      </c>
      <c r="Q3452" s="74">
        <v>6.37</v>
      </c>
      <c r="R3452" s="50">
        <f>10/2</f>
        <v>5</v>
      </c>
      <c r="S3452" s="74">
        <v>64</v>
      </c>
      <c r="T3452" s="50">
        <v>0.13</v>
      </c>
      <c r="U3452" s="131">
        <v>1.26</v>
      </c>
      <c r="V3452" s="50">
        <f>0.05/2</f>
        <v>2.5000000000000001E-2</v>
      </c>
      <c r="W3452" s="74">
        <v>3.7999999999999999E-2</v>
      </c>
      <c r="X3452" s="50">
        <v>6.2E-2</v>
      </c>
      <c r="Y3452" s="74">
        <v>8.9999999999999993E-3</v>
      </c>
      <c r="Z3452" s="165">
        <v>1</v>
      </c>
      <c r="AA3452" s="271">
        <v>1</v>
      </c>
      <c r="AB3452" s="114">
        <v>2</v>
      </c>
      <c r="AC3452" s="50">
        <v>10</v>
      </c>
      <c r="AD3452" s="271">
        <v>1</v>
      </c>
    </row>
    <row r="3453" spans="1:79" ht="15" customHeight="1">
      <c r="A3453" s="404" t="s">
        <v>4668</v>
      </c>
      <c r="B3453" s="402" t="s">
        <v>4567</v>
      </c>
      <c r="C3453" s="113" t="s">
        <v>4567</v>
      </c>
      <c r="D3453" s="393" t="s">
        <v>251</v>
      </c>
      <c r="E3453" s="394" t="s">
        <v>823</v>
      </c>
      <c r="F3453" s="402">
        <v>4603</v>
      </c>
      <c r="G3453" s="405" t="s">
        <v>4568</v>
      </c>
      <c r="H3453" s="74"/>
      <c r="J3453" s="339" t="s">
        <v>3144</v>
      </c>
      <c r="K3453" s="51">
        <v>41604</v>
      </c>
      <c r="L3453" s="173">
        <v>41600</v>
      </c>
      <c r="M3453" s="50">
        <f t="shared" si="208"/>
        <v>4</v>
      </c>
      <c r="N3453" s="50" t="s">
        <v>2</v>
      </c>
      <c r="O3453" s="74">
        <v>41.4</v>
      </c>
      <c r="P3453" s="50">
        <v>5.6</v>
      </c>
      <c r="Q3453" s="74">
        <v>7</v>
      </c>
      <c r="R3453" s="50">
        <f>10/2</f>
        <v>5</v>
      </c>
      <c r="S3453" s="74">
        <f>25/2</f>
        <v>12.5</v>
      </c>
      <c r="T3453" s="50">
        <f>0.1/2</f>
        <v>0.05</v>
      </c>
      <c r="U3453" s="131">
        <v>0.27</v>
      </c>
      <c r="V3453" s="50">
        <v>0.2</v>
      </c>
      <c r="W3453" s="74">
        <v>0.24</v>
      </c>
      <c r="X3453" s="50">
        <f>0.05/2</f>
        <v>2.5000000000000001E-2</v>
      </c>
      <c r="Y3453" s="74">
        <v>1E-3</v>
      </c>
      <c r="Z3453" s="165"/>
    </row>
    <row r="3454" spans="1:79" ht="15" customHeight="1">
      <c r="A3454" s="404" t="s">
        <v>4668</v>
      </c>
      <c r="B3454" s="402" t="s">
        <v>5861</v>
      </c>
      <c r="C3454" s="113" t="s">
        <v>5861</v>
      </c>
      <c r="D3454" s="393" t="s">
        <v>156</v>
      </c>
      <c r="E3454" s="394" t="s">
        <v>5862</v>
      </c>
      <c r="F3454" s="402">
        <v>4601</v>
      </c>
      <c r="G3454" s="405" t="s">
        <v>5863</v>
      </c>
      <c r="H3454" s="74"/>
      <c r="I3454" s="50" t="s">
        <v>2</v>
      </c>
      <c r="J3454" s="339" t="s">
        <v>5864</v>
      </c>
      <c r="K3454" s="51">
        <v>41579</v>
      </c>
      <c r="L3454" s="173">
        <v>41554</v>
      </c>
      <c r="M3454" s="50">
        <f t="shared" si="208"/>
        <v>25</v>
      </c>
      <c r="N3454" s="50" t="s">
        <v>2</v>
      </c>
      <c r="O3454" s="74">
        <v>24.7</v>
      </c>
      <c r="P3454" s="50">
        <v>5.6</v>
      </c>
      <c r="Q3454" s="74">
        <v>7.2</v>
      </c>
      <c r="R3454" s="50">
        <v>158.80000000000001</v>
      </c>
      <c r="S3454" s="74">
        <v>54</v>
      </c>
      <c r="T3454" s="50">
        <f>0.1/2</f>
        <v>0.05</v>
      </c>
      <c r="U3454" s="131">
        <v>2.2999999999999998</v>
      </c>
      <c r="V3454" s="50">
        <f>0.05/2</f>
        <v>2.5000000000000001E-2</v>
      </c>
      <c r="W3454" s="74">
        <v>2.4</v>
      </c>
      <c r="X3454" s="50">
        <f>0.05/2</f>
        <v>2.5000000000000001E-2</v>
      </c>
      <c r="Y3454" s="74">
        <v>3.0000000000000001E-3</v>
      </c>
      <c r="Z3454" s="165">
        <v>1</v>
      </c>
      <c r="AA3454" s="271">
        <v>1</v>
      </c>
      <c r="AB3454" s="114">
        <v>46</v>
      </c>
      <c r="AC3454" s="50">
        <v>206</v>
      </c>
      <c r="AD3454" s="271">
        <v>1</v>
      </c>
    </row>
    <row r="3455" spans="1:79" s="400" customFormat="1" ht="15" customHeight="1">
      <c r="A3455" s="41" t="s">
        <v>183</v>
      </c>
      <c r="B3455" s="402" t="s">
        <v>5330</v>
      </c>
      <c r="C3455" s="113" t="s">
        <v>5330</v>
      </c>
      <c r="D3455" s="393" t="s">
        <v>2375</v>
      </c>
      <c r="E3455" s="394" t="s">
        <v>5331</v>
      </c>
      <c r="F3455" s="402"/>
      <c r="G3455" s="405" t="s">
        <v>5332</v>
      </c>
      <c r="H3455" s="404">
        <v>3398</v>
      </c>
      <c r="I3455" s="402"/>
      <c r="J3455" s="406" t="s">
        <v>1030</v>
      </c>
      <c r="K3455" s="403">
        <v>40876</v>
      </c>
      <c r="L3455" s="398">
        <v>40870</v>
      </c>
      <c r="M3455" s="402">
        <f t="shared" si="208"/>
        <v>6</v>
      </c>
      <c r="N3455" s="402" t="s">
        <v>2</v>
      </c>
      <c r="O3455" s="404">
        <v>4.4000000000000004</v>
      </c>
      <c r="P3455" s="402">
        <v>5.08</v>
      </c>
      <c r="Q3455" s="404">
        <v>6.48</v>
      </c>
      <c r="R3455" s="402">
        <v>25.5</v>
      </c>
      <c r="S3455" s="404">
        <v>26</v>
      </c>
      <c r="T3455" s="402">
        <f>0.05/2</f>
        <v>2.5000000000000001E-2</v>
      </c>
      <c r="U3455" s="395">
        <v>1.23</v>
      </c>
      <c r="V3455" s="402">
        <v>0.4</v>
      </c>
      <c r="W3455" s="404">
        <v>0.02</v>
      </c>
      <c r="X3455" s="402">
        <v>0.04</v>
      </c>
      <c r="Y3455" s="404">
        <f>0.02/2</f>
        <v>0.01</v>
      </c>
      <c r="Z3455" s="397"/>
      <c r="AA3455" s="399"/>
      <c r="AB3455" s="394"/>
      <c r="AC3455" s="402"/>
      <c r="AD3455" s="399"/>
      <c r="AE3455" s="402"/>
      <c r="AF3455" s="391"/>
      <c r="AG3455" s="394"/>
      <c r="AH3455" s="394"/>
      <c r="AI3455" s="394"/>
      <c r="AJ3455" s="394"/>
      <c r="AK3455" s="394"/>
      <c r="AL3455" s="394"/>
      <c r="AM3455" s="394"/>
      <c r="AN3455" s="394"/>
      <c r="AO3455" s="394"/>
      <c r="AP3455" s="394"/>
      <c r="AQ3455" s="394"/>
      <c r="AR3455" s="394"/>
      <c r="AS3455" s="402"/>
      <c r="AT3455" s="404"/>
      <c r="AU3455" s="394"/>
      <c r="AV3455" s="394"/>
      <c r="AW3455" s="394"/>
      <c r="AX3455" s="5"/>
      <c r="AY3455" s="5"/>
      <c r="AZ3455" s="5"/>
      <c r="BA3455" s="5"/>
      <c r="BB3455" s="5"/>
      <c r="BC3455" s="5"/>
      <c r="BD3455" s="5"/>
      <c r="BE3455" s="5"/>
      <c r="BF3455" s="5"/>
      <c r="BG3455" s="5"/>
      <c r="BH3455" s="5"/>
      <c r="BI3455" s="5"/>
      <c r="BJ3455" s="5"/>
      <c r="BK3455" s="5"/>
      <c r="BL3455" s="5"/>
      <c r="BM3455" s="5"/>
      <c r="BN3455" s="5"/>
      <c r="BO3455" s="5"/>
      <c r="BP3455" s="5"/>
      <c r="BQ3455" s="5"/>
      <c r="BR3455" s="5"/>
      <c r="BS3455" s="5"/>
      <c r="BT3455" s="5"/>
      <c r="BU3455" s="5"/>
      <c r="BV3455" s="5"/>
      <c r="BW3455" s="5"/>
      <c r="BX3455" s="5"/>
      <c r="BY3455" s="5"/>
      <c r="BZ3455" s="5"/>
      <c r="CA3455" s="5"/>
    </row>
    <row r="3456" spans="1:79" s="400" customFormat="1" ht="15" customHeight="1">
      <c r="A3456" s="41" t="s">
        <v>183</v>
      </c>
      <c r="B3456" s="402" t="s">
        <v>5330</v>
      </c>
      <c r="C3456" s="113" t="s">
        <v>5330</v>
      </c>
      <c r="D3456" s="393" t="s">
        <v>2375</v>
      </c>
      <c r="E3456" s="394" t="s">
        <v>5331</v>
      </c>
      <c r="F3456" s="402"/>
      <c r="G3456" s="405" t="s">
        <v>5332</v>
      </c>
      <c r="H3456" s="404">
        <v>3398</v>
      </c>
      <c r="I3456" s="402"/>
      <c r="J3456" s="406" t="s">
        <v>1030</v>
      </c>
      <c r="K3456" s="403">
        <v>41170</v>
      </c>
      <c r="L3456" s="398">
        <v>41160</v>
      </c>
      <c r="M3456" s="402">
        <f t="shared" si="208"/>
        <v>10</v>
      </c>
      <c r="N3456" s="402"/>
      <c r="O3456" s="404">
        <v>20.7</v>
      </c>
      <c r="P3456" s="402">
        <v>6</v>
      </c>
      <c r="Q3456" s="404">
        <v>6.33</v>
      </c>
      <c r="R3456" s="402">
        <v>248.5</v>
      </c>
      <c r="S3456" s="404">
        <v>83.5</v>
      </c>
      <c r="T3456" s="402">
        <v>0.43</v>
      </c>
      <c r="U3456" s="395">
        <v>3.61</v>
      </c>
      <c r="V3456" s="402">
        <v>1.3</v>
      </c>
      <c r="W3456" s="404">
        <v>0.02</v>
      </c>
      <c r="X3456" s="402">
        <v>0.21</v>
      </c>
      <c r="Y3456" s="404">
        <f>0.02/2</f>
        <v>0.01</v>
      </c>
      <c r="Z3456" s="397">
        <v>1</v>
      </c>
      <c r="AA3456" s="399">
        <v>1</v>
      </c>
      <c r="AB3456" s="394">
        <v>30.1</v>
      </c>
      <c r="AC3456" s="402">
        <v>134</v>
      </c>
      <c r="AD3456" s="399">
        <v>1</v>
      </c>
      <c r="AE3456" s="402"/>
      <c r="AF3456" s="391"/>
      <c r="AG3456" s="394"/>
      <c r="AH3456" s="394"/>
      <c r="AI3456" s="394"/>
      <c r="AJ3456" s="394"/>
      <c r="AK3456" s="394"/>
      <c r="AL3456" s="394"/>
      <c r="AM3456" s="394"/>
      <c r="AN3456" s="394"/>
      <c r="AO3456" s="394"/>
      <c r="AP3456" s="394"/>
      <c r="AQ3456" s="394"/>
      <c r="AR3456" s="394"/>
      <c r="AS3456" s="402"/>
      <c r="AT3456" s="404"/>
      <c r="AU3456" s="394"/>
      <c r="AV3456" s="394"/>
      <c r="AW3456" s="394"/>
      <c r="AX3456" s="5"/>
      <c r="AY3456" s="5"/>
      <c r="AZ3456" s="5"/>
      <c r="BA3456" s="5"/>
      <c r="BB3456" s="5"/>
      <c r="BC3456" s="5"/>
      <c r="BD3456" s="5"/>
      <c r="BE3456" s="5"/>
      <c r="BF3456" s="5"/>
      <c r="BG3456" s="5"/>
      <c r="BH3456" s="5"/>
      <c r="BI3456" s="5"/>
      <c r="BJ3456" s="5"/>
      <c r="BK3456" s="5"/>
      <c r="BL3456" s="5"/>
      <c r="BM3456" s="5"/>
      <c r="BN3456" s="5"/>
      <c r="BO3456" s="5"/>
      <c r="BP3456" s="5"/>
      <c r="BQ3456" s="5"/>
      <c r="BR3456" s="5"/>
      <c r="BS3456" s="5"/>
      <c r="BT3456" s="5"/>
      <c r="BU3456" s="5"/>
      <c r="BV3456" s="5"/>
      <c r="BW3456" s="5"/>
      <c r="BX3456" s="5"/>
      <c r="BY3456" s="5"/>
      <c r="BZ3456" s="5"/>
      <c r="CA3456" s="5"/>
    </row>
    <row r="3457" spans="1:79" ht="15" customHeight="1">
      <c r="A3457" s="404" t="s">
        <v>4668</v>
      </c>
      <c r="B3457" s="402" t="s">
        <v>4584</v>
      </c>
      <c r="C3457" s="113" t="s">
        <v>4584</v>
      </c>
      <c r="D3457" s="393" t="s">
        <v>710</v>
      </c>
      <c r="E3457" s="394" t="s">
        <v>4585</v>
      </c>
      <c r="F3457" s="402" t="s">
        <v>5865</v>
      </c>
      <c r="G3457" s="405" t="s">
        <v>4586</v>
      </c>
      <c r="H3457" s="74">
        <v>2653</v>
      </c>
      <c r="J3457" s="339" t="s">
        <v>5866</v>
      </c>
      <c r="K3457" s="51">
        <v>41585</v>
      </c>
      <c r="L3457" s="173"/>
      <c r="N3457" s="50" t="s">
        <v>2</v>
      </c>
      <c r="O3457" s="74">
        <f>1/2</f>
        <v>0.5</v>
      </c>
      <c r="P3457" s="50">
        <v>5.5</v>
      </c>
      <c r="Q3457" s="74">
        <v>7.6</v>
      </c>
      <c r="R3457" s="50">
        <v>39</v>
      </c>
      <c r="S3457" s="74">
        <v>49</v>
      </c>
      <c r="T3457" s="50">
        <v>0.18</v>
      </c>
      <c r="U3457" s="131">
        <v>0.88</v>
      </c>
      <c r="V3457" s="50">
        <v>0.36</v>
      </c>
      <c r="W3457" s="74">
        <v>9.5999999999999992E-3</v>
      </c>
      <c r="X3457" s="50">
        <v>0.12</v>
      </c>
      <c r="Y3457" s="74">
        <f>0.002/2</f>
        <v>1E-3</v>
      </c>
      <c r="Z3457" s="165">
        <v>1</v>
      </c>
      <c r="AA3457" s="271">
        <v>1</v>
      </c>
      <c r="AB3457" s="114">
        <v>12</v>
      </c>
      <c r="AC3457" s="50">
        <v>67</v>
      </c>
      <c r="AD3457" s="271">
        <v>1</v>
      </c>
    </row>
    <row r="3458" spans="1:79" s="400" customFormat="1" ht="15" customHeight="1">
      <c r="A3458" s="41" t="s">
        <v>183</v>
      </c>
      <c r="B3458" s="402" t="s">
        <v>3967</v>
      </c>
      <c r="C3458" s="113" t="s">
        <v>3967</v>
      </c>
      <c r="D3458" s="393" t="s">
        <v>262</v>
      </c>
      <c r="E3458" s="394" t="s">
        <v>3978</v>
      </c>
      <c r="F3458" s="402">
        <v>7103</v>
      </c>
      <c r="G3458" s="405" t="s">
        <v>3981</v>
      </c>
      <c r="H3458" s="404">
        <v>4119</v>
      </c>
      <c r="I3458" s="402" t="s">
        <v>2</v>
      </c>
      <c r="J3458" s="406" t="s">
        <v>3982</v>
      </c>
      <c r="K3458" s="403">
        <v>41402</v>
      </c>
      <c r="L3458" s="398">
        <v>41376</v>
      </c>
      <c r="M3458" s="402">
        <f t="shared" ref="M3458:M3460" si="209">K3458-L3458</f>
        <v>26</v>
      </c>
      <c r="N3458" s="402" t="s">
        <v>2</v>
      </c>
      <c r="O3458" s="404">
        <f t="shared" ref="O3458:O3460" si="210">5/2</f>
        <v>2.5</v>
      </c>
      <c r="P3458" s="402">
        <v>6.56</v>
      </c>
      <c r="Q3458" s="404">
        <v>6.48</v>
      </c>
      <c r="R3458" s="402">
        <v>152</v>
      </c>
      <c r="S3458" s="404">
        <v>47</v>
      </c>
      <c r="T3458" s="402">
        <v>0.22</v>
      </c>
      <c r="U3458" s="395">
        <v>5.89</v>
      </c>
      <c r="V3458" s="402">
        <v>1.34</v>
      </c>
      <c r="W3458" s="404">
        <v>0.03</v>
      </c>
      <c r="X3458" s="402">
        <v>0.12</v>
      </c>
      <c r="Y3458" s="404">
        <v>1.0999999999999999E-2</v>
      </c>
      <c r="Z3458" s="397">
        <v>1</v>
      </c>
      <c r="AA3458" s="399">
        <v>1</v>
      </c>
      <c r="AB3458" s="394">
        <v>15.8</v>
      </c>
      <c r="AC3458" s="402">
        <v>82</v>
      </c>
      <c r="AD3458" s="399">
        <v>1</v>
      </c>
      <c r="AE3458" s="402"/>
      <c r="AF3458" s="391"/>
      <c r="AG3458" s="394"/>
      <c r="AH3458" s="394"/>
      <c r="AI3458" s="394"/>
      <c r="AJ3458" s="394"/>
      <c r="AK3458" s="394"/>
      <c r="AL3458" s="394"/>
      <c r="AM3458" s="394"/>
      <c r="AN3458" s="394"/>
      <c r="AO3458" s="394"/>
      <c r="AP3458" s="394"/>
      <c r="AQ3458" s="394"/>
      <c r="AR3458" s="394"/>
      <c r="AS3458" s="402"/>
      <c r="AT3458" s="404"/>
      <c r="AU3458" s="394"/>
      <c r="AV3458" s="394"/>
      <c r="AW3458" s="394"/>
      <c r="AX3458" s="5"/>
      <c r="AY3458" s="5"/>
      <c r="AZ3458" s="5"/>
      <c r="BA3458" s="5"/>
      <c r="BB3458" s="5"/>
      <c r="BC3458" s="5"/>
      <c r="BD3458" s="5"/>
      <c r="BE3458" s="5"/>
      <c r="BF3458" s="5"/>
      <c r="BG3458" s="5"/>
      <c r="BH3458" s="5"/>
      <c r="BI3458" s="5"/>
      <c r="BJ3458" s="5"/>
      <c r="BK3458" s="5"/>
      <c r="BL3458" s="5"/>
      <c r="BM3458" s="5"/>
      <c r="BN3458" s="5"/>
      <c r="BO3458" s="5"/>
      <c r="BP3458" s="5"/>
      <c r="BQ3458" s="5"/>
      <c r="BR3458" s="5"/>
      <c r="BS3458" s="5"/>
      <c r="BT3458" s="5"/>
      <c r="BU3458" s="5"/>
      <c r="BV3458" s="5"/>
      <c r="BW3458" s="5"/>
      <c r="BX3458" s="5"/>
      <c r="BY3458" s="5"/>
      <c r="BZ3458" s="5"/>
      <c r="CA3458" s="5"/>
    </row>
    <row r="3459" spans="1:79" s="400" customFormat="1" ht="15" customHeight="1">
      <c r="A3459" s="41" t="s">
        <v>183</v>
      </c>
      <c r="B3459" s="402" t="s">
        <v>3967</v>
      </c>
      <c r="C3459" s="113" t="s">
        <v>3967</v>
      </c>
      <c r="D3459" s="393" t="s">
        <v>262</v>
      </c>
      <c r="E3459" s="394" t="s">
        <v>3978</v>
      </c>
      <c r="F3459" s="402">
        <v>7103</v>
      </c>
      <c r="G3459" s="405" t="s">
        <v>3981</v>
      </c>
      <c r="H3459" s="404">
        <v>4119</v>
      </c>
      <c r="I3459" s="402" t="s">
        <v>2</v>
      </c>
      <c r="J3459" s="406" t="s">
        <v>3982</v>
      </c>
      <c r="K3459" s="403">
        <v>41554</v>
      </c>
      <c r="L3459" s="398">
        <v>41529</v>
      </c>
      <c r="M3459" s="402">
        <f t="shared" si="209"/>
        <v>25</v>
      </c>
      <c r="N3459" s="402" t="s">
        <v>2</v>
      </c>
      <c r="O3459" s="404">
        <f t="shared" si="210"/>
        <v>2.5</v>
      </c>
      <c r="P3459" s="402">
        <v>5.68</v>
      </c>
      <c r="Q3459" s="404">
        <v>5.86</v>
      </c>
      <c r="R3459" s="402">
        <v>302</v>
      </c>
      <c r="S3459" s="404">
        <v>266</v>
      </c>
      <c r="T3459" s="402">
        <v>0.3</v>
      </c>
      <c r="U3459" s="395">
        <v>3.51</v>
      </c>
      <c r="V3459" s="402">
        <v>1.82</v>
      </c>
      <c r="W3459" s="404">
        <v>4.9000000000000002E-2</v>
      </c>
      <c r="X3459" s="402">
        <v>0.26</v>
      </c>
      <c r="Y3459" s="404">
        <v>3.1E-2</v>
      </c>
      <c r="Z3459" s="397"/>
      <c r="AA3459" s="399"/>
      <c r="AB3459" s="394"/>
      <c r="AC3459" s="402"/>
      <c r="AD3459" s="399"/>
      <c r="AE3459" s="402"/>
      <c r="AF3459" s="391"/>
      <c r="AG3459" s="394"/>
      <c r="AH3459" s="394"/>
      <c r="AI3459" s="394"/>
      <c r="AJ3459" s="394"/>
      <c r="AK3459" s="394"/>
      <c r="AL3459" s="394"/>
      <c r="AM3459" s="394"/>
      <c r="AN3459" s="394"/>
      <c r="AO3459" s="394"/>
      <c r="AP3459" s="394"/>
      <c r="AQ3459" s="394"/>
      <c r="AR3459" s="394"/>
      <c r="AS3459" s="402"/>
      <c r="AT3459" s="404"/>
      <c r="AU3459" s="394"/>
      <c r="AV3459" s="394"/>
      <c r="AW3459" s="394"/>
      <c r="AX3459" s="5"/>
      <c r="AY3459" s="5"/>
      <c r="AZ3459" s="5"/>
      <c r="BA3459" s="5"/>
      <c r="BB3459" s="5"/>
      <c r="BC3459" s="5"/>
      <c r="BD3459" s="5"/>
      <c r="BE3459" s="5"/>
      <c r="BF3459" s="5"/>
      <c r="BG3459" s="5"/>
      <c r="BH3459" s="5"/>
      <c r="BI3459" s="5"/>
      <c r="BJ3459" s="5"/>
      <c r="BK3459" s="5"/>
      <c r="BL3459" s="5"/>
      <c r="BM3459" s="5"/>
      <c r="BN3459" s="5"/>
      <c r="BO3459" s="5"/>
      <c r="BP3459" s="5"/>
      <c r="BQ3459" s="5"/>
      <c r="BR3459" s="5"/>
      <c r="BS3459" s="5"/>
      <c r="BT3459" s="5"/>
      <c r="BU3459" s="5"/>
      <c r="BV3459" s="5"/>
      <c r="BW3459" s="5"/>
      <c r="BX3459" s="5"/>
      <c r="BY3459" s="5"/>
      <c r="BZ3459" s="5"/>
      <c r="CA3459" s="5"/>
    </row>
    <row r="3460" spans="1:79" s="400" customFormat="1" ht="15" customHeight="1">
      <c r="A3460" s="41" t="s">
        <v>183</v>
      </c>
      <c r="B3460" s="402" t="s">
        <v>3967</v>
      </c>
      <c r="C3460" s="113" t="s">
        <v>3967</v>
      </c>
      <c r="D3460" s="393" t="s">
        <v>262</v>
      </c>
      <c r="E3460" s="394" t="s">
        <v>3978</v>
      </c>
      <c r="F3460" s="402">
        <v>7103</v>
      </c>
      <c r="G3460" s="405" t="s">
        <v>3979</v>
      </c>
      <c r="H3460" s="404">
        <v>4119</v>
      </c>
      <c r="I3460" s="402" t="s">
        <v>2</v>
      </c>
      <c r="J3460" s="406" t="s">
        <v>5867</v>
      </c>
      <c r="K3460" s="403">
        <v>41402</v>
      </c>
      <c r="L3460" s="398">
        <v>41385</v>
      </c>
      <c r="M3460" s="402">
        <f t="shared" si="209"/>
        <v>17</v>
      </c>
      <c r="N3460" s="402" t="s">
        <v>2</v>
      </c>
      <c r="O3460" s="404">
        <f t="shared" si="210"/>
        <v>2.5</v>
      </c>
      <c r="P3460" s="402">
        <v>6.48</v>
      </c>
      <c r="Q3460" s="404">
        <v>5.46</v>
      </c>
      <c r="R3460" s="402">
        <v>3728</v>
      </c>
      <c r="S3460" s="404">
        <v>491</v>
      </c>
      <c r="T3460" s="402">
        <v>6.42</v>
      </c>
      <c r="U3460" s="395">
        <v>40.9</v>
      </c>
      <c r="V3460" s="402">
        <f>0.1/2</f>
        <v>0.05</v>
      </c>
      <c r="W3460" s="404">
        <v>0.22</v>
      </c>
      <c r="X3460" s="402">
        <v>0.9</v>
      </c>
      <c r="Y3460" s="404">
        <v>3.7999999999999999E-2</v>
      </c>
      <c r="Z3460" s="397">
        <v>0.35399999999999998</v>
      </c>
      <c r="AA3460" s="399">
        <v>6.25E-2</v>
      </c>
      <c r="AB3460" s="394">
        <v>101</v>
      </c>
      <c r="AC3460" s="402">
        <v>637</v>
      </c>
      <c r="AD3460" s="399">
        <v>0</v>
      </c>
      <c r="AE3460" s="402"/>
      <c r="AF3460" s="391"/>
      <c r="AG3460" s="394"/>
      <c r="AH3460" s="394"/>
      <c r="AI3460" s="394"/>
      <c r="AJ3460" s="394"/>
      <c r="AK3460" s="394"/>
      <c r="AL3460" s="394"/>
      <c r="AM3460" s="394"/>
      <c r="AN3460" s="394"/>
      <c r="AO3460" s="394"/>
      <c r="AP3460" s="394"/>
      <c r="AQ3460" s="394"/>
      <c r="AR3460" s="394"/>
      <c r="AS3460" s="402"/>
      <c r="AT3460" s="404"/>
      <c r="AU3460" s="394"/>
      <c r="AV3460" s="394"/>
      <c r="AW3460" s="394"/>
      <c r="AX3460" s="5"/>
      <c r="AY3460" s="5"/>
      <c r="AZ3460" s="5"/>
      <c r="BA3460" s="5"/>
      <c r="BB3460" s="5"/>
      <c r="BC3460" s="5"/>
      <c r="BD3460" s="5"/>
      <c r="BE3460" s="5"/>
      <c r="BF3460" s="5"/>
      <c r="BG3460" s="5"/>
      <c r="BH3460" s="5"/>
      <c r="BI3460" s="5"/>
      <c r="BJ3460" s="5"/>
      <c r="BK3460" s="5"/>
      <c r="BL3460" s="5"/>
      <c r="BM3460" s="5"/>
      <c r="BN3460" s="5"/>
      <c r="BO3460" s="5"/>
      <c r="BP3460" s="5"/>
      <c r="BQ3460" s="5"/>
      <c r="BR3460" s="5"/>
      <c r="BS3460" s="5"/>
      <c r="BT3460" s="5"/>
      <c r="BU3460" s="5"/>
      <c r="BV3460" s="5"/>
      <c r="BW3460" s="5"/>
      <c r="BX3460" s="5"/>
      <c r="BY3460" s="5"/>
      <c r="BZ3460" s="5"/>
      <c r="CA3460" s="5"/>
    </row>
    <row r="3461" spans="1:79" ht="15" customHeight="1">
      <c r="A3461" s="404" t="s">
        <v>4668</v>
      </c>
      <c r="B3461" s="402" t="s">
        <v>3967</v>
      </c>
      <c r="C3461" s="113" t="s">
        <v>3967</v>
      </c>
      <c r="D3461" s="393" t="s">
        <v>262</v>
      </c>
      <c r="E3461" s="394" t="s">
        <v>3978</v>
      </c>
      <c r="F3461" s="402">
        <v>7103</v>
      </c>
      <c r="G3461" s="405" t="s">
        <v>3979</v>
      </c>
      <c r="H3461" s="74">
        <v>4119</v>
      </c>
      <c r="I3461" s="50" t="s">
        <v>2</v>
      </c>
      <c r="J3461" s="339" t="s">
        <v>5867</v>
      </c>
      <c r="K3461" s="51">
        <v>41554</v>
      </c>
      <c r="L3461" s="173">
        <v>41529</v>
      </c>
      <c r="M3461" s="50">
        <f t="shared" si="208"/>
        <v>25</v>
      </c>
      <c r="N3461" s="50" t="s">
        <v>2</v>
      </c>
      <c r="O3461" s="74">
        <f t="shared" ref="O3461:O3463" si="211">5/2</f>
        <v>2.5</v>
      </c>
      <c r="P3461" s="50">
        <v>5.68</v>
      </c>
      <c r="Q3461" s="74">
        <v>6.02</v>
      </c>
      <c r="R3461" s="50">
        <v>600</v>
      </c>
      <c r="S3461" s="74">
        <v>491</v>
      </c>
      <c r="T3461" s="50">
        <v>0.63</v>
      </c>
      <c r="U3461" s="131">
        <v>3.98</v>
      </c>
      <c r="V3461" s="50">
        <v>1.45</v>
      </c>
      <c r="W3461" s="74">
        <v>4.9000000000000002E-2</v>
      </c>
      <c r="X3461" s="50">
        <v>0.39</v>
      </c>
      <c r="Y3461" s="74">
        <v>5.3999999999999999E-2</v>
      </c>
      <c r="Z3461" s="165"/>
    </row>
    <row r="3462" spans="1:79" s="400" customFormat="1" ht="15" customHeight="1">
      <c r="A3462" s="41" t="s">
        <v>183</v>
      </c>
      <c r="B3462" s="402" t="s">
        <v>3967</v>
      </c>
      <c r="C3462" s="113" t="s">
        <v>3967</v>
      </c>
      <c r="D3462" s="393" t="s">
        <v>372</v>
      </c>
      <c r="E3462" s="394" t="s">
        <v>235</v>
      </c>
      <c r="F3462" s="402">
        <v>6900</v>
      </c>
      <c r="G3462" s="405" t="s">
        <v>5086</v>
      </c>
      <c r="H3462" s="404">
        <v>4119</v>
      </c>
      <c r="I3462" s="402" t="s">
        <v>2</v>
      </c>
      <c r="J3462" s="406" t="s">
        <v>5868</v>
      </c>
      <c r="K3462" s="403">
        <v>41402</v>
      </c>
      <c r="L3462" s="398">
        <v>41384</v>
      </c>
      <c r="M3462" s="402">
        <f t="shared" si="208"/>
        <v>18</v>
      </c>
      <c r="N3462" s="402" t="s">
        <v>2</v>
      </c>
      <c r="O3462" s="404">
        <f t="shared" si="211"/>
        <v>2.5</v>
      </c>
      <c r="P3462" s="402">
        <v>6.15</v>
      </c>
      <c r="Q3462" s="404">
        <v>6.37</v>
      </c>
      <c r="R3462" s="402">
        <v>372</v>
      </c>
      <c r="S3462" s="404">
        <v>453</v>
      </c>
      <c r="T3462" s="402">
        <v>0.56999999999999995</v>
      </c>
      <c r="U3462" s="395">
        <v>5.14</v>
      </c>
      <c r="V3462" s="402">
        <v>1.64</v>
      </c>
      <c r="W3462" s="404">
        <v>6.6000000000000003E-2</v>
      </c>
      <c r="X3462" s="402">
        <v>1.1000000000000001</v>
      </c>
      <c r="Y3462" s="404">
        <v>5.0999999999999997E-2</v>
      </c>
      <c r="Z3462" s="397">
        <v>1</v>
      </c>
      <c r="AA3462" s="399">
        <v>0.57399999999999995</v>
      </c>
      <c r="AB3462" s="394">
        <v>34.299999999999997</v>
      </c>
      <c r="AC3462" s="402">
        <v>116</v>
      </c>
      <c r="AD3462" s="399">
        <v>0</v>
      </c>
      <c r="AE3462" s="402"/>
      <c r="AF3462" s="391"/>
      <c r="AG3462" s="394"/>
      <c r="AH3462" s="394"/>
      <c r="AI3462" s="394"/>
      <c r="AJ3462" s="394"/>
      <c r="AK3462" s="394"/>
      <c r="AL3462" s="394"/>
      <c r="AM3462" s="394"/>
      <c r="AN3462" s="394"/>
      <c r="AO3462" s="394"/>
      <c r="AP3462" s="394"/>
      <c r="AQ3462" s="394"/>
      <c r="AR3462" s="394"/>
      <c r="AS3462" s="402"/>
      <c r="AT3462" s="404"/>
      <c r="AU3462" s="394"/>
      <c r="AV3462" s="394"/>
      <c r="AW3462" s="394"/>
      <c r="AX3462" s="5"/>
      <c r="AY3462" s="5"/>
      <c r="AZ3462" s="5"/>
      <c r="BA3462" s="5"/>
      <c r="BB3462" s="5"/>
      <c r="BC3462" s="5"/>
      <c r="BD3462" s="5"/>
      <c r="BE3462" s="5"/>
      <c r="BF3462" s="5"/>
      <c r="BG3462" s="5"/>
      <c r="BH3462" s="5"/>
      <c r="BI3462" s="5"/>
      <c r="BJ3462" s="5"/>
      <c r="BK3462" s="5"/>
      <c r="BL3462" s="5"/>
      <c r="BM3462" s="5"/>
      <c r="BN3462" s="5"/>
      <c r="BO3462" s="5"/>
      <c r="BP3462" s="5"/>
      <c r="BQ3462" s="5"/>
      <c r="BR3462" s="5"/>
      <c r="BS3462" s="5"/>
      <c r="BT3462" s="5"/>
      <c r="BU3462" s="5"/>
      <c r="BV3462" s="5"/>
      <c r="BW3462" s="5"/>
      <c r="BX3462" s="5"/>
      <c r="BY3462" s="5"/>
      <c r="BZ3462" s="5"/>
      <c r="CA3462" s="5"/>
    </row>
    <row r="3463" spans="1:79" s="400" customFormat="1" ht="15" customHeight="1">
      <c r="A3463" s="41" t="s">
        <v>183</v>
      </c>
      <c r="B3463" s="402" t="s">
        <v>3967</v>
      </c>
      <c r="C3463" s="113" t="s">
        <v>3967</v>
      </c>
      <c r="D3463" s="393" t="s">
        <v>372</v>
      </c>
      <c r="E3463" s="394" t="s">
        <v>235</v>
      </c>
      <c r="F3463" s="402">
        <v>6900</v>
      </c>
      <c r="G3463" s="405" t="s">
        <v>5086</v>
      </c>
      <c r="H3463" s="404">
        <v>4119</v>
      </c>
      <c r="I3463" s="402" t="s">
        <v>2</v>
      </c>
      <c r="J3463" s="406" t="s">
        <v>5868</v>
      </c>
      <c r="K3463" s="403">
        <v>41499</v>
      </c>
      <c r="L3463" s="398">
        <v>41466</v>
      </c>
      <c r="M3463" s="402">
        <f t="shared" si="208"/>
        <v>33</v>
      </c>
      <c r="N3463" s="402" t="s">
        <v>2</v>
      </c>
      <c r="O3463" s="404">
        <f t="shared" si="211"/>
        <v>2.5</v>
      </c>
      <c r="P3463" s="402">
        <v>6.43</v>
      </c>
      <c r="Q3463" s="404">
        <v>6.5</v>
      </c>
      <c r="R3463" s="402">
        <v>43</v>
      </c>
      <c r="S3463" s="404">
        <v>94</v>
      </c>
      <c r="T3463" s="402">
        <v>0.15</v>
      </c>
      <c r="U3463" s="395">
        <v>1.69</v>
      </c>
      <c r="V3463" s="402">
        <v>1.19</v>
      </c>
      <c r="W3463" s="404">
        <v>3.2000000000000001E-2</v>
      </c>
      <c r="X3463" s="402">
        <v>0.24</v>
      </c>
      <c r="Y3463" s="404">
        <v>8.9999999999999993E-3</v>
      </c>
      <c r="Z3463" s="397">
        <v>1</v>
      </c>
      <c r="AA3463" s="399">
        <v>0.76200000000000001</v>
      </c>
      <c r="AB3463" s="394">
        <v>16.8</v>
      </c>
      <c r="AC3463" s="402">
        <v>45</v>
      </c>
      <c r="AD3463" s="399">
        <v>0.1</v>
      </c>
      <c r="AE3463" s="402"/>
      <c r="AF3463" s="391"/>
      <c r="AG3463" s="394"/>
      <c r="AH3463" s="394"/>
      <c r="AI3463" s="394"/>
      <c r="AJ3463" s="394"/>
      <c r="AK3463" s="394"/>
      <c r="AL3463" s="394"/>
      <c r="AM3463" s="394"/>
      <c r="AN3463" s="394"/>
      <c r="AO3463" s="394"/>
      <c r="AP3463" s="394"/>
      <c r="AQ3463" s="394"/>
      <c r="AR3463" s="394"/>
      <c r="AS3463" s="402"/>
      <c r="AT3463" s="404"/>
      <c r="AU3463" s="394"/>
      <c r="AV3463" s="394"/>
      <c r="AW3463" s="394"/>
      <c r="AX3463" s="5"/>
      <c r="AY3463" s="5"/>
      <c r="AZ3463" s="5"/>
      <c r="BA3463" s="5"/>
      <c r="BB3463" s="5"/>
      <c r="BC3463" s="5"/>
      <c r="BD3463" s="5"/>
      <c r="BE3463" s="5"/>
      <c r="BF3463" s="5"/>
      <c r="BG3463" s="5"/>
      <c r="BH3463" s="5"/>
      <c r="BI3463" s="5"/>
      <c r="BJ3463" s="5"/>
      <c r="BK3463" s="5"/>
      <c r="BL3463" s="5"/>
      <c r="BM3463" s="5"/>
      <c r="BN3463" s="5"/>
      <c r="BO3463" s="5"/>
      <c r="BP3463" s="5"/>
      <c r="BQ3463" s="5"/>
      <c r="BR3463" s="5"/>
      <c r="BS3463" s="5"/>
      <c r="BT3463" s="5"/>
      <c r="BU3463" s="5"/>
      <c r="BV3463" s="5"/>
      <c r="BW3463" s="5"/>
      <c r="BX3463" s="5"/>
      <c r="BY3463" s="5"/>
      <c r="BZ3463" s="5"/>
      <c r="CA3463" s="5"/>
    </row>
    <row r="3464" spans="1:79" s="400" customFormat="1" ht="15" customHeight="1">
      <c r="A3464" s="41" t="s">
        <v>183</v>
      </c>
      <c r="B3464" s="402" t="s">
        <v>3967</v>
      </c>
      <c r="C3464" s="113" t="s">
        <v>3967</v>
      </c>
      <c r="D3464" s="393" t="s">
        <v>56</v>
      </c>
      <c r="E3464" s="394" t="s">
        <v>112</v>
      </c>
      <c r="F3464" s="402">
        <v>5200</v>
      </c>
      <c r="G3464" s="405" t="s">
        <v>5869</v>
      </c>
      <c r="H3464" s="404">
        <v>4119</v>
      </c>
      <c r="I3464" s="402" t="s">
        <v>2</v>
      </c>
      <c r="J3464" s="406" t="s">
        <v>5870</v>
      </c>
      <c r="K3464" s="403">
        <v>41402</v>
      </c>
      <c r="L3464" s="398">
        <v>41389</v>
      </c>
      <c r="M3464" s="402">
        <f t="shared" si="208"/>
        <v>13</v>
      </c>
      <c r="N3464" s="402" t="s">
        <v>2</v>
      </c>
      <c r="O3464" s="404">
        <f>5/2</f>
        <v>2.5</v>
      </c>
      <c r="P3464" s="402">
        <v>6.09</v>
      </c>
      <c r="Q3464" s="404">
        <v>6.81</v>
      </c>
      <c r="R3464" s="402">
        <v>234</v>
      </c>
      <c r="S3464" s="404">
        <v>287</v>
      </c>
      <c r="T3464" s="402">
        <v>0.26</v>
      </c>
      <c r="U3464" s="395">
        <v>1.86</v>
      </c>
      <c r="V3464" s="402">
        <v>0.72</v>
      </c>
      <c r="W3464" s="404">
        <v>2.5999999999999999E-2</v>
      </c>
      <c r="X3464" s="402">
        <v>0.15</v>
      </c>
      <c r="Y3464" s="404">
        <v>2.1999999999999999E-2</v>
      </c>
      <c r="Z3464" s="397">
        <v>1</v>
      </c>
      <c r="AA3464" s="399">
        <v>1</v>
      </c>
      <c r="AB3464" s="394">
        <v>16.8</v>
      </c>
      <c r="AC3464" s="402">
        <v>237</v>
      </c>
      <c r="AD3464" s="399">
        <v>1</v>
      </c>
      <c r="AE3464" s="402"/>
      <c r="AF3464" s="391"/>
      <c r="AG3464" s="394"/>
      <c r="AH3464" s="394"/>
      <c r="AI3464" s="394"/>
      <c r="AJ3464" s="394"/>
      <c r="AK3464" s="394"/>
      <c r="AL3464" s="394"/>
      <c r="AM3464" s="394"/>
      <c r="AN3464" s="394"/>
      <c r="AO3464" s="394"/>
      <c r="AP3464" s="394"/>
      <c r="AQ3464" s="394"/>
      <c r="AR3464" s="394"/>
      <c r="AS3464" s="402"/>
      <c r="AT3464" s="404"/>
      <c r="AU3464" s="394"/>
      <c r="AV3464" s="394"/>
      <c r="AW3464" s="394"/>
      <c r="AX3464" s="5"/>
      <c r="AY3464" s="5"/>
      <c r="AZ3464" s="5"/>
      <c r="BA3464" s="5"/>
      <c r="BB3464" s="5"/>
      <c r="BC3464" s="5"/>
      <c r="BD3464" s="5"/>
      <c r="BE3464" s="5"/>
      <c r="BF3464" s="5"/>
      <c r="BG3464" s="5"/>
      <c r="BH3464" s="5"/>
      <c r="BI3464" s="5"/>
      <c r="BJ3464" s="5"/>
      <c r="BK3464" s="5"/>
      <c r="BL3464" s="5"/>
      <c r="BM3464" s="5"/>
      <c r="BN3464" s="5"/>
      <c r="BO3464" s="5"/>
      <c r="BP3464" s="5"/>
      <c r="BQ3464" s="5"/>
      <c r="BR3464" s="5"/>
      <c r="BS3464" s="5"/>
      <c r="BT3464" s="5"/>
      <c r="BU3464" s="5"/>
      <c r="BV3464" s="5"/>
      <c r="BW3464" s="5"/>
      <c r="BX3464" s="5"/>
      <c r="BY3464" s="5"/>
      <c r="BZ3464" s="5"/>
      <c r="CA3464" s="5"/>
    </row>
    <row r="3465" spans="1:79" s="400" customFormat="1" ht="15" customHeight="1">
      <c r="A3465" s="41" t="s">
        <v>183</v>
      </c>
      <c r="B3465" s="402" t="s">
        <v>3967</v>
      </c>
      <c r="C3465" s="113" t="s">
        <v>3967</v>
      </c>
      <c r="D3465" s="393" t="s">
        <v>56</v>
      </c>
      <c r="E3465" s="394" t="s">
        <v>112</v>
      </c>
      <c r="F3465" s="402">
        <v>5200</v>
      </c>
      <c r="G3465" s="405" t="s">
        <v>5869</v>
      </c>
      <c r="H3465" s="404">
        <v>4119</v>
      </c>
      <c r="I3465" s="402" t="s">
        <v>2</v>
      </c>
      <c r="J3465" s="406" t="s">
        <v>5870</v>
      </c>
      <c r="K3465" s="403">
        <v>41487</v>
      </c>
      <c r="L3465" s="398">
        <v>41433</v>
      </c>
      <c r="M3465" s="402">
        <f t="shared" si="208"/>
        <v>54</v>
      </c>
      <c r="N3465" s="402" t="s">
        <v>2</v>
      </c>
      <c r="O3465" s="404">
        <f>5/2</f>
        <v>2.5</v>
      </c>
      <c r="P3465" s="402"/>
      <c r="Q3465" s="404">
        <v>5.5</v>
      </c>
      <c r="R3465" s="402">
        <v>92</v>
      </c>
      <c r="S3465" s="404">
        <v>18</v>
      </c>
      <c r="T3465" s="402">
        <v>0.17</v>
      </c>
      <c r="U3465" s="395">
        <v>4.6500000000000004</v>
      </c>
      <c r="V3465" s="402">
        <v>1.81</v>
      </c>
      <c r="W3465" s="404">
        <v>1.7999999999999999E-2</v>
      </c>
      <c r="X3465" s="402">
        <v>0.14000000000000001</v>
      </c>
      <c r="Y3465" s="404">
        <v>8.0000000000000002E-3</v>
      </c>
      <c r="Z3465" s="397">
        <v>0.85599999999999998</v>
      </c>
      <c r="AA3465" s="399">
        <v>0.53800000000000003</v>
      </c>
      <c r="AB3465" s="394">
        <v>11.2</v>
      </c>
      <c r="AC3465" s="402">
        <v>53</v>
      </c>
      <c r="AD3465" s="399">
        <v>0.05</v>
      </c>
      <c r="AE3465" s="402"/>
      <c r="AF3465" s="391"/>
      <c r="AG3465" s="394"/>
      <c r="AH3465" s="394"/>
      <c r="AI3465" s="394"/>
      <c r="AJ3465" s="394"/>
      <c r="AK3465" s="394"/>
      <c r="AL3465" s="394"/>
      <c r="AM3465" s="394"/>
      <c r="AN3465" s="394"/>
      <c r="AO3465" s="394"/>
      <c r="AP3465" s="394"/>
      <c r="AQ3465" s="394"/>
      <c r="AR3465" s="394"/>
      <c r="AS3465" s="402"/>
      <c r="AT3465" s="404"/>
      <c r="AU3465" s="394"/>
      <c r="AV3465" s="394"/>
      <c r="AW3465" s="394"/>
      <c r="AX3465" s="5"/>
      <c r="AY3465" s="5"/>
      <c r="AZ3465" s="5"/>
      <c r="BA3465" s="5"/>
      <c r="BB3465" s="5"/>
      <c r="BC3465" s="5"/>
      <c r="BD3465" s="5"/>
      <c r="BE3465" s="5"/>
      <c r="BF3465" s="5"/>
      <c r="BG3465" s="5"/>
      <c r="BH3465" s="5"/>
      <c r="BI3465" s="5"/>
      <c r="BJ3465" s="5"/>
      <c r="BK3465" s="5"/>
      <c r="BL3465" s="5"/>
      <c r="BM3465" s="5"/>
      <c r="BN3465" s="5"/>
      <c r="BO3465" s="5"/>
      <c r="BP3465" s="5"/>
      <c r="BQ3465" s="5"/>
      <c r="BR3465" s="5"/>
      <c r="BS3465" s="5"/>
      <c r="BT3465" s="5"/>
      <c r="BU3465" s="5"/>
      <c r="BV3465" s="5"/>
      <c r="BW3465" s="5"/>
      <c r="BX3465" s="5"/>
      <c r="BY3465" s="5"/>
      <c r="BZ3465" s="5"/>
      <c r="CA3465" s="5"/>
    </row>
    <row r="3466" spans="1:79" ht="15" customHeight="1">
      <c r="A3466" s="404" t="s">
        <v>4668</v>
      </c>
      <c r="B3466" s="402" t="s">
        <v>3967</v>
      </c>
      <c r="C3466" s="113" t="s">
        <v>3967</v>
      </c>
      <c r="D3466" s="393" t="s">
        <v>268</v>
      </c>
      <c r="E3466" s="394" t="s">
        <v>252</v>
      </c>
      <c r="F3466" s="402">
        <v>4402</v>
      </c>
      <c r="G3466" s="405" t="s">
        <v>3966</v>
      </c>
      <c r="H3466" s="74">
        <v>4119</v>
      </c>
      <c r="I3466" s="50" t="s">
        <v>2</v>
      </c>
      <c r="J3466" s="339" t="s">
        <v>5871</v>
      </c>
      <c r="K3466" s="51">
        <v>41579</v>
      </c>
      <c r="L3466" s="173">
        <v>41564</v>
      </c>
      <c r="M3466" s="50">
        <f t="shared" si="208"/>
        <v>15</v>
      </c>
      <c r="N3466" s="50" t="s">
        <v>2</v>
      </c>
      <c r="O3466" s="74">
        <f>5/2</f>
        <v>2.5</v>
      </c>
      <c r="P3466" s="50">
        <v>5.81</v>
      </c>
      <c r="Q3466" s="74">
        <v>6.5</v>
      </c>
      <c r="R3466" s="50">
        <v>79</v>
      </c>
      <c r="S3466" s="74">
        <v>33</v>
      </c>
      <c r="T3466" s="50">
        <v>0.13</v>
      </c>
      <c r="U3466" s="131">
        <v>1.53</v>
      </c>
      <c r="V3466" s="50">
        <v>0.8</v>
      </c>
      <c r="W3466" s="74">
        <v>6.0000000000000001E-3</v>
      </c>
      <c r="X3466" s="50">
        <v>0.04</v>
      </c>
      <c r="Y3466" s="74">
        <v>2E-3</v>
      </c>
      <c r="Z3466" s="165">
        <v>1</v>
      </c>
      <c r="AA3466" s="271">
        <v>1</v>
      </c>
      <c r="AB3466" s="114">
        <v>4.34</v>
      </c>
      <c r="AC3466" s="50">
        <v>32</v>
      </c>
      <c r="AD3466" s="271">
        <v>1</v>
      </c>
    </row>
    <row r="3467" spans="1:79" ht="15" customHeight="1">
      <c r="A3467" s="404" t="s">
        <v>4668</v>
      </c>
      <c r="B3467" s="402" t="s">
        <v>3967</v>
      </c>
      <c r="C3467" s="113" t="s">
        <v>3967</v>
      </c>
      <c r="D3467" s="393" t="s">
        <v>268</v>
      </c>
      <c r="E3467" s="394" t="s">
        <v>252</v>
      </c>
      <c r="F3467" s="402">
        <v>4402</v>
      </c>
      <c r="G3467" s="405" t="s">
        <v>3966</v>
      </c>
      <c r="H3467" s="74">
        <v>4119</v>
      </c>
      <c r="I3467" s="50" t="s">
        <v>2</v>
      </c>
      <c r="J3467" s="339" t="s">
        <v>5871</v>
      </c>
      <c r="K3467" s="51">
        <v>41605</v>
      </c>
      <c r="L3467" s="173">
        <v>41579</v>
      </c>
      <c r="M3467" s="50">
        <f t="shared" si="208"/>
        <v>26</v>
      </c>
      <c r="N3467" s="50" t="s">
        <v>2</v>
      </c>
      <c r="O3467" s="74">
        <f>5/2</f>
        <v>2.5</v>
      </c>
      <c r="P3467" s="50">
        <v>5.3</v>
      </c>
      <c r="Q3467" s="74">
        <v>6.6</v>
      </c>
      <c r="R3467" s="50">
        <v>39</v>
      </c>
      <c r="S3467" s="74">
        <v>24</v>
      </c>
      <c r="T3467" s="50">
        <v>0.22</v>
      </c>
      <c r="U3467" s="131">
        <v>0.64</v>
      </c>
      <c r="V3467" s="50">
        <f>0.1/2</f>
        <v>0.05</v>
      </c>
      <c r="W3467" s="74">
        <v>7.0000000000000001E-3</v>
      </c>
      <c r="X3467" s="50">
        <v>0.06</v>
      </c>
      <c r="Y3467" s="74">
        <v>4.0000000000000001E-3</v>
      </c>
      <c r="Z3467" s="165"/>
    </row>
    <row r="3468" spans="1:79" s="400" customFormat="1" ht="15" customHeight="1">
      <c r="A3468" s="41" t="s">
        <v>183</v>
      </c>
      <c r="B3468" s="402" t="s">
        <v>4758</v>
      </c>
      <c r="C3468" s="113" t="s">
        <v>4758</v>
      </c>
      <c r="D3468" s="393" t="s">
        <v>251</v>
      </c>
      <c r="E3468" s="394" t="s">
        <v>823</v>
      </c>
      <c r="F3468" s="402">
        <v>4603</v>
      </c>
      <c r="G3468" s="405" t="s">
        <v>4759</v>
      </c>
      <c r="H3468" s="404">
        <v>3471</v>
      </c>
      <c r="I3468" s="402" t="s">
        <v>2</v>
      </c>
      <c r="J3468" s="406" t="s">
        <v>1943</v>
      </c>
      <c r="K3468" s="403">
        <v>41539</v>
      </c>
      <c r="L3468" s="398">
        <v>41530</v>
      </c>
      <c r="M3468" s="402">
        <f t="shared" si="208"/>
        <v>9</v>
      </c>
      <c r="N3468" s="402" t="s">
        <v>2</v>
      </c>
      <c r="O3468" s="404">
        <f>2/2</f>
        <v>1</v>
      </c>
      <c r="P3468" s="402">
        <v>7.1</v>
      </c>
      <c r="Q3468" s="404">
        <v>6.9</v>
      </c>
      <c r="R3468" s="402">
        <v>36</v>
      </c>
      <c r="S3468" s="404">
        <v>28</v>
      </c>
      <c r="T3468" s="402">
        <v>0.08</v>
      </c>
      <c r="U3468" s="395">
        <v>0.93</v>
      </c>
      <c r="V3468" s="402">
        <v>0.1</v>
      </c>
      <c r="W3468" s="404">
        <v>2.7E-2</v>
      </c>
      <c r="X3468" s="402">
        <v>3.9E-2</v>
      </c>
      <c r="Y3468" s="404">
        <f>0.03/2</f>
        <v>1.4999999999999999E-2</v>
      </c>
      <c r="Z3468" s="397">
        <v>1</v>
      </c>
      <c r="AA3468" s="399">
        <v>1</v>
      </c>
      <c r="AB3468" s="394">
        <v>26</v>
      </c>
      <c r="AC3468" s="402">
        <v>119</v>
      </c>
      <c r="AD3468" s="399">
        <v>1</v>
      </c>
      <c r="AE3468" s="402"/>
      <c r="AF3468" s="391"/>
      <c r="AG3468" s="394"/>
      <c r="AH3468" s="394"/>
      <c r="AI3468" s="394"/>
      <c r="AJ3468" s="394"/>
      <c r="AK3468" s="394"/>
      <c r="AL3468" s="394"/>
      <c r="AM3468" s="394"/>
      <c r="AN3468" s="394"/>
      <c r="AO3468" s="394"/>
      <c r="AP3468" s="394"/>
      <c r="AQ3468" s="394"/>
      <c r="AR3468" s="394"/>
      <c r="AS3468" s="402"/>
      <c r="AT3468" s="404"/>
      <c r="AU3468" s="394"/>
      <c r="AV3468" s="394"/>
      <c r="AW3468" s="394"/>
      <c r="AX3468" s="5"/>
      <c r="AY3468" s="5"/>
      <c r="AZ3468" s="5"/>
      <c r="BA3468" s="5"/>
      <c r="BB3468" s="5"/>
      <c r="BC3468" s="5"/>
      <c r="BD3468" s="5"/>
      <c r="BE3468" s="5"/>
      <c r="BF3468" s="5"/>
      <c r="BG3468" s="5"/>
      <c r="BH3468" s="5"/>
      <c r="BI3468" s="5"/>
      <c r="BJ3468" s="5"/>
      <c r="BK3468" s="5"/>
      <c r="BL3468" s="5"/>
      <c r="BM3468" s="5"/>
      <c r="BN3468" s="5"/>
      <c r="BO3468" s="5"/>
      <c r="BP3468" s="5"/>
      <c r="BQ3468" s="5"/>
      <c r="BR3468" s="5"/>
      <c r="BS3468" s="5"/>
      <c r="BT3468" s="5"/>
      <c r="BU3468" s="5"/>
      <c r="BV3468" s="5"/>
      <c r="BW3468" s="5"/>
      <c r="BX3468" s="5"/>
      <c r="BY3468" s="5"/>
      <c r="BZ3468" s="5"/>
      <c r="CA3468" s="5"/>
    </row>
    <row r="3469" spans="1:79" s="400" customFormat="1" ht="15" customHeight="1">
      <c r="A3469" s="41" t="s">
        <v>183</v>
      </c>
      <c r="B3469" s="402" t="s">
        <v>3287</v>
      </c>
      <c r="C3469" s="113" t="s">
        <v>3287</v>
      </c>
      <c r="D3469" s="393" t="s">
        <v>462</v>
      </c>
      <c r="E3469" s="394" t="s">
        <v>3290</v>
      </c>
      <c r="F3469" s="402">
        <v>4003</v>
      </c>
      <c r="G3469" s="405" t="s">
        <v>3291</v>
      </c>
      <c r="H3469" s="404">
        <v>3471</v>
      </c>
      <c r="I3469" s="402" t="s">
        <v>2</v>
      </c>
      <c r="J3469" s="406" t="s">
        <v>3187</v>
      </c>
      <c r="K3469" s="403">
        <v>41527</v>
      </c>
      <c r="L3469" s="398">
        <v>41522</v>
      </c>
      <c r="M3469" s="402">
        <f t="shared" si="208"/>
        <v>5</v>
      </c>
      <c r="N3469" s="402" t="s">
        <v>2</v>
      </c>
      <c r="O3469" s="404">
        <f>1.6/2</f>
        <v>0.8</v>
      </c>
      <c r="P3469" s="402">
        <v>6.1</v>
      </c>
      <c r="Q3469" s="404">
        <v>6.3</v>
      </c>
      <c r="R3469" s="402">
        <v>53</v>
      </c>
      <c r="S3469" s="404">
        <f>5/2</f>
        <v>2.5</v>
      </c>
      <c r="T3469" s="402">
        <v>7.3999999999999996E-2</v>
      </c>
      <c r="U3469" s="395">
        <f>1/2</f>
        <v>0.5</v>
      </c>
      <c r="V3469" s="402">
        <v>0.69</v>
      </c>
      <c r="W3469" s="404">
        <v>0.01</v>
      </c>
      <c r="X3469" s="402">
        <v>3.5999999999999997E-2</v>
      </c>
      <c r="Y3469" s="404">
        <v>5.7000000000000002E-3</v>
      </c>
      <c r="Z3469" s="397"/>
      <c r="AA3469" s="399"/>
      <c r="AB3469" s="394"/>
      <c r="AC3469" s="402"/>
      <c r="AD3469" s="399"/>
      <c r="AE3469" s="402"/>
      <c r="AF3469" s="391"/>
      <c r="AG3469" s="394"/>
      <c r="AH3469" s="394"/>
      <c r="AI3469" s="394"/>
      <c r="AJ3469" s="394"/>
      <c r="AK3469" s="394"/>
      <c r="AL3469" s="394"/>
      <c r="AM3469" s="394"/>
      <c r="AN3469" s="394"/>
      <c r="AO3469" s="394"/>
      <c r="AP3469" s="394"/>
      <c r="AQ3469" s="394"/>
      <c r="AR3469" s="394"/>
      <c r="AS3469" s="402"/>
      <c r="AT3469" s="404"/>
      <c r="AU3469" s="394"/>
      <c r="AV3469" s="394"/>
      <c r="AW3469" s="394"/>
      <c r="AX3469" s="5"/>
      <c r="AY3469" s="5"/>
      <c r="AZ3469" s="5"/>
      <c r="BA3469" s="5"/>
      <c r="BB3469" s="5"/>
      <c r="BC3469" s="5"/>
      <c r="BD3469" s="5"/>
      <c r="BE3469" s="5"/>
      <c r="BF3469" s="5"/>
      <c r="BG3469" s="5"/>
      <c r="BH3469" s="5"/>
      <c r="BI3469" s="5"/>
      <c r="BJ3469" s="5"/>
      <c r="BK3469" s="5"/>
      <c r="BL3469" s="5"/>
      <c r="BM3469" s="5"/>
      <c r="BN3469" s="5"/>
      <c r="BO3469" s="5"/>
      <c r="BP3469" s="5"/>
      <c r="BQ3469" s="5"/>
      <c r="BR3469" s="5"/>
      <c r="BS3469" s="5"/>
      <c r="BT3469" s="5"/>
      <c r="BU3469" s="5"/>
      <c r="BV3469" s="5"/>
      <c r="BW3469" s="5"/>
      <c r="BX3469" s="5"/>
      <c r="BY3469" s="5"/>
      <c r="BZ3469" s="5"/>
      <c r="CA3469" s="5"/>
    </row>
    <row r="3470" spans="1:79" s="400" customFormat="1" ht="15" customHeight="1">
      <c r="A3470" s="41" t="s">
        <v>183</v>
      </c>
      <c r="B3470" s="402" t="s">
        <v>3287</v>
      </c>
      <c r="C3470" s="113" t="s">
        <v>3287</v>
      </c>
      <c r="D3470" s="393" t="s">
        <v>462</v>
      </c>
      <c r="E3470" s="394" t="s">
        <v>3290</v>
      </c>
      <c r="F3470" s="402">
        <v>4003</v>
      </c>
      <c r="G3470" s="405" t="s">
        <v>3291</v>
      </c>
      <c r="H3470" s="404">
        <v>3471</v>
      </c>
      <c r="I3470" s="402" t="s">
        <v>2</v>
      </c>
      <c r="J3470" s="406" t="s">
        <v>3292</v>
      </c>
      <c r="K3470" s="403">
        <v>41527</v>
      </c>
      <c r="L3470" s="398">
        <v>41522</v>
      </c>
      <c r="M3470" s="402">
        <f t="shared" si="208"/>
        <v>5</v>
      </c>
      <c r="N3470" s="402" t="s">
        <v>2</v>
      </c>
      <c r="O3470" s="404">
        <f>1.5/2</f>
        <v>0.75</v>
      </c>
      <c r="P3470" s="402">
        <v>6.1</v>
      </c>
      <c r="Q3470" s="404">
        <v>6.4</v>
      </c>
      <c r="R3470" s="402">
        <v>53</v>
      </c>
      <c r="S3470" s="404">
        <f>5/2</f>
        <v>2.5</v>
      </c>
      <c r="T3470" s="402">
        <v>6.3E-2</v>
      </c>
      <c r="U3470" s="395">
        <f>1/2</f>
        <v>0.5</v>
      </c>
      <c r="V3470" s="402">
        <v>0.72</v>
      </c>
      <c r="W3470" s="404">
        <v>8.5000000000000006E-3</v>
      </c>
      <c r="X3470" s="402">
        <v>3.5000000000000003E-2</v>
      </c>
      <c r="Y3470" s="404">
        <f>0.005/2</f>
        <v>2.5000000000000001E-3</v>
      </c>
      <c r="Z3470" s="397"/>
      <c r="AA3470" s="399"/>
      <c r="AB3470" s="394"/>
      <c r="AC3470" s="402"/>
      <c r="AD3470" s="399"/>
      <c r="AE3470" s="402"/>
      <c r="AF3470" s="391"/>
      <c r="AG3470" s="394"/>
      <c r="AH3470" s="394"/>
      <c r="AI3470" s="394"/>
      <c r="AJ3470" s="394"/>
      <c r="AK3470" s="394"/>
      <c r="AL3470" s="394"/>
      <c r="AM3470" s="394"/>
      <c r="AN3470" s="394"/>
      <c r="AO3470" s="394"/>
      <c r="AP3470" s="394"/>
      <c r="AQ3470" s="394"/>
      <c r="AR3470" s="394"/>
      <c r="AS3470" s="402"/>
      <c r="AT3470" s="404"/>
      <c r="AU3470" s="394"/>
      <c r="AV3470" s="394"/>
      <c r="AW3470" s="394"/>
      <c r="AX3470" s="5"/>
      <c r="AY3470" s="5"/>
      <c r="AZ3470" s="5"/>
      <c r="BA3470" s="5"/>
      <c r="BB3470" s="5"/>
      <c r="BC3470" s="5"/>
      <c r="BD3470" s="5"/>
      <c r="BE3470" s="5"/>
      <c r="BF3470" s="5"/>
      <c r="BG3470" s="5"/>
      <c r="BH3470" s="5"/>
      <c r="BI3470" s="5"/>
      <c r="BJ3470" s="5"/>
      <c r="BK3470" s="5"/>
      <c r="BL3470" s="5"/>
      <c r="BM3470" s="5"/>
      <c r="BN3470" s="5"/>
      <c r="BO3470" s="5"/>
      <c r="BP3470" s="5"/>
      <c r="BQ3470" s="5"/>
      <c r="BR3470" s="5"/>
      <c r="BS3470" s="5"/>
      <c r="BT3470" s="5"/>
      <c r="BU3470" s="5"/>
      <c r="BV3470" s="5"/>
      <c r="BW3470" s="5"/>
      <c r="BX3470" s="5"/>
      <c r="BY3470" s="5"/>
      <c r="BZ3470" s="5"/>
      <c r="CA3470" s="5"/>
    </row>
    <row r="3471" spans="1:79" s="400" customFormat="1" ht="15" customHeight="1">
      <c r="A3471" s="41" t="s">
        <v>183</v>
      </c>
      <c r="B3471" s="402" t="s">
        <v>2048</v>
      </c>
      <c r="C3471" s="113" t="s">
        <v>2048</v>
      </c>
      <c r="D3471" s="393" t="s">
        <v>156</v>
      </c>
      <c r="E3471" s="394" t="s">
        <v>2049</v>
      </c>
      <c r="F3471" s="402" t="s">
        <v>2050</v>
      </c>
      <c r="G3471" s="405" t="s">
        <v>2051</v>
      </c>
      <c r="H3471" s="404">
        <v>7699</v>
      </c>
      <c r="I3471" s="402" t="s">
        <v>1</v>
      </c>
      <c r="J3471" s="401" t="s">
        <v>2052</v>
      </c>
      <c r="K3471" s="403">
        <v>41495</v>
      </c>
      <c r="L3471" s="398">
        <v>41490</v>
      </c>
      <c r="M3471" s="402">
        <f t="shared" si="208"/>
        <v>5</v>
      </c>
      <c r="N3471" s="402" t="s">
        <v>2</v>
      </c>
      <c r="O3471" s="404">
        <f>1.4/2</f>
        <v>0.7</v>
      </c>
      <c r="P3471" s="402">
        <v>7.3</v>
      </c>
      <c r="Q3471" s="404">
        <v>6.39</v>
      </c>
      <c r="R3471" s="402">
        <v>10</v>
      </c>
      <c r="S3471" s="404">
        <v>12</v>
      </c>
      <c r="T3471" s="402">
        <v>0.05</v>
      </c>
      <c r="U3471" s="395">
        <v>0.4</v>
      </c>
      <c r="V3471" s="402">
        <v>0.13</v>
      </c>
      <c r="W3471" s="404">
        <f>0.005/2</f>
        <v>2.5000000000000001E-3</v>
      </c>
      <c r="X3471" s="402">
        <v>0.01</v>
      </c>
      <c r="Y3471" s="404">
        <f>0.002/2</f>
        <v>1E-3</v>
      </c>
      <c r="Z3471" s="397">
        <v>1</v>
      </c>
      <c r="AA3471" s="399">
        <v>1</v>
      </c>
      <c r="AB3471" s="394">
        <f>2/2</f>
        <v>1</v>
      </c>
      <c r="AC3471" s="402">
        <v>6</v>
      </c>
      <c r="AD3471" s="399">
        <v>1</v>
      </c>
      <c r="AE3471" s="402" t="s">
        <v>964</v>
      </c>
      <c r="AF3471" s="391" t="s">
        <v>964</v>
      </c>
      <c r="AG3471" s="394"/>
      <c r="AH3471" s="394"/>
      <c r="AI3471" s="394"/>
      <c r="AJ3471" s="394"/>
      <c r="AK3471" s="394"/>
      <c r="AL3471" s="394"/>
      <c r="AM3471" s="394"/>
      <c r="AN3471" s="394"/>
      <c r="AO3471" s="394"/>
      <c r="AP3471" s="394"/>
      <c r="AQ3471" s="394"/>
      <c r="AR3471" s="394"/>
      <c r="AS3471" s="402"/>
      <c r="AT3471" s="404">
        <f>0.0002/2</f>
        <v>1E-4</v>
      </c>
      <c r="AU3471" s="394"/>
      <c r="AV3471" s="394"/>
      <c r="AW3471" s="394"/>
      <c r="AX3471" s="5"/>
      <c r="AY3471" s="5"/>
      <c r="AZ3471" s="5"/>
      <c r="BA3471" s="5"/>
      <c r="BB3471" s="5"/>
      <c r="BC3471" s="5"/>
      <c r="BD3471" s="5"/>
      <c r="BE3471" s="5"/>
      <c r="BF3471" s="5"/>
      <c r="BG3471" s="5"/>
      <c r="BH3471" s="5"/>
      <c r="BI3471" s="5"/>
      <c r="BJ3471" s="5"/>
      <c r="BK3471" s="5"/>
      <c r="BL3471" s="5"/>
      <c r="BM3471" s="5"/>
      <c r="BN3471" s="5"/>
      <c r="BO3471" s="5"/>
      <c r="BP3471" s="5"/>
      <c r="BQ3471" s="5"/>
      <c r="BR3471" s="5"/>
      <c r="BS3471" s="5"/>
      <c r="BT3471" s="5"/>
      <c r="BU3471" s="5"/>
      <c r="BV3471" s="5"/>
      <c r="BW3471" s="5"/>
      <c r="BX3471" s="5"/>
      <c r="BY3471" s="5"/>
      <c r="BZ3471" s="5"/>
      <c r="CA3471" s="5"/>
    </row>
    <row r="3472" spans="1:79" ht="15" customHeight="1">
      <c r="A3472" s="404" t="s">
        <v>4668</v>
      </c>
      <c r="B3472" s="402" t="s">
        <v>3691</v>
      </c>
      <c r="C3472" s="113" t="s">
        <v>842</v>
      </c>
      <c r="D3472" s="393" t="s">
        <v>262</v>
      </c>
      <c r="E3472" s="394" t="s">
        <v>3692</v>
      </c>
      <c r="F3472" s="401"/>
      <c r="G3472" s="405" t="s">
        <v>844</v>
      </c>
      <c r="H3472" s="74">
        <v>3900</v>
      </c>
      <c r="I3472" s="50" t="s">
        <v>2</v>
      </c>
      <c r="J3472" s="48" t="s">
        <v>81</v>
      </c>
      <c r="K3472" s="51">
        <v>41539</v>
      </c>
      <c r="L3472" s="173">
        <v>41530</v>
      </c>
      <c r="M3472" s="50">
        <f t="shared" si="208"/>
        <v>9</v>
      </c>
      <c r="N3472" s="50" t="s">
        <v>2</v>
      </c>
      <c r="O3472" s="74">
        <f>5/2</f>
        <v>2.5</v>
      </c>
      <c r="P3472" s="50">
        <v>6</v>
      </c>
      <c r="Q3472" s="74">
        <v>6.48</v>
      </c>
      <c r="R3472" s="50">
        <v>23</v>
      </c>
      <c r="S3472" s="74">
        <f>5/2</f>
        <v>2.5</v>
      </c>
      <c r="T3472" s="50">
        <v>0.18</v>
      </c>
      <c r="U3472" s="131">
        <f>1/2</f>
        <v>0.5</v>
      </c>
      <c r="V3472" s="50">
        <v>0.42</v>
      </c>
      <c r="W3472" s="74">
        <f>0.04/2</f>
        <v>0.02</v>
      </c>
      <c r="X3472" s="50">
        <f>0.02/2</f>
        <v>0.01</v>
      </c>
      <c r="Y3472" s="74">
        <v>3.6999999999999998E-2</v>
      </c>
      <c r="Z3472" s="165">
        <v>1</v>
      </c>
      <c r="AA3472" s="271">
        <v>1</v>
      </c>
      <c r="AD3472" s="271">
        <v>1</v>
      </c>
    </row>
    <row r="3473" spans="1:79" ht="15" customHeight="1">
      <c r="A3473" s="404" t="s">
        <v>4668</v>
      </c>
      <c r="B3473" s="402" t="s">
        <v>3691</v>
      </c>
      <c r="C3473" s="113" t="s">
        <v>842</v>
      </c>
      <c r="D3473" s="393" t="s">
        <v>262</v>
      </c>
      <c r="E3473" s="394" t="s">
        <v>3692</v>
      </c>
      <c r="F3473" s="401"/>
      <c r="G3473" s="405" t="s">
        <v>844</v>
      </c>
      <c r="H3473" s="74">
        <v>3900</v>
      </c>
      <c r="I3473" s="50" t="s">
        <v>2</v>
      </c>
      <c r="J3473" s="48" t="s">
        <v>115</v>
      </c>
      <c r="K3473" s="51">
        <v>41539</v>
      </c>
      <c r="L3473" s="173">
        <v>41530</v>
      </c>
      <c r="M3473" s="50">
        <f t="shared" si="208"/>
        <v>9</v>
      </c>
      <c r="N3473" s="50" t="s">
        <v>2</v>
      </c>
      <c r="O3473" s="74">
        <f>5/2</f>
        <v>2.5</v>
      </c>
      <c r="P3473" s="50">
        <v>6</v>
      </c>
      <c r="Q3473" s="74">
        <v>7.66</v>
      </c>
      <c r="R3473" s="50">
        <v>31</v>
      </c>
      <c r="S3473" s="74">
        <f>5/2</f>
        <v>2.5</v>
      </c>
      <c r="T3473" s="50">
        <v>0.12</v>
      </c>
      <c r="U3473" s="131">
        <f>1/2</f>
        <v>0.5</v>
      </c>
      <c r="V3473" s="50">
        <f>0.1/2</f>
        <v>0.05</v>
      </c>
      <c r="W3473" s="74">
        <f>0.04/2</f>
        <v>0.02</v>
      </c>
      <c r="X3473" s="50">
        <f>0.02/2</f>
        <v>0.01</v>
      </c>
      <c r="Y3473" s="74">
        <f>0.0013/2</f>
        <v>6.4999999999999997E-4</v>
      </c>
      <c r="Z3473" s="165">
        <v>1</v>
      </c>
      <c r="AA3473" s="271">
        <v>1</v>
      </c>
      <c r="AD3473" s="271">
        <v>1</v>
      </c>
    </row>
    <row r="3474" spans="1:79" s="400" customFormat="1" ht="15" customHeight="1">
      <c r="A3474" s="41" t="s">
        <v>183</v>
      </c>
      <c r="B3474" s="386" t="s">
        <v>321</v>
      </c>
      <c r="C3474" s="149" t="s">
        <v>321</v>
      </c>
      <c r="D3474" s="392" t="s">
        <v>111</v>
      </c>
      <c r="E3474" s="258" t="s">
        <v>322</v>
      </c>
      <c r="F3474" s="402">
        <v>5208</v>
      </c>
      <c r="G3474" s="405" t="s">
        <v>323</v>
      </c>
      <c r="H3474" s="404">
        <v>2834</v>
      </c>
      <c r="I3474" s="402" t="s">
        <v>2</v>
      </c>
      <c r="J3474" s="406" t="s">
        <v>5136</v>
      </c>
      <c r="K3474" s="403">
        <v>41038</v>
      </c>
      <c r="L3474" s="398"/>
      <c r="M3474" s="402" t="s">
        <v>386</v>
      </c>
      <c r="N3474" s="402" t="s">
        <v>2</v>
      </c>
      <c r="O3474" s="404">
        <f>1/2</f>
        <v>0.5</v>
      </c>
      <c r="P3474" s="402"/>
      <c r="Q3474" s="404">
        <v>9.41</v>
      </c>
      <c r="R3474" s="402">
        <v>11.3</v>
      </c>
      <c r="S3474" s="404">
        <v>5</v>
      </c>
      <c r="T3474" s="402">
        <v>0.12</v>
      </c>
      <c r="U3474" s="395">
        <v>3.6</v>
      </c>
      <c r="V3474" s="402">
        <f>0.1/2</f>
        <v>0.05</v>
      </c>
      <c r="W3474" s="404">
        <v>1.0999999999999999E-2</v>
      </c>
      <c r="X3474" s="402">
        <v>6.0000000000000001E-3</v>
      </c>
      <c r="Y3474" s="404">
        <v>1.4999999999999999E-2</v>
      </c>
      <c r="Z3474" s="397">
        <v>1</v>
      </c>
      <c r="AA3474" s="399">
        <v>1</v>
      </c>
      <c r="AB3474" s="394">
        <v>52.6</v>
      </c>
      <c r="AC3474" s="402">
        <v>176</v>
      </c>
      <c r="AD3474" s="399">
        <v>1</v>
      </c>
      <c r="AE3474" s="402"/>
      <c r="AF3474" s="391"/>
      <c r="AG3474" s="394"/>
      <c r="AH3474" s="394"/>
      <c r="AI3474" s="394"/>
      <c r="AJ3474" s="394"/>
      <c r="AK3474" s="394"/>
      <c r="AL3474" s="394"/>
      <c r="AM3474" s="394"/>
      <c r="AN3474" s="394"/>
      <c r="AO3474" s="394"/>
      <c r="AP3474" s="394"/>
      <c r="AQ3474" s="394"/>
      <c r="AR3474" s="394"/>
      <c r="AS3474" s="402"/>
      <c r="AT3474" s="404"/>
      <c r="AU3474" s="394"/>
      <c r="AV3474" s="394"/>
      <c r="AW3474" s="394"/>
      <c r="AX3474" s="5"/>
      <c r="AY3474" s="5"/>
      <c r="AZ3474" s="5"/>
      <c r="BA3474" s="5"/>
      <c r="BB3474" s="5"/>
      <c r="BC3474" s="5"/>
      <c r="BD3474" s="5"/>
      <c r="BE3474" s="5"/>
      <c r="BF3474" s="5"/>
      <c r="BG3474" s="5"/>
      <c r="BH3474" s="5"/>
      <c r="BI3474" s="5"/>
      <c r="BJ3474" s="5"/>
      <c r="BK3474" s="5"/>
      <c r="BL3474" s="5"/>
      <c r="BM3474" s="5"/>
      <c r="BN3474" s="5"/>
      <c r="BO3474" s="5"/>
      <c r="BP3474" s="5"/>
      <c r="BQ3474" s="5"/>
      <c r="BR3474" s="5"/>
      <c r="BS3474" s="5"/>
      <c r="BT3474" s="5"/>
      <c r="BU3474" s="5"/>
      <c r="BV3474" s="5"/>
      <c r="BW3474" s="5"/>
      <c r="BX3474" s="5"/>
      <c r="BY3474" s="5"/>
      <c r="BZ3474" s="5"/>
      <c r="CA3474" s="5"/>
    </row>
    <row r="3475" spans="1:79" s="400" customFormat="1" ht="15" customHeight="1">
      <c r="A3475" s="41" t="s">
        <v>183</v>
      </c>
      <c r="B3475" s="402" t="s">
        <v>2942</v>
      </c>
      <c r="C3475" s="113" t="s">
        <v>3031</v>
      </c>
      <c r="D3475" s="393" t="s">
        <v>213</v>
      </c>
      <c r="E3475" s="394" t="s">
        <v>364</v>
      </c>
      <c r="F3475" s="402">
        <v>4300</v>
      </c>
      <c r="G3475" s="405" t="s">
        <v>2944</v>
      </c>
      <c r="H3475" s="404">
        <v>4952</v>
      </c>
      <c r="I3475" s="402" t="s">
        <v>2</v>
      </c>
      <c r="J3475" s="406" t="s">
        <v>255</v>
      </c>
      <c r="K3475" s="403">
        <v>41529</v>
      </c>
      <c r="L3475" s="398">
        <v>41518</v>
      </c>
      <c r="M3475" s="402">
        <f t="shared" ref="M3475:M3496" si="212">K3475-L3475</f>
        <v>11</v>
      </c>
      <c r="N3475" s="402" t="s">
        <v>2</v>
      </c>
      <c r="O3475" s="404">
        <f>1/2</f>
        <v>0.5</v>
      </c>
      <c r="P3475" s="402">
        <v>6.38</v>
      </c>
      <c r="Q3475" s="404">
        <v>5.48</v>
      </c>
      <c r="R3475" s="402">
        <v>17.2</v>
      </c>
      <c r="S3475" s="404">
        <v>5</v>
      </c>
      <c r="T3475" s="402">
        <f>0.05/2</f>
        <v>2.5000000000000001E-2</v>
      </c>
      <c r="U3475" s="395">
        <v>1.32</v>
      </c>
      <c r="V3475" s="402">
        <v>0.51</v>
      </c>
      <c r="W3475" s="404">
        <f>0.01/2</f>
        <v>5.0000000000000001E-3</v>
      </c>
      <c r="X3475" s="402">
        <v>0.04</v>
      </c>
      <c r="Y3475" s="404">
        <f>0.02/2</f>
        <v>0.01</v>
      </c>
      <c r="Z3475" s="397">
        <v>1</v>
      </c>
      <c r="AA3475" s="399">
        <v>1</v>
      </c>
      <c r="AB3475" s="394">
        <v>2.48</v>
      </c>
      <c r="AC3475" s="402">
        <v>12.9</v>
      </c>
      <c r="AD3475" s="399">
        <v>1</v>
      </c>
      <c r="AE3475" s="402"/>
      <c r="AF3475" s="391"/>
      <c r="AG3475" s="394"/>
      <c r="AH3475" s="394"/>
      <c r="AI3475" s="394"/>
      <c r="AJ3475" s="394"/>
      <c r="AK3475" s="394"/>
      <c r="AL3475" s="394"/>
      <c r="AM3475" s="394"/>
      <c r="AN3475" s="394"/>
      <c r="AO3475" s="394"/>
      <c r="AP3475" s="394"/>
      <c r="AQ3475" s="394"/>
      <c r="AR3475" s="394"/>
      <c r="AS3475" s="402"/>
      <c r="AT3475" s="404"/>
      <c r="AU3475" s="394"/>
      <c r="AV3475" s="394"/>
      <c r="AW3475" s="394"/>
      <c r="AX3475" s="5"/>
      <c r="AY3475" s="5"/>
      <c r="AZ3475" s="5"/>
      <c r="BA3475" s="5"/>
      <c r="BB3475" s="5"/>
      <c r="BC3475" s="5"/>
      <c r="BD3475" s="5"/>
      <c r="BE3475" s="5"/>
      <c r="BF3475" s="5"/>
      <c r="BG3475" s="5"/>
      <c r="BH3475" s="5"/>
      <c r="BI3475" s="5"/>
      <c r="BJ3475" s="5"/>
      <c r="BK3475" s="5"/>
      <c r="BL3475" s="5"/>
      <c r="BM3475" s="5"/>
      <c r="BN3475" s="5"/>
      <c r="BO3475" s="5"/>
      <c r="BP3475" s="5"/>
      <c r="BQ3475" s="5"/>
      <c r="BR3475" s="5"/>
      <c r="BS3475" s="5"/>
      <c r="BT3475" s="5"/>
      <c r="BU3475" s="5"/>
      <c r="BV3475" s="5"/>
      <c r="BW3475" s="5"/>
      <c r="BX3475" s="5"/>
      <c r="BY3475" s="5"/>
      <c r="BZ3475" s="5"/>
      <c r="CA3475" s="5"/>
    </row>
    <row r="3476" spans="1:79" s="400" customFormat="1" ht="15" customHeight="1">
      <c r="A3476" s="41" t="s">
        <v>183</v>
      </c>
      <c r="B3476" s="402" t="s">
        <v>2942</v>
      </c>
      <c r="C3476" s="113" t="s">
        <v>3031</v>
      </c>
      <c r="D3476" s="393" t="s">
        <v>213</v>
      </c>
      <c r="E3476" s="394" t="s">
        <v>364</v>
      </c>
      <c r="F3476" s="402">
        <v>4300</v>
      </c>
      <c r="G3476" s="405" t="s">
        <v>2944</v>
      </c>
      <c r="H3476" s="404">
        <v>4952</v>
      </c>
      <c r="I3476" s="402" t="s">
        <v>2</v>
      </c>
      <c r="J3476" s="406" t="s">
        <v>96</v>
      </c>
      <c r="K3476" s="403">
        <v>41529</v>
      </c>
      <c r="L3476" s="398">
        <v>41518</v>
      </c>
      <c r="M3476" s="402">
        <f t="shared" si="212"/>
        <v>11</v>
      </c>
      <c r="N3476" s="402" t="s">
        <v>2</v>
      </c>
      <c r="O3476" s="404">
        <f>1/2</f>
        <v>0.5</v>
      </c>
      <c r="P3476" s="402">
        <v>6.73</v>
      </c>
      <c r="Q3476" s="404">
        <v>5.9</v>
      </c>
      <c r="R3476" s="402">
        <v>10.3</v>
      </c>
      <c r="S3476" s="404">
        <v>5</v>
      </c>
      <c r="T3476" s="402">
        <v>0.1</v>
      </c>
      <c r="U3476" s="395">
        <v>0.57999999999999996</v>
      </c>
      <c r="V3476" s="402">
        <v>0.34</v>
      </c>
      <c r="W3476" s="404">
        <f>0.01/2</f>
        <v>5.0000000000000001E-3</v>
      </c>
      <c r="X3476" s="402">
        <v>0.05</v>
      </c>
      <c r="Y3476" s="404">
        <f>0.02/2</f>
        <v>0.01</v>
      </c>
      <c r="Z3476" s="397">
        <v>1</v>
      </c>
      <c r="AA3476" s="399">
        <v>1</v>
      </c>
      <c r="AB3476" s="394">
        <v>1.68</v>
      </c>
      <c r="AC3476" s="402">
        <v>11.2</v>
      </c>
      <c r="AD3476" s="399">
        <v>1</v>
      </c>
      <c r="AE3476" s="402"/>
      <c r="AF3476" s="391"/>
      <c r="AG3476" s="394"/>
      <c r="AH3476" s="394"/>
      <c r="AI3476" s="394"/>
      <c r="AJ3476" s="394"/>
      <c r="AK3476" s="394"/>
      <c r="AL3476" s="394"/>
      <c r="AM3476" s="394"/>
      <c r="AN3476" s="394"/>
      <c r="AO3476" s="394"/>
      <c r="AP3476" s="394"/>
      <c r="AQ3476" s="394"/>
      <c r="AR3476" s="394"/>
      <c r="AS3476" s="402"/>
      <c r="AT3476" s="404"/>
      <c r="AU3476" s="394"/>
      <c r="AV3476" s="394"/>
      <c r="AW3476" s="394"/>
      <c r="AX3476" s="5"/>
      <c r="AY3476" s="5"/>
      <c r="AZ3476" s="5"/>
      <c r="BA3476" s="5"/>
      <c r="BB3476" s="5"/>
      <c r="BC3476" s="5"/>
      <c r="BD3476" s="5"/>
      <c r="BE3476" s="5"/>
      <c r="BF3476" s="5"/>
      <c r="BG3476" s="5"/>
      <c r="BH3476" s="5"/>
      <c r="BI3476" s="5"/>
      <c r="BJ3476" s="5"/>
      <c r="BK3476" s="5"/>
      <c r="BL3476" s="5"/>
      <c r="BM3476" s="5"/>
      <c r="BN3476" s="5"/>
      <c r="BO3476" s="5"/>
      <c r="BP3476" s="5"/>
      <c r="BQ3476" s="5"/>
      <c r="BR3476" s="5"/>
      <c r="BS3476" s="5"/>
      <c r="BT3476" s="5"/>
      <c r="BU3476" s="5"/>
      <c r="BV3476" s="5"/>
      <c r="BW3476" s="5"/>
      <c r="BX3476" s="5"/>
      <c r="BY3476" s="5"/>
      <c r="BZ3476" s="5"/>
      <c r="CA3476" s="5"/>
    </row>
    <row r="3477" spans="1:79" s="400" customFormat="1" ht="15" customHeight="1">
      <c r="A3477" s="41" t="s">
        <v>183</v>
      </c>
      <c r="B3477" s="402" t="s">
        <v>2942</v>
      </c>
      <c r="C3477" s="113" t="s">
        <v>3031</v>
      </c>
      <c r="D3477" s="393" t="s">
        <v>213</v>
      </c>
      <c r="E3477" s="394" t="s">
        <v>364</v>
      </c>
      <c r="F3477" s="402">
        <v>4300</v>
      </c>
      <c r="G3477" s="405" t="s">
        <v>2944</v>
      </c>
      <c r="H3477" s="404">
        <v>4952</v>
      </c>
      <c r="I3477" s="402" t="s">
        <v>2</v>
      </c>
      <c r="J3477" s="406" t="s">
        <v>96</v>
      </c>
      <c r="K3477" s="403">
        <v>41345</v>
      </c>
      <c r="L3477" s="398">
        <v>41341</v>
      </c>
      <c r="M3477" s="402">
        <f t="shared" si="212"/>
        <v>4</v>
      </c>
      <c r="N3477" s="402" t="s">
        <v>2</v>
      </c>
      <c r="O3477" s="404">
        <v>2.8</v>
      </c>
      <c r="P3477" s="402">
        <v>6.67</v>
      </c>
      <c r="Q3477" s="404">
        <v>7.31</v>
      </c>
      <c r="R3477" s="402">
        <v>49.7</v>
      </c>
      <c r="S3477" s="404">
        <v>49.5</v>
      </c>
      <c r="T3477" s="402">
        <v>0.21</v>
      </c>
      <c r="U3477" s="395">
        <v>0.89</v>
      </c>
      <c r="V3477" s="402">
        <v>0.51</v>
      </c>
      <c r="W3477" s="404">
        <v>0.03</v>
      </c>
      <c r="X3477" s="402">
        <v>0.05</v>
      </c>
      <c r="Y3477" s="404">
        <f>0.02/2</f>
        <v>0.01</v>
      </c>
      <c r="Z3477" s="397">
        <v>1</v>
      </c>
      <c r="AA3477" s="399">
        <v>1</v>
      </c>
      <c r="AB3477" s="394">
        <v>97.7</v>
      </c>
      <c r="AC3477" s="402">
        <v>1196</v>
      </c>
      <c r="AD3477" s="399">
        <v>1</v>
      </c>
      <c r="AE3477" s="402"/>
      <c r="AF3477" s="391"/>
      <c r="AG3477" s="394"/>
      <c r="AH3477" s="394"/>
      <c r="AI3477" s="394"/>
      <c r="AJ3477" s="394"/>
      <c r="AK3477" s="394"/>
      <c r="AL3477" s="394"/>
      <c r="AM3477" s="394"/>
      <c r="AN3477" s="394"/>
      <c r="AO3477" s="394"/>
      <c r="AP3477" s="394"/>
      <c r="AQ3477" s="394"/>
      <c r="AR3477" s="394"/>
      <c r="AS3477" s="402"/>
      <c r="AT3477" s="404"/>
      <c r="AU3477" s="394"/>
      <c r="AV3477" s="394"/>
      <c r="AW3477" s="394"/>
      <c r="AX3477" s="5"/>
      <c r="AY3477" s="5"/>
      <c r="AZ3477" s="5"/>
      <c r="BA3477" s="5"/>
      <c r="BB3477" s="5"/>
      <c r="BC3477" s="5"/>
      <c r="BD3477" s="5"/>
      <c r="BE3477" s="5"/>
      <c r="BF3477" s="5"/>
      <c r="BG3477" s="5"/>
      <c r="BH3477" s="5"/>
      <c r="BI3477" s="5"/>
      <c r="BJ3477" s="5"/>
      <c r="BK3477" s="5"/>
      <c r="BL3477" s="5"/>
      <c r="BM3477" s="5"/>
      <c r="BN3477" s="5"/>
      <c r="BO3477" s="5"/>
      <c r="BP3477" s="5"/>
      <c r="BQ3477" s="5"/>
      <c r="BR3477" s="5"/>
      <c r="BS3477" s="5"/>
      <c r="BT3477" s="5"/>
      <c r="BU3477" s="5"/>
      <c r="BV3477" s="5"/>
      <c r="BW3477" s="5"/>
      <c r="BX3477" s="5"/>
      <c r="BY3477" s="5"/>
      <c r="BZ3477" s="5"/>
      <c r="CA3477" s="5"/>
    </row>
    <row r="3478" spans="1:79" s="400" customFormat="1" ht="15" customHeight="1">
      <c r="A3478" s="41" t="s">
        <v>183</v>
      </c>
      <c r="B3478" s="402" t="s">
        <v>2942</v>
      </c>
      <c r="C3478" s="113" t="s">
        <v>3031</v>
      </c>
      <c r="D3478" s="393" t="s">
        <v>213</v>
      </c>
      <c r="E3478" s="394" t="s">
        <v>364</v>
      </c>
      <c r="F3478" s="402">
        <v>4300</v>
      </c>
      <c r="G3478" s="405" t="s">
        <v>2944</v>
      </c>
      <c r="H3478" s="404">
        <v>4952</v>
      </c>
      <c r="I3478" s="402" t="s">
        <v>2</v>
      </c>
      <c r="J3478" s="406" t="s">
        <v>255</v>
      </c>
      <c r="K3478" s="403">
        <v>41345</v>
      </c>
      <c r="L3478" s="398">
        <v>41341</v>
      </c>
      <c r="M3478" s="402">
        <f t="shared" si="212"/>
        <v>4</v>
      </c>
      <c r="N3478" s="402" t="s">
        <v>2</v>
      </c>
      <c r="O3478" s="404">
        <v>1</v>
      </c>
      <c r="P3478" s="402">
        <v>5.96</v>
      </c>
      <c r="Q3478" s="404">
        <v>7.42</v>
      </c>
      <c r="R3478" s="402">
        <v>35.9</v>
      </c>
      <c r="S3478" s="404">
        <v>8</v>
      </c>
      <c r="T3478" s="402">
        <v>0.28000000000000003</v>
      </c>
      <c r="U3478" s="395">
        <v>3.82</v>
      </c>
      <c r="V3478" s="402">
        <v>1.8</v>
      </c>
      <c r="W3478" s="404">
        <v>0.03</v>
      </c>
      <c r="X3478" s="402">
        <v>0.08</v>
      </c>
      <c r="Y3478" s="404">
        <f>0.02/2</f>
        <v>0.01</v>
      </c>
      <c r="Z3478" s="397">
        <v>1</v>
      </c>
      <c r="AA3478" s="399">
        <v>1</v>
      </c>
      <c r="AB3478" s="394">
        <v>38.4</v>
      </c>
      <c r="AC3478" s="402">
        <v>1590</v>
      </c>
      <c r="AD3478" s="399">
        <v>1</v>
      </c>
      <c r="AE3478" s="402"/>
      <c r="AF3478" s="391"/>
      <c r="AG3478" s="394"/>
      <c r="AH3478" s="394"/>
      <c r="AI3478" s="394"/>
      <c r="AJ3478" s="394"/>
      <c r="AK3478" s="394"/>
      <c r="AL3478" s="394"/>
      <c r="AM3478" s="394"/>
      <c r="AN3478" s="394"/>
      <c r="AO3478" s="394"/>
      <c r="AP3478" s="394"/>
      <c r="AQ3478" s="394"/>
      <c r="AR3478" s="394"/>
      <c r="AS3478" s="402"/>
      <c r="AT3478" s="404"/>
      <c r="AU3478" s="394"/>
      <c r="AV3478" s="394"/>
      <c r="AW3478" s="394"/>
      <c r="AX3478" s="5"/>
      <c r="AY3478" s="5"/>
      <c r="AZ3478" s="5"/>
      <c r="BA3478" s="5"/>
      <c r="BB3478" s="5"/>
      <c r="BC3478" s="5"/>
      <c r="BD3478" s="5"/>
      <c r="BE3478" s="5"/>
      <c r="BF3478" s="5"/>
      <c r="BG3478" s="5"/>
      <c r="BH3478" s="5"/>
      <c r="BI3478" s="5"/>
      <c r="BJ3478" s="5"/>
      <c r="BK3478" s="5"/>
      <c r="BL3478" s="5"/>
      <c r="BM3478" s="5"/>
      <c r="BN3478" s="5"/>
      <c r="BO3478" s="5"/>
      <c r="BP3478" s="5"/>
      <c r="BQ3478" s="5"/>
      <c r="BR3478" s="5"/>
      <c r="BS3478" s="5"/>
      <c r="BT3478" s="5"/>
      <c r="BU3478" s="5"/>
      <c r="BV3478" s="5"/>
      <c r="BW3478" s="5"/>
      <c r="BX3478" s="5"/>
      <c r="BY3478" s="5"/>
      <c r="BZ3478" s="5"/>
      <c r="CA3478" s="5"/>
    </row>
    <row r="3479" spans="1:79" s="400" customFormat="1" ht="15" customHeight="1">
      <c r="A3479" s="41" t="s">
        <v>183</v>
      </c>
      <c r="B3479" s="402" t="s">
        <v>2098</v>
      </c>
      <c r="C3479" s="113" t="s">
        <v>2098</v>
      </c>
      <c r="D3479" s="393" t="s">
        <v>1569</v>
      </c>
      <c r="E3479" s="394" t="s">
        <v>2099</v>
      </c>
      <c r="F3479" s="402">
        <v>2101</v>
      </c>
      <c r="G3479" s="405" t="s">
        <v>3601</v>
      </c>
      <c r="H3479" s="404">
        <v>3559</v>
      </c>
      <c r="I3479" s="402" t="s">
        <v>2</v>
      </c>
      <c r="J3479" s="406" t="s">
        <v>1503</v>
      </c>
      <c r="K3479" s="403">
        <v>41508</v>
      </c>
      <c r="L3479" s="398">
        <v>41499</v>
      </c>
      <c r="M3479" s="402">
        <f t="shared" si="212"/>
        <v>9</v>
      </c>
      <c r="N3479" s="402" t="s">
        <v>2</v>
      </c>
      <c r="O3479" s="404">
        <f>1.4/2</f>
        <v>0.7</v>
      </c>
      <c r="P3479" s="402">
        <v>6.15</v>
      </c>
      <c r="Q3479" s="404">
        <v>7.42</v>
      </c>
      <c r="R3479" s="402">
        <v>21</v>
      </c>
      <c r="S3479" s="404">
        <v>6</v>
      </c>
      <c r="T3479" s="402">
        <v>0.09</v>
      </c>
      <c r="U3479" s="395">
        <v>0.97</v>
      </c>
      <c r="V3479" s="402">
        <v>0.37</v>
      </c>
      <c r="W3479" s="404">
        <v>8.9999999999999993E-3</v>
      </c>
      <c r="X3479" s="402">
        <v>0.123</v>
      </c>
      <c r="Y3479" s="404">
        <f>0.002/2</f>
        <v>1E-3</v>
      </c>
      <c r="Z3479" s="397"/>
      <c r="AA3479" s="399"/>
      <c r="AB3479" s="394"/>
      <c r="AC3479" s="402"/>
      <c r="AD3479" s="399"/>
      <c r="AE3479" s="402"/>
      <c r="AF3479" s="391"/>
      <c r="AG3479" s="394"/>
      <c r="AH3479" s="394"/>
      <c r="AI3479" s="394"/>
      <c r="AJ3479" s="394"/>
      <c r="AK3479" s="394"/>
      <c r="AL3479" s="394"/>
      <c r="AM3479" s="394"/>
      <c r="AN3479" s="394"/>
      <c r="AO3479" s="394"/>
      <c r="AP3479" s="394"/>
      <c r="AQ3479" s="394"/>
      <c r="AR3479" s="394"/>
      <c r="AS3479" s="402"/>
      <c r="AT3479" s="404"/>
      <c r="AU3479" s="394"/>
      <c r="AV3479" s="394"/>
      <c r="AW3479" s="394"/>
      <c r="AX3479" s="5"/>
      <c r="AY3479" s="5"/>
      <c r="AZ3479" s="5"/>
      <c r="BA3479" s="5"/>
      <c r="BB3479" s="5"/>
      <c r="BC3479" s="5"/>
      <c r="BD3479" s="5"/>
      <c r="BE3479" s="5"/>
      <c r="BF3479" s="5"/>
      <c r="BG3479" s="5"/>
      <c r="BH3479" s="5"/>
      <c r="BI3479" s="5"/>
      <c r="BJ3479" s="5"/>
      <c r="BK3479" s="5"/>
      <c r="BL3479" s="5"/>
      <c r="BM3479" s="5"/>
      <c r="BN3479" s="5"/>
      <c r="BO3479" s="5"/>
      <c r="BP3479" s="5"/>
      <c r="BQ3479" s="5"/>
      <c r="BR3479" s="5"/>
      <c r="BS3479" s="5"/>
      <c r="BT3479" s="5"/>
      <c r="BU3479" s="5"/>
      <c r="BV3479" s="5"/>
      <c r="BW3479" s="5"/>
      <c r="BX3479" s="5"/>
      <c r="BY3479" s="5"/>
      <c r="BZ3479" s="5"/>
      <c r="CA3479" s="5"/>
    </row>
    <row r="3480" spans="1:79" s="400" customFormat="1" ht="15" customHeight="1">
      <c r="A3480" s="41" t="s">
        <v>183</v>
      </c>
      <c r="B3480" s="402" t="s">
        <v>2605</v>
      </c>
      <c r="C3480" s="113" t="s">
        <v>2605</v>
      </c>
      <c r="D3480" s="393" t="s">
        <v>1565</v>
      </c>
      <c r="E3480" s="394" t="s">
        <v>2606</v>
      </c>
      <c r="F3480" s="402">
        <v>2205</v>
      </c>
      <c r="G3480" s="405" t="s">
        <v>2607</v>
      </c>
      <c r="H3480" s="404">
        <v>3429</v>
      </c>
      <c r="I3480" s="402" t="s">
        <v>2</v>
      </c>
      <c r="J3480" s="404" t="s">
        <v>2608</v>
      </c>
      <c r="K3480" s="403">
        <v>41499</v>
      </c>
      <c r="L3480" s="398">
        <v>41495</v>
      </c>
      <c r="M3480" s="402">
        <f t="shared" si="212"/>
        <v>4</v>
      </c>
      <c r="N3480" s="402" t="s">
        <v>2</v>
      </c>
      <c r="O3480" s="404">
        <f>1.8/2</f>
        <v>0.9</v>
      </c>
      <c r="P3480" s="402">
        <v>6.71</v>
      </c>
      <c r="Q3480" s="404">
        <v>6.2</v>
      </c>
      <c r="R3480" s="402">
        <v>21</v>
      </c>
      <c r="S3480" s="404">
        <v>6.5</v>
      </c>
      <c r="T3480" s="402">
        <v>2.7E-2</v>
      </c>
      <c r="U3480" s="395">
        <v>1.5</v>
      </c>
      <c r="V3480" s="402">
        <f>0.46/2</f>
        <v>0.23</v>
      </c>
      <c r="W3480" s="404">
        <v>5.0000000000000001E-3</v>
      </c>
      <c r="X3480" s="402">
        <v>0.161</v>
      </c>
      <c r="Y3480" s="404">
        <v>1.21E-2</v>
      </c>
      <c r="Z3480" s="397">
        <v>1</v>
      </c>
      <c r="AA3480" s="399">
        <v>0.79400000000000004</v>
      </c>
      <c r="AB3480" s="394">
        <v>8</v>
      </c>
      <c r="AC3480" s="402">
        <v>30</v>
      </c>
      <c r="AD3480" s="399">
        <v>0.25</v>
      </c>
      <c r="AE3480" s="402"/>
      <c r="AF3480" s="391"/>
      <c r="AG3480" s="394"/>
      <c r="AH3480" s="394"/>
      <c r="AI3480" s="394"/>
      <c r="AJ3480" s="394"/>
      <c r="AK3480" s="394"/>
      <c r="AL3480" s="394"/>
      <c r="AM3480" s="394"/>
      <c r="AN3480" s="394"/>
      <c r="AO3480" s="394"/>
      <c r="AP3480" s="394"/>
      <c r="AQ3480" s="394"/>
      <c r="AR3480" s="394"/>
      <c r="AS3480" s="402"/>
      <c r="AT3480" s="404"/>
      <c r="AU3480" s="394"/>
      <c r="AV3480" s="394"/>
      <c r="AW3480" s="394"/>
      <c r="AX3480" s="5"/>
      <c r="AY3480" s="5"/>
      <c r="AZ3480" s="5"/>
      <c r="BA3480" s="5"/>
      <c r="BB3480" s="5"/>
      <c r="BC3480" s="5"/>
      <c r="BD3480" s="5"/>
      <c r="BE3480" s="5"/>
      <c r="BF3480" s="5"/>
      <c r="BG3480" s="5"/>
      <c r="BH3480" s="5"/>
      <c r="BI3480" s="5"/>
      <c r="BJ3480" s="5"/>
      <c r="BK3480" s="5"/>
      <c r="BL3480" s="5"/>
      <c r="BM3480" s="5"/>
      <c r="BN3480" s="5"/>
      <c r="BO3480" s="5"/>
      <c r="BP3480" s="5"/>
      <c r="BQ3480" s="5"/>
      <c r="BR3480" s="5"/>
      <c r="BS3480" s="5"/>
      <c r="BT3480" s="5"/>
      <c r="BU3480" s="5"/>
      <c r="BV3480" s="5"/>
      <c r="BW3480" s="5"/>
      <c r="BX3480" s="5"/>
      <c r="BY3480" s="5"/>
      <c r="BZ3480" s="5"/>
      <c r="CA3480" s="5"/>
    </row>
    <row r="3481" spans="1:79" s="400" customFormat="1" ht="15" customHeight="1">
      <c r="A3481" s="41" t="s">
        <v>183</v>
      </c>
      <c r="B3481" s="402" t="s">
        <v>4569</v>
      </c>
      <c r="C3481" s="113" t="s">
        <v>4569</v>
      </c>
      <c r="D3481" s="393" t="s">
        <v>41</v>
      </c>
      <c r="E3481" s="394" t="s">
        <v>4570</v>
      </c>
      <c r="F3481" s="402">
        <v>4404</v>
      </c>
      <c r="G3481" s="405" t="s">
        <v>4571</v>
      </c>
      <c r="H3481" s="404">
        <v>3827</v>
      </c>
      <c r="I3481" s="402" t="s">
        <v>2</v>
      </c>
      <c r="J3481" s="406" t="s">
        <v>255</v>
      </c>
      <c r="K3481" s="403">
        <v>41345</v>
      </c>
      <c r="L3481" s="398">
        <v>41341</v>
      </c>
      <c r="M3481" s="402">
        <f t="shared" si="212"/>
        <v>4</v>
      </c>
      <c r="N3481" s="402" t="s">
        <v>2</v>
      </c>
      <c r="O3481" s="404">
        <f>1.4/2</f>
        <v>0.7</v>
      </c>
      <c r="P3481" s="402">
        <v>6.5</v>
      </c>
      <c r="Q3481" s="404">
        <v>7.21</v>
      </c>
      <c r="R3481" s="402">
        <v>292</v>
      </c>
      <c r="S3481" s="404">
        <v>7</v>
      </c>
      <c r="T3481" s="402">
        <v>0.05</v>
      </c>
      <c r="U3481" s="395">
        <v>0.67</v>
      </c>
      <c r="V3481" s="402">
        <v>0.84</v>
      </c>
      <c r="W3481" s="404">
        <v>1.4999999999999999E-2</v>
      </c>
      <c r="X3481" s="402">
        <v>0.95</v>
      </c>
      <c r="Y3481" s="404">
        <v>3.0000000000000001E-3</v>
      </c>
      <c r="Z3481" s="397">
        <v>1</v>
      </c>
      <c r="AA3481" s="399">
        <v>1</v>
      </c>
      <c r="AB3481" s="394">
        <v>1000</v>
      </c>
      <c r="AC3481" s="402">
        <v>4960</v>
      </c>
      <c r="AD3481" s="399">
        <v>0.7</v>
      </c>
      <c r="AE3481" s="402"/>
      <c r="AF3481" s="391"/>
      <c r="AG3481" s="394"/>
      <c r="AH3481" s="394"/>
      <c r="AI3481" s="394"/>
      <c r="AJ3481" s="394"/>
      <c r="AK3481" s="394"/>
      <c r="AL3481" s="394"/>
      <c r="AM3481" s="394"/>
      <c r="AN3481" s="394"/>
      <c r="AO3481" s="394"/>
      <c r="AP3481" s="394"/>
      <c r="AQ3481" s="394"/>
      <c r="AR3481" s="394"/>
      <c r="AS3481" s="402"/>
      <c r="AT3481" s="404"/>
      <c r="AU3481" s="394"/>
      <c r="AV3481" s="394"/>
      <c r="AW3481" s="394"/>
      <c r="AX3481" s="5"/>
      <c r="AY3481" s="5"/>
      <c r="AZ3481" s="5"/>
      <c r="BA3481" s="5"/>
      <c r="BB3481" s="5"/>
      <c r="BC3481" s="5"/>
      <c r="BD3481" s="5"/>
      <c r="BE3481" s="5"/>
      <c r="BF3481" s="5"/>
      <c r="BG3481" s="5"/>
      <c r="BH3481" s="5"/>
      <c r="BI3481" s="5"/>
      <c r="BJ3481" s="5"/>
      <c r="BK3481" s="5"/>
      <c r="BL3481" s="5"/>
      <c r="BM3481" s="5"/>
      <c r="BN3481" s="5"/>
      <c r="BO3481" s="5"/>
      <c r="BP3481" s="5"/>
      <c r="BQ3481" s="5"/>
      <c r="BR3481" s="5"/>
      <c r="BS3481" s="5"/>
      <c r="BT3481" s="5"/>
      <c r="BU3481" s="5"/>
      <c r="BV3481" s="5"/>
      <c r="BW3481" s="5"/>
      <c r="BX3481" s="5"/>
      <c r="BY3481" s="5"/>
      <c r="BZ3481" s="5"/>
      <c r="CA3481" s="5"/>
    </row>
    <row r="3482" spans="1:79" s="400" customFormat="1" ht="15" customHeight="1">
      <c r="A3482" s="41" t="s">
        <v>183</v>
      </c>
      <c r="B3482" s="402" t="s">
        <v>3267</v>
      </c>
      <c r="C3482" s="113" t="s">
        <v>3267</v>
      </c>
      <c r="D3482" s="393" t="s">
        <v>861</v>
      </c>
      <c r="E3482" s="394" t="s">
        <v>304</v>
      </c>
      <c r="F3482" s="402" t="s">
        <v>3406</v>
      </c>
      <c r="G3482" s="405" t="s">
        <v>3268</v>
      </c>
      <c r="H3482" s="404">
        <v>3823</v>
      </c>
      <c r="I3482" s="402" t="s">
        <v>1</v>
      </c>
      <c r="J3482" s="406" t="s">
        <v>3269</v>
      </c>
      <c r="K3482" s="403">
        <v>41324</v>
      </c>
      <c r="L3482" s="398">
        <v>41316</v>
      </c>
      <c r="M3482" s="402">
        <f t="shared" si="212"/>
        <v>8</v>
      </c>
      <c r="N3482" s="402" t="s">
        <v>1</v>
      </c>
      <c r="O3482" s="404">
        <f>1/2</f>
        <v>0.5</v>
      </c>
      <c r="P3482" s="402">
        <v>6.35</v>
      </c>
      <c r="Q3482" s="404">
        <v>6.39</v>
      </c>
      <c r="R3482" s="402">
        <v>7.5</v>
      </c>
      <c r="S3482" s="404">
        <v>5</v>
      </c>
      <c r="T3482" s="402">
        <v>0.41</v>
      </c>
      <c r="U3482" s="395">
        <v>1.04</v>
      </c>
      <c r="V3482" s="402">
        <v>0.56000000000000005</v>
      </c>
      <c r="W3482" s="404">
        <v>1.0999999999999999E-2</v>
      </c>
      <c r="X3482" s="402">
        <v>0.06</v>
      </c>
      <c r="Y3482" s="404">
        <f>0.002/2</f>
        <v>1E-3</v>
      </c>
      <c r="Z3482" s="397">
        <v>1</v>
      </c>
      <c r="AA3482" s="399">
        <v>1</v>
      </c>
      <c r="AB3482" s="394">
        <v>67.22</v>
      </c>
      <c r="AC3482" s="402">
        <v>387</v>
      </c>
      <c r="AD3482" s="399">
        <v>1</v>
      </c>
      <c r="AE3482" s="402"/>
      <c r="AF3482" s="391"/>
      <c r="AG3482" s="394"/>
      <c r="AH3482" s="394"/>
      <c r="AI3482" s="394">
        <v>4</v>
      </c>
      <c r="AJ3482" s="394"/>
      <c r="AK3482" s="394"/>
      <c r="AL3482" s="394"/>
      <c r="AM3482" s="394"/>
      <c r="AN3482" s="394"/>
      <c r="AO3482" s="394"/>
      <c r="AP3482" s="394"/>
      <c r="AQ3482" s="394"/>
      <c r="AR3482" s="394"/>
      <c r="AS3482" s="402"/>
      <c r="AT3482" s="404"/>
      <c r="AU3482" s="394"/>
      <c r="AV3482" s="394"/>
      <c r="AW3482" s="394"/>
      <c r="AX3482" s="5"/>
      <c r="AY3482" s="5"/>
      <c r="AZ3482" s="5"/>
      <c r="BA3482" s="5"/>
      <c r="BB3482" s="5"/>
      <c r="BC3482" s="5"/>
      <c r="BD3482" s="5"/>
      <c r="BE3482" s="5"/>
      <c r="BF3482" s="5"/>
      <c r="BG3482" s="5"/>
      <c r="BH3482" s="5"/>
      <c r="BI3482" s="5"/>
      <c r="BJ3482" s="5"/>
      <c r="BK3482" s="5"/>
      <c r="BL3482" s="5"/>
      <c r="BM3482" s="5"/>
      <c r="BN3482" s="5"/>
      <c r="BO3482" s="5"/>
      <c r="BP3482" s="5"/>
      <c r="BQ3482" s="5"/>
      <c r="BR3482" s="5"/>
      <c r="BS3482" s="5"/>
      <c r="BT3482" s="5"/>
      <c r="BU3482" s="5"/>
      <c r="BV3482" s="5"/>
      <c r="BW3482" s="5"/>
      <c r="BX3482" s="5"/>
      <c r="BY3482" s="5"/>
      <c r="BZ3482" s="5"/>
      <c r="CA3482" s="5"/>
    </row>
    <row r="3483" spans="1:79" s="400" customFormat="1" ht="15" customHeight="1">
      <c r="A3483" s="41" t="s">
        <v>183</v>
      </c>
      <c r="B3483" s="402" t="s">
        <v>846</v>
      </c>
      <c r="C3483" s="113" t="s">
        <v>847</v>
      </c>
      <c r="D3483" s="393" t="s">
        <v>684</v>
      </c>
      <c r="E3483" s="394" t="s">
        <v>848</v>
      </c>
      <c r="F3483" s="402">
        <v>5200</v>
      </c>
      <c r="G3483" s="405" t="s">
        <v>849</v>
      </c>
      <c r="H3483" s="404">
        <v>2653</v>
      </c>
      <c r="I3483" s="402"/>
      <c r="J3483" s="406" t="s">
        <v>4435</v>
      </c>
      <c r="K3483" s="403">
        <v>41345</v>
      </c>
      <c r="L3483" s="398">
        <v>41341</v>
      </c>
      <c r="M3483" s="402">
        <f t="shared" si="212"/>
        <v>4</v>
      </c>
      <c r="N3483" s="402" t="s">
        <v>2</v>
      </c>
      <c r="O3483" s="404">
        <f>1/2</f>
        <v>0.5</v>
      </c>
      <c r="P3483" s="402">
        <v>5.91</v>
      </c>
      <c r="Q3483" s="404">
        <v>8.14</v>
      </c>
      <c r="R3483" s="402">
        <v>15</v>
      </c>
      <c r="S3483" s="404">
        <v>177</v>
      </c>
      <c r="T3483" s="402">
        <v>0.37</v>
      </c>
      <c r="U3483" s="395">
        <v>1.8</v>
      </c>
      <c r="V3483" s="402">
        <v>0.75</v>
      </c>
      <c r="W3483" s="404">
        <v>2.5000000000000001E-2</v>
      </c>
      <c r="X3483" s="402">
        <v>0.182</v>
      </c>
      <c r="Y3483" s="404">
        <v>2.1000000000000001E-2</v>
      </c>
      <c r="Z3483" s="397"/>
      <c r="AA3483" s="399"/>
      <c r="AB3483" s="394"/>
      <c r="AC3483" s="402"/>
      <c r="AD3483" s="399"/>
      <c r="AE3483" s="402"/>
      <c r="AF3483" s="391"/>
      <c r="AG3483" s="394"/>
      <c r="AH3483" s="394"/>
      <c r="AI3483" s="394"/>
      <c r="AJ3483" s="394"/>
      <c r="AK3483" s="394"/>
      <c r="AL3483" s="394"/>
      <c r="AM3483" s="394"/>
      <c r="AN3483" s="394"/>
      <c r="AO3483" s="394"/>
      <c r="AP3483" s="394"/>
      <c r="AQ3483" s="394"/>
      <c r="AR3483" s="394"/>
      <c r="AS3483" s="402"/>
      <c r="AT3483" s="404"/>
      <c r="AU3483" s="394"/>
      <c r="AV3483" s="394"/>
      <c r="AW3483" s="394"/>
      <c r="AX3483" s="5"/>
      <c r="AY3483" s="5"/>
      <c r="AZ3483" s="5"/>
      <c r="BA3483" s="5"/>
      <c r="BB3483" s="5"/>
      <c r="BC3483" s="5"/>
      <c r="BD3483" s="5"/>
      <c r="BE3483" s="5"/>
      <c r="BF3483" s="5"/>
      <c r="BG3483" s="5"/>
      <c r="BH3483" s="5"/>
      <c r="BI3483" s="5"/>
      <c r="BJ3483" s="5"/>
      <c r="BK3483" s="5"/>
      <c r="BL3483" s="5"/>
      <c r="BM3483" s="5"/>
      <c r="BN3483" s="5"/>
      <c r="BO3483" s="5"/>
      <c r="BP3483" s="5"/>
      <c r="BQ3483" s="5"/>
      <c r="BR3483" s="5"/>
      <c r="BS3483" s="5"/>
      <c r="BT3483" s="5"/>
      <c r="BU3483" s="5"/>
      <c r="BV3483" s="5"/>
      <c r="BW3483" s="5"/>
      <c r="BX3483" s="5"/>
      <c r="BY3483" s="5"/>
      <c r="BZ3483" s="5"/>
      <c r="CA3483" s="5"/>
    </row>
    <row r="3484" spans="1:79" s="400" customFormat="1" ht="15" customHeight="1">
      <c r="A3484" s="41" t="s">
        <v>183</v>
      </c>
      <c r="B3484" s="402" t="s">
        <v>4379</v>
      </c>
      <c r="C3484" s="113" t="s">
        <v>4379</v>
      </c>
      <c r="D3484" s="393" t="s">
        <v>3869</v>
      </c>
      <c r="E3484" s="394" t="s">
        <v>5095</v>
      </c>
      <c r="F3484" s="402">
        <v>4204</v>
      </c>
      <c r="G3484" s="405" t="s">
        <v>4381</v>
      </c>
      <c r="H3484" s="404">
        <v>3491</v>
      </c>
      <c r="I3484" s="402" t="s">
        <v>2</v>
      </c>
      <c r="J3484" s="404" t="s">
        <v>3144</v>
      </c>
      <c r="K3484" s="403">
        <v>41352</v>
      </c>
      <c r="L3484" s="398">
        <v>41345</v>
      </c>
      <c r="M3484" s="402">
        <f t="shared" si="212"/>
        <v>7</v>
      </c>
      <c r="N3484" s="402" t="s">
        <v>2</v>
      </c>
      <c r="O3484" s="404">
        <f>1.8/2</f>
        <v>0.9</v>
      </c>
      <c r="P3484" s="402">
        <v>5.5</v>
      </c>
      <c r="Q3484" s="404">
        <v>7.8</v>
      </c>
      <c r="R3484" s="402">
        <v>140</v>
      </c>
      <c r="S3484" s="404">
        <v>252</v>
      </c>
      <c r="T3484" s="402">
        <v>0.308</v>
      </c>
      <c r="U3484" s="395">
        <v>2.4</v>
      </c>
      <c r="V3484" s="402">
        <f>0.46/2</f>
        <v>0.23</v>
      </c>
      <c r="W3484" s="404">
        <v>5.2999999999999999E-2</v>
      </c>
      <c r="X3484" s="402">
        <v>0.16700000000000001</v>
      </c>
      <c r="Y3484" s="404">
        <v>1.6199999999999999E-2</v>
      </c>
      <c r="Z3484" s="397"/>
      <c r="AA3484" s="399"/>
      <c r="AB3484" s="394"/>
      <c r="AC3484" s="402"/>
      <c r="AD3484" s="399"/>
      <c r="AE3484" s="402"/>
      <c r="AF3484" s="391"/>
      <c r="AG3484" s="394"/>
      <c r="AH3484" s="394"/>
      <c r="AI3484" s="394"/>
      <c r="AJ3484" s="394"/>
      <c r="AK3484" s="394"/>
      <c r="AL3484" s="394"/>
      <c r="AM3484" s="394"/>
      <c r="AN3484" s="394"/>
      <c r="AO3484" s="394"/>
      <c r="AP3484" s="394"/>
      <c r="AQ3484" s="394"/>
      <c r="AR3484" s="394"/>
      <c r="AS3484" s="402"/>
      <c r="AT3484" s="404"/>
      <c r="AU3484" s="394"/>
      <c r="AV3484" s="394"/>
      <c r="AW3484" s="394"/>
      <c r="AX3484" s="5"/>
      <c r="AY3484" s="5"/>
      <c r="AZ3484" s="5"/>
      <c r="BA3484" s="5"/>
      <c r="BB3484" s="5"/>
      <c r="BC3484" s="5"/>
      <c r="BD3484" s="5"/>
      <c r="BE3484" s="5"/>
      <c r="BF3484" s="5"/>
      <c r="BG3484" s="5"/>
      <c r="BH3484" s="5"/>
      <c r="BI3484" s="5"/>
      <c r="BJ3484" s="5"/>
      <c r="BK3484" s="5"/>
      <c r="BL3484" s="5"/>
      <c r="BM3484" s="5"/>
      <c r="BN3484" s="5"/>
      <c r="BO3484" s="5"/>
      <c r="BP3484" s="5"/>
      <c r="BQ3484" s="5"/>
      <c r="BR3484" s="5"/>
      <c r="BS3484" s="5"/>
      <c r="BT3484" s="5"/>
      <c r="BU3484" s="5"/>
      <c r="BV3484" s="5"/>
      <c r="BW3484" s="5"/>
      <c r="BX3484" s="5"/>
      <c r="BY3484" s="5"/>
      <c r="BZ3484" s="5"/>
      <c r="CA3484" s="5"/>
    </row>
    <row r="3485" spans="1:79" s="400" customFormat="1" ht="15" customHeight="1">
      <c r="A3485" s="41" t="s">
        <v>183</v>
      </c>
      <c r="B3485" s="402" t="s">
        <v>3927</v>
      </c>
      <c r="C3485" s="113" t="s">
        <v>4753</v>
      </c>
      <c r="D3485" s="393" t="s">
        <v>56</v>
      </c>
      <c r="E3485" s="394" t="s">
        <v>95</v>
      </c>
      <c r="F3485" s="402" t="s">
        <v>5872</v>
      </c>
      <c r="G3485" s="405" t="s">
        <v>3928</v>
      </c>
      <c r="H3485" s="404">
        <v>4952</v>
      </c>
      <c r="I3485" s="402" t="s">
        <v>1</v>
      </c>
      <c r="J3485" s="406" t="s">
        <v>5873</v>
      </c>
      <c r="K3485" s="403">
        <v>41402</v>
      </c>
      <c r="L3485" s="398">
        <v>41384</v>
      </c>
      <c r="M3485" s="402">
        <f t="shared" si="212"/>
        <v>18</v>
      </c>
      <c r="N3485" s="402" t="s">
        <v>2</v>
      </c>
      <c r="O3485" s="404">
        <f>5/2</f>
        <v>2.5</v>
      </c>
      <c r="P3485" s="402">
        <v>5.8</v>
      </c>
      <c r="Q3485" s="404">
        <v>6.04</v>
      </c>
      <c r="R3485" s="402">
        <v>488</v>
      </c>
      <c r="S3485" s="404">
        <v>1366</v>
      </c>
      <c r="T3485" s="402">
        <v>1.68</v>
      </c>
      <c r="U3485" s="395">
        <v>3.47</v>
      </c>
      <c r="V3485" s="402">
        <v>0.69</v>
      </c>
      <c r="W3485" s="404">
        <v>7.2999999999999995E-2</v>
      </c>
      <c r="X3485" s="402">
        <v>0.62</v>
      </c>
      <c r="Y3485" s="404">
        <v>0.108</v>
      </c>
      <c r="Z3485" s="397">
        <v>1</v>
      </c>
      <c r="AA3485" s="399">
        <v>1</v>
      </c>
      <c r="AB3485" s="394">
        <v>67.099999999999994</v>
      </c>
      <c r="AC3485" s="402">
        <v>50</v>
      </c>
      <c r="AD3485" s="399">
        <v>1</v>
      </c>
      <c r="AE3485" s="402"/>
      <c r="AF3485" s="391"/>
      <c r="AG3485" s="394"/>
      <c r="AH3485" s="394"/>
      <c r="AI3485" s="394"/>
      <c r="AJ3485" s="394"/>
      <c r="AK3485" s="394"/>
      <c r="AL3485" s="394"/>
      <c r="AM3485" s="394"/>
      <c r="AN3485" s="394"/>
      <c r="AO3485" s="394"/>
      <c r="AP3485" s="394"/>
      <c r="AQ3485" s="394"/>
      <c r="AR3485" s="394"/>
      <c r="AS3485" s="402"/>
      <c r="AT3485" s="404"/>
      <c r="AU3485" s="394"/>
      <c r="AV3485" s="394"/>
      <c r="AW3485" s="394"/>
      <c r="AX3485" s="5"/>
      <c r="AY3485" s="5"/>
      <c r="AZ3485" s="5"/>
      <c r="BA3485" s="5"/>
      <c r="BB3485" s="5"/>
      <c r="BC3485" s="5"/>
      <c r="BD3485" s="5"/>
      <c r="BE3485" s="5"/>
      <c r="BF3485" s="5"/>
      <c r="BG3485" s="5"/>
      <c r="BH3485" s="5"/>
      <c r="BI3485" s="5"/>
      <c r="BJ3485" s="5"/>
      <c r="BK3485" s="5"/>
      <c r="BL3485" s="5"/>
      <c r="BM3485" s="5"/>
      <c r="BN3485" s="5"/>
      <c r="BO3485" s="5"/>
      <c r="BP3485" s="5"/>
      <c r="BQ3485" s="5"/>
      <c r="BR3485" s="5"/>
      <c r="BS3485" s="5"/>
      <c r="BT3485" s="5"/>
      <c r="BU3485" s="5"/>
      <c r="BV3485" s="5"/>
      <c r="BW3485" s="5"/>
      <c r="BX3485" s="5"/>
      <c r="BY3485" s="5"/>
      <c r="BZ3485" s="5"/>
      <c r="CA3485" s="5"/>
    </row>
    <row r="3486" spans="1:79" s="400" customFormat="1" ht="15" customHeight="1">
      <c r="A3486" s="41" t="s">
        <v>183</v>
      </c>
      <c r="B3486" s="402" t="s">
        <v>3927</v>
      </c>
      <c r="C3486" s="113" t="s">
        <v>4753</v>
      </c>
      <c r="D3486" s="393" t="s">
        <v>56</v>
      </c>
      <c r="E3486" s="394" t="s">
        <v>95</v>
      </c>
      <c r="F3486" s="402" t="s">
        <v>5872</v>
      </c>
      <c r="G3486" s="405" t="s">
        <v>3928</v>
      </c>
      <c r="H3486" s="404">
        <v>4952</v>
      </c>
      <c r="I3486" s="402" t="s">
        <v>1</v>
      </c>
      <c r="J3486" s="406" t="s">
        <v>5874</v>
      </c>
      <c r="K3486" s="403">
        <v>41402</v>
      </c>
      <c r="L3486" s="398">
        <v>41384</v>
      </c>
      <c r="M3486" s="402">
        <f t="shared" si="212"/>
        <v>18</v>
      </c>
      <c r="N3486" s="402" t="s">
        <v>2</v>
      </c>
      <c r="O3486" s="404">
        <f>5/2</f>
        <v>2.5</v>
      </c>
      <c r="P3486" s="402">
        <v>5.8</v>
      </c>
      <c r="Q3486" s="404">
        <v>5.87</v>
      </c>
      <c r="R3486" s="402">
        <v>438</v>
      </c>
      <c r="S3486" s="404">
        <v>760</v>
      </c>
      <c r="T3486" s="402">
        <v>1.59</v>
      </c>
      <c r="U3486" s="395">
        <v>5.08</v>
      </c>
      <c r="V3486" s="402">
        <v>1.18</v>
      </c>
      <c r="W3486" s="404">
        <v>8.7999999999999995E-2</v>
      </c>
      <c r="X3486" s="402">
        <v>0.4</v>
      </c>
      <c r="Y3486" s="404">
        <v>0.108</v>
      </c>
      <c r="Z3486" s="397">
        <v>1</v>
      </c>
      <c r="AA3486" s="399">
        <v>1</v>
      </c>
      <c r="AB3486" s="394">
        <v>38.799999999999997</v>
      </c>
      <c r="AC3486" s="402">
        <v>98</v>
      </c>
      <c r="AD3486" s="399">
        <v>1</v>
      </c>
      <c r="AE3486" s="402"/>
      <c r="AF3486" s="391"/>
      <c r="AG3486" s="394"/>
      <c r="AH3486" s="394"/>
      <c r="AI3486" s="394"/>
      <c r="AJ3486" s="394"/>
      <c r="AK3486" s="394"/>
      <c r="AL3486" s="394"/>
      <c r="AM3486" s="394"/>
      <c r="AN3486" s="394"/>
      <c r="AO3486" s="394"/>
      <c r="AP3486" s="394"/>
      <c r="AQ3486" s="394"/>
      <c r="AR3486" s="394"/>
      <c r="AS3486" s="402"/>
      <c r="AT3486" s="404"/>
      <c r="AU3486" s="394"/>
      <c r="AV3486" s="394"/>
      <c r="AW3486" s="394"/>
      <c r="AX3486" s="5"/>
      <c r="AY3486" s="5"/>
      <c r="AZ3486" s="5"/>
      <c r="BA3486" s="5"/>
      <c r="BB3486" s="5"/>
      <c r="BC3486" s="5"/>
      <c r="BD3486" s="5"/>
      <c r="BE3486" s="5"/>
      <c r="BF3486" s="5"/>
      <c r="BG3486" s="5"/>
      <c r="BH3486" s="5"/>
      <c r="BI3486" s="5"/>
      <c r="BJ3486" s="5"/>
      <c r="BK3486" s="5"/>
      <c r="BL3486" s="5"/>
      <c r="BM3486" s="5"/>
      <c r="BN3486" s="5"/>
      <c r="BO3486" s="5"/>
      <c r="BP3486" s="5"/>
      <c r="BQ3486" s="5"/>
      <c r="BR3486" s="5"/>
      <c r="BS3486" s="5"/>
      <c r="BT3486" s="5"/>
      <c r="BU3486" s="5"/>
      <c r="BV3486" s="5"/>
      <c r="BW3486" s="5"/>
      <c r="BX3486" s="5"/>
      <c r="BY3486" s="5"/>
      <c r="BZ3486" s="5"/>
      <c r="CA3486" s="5"/>
    </row>
    <row r="3487" spans="1:79" s="400" customFormat="1" ht="15" customHeight="1">
      <c r="A3487" s="41" t="s">
        <v>183</v>
      </c>
      <c r="B3487" s="402" t="s">
        <v>1272</v>
      </c>
      <c r="C3487" s="113" t="s">
        <v>1272</v>
      </c>
      <c r="D3487" s="393" t="s">
        <v>205</v>
      </c>
      <c r="E3487" s="394" t="s">
        <v>5793</v>
      </c>
      <c r="F3487" s="402">
        <v>4321</v>
      </c>
      <c r="G3487" s="405" t="s">
        <v>1275</v>
      </c>
      <c r="H3487" s="404">
        <v>3446</v>
      </c>
      <c r="I3487" s="402" t="s">
        <v>1</v>
      </c>
      <c r="J3487" s="406" t="s">
        <v>1277</v>
      </c>
      <c r="K3487" s="403">
        <v>41324</v>
      </c>
      <c r="L3487" s="398">
        <v>41321</v>
      </c>
      <c r="M3487" s="402">
        <f t="shared" si="212"/>
        <v>3</v>
      </c>
      <c r="N3487" s="402" t="s">
        <v>1</v>
      </c>
      <c r="O3487" s="404">
        <f>1/2</f>
        <v>0.5</v>
      </c>
      <c r="P3487" s="402">
        <v>6.4</v>
      </c>
      <c r="Q3487" s="404">
        <v>7.9</v>
      </c>
      <c r="R3487" s="402">
        <v>61.2</v>
      </c>
      <c r="S3487" s="404">
        <v>35</v>
      </c>
      <c r="T3487" s="402">
        <v>0.27</v>
      </c>
      <c r="U3487" s="395">
        <v>1.88</v>
      </c>
      <c r="V3487" s="402">
        <v>0.4</v>
      </c>
      <c r="W3487" s="404">
        <v>8.0000000000000002E-3</v>
      </c>
      <c r="X3487" s="402">
        <v>0.151</v>
      </c>
      <c r="Y3487" s="404">
        <v>4.0000000000000001E-3</v>
      </c>
      <c r="Z3487" s="397">
        <v>1</v>
      </c>
      <c r="AA3487" s="399">
        <v>0.77100000000000002</v>
      </c>
      <c r="AB3487" s="394">
        <v>109.6</v>
      </c>
      <c r="AC3487" s="402">
        <v>7390</v>
      </c>
      <c r="AD3487" s="399">
        <v>0.2</v>
      </c>
      <c r="AE3487" s="402"/>
      <c r="AF3487" s="391"/>
      <c r="AG3487" s="394"/>
      <c r="AH3487" s="394"/>
      <c r="AI3487" s="394"/>
      <c r="AJ3487" s="394"/>
      <c r="AK3487" s="394"/>
      <c r="AL3487" s="394"/>
      <c r="AM3487" s="394"/>
      <c r="AN3487" s="394"/>
      <c r="AO3487" s="394"/>
      <c r="AP3487" s="394"/>
      <c r="AQ3487" s="394"/>
      <c r="AR3487" s="394"/>
      <c r="AS3487" s="402"/>
      <c r="AT3487" s="404"/>
      <c r="AU3487" s="394"/>
      <c r="AV3487" s="394"/>
      <c r="AW3487" s="394"/>
      <c r="AX3487" s="5"/>
      <c r="AY3487" s="5"/>
      <c r="AZ3487" s="5"/>
      <c r="BA3487" s="5"/>
      <c r="BB3487" s="5"/>
      <c r="BC3487" s="5"/>
      <c r="BD3487" s="5"/>
      <c r="BE3487" s="5"/>
      <c r="BF3487" s="5"/>
      <c r="BG3487" s="5"/>
      <c r="BH3487" s="5"/>
      <c r="BI3487" s="5"/>
      <c r="BJ3487" s="5"/>
      <c r="BK3487" s="5"/>
      <c r="BL3487" s="5"/>
      <c r="BM3487" s="5"/>
      <c r="BN3487" s="5"/>
      <c r="BO3487" s="5"/>
      <c r="BP3487" s="5"/>
      <c r="BQ3487" s="5"/>
      <c r="BR3487" s="5"/>
      <c r="BS3487" s="5"/>
      <c r="BT3487" s="5"/>
      <c r="BU3487" s="5"/>
      <c r="BV3487" s="5"/>
      <c r="BW3487" s="5"/>
      <c r="BX3487" s="5"/>
      <c r="BY3487" s="5"/>
      <c r="BZ3487" s="5"/>
      <c r="CA3487" s="5"/>
    </row>
    <row r="3488" spans="1:79" s="400" customFormat="1" ht="15" customHeight="1">
      <c r="A3488" s="41" t="s">
        <v>183</v>
      </c>
      <c r="B3488" s="402" t="s">
        <v>1272</v>
      </c>
      <c r="C3488" s="113" t="s">
        <v>1272</v>
      </c>
      <c r="D3488" s="393" t="s">
        <v>205</v>
      </c>
      <c r="E3488" s="394" t="s">
        <v>5793</v>
      </c>
      <c r="F3488" s="402">
        <v>4321</v>
      </c>
      <c r="G3488" s="405" t="s">
        <v>1275</v>
      </c>
      <c r="H3488" s="404">
        <v>3446</v>
      </c>
      <c r="I3488" s="402" t="s">
        <v>1</v>
      </c>
      <c r="J3488" s="406" t="s">
        <v>130</v>
      </c>
      <c r="K3488" s="403">
        <v>41324</v>
      </c>
      <c r="L3488" s="398">
        <v>41321</v>
      </c>
      <c r="M3488" s="402">
        <f t="shared" si="212"/>
        <v>3</v>
      </c>
      <c r="N3488" s="402" t="s">
        <v>1</v>
      </c>
      <c r="O3488" s="404">
        <f>1/2</f>
        <v>0.5</v>
      </c>
      <c r="P3488" s="402">
        <v>6.6</v>
      </c>
      <c r="Q3488" s="404">
        <v>7.9</v>
      </c>
      <c r="R3488" s="402">
        <v>18.7</v>
      </c>
      <c r="S3488" s="404">
        <v>5</v>
      </c>
      <c r="T3488" s="402">
        <v>0.19</v>
      </c>
      <c r="U3488" s="395">
        <v>1.08</v>
      </c>
      <c r="V3488" s="402">
        <v>0.41</v>
      </c>
      <c r="W3488" s="404">
        <v>7.0000000000000001E-3</v>
      </c>
      <c r="X3488" s="402">
        <v>8.7999999999999995E-2</v>
      </c>
      <c r="Y3488" s="404">
        <f>0.002/2</f>
        <v>1E-3</v>
      </c>
      <c r="Z3488" s="397">
        <v>1</v>
      </c>
      <c r="AA3488" s="399">
        <v>1</v>
      </c>
      <c r="AB3488" s="394">
        <v>24.55</v>
      </c>
      <c r="AC3488" s="402">
        <v>1440</v>
      </c>
      <c r="AD3488" s="399">
        <v>1</v>
      </c>
      <c r="AE3488" s="402"/>
      <c r="AF3488" s="391"/>
      <c r="AG3488" s="394"/>
      <c r="AH3488" s="394"/>
      <c r="AI3488" s="394"/>
      <c r="AJ3488" s="394"/>
      <c r="AK3488" s="394"/>
      <c r="AL3488" s="394"/>
      <c r="AM3488" s="394"/>
      <c r="AN3488" s="394"/>
      <c r="AO3488" s="394"/>
      <c r="AP3488" s="394"/>
      <c r="AQ3488" s="394"/>
      <c r="AR3488" s="394"/>
      <c r="AS3488" s="402"/>
      <c r="AT3488" s="404"/>
      <c r="AU3488" s="394"/>
      <c r="AV3488" s="394"/>
      <c r="AW3488" s="394"/>
      <c r="AX3488" s="5"/>
      <c r="AY3488" s="5"/>
      <c r="AZ3488" s="5"/>
      <c r="BA3488" s="5"/>
      <c r="BB3488" s="5"/>
      <c r="BC3488" s="5"/>
      <c r="BD3488" s="5"/>
      <c r="BE3488" s="5"/>
      <c r="BF3488" s="5"/>
      <c r="BG3488" s="5"/>
      <c r="BH3488" s="5"/>
      <c r="BI3488" s="5"/>
      <c r="BJ3488" s="5"/>
      <c r="BK3488" s="5"/>
      <c r="BL3488" s="5"/>
      <c r="BM3488" s="5"/>
      <c r="BN3488" s="5"/>
      <c r="BO3488" s="5"/>
      <c r="BP3488" s="5"/>
      <c r="BQ3488" s="5"/>
      <c r="BR3488" s="5"/>
      <c r="BS3488" s="5"/>
      <c r="BT3488" s="5"/>
      <c r="BU3488" s="5"/>
      <c r="BV3488" s="5"/>
      <c r="BW3488" s="5"/>
      <c r="BX3488" s="5"/>
      <c r="BY3488" s="5"/>
      <c r="BZ3488" s="5"/>
      <c r="CA3488" s="5"/>
    </row>
    <row r="3489" spans="1:79" s="400" customFormat="1" ht="15" customHeight="1">
      <c r="A3489" s="41" t="s">
        <v>183</v>
      </c>
      <c r="B3489" s="402" t="s">
        <v>3927</v>
      </c>
      <c r="C3489" s="113" t="s">
        <v>4753</v>
      </c>
      <c r="D3489" s="393" t="s">
        <v>56</v>
      </c>
      <c r="E3489" s="394" t="s">
        <v>95</v>
      </c>
      <c r="F3489" s="402" t="s">
        <v>5872</v>
      </c>
      <c r="G3489" s="405" t="s">
        <v>3928</v>
      </c>
      <c r="H3489" s="404">
        <v>4952</v>
      </c>
      <c r="I3489" s="402" t="s">
        <v>1</v>
      </c>
      <c r="J3489" s="406" t="s">
        <v>5873</v>
      </c>
      <c r="K3489" s="403">
        <v>41508</v>
      </c>
      <c r="L3489" s="398">
        <v>41499</v>
      </c>
      <c r="M3489" s="402">
        <f t="shared" si="212"/>
        <v>9</v>
      </c>
      <c r="N3489" s="402" t="s">
        <v>2</v>
      </c>
      <c r="O3489" s="404">
        <f>5/2</f>
        <v>2.5</v>
      </c>
      <c r="P3489" s="402">
        <v>4.32</v>
      </c>
      <c r="Q3489" s="404">
        <v>6</v>
      </c>
      <c r="R3489" s="402">
        <v>140</v>
      </c>
      <c r="S3489" s="404">
        <v>157</v>
      </c>
      <c r="T3489" s="402">
        <v>0.64</v>
      </c>
      <c r="U3489" s="395">
        <v>2.16</v>
      </c>
      <c r="V3489" s="402">
        <v>1.1200000000000001</v>
      </c>
      <c r="W3489" s="404">
        <v>4.3999999999999997E-2</v>
      </c>
      <c r="X3489" s="402">
        <v>0.28000000000000003</v>
      </c>
      <c r="Y3489" s="404">
        <v>2.1000000000000001E-2</v>
      </c>
      <c r="Z3489" s="397">
        <v>1</v>
      </c>
      <c r="AA3489" s="399">
        <v>1</v>
      </c>
      <c r="AB3489" s="394">
        <v>24.4</v>
      </c>
      <c r="AC3489" s="402">
        <v>53</v>
      </c>
      <c r="AD3489" s="399">
        <v>1</v>
      </c>
      <c r="AE3489" s="402"/>
      <c r="AF3489" s="391"/>
      <c r="AG3489" s="394"/>
      <c r="AH3489" s="394"/>
      <c r="AI3489" s="394"/>
      <c r="AJ3489" s="394"/>
      <c r="AK3489" s="394"/>
      <c r="AL3489" s="394"/>
      <c r="AM3489" s="394"/>
      <c r="AN3489" s="394"/>
      <c r="AO3489" s="394"/>
      <c r="AP3489" s="394"/>
      <c r="AQ3489" s="394"/>
      <c r="AR3489" s="394"/>
      <c r="AS3489" s="402"/>
      <c r="AT3489" s="404"/>
      <c r="AU3489" s="394"/>
      <c r="AV3489" s="394"/>
      <c r="AW3489" s="394"/>
      <c r="AX3489" s="5"/>
      <c r="AY3489" s="5"/>
      <c r="AZ3489" s="5"/>
      <c r="BA3489" s="5"/>
      <c r="BB3489" s="5"/>
      <c r="BC3489" s="5"/>
      <c r="BD3489" s="5"/>
      <c r="BE3489" s="5"/>
      <c r="BF3489" s="5"/>
      <c r="BG3489" s="5"/>
      <c r="BH3489" s="5"/>
      <c r="BI3489" s="5"/>
      <c r="BJ3489" s="5"/>
      <c r="BK3489" s="5"/>
      <c r="BL3489" s="5"/>
      <c r="BM3489" s="5"/>
      <c r="BN3489" s="5"/>
      <c r="BO3489" s="5"/>
      <c r="BP3489" s="5"/>
      <c r="BQ3489" s="5"/>
      <c r="BR3489" s="5"/>
      <c r="BS3489" s="5"/>
      <c r="BT3489" s="5"/>
      <c r="BU3489" s="5"/>
      <c r="BV3489" s="5"/>
      <c r="BW3489" s="5"/>
      <c r="BX3489" s="5"/>
      <c r="BY3489" s="5"/>
      <c r="BZ3489" s="5"/>
      <c r="CA3489" s="5"/>
    </row>
    <row r="3490" spans="1:79" s="400" customFormat="1" ht="15" customHeight="1">
      <c r="A3490" s="41" t="s">
        <v>183</v>
      </c>
      <c r="B3490" s="402" t="s">
        <v>3927</v>
      </c>
      <c r="C3490" s="113" t="s">
        <v>4753</v>
      </c>
      <c r="D3490" s="393" t="s">
        <v>56</v>
      </c>
      <c r="E3490" s="394" t="s">
        <v>95</v>
      </c>
      <c r="F3490" s="402" t="s">
        <v>5872</v>
      </c>
      <c r="G3490" s="405" t="s">
        <v>3928</v>
      </c>
      <c r="H3490" s="404">
        <v>4952</v>
      </c>
      <c r="I3490" s="402" t="s">
        <v>1</v>
      </c>
      <c r="J3490" s="406" t="s">
        <v>5875</v>
      </c>
      <c r="K3490" s="403">
        <v>41508</v>
      </c>
      <c r="L3490" s="398">
        <v>41499</v>
      </c>
      <c r="M3490" s="402">
        <f t="shared" si="212"/>
        <v>9</v>
      </c>
      <c r="N3490" s="402" t="s">
        <v>2</v>
      </c>
      <c r="O3490" s="404">
        <f>5/2</f>
        <v>2.5</v>
      </c>
      <c r="P3490" s="402">
        <v>4.32</v>
      </c>
      <c r="Q3490" s="404">
        <v>5.4</v>
      </c>
      <c r="R3490" s="402">
        <v>347</v>
      </c>
      <c r="S3490" s="404">
        <v>560</v>
      </c>
      <c r="T3490" s="402">
        <v>1.1599999999999999</v>
      </c>
      <c r="U3490" s="395">
        <v>3.86</v>
      </c>
      <c r="V3490" s="402">
        <v>1.22</v>
      </c>
      <c r="W3490" s="404">
        <v>5.8000000000000003E-2</v>
      </c>
      <c r="X3490" s="402">
        <v>0.48</v>
      </c>
      <c r="Y3490" s="404">
        <v>5.2999999999999999E-2</v>
      </c>
      <c r="Z3490" s="397">
        <v>1</v>
      </c>
      <c r="AA3490" s="399">
        <v>1</v>
      </c>
      <c r="AB3490" s="394">
        <v>42.2</v>
      </c>
      <c r="AC3490" s="402">
        <v>54</v>
      </c>
      <c r="AD3490" s="399">
        <v>1</v>
      </c>
      <c r="AE3490" s="402"/>
      <c r="AF3490" s="391"/>
      <c r="AG3490" s="394"/>
      <c r="AH3490" s="394"/>
      <c r="AI3490" s="394"/>
      <c r="AJ3490" s="394"/>
      <c r="AK3490" s="394"/>
      <c r="AL3490" s="394"/>
      <c r="AM3490" s="394"/>
      <c r="AN3490" s="394"/>
      <c r="AO3490" s="394"/>
      <c r="AP3490" s="394"/>
      <c r="AQ3490" s="394"/>
      <c r="AR3490" s="394"/>
      <c r="AS3490" s="402"/>
      <c r="AT3490" s="404"/>
      <c r="AU3490" s="394"/>
      <c r="AV3490" s="394"/>
      <c r="AW3490" s="394"/>
      <c r="AX3490" s="5"/>
      <c r="AY3490" s="5"/>
      <c r="AZ3490" s="5"/>
      <c r="BA3490" s="5"/>
      <c r="BB3490" s="5"/>
      <c r="BC3490" s="5"/>
      <c r="BD3490" s="5"/>
      <c r="BE3490" s="5"/>
      <c r="BF3490" s="5"/>
      <c r="BG3490" s="5"/>
      <c r="BH3490" s="5"/>
      <c r="BI3490" s="5"/>
      <c r="BJ3490" s="5"/>
      <c r="BK3490" s="5"/>
      <c r="BL3490" s="5"/>
      <c r="BM3490" s="5"/>
      <c r="BN3490" s="5"/>
      <c r="BO3490" s="5"/>
      <c r="BP3490" s="5"/>
      <c r="BQ3490" s="5"/>
      <c r="BR3490" s="5"/>
      <c r="BS3490" s="5"/>
      <c r="BT3490" s="5"/>
      <c r="BU3490" s="5"/>
      <c r="BV3490" s="5"/>
      <c r="BW3490" s="5"/>
      <c r="BX3490" s="5"/>
      <c r="BY3490" s="5"/>
      <c r="BZ3490" s="5"/>
      <c r="CA3490" s="5"/>
    </row>
    <row r="3491" spans="1:79" s="400" customFormat="1" ht="15" customHeight="1">
      <c r="A3491" s="41" t="s">
        <v>183</v>
      </c>
      <c r="B3491" s="402" t="s">
        <v>2098</v>
      </c>
      <c r="C3491" s="113" t="s">
        <v>2098</v>
      </c>
      <c r="D3491" s="393" t="s">
        <v>1569</v>
      </c>
      <c r="E3491" s="394" t="s">
        <v>2099</v>
      </c>
      <c r="F3491" s="402">
        <v>2101</v>
      </c>
      <c r="G3491" s="405" t="s">
        <v>3601</v>
      </c>
      <c r="H3491" s="404">
        <v>3559</v>
      </c>
      <c r="I3491" s="402" t="s">
        <v>2</v>
      </c>
      <c r="J3491" s="406" t="s">
        <v>1503</v>
      </c>
      <c r="K3491" s="403">
        <v>41352</v>
      </c>
      <c r="L3491" s="398">
        <v>41343</v>
      </c>
      <c r="M3491" s="402">
        <f t="shared" si="212"/>
        <v>9</v>
      </c>
      <c r="N3491" s="402" t="s">
        <v>1</v>
      </c>
      <c r="O3491" s="404">
        <f>1.4/2</f>
        <v>0.7</v>
      </c>
      <c r="P3491" s="402">
        <v>5.72</v>
      </c>
      <c r="Q3491" s="404">
        <v>6.49</v>
      </c>
      <c r="R3491" s="402">
        <f>10/2</f>
        <v>5</v>
      </c>
      <c r="S3491" s="404">
        <v>5.5</v>
      </c>
      <c r="T3491" s="402">
        <v>0.05</v>
      </c>
      <c r="U3491" s="395">
        <v>0.47</v>
      </c>
      <c r="V3491" s="402">
        <v>0.27</v>
      </c>
      <c r="W3491" s="404">
        <f>0.005/2</f>
        <v>2.5000000000000001E-3</v>
      </c>
      <c r="X3491" s="402">
        <v>7.0999999999999994E-2</v>
      </c>
      <c r="Y3491" s="404">
        <v>2E-3</v>
      </c>
      <c r="Z3491" s="397">
        <v>1</v>
      </c>
      <c r="AA3491" s="399">
        <v>1</v>
      </c>
      <c r="AB3491" s="394">
        <v>10</v>
      </c>
      <c r="AC3491" s="402">
        <v>50</v>
      </c>
      <c r="AD3491" s="399">
        <v>1</v>
      </c>
      <c r="AE3491" s="402"/>
      <c r="AF3491" s="391"/>
      <c r="AG3491" s="394"/>
      <c r="AH3491" s="394"/>
      <c r="AI3491" s="394"/>
      <c r="AJ3491" s="394"/>
      <c r="AK3491" s="394"/>
      <c r="AL3491" s="394"/>
      <c r="AM3491" s="394"/>
      <c r="AN3491" s="394"/>
      <c r="AO3491" s="394"/>
      <c r="AP3491" s="394"/>
      <c r="AQ3491" s="394"/>
      <c r="AR3491" s="394"/>
      <c r="AS3491" s="402"/>
      <c r="AT3491" s="404"/>
      <c r="AU3491" s="394"/>
      <c r="AV3491" s="394"/>
      <c r="AW3491" s="394"/>
      <c r="AX3491" s="5"/>
      <c r="AY3491" s="5"/>
      <c r="AZ3491" s="5"/>
      <c r="BA3491" s="5"/>
      <c r="BB3491" s="5"/>
      <c r="BC3491" s="5"/>
      <c r="BD3491" s="5"/>
      <c r="BE3491" s="5"/>
      <c r="BF3491" s="5"/>
      <c r="BG3491" s="5"/>
      <c r="BH3491" s="5"/>
      <c r="BI3491" s="5"/>
      <c r="BJ3491" s="5"/>
      <c r="BK3491" s="5"/>
      <c r="BL3491" s="5"/>
      <c r="BM3491" s="5"/>
      <c r="BN3491" s="5"/>
      <c r="BO3491" s="5"/>
      <c r="BP3491" s="5"/>
      <c r="BQ3491" s="5"/>
      <c r="BR3491" s="5"/>
      <c r="BS3491" s="5"/>
      <c r="BT3491" s="5"/>
      <c r="BU3491" s="5"/>
      <c r="BV3491" s="5"/>
      <c r="BW3491" s="5"/>
      <c r="BX3491" s="5"/>
      <c r="BY3491" s="5"/>
      <c r="BZ3491" s="5"/>
      <c r="CA3491" s="5"/>
    </row>
    <row r="3492" spans="1:79" s="400" customFormat="1" ht="15" customHeight="1">
      <c r="A3492" s="41" t="s">
        <v>183</v>
      </c>
      <c r="B3492" s="402" t="s">
        <v>4569</v>
      </c>
      <c r="C3492" s="113" t="s">
        <v>4569</v>
      </c>
      <c r="D3492" s="393" t="s">
        <v>41</v>
      </c>
      <c r="E3492" s="394" t="s">
        <v>4570</v>
      </c>
      <c r="F3492" s="402"/>
      <c r="G3492" s="405" t="s">
        <v>4571</v>
      </c>
      <c r="H3492" s="404">
        <v>3827</v>
      </c>
      <c r="I3492" s="402" t="s">
        <v>2</v>
      </c>
      <c r="J3492" s="406" t="s">
        <v>255</v>
      </c>
      <c r="K3492" s="403">
        <v>41432</v>
      </c>
      <c r="L3492" s="398">
        <v>41428</v>
      </c>
      <c r="M3492" s="402">
        <f t="shared" si="212"/>
        <v>4</v>
      </c>
      <c r="N3492" s="402" t="s">
        <v>2</v>
      </c>
      <c r="O3492" s="404">
        <f>1.4/2</f>
        <v>0.7</v>
      </c>
      <c r="P3492" s="402">
        <v>6.5</v>
      </c>
      <c r="Q3492" s="404">
        <v>7.03</v>
      </c>
      <c r="R3492" s="402">
        <v>23</v>
      </c>
      <c r="S3492" s="404">
        <f>5/2</f>
        <v>2.5</v>
      </c>
      <c r="T3492" s="402">
        <v>0.04</v>
      </c>
      <c r="U3492" s="395">
        <v>0.36</v>
      </c>
      <c r="V3492" s="402">
        <v>0.09</v>
      </c>
      <c r="W3492" s="404">
        <f>0.005/2</f>
        <v>2.5000000000000001E-3</v>
      </c>
      <c r="X3492" s="402">
        <v>4.9000000000000002E-2</v>
      </c>
      <c r="Y3492" s="404">
        <f>0.002/2</f>
        <v>1E-3</v>
      </c>
      <c r="Z3492" s="397"/>
      <c r="AA3492" s="399"/>
      <c r="AB3492" s="394"/>
      <c r="AC3492" s="402"/>
      <c r="AD3492" s="399"/>
      <c r="AE3492" s="402"/>
      <c r="AF3492" s="391"/>
      <c r="AG3492" s="394"/>
      <c r="AH3492" s="394"/>
      <c r="AI3492" s="394"/>
      <c r="AJ3492" s="394"/>
      <c r="AK3492" s="394"/>
      <c r="AL3492" s="394"/>
      <c r="AM3492" s="394"/>
      <c r="AN3492" s="394"/>
      <c r="AO3492" s="394"/>
      <c r="AP3492" s="394"/>
      <c r="AQ3492" s="394"/>
      <c r="AR3492" s="394"/>
      <c r="AS3492" s="402"/>
      <c r="AT3492" s="404"/>
      <c r="AU3492" s="394"/>
      <c r="AV3492" s="394"/>
      <c r="AW3492" s="394"/>
      <c r="AX3492" s="5"/>
      <c r="AY3492" s="5"/>
      <c r="AZ3492" s="5"/>
      <c r="BA3492" s="5"/>
      <c r="BB3492" s="5"/>
      <c r="BC3492" s="5"/>
      <c r="BD3492" s="5"/>
      <c r="BE3492" s="5"/>
      <c r="BF3492" s="5"/>
      <c r="BG3492" s="5"/>
      <c r="BH3492" s="5"/>
      <c r="BI3492" s="5"/>
      <c r="BJ3492" s="5"/>
      <c r="BK3492" s="5"/>
      <c r="BL3492" s="5"/>
      <c r="BM3492" s="5"/>
      <c r="BN3492" s="5"/>
      <c r="BO3492" s="5"/>
      <c r="BP3492" s="5"/>
      <c r="BQ3492" s="5"/>
      <c r="BR3492" s="5"/>
      <c r="BS3492" s="5"/>
      <c r="BT3492" s="5"/>
      <c r="BU3492" s="5"/>
      <c r="BV3492" s="5"/>
      <c r="BW3492" s="5"/>
      <c r="BX3492" s="5"/>
      <c r="BY3492" s="5"/>
      <c r="BZ3492" s="5"/>
      <c r="CA3492" s="5"/>
    </row>
    <row r="3493" spans="1:79" s="400" customFormat="1" ht="15" customHeight="1">
      <c r="A3493" s="41" t="s">
        <v>183</v>
      </c>
      <c r="B3493" s="402" t="s">
        <v>4567</v>
      </c>
      <c r="C3493" s="113" t="s">
        <v>4567</v>
      </c>
      <c r="D3493" s="393" t="s">
        <v>251</v>
      </c>
      <c r="E3493" s="394"/>
      <c r="F3493" s="402">
        <v>4603</v>
      </c>
      <c r="G3493" s="405" t="s">
        <v>4568</v>
      </c>
      <c r="H3493" s="404"/>
      <c r="I3493" s="402"/>
      <c r="J3493" s="406" t="s">
        <v>3144</v>
      </c>
      <c r="K3493" s="403">
        <v>41402</v>
      </c>
      <c r="L3493" s="398">
        <v>41384</v>
      </c>
      <c r="M3493" s="402">
        <f t="shared" si="212"/>
        <v>18</v>
      </c>
      <c r="N3493" s="402" t="s">
        <v>2</v>
      </c>
      <c r="O3493" s="404">
        <f>1/2</f>
        <v>0.5</v>
      </c>
      <c r="P3493" s="402">
        <v>5.4</v>
      </c>
      <c r="Q3493" s="404">
        <v>6.2</v>
      </c>
      <c r="R3493" s="402">
        <v>247</v>
      </c>
      <c r="S3493" s="404">
        <v>56</v>
      </c>
      <c r="T3493" s="402">
        <f>0.1/2</f>
        <v>0.05</v>
      </c>
      <c r="U3493" s="395">
        <v>4.8600000000000003</v>
      </c>
      <c r="V3493" s="402">
        <v>1.22</v>
      </c>
      <c r="W3493" s="404">
        <v>0.02</v>
      </c>
      <c r="X3493" s="402">
        <f>0.05/2</f>
        <v>2.5000000000000001E-2</v>
      </c>
      <c r="Y3493" s="404">
        <v>2E-3</v>
      </c>
      <c r="Z3493" s="397">
        <v>1</v>
      </c>
      <c r="AA3493" s="399">
        <v>1</v>
      </c>
      <c r="AB3493" s="394">
        <v>30</v>
      </c>
      <c r="AC3493" s="402">
        <v>108</v>
      </c>
      <c r="AD3493" s="399">
        <v>1</v>
      </c>
      <c r="AE3493" s="402"/>
      <c r="AF3493" s="391"/>
      <c r="AG3493" s="394"/>
      <c r="AH3493" s="394"/>
      <c r="AI3493" s="394"/>
      <c r="AJ3493" s="394"/>
      <c r="AK3493" s="394"/>
      <c r="AL3493" s="394"/>
      <c r="AM3493" s="394"/>
      <c r="AN3493" s="394"/>
      <c r="AO3493" s="394"/>
      <c r="AP3493" s="394"/>
      <c r="AQ3493" s="394"/>
      <c r="AR3493" s="394"/>
      <c r="AS3493" s="402"/>
      <c r="AT3493" s="404"/>
      <c r="AU3493" s="394"/>
      <c r="AV3493" s="394"/>
      <c r="AW3493" s="394"/>
      <c r="AX3493" s="5"/>
      <c r="AY3493" s="5"/>
      <c r="AZ3493" s="5"/>
      <c r="BA3493" s="5"/>
      <c r="BB3493" s="5"/>
      <c r="BC3493" s="5"/>
      <c r="BD3493" s="5"/>
      <c r="BE3493" s="5"/>
      <c r="BF3493" s="5"/>
      <c r="BG3493" s="5"/>
      <c r="BH3493" s="5"/>
      <c r="BI3493" s="5"/>
      <c r="BJ3493" s="5"/>
      <c r="BK3493" s="5"/>
      <c r="BL3493" s="5"/>
      <c r="BM3493" s="5"/>
      <c r="BN3493" s="5"/>
      <c r="BO3493" s="5"/>
      <c r="BP3493" s="5"/>
      <c r="BQ3493" s="5"/>
      <c r="BR3493" s="5"/>
      <c r="BS3493" s="5"/>
      <c r="BT3493" s="5"/>
      <c r="BU3493" s="5"/>
      <c r="BV3493" s="5"/>
      <c r="BW3493" s="5"/>
      <c r="BX3493" s="5"/>
      <c r="BY3493" s="5"/>
      <c r="BZ3493" s="5"/>
      <c r="CA3493" s="5"/>
    </row>
    <row r="3494" spans="1:79" s="400" customFormat="1" ht="15" customHeight="1">
      <c r="A3494" s="41" t="s">
        <v>183</v>
      </c>
      <c r="B3494" s="402" t="s">
        <v>4442</v>
      </c>
      <c r="C3494" s="113" t="s">
        <v>5876</v>
      </c>
      <c r="D3494" s="393" t="s">
        <v>192</v>
      </c>
      <c r="E3494" s="394" t="s">
        <v>44</v>
      </c>
      <c r="F3494" s="402" t="s">
        <v>4443</v>
      </c>
      <c r="G3494" s="405" t="s">
        <v>4444</v>
      </c>
      <c r="H3494" s="404">
        <v>4213</v>
      </c>
      <c r="I3494" s="402" t="s">
        <v>2</v>
      </c>
      <c r="J3494" s="406" t="s">
        <v>4445</v>
      </c>
      <c r="K3494" s="403">
        <v>41341</v>
      </c>
      <c r="L3494" s="398">
        <v>41332</v>
      </c>
      <c r="M3494" s="402">
        <f t="shared" si="212"/>
        <v>9</v>
      </c>
      <c r="N3494" s="402" t="s">
        <v>1</v>
      </c>
      <c r="O3494" s="404">
        <v>23.5</v>
      </c>
      <c r="P3494" s="402">
        <v>5</v>
      </c>
      <c r="Q3494" s="404">
        <v>5</v>
      </c>
      <c r="R3494" s="402">
        <v>190</v>
      </c>
      <c r="S3494" s="404">
        <v>78</v>
      </c>
      <c r="T3494" s="402">
        <v>0.11</v>
      </c>
      <c r="U3494" s="395">
        <v>1.32</v>
      </c>
      <c r="V3494" s="402">
        <v>0.17899999999999999</v>
      </c>
      <c r="W3494" s="404">
        <v>5.64E-3</v>
      </c>
      <c r="X3494" s="402">
        <v>7.2700000000000001E-2</v>
      </c>
      <c r="Y3494" s="404">
        <f>0.003/2</f>
        <v>1.5E-3</v>
      </c>
      <c r="Z3494" s="397"/>
      <c r="AA3494" s="399"/>
      <c r="AB3494" s="394"/>
      <c r="AC3494" s="402"/>
      <c r="AD3494" s="399"/>
      <c r="AE3494" s="402"/>
      <c r="AF3494" s="391"/>
      <c r="AG3494" s="394"/>
      <c r="AH3494" s="394"/>
      <c r="AI3494" s="394"/>
      <c r="AJ3494" s="394"/>
      <c r="AK3494" s="394"/>
      <c r="AL3494" s="394"/>
      <c r="AM3494" s="394"/>
      <c r="AN3494" s="394"/>
      <c r="AO3494" s="394"/>
      <c r="AP3494" s="394"/>
      <c r="AQ3494" s="394"/>
      <c r="AR3494" s="394"/>
      <c r="AS3494" s="402"/>
      <c r="AT3494" s="404"/>
      <c r="AU3494" s="394"/>
      <c r="AV3494" s="394"/>
      <c r="AW3494" s="394"/>
      <c r="AX3494" s="5"/>
      <c r="AY3494" s="5"/>
      <c r="AZ3494" s="5"/>
      <c r="BA3494" s="5"/>
      <c r="BB3494" s="5"/>
      <c r="BC3494" s="5"/>
      <c r="BD3494" s="5"/>
      <c r="BE3494" s="5"/>
      <c r="BF3494" s="5"/>
      <c r="BG3494" s="5"/>
      <c r="BH3494" s="5"/>
      <c r="BI3494" s="5"/>
      <c r="BJ3494" s="5"/>
      <c r="BK3494" s="5"/>
      <c r="BL3494" s="5"/>
      <c r="BM3494" s="5"/>
      <c r="BN3494" s="5"/>
      <c r="BO3494" s="5"/>
      <c r="BP3494" s="5"/>
      <c r="BQ3494" s="5"/>
      <c r="BR3494" s="5"/>
      <c r="BS3494" s="5"/>
      <c r="BT3494" s="5"/>
      <c r="BU3494" s="5"/>
      <c r="BV3494" s="5"/>
      <c r="BW3494" s="5"/>
      <c r="BX3494" s="5"/>
      <c r="BY3494" s="5"/>
      <c r="BZ3494" s="5"/>
      <c r="CA3494" s="5"/>
    </row>
    <row r="3495" spans="1:79" s="400" customFormat="1" ht="15" customHeight="1">
      <c r="A3495" s="41" t="s">
        <v>183</v>
      </c>
      <c r="B3495" s="402" t="s">
        <v>1272</v>
      </c>
      <c r="C3495" s="113" t="s">
        <v>1272</v>
      </c>
      <c r="D3495" s="393" t="s">
        <v>205</v>
      </c>
      <c r="E3495" s="394" t="s">
        <v>5793</v>
      </c>
      <c r="F3495" s="402">
        <v>4321</v>
      </c>
      <c r="G3495" s="405" t="s">
        <v>1275</v>
      </c>
      <c r="H3495" s="404">
        <v>3446</v>
      </c>
      <c r="I3495" s="402" t="s">
        <v>1</v>
      </c>
      <c r="J3495" s="406" t="s">
        <v>130</v>
      </c>
      <c r="K3495" s="403">
        <v>41487</v>
      </c>
      <c r="L3495" s="398">
        <v>41481</v>
      </c>
      <c r="M3495" s="402">
        <f t="shared" si="212"/>
        <v>6</v>
      </c>
      <c r="N3495" s="402" t="s">
        <v>2</v>
      </c>
      <c r="O3495" s="404">
        <f>1/2</f>
        <v>0.5</v>
      </c>
      <c r="P3495" s="402">
        <v>6.8</v>
      </c>
      <c r="Q3495" s="404">
        <v>6</v>
      </c>
      <c r="R3495" s="402">
        <v>100.4</v>
      </c>
      <c r="S3495" s="404">
        <v>186</v>
      </c>
      <c r="T3495" s="402">
        <v>0.32</v>
      </c>
      <c r="U3495" s="395">
        <v>3.77</v>
      </c>
      <c r="V3495" s="402">
        <v>2.2599999999999998</v>
      </c>
      <c r="W3495" s="404">
        <v>5.5E-2</v>
      </c>
      <c r="X3495" s="402">
        <v>0.629</v>
      </c>
      <c r="Y3495" s="404">
        <v>2.8000000000000001E-2</v>
      </c>
      <c r="Z3495" s="397"/>
      <c r="AA3495" s="399"/>
      <c r="AB3495" s="394"/>
      <c r="AC3495" s="402"/>
      <c r="AD3495" s="399"/>
      <c r="AE3495" s="402"/>
      <c r="AF3495" s="391"/>
      <c r="AG3495" s="394"/>
      <c r="AH3495" s="394"/>
      <c r="AI3495" s="394"/>
      <c r="AJ3495" s="394"/>
      <c r="AK3495" s="394"/>
      <c r="AL3495" s="394"/>
      <c r="AM3495" s="394"/>
      <c r="AN3495" s="394"/>
      <c r="AO3495" s="394"/>
      <c r="AP3495" s="394"/>
      <c r="AQ3495" s="394"/>
      <c r="AR3495" s="394"/>
      <c r="AS3495" s="402"/>
      <c r="AT3495" s="404"/>
      <c r="AU3495" s="394"/>
      <c r="AV3495" s="394"/>
      <c r="AW3495" s="394"/>
      <c r="AX3495" s="5"/>
      <c r="AY3495" s="5"/>
      <c r="AZ3495" s="5"/>
      <c r="BA3495" s="5"/>
      <c r="BB3495" s="5"/>
      <c r="BC3495" s="5"/>
      <c r="BD3495" s="5"/>
      <c r="BE3495" s="5"/>
      <c r="BF3495" s="5"/>
      <c r="BG3495" s="5"/>
      <c r="BH3495" s="5"/>
      <c r="BI3495" s="5"/>
      <c r="BJ3495" s="5"/>
      <c r="BK3495" s="5"/>
      <c r="BL3495" s="5"/>
      <c r="BM3495" s="5"/>
      <c r="BN3495" s="5"/>
      <c r="BO3495" s="5"/>
      <c r="BP3495" s="5"/>
      <c r="BQ3495" s="5"/>
      <c r="BR3495" s="5"/>
      <c r="BS3495" s="5"/>
      <c r="BT3495" s="5"/>
      <c r="BU3495" s="5"/>
      <c r="BV3495" s="5"/>
      <c r="BW3495" s="5"/>
      <c r="BX3495" s="5"/>
      <c r="BY3495" s="5"/>
      <c r="BZ3495" s="5"/>
      <c r="CA3495" s="5"/>
    </row>
    <row r="3496" spans="1:79" s="400" customFormat="1" ht="15" customHeight="1">
      <c r="A3496" s="41" t="s">
        <v>183</v>
      </c>
      <c r="B3496" s="402" t="s">
        <v>1272</v>
      </c>
      <c r="C3496" s="113" t="s">
        <v>1272</v>
      </c>
      <c r="D3496" s="393" t="s">
        <v>205</v>
      </c>
      <c r="E3496" s="394" t="s">
        <v>5793</v>
      </c>
      <c r="F3496" s="402">
        <v>4321</v>
      </c>
      <c r="G3496" s="405" t="s">
        <v>1275</v>
      </c>
      <c r="H3496" s="404">
        <v>3446</v>
      </c>
      <c r="I3496" s="402" t="s">
        <v>1</v>
      </c>
      <c r="J3496" s="406" t="s">
        <v>1277</v>
      </c>
      <c r="K3496" s="403">
        <v>41487</v>
      </c>
      <c r="L3496" s="398">
        <v>41481</v>
      </c>
      <c r="M3496" s="402">
        <f t="shared" si="212"/>
        <v>6</v>
      </c>
      <c r="N3496" s="402" t="s">
        <v>2</v>
      </c>
      <c r="O3496" s="404">
        <f>1/2</f>
        <v>0.5</v>
      </c>
      <c r="P3496" s="402">
        <v>6.8</v>
      </c>
      <c r="Q3496" s="404">
        <v>6.4</v>
      </c>
      <c r="R3496" s="402">
        <v>71.3</v>
      </c>
      <c r="S3496" s="404">
        <v>53</v>
      </c>
      <c r="T3496" s="402">
        <v>0.24</v>
      </c>
      <c r="U3496" s="395">
        <v>2.15</v>
      </c>
      <c r="V3496" s="402">
        <v>1.61</v>
      </c>
      <c r="W3496" s="404">
        <v>8.9999999999999993E-3</v>
      </c>
      <c r="X3496" s="402">
        <v>0.14099999999999999</v>
      </c>
      <c r="Y3496" s="404">
        <v>8.0000000000000002E-3</v>
      </c>
      <c r="Z3496" s="397"/>
      <c r="AA3496" s="399"/>
      <c r="AB3496" s="394"/>
      <c r="AC3496" s="402"/>
      <c r="AD3496" s="399"/>
      <c r="AE3496" s="402"/>
      <c r="AF3496" s="391"/>
      <c r="AG3496" s="394"/>
      <c r="AH3496" s="394"/>
      <c r="AI3496" s="394"/>
      <c r="AJ3496" s="394"/>
      <c r="AK3496" s="394"/>
      <c r="AL3496" s="394"/>
      <c r="AM3496" s="394"/>
      <c r="AN3496" s="394"/>
      <c r="AO3496" s="394"/>
      <c r="AP3496" s="394"/>
      <c r="AQ3496" s="394"/>
      <c r="AR3496" s="394"/>
      <c r="AS3496" s="402"/>
      <c r="AT3496" s="404"/>
      <c r="AU3496" s="394"/>
      <c r="AV3496" s="394"/>
      <c r="AW3496" s="394"/>
      <c r="AX3496" s="5"/>
      <c r="AY3496" s="5"/>
      <c r="AZ3496" s="5"/>
      <c r="BA3496" s="5"/>
      <c r="BB3496" s="5"/>
      <c r="BC3496" s="5"/>
      <c r="BD3496" s="5"/>
      <c r="BE3496" s="5"/>
      <c r="BF3496" s="5"/>
      <c r="BG3496" s="5"/>
      <c r="BH3496" s="5"/>
      <c r="BI3496" s="5"/>
      <c r="BJ3496" s="5"/>
      <c r="BK3496" s="5"/>
      <c r="BL3496" s="5"/>
      <c r="BM3496" s="5"/>
      <c r="BN3496" s="5"/>
      <c r="BO3496" s="5"/>
      <c r="BP3496" s="5"/>
      <c r="BQ3496" s="5"/>
      <c r="BR3496" s="5"/>
      <c r="BS3496" s="5"/>
      <c r="BT3496" s="5"/>
      <c r="BU3496" s="5"/>
      <c r="BV3496" s="5"/>
      <c r="BW3496" s="5"/>
      <c r="BX3496" s="5"/>
      <c r="BY3496" s="5"/>
      <c r="BZ3496" s="5"/>
      <c r="CA3496" s="5"/>
    </row>
    <row r="3497" spans="1:79" s="400" customFormat="1" ht="15" customHeight="1">
      <c r="A3497" s="41" t="s">
        <v>183</v>
      </c>
      <c r="B3497" s="402" t="s">
        <v>4584</v>
      </c>
      <c r="C3497" s="113" t="s">
        <v>4584</v>
      </c>
      <c r="D3497" s="393" t="s">
        <v>710</v>
      </c>
      <c r="E3497" s="394" t="s">
        <v>4585</v>
      </c>
      <c r="F3497" s="402" t="s">
        <v>5865</v>
      </c>
      <c r="G3497" s="405" t="s">
        <v>4586</v>
      </c>
      <c r="H3497" s="404">
        <v>2653</v>
      </c>
      <c r="I3497" s="402"/>
      <c r="J3497" s="406" t="s">
        <v>5866</v>
      </c>
      <c r="K3497" s="403">
        <v>41402</v>
      </c>
      <c r="L3497" s="398"/>
      <c r="M3497" s="402"/>
      <c r="N3497" s="402" t="s">
        <v>2</v>
      </c>
      <c r="O3497" s="404">
        <f>1/2</f>
        <v>0.5</v>
      </c>
      <c r="P3497" s="402">
        <v>6</v>
      </c>
      <c r="Q3497" s="404">
        <v>6.6</v>
      </c>
      <c r="R3497" s="402">
        <v>110</v>
      </c>
      <c r="S3497" s="404">
        <v>48</v>
      </c>
      <c r="T3497" s="402">
        <v>0.2</v>
      </c>
      <c r="U3497" s="395">
        <v>2.5</v>
      </c>
      <c r="V3497" s="402">
        <v>0.28000000000000003</v>
      </c>
      <c r="W3497" s="404">
        <v>1.2999999999999999E-2</v>
      </c>
      <c r="X3497" s="402">
        <v>0.42</v>
      </c>
      <c r="Y3497" s="404">
        <v>8.8999999999999999E-3</v>
      </c>
      <c r="Z3497" s="397">
        <v>1</v>
      </c>
      <c r="AA3497" s="399">
        <v>0.86</v>
      </c>
      <c r="AB3497" s="394">
        <v>16</v>
      </c>
      <c r="AC3497" s="402">
        <v>72</v>
      </c>
      <c r="AD3497" s="399">
        <v>0.35</v>
      </c>
      <c r="AE3497" s="402"/>
      <c r="AF3497" s="391"/>
      <c r="AG3497" s="394"/>
      <c r="AH3497" s="394"/>
      <c r="AI3497" s="394"/>
      <c r="AJ3497" s="394"/>
      <c r="AK3497" s="394"/>
      <c r="AL3497" s="394"/>
      <c r="AM3497" s="394"/>
      <c r="AN3497" s="394"/>
      <c r="AO3497" s="394"/>
      <c r="AP3497" s="394"/>
      <c r="AQ3497" s="394"/>
      <c r="AR3497" s="394"/>
      <c r="AS3497" s="402"/>
      <c r="AT3497" s="404"/>
      <c r="AU3497" s="394"/>
      <c r="AV3497" s="394"/>
      <c r="AW3497" s="394"/>
      <c r="AX3497" s="5"/>
      <c r="AY3497" s="5"/>
      <c r="AZ3497" s="5"/>
      <c r="BA3497" s="5"/>
      <c r="BB3497" s="5"/>
      <c r="BC3497" s="5"/>
      <c r="BD3497" s="5"/>
      <c r="BE3497" s="5"/>
      <c r="BF3497" s="5"/>
      <c r="BG3497" s="5"/>
      <c r="BH3497" s="5"/>
      <c r="BI3497" s="5"/>
      <c r="BJ3497" s="5"/>
      <c r="BK3497" s="5"/>
      <c r="BL3497" s="5"/>
      <c r="BM3497" s="5"/>
      <c r="BN3497" s="5"/>
      <c r="BO3497" s="5"/>
      <c r="BP3497" s="5"/>
      <c r="BQ3497" s="5"/>
      <c r="BR3497" s="5"/>
      <c r="BS3497" s="5"/>
      <c r="BT3497" s="5"/>
      <c r="BU3497" s="5"/>
      <c r="BV3497" s="5"/>
      <c r="BW3497" s="5"/>
      <c r="BX3497" s="5"/>
      <c r="BY3497" s="5"/>
      <c r="BZ3497" s="5"/>
      <c r="CA3497" s="5"/>
    </row>
    <row r="3498" spans="1:79" s="400" customFormat="1" ht="15" customHeight="1">
      <c r="A3498" s="41" t="s">
        <v>183</v>
      </c>
      <c r="B3498" s="402" t="s">
        <v>5804</v>
      </c>
      <c r="C3498" s="113" t="s">
        <v>5805</v>
      </c>
      <c r="D3498" s="393" t="s">
        <v>1217</v>
      </c>
      <c r="E3498" s="394"/>
      <c r="F3498" s="402"/>
      <c r="G3498" s="405" t="s">
        <v>5806</v>
      </c>
      <c r="H3498" s="404">
        <v>3229</v>
      </c>
      <c r="I3498" s="402" t="s">
        <v>2</v>
      </c>
      <c r="J3498" s="406" t="s">
        <v>2102</v>
      </c>
      <c r="K3498" s="403">
        <v>41600</v>
      </c>
      <c r="L3498" s="398">
        <v>41596</v>
      </c>
      <c r="M3498" s="402">
        <f t="shared" ref="M3498" si="213">K3498-L3498</f>
        <v>4</v>
      </c>
      <c r="N3498" s="402" t="s">
        <v>2</v>
      </c>
      <c r="O3498" s="404">
        <f>1.4/2</f>
        <v>0.7</v>
      </c>
      <c r="P3498" s="402">
        <v>6.31</v>
      </c>
      <c r="Q3498" s="404">
        <v>6.28</v>
      </c>
      <c r="R3498" s="402">
        <v>17</v>
      </c>
      <c r="S3498" s="404">
        <v>14</v>
      </c>
      <c r="T3498" s="402">
        <v>0.08</v>
      </c>
      <c r="U3498" s="395">
        <v>0.42</v>
      </c>
      <c r="V3498" s="402">
        <v>0.19</v>
      </c>
      <c r="W3498" s="404">
        <f>0.005/2</f>
        <v>2.5000000000000001E-3</v>
      </c>
      <c r="X3498" s="402">
        <v>1.6E-2</v>
      </c>
      <c r="Y3498" s="404">
        <f>0.002/2</f>
        <v>1E-3</v>
      </c>
      <c r="Z3498" s="397"/>
      <c r="AA3498" s="399"/>
      <c r="AB3498" s="394"/>
      <c r="AC3498" s="402"/>
      <c r="AD3498" s="399"/>
      <c r="AE3498" s="402"/>
      <c r="AF3498" s="391"/>
      <c r="AG3498" s="394"/>
      <c r="AH3498" s="394"/>
      <c r="AI3498" s="394"/>
      <c r="AJ3498" s="394"/>
      <c r="AK3498" s="394"/>
      <c r="AL3498" s="394"/>
      <c r="AM3498" s="394"/>
      <c r="AN3498" s="394"/>
      <c r="AO3498" s="394"/>
      <c r="AP3498" s="394"/>
      <c r="AQ3498" s="394"/>
      <c r="AR3498" s="394"/>
      <c r="AS3498" s="402"/>
      <c r="AT3498" s="404"/>
      <c r="AU3498" s="394"/>
      <c r="AV3498" s="394"/>
      <c r="AW3498" s="394"/>
      <c r="AX3498" s="5"/>
      <c r="AY3498" s="5"/>
      <c r="AZ3498" s="5"/>
      <c r="BA3498" s="5"/>
      <c r="BB3498" s="5"/>
      <c r="BC3498" s="5"/>
      <c r="BD3498" s="5"/>
      <c r="BE3498" s="5"/>
      <c r="BF3498" s="5"/>
      <c r="BG3498" s="5"/>
      <c r="BH3498" s="5"/>
      <c r="BI3498" s="5"/>
      <c r="BJ3498" s="5"/>
      <c r="BK3498" s="5"/>
      <c r="BL3498" s="5"/>
      <c r="BM3498" s="5"/>
      <c r="BN3498" s="5"/>
      <c r="BO3498" s="5"/>
      <c r="BP3498" s="5"/>
      <c r="BQ3498" s="5"/>
      <c r="BR3498" s="5"/>
      <c r="BS3498" s="5"/>
      <c r="BT3498" s="5"/>
      <c r="BU3498" s="5"/>
      <c r="BV3498" s="5"/>
      <c r="BW3498" s="5"/>
      <c r="BX3498" s="5"/>
      <c r="BY3498" s="5"/>
      <c r="BZ3498" s="5"/>
      <c r="CA3498" s="5"/>
    </row>
    <row r="3499" spans="1:79" ht="15" customHeight="1">
      <c r="A3499" s="41" t="s">
        <v>183</v>
      </c>
      <c r="B3499" s="402" t="s">
        <v>3955</v>
      </c>
      <c r="C3499" s="113" t="s">
        <v>3956</v>
      </c>
      <c r="D3499" s="393" t="s">
        <v>684</v>
      </c>
      <c r="G3499" s="405" t="s">
        <v>3954</v>
      </c>
      <c r="H3499" s="74">
        <v>3691</v>
      </c>
      <c r="I3499" s="50" t="s">
        <v>1</v>
      </c>
      <c r="J3499" s="339" t="s">
        <v>3957</v>
      </c>
      <c r="K3499" s="51">
        <v>41781</v>
      </c>
      <c r="L3499" s="173">
        <v>41776</v>
      </c>
      <c r="M3499" s="50">
        <f t="shared" ref="M3499:M3561" si="214">K3499-L3499</f>
        <v>5</v>
      </c>
      <c r="N3499" s="50" t="s">
        <v>2</v>
      </c>
      <c r="O3499" s="74">
        <f>1.4/2</f>
        <v>0.7</v>
      </c>
      <c r="P3499" s="50">
        <v>6.58</v>
      </c>
      <c r="Q3499" s="74">
        <v>6.43</v>
      </c>
      <c r="R3499" s="50">
        <v>15</v>
      </c>
      <c r="S3499" s="74">
        <f>5/2</f>
        <v>2.5</v>
      </c>
      <c r="T3499" s="50">
        <v>0.05</v>
      </c>
      <c r="U3499" s="131">
        <v>0.74</v>
      </c>
      <c r="V3499" s="50">
        <v>0.35</v>
      </c>
      <c r="W3499" s="74">
        <f>0.005/2</f>
        <v>2.5000000000000001E-3</v>
      </c>
      <c r="X3499" s="50">
        <v>1.7999999999999999E-2</v>
      </c>
      <c r="Y3499" s="74">
        <f>0.002/2</f>
        <v>1E-3</v>
      </c>
      <c r="Z3499" s="165"/>
    </row>
    <row r="3500" spans="1:79" ht="15" customHeight="1">
      <c r="A3500" s="41" t="s">
        <v>183</v>
      </c>
      <c r="B3500" s="402" t="s">
        <v>5880</v>
      </c>
      <c r="C3500" s="113" t="s">
        <v>5881</v>
      </c>
      <c r="D3500" s="393" t="s">
        <v>836</v>
      </c>
      <c r="E3500" s="394" t="s">
        <v>467</v>
      </c>
      <c r="G3500" s="405" t="s">
        <v>5879</v>
      </c>
      <c r="H3500" s="74">
        <v>3272</v>
      </c>
      <c r="I3500" s="50" t="s">
        <v>2</v>
      </c>
      <c r="J3500" s="339" t="s">
        <v>366</v>
      </c>
      <c r="K3500" s="51">
        <v>41487</v>
      </c>
      <c r="L3500" s="173">
        <v>41481</v>
      </c>
      <c r="M3500" s="50">
        <f t="shared" si="214"/>
        <v>6</v>
      </c>
      <c r="N3500" s="50" t="s">
        <v>2</v>
      </c>
      <c r="O3500" s="74">
        <f>1.6/2</f>
        <v>0.8</v>
      </c>
      <c r="P3500" s="50">
        <v>6.3</v>
      </c>
      <c r="Q3500" s="74">
        <v>6.7</v>
      </c>
      <c r="R3500" s="50">
        <f>20/2</f>
        <v>10</v>
      </c>
      <c r="S3500" s="74">
        <v>3</v>
      </c>
      <c r="T3500" s="50">
        <v>1.2E-2</v>
      </c>
      <c r="U3500" s="131">
        <v>1.3</v>
      </c>
      <c r="V3500" s="50">
        <f>0.46/2</f>
        <v>0.23</v>
      </c>
      <c r="W3500" s="74">
        <f>0.005/2</f>
        <v>2.5000000000000001E-3</v>
      </c>
      <c r="X3500" s="50">
        <v>0.01</v>
      </c>
      <c r="Y3500" s="74">
        <f>0.005/2</f>
        <v>2.5000000000000001E-3</v>
      </c>
      <c r="Z3500" s="165">
        <v>1</v>
      </c>
      <c r="AA3500" s="271">
        <v>1</v>
      </c>
      <c r="AB3500" s="114">
        <v>18</v>
      </c>
      <c r="AC3500" s="50">
        <v>25</v>
      </c>
      <c r="AD3500" s="271">
        <v>0.95</v>
      </c>
    </row>
    <row r="3501" spans="1:79" ht="15" customHeight="1">
      <c r="A3501" s="41" t="s">
        <v>183</v>
      </c>
      <c r="B3501" s="402" t="s">
        <v>5880</v>
      </c>
      <c r="C3501" s="113" t="s">
        <v>5881</v>
      </c>
      <c r="D3501" s="393" t="s">
        <v>836</v>
      </c>
      <c r="E3501" s="394" t="s">
        <v>467</v>
      </c>
      <c r="G3501" s="405" t="s">
        <v>5879</v>
      </c>
      <c r="H3501" s="74">
        <v>3272</v>
      </c>
      <c r="I3501" s="50" t="s">
        <v>2</v>
      </c>
      <c r="J3501" s="339" t="s">
        <v>366</v>
      </c>
      <c r="K3501" s="51">
        <v>41781</v>
      </c>
      <c r="L3501" s="173">
        <v>41776</v>
      </c>
      <c r="M3501" s="50">
        <f t="shared" si="214"/>
        <v>5</v>
      </c>
      <c r="N3501" s="50" t="s">
        <v>2</v>
      </c>
      <c r="O3501" s="74">
        <f>2.1/2</f>
        <v>1.05</v>
      </c>
      <c r="P3501" s="50">
        <v>5.3</v>
      </c>
      <c r="Q3501" s="74">
        <v>6.9</v>
      </c>
      <c r="R3501" s="50">
        <v>76</v>
      </c>
      <c r="S3501" s="74">
        <v>24</v>
      </c>
      <c r="T3501" s="50">
        <v>0.14099999999999999</v>
      </c>
      <c r="U3501" s="131">
        <v>2.7</v>
      </c>
      <c r="V3501" s="50">
        <v>0.9</v>
      </c>
      <c r="W3501" s="74">
        <v>6.0000000000000001E-3</v>
      </c>
      <c r="X3501" s="50">
        <v>1.7000000000000001E-2</v>
      </c>
      <c r="Y3501" s="74">
        <f>0.005/2</f>
        <v>2.5000000000000001E-3</v>
      </c>
      <c r="Z3501" s="165">
        <v>1</v>
      </c>
      <c r="AA3501" s="271">
        <v>1</v>
      </c>
      <c r="AB3501" s="114">
        <v>18</v>
      </c>
      <c r="AC3501" s="50">
        <v>42</v>
      </c>
      <c r="AD3501" s="271">
        <v>1</v>
      </c>
    </row>
    <row r="3502" spans="1:79" ht="15" customHeight="1">
      <c r="A3502" s="41" t="s">
        <v>183</v>
      </c>
      <c r="B3502" s="402" t="s">
        <v>4348</v>
      </c>
      <c r="C3502" s="113" t="s">
        <v>4349</v>
      </c>
      <c r="D3502" s="393" t="s">
        <v>379</v>
      </c>
      <c r="E3502" s="394" t="s">
        <v>214</v>
      </c>
      <c r="F3502" s="402">
        <v>4315</v>
      </c>
      <c r="G3502" s="405" t="s">
        <v>4350</v>
      </c>
      <c r="H3502" s="74">
        <v>2653</v>
      </c>
      <c r="I3502" s="50" t="s">
        <v>1</v>
      </c>
      <c r="J3502" s="339" t="s">
        <v>4351</v>
      </c>
      <c r="K3502" s="51">
        <v>41759</v>
      </c>
      <c r="L3502" s="173">
        <v>41755</v>
      </c>
      <c r="M3502" s="50">
        <f t="shared" si="214"/>
        <v>4</v>
      </c>
      <c r="N3502" s="50" t="s">
        <v>2</v>
      </c>
      <c r="R3502" s="50">
        <f>10/2</f>
        <v>5</v>
      </c>
      <c r="Z3502" s="165"/>
    </row>
    <row r="3503" spans="1:79" ht="15" customHeight="1">
      <c r="A3503" s="41" t="s">
        <v>183</v>
      </c>
      <c r="B3503" s="402" t="s">
        <v>908</v>
      </c>
      <c r="C3503" s="113" t="s">
        <v>3694</v>
      </c>
      <c r="D3503" s="393" t="s">
        <v>910</v>
      </c>
      <c r="E3503" s="394" t="s">
        <v>1546</v>
      </c>
      <c r="F3503" s="401"/>
      <c r="G3503" s="405" t="s">
        <v>911</v>
      </c>
      <c r="H3503" s="113">
        <v>5171</v>
      </c>
      <c r="I3503" s="49"/>
      <c r="J3503" s="48" t="s">
        <v>3251</v>
      </c>
      <c r="K3503" s="51">
        <v>41745</v>
      </c>
      <c r="L3503" s="173">
        <v>41738</v>
      </c>
      <c r="M3503" s="50">
        <f t="shared" si="214"/>
        <v>7</v>
      </c>
      <c r="N3503" s="50" t="s">
        <v>2</v>
      </c>
      <c r="X3503" s="50">
        <v>5.2999999999999999E-2</v>
      </c>
      <c r="Z3503" s="165"/>
    </row>
    <row r="3504" spans="1:79" ht="15" customHeight="1">
      <c r="A3504" s="41" t="s">
        <v>183</v>
      </c>
      <c r="B3504" s="402" t="s">
        <v>1834</v>
      </c>
      <c r="C3504" s="113" t="s">
        <v>1834</v>
      </c>
      <c r="D3504" s="393" t="s">
        <v>379</v>
      </c>
      <c r="E3504" s="394" t="s">
        <v>214</v>
      </c>
      <c r="F3504" s="402" t="s">
        <v>6024</v>
      </c>
      <c r="G3504" s="405" t="s">
        <v>1802</v>
      </c>
      <c r="H3504" s="74">
        <v>3441</v>
      </c>
      <c r="I3504" s="50" t="s">
        <v>2</v>
      </c>
      <c r="J3504" s="260" t="s">
        <v>641</v>
      </c>
      <c r="K3504" s="51">
        <v>41710</v>
      </c>
      <c r="L3504" s="173">
        <v>41691</v>
      </c>
      <c r="M3504" s="50">
        <f t="shared" si="214"/>
        <v>19</v>
      </c>
      <c r="N3504" s="50" t="s">
        <v>2</v>
      </c>
      <c r="O3504" s="74">
        <f>1.8/2</f>
        <v>0.9</v>
      </c>
      <c r="P3504" s="50">
        <v>5.7</v>
      </c>
      <c r="Q3504" s="74">
        <v>6.8</v>
      </c>
      <c r="R3504" s="50">
        <f>20/2</f>
        <v>10</v>
      </c>
      <c r="S3504" s="74">
        <v>2.6</v>
      </c>
      <c r="T3504" s="50">
        <v>1.4999999999999999E-2</v>
      </c>
      <c r="U3504" s="131">
        <f>1.6/2</f>
        <v>0.8</v>
      </c>
      <c r="V3504" s="50">
        <v>0.76</v>
      </c>
      <c r="W3504" s="74">
        <v>1.0999999999999999E-2</v>
      </c>
      <c r="X3504" s="50">
        <v>8.7999999999999995E-2</v>
      </c>
      <c r="Y3504" s="74">
        <v>5.0000000000000001E-3</v>
      </c>
      <c r="Z3504" s="165">
        <v>1</v>
      </c>
      <c r="AA3504" s="271">
        <v>1</v>
      </c>
      <c r="AB3504" s="114">
        <v>26</v>
      </c>
      <c r="AC3504" s="50">
        <v>109</v>
      </c>
      <c r="AD3504" s="271">
        <v>1</v>
      </c>
    </row>
    <row r="3505" spans="1:30" ht="15" customHeight="1">
      <c r="A3505" s="41" t="s">
        <v>183</v>
      </c>
      <c r="B3505" s="402" t="s">
        <v>5712</v>
      </c>
      <c r="C3505" s="113" t="s">
        <v>5712</v>
      </c>
      <c r="D3505" s="393" t="s">
        <v>379</v>
      </c>
      <c r="E3505" s="394" t="s">
        <v>1301</v>
      </c>
      <c r="G3505" s="405" t="s">
        <v>1302</v>
      </c>
      <c r="H3505" s="74">
        <v>4953</v>
      </c>
      <c r="I3505" s="50" t="s">
        <v>2</v>
      </c>
      <c r="J3505" s="339" t="s">
        <v>5713</v>
      </c>
      <c r="K3505" s="51">
        <v>41402</v>
      </c>
      <c r="L3505" s="173">
        <v>41384</v>
      </c>
      <c r="M3505" s="50">
        <f t="shared" si="214"/>
        <v>18</v>
      </c>
      <c r="N3505" s="50" t="s">
        <v>2</v>
      </c>
      <c r="O3505" s="74">
        <v>9.3000000000000007</v>
      </c>
      <c r="Q3505" s="74">
        <v>6.54</v>
      </c>
      <c r="R3505" s="50">
        <v>267</v>
      </c>
      <c r="S3505" s="74">
        <v>350</v>
      </c>
      <c r="T3505" s="50">
        <v>1.02</v>
      </c>
      <c r="U3505" s="131">
        <v>4.8600000000000003</v>
      </c>
      <c r="V3505" s="50">
        <v>0.25</v>
      </c>
      <c r="W3505" s="74">
        <v>0.371</v>
      </c>
      <c r="X3505" s="50">
        <v>1.99</v>
      </c>
      <c r="Y3505" s="74">
        <v>0.16600000000000001</v>
      </c>
      <c r="Z3505" s="165">
        <v>0.70099999999999996</v>
      </c>
      <c r="AA3505" s="271">
        <v>0.246</v>
      </c>
      <c r="AB3505" s="114">
        <v>16</v>
      </c>
      <c r="AC3505" s="50">
        <v>62</v>
      </c>
      <c r="AD3505" s="271">
        <v>0</v>
      </c>
    </row>
    <row r="3506" spans="1:30" ht="15" customHeight="1">
      <c r="A3506" s="41" t="s">
        <v>183</v>
      </c>
      <c r="B3506" s="402" t="s">
        <v>1299</v>
      </c>
      <c r="C3506" s="113" t="s">
        <v>1300</v>
      </c>
      <c r="D3506" s="393" t="s">
        <v>379</v>
      </c>
      <c r="E3506" s="394" t="s">
        <v>1301</v>
      </c>
      <c r="G3506" s="405" t="s">
        <v>1302</v>
      </c>
      <c r="H3506" s="74">
        <v>4953</v>
      </c>
      <c r="I3506" s="50" t="s">
        <v>2</v>
      </c>
      <c r="J3506" s="339"/>
      <c r="K3506" s="51">
        <v>40996</v>
      </c>
      <c r="L3506" s="173">
        <v>40977</v>
      </c>
      <c r="M3506" s="50">
        <f t="shared" si="214"/>
        <v>19</v>
      </c>
      <c r="N3506" s="50" t="s">
        <v>2</v>
      </c>
      <c r="O3506" s="74">
        <v>3.73</v>
      </c>
      <c r="Q3506" s="74">
        <v>6.54</v>
      </c>
      <c r="R3506" s="50">
        <v>132</v>
      </c>
      <c r="S3506" s="74">
        <v>340</v>
      </c>
      <c r="T3506" s="50">
        <v>1.64</v>
      </c>
      <c r="U3506" s="131">
        <v>2.21</v>
      </c>
      <c r="V3506" s="50">
        <v>0.89500000000000002</v>
      </c>
      <c r="W3506" s="74">
        <v>0.40600000000000003</v>
      </c>
      <c r="X3506" s="50">
        <v>0.80500000000000005</v>
      </c>
      <c r="Y3506" s="74">
        <v>0.314</v>
      </c>
      <c r="Z3506" s="165">
        <v>1</v>
      </c>
      <c r="AA3506" s="271">
        <v>1</v>
      </c>
      <c r="AB3506" s="114">
        <v>56</v>
      </c>
      <c r="AC3506" s="50">
        <v>220</v>
      </c>
      <c r="AD3506" s="271">
        <v>1</v>
      </c>
    </row>
    <row r="3507" spans="1:30" ht="15" customHeight="1">
      <c r="A3507" s="41" t="s">
        <v>183</v>
      </c>
      <c r="B3507" s="402" t="s">
        <v>5712</v>
      </c>
      <c r="C3507" s="113" t="s">
        <v>5712</v>
      </c>
      <c r="D3507" s="393" t="s">
        <v>379</v>
      </c>
      <c r="E3507" s="394" t="s">
        <v>1301</v>
      </c>
      <c r="G3507" s="405" t="s">
        <v>1302</v>
      </c>
      <c r="H3507" s="74">
        <v>4953</v>
      </c>
      <c r="I3507" s="50" t="s">
        <v>2</v>
      </c>
      <c r="J3507" s="339" t="s">
        <v>5713</v>
      </c>
      <c r="K3507" s="51">
        <v>41710</v>
      </c>
      <c r="L3507" s="173">
        <v>41691</v>
      </c>
      <c r="M3507" s="50">
        <f t="shared" si="214"/>
        <v>19</v>
      </c>
      <c r="N3507" s="50" t="s">
        <v>2</v>
      </c>
      <c r="O3507" s="74">
        <v>24</v>
      </c>
      <c r="Q3507" s="74">
        <v>7.88</v>
      </c>
      <c r="R3507" s="50">
        <v>86</v>
      </c>
      <c r="S3507" s="74">
        <v>370</v>
      </c>
      <c r="T3507" s="50">
        <v>1</v>
      </c>
      <c r="U3507" s="131">
        <v>3.87</v>
      </c>
      <c r="V3507" s="50">
        <v>4.2</v>
      </c>
      <c r="W3507" s="74">
        <v>0.46400000000000002</v>
      </c>
      <c r="X3507" s="50">
        <v>1.62</v>
      </c>
      <c r="Y3507" s="74">
        <v>7.98</v>
      </c>
      <c r="Z3507" s="165"/>
    </row>
    <row r="3508" spans="1:30" ht="15" customHeight="1">
      <c r="A3508" s="41" t="s">
        <v>183</v>
      </c>
      <c r="B3508" s="402" t="s">
        <v>6033</v>
      </c>
      <c r="D3508" s="393" t="s">
        <v>2379</v>
      </c>
      <c r="G3508" s="405" t="s">
        <v>6032</v>
      </c>
      <c r="H3508" s="74">
        <v>3564</v>
      </c>
      <c r="J3508" s="339" t="s">
        <v>6034</v>
      </c>
      <c r="K3508" s="51">
        <v>41051</v>
      </c>
      <c r="L3508" s="173">
        <v>41044</v>
      </c>
      <c r="M3508" s="50">
        <f t="shared" si="214"/>
        <v>7</v>
      </c>
      <c r="N3508" s="50" t="s">
        <v>2</v>
      </c>
      <c r="O3508" s="74">
        <v>1.9</v>
      </c>
      <c r="P3508" s="50">
        <v>6.36</v>
      </c>
      <c r="Q3508" s="74">
        <v>6.31</v>
      </c>
      <c r="R3508" s="50">
        <v>48.4</v>
      </c>
      <c r="S3508" s="74">
        <v>68</v>
      </c>
      <c r="T3508" s="50">
        <v>0.63</v>
      </c>
      <c r="U3508" s="131">
        <v>1.41</v>
      </c>
      <c r="V3508" s="50">
        <f>0.2/2</f>
        <v>0.1</v>
      </c>
      <c r="W3508" s="74">
        <f>0.01/2</f>
        <v>5.0000000000000001E-3</v>
      </c>
      <c r="X3508" s="50">
        <v>0.09</v>
      </c>
      <c r="Y3508" s="74">
        <f>0.02/2</f>
        <v>0.01</v>
      </c>
      <c r="Z3508" s="165">
        <v>1</v>
      </c>
      <c r="AA3508" s="271">
        <v>1</v>
      </c>
      <c r="AC3508" s="50">
        <v>20</v>
      </c>
      <c r="AD3508" s="271">
        <v>1</v>
      </c>
    </row>
    <row r="3509" spans="1:30" ht="15" customHeight="1">
      <c r="A3509" s="41" t="s">
        <v>183</v>
      </c>
      <c r="B3509" s="402" t="s">
        <v>6033</v>
      </c>
      <c r="D3509" s="393" t="s">
        <v>2379</v>
      </c>
      <c r="G3509" s="405" t="s">
        <v>6032</v>
      </c>
      <c r="H3509" s="74">
        <v>3564</v>
      </c>
      <c r="J3509" s="339" t="s">
        <v>6034</v>
      </c>
      <c r="K3509" s="51">
        <v>41527</v>
      </c>
      <c r="L3509" s="173">
        <v>41518</v>
      </c>
      <c r="M3509" s="50">
        <f t="shared" si="214"/>
        <v>9</v>
      </c>
      <c r="N3509" s="50" t="s">
        <v>2</v>
      </c>
      <c r="O3509" s="74">
        <v>1.4</v>
      </c>
      <c r="P3509" s="50">
        <v>9.8699999999999992</v>
      </c>
      <c r="Q3509" s="74">
        <v>9.6300000000000008</v>
      </c>
      <c r="R3509" s="50">
        <v>17.2</v>
      </c>
      <c r="S3509" s="74">
        <v>71.5</v>
      </c>
      <c r="T3509" s="50">
        <v>0.19</v>
      </c>
      <c r="U3509" s="131">
        <v>1.27</v>
      </c>
      <c r="V3509" s="50">
        <v>0.44</v>
      </c>
      <c r="W3509" s="74">
        <v>0.04</v>
      </c>
      <c r="X3509" s="50">
        <v>0.05</v>
      </c>
      <c r="Y3509" s="74">
        <f>0.02/2</f>
        <v>0.01</v>
      </c>
      <c r="Z3509" s="165"/>
    </row>
    <row r="3510" spans="1:30" ht="15" customHeight="1">
      <c r="A3510" s="41" t="s">
        <v>183</v>
      </c>
      <c r="B3510" s="402" t="s">
        <v>6033</v>
      </c>
      <c r="D3510" s="393" t="s">
        <v>2379</v>
      </c>
      <c r="G3510" s="405" t="s">
        <v>6032</v>
      </c>
      <c r="H3510" s="74">
        <v>3564</v>
      </c>
      <c r="J3510" s="339" t="s">
        <v>6035</v>
      </c>
      <c r="K3510" s="51">
        <v>41530</v>
      </c>
      <c r="L3510" s="173">
        <v>41518</v>
      </c>
      <c r="M3510" s="50">
        <f t="shared" si="214"/>
        <v>12</v>
      </c>
      <c r="N3510" s="50" t="s">
        <v>2</v>
      </c>
      <c r="O3510" s="74">
        <v>2.2000000000000002</v>
      </c>
      <c r="P3510" s="50">
        <v>6.3</v>
      </c>
      <c r="Q3510" s="74">
        <v>9.8000000000000007</v>
      </c>
      <c r="R3510" s="50">
        <v>13.58</v>
      </c>
      <c r="S3510" s="74">
        <v>142.5</v>
      </c>
      <c r="T3510" s="50">
        <v>0.16</v>
      </c>
      <c r="U3510" s="131">
        <v>1.05</v>
      </c>
      <c r="V3510" s="50">
        <v>0.44</v>
      </c>
      <c r="W3510" s="74">
        <v>0.03</v>
      </c>
      <c r="X3510" s="50">
        <v>0.03</v>
      </c>
      <c r="Y3510" s="74">
        <f>0.02/2</f>
        <v>0.01</v>
      </c>
      <c r="Z3510" s="165">
        <v>1</v>
      </c>
      <c r="AA3510" s="271">
        <v>1</v>
      </c>
      <c r="AC3510" s="50">
        <v>134.9</v>
      </c>
      <c r="AD3510" s="271">
        <v>1</v>
      </c>
    </row>
    <row r="3511" spans="1:30" ht="15" customHeight="1">
      <c r="A3511" s="41" t="s">
        <v>183</v>
      </c>
      <c r="B3511" s="402" t="s">
        <v>6036</v>
      </c>
      <c r="D3511" s="393" t="s">
        <v>209</v>
      </c>
      <c r="E3511" s="394" t="s">
        <v>2055</v>
      </c>
      <c r="G3511" s="405" t="s">
        <v>2056</v>
      </c>
      <c r="H3511" s="74">
        <v>2024</v>
      </c>
      <c r="I3511" s="50" t="s">
        <v>2</v>
      </c>
      <c r="J3511" s="339" t="s">
        <v>1392</v>
      </c>
      <c r="K3511" s="51">
        <v>41403</v>
      </c>
      <c r="L3511" s="173">
        <v>41385</v>
      </c>
      <c r="M3511" s="50">
        <f t="shared" si="214"/>
        <v>18</v>
      </c>
      <c r="N3511" s="50" t="s">
        <v>2</v>
      </c>
      <c r="O3511" s="74">
        <v>2.2999999999999998</v>
      </c>
      <c r="P3511" s="50">
        <v>5.4</v>
      </c>
      <c r="Q3511" s="74">
        <v>6.7</v>
      </c>
      <c r="R3511" s="50">
        <v>85</v>
      </c>
      <c r="S3511" s="74">
        <v>191</v>
      </c>
      <c r="T3511" s="50">
        <f>0.24/2</f>
        <v>0.12</v>
      </c>
      <c r="U3511" s="131">
        <v>1.35</v>
      </c>
      <c r="V3511" s="50">
        <v>0.15</v>
      </c>
      <c r="W3511" s="74">
        <v>3.2000000000000001E-2</v>
      </c>
      <c r="X3511" s="50">
        <v>0.28299999999999997</v>
      </c>
      <c r="Y3511" s="74">
        <f>0.03/2</f>
        <v>1.4999999999999999E-2</v>
      </c>
      <c r="Z3511" s="165">
        <v>1</v>
      </c>
      <c r="AA3511" s="271">
        <v>0.91700000000000004</v>
      </c>
      <c r="AB3511" s="114">
        <v>23</v>
      </c>
      <c r="AC3511" s="50">
        <v>138</v>
      </c>
      <c r="AD3511" s="271">
        <v>0.4</v>
      </c>
    </row>
    <row r="3512" spans="1:30" ht="15" customHeight="1">
      <c r="A3512" s="41" t="s">
        <v>4668</v>
      </c>
      <c r="B3512" s="402" t="s">
        <v>5610</v>
      </c>
      <c r="C3512" s="113" t="s">
        <v>6037</v>
      </c>
      <c r="D3512" s="393" t="s">
        <v>350</v>
      </c>
      <c r="E3512" s="394" t="s">
        <v>6038</v>
      </c>
      <c r="G3512" s="405" t="s">
        <v>5612</v>
      </c>
      <c r="H3512" s="74">
        <v>3441</v>
      </c>
      <c r="I3512" s="50" t="s">
        <v>2</v>
      </c>
      <c r="J3512" s="339" t="s">
        <v>6039</v>
      </c>
      <c r="K3512" s="51">
        <v>41345</v>
      </c>
      <c r="L3512" s="173">
        <v>41341</v>
      </c>
      <c r="M3512" s="50">
        <f t="shared" si="214"/>
        <v>4</v>
      </c>
      <c r="N3512" s="50" t="s">
        <v>2</v>
      </c>
      <c r="O3512" s="74">
        <f>1.9/2</f>
        <v>0.95</v>
      </c>
      <c r="P3512" s="50">
        <v>6.5</v>
      </c>
      <c r="Q3512" s="74">
        <v>7.5</v>
      </c>
      <c r="R3512" s="50">
        <f>20/2</f>
        <v>10</v>
      </c>
      <c r="S3512" s="74">
        <v>43.2</v>
      </c>
      <c r="T3512" s="50">
        <v>0.129</v>
      </c>
      <c r="U3512" s="131">
        <v>1.6</v>
      </c>
      <c r="V3512" s="50">
        <f>0.46/2</f>
        <v>0.23</v>
      </c>
      <c r="W3512" s="74">
        <v>1.4E-2</v>
      </c>
      <c r="X3512" s="50">
        <v>3.2000000000000001E-2</v>
      </c>
      <c r="Y3512" s="74">
        <f>0.005/2</f>
        <v>2.5000000000000001E-3</v>
      </c>
      <c r="Z3512" s="165"/>
    </row>
    <row r="3513" spans="1:30" ht="15" customHeight="1">
      <c r="A3513" s="41" t="s">
        <v>4668</v>
      </c>
      <c r="B3513" s="402" t="s">
        <v>1985</v>
      </c>
      <c r="C3513" s="113" t="s">
        <v>6040</v>
      </c>
      <c r="D3513" s="393" t="s">
        <v>205</v>
      </c>
      <c r="E3513" s="394" t="s">
        <v>364</v>
      </c>
      <c r="F3513" s="402">
        <v>4300</v>
      </c>
      <c r="G3513" s="405" t="s">
        <v>6041</v>
      </c>
      <c r="H3513" s="74">
        <v>4911</v>
      </c>
      <c r="I3513" s="50" t="s">
        <v>2</v>
      </c>
      <c r="J3513" s="339" t="s">
        <v>6042</v>
      </c>
      <c r="K3513" s="51">
        <v>41352</v>
      </c>
      <c r="L3513" s="173">
        <v>41345</v>
      </c>
      <c r="M3513" s="50">
        <f t="shared" si="214"/>
        <v>7</v>
      </c>
      <c r="N3513" s="50" t="s">
        <v>2</v>
      </c>
      <c r="O3513" s="74">
        <f>1.8/2</f>
        <v>0.9</v>
      </c>
      <c r="P3513" s="50">
        <v>5.5</v>
      </c>
      <c r="Q3513" s="74">
        <v>7.6</v>
      </c>
      <c r="R3513" s="50">
        <f>20/2</f>
        <v>10</v>
      </c>
      <c r="S3513" s="74">
        <v>11.2</v>
      </c>
      <c r="T3513" s="50">
        <v>3.5000000000000003E-2</v>
      </c>
      <c r="U3513" s="131">
        <v>1.6</v>
      </c>
      <c r="V3513" s="50">
        <f>0.46/2</f>
        <v>0.23</v>
      </c>
      <c r="W3513" s="74">
        <v>7.0000000000000001E-3</v>
      </c>
      <c r="X3513" s="50">
        <v>1.2E-2</v>
      </c>
      <c r="Y3513" s="74">
        <f>0.005/2</f>
        <v>2.5000000000000001E-3</v>
      </c>
      <c r="Z3513" s="165"/>
    </row>
    <row r="3514" spans="1:30" ht="15" customHeight="1">
      <c r="A3514" s="41" t="s">
        <v>4668</v>
      </c>
      <c r="B3514" s="402" t="s">
        <v>1985</v>
      </c>
      <c r="C3514" s="113" t="s">
        <v>6040</v>
      </c>
      <c r="D3514" s="393" t="s">
        <v>205</v>
      </c>
      <c r="E3514" s="394" t="s">
        <v>364</v>
      </c>
      <c r="F3514" s="402">
        <v>4300</v>
      </c>
      <c r="G3514" s="405" t="s">
        <v>6041</v>
      </c>
      <c r="H3514" s="74">
        <v>4911</v>
      </c>
      <c r="I3514" s="50" t="s">
        <v>2</v>
      </c>
      <c r="J3514" s="339" t="s">
        <v>6043</v>
      </c>
      <c r="K3514" s="51">
        <v>41352</v>
      </c>
      <c r="L3514" s="173">
        <v>41346</v>
      </c>
      <c r="M3514" s="50">
        <f t="shared" si="214"/>
        <v>6</v>
      </c>
      <c r="N3514" s="50" t="s">
        <v>2</v>
      </c>
      <c r="O3514" s="74">
        <f>2/2</f>
        <v>1</v>
      </c>
      <c r="P3514" s="50">
        <v>5.5</v>
      </c>
      <c r="Q3514" s="74">
        <v>7.3</v>
      </c>
      <c r="R3514" s="50">
        <v>1600</v>
      </c>
      <c r="S3514" s="74">
        <v>130</v>
      </c>
      <c r="T3514" s="50">
        <v>2.2999999999999998</v>
      </c>
      <c r="U3514" s="131">
        <v>12</v>
      </c>
      <c r="V3514" s="50">
        <v>0.56999999999999995</v>
      </c>
      <c r="W3514" s="74">
        <v>0.32400000000000001</v>
      </c>
      <c r="X3514" s="50">
        <v>1.01</v>
      </c>
      <c r="Y3514" s="74">
        <v>0.47299999999999998</v>
      </c>
      <c r="Z3514" s="165"/>
    </row>
    <row r="3515" spans="1:30" ht="15" customHeight="1">
      <c r="A3515" s="41" t="s">
        <v>4668</v>
      </c>
      <c r="B3515" s="402" t="s">
        <v>125</v>
      </c>
      <c r="C3515" s="113" t="s">
        <v>126</v>
      </c>
      <c r="D3515" s="393" t="s">
        <v>127</v>
      </c>
      <c r="E3515" s="394" t="s">
        <v>128</v>
      </c>
      <c r="G3515" s="405" t="s">
        <v>129</v>
      </c>
      <c r="H3515" s="74">
        <v>2841</v>
      </c>
      <c r="I3515" s="50" t="s">
        <v>2</v>
      </c>
      <c r="J3515" s="339" t="s">
        <v>130</v>
      </c>
      <c r="K3515" s="51">
        <v>41352</v>
      </c>
      <c r="L3515" s="173">
        <v>41345</v>
      </c>
      <c r="M3515" s="50">
        <f t="shared" si="214"/>
        <v>7</v>
      </c>
      <c r="N3515" s="50" t="s">
        <v>1</v>
      </c>
      <c r="O3515" s="74">
        <f>1/2</f>
        <v>0.5</v>
      </c>
      <c r="P3515" s="50">
        <v>4.4000000000000004</v>
      </c>
      <c r="Q3515" s="74">
        <v>6.4</v>
      </c>
      <c r="R3515" s="50">
        <v>35.299999999999997</v>
      </c>
      <c r="S3515" s="74">
        <v>67</v>
      </c>
      <c r="T3515" s="50">
        <v>0.16</v>
      </c>
      <c r="U3515" s="131">
        <v>1.24</v>
      </c>
      <c r="V3515" s="50">
        <v>1.2</v>
      </c>
      <c r="W3515" s="74">
        <v>8.0000000000000002E-3</v>
      </c>
      <c r="X3515" s="50">
        <v>0.16600000000000001</v>
      </c>
      <c r="Y3515" s="74">
        <v>7.0000000000000001E-3</v>
      </c>
      <c r="Z3515" s="165">
        <v>1</v>
      </c>
      <c r="AA3515" s="271">
        <v>1</v>
      </c>
      <c r="AB3515" s="114">
        <v>58.7</v>
      </c>
      <c r="AC3515" s="50">
        <v>346</v>
      </c>
      <c r="AD3515" s="271">
        <v>1</v>
      </c>
    </row>
    <row r="3516" spans="1:30" ht="15" customHeight="1">
      <c r="A3516" s="41" t="s">
        <v>4668</v>
      </c>
      <c r="B3516" s="402" t="s">
        <v>1058</v>
      </c>
      <c r="C3516" s="113" t="s">
        <v>1058</v>
      </c>
      <c r="D3516" s="393" t="s">
        <v>1135</v>
      </c>
      <c r="E3516" s="394" t="s">
        <v>4893</v>
      </c>
      <c r="F3516" s="402" t="s">
        <v>6044</v>
      </c>
      <c r="G3516" s="405" t="s">
        <v>6045</v>
      </c>
      <c r="H3516" s="74">
        <v>3357</v>
      </c>
      <c r="I3516" s="50" t="s">
        <v>2</v>
      </c>
      <c r="J3516" s="339" t="s">
        <v>700</v>
      </c>
      <c r="K3516" s="51">
        <v>41345</v>
      </c>
      <c r="L3516" s="173">
        <v>41341</v>
      </c>
      <c r="M3516" s="50">
        <f t="shared" si="214"/>
        <v>4</v>
      </c>
      <c r="N3516" s="50" t="s">
        <v>2</v>
      </c>
      <c r="O3516" s="74">
        <f>1.8/2</f>
        <v>0.9</v>
      </c>
      <c r="P3516" s="50">
        <v>7.56</v>
      </c>
      <c r="Q3516" s="74">
        <v>7.45</v>
      </c>
      <c r="R3516" s="50">
        <f>20/2</f>
        <v>10</v>
      </c>
      <c r="S3516" s="74">
        <v>12.6</v>
      </c>
      <c r="T3516" s="50">
        <v>2.3E-2</v>
      </c>
      <c r="U3516" s="131">
        <v>1.8</v>
      </c>
      <c r="V3516" s="50">
        <f>0.46/2</f>
        <v>0.23</v>
      </c>
      <c r="W3516" s="74">
        <v>0.55600000000000005</v>
      </c>
      <c r="X3516" s="50">
        <v>0.20799999999999999</v>
      </c>
      <c r="Y3516" s="74">
        <v>0.27700000000000002</v>
      </c>
      <c r="Z3516" s="165"/>
    </row>
    <row r="3517" spans="1:30" ht="15" customHeight="1">
      <c r="A3517" s="41" t="s">
        <v>4668</v>
      </c>
      <c r="B3517" s="402" t="s">
        <v>1058</v>
      </c>
      <c r="C3517" s="113" t="s">
        <v>1058</v>
      </c>
      <c r="D3517" s="393" t="s">
        <v>1135</v>
      </c>
      <c r="E3517" s="394" t="s">
        <v>4893</v>
      </c>
      <c r="F3517" s="402" t="s">
        <v>6044</v>
      </c>
      <c r="G3517" s="405" t="s">
        <v>1060</v>
      </c>
      <c r="H3517" s="74">
        <v>3357</v>
      </c>
      <c r="I3517" s="50" t="s">
        <v>2</v>
      </c>
      <c r="J3517" s="339" t="s">
        <v>1061</v>
      </c>
      <c r="K3517" s="51">
        <v>41345</v>
      </c>
      <c r="L3517" s="173">
        <v>41341</v>
      </c>
      <c r="M3517" s="50">
        <f t="shared" si="214"/>
        <v>4</v>
      </c>
      <c r="N3517" s="50" t="s">
        <v>2</v>
      </c>
      <c r="O3517" s="74">
        <f>1.9/2</f>
        <v>0.95</v>
      </c>
      <c r="P3517" s="50">
        <v>7.56</v>
      </c>
      <c r="Q3517" s="74">
        <v>7.3</v>
      </c>
      <c r="R3517" s="50">
        <v>55</v>
      </c>
      <c r="S3517" s="74">
        <v>99</v>
      </c>
      <c r="T3517" s="50">
        <v>0.16900000000000001</v>
      </c>
      <c r="U3517" s="131">
        <v>1.9</v>
      </c>
      <c r="V3517" s="50">
        <f>0.46/2</f>
        <v>0.23</v>
      </c>
      <c r="W3517" s="74">
        <v>3.5000000000000003E-2</v>
      </c>
      <c r="X3517" s="50">
        <v>0.15</v>
      </c>
      <c r="Y3517" s="74">
        <v>2.1100000000000001E-2</v>
      </c>
      <c r="Z3517" s="165"/>
    </row>
    <row r="3518" spans="1:30" ht="15" customHeight="1">
      <c r="A3518" s="41" t="s">
        <v>4668</v>
      </c>
      <c r="B3518" s="402" t="s">
        <v>1058</v>
      </c>
      <c r="C3518" s="113" t="s">
        <v>1058</v>
      </c>
      <c r="D3518" s="393" t="s">
        <v>1135</v>
      </c>
      <c r="E3518" s="394" t="s">
        <v>4893</v>
      </c>
      <c r="F3518" s="402" t="s">
        <v>6044</v>
      </c>
      <c r="G3518" s="405" t="s">
        <v>1060</v>
      </c>
      <c r="H3518" s="74">
        <v>3357</v>
      </c>
      <c r="I3518" s="50" t="s">
        <v>2</v>
      </c>
      <c r="J3518" s="339" t="s">
        <v>1062</v>
      </c>
      <c r="K3518" s="51">
        <v>41345</v>
      </c>
      <c r="L3518" s="173">
        <v>41341</v>
      </c>
      <c r="M3518" s="50">
        <f t="shared" si="214"/>
        <v>4</v>
      </c>
      <c r="N3518" s="50" t="s">
        <v>2</v>
      </c>
      <c r="O3518" s="74">
        <f>2/2</f>
        <v>1</v>
      </c>
      <c r="P3518" s="50">
        <v>7.56</v>
      </c>
      <c r="Q3518" s="74">
        <v>7.6</v>
      </c>
      <c r="R3518" s="50">
        <f>20/2</f>
        <v>10</v>
      </c>
      <c r="S3518" s="74">
        <v>1.8</v>
      </c>
      <c r="T3518" s="50">
        <v>1.4999999999999999E-2</v>
      </c>
      <c r="U3518" s="131">
        <v>1.8</v>
      </c>
      <c r="V3518" s="50">
        <f>0.46/2</f>
        <v>0.23</v>
      </c>
      <c r="W3518" s="74">
        <v>7.5999999999999998E-2</v>
      </c>
      <c r="X3518" s="50">
        <v>6.6000000000000003E-2</v>
      </c>
      <c r="Y3518" s="74">
        <v>1.67E-2</v>
      </c>
      <c r="Z3518" s="165"/>
    </row>
    <row r="3519" spans="1:30" ht="15" customHeight="1">
      <c r="A3519" s="41" t="s">
        <v>4668</v>
      </c>
      <c r="B3519" s="402" t="s">
        <v>1058</v>
      </c>
      <c r="C3519" s="113" t="s">
        <v>1058</v>
      </c>
      <c r="D3519" s="393" t="s">
        <v>1135</v>
      </c>
      <c r="E3519" s="394" t="s">
        <v>4893</v>
      </c>
      <c r="F3519" s="402" t="s">
        <v>6044</v>
      </c>
      <c r="G3519" s="405" t="s">
        <v>1060</v>
      </c>
      <c r="H3519" s="74">
        <v>3357</v>
      </c>
      <c r="I3519" s="50" t="s">
        <v>2</v>
      </c>
      <c r="J3519" s="339" t="s">
        <v>1063</v>
      </c>
      <c r="K3519" s="51">
        <v>41345</v>
      </c>
      <c r="L3519" s="173">
        <v>41341</v>
      </c>
      <c r="M3519" s="50">
        <f t="shared" si="214"/>
        <v>4</v>
      </c>
      <c r="N3519" s="50" t="s">
        <v>2</v>
      </c>
      <c r="O3519" s="74">
        <f>1.7/2</f>
        <v>0.85</v>
      </c>
      <c r="P3519" s="50">
        <v>7.56</v>
      </c>
      <c r="Q3519" s="74">
        <v>6.72</v>
      </c>
      <c r="R3519" s="50">
        <v>21</v>
      </c>
      <c r="S3519" s="74">
        <v>56</v>
      </c>
      <c r="T3519" s="50">
        <v>0.06</v>
      </c>
      <c r="U3519" s="131">
        <v>1.5</v>
      </c>
      <c r="V3519" s="50">
        <v>3.37</v>
      </c>
      <c r="W3519" s="74">
        <v>7.8E-2</v>
      </c>
      <c r="X3519" s="50">
        <v>0.11700000000000001</v>
      </c>
      <c r="Y3519" s="74">
        <v>4.3200000000000002E-2</v>
      </c>
      <c r="Z3519" s="165"/>
    </row>
    <row r="3520" spans="1:30" ht="15" customHeight="1">
      <c r="A3520" s="41" t="s">
        <v>4668</v>
      </c>
      <c r="B3520" s="402" t="s">
        <v>1058</v>
      </c>
      <c r="C3520" s="113" t="s">
        <v>1058</v>
      </c>
      <c r="D3520" s="393" t="s">
        <v>1135</v>
      </c>
      <c r="E3520" s="394" t="s">
        <v>4893</v>
      </c>
      <c r="F3520" s="402" t="s">
        <v>6044</v>
      </c>
      <c r="G3520" s="405" t="s">
        <v>1060</v>
      </c>
      <c r="H3520" s="74">
        <v>3357</v>
      </c>
      <c r="I3520" s="50" t="s">
        <v>2</v>
      </c>
      <c r="J3520" s="339" t="s">
        <v>1064</v>
      </c>
      <c r="K3520" s="51">
        <v>41345</v>
      </c>
      <c r="L3520" s="173">
        <v>41341</v>
      </c>
      <c r="M3520" s="50">
        <f t="shared" si="214"/>
        <v>4</v>
      </c>
      <c r="N3520" s="50" t="s">
        <v>2</v>
      </c>
      <c r="O3520" s="74">
        <f>1.8/2</f>
        <v>0.9</v>
      </c>
      <c r="P3520" s="50">
        <v>7.56</v>
      </c>
      <c r="Q3520" s="74">
        <v>7.57</v>
      </c>
      <c r="R3520" s="50">
        <v>82</v>
      </c>
      <c r="S3520" s="74">
        <v>118</v>
      </c>
      <c r="T3520" s="50">
        <v>0.182</v>
      </c>
      <c r="U3520" s="131">
        <v>3.4</v>
      </c>
      <c r="V3520" s="50">
        <f>0.46/2</f>
        <v>0.23</v>
      </c>
      <c r="W3520" s="74">
        <v>4.8000000000000001E-2</v>
      </c>
      <c r="X3520" s="50">
        <v>0.57499999999999996</v>
      </c>
      <c r="Y3520" s="74">
        <v>3.2000000000000001E-2</v>
      </c>
      <c r="Z3520" s="165"/>
    </row>
    <row r="3521" spans="1:31" ht="15" customHeight="1">
      <c r="A3521" s="41" t="s">
        <v>4668</v>
      </c>
      <c r="B3521" s="402" t="s">
        <v>1058</v>
      </c>
      <c r="C3521" s="113" t="s">
        <v>1058</v>
      </c>
      <c r="D3521" s="393" t="s">
        <v>1135</v>
      </c>
      <c r="E3521" s="394" t="s">
        <v>4893</v>
      </c>
      <c r="F3521" s="402" t="s">
        <v>6044</v>
      </c>
      <c r="G3521" s="405" t="s">
        <v>1060</v>
      </c>
      <c r="H3521" s="74">
        <v>3357</v>
      </c>
      <c r="I3521" s="50" t="s">
        <v>2</v>
      </c>
      <c r="J3521" s="339" t="s">
        <v>1065</v>
      </c>
      <c r="K3521" s="51">
        <v>41345</v>
      </c>
      <c r="L3521" s="173">
        <v>41341</v>
      </c>
      <c r="M3521" s="50">
        <f t="shared" si="214"/>
        <v>4</v>
      </c>
      <c r="N3521" s="50" t="s">
        <v>2</v>
      </c>
      <c r="O3521" s="74">
        <v>5.6</v>
      </c>
      <c r="P3521" s="50">
        <v>7.56</v>
      </c>
      <c r="Q3521" s="74">
        <v>7.68</v>
      </c>
      <c r="R3521" s="50">
        <v>210</v>
      </c>
      <c r="S3521" s="74">
        <v>368</v>
      </c>
      <c r="T3521" s="50">
        <v>0.42299999999999999</v>
      </c>
      <c r="U3521" s="131">
        <v>2.7</v>
      </c>
      <c r="V3521" s="50">
        <f>0.46/2</f>
        <v>0.23</v>
      </c>
      <c r="W3521" s="74">
        <v>0.16300000000000001</v>
      </c>
      <c r="X3521" s="50">
        <v>0.41299999999999998</v>
      </c>
      <c r="Y3521" s="74">
        <v>0.13200000000000001</v>
      </c>
      <c r="Z3521" s="165"/>
    </row>
    <row r="3522" spans="1:31" ht="15" customHeight="1">
      <c r="A3522" s="41" t="s">
        <v>4668</v>
      </c>
      <c r="B3522" s="402" t="s">
        <v>5777</v>
      </c>
      <c r="C3522" s="113" t="s">
        <v>6046</v>
      </c>
      <c r="D3522" s="393" t="s">
        <v>303</v>
      </c>
      <c r="E3522" s="394" t="s">
        <v>4288</v>
      </c>
      <c r="G3522" s="405" t="s">
        <v>2032</v>
      </c>
      <c r="H3522" s="74">
        <v>3231</v>
      </c>
      <c r="I3522" s="50" t="s">
        <v>2</v>
      </c>
      <c r="J3522" s="339" t="s">
        <v>2033</v>
      </c>
      <c r="K3522" s="51">
        <v>41478</v>
      </c>
      <c r="L3522" s="173">
        <v>41470</v>
      </c>
      <c r="M3522" s="50">
        <f t="shared" si="214"/>
        <v>8</v>
      </c>
      <c r="N3522" s="50" t="s">
        <v>2</v>
      </c>
      <c r="O3522" s="74">
        <f>1.4/2</f>
        <v>0.7</v>
      </c>
      <c r="P3522" s="50">
        <v>7.46</v>
      </c>
      <c r="Q3522" s="74">
        <v>7.11</v>
      </c>
      <c r="R3522" s="50">
        <v>48</v>
      </c>
      <c r="S3522" s="74">
        <f>5/2</f>
        <v>2.5</v>
      </c>
      <c r="T3522" s="50">
        <v>0.14000000000000001</v>
      </c>
      <c r="U3522" s="131">
        <v>1.66</v>
      </c>
      <c r="V3522" s="50">
        <v>1.52</v>
      </c>
      <c r="W3522" s="74">
        <v>0.02</v>
      </c>
      <c r="X3522" s="50">
        <v>0.20399999999999999</v>
      </c>
      <c r="Y3522" s="74">
        <v>2E-3</v>
      </c>
      <c r="Z3522" s="165"/>
    </row>
    <row r="3523" spans="1:31" ht="15" customHeight="1">
      <c r="A3523" s="41" t="s">
        <v>4668</v>
      </c>
      <c r="B3523" s="402" t="s">
        <v>5777</v>
      </c>
      <c r="C3523" s="113" t="s">
        <v>6046</v>
      </c>
      <c r="D3523" s="393" t="s">
        <v>303</v>
      </c>
      <c r="E3523" s="394" t="s">
        <v>4288</v>
      </c>
      <c r="G3523" s="405" t="s">
        <v>2032</v>
      </c>
      <c r="H3523" s="74">
        <v>3231</v>
      </c>
      <c r="I3523" s="50" t="s">
        <v>2</v>
      </c>
      <c r="J3523" s="339" t="s">
        <v>2034</v>
      </c>
      <c r="K3523" s="51">
        <v>41478</v>
      </c>
      <c r="L3523" s="173">
        <v>41470</v>
      </c>
      <c r="M3523" s="50">
        <f t="shared" si="214"/>
        <v>8</v>
      </c>
      <c r="N3523" s="50" t="s">
        <v>2</v>
      </c>
      <c r="O3523" s="74">
        <f>1.4/2</f>
        <v>0.7</v>
      </c>
      <c r="P3523" s="50">
        <v>7.46</v>
      </c>
      <c r="Q3523" s="74">
        <v>7.13</v>
      </c>
      <c r="R3523" s="50">
        <v>34</v>
      </c>
      <c r="S3523" s="74">
        <f>5/2</f>
        <v>2.5</v>
      </c>
      <c r="T3523" s="50">
        <v>0.09</v>
      </c>
      <c r="U3523" s="131">
        <v>1.61</v>
      </c>
      <c r="V3523" s="50">
        <v>0.32</v>
      </c>
      <c r="W3523" s="74">
        <v>1.2E-2</v>
      </c>
      <c r="X3523" s="50">
        <v>0.13500000000000001</v>
      </c>
      <c r="Y3523" s="74">
        <v>3.5000000000000003E-2</v>
      </c>
      <c r="Z3523" s="165"/>
    </row>
    <row r="3524" spans="1:31" ht="15" customHeight="1">
      <c r="A3524" s="41" t="s">
        <v>4668</v>
      </c>
      <c r="B3524" s="402" t="s">
        <v>6047</v>
      </c>
      <c r="C3524" s="113" t="s">
        <v>1841</v>
      </c>
      <c r="D3524" s="393" t="s">
        <v>195</v>
      </c>
      <c r="E3524" s="394" t="s">
        <v>1831</v>
      </c>
      <c r="F3524" s="402" t="s">
        <v>1916</v>
      </c>
      <c r="G3524" s="405" t="s">
        <v>1807</v>
      </c>
      <c r="H3524" s="74">
        <v>2893</v>
      </c>
      <c r="I3524" s="50" t="s">
        <v>2</v>
      </c>
      <c r="J3524" s="339" t="s">
        <v>81</v>
      </c>
      <c r="K3524" s="51">
        <v>41345</v>
      </c>
      <c r="L3524" s="173">
        <v>41341</v>
      </c>
      <c r="M3524" s="50">
        <f t="shared" si="214"/>
        <v>4</v>
      </c>
      <c r="N3524" s="50" t="s">
        <v>2</v>
      </c>
      <c r="O3524" s="74">
        <f>2/2</f>
        <v>1</v>
      </c>
      <c r="P3524" s="50">
        <v>6</v>
      </c>
      <c r="Q3524" s="74">
        <v>6.7</v>
      </c>
      <c r="R3524" s="50">
        <f>10/2</f>
        <v>5</v>
      </c>
      <c r="S3524" s="74">
        <v>8</v>
      </c>
      <c r="T3524" s="50">
        <f>0.05/2</f>
        <v>2.5000000000000001E-2</v>
      </c>
      <c r="U3524" s="131">
        <v>0.41</v>
      </c>
      <c r="V3524" s="50">
        <v>0.91</v>
      </c>
      <c r="W3524" s="74">
        <f>0.01/2</f>
        <v>5.0000000000000001E-3</v>
      </c>
      <c r="X3524" s="50">
        <v>0.128</v>
      </c>
      <c r="Y3524" s="74">
        <f>0.03/2</f>
        <v>1.4999999999999999E-2</v>
      </c>
      <c r="Z3524" s="165">
        <v>1</v>
      </c>
      <c r="AA3524" s="271">
        <v>1</v>
      </c>
      <c r="AB3524" s="114">
        <v>41</v>
      </c>
      <c r="AC3524" s="50">
        <v>150</v>
      </c>
      <c r="AD3524" s="271">
        <v>1</v>
      </c>
    </row>
    <row r="3525" spans="1:31" ht="15" customHeight="1">
      <c r="A3525" s="41" t="s">
        <v>4668</v>
      </c>
      <c r="B3525" s="402" t="s">
        <v>1644</v>
      </c>
      <c r="C3525" s="113" t="s">
        <v>1644</v>
      </c>
      <c r="D3525" s="393" t="s">
        <v>1217</v>
      </c>
      <c r="E3525" s="394" t="s">
        <v>2112</v>
      </c>
      <c r="G3525" s="405" t="s">
        <v>6048</v>
      </c>
      <c r="H3525" s="74">
        <v>3357</v>
      </c>
      <c r="I3525" s="50" t="s">
        <v>2</v>
      </c>
      <c r="J3525" s="339" t="s">
        <v>74</v>
      </c>
      <c r="K3525" s="51">
        <v>41324</v>
      </c>
      <c r="L3525" s="173">
        <v>41316</v>
      </c>
      <c r="M3525" s="50">
        <f t="shared" si="214"/>
        <v>8</v>
      </c>
      <c r="N3525" s="50" t="s">
        <v>1</v>
      </c>
      <c r="O3525" s="74">
        <f>1.4/2</f>
        <v>0.7</v>
      </c>
      <c r="P3525" s="50">
        <v>5.99</v>
      </c>
      <c r="Q3525" s="74">
        <v>6.28</v>
      </c>
      <c r="R3525" s="50">
        <v>12</v>
      </c>
      <c r="S3525" s="74">
        <f>5/2</f>
        <v>2.5</v>
      </c>
      <c r="T3525" s="50">
        <v>0.04</v>
      </c>
      <c r="U3525" s="131">
        <v>0.52</v>
      </c>
      <c r="V3525" s="50">
        <v>2.0499999999999998</v>
      </c>
      <c r="W3525" s="74">
        <f>0.005/2</f>
        <v>2.5000000000000001E-3</v>
      </c>
      <c r="X3525" s="50">
        <v>2.5000000000000001E-2</v>
      </c>
      <c r="Y3525" s="74">
        <f>0.002/2</f>
        <v>1E-3</v>
      </c>
      <c r="Z3525" s="165">
        <v>1</v>
      </c>
      <c r="AA3525" s="271">
        <v>1</v>
      </c>
      <c r="AB3525" s="114">
        <v>92</v>
      </c>
      <c r="AC3525" s="50">
        <v>950</v>
      </c>
      <c r="AD3525" s="271">
        <v>1</v>
      </c>
    </row>
    <row r="3526" spans="1:31" ht="15" customHeight="1">
      <c r="A3526" s="41" t="s">
        <v>4668</v>
      </c>
      <c r="B3526" s="402" t="s">
        <v>1644</v>
      </c>
      <c r="C3526" s="113" t="s">
        <v>1644</v>
      </c>
      <c r="D3526" s="393" t="s">
        <v>1217</v>
      </c>
      <c r="E3526" s="394" t="s">
        <v>2112</v>
      </c>
      <c r="G3526" s="405" t="s">
        <v>6048</v>
      </c>
      <c r="H3526" s="74">
        <v>3357</v>
      </c>
      <c r="I3526" s="50" t="s">
        <v>2</v>
      </c>
      <c r="J3526" s="339" t="s">
        <v>687</v>
      </c>
      <c r="K3526" s="51">
        <v>41352</v>
      </c>
      <c r="L3526" s="173">
        <v>41341</v>
      </c>
      <c r="M3526" s="50">
        <f t="shared" si="214"/>
        <v>11</v>
      </c>
      <c r="N3526" s="50" t="s">
        <v>1</v>
      </c>
      <c r="O3526" s="74">
        <f>1.4/2</f>
        <v>0.7</v>
      </c>
      <c r="P3526" s="50">
        <v>4.87</v>
      </c>
      <c r="Q3526" s="74">
        <v>6.44</v>
      </c>
      <c r="R3526" s="50">
        <v>63</v>
      </c>
      <c r="S3526" s="74">
        <v>110</v>
      </c>
      <c r="T3526" s="50">
        <v>0.12</v>
      </c>
      <c r="U3526" s="131">
        <v>1.06</v>
      </c>
      <c r="V3526" s="50">
        <v>1.27</v>
      </c>
      <c r="W3526" s="74">
        <v>1.4E-2</v>
      </c>
      <c r="X3526" s="50">
        <v>5.3999999999999999E-2</v>
      </c>
      <c r="Y3526" s="74">
        <v>1.4E-2</v>
      </c>
      <c r="Z3526" s="165">
        <v>1</v>
      </c>
      <c r="AA3526" s="271">
        <v>1</v>
      </c>
      <c r="AB3526" s="114">
        <v>36</v>
      </c>
      <c r="AC3526" s="50">
        <v>429</v>
      </c>
      <c r="AD3526" s="271">
        <v>1</v>
      </c>
    </row>
    <row r="3527" spans="1:31" ht="15" customHeight="1">
      <c r="A3527" s="41" t="s">
        <v>4668</v>
      </c>
      <c r="B3527" s="402" t="s">
        <v>1644</v>
      </c>
      <c r="C3527" s="113" t="s">
        <v>1644</v>
      </c>
      <c r="D3527" s="393" t="s">
        <v>1217</v>
      </c>
      <c r="E3527" s="394" t="s">
        <v>2112</v>
      </c>
      <c r="G3527" s="405" t="s">
        <v>6048</v>
      </c>
      <c r="H3527" s="74">
        <v>3357</v>
      </c>
      <c r="I3527" s="50" t="s">
        <v>2</v>
      </c>
      <c r="J3527" s="339" t="s">
        <v>1642</v>
      </c>
      <c r="K3527" s="51">
        <v>41324</v>
      </c>
      <c r="L3527" s="173">
        <v>41316</v>
      </c>
      <c r="M3527" s="50">
        <f t="shared" si="214"/>
        <v>8</v>
      </c>
      <c r="N3527" s="50" t="s">
        <v>1</v>
      </c>
      <c r="O3527" s="74">
        <f>1.4/2</f>
        <v>0.7</v>
      </c>
      <c r="P3527" s="50">
        <v>5.99</v>
      </c>
      <c r="Q3527" s="74">
        <v>4.6100000000000003</v>
      </c>
      <c r="R3527" s="50">
        <v>19</v>
      </c>
      <c r="S3527" s="74">
        <v>28</v>
      </c>
      <c r="T3527" s="50">
        <v>0.04</v>
      </c>
      <c r="U3527" s="131">
        <v>0.64</v>
      </c>
      <c r="V3527" s="50">
        <v>0.47</v>
      </c>
      <c r="W3527" s="74">
        <v>8.9999999999999993E-3</v>
      </c>
      <c r="X3527" s="50">
        <v>0.47799999999999998</v>
      </c>
      <c r="Y3527" s="74">
        <v>2E-3</v>
      </c>
      <c r="Z3527" s="165">
        <v>1</v>
      </c>
      <c r="AA3527" s="271">
        <v>0.33</v>
      </c>
      <c r="AB3527" s="114">
        <v>6</v>
      </c>
      <c r="AC3527" s="50">
        <v>47</v>
      </c>
      <c r="AD3527" s="271">
        <v>0</v>
      </c>
    </row>
    <row r="3528" spans="1:31" ht="15" customHeight="1">
      <c r="A3528" s="41" t="s">
        <v>4668</v>
      </c>
      <c r="B3528" s="402" t="s">
        <v>6049</v>
      </c>
      <c r="D3528" s="393" t="s">
        <v>2591</v>
      </c>
      <c r="E3528" s="394" t="s">
        <v>4362</v>
      </c>
      <c r="G3528" s="405" t="s">
        <v>4363</v>
      </c>
      <c r="H3528" s="74">
        <v>5171</v>
      </c>
      <c r="I3528" s="50" t="s">
        <v>2</v>
      </c>
      <c r="J3528" s="339" t="s">
        <v>6050</v>
      </c>
      <c r="K3528" s="51">
        <v>41416</v>
      </c>
      <c r="L3528" s="173"/>
      <c r="N3528" s="50" t="s">
        <v>2</v>
      </c>
      <c r="O3528" s="74">
        <f>2/2</f>
        <v>1</v>
      </c>
      <c r="P3528" s="50">
        <v>6.6</v>
      </c>
      <c r="Q3528" s="74">
        <v>7.2</v>
      </c>
      <c r="R3528" s="50">
        <v>45</v>
      </c>
      <c r="S3528" s="74">
        <v>23</v>
      </c>
      <c r="T3528" s="50">
        <v>0.11</v>
      </c>
      <c r="U3528" s="131">
        <v>1.03</v>
      </c>
      <c r="V3528" s="50">
        <v>0.15</v>
      </c>
      <c r="W3528" s="74">
        <v>0.01</v>
      </c>
      <c r="X3528" s="50">
        <f>0.03/2</f>
        <v>1.4999999999999999E-2</v>
      </c>
      <c r="Y3528" s="74">
        <f>0.03/2</f>
        <v>1.4999999999999999E-2</v>
      </c>
      <c r="Z3528" s="165">
        <v>1</v>
      </c>
      <c r="AA3528" s="271">
        <v>1</v>
      </c>
      <c r="AB3528" s="114">
        <v>32</v>
      </c>
      <c r="AC3528" s="50">
        <v>120</v>
      </c>
      <c r="AD3528" s="271">
        <v>1</v>
      </c>
    </row>
    <row r="3529" spans="1:31" ht="15" customHeight="1">
      <c r="A3529" s="41" t="s">
        <v>4668</v>
      </c>
      <c r="B3529" s="402" t="s">
        <v>6049</v>
      </c>
      <c r="D3529" s="393" t="s">
        <v>2591</v>
      </c>
      <c r="E3529" s="394" t="s">
        <v>4362</v>
      </c>
      <c r="G3529" s="405" t="s">
        <v>4363</v>
      </c>
      <c r="H3529" s="74">
        <v>5171</v>
      </c>
      <c r="I3529" s="50" t="s">
        <v>2</v>
      </c>
      <c r="J3529" s="339" t="s">
        <v>6050</v>
      </c>
      <c r="K3529" s="51">
        <v>41416</v>
      </c>
      <c r="L3529" s="173"/>
      <c r="N3529" s="50" t="s">
        <v>2</v>
      </c>
      <c r="O3529" s="74">
        <f>2/2</f>
        <v>1</v>
      </c>
      <c r="P3529" s="50">
        <v>6.6</v>
      </c>
      <c r="Q3529" s="74">
        <v>7.3</v>
      </c>
      <c r="R3529" s="50">
        <v>40</v>
      </c>
      <c r="S3529" s="74">
        <v>11</v>
      </c>
      <c r="T3529" s="50">
        <v>0.12</v>
      </c>
      <c r="U3529" s="131">
        <v>1.1200000000000001</v>
      </c>
      <c r="V3529" s="50">
        <f>0.1/2</f>
        <v>0.05</v>
      </c>
      <c r="W3529" s="74">
        <v>1.9E-2</v>
      </c>
      <c r="X3529" s="50">
        <f>0.03/2</f>
        <v>1.4999999999999999E-2</v>
      </c>
      <c r="Y3529" s="74">
        <f>0.03/2</f>
        <v>1.4999999999999999E-2</v>
      </c>
      <c r="Z3529" s="165">
        <v>1</v>
      </c>
      <c r="AA3529" s="271">
        <v>1</v>
      </c>
      <c r="AB3529" s="114">
        <v>38</v>
      </c>
      <c r="AC3529" s="50">
        <v>68</v>
      </c>
      <c r="AD3529" s="271">
        <v>1</v>
      </c>
    </row>
    <row r="3530" spans="1:31" ht="15" customHeight="1">
      <c r="A3530" s="41" t="s">
        <v>4668</v>
      </c>
      <c r="B3530" s="402" t="s">
        <v>3255</v>
      </c>
      <c r="C3530" s="113" t="s">
        <v>3255</v>
      </c>
      <c r="D3530" s="393" t="s">
        <v>1490</v>
      </c>
      <c r="E3530" s="394" t="s">
        <v>4893</v>
      </c>
      <c r="F3530" s="402" t="s">
        <v>3256</v>
      </c>
      <c r="G3530" s="405" t="s">
        <v>3257</v>
      </c>
      <c r="H3530" s="74">
        <v>3089</v>
      </c>
      <c r="I3530" s="50" t="s">
        <v>1</v>
      </c>
      <c r="J3530" s="339" t="s">
        <v>700</v>
      </c>
      <c r="K3530" s="51">
        <v>41499</v>
      </c>
      <c r="L3530" s="173">
        <v>41495</v>
      </c>
      <c r="M3530" s="50">
        <f t="shared" si="214"/>
        <v>4</v>
      </c>
      <c r="N3530" s="50" t="s">
        <v>2</v>
      </c>
      <c r="O3530" s="74">
        <f>1.6/2</f>
        <v>0.8</v>
      </c>
      <c r="P3530" s="50">
        <v>6.71</v>
      </c>
      <c r="Q3530" s="74">
        <v>5.38</v>
      </c>
      <c r="R3530" s="50">
        <v>42</v>
      </c>
      <c r="S3530" s="74">
        <v>7</v>
      </c>
      <c r="T3530" s="50">
        <v>2.9000000000000001E-2</v>
      </c>
      <c r="U3530" s="131">
        <v>3</v>
      </c>
      <c r="V3530" s="50">
        <v>2.1800000000000002</v>
      </c>
      <c r="W3530" s="74">
        <f>0.005/2</f>
        <v>2.5000000000000001E-3</v>
      </c>
      <c r="X3530" s="50">
        <v>0.53</v>
      </c>
      <c r="Y3530" s="74">
        <f>0.005/2</f>
        <v>2.5000000000000001E-3</v>
      </c>
      <c r="Z3530" s="165">
        <v>0.72</v>
      </c>
      <c r="AA3530" s="271">
        <v>0.70699999999999996</v>
      </c>
      <c r="AB3530" s="114">
        <v>10</v>
      </c>
      <c r="AC3530" s="50">
        <v>77</v>
      </c>
      <c r="AD3530" s="271">
        <v>0</v>
      </c>
      <c r="AE3530" s="50">
        <f>50/2</f>
        <v>25</v>
      </c>
    </row>
    <row r="3531" spans="1:31" ht="15" customHeight="1">
      <c r="A3531" s="41" t="s">
        <v>4668</v>
      </c>
      <c r="B3531" s="402" t="s">
        <v>6051</v>
      </c>
      <c r="D3531" s="393" t="s">
        <v>78</v>
      </c>
      <c r="E3531" s="394" t="s">
        <v>6052</v>
      </c>
      <c r="G3531" s="405" t="s">
        <v>6053</v>
      </c>
      <c r="H3531" s="74"/>
      <c r="I3531" s="50" t="s">
        <v>2</v>
      </c>
      <c r="J3531" s="339" t="s">
        <v>74</v>
      </c>
      <c r="K3531" s="51">
        <v>41493</v>
      </c>
      <c r="L3531" s="173"/>
      <c r="N3531" s="50" t="s">
        <v>2</v>
      </c>
      <c r="O3531" s="74">
        <f>2/2</f>
        <v>1</v>
      </c>
      <c r="Q3531" s="74">
        <v>6</v>
      </c>
      <c r="R3531" s="50">
        <v>12</v>
      </c>
      <c r="S3531" s="74">
        <v>57</v>
      </c>
      <c r="T3531" s="50">
        <v>0.08</v>
      </c>
      <c r="U3531" s="131">
        <v>0.61</v>
      </c>
      <c r="V3531" s="50">
        <v>0.81</v>
      </c>
      <c r="W3531" s="74">
        <v>1.4999999999999999E-2</v>
      </c>
      <c r="X3531" s="50">
        <v>0.22700000000000001</v>
      </c>
      <c r="Y3531" s="74">
        <f>0.03/2</f>
        <v>1.4999999999999999E-2</v>
      </c>
      <c r="Z3531" s="165">
        <v>1</v>
      </c>
      <c r="AA3531" s="271">
        <v>0.78400000000000003</v>
      </c>
      <c r="AB3531" s="114">
        <v>4</v>
      </c>
      <c r="AC3531" s="50">
        <v>15</v>
      </c>
      <c r="AD3531" s="271">
        <v>0.15</v>
      </c>
    </row>
    <row r="3532" spans="1:31" ht="15" customHeight="1">
      <c r="A3532" s="41" t="s">
        <v>4668</v>
      </c>
      <c r="B3532" s="402" t="s">
        <v>6051</v>
      </c>
      <c r="D3532" s="393" t="s">
        <v>78</v>
      </c>
      <c r="E3532" s="394" t="s">
        <v>6052</v>
      </c>
      <c r="G3532" s="405" t="s">
        <v>6053</v>
      </c>
      <c r="H3532" s="74"/>
      <c r="I3532" s="50" t="s">
        <v>2</v>
      </c>
      <c r="J3532" s="339" t="s">
        <v>75</v>
      </c>
      <c r="K3532" s="51">
        <v>41493</v>
      </c>
      <c r="L3532" s="173"/>
      <c r="N3532" s="50" t="s">
        <v>2</v>
      </c>
      <c r="O3532" s="74">
        <v>2.1</v>
      </c>
      <c r="Q3532" s="74">
        <v>6.8</v>
      </c>
      <c r="R3532" s="50">
        <v>26</v>
      </c>
      <c r="S3532" s="74">
        <v>16</v>
      </c>
      <c r="T3532" s="50">
        <v>0.15</v>
      </c>
      <c r="U3532" s="131">
        <v>1.1000000000000001</v>
      </c>
      <c r="V3532" s="50">
        <v>0.59</v>
      </c>
      <c r="W3532" s="74">
        <v>1.4E-2</v>
      </c>
      <c r="X3532" s="50">
        <v>4.3999999999999997E-2</v>
      </c>
      <c r="Y3532" s="74">
        <v>4.2999999999999997E-2</v>
      </c>
      <c r="Z3532" s="165">
        <v>1</v>
      </c>
      <c r="AA3532" s="271">
        <v>1</v>
      </c>
      <c r="AB3532" s="114">
        <v>4</v>
      </c>
      <c r="AC3532" s="50">
        <v>45</v>
      </c>
      <c r="AD3532" s="271">
        <v>0.75</v>
      </c>
    </row>
    <row r="3533" spans="1:31" ht="15" customHeight="1">
      <c r="A3533" s="41" t="s">
        <v>4668</v>
      </c>
      <c r="B3533" s="402" t="s">
        <v>5777</v>
      </c>
      <c r="C3533" s="113" t="s">
        <v>6046</v>
      </c>
      <c r="D3533" s="393" t="s">
        <v>303</v>
      </c>
      <c r="E3533" s="394" t="s">
        <v>4288</v>
      </c>
      <c r="G3533" s="405" t="s">
        <v>2032</v>
      </c>
      <c r="H3533" s="74">
        <v>3231</v>
      </c>
      <c r="I3533" s="50" t="s">
        <v>2</v>
      </c>
      <c r="J3533" s="339" t="s">
        <v>2034</v>
      </c>
      <c r="K3533" s="51">
        <v>41240</v>
      </c>
      <c r="L3533" s="173">
        <v>41237</v>
      </c>
      <c r="M3533" s="50">
        <f t="shared" si="214"/>
        <v>3</v>
      </c>
      <c r="N3533" s="50" t="s">
        <v>2</v>
      </c>
      <c r="O3533" s="74">
        <f>1.4/2</f>
        <v>0.7</v>
      </c>
      <c r="P3533" s="50">
        <v>6.92</v>
      </c>
      <c r="Q3533" s="74">
        <v>5.82</v>
      </c>
      <c r="R3533" s="50">
        <v>37</v>
      </c>
      <c r="S3533" s="74">
        <v>6</v>
      </c>
      <c r="T3533" s="50">
        <v>0.04</v>
      </c>
      <c r="U3533" s="131">
        <v>0.93</v>
      </c>
      <c r="V3533" s="50">
        <v>0.99</v>
      </c>
      <c r="W3533" s="74">
        <v>8.0000000000000002E-3</v>
      </c>
      <c r="X3533" s="50">
        <v>0.252</v>
      </c>
      <c r="Y3533" s="74">
        <v>1.7999999999999999E-2</v>
      </c>
      <c r="Z3533" s="165">
        <v>1</v>
      </c>
      <c r="AA3533" s="271">
        <v>0.72499999999999998</v>
      </c>
    </row>
    <row r="3534" spans="1:31" ht="15" customHeight="1">
      <c r="A3534" s="41" t="s">
        <v>4668</v>
      </c>
      <c r="B3534" s="402" t="s">
        <v>5777</v>
      </c>
      <c r="C3534" s="113" t="s">
        <v>6046</v>
      </c>
      <c r="D3534" s="393" t="s">
        <v>303</v>
      </c>
      <c r="E3534" s="394" t="s">
        <v>4288</v>
      </c>
      <c r="G3534" s="405" t="s">
        <v>2032</v>
      </c>
      <c r="H3534" s="74">
        <v>3231</v>
      </c>
      <c r="I3534" s="50" t="s">
        <v>2</v>
      </c>
      <c r="J3534" s="339" t="s">
        <v>2033</v>
      </c>
      <c r="K3534" s="51">
        <v>41240</v>
      </c>
      <c r="L3534" s="173">
        <v>41237</v>
      </c>
      <c r="M3534" s="50">
        <f t="shared" si="214"/>
        <v>3</v>
      </c>
      <c r="N3534" s="50" t="s">
        <v>2</v>
      </c>
      <c r="O3534" s="74">
        <f>1.4/2</f>
        <v>0.7</v>
      </c>
      <c r="P3534" s="50">
        <v>6.92</v>
      </c>
      <c r="Q3534" s="74">
        <v>7.7</v>
      </c>
      <c r="R3534" s="50">
        <v>18</v>
      </c>
      <c r="S3534" s="74">
        <f>5/2</f>
        <v>2.5</v>
      </c>
      <c r="T3534" s="50">
        <v>0.24</v>
      </c>
      <c r="U3534" s="131">
        <v>0.79</v>
      </c>
      <c r="V3534" s="50">
        <v>0.09</v>
      </c>
      <c r="W3534" s="74">
        <f>0.005/2</f>
        <v>2.5000000000000001E-3</v>
      </c>
      <c r="X3534" s="50">
        <v>0.104</v>
      </c>
      <c r="Y3534" s="74">
        <f>0.002/2</f>
        <v>1E-3</v>
      </c>
      <c r="Z3534" s="165">
        <v>1</v>
      </c>
      <c r="AA3534" s="271">
        <v>1</v>
      </c>
      <c r="AB3534" s="114">
        <v>46</v>
      </c>
      <c r="AC3534" s="50">
        <v>349</v>
      </c>
      <c r="AD3534" s="271">
        <v>0.95</v>
      </c>
    </row>
    <row r="3535" spans="1:31" ht="15" customHeight="1">
      <c r="A3535" s="41" t="s">
        <v>4668</v>
      </c>
      <c r="B3535" s="402" t="s">
        <v>6054</v>
      </c>
      <c r="C3535" s="113" t="s">
        <v>6054</v>
      </c>
      <c r="D3535" s="393" t="s">
        <v>1490</v>
      </c>
      <c r="G3535" s="405" t="s">
        <v>6055</v>
      </c>
      <c r="H3535" s="74">
        <v>3449</v>
      </c>
      <c r="I3535" s="50" t="s">
        <v>2</v>
      </c>
      <c r="J3535" s="339" t="s">
        <v>6056</v>
      </c>
      <c r="K3535" s="51">
        <v>41345</v>
      </c>
      <c r="L3535" s="173">
        <v>41341</v>
      </c>
      <c r="M3535" s="50">
        <f t="shared" si="214"/>
        <v>4</v>
      </c>
      <c r="N3535" s="50" t="s">
        <v>2</v>
      </c>
      <c r="O3535" s="74">
        <v>1.9</v>
      </c>
      <c r="P3535" s="50">
        <v>5</v>
      </c>
      <c r="Q3535" s="74">
        <v>6.4</v>
      </c>
      <c r="R3535" s="50">
        <v>68</v>
      </c>
      <c r="S3535" s="74">
        <v>170</v>
      </c>
      <c r="T3535" s="50">
        <v>0.34</v>
      </c>
      <c r="U3535" s="131">
        <f>0.5/2</f>
        <v>0.25</v>
      </c>
      <c r="V3535" s="50">
        <f>0.05/2</f>
        <v>2.5000000000000001E-2</v>
      </c>
      <c r="W3535" s="74">
        <v>1.4E-2</v>
      </c>
      <c r="X3535" s="50">
        <v>5.1999999999999998E-2</v>
      </c>
      <c r="Y3535" s="74">
        <v>2.5000000000000001E-2</v>
      </c>
      <c r="Z3535" s="165">
        <v>1</v>
      </c>
      <c r="AA3535" s="271">
        <v>1</v>
      </c>
      <c r="AB3535" s="114">
        <f>2/2</f>
        <v>1</v>
      </c>
      <c r="AC3535" s="50">
        <v>23</v>
      </c>
      <c r="AD3535" s="271">
        <v>1</v>
      </c>
    </row>
    <row r="3536" spans="1:31" ht="15" customHeight="1">
      <c r="A3536" s="41" t="s">
        <v>4668</v>
      </c>
      <c r="B3536" s="402" t="s">
        <v>4426</v>
      </c>
      <c r="C3536" s="113" t="s">
        <v>4426</v>
      </c>
      <c r="E3536" s="394" t="s">
        <v>429</v>
      </c>
      <c r="F3536" s="402" t="s">
        <v>4923</v>
      </c>
      <c r="G3536" s="405" t="s">
        <v>4924</v>
      </c>
      <c r="H3536" s="74">
        <v>4215</v>
      </c>
      <c r="I3536" s="50" t="s">
        <v>1</v>
      </c>
      <c r="J3536" s="339" t="s">
        <v>6057</v>
      </c>
      <c r="K3536" s="51">
        <v>41332</v>
      </c>
      <c r="L3536" s="173">
        <v>41328</v>
      </c>
      <c r="M3536" s="50">
        <f t="shared" si="214"/>
        <v>4</v>
      </c>
      <c r="N3536" s="50" t="s">
        <v>1</v>
      </c>
      <c r="O3536" s="74">
        <f>1.4/2</f>
        <v>0.7</v>
      </c>
      <c r="P3536" s="50">
        <v>4.7300000000000004</v>
      </c>
      <c r="Q3536" s="74">
        <v>5.0599999999999996</v>
      </c>
      <c r="R3536" s="50">
        <v>21</v>
      </c>
      <c r="S3536" s="74">
        <v>8</v>
      </c>
      <c r="T3536" s="50">
        <v>0.04</v>
      </c>
      <c r="U3536" s="131">
        <v>0.3</v>
      </c>
      <c r="V3536" s="50">
        <v>0.01</v>
      </c>
      <c r="W3536" s="74">
        <f>0.005/2</f>
        <v>2.5000000000000001E-3</v>
      </c>
      <c r="X3536" s="50">
        <v>2.7E-2</v>
      </c>
      <c r="Y3536" s="74">
        <f>0.002/2</f>
        <v>1E-3</v>
      </c>
      <c r="Z3536" s="165">
        <v>1</v>
      </c>
      <c r="AA3536" s="271">
        <v>1</v>
      </c>
      <c r="AB3536" s="114">
        <v>2</v>
      </c>
      <c r="AC3536" s="50">
        <v>17</v>
      </c>
      <c r="AD3536" s="271">
        <v>0.8</v>
      </c>
    </row>
    <row r="3537" spans="1:79" ht="15" customHeight="1">
      <c r="A3537" s="41" t="s">
        <v>4668</v>
      </c>
      <c r="B3537" s="402" t="s">
        <v>2111</v>
      </c>
      <c r="C3537" s="113" t="s">
        <v>2111</v>
      </c>
      <c r="D3537" s="393" t="s">
        <v>1217</v>
      </c>
      <c r="E3537" s="394" t="s">
        <v>6058</v>
      </c>
      <c r="G3537" s="405" t="s">
        <v>3606</v>
      </c>
      <c r="H3537" s="74">
        <v>3562</v>
      </c>
      <c r="I3537" s="50" t="s">
        <v>2</v>
      </c>
      <c r="J3537" s="339" t="s">
        <v>5360</v>
      </c>
      <c r="K3537" s="51">
        <v>41345</v>
      </c>
      <c r="L3537" s="173">
        <v>41341</v>
      </c>
      <c r="M3537" s="50">
        <f t="shared" si="214"/>
        <v>4</v>
      </c>
      <c r="N3537" s="50" t="s">
        <v>1</v>
      </c>
      <c r="O3537" s="74">
        <f>1/2</f>
        <v>0.5</v>
      </c>
      <c r="P3537" s="50">
        <v>6.5</v>
      </c>
      <c r="Q3537" s="74">
        <v>6</v>
      </c>
      <c r="R3537" s="50">
        <v>6.43</v>
      </c>
      <c r="S3537" s="74">
        <v>15</v>
      </c>
      <c r="T3537" s="50">
        <v>7.9500000000000001E-2</v>
      </c>
      <c r="U3537" s="131">
        <v>0.21</v>
      </c>
      <c r="V3537" s="50">
        <v>0.17</v>
      </c>
      <c r="W3537" s="74">
        <v>5.5999999999999999E-3</v>
      </c>
      <c r="X3537" s="50">
        <v>4.24E-2</v>
      </c>
      <c r="Y3537" s="74">
        <f>0.0075/2</f>
        <v>3.7499999999999999E-3</v>
      </c>
      <c r="Z3537" s="165">
        <v>1</v>
      </c>
      <c r="AA3537" s="271">
        <v>1</v>
      </c>
      <c r="AB3537" s="114">
        <f>2/2</f>
        <v>1</v>
      </c>
      <c r="AC3537" s="50">
        <v>26</v>
      </c>
      <c r="AD3537" s="271">
        <v>1</v>
      </c>
    </row>
    <row r="3538" spans="1:79" ht="15" customHeight="1">
      <c r="A3538" s="41" t="s">
        <v>4668</v>
      </c>
      <c r="B3538" s="402" t="s">
        <v>3255</v>
      </c>
      <c r="C3538" s="113" t="s">
        <v>3255</v>
      </c>
      <c r="D3538" s="393" t="s">
        <v>1490</v>
      </c>
      <c r="E3538" s="394" t="s">
        <v>4893</v>
      </c>
      <c r="F3538" s="402" t="s">
        <v>3256</v>
      </c>
      <c r="G3538" s="405" t="s">
        <v>3257</v>
      </c>
      <c r="H3538" s="74">
        <v>3089</v>
      </c>
      <c r="I3538" s="50" t="s">
        <v>1</v>
      </c>
      <c r="J3538" s="339" t="s">
        <v>700</v>
      </c>
      <c r="K3538" s="51">
        <v>41197</v>
      </c>
      <c r="L3538" s="173">
        <v>41192</v>
      </c>
      <c r="M3538" s="50">
        <f t="shared" si="214"/>
        <v>5</v>
      </c>
      <c r="N3538" s="50" t="s">
        <v>2</v>
      </c>
      <c r="O3538" s="74">
        <f>1.7/2</f>
        <v>0.85</v>
      </c>
      <c r="P3538" s="50">
        <v>6.01</v>
      </c>
      <c r="Q3538" s="74">
        <v>6.94</v>
      </c>
      <c r="R3538" s="50">
        <v>39</v>
      </c>
      <c r="S3538" s="74">
        <v>12</v>
      </c>
      <c r="T3538" s="50">
        <v>5.6000000000000001E-2</v>
      </c>
      <c r="U3538" s="131">
        <v>1.5</v>
      </c>
      <c r="V3538" s="50">
        <v>0.59</v>
      </c>
      <c r="W3538" s="74">
        <f>0.005/2</f>
        <v>2.5000000000000001E-3</v>
      </c>
      <c r="X3538" s="50">
        <v>7.9000000000000001E-2</v>
      </c>
      <c r="Y3538" s="74">
        <f>0.005/2</f>
        <v>2.5000000000000001E-3</v>
      </c>
      <c r="Z3538" s="165"/>
    </row>
    <row r="3539" spans="1:79" ht="15" customHeight="1">
      <c r="A3539" s="41" t="s">
        <v>4668</v>
      </c>
      <c r="B3539" s="402" t="s">
        <v>3283</v>
      </c>
      <c r="C3539" s="113" t="s">
        <v>6059</v>
      </c>
      <c r="D3539" s="393" t="s">
        <v>111</v>
      </c>
      <c r="E3539" s="394" t="s">
        <v>382</v>
      </c>
      <c r="G3539" s="405" t="s">
        <v>1809</v>
      </c>
      <c r="H3539" s="74">
        <v>3272</v>
      </c>
      <c r="I3539" s="50" t="s">
        <v>2</v>
      </c>
      <c r="J3539" s="339" t="s">
        <v>74</v>
      </c>
      <c r="K3539" s="51">
        <v>41376</v>
      </c>
      <c r="L3539" s="173"/>
      <c r="N3539" s="50" t="s">
        <v>2</v>
      </c>
      <c r="O3539" s="74">
        <v>3.6</v>
      </c>
      <c r="Q3539" s="74">
        <v>6.95</v>
      </c>
      <c r="R3539" s="50">
        <v>38.4</v>
      </c>
      <c r="S3539" s="74">
        <v>162</v>
      </c>
      <c r="T3539" s="50">
        <v>0.18</v>
      </c>
      <c r="U3539" s="131">
        <v>0.73</v>
      </c>
      <c r="V3539" s="50">
        <v>0.71</v>
      </c>
      <c r="W3539" s="74">
        <v>0.01</v>
      </c>
      <c r="X3539" s="50">
        <v>9.5000000000000001E-2</v>
      </c>
      <c r="Y3539" s="74">
        <v>3.0000000000000001E-3</v>
      </c>
      <c r="Z3539" s="165">
        <v>1</v>
      </c>
      <c r="AA3539" s="271">
        <v>1</v>
      </c>
      <c r="AB3539" s="114">
        <v>106.5</v>
      </c>
      <c r="AC3539" s="50">
        <v>379</v>
      </c>
      <c r="AD3539" s="271">
        <v>1</v>
      </c>
    </row>
    <row r="3540" spans="1:79" ht="15" customHeight="1">
      <c r="A3540" s="41" t="s">
        <v>4668</v>
      </c>
      <c r="B3540" s="402" t="s">
        <v>6060</v>
      </c>
      <c r="C3540" s="113" t="s">
        <v>6061</v>
      </c>
      <c r="D3540" s="393" t="s">
        <v>434</v>
      </c>
      <c r="G3540" s="405" t="s">
        <v>5503</v>
      </c>
      <c r="H3540" s="74">
        <v>4213</v>
      </c>
      <c r="J3540" s="339"/>
      <c r="K3540" s="51">
        <v>41332</v>
      </c>
      <c r="L3540" s="173"/>
      <c r="N3540" s="50" t="s">
        <v>2</v>
      </c>
      <c r="O3540" s="74">
        <f>1.4/2</f>
        <v>0.7</v>
      </c>
      <c r="P3540" s="50">
        <v>6.78</v>
      </c>
      <c r="Q3540" s="74">
        <v>6.68</v>
      </c>
      <c r="R3540" s="50">
        <v>12</v>
      </c>
      <c r="S3540" s="74">
        <v>12</v>
      </c>
      <c r="T3540" s="50">
        <v>0.05</v>
      </c>
      <c r="U3540" s="131">
        <v>0.44</v>
      </c>
      <c r="V3540" s="50">
        <v>0.05</v>
      </c>
      <c r="W3540" s="74">
        <v>0.01</v>
      </c>
      <c r="X3540" s="50">
        <v>7.1999999999999995E-2</v>
      </c>
      <c r="Y3540" s="74">
        <v>3.0000000000000001E-3</v>
      </c>
      <c r="Z3540" s="165">
        <v>1</v>
      </c>
      <c r="AA3540" s="271">
        <v>1</v>
      </c>
      <c r="AB3540" s="114">
        <v>16</v>
      </c>
      <c r="AC3540" s="50">
        <v>94</v>
      </c>
      <c r="AD3540" s="271">
        <v>1</v>
      </c>
    </row>
    <row r="3541" spans="1:79" ht="15" customHeight="1">
      <c r="A3541" s="41" t="s">
        <v>4668</v>
      </c>
      <c r="B3541" s="402" t="s">
        <v>1985</v>
      </c>
      <c r="C3541" s="113" t="s">
        <v>6040</v>
      </c>
      <c r="D3541" s="393" t="s">
        <v>205</v>
      </c>
      <c r="E3541" s="394" t="s">
        <v>364</v>
      </c>
      <c r="F3541" s="402">
        <v>4300</v>
      </c>
      <c r="G3541" s="405" t="s">
        <v>6041</v>
      </c>
      <c r="H3541" s="74">
        <v>4911</v>
      </c>
      <c r="I3541" s="50" t="s">
        <v>2</v>
      </c>
      <c r="J3541" s="339" t="s">
        <v>6062</v>
      </c>
      <c r="K3541" s="51">
        <v>41149</v>
      </c>
      <c r="L3541" s="173">
        <v>41139</v>
      </c>
      <c r="M3541" s="50">
        <f t="shared" si="214"/>
        <v>10</v>
      </c>
      <c r="N3541" s="50" t="s">
        <v>2</v>
      </c>
      <c r="O3541" s="74">
        <f>1.8/2</f>
        <v>0.9</v>
      </c>
      <c r="P3541" s="50">
        <v>4.8</v>
      </c>
      <c r="Q3541" s="74">
        <v>6.3</v>
      </c>
      <c r="R3541" s="50">
        <f>20/2</f>
        <v>10</v>
      </c>
      <c r="S3541" s="74">
        <v>23</v>
      </c>
      <c r="T3541" s="50">
        <v>7.6999999999999999E-2</v>
      </c>
      <c r="U3541" s="131">
        <f>1/2</f>
        <v>0.5</v>
      </c>
      <c r="V3541" s="50">
        <f>0.46/2</f>
        <v>0.23</v>
      </c>
      <c r="W3541" s="74">
        <f>0.005/2</f>
        <v>2.5000000000000001E-3</v>
      </c>
      <c r="X3541" s="50">
        <v>2.9000000000000001E-2</v>
      </c>
      <c r="Y3541" s="74">
        <f>0.005/2</f>
        <v>2.5000000000000001E-3</v>
      </c>
      <c r="Z3541" s="165">
        <v>1</v>
      </c>
      <c r="AA3541" s="271">
        <v>1</v>
      </c>
      <c r="AB3541" s="114">
        <f>2/2</f>
        <v>1</v>
      </c>
      <c r="AC3541" s="50">
        <v>2</v>
      </c>
      <c r="AD3541" s="271">
        <v>1</v>
      </c>
    </row>
    <row r="3542" spans="1:79" ht="15" customHeight="1">
      <c r="A3542" s="41" t="s">
        <v>4668</v>
      </c>
      <c r="B3542" s="402" t="s">
        <v>1985</v>
      </c>
      <c r="C3542" s="113" t="s">
        <v>6040</v>
      </c>
      <c r="D3542" s="393" t="s">
        <v>205</v>
      </c>
      <c r="E3542" s="394" t="s">
        <v>364</v>
      </c>
      <c r="F3542" s="402">
        <v>4300</v>
      </c>
      <c r="G3542" s="405" t="s">
        <v>6041</v>
      </c>
      <c r="H3542" s="74">
        <v>4911</v>
      </c>
      <c r="I3542" s="50" t="s">
        <v>2</v>
      </c>
      <c r="J3542" s="339" t="s">
        <v>6063</v>
      </c>
      <c r="K3542" s="51">
        <v>41149</v>
      </c>
      <c r="L3542" s="173">
        <v>41139</v>
      </c>
      <c r="M3542" s="50">
        <f t="shared" si="214"/>
        <v>10</v>
      </c>
      <c r="N3542" s="50" t="s">
        <v>2</v>
      </c>
      <c r="O3542" s="74">
        <f>1.7/2</f>
        <v>0.85</v>
      </c>
      <c r="P3542" s="50">
        <v>4.8</v>
      </c>
      <c r="Q3542" s="74">
        <v>7</v>
      </c>
      <c r="R3542" s="50">
        <v>89</v>
      </c>
      <c r="S3542" s="74">
        <v>114</v>
      </c>
      <c r="T3542" s="50">
        <v>0.375</v>
      </c>
      <c r="U3542" s="131">
        <v>1.7</v>
      </c>
      <c r="V3542" s="50">
        <v>0.66</v>
      </c>
      <c r="W3542" s="74">
        <v>1.7000000000000001E-2</v>
      </c>
      <c r="X3542" s="50">
        <v>3.9E-2</v>
      </c>
      <c r="Y3542" s="74">
        <v>1.43E-2</v>
      </c>
      <c r="Z3542" s="165">
        <v>1</v>
      </c>
      <c r="AA3542" s="271">
        <v>1</v>
      </c>
      <c r="AB3542" s="114">
        <v>4</v>
      </c>
      <c r="AC3542" s="50">
        <v>31</v>
      </c>
      <c r="AD3542" s="271">
        <v>1</v>
      </c>
    </row>
    <row r="3543" spans="1:79" ht="15" customHeight="1">
      <c r="A3543" s="41" t="s">
        <v>4668</v>
      </c>
      <c r="B3543" s="402" t="s">
        <v>4875</v>
      </c>
      <c r="C3543" s="113" t="s">
        <v>4875</v>
      </c>
      <c r="D3543" s="393" t="s">
        <v>372</v>
      </c>
      <c r="E3543" s="394" t="s">
        <v>535</v>
      </c>
      <c r="G3543" s="405" t="s">
        <v>932</v>
      </c>
      <c r="H3543" s="74">
        <v>2653</v>
      </c>
      <c r="J3543" s="339" t="s">
        <v>6064</v>
      </c>
      <c r="K3543" s="51">
        <v>40996</v>
      </c>
      <c r="L3543" s="173">
        <v>40992</v>
      </c>
      <c r="M3543" s="50">
        <f t="shared" si="214"/>
        <v>4</v>
      </c>
      <c r="N3543" s="50" t="s">
        <v>2</v>
      </c>
      <c r="O3543" s="74">
        <f>1/2</f>
        <v>0.5</v>
      </c>
      <c r="P3543" s="50">
        <v>6</v>
      </c>
      <c r="Q3543" s="74">
        <v>6.4</v>
      </c>
      <c r="R3543" s="50">
        <v>17.100000000000001</v>
      </c>
      <c r="S3543" s="74">
        <v>7</v>
      </c>
      <c r="T3543" s="50">
        <v>0.11</v>
      </c>
      <c r="U3543" s="131">
        <v>0.15</v>
      </c>
      <c r="V3543" s="50">
        <v>0.48</v>
      </c>
      <c r="W3543" s="74">
        <v>0.02</v>
      </c>
      <c r="X3543" s="50">
        <v>0.2</v>
      </c>
      <c r="Y3543" s="74">
        <f>0.02/2</f>
        <v>0.01</v>
      </c>
      <c r="Z3543" s="165">
        <v>0.61556999999999995</v>
      </c>
      <c r="AA3543" s="271">
        <v>0.61556999999999995</v>
      </c>
      <c r="AB3543" s="114">
        <v>6.4</v>
      </c>
      <c r="AC3543" s="50">
        <v>59.6</v>
      </c>
      <c r="AD3543" s="271">
        <v>0</v>
      </c>
    </row>
    <row r="3544" spans="1:79" ht="15" customHeight="1">
      <c r="A3544" s="41" t="s">
        <v>4668</v>
      </c>
      <c r="B3544" s="402" t="s">
        <v>1985</v>
      </c>
      <c r="C3544" s="113" t="s">
        <v>6040</v>
      </c>
      <c r="D3544" s="393" t="s">
        <v>205</v>
      </c>
      <c r="E3544" s="394" t="s">
        <v>364</v>
      </c>
      <c r="F3544" s="402">
        <v>4300</v>
      </c>
      <c r="G3544" s="405" t="s">
        <v>6041</v>
      </c>
      <c r="H3544" s="74">
        <v>4911</v>
      </c>
      <c r="I3544" s="50" t="s">
        <v>2</v>
      </c>
      <c r="J3544" s="339" t="s">
        <v>6065</v>
      </c>
      <c r="K3544" s="51">
        <v>41030</v>
      </c>
      <c r="L3544" s="173">
        <v>41022</v>
      </c>
      <c r="M3544" s="50">
        <f t="shared" si="214"/>
        <v>8</v>
      </c>
      <c r="N3544" s="50" t="s">
        <v>2</v>
      </c>
      <c r="O3544" s="74">
        <f>1.8/2</f>
        <v>0.9</v>
      </c>
      <c r="P3544" s="50">
        <v>5.9</v>
      </c>
      <c r="Q3544" s="74">
        <v>6.6</v>
      </c>
      <c r="R3544" s="50">
        <v>37</v>
      </c>
      <c r="S3544" s="74">
        <v>20.2</v>
      </c>
      <c r="T3544" s="50">
        <v>9.6000000000000002E-2</v>
      </c>
      <c r="U3544" s="131">
        <v>1.1000000000000001</v>
      </c>
      <c r="V3544" s="50">
        <v>0.95</v>
      </c>
      <c r="W3544" s="74">
        <v>8.9999999999999993E-3</v>
      </c>
      <c r="X3544" s="50">
        <v>1.7000000000000001E-2</v>
      </c>
      <c r="Y3544" s="74">
        <f>0.005/2</f>
        <v>2.5000000000000001E-3</v>
      </c>
      <c r="Z3544" s="165"/>
    </row>
    <row r="3545" spans="1:79" ht="15" customHeight="1">
      <c r="A3545" s="41" t="s">
        <v>4668</v>
      </c>
      <c r="B3545" s="402" t="s">
        <v>1985</v>
      </c>
      <c r="C3545" s="113" t="s">
        <v>6040</v>
      </c>
      <c r="D3545" s="393" t="s">
        <v>205</v>
      </c>
      <c r="E3545" s="394" t="s">
        <v>364</v>
      </c>
      <c r="F3545" s="402">
        <v>4300</v>
      </c>
      <c r="G3545" s="405" t="s">
        <v>6041</v>
      </c>
      <c r="H3545" s="74">
        <v>4911</v>
      </c>
      <c r="I3545" s="50" t="s">
        <v>2</v>
      </c>
      <c r="J3545" s="339" t="s">
        <v>6066</v>
      </c>
      <c r="K3545" s="51">
        <v>41030</v>
      </c>
      <c r="L3545" s="173">
        <v>41022</v>
      </c>
      <c r="M3545" s="50">
        <f t="shared" si="214"/>
        <v>8</v>
      </c>
      <c r="N3545" s="50" t="s">
        <v>2</v>
      </c>
      <c r="O3545" s="74">
        <f>1.8/2</f>
        <v>0.9</v>
      </c>
      <c r="P3545" s="50">
        <v>5.9</v>
      </c>
      <c r="Q3545" s="74">
        <v>5.9</v>
      </c>
      <c r="R3545" s="50">
        <v>21</v>
      </c>
      <c r="S3545" s="74">
        <v>26.4</v>
      </c>
      <c r="T3545" s="50">
        <v>0.16500000000000001</v>
      </c>
      <c r="U3545" s="131">
        <v>1</v>
      </c>
      <c r="V3545" s="50">
        <v>0.81</v>
      </c>
      <c r="W3545" s="74">
        <f>0.005/2</f>
        <v>2.5000000000000001E-3</v>
      </c>
      <c r="X3545" s="50">
        <v>0.60699999999999998</v>
      </c>
      <c r="Y3545" s="74">
        <f>0.005/2</f>
        <v>2.5000000000000001E-3</v>
      </c>
      <c r="Z3545" s="165"/>
    </row>
    <row r="3546" spans="1:79" s="400" customFormat="1" ht="15" customHeight="1">
      <c r="A3546" s="81" t="s">
        <v>183</v>
      </c>
      <c r="B3546" s="402" t="s">
        <v>2324</v>
      </c>
      <c r="C3546" s="113" t="s">
        <v>6189</v>
      </c>
      <c r="D3546" s="393" t="s">
        <v>1537</v>
      </c>
      <c r="E3546" s="394" t="s">
        <v>1555</v>
      </c>
      <c r="F3546" s="402"/>
      <c r="G3546" s="405" t="s">
        <v>6190</v>
      </c>
      <c r="H3546" s="404">
        <v>4952</v>
      </c>
      <c r="I3546" s="402"/>
      <c r="J3546" s="406" t="s">
        <v>6191</v>
      </c>
      <c r="K3546" s="403">
        <v>41030</v>
      </c>
      <c r="L3546" s="398">
        <v>41022</v>
      </c>
      <c r="M3546" s="402">
        <f t="shared" si="214"/>
        <v>8</v>
      </c>
      <c r="N3546" s="402" t="s">
        <v>2</v>
      </c>
      <c r="O3546" s="404">
        <f>5/2</f>
        <v>2.5</v>
      </c>
      <c r="P3546" s="402"/>
      <c r="Q3546" s="404">
        <v>7.67</v>
      </c>
      <c r="R3546" s="402">
        <v>116</v>
      </c>
      <c r="S3546" s="404">
        <v>181</v>
      </c>
      <c r="T3546" s="402">
        <v>0.14000000000000001</v>
      </c>
      <c r="U3546" s="395">
        <v>1.05</v>
      </c>
      <c r="V3546" s="402">
        <v>0.71</v>
      </c>
      <c r="W3546" s="404">
        <v>4.1000000000000002E-2</v>
      </c>
      <c r="X3546" s="402">
        <v>0.2</v>
      </c>
      <c r="Y3546" s="404">
        <v>4.9000000000000002E-2</v>
      </c>
      <c r="Z3546" s="397">
        <v>1</v>
      </c>
      <c r="AA3546" s="399">
        <v>1</v>
      </c>
      <c r="AB3546" s="394">
        <v>38.6</v>
      </c>
      <c r="AC3546" s="402">
        <v>241</v>
      </c>
      <c r="AD3546" s="399">
        <v>1</v>
      </c>
      <c r="AE3546" s="402"/>
      <c r="AF3546" s="391"/>
      <c r="AG3546" s="394"/>
      <c r="AH3546" s="394"/>
      <c r="AI3546" s="394"/>
      <c r="AJ3546" s="394"/>
      <c r="AK3546" s="394"/>
      <c r="AL3546" s="394"/>
      <c r="AM3546" s="394"/>
      <c r="AN3546" s="394"/>
      <c r="AO3546" s="394"/>
      <c r="AP3546" s="394"/>
      <c r="AQ3546" s="394"/>
      <c r="AR3546" s="394"/>
      <c r="AS3546" s="402"/>
      <c r="AT3546" s="404"/>
      <c r="AU3546" s="394"/>
      <c r="AV3546" s="394"/>
      <c r="AW3546" s="394"/>
      <c r="AX3546" s="5"/>
      <c r="AY3546" s="5"/>
      <c r="AZ3546" s="5"/>
      <c r="BA3546" s="5"/>
      <c r="BB3546" s="5"/>
      <c r="BC3546" s="5"/>
      <c r="BD3546" s="5"/>
      <c r="BE3546" s="5"/>
      <c r="BF3546" s="5"/>
      <c r="BG3546" s="5"/>
      <c r="BH3546" s="5"/>
      <c r="BI3546" s="5"/>
      <c r="BJ3546" s="5"/>
      <c r="BK3546" s="5"/>
      <c r="BL3546" s="5"/>
      <c r="BM3546" s="5"/>
      <c r="BN3546" s="5"/>
      <c r="BO3546" s="5"/>
      <c r="BP3546" s="5"/>
      <c r="BQ3546" s="5"/>
      <c r="BR3546" s="5"/>
      <c r="BS3546" s="5"/>
      <c r="BT3546" s="5"/>
      <c r="BU3546" s="5"/>
      <c r="BV3546" s="5"/>
      <c r="BW3546" s="5"/>
      <c r="BX3546" s="5"/>
      <c r="BY3546" s="5"/>
      <c r="BZ3546" s="5"/>
      <c r="CA3546" s="5"/>
    </row>
    <row r="3547" spans="1:79" s="400" customFormat="1" ht="15" customHeight="1">
      <c r="A3547" s="41" t="s">
        <v>183</v>
      </c>
      <c r="B3547" s="402" t="s">
        <v>4567</v>
      </c>
      <c r="C3547" s="113" t="s">
        <v>4567</v>
      </c>
      <c r="D3547" s="393" t="s">
        <v>251</v>
      </c>
      <c r="E3547" s="394"/>
      <c r="F3547" s="402">
        <v>4603</v>
      </c>
      <c r="G3547" s="405" t="s">
        <v>4568</v>
      </c>
      <c r="H3547" s="404"/>
      <c r="I3547" s="402" t="s">
        <v>2</v>
      </c>
      <c r="J3547" s="406" t="s">
        <v>3144</v>
      </c>
      <c r="K3547" s="403">
        <v>41149</v>
      </c>
      <c r="L3547" s="398">
        <v>41139</v>
      </c>
      <c r="M3547" s="402">
        <f t="shared" si="214"/>
        <v>10</v>
      </c>
      <c r="N3547" s="402" t="s">
        <v>2</v>
      </c>
      <c r="O3547" s="404">
        <v>18.399999999999999</v>
      </c>
      <c r="P3547" s="402">
        <v>5.5</v>
      </c>
      <c r="Q3547" s="404">
        <v>7</v>
      </c>
      <c r="R3547" s="402">
        <v>46.9</v>
      </c>
      <c r="S3547" s="404">
        <f>25/2</f>
        <v>12.5</v>
      </c>
      <c r="T3547" s="402">
        <f>0.1/2</f>
        <v>0.05</v>
      </c>
      <c r="U3547" s="395">
        <f>1/2</f>
        <v>0.5</v>
      </c>
      <c r="V3547" s="402">
        <v>0.22</v>
      </c>
      <c r="W3547" s="404">
        <f>0.02/2</f>
        <v>0.01</v>
      </c>
      <c r="X3547" s="402">
        <f>0.05/2</f>
        <v>2.5000000000000001E-2</v>
      </c>
      <c r="Y3547" s="404">
        <v>1E-3</v>
      </c>
      <c r="Z3547" s="397">
        <v>1</v>
      </c>
      <c r="AA3547" s="399">
        <v>1</v>
      </c>
      <c r="AB3547" s="394">
        <v>8</v>
      </c>
      <c r="AC3547" s="402">
        <v>18</v>
      </c>
      <c r="AD3547" s="399">
        <v>1</v>
      </c>
      <c r="AE3547" s="402"/>
      <c r="AF3547" s="391"/>
      <c r="AG3547" s="394"/>
      <c r="AH3547" s="394"/>
      <c r="AI3547" s="394"/>
      <c r="AJ3547" s="394"/>
      <c r="AK3547" s="394"/>
      <c r="AL3547" s="394"/>
      <c r="AM3547" s="394"/>
      <c r="AN3547" s="394"/>
      <c r="AO3547" s="394"/>
      <c r="AP3547" s="394"/>
      <c r="AQ3547" s="394"/>
      <c r="AR3547" s="394"/>
      <c r="AS3547" s="402"/>
      <c r="AT3547" s="404"/>
      <c r="AU3547" s="394"/>
      <c r="AV3547" s="394"/>
      <c r="AW3547" s="394"/>
      <c r="AX3547" s="5"/>
      <c r="AY3547" s="5"/>
      <c r="AZ3547" s="5"/>
      <c r="BA3547" s="5"/>
      <c r="BB3547" s="5"/>
      <c r="BC3547" s="5"/>
      <c r="BD3547" s="5"/>
      <c r="BE3547" s="5"/>
      <c r="BF3547" s="5"/>
      <c r="BG3547" s="5"/>
      <c r="BH3547" s="5"/>
      <c r="BI3547" s="5"/>
      <c r="BJ3547" s="5"/>
      <c r="BK3547" s="5"/>
      <c r="BL3547" s="5"/>
      <c r="BM3547" s="5"/>
      <c r="BN3547" s="5"/>
      <c r="BO3547" s="5"/>
      <c r="BP3547" s="5"/>
      <c r="BQ3547" s="5"/>
      <c r="BR3547" s="5"/>
      <c r="BS3547" s="5"/>
      <c r="BT3547" s="5"/>
      <c r="BU3547" s="5"/>
      <c r="BV3547" s="5"/>
      <c r="BW3547" s="5"/>
      <c r="BX3547" s="5"/>
      <c r="BY3547" s="5"/>
      <c r="BZ3547" s="5"/>
      <c r="CA3547" s="5"/>
    </row>
    <row r="3548" spans="1:79" s="400" customFormat="1" ht="15" customHeight="1">
      <c r="A3548" s="41" t="s">
        <v>183</v>
      </c>
      <c r="B3548" s="402" t="s">
        <v>5861</v>
      </c>
      <c r="C3548" s="113" t="s">
        <v>5861</v>
      </c>
      <c r="D3548" s="393" t="s">
        <v>156</v>
      </c>
      <c r="E3548" s="394" t="s">
        <v>5862</v>
      </c>
      <c r="F3548" s="402">
        <v>4601</v>
      </c>
      <c r="G3548" s="405" t="s">
        <v>5863</v>
      </c>
      <c r="H3548" s="404"/>
      <c r="I3548" s="402" t="s">
        <v>2</v>
      </c>
      <c r="J3548" s="406" t="s">
        <v>5864</v>
      </c>
      <c r="K3548" s="403">
        <v>41171</v>
      </c>
      <c r="L3548" s="398">
        <v>41160</v>
      </c>
      <c r="M3548" s="72"/>
      <c r="N3548" s="402" t="s">
        <v>2</v>
      </c>
      <c r="O3548" s="404">
        <v>20.3</v>
      </c>
      <c r="P3548" s="402">
        <v>5.3</v>
      </c>
      <c r="Q3548" s="404">
        <v>6.9</v>
      </c>
      <c r="R3548" s="402">
        <v>64.5</v>
      </c>
      <c r="S3548" s="404">
        <f>25/2</f>
        <v>12.5</v>
      </c>
      <c r="T3548" s="402">
        <v>0.24</v>
      </c>
      <c r="U3548" s="395">
        <f>1/2</f>
        <v>0.5</v>
      </c>
      <c r="V3548" s="402">
        <v>0.19</v>
      </c>
      <c r="W3548" s="404">
        <f>0.02/2</f>
        <v>0.01</v>
      </c>
      <c r="X3548" s="402">
        <f>0.05/2</f>
        <v>2.5000000000000001E-2</v>
      </c>
      <c r="Y3548" s="404">
        <v>1E-3</v>
      </c>
      <c r="Z3548" s="397"/>
      <c r="AA3548" s="399"/>
      <c r="AB3548" s="394"/>
      <c r="AC3548" s="402"/>
      <c r="AD3548" s="399"/>
      <c r="AE3548" s="402"/>
      <c r="AF3548" s="391"/>
      <c r="AG3548" s="394"/>
      <c r="AH3548" s="394"/>
      <c r="AI3548" s="394"/>
      <c r="AJ3548" s="394"/>
      <c r="AK3548" s="394"/>
      <c r="AL3548" s="394"/>
      <c r="AM3548" s="394"/>
      <c r="AN3548" s="394"/>
      <c r="AO3548" s="394"/>
      <c r="AP3548" s="394"/>
      <c r="AQ3548" s="394"/>
      <c r="AR3548" s="394"/>
      <c r="AS3548" s="402"/>
      <c r="AT3548" s="404"/>
      <c r="AU3548" s="394"/>
      <c r="AV3548" s="394"/>
      <c r="AW3548" s="394"/>
      <c r="AX3548" s="5"/>
      <c r="AY3548" s="5"/>
      <c r="AZ3548" s="5"/>
      <c r="BA3548" s="5"/>
      <c r="BB3548" s="5"/>
      <c r="BC3548" s="5"/>
      <c r="BD3548" s="5"/>
      <c r="BE3548" s="5"/>
      <c r="BF3548" s="5"/>
      <c r="BG3548" s="5"/>
      <c r="BH3548" s="5"/>
      <c r="BI3548" s="5"/>
      <c r="BJ3548" s="5"/>
      <c r="BK3548" s="5"/>
      <c r="BL3548" s="5"/>
      <c r="BM3548" s="5"/>
      <c r="BN3548" s="5"/>
      <c r="BO3548" s="5"/>
      <c r="BP3548" s="5"/>
      <c r="BQ3548" s="5"/>
      <c r="BR3548" s="5"/>
      <c r="BS3548" s="5"/>
      <c r="BT3548" s="5"/>
      <c r="BU3548" s="5"/>
      <c r="BV3548" s="5"/>
      <c r="BW3548" s="5"/>
      <c r="BX3548" s="5"/>
      <c r="BY3548" s="5"/>
      <c r="BZ3548" s="5"/>
      <c r="CA3548" s="5"/>
    </row>
    <row r="3549" spans="1:79" s="400" customFormat="1" ht="15" customHeight="1">
      <c r="A3549" s="41" t="s">
        <v>183</v>
      </c>
      <c r="B3549" s="402" t="s">
        <v>3267</v>
      </c>
      <c r="C3549" s="113" t="s">
        <v>3267</v>
      </c>
      <c r="D3549" s="393" t="s">
        <v>861</v>
      </c>
      <c r="E3549" s="394" t="s">
        <v>304</v>
      </c>
      <c r="F3549" s="402" t="s">
        <v>3406</v>
      </c>
      <c r="G3549" s="405" t="s">
        <v>3268</v>
      </c>
      <c r="H3549" s="404">
        <v>3823</v>
      </c>
      <c r="I3549" s="402" t="s">
        <v>1</v>
      </c>
      <c r="J3549" s="406" t="s">
        <v>3269</v>
      </c>
      <c r="K3549" s="403">
        <v>41122</v>
      </c>
      <c r="L3549" s="398">
        <v>41118</v>
      </c>
      <c r="M3549" s="402">
        <f t="shared" si="214"/>
        <v>4</v>
      </c>
      <c r="N3549" s="402" t="s">
        <v>2</v>
      </c>
      <c r="O3549" s="404">
        <f>1/2</f>
        <v>0.5</v>
      </c>
      <c r="P3549" s="402">
        <v>6.35</v>
      </c>
      <c r="Q3549" s="404">
        <v>6.28</v>
      </c>
      <c r="R3549" s="402">
        <v>104.3</v>
      </c>
      <c r="S3549" s="404">
        <v>228</v>
      </c>
      <c r="T3549" s="402">
        <v>1.01</v>
      </c>
      <c r="U3549" s="395">
        <v>3.54</v>
      </c>
      <c r="V3549" s="402">
        <v>0.44</v>
      </c>
      <c r="W3549" s="404">
        <v>3.4000000000000002E-2</v>
      </c>
      <c r="X3549" s="402">
        <v>0.107</v>
      </c>
      <c r="Y3549" s="404">
        <v>3.2000000000000001E-2</v>
      </c>
      <c r="Z3549" s="397"/>
      <c r="AA3549" s="399"/>
      <c r="AB3549" s="394"/>
      <c r="AC3549" s="402"/>
      <c r="AD3549" s="399"/>
      <c r="AE3549" s="402"/>
      <c r="AF3549" s="391"/>
      <c r="AG3549" s="394"/>
      <c r="AH3549" s="394"/>
      <c r="AI3549" s="394"/>
      <c r="AJ3549" s="394"/>
      <c r="AK3549" s="394"/>
      <c r="AL3549" s="394"/>
      <c r="AM3549" s="394"/>
      <c r="AN3549" s="394"/>
      <c r="AO3549" s="394"/>
      <c r="AP3549" s="394"/>
      <c r="AQ3549" s="394"/>
      <c r="AR3549" s="394"/>
      <c r="AS3549" s="402"/>
      <c r="AT3549" s="404"/>
      <c r="AU3549" s="394"/>
      <c r="AV3549" s="394"/>
      <c r="AW3549" s="394"/>
      <c r="AX3549" s="5"/>
      <c r="AY3549" s="5"/>
      <c r="AZ3549" s="5"/>
      <c r="BA3549" s="5"/>
      <c r="BB3549" s="5"/>
      <c r="BC3549" s="5"/>
      <c r="BD3549" s="5"/>
      <c r="BE3549" s="5"/>
      <c r="BF3549" s="5"/>
      <c r="BG3549" s="5"/>
      <c r="BH3549" s="5"/>
      <c r="BI3549" s="5"/>
      <c r="BJ3549" s="5"/>
      <c r="BK3549" s="5"/>
      <c r="BL3549" s="5"/>
      <c r="BM3549" s="5"/>
      <c r="BN3549" s="5"/>
      <c r="BO3549" s="5"/>
      <c r="BP3549" s="5"/>
      <c r="BQ3549" s="5"/>
      <c r="BR3549" s="5"/>
      <c r="BS3549" s="5"/>
      <c r="BT3549" s="5"/>
      <c r="BU3549" s="5"/>
      <c r="BV3549" s="5"/>
      <c r="BW3549" s="5"/>
      <c r="BX3549" s="5"/>
      <c r="BY3549" s="5"/>
      <c r="BZ3549" s="5"/>
      <c r="CA3549" s="5"/>
    </row>
    <row r="3550" spans="1:79" s="400" customFormat="1" ht="15" customHeight="1">
      <c r="A3550" s="41" t="s">
        <v>183</v>
      </c>
      <c r="B3550" s="402" t="s">
        <v>2048</v>
      </c>
      <c r="C3550" s="113" t="s">
        <v>2048</v>
      </c>
      <c r="D3550" s="393" t="s">
        <v>156</v>
      </c>
      <c r="E3550" s="394" t="s">
        <v>2049</v>
      </c>
      <c r="F3550" s="402" t="s">
        <v>2050</v>
      </c>
      <c r="G3550" s="405" t="s">
        <v>2051</v>
      </c>
      <c r="H3550" s="113">
        <v>7699</v>
      </c>
      <c r="I3550" s="391" t="s">
        <v>1</v>
      </c>
      <c r="J3550" s="401" t="s">
        <v>2052</v>
      </c>
      <c r="K3550" s="403">
        <v>41136</v>
      </c>
      <c r="L3550" s="398">
        <v>41126</v>
      </c>
      <c r="M3550" s="402">
        <f t="shared" si="214"/>
        <v>10</v>
      </c>
      <c r="N3550" s="402" t="s">
        <v>2</v>
      </c>
      <c r="O3550" s="404">
        <f>1.4/2</f>
        <v>0.7</v>
      </c>
      <c r="P3550" s="402">
        <v>6.58</v>
      </c>
      <c r="Q3550" s="404">
        <v>6.8</v>
      </c>
      <c r="R3550" s="402">
        <v>24</v>
      </c>
      <c r="S3550" s="404">
        <v>29</v>
      </c>
      <c r="T3550" s="402">
        <v>0.14000000000000001</v>
      </c>
      <c r="U3550" s="395">
        <v>1.37</v>
      </c>
      <c r="V3550" s="402">
        <v>0.56000000000000005</v>
      </c>
      <c r="W3550" s="404">
        <v>6.0000000000000001E-3</v>
      </c>
      <c r="X3550" s="402">
        <v>0.02</v>
      </c>
      <c r="Y3550" s="404">
        <f>0.002/2</f>
        <v>1E-3</v>
      </c>
      <c r="Z3550" s="397">
        <v>1</v>
      </c>
      <c r="AA3550" s="399">
        <v>1</v>
      </c>
      <c r="AB3550" s="394">
        <v>14</v>
      </c>
      <c r="AC3550" s="402">
        <v>31</v>
      </c>
      <c r="AD3550" s="399">
        <v>1</v>
      </c>
      <c r="AE3550" s="402" t="s">
        <v>964</v>
      </c>
      <c r="AF3550" s="391" t="s">
        <v>964</v>
      </c>
      <c r="AG3550" s="394"/>
      <c r="AH3550" s="394"/>
      <c r="AI3550" s="394"/>
      <c r="AJ3550" s="394"/>
      <c r="AK3550" s="394"/>
      <c r="AL3550" s="394"/>
      <c r="AM3550" s="394"/>
      <c r="AN3550" s="394"/>
      <c r="AO3550" s="394"/>
      <c r="AP3550" s="394"/>
      <c r="AQ3550" s="394"/>
      <c r="AR3550" s="394"/>
      <c r="AS3550" s="402"/>
      <c r="AT3550" s="404">
        <f>0.0002/2</f>
        <v>1E-4</v>
      </c>
      <c r="AU3550" s="394"/>
      <c r="AV3550" s="394"/>
      <c r="AW3550" s="394"/>
      <c r="AX3550" s="5"/>
      <c r="AY3550" s="5"/>
      <c r="AZ3550" s="5"/>
      <c r="BA3550" s="5"/>
      <c r="BB3550" s="5"/>
      <c r="BC3550" s="5"/>
      <c r="BD3550" s="5"/>
      <c r="BE3550" s="5"/>
      <c r="BF3550" s="5"/>
      <c r="BG3550" s="5"/>
      <c r="BH3550" s="5"/>
      <c r="BI3550" s="5"/>
      <c r="BJ3550" s="5"/>
      <c r="BK3550" s="5"/>
      <c r="BL3550" s="5"/>
      <c r="BM3550" s="5"/>
      <c r="BN3550" s="5"/>
      <c r="BO3550" s="5"/>
      <c r="BP3550" s="5"/>
      <c r="BQ3550" s="5"/>
      <c r="BR3550" s="5"/>
      <c r="BS3550" s="5"/>
      <c r="BT3550" s="5"/>
      <c r="BU3550" s="5"/>
      <c r="BV3550" s="5"/>
      <c r="BW3550" s="5"/>
      <c r="BX3550" s="5"/>
      <c r="BY3550" s="5"/>
      <c r="BZ3550" s="5"/>
      <c r="CA3550" s="5"/>
    </row>
    <row r="3551" spans="1:79" s="400" customFormat="1" ht="15" customHeight="1">
      <c r="A3551" s="41" t="s">
        <v>183</v>
      </c>
      <c r="B3551" s="385" t="s">
        <v>1312</v>
      </c>
      <c r="C3551" s="18" t="s">
        <v>1312</v>
      </c>
      <c r="D3551" s="393" t="s">
        <v>262</v>
      </c>
      <c r="E3551" s="20" t="s">
        <v>1314</v>
      </c>
      <c r="F3551" s="402"/>
      <c r="G3551" s="405" t="s">
        <v>1315</v>
      </c>
      <c r="H3551" s="384">
        <v>5172</v>
      </c>
      <c r="I3551" s="402"/>
      <c r="J3551" s="406" t="s">
        <v>6192</v>
      </c>
      <c r="K3551" s="403">
        <v>41332</v>
      </c>
      <c r="L3551" s="398"/>
      <c r="M3551" s="402"/>
      <c r="N3551" s="402" t="s">
        <v>2</v>
      </c>
      <c r="O3551" s="404">
        <f>1/2</f>
        <v>0.5</v>
      </c>
      <c r="P3551" s="402">
        <v>6.53</v>
      </c>
      <c r="Q3551" s="404">
        <v>6.74</v>
      </c>
      <c r="R3551" s="402">
        <v>1</v>
      </c>
      <c r="S3551" s="404">
        <v>14</v>
      </c>
      <c r="T3551" s="402">
        <v>0.21</v>
      </c>
      <c r="U3551" s="395">
        <v>0.98</v>
      </c>
      <c r="V3551" s="402">
        <v>0.15</v>
      </c>
      <c r="W3551" s="404">
        <v>7.0000000000000007E-2</v>
      </c>
      <c r="X3551" s="402">
        <v>0.51</v>
      </c>
      <c r="Y3551" s="404">
        <f>0.05/2</f>
        <v>2.5000000000000001E-2</v>
      </c>
      <c r="Z3551" s="397">
        <v>1</v>
      </c>
      <c r="AA3551" s="399">
        <v>1</v>
      </c>
      <c r="AB3551" s="394">
        <v>9</v>
      </c>
      <c r="AC3551" s="402">
        <v>56</v>
      </c>
      <c r="AD3551" s="399">
        <v>0.7</v>
      </c>
      <c r="AE3551" s="402"/>
      <c r="AF3551" s="391"/>
      <c r="AG3551" s="394"/>
      <c r="AH3551" s="394"/>
      <c r="AI3551" s="394"/>
      <c r="AJ3551" s="394"/>
      <c r="AK3551" s="394"/>
      <c r="AL3551" s="394"/>
      <c r="AM3551" s="394"/>
      <c r="AN3551" s="394"/>
      <c r="AO3551" s="394"/>
      <c r="AP3551" s="394"/>
      <c r="AQ3551" s="394"/>
      <c r="AR3551" s="394"/>
      <c r="AS3551" s="402"/>
      <c r="AT3551" s="404"/>
      <c r="AU3551" s="394"/>
      <c r="AV3551" s="394"/>
      <c r="AW3551" s="394"/>
      <c r="AX3551" s="5"/>
      <c r="AY3551" s="5"/>
      <c r="AZ3551" s="5"/>
      <c r="BA3551" s="5"/>
      <c r="BB3551" s="5"/>
      <c r="BC3551" s="5"/>
      <c r="BD3551" s="5"/>
      <c r="BE3551" s="5"/>
      <c r="BF3551" s="5"/>
      <c r="BG3551" s="5"/>
      <c r="BH3551" s="5"/>
      <c r="BI3551" s="5"/>
      <c r="BJ3551" s="5"/>
      <c r="BK3551" s="5"/>
      <c r="BL3551" s="5"/>
      <c r="BM3551" s="5"/>
      <c r="BN3551" s="5"/>
      <c r="BO3551" s="5"/>
      <c r="BP3551" s="5"/>
      <c r="BQ3551" s="5"/>
      <c r="BR3551" s="5"/>
      <c r="BS3551" s="5"/>
      <c r="BT3551" s="5"/>
      <c r="BU3551" s="5"/>
      <c r="BV3551" s="5"/>
      <c r="BW3551" s="5"/>
      <c r="BX3551" s="5"/>
      <c r="BY3551" s="5"/>
      <c r="BZ3551" s="5"/>
      <c r="CA3551" s="5"/>
    </row>
    <row r="3552" spans="1:79" s="400" customFormat="1" ht="15" customHeight="1">
      <c r="A3552" s="41" t="s">
        <v>183</v>
      </c>
      <c r="B3552" s="385" t="s">
        <v>1312</v>
      </c>
      <c r="C3552" s="18" t="s">
        <v>1312</v>
      </c>
      <c r="D3552" s="393" t="s">
        <v>262</v>
      </c>
      <c r="E3552" s="20" t="s">
        <v>1314</v>
      </c>
      <c r="F3552" s="402"/>
      <c r="G3552" s="405" t="s">
        <v>1315</v>
      </c>
      <c r="H3552" s="384">
        <v>5171</v>
      </c>
      <c r="I3552" s="402"/>
      <c r="J3552" s="406" t="s">
        <v>6192</v>
      </c>
      <c r="K3552" s="403">
        <v>41529</v>
      </c>
      <c r="L3552" s="398"/>
      <c r="M3552" s="402"/>
      <c r="N3552" s="402" t="s">
        <v>2</v>
      </c>
      <c r="O3552" s="404">
        <f>1/2</f>
        <v>0.5</v>
      </c>
      <c r="P3552" s="402">
        <v>7.11</v>
      </c>
      <c r="Q3552" s="404">
        <v>6.41</v>
      </c>
      <c r="R3552" s="402">
        <v>16</v>
      </c>
      <c r="S3552" s="404">
        <v>8</v>
      </c>
      <c r="T3552" s="402">
        <v>0.54</v>
      </c>
      <c r="U3552" s="395">
        <v>5.46</v>
      </c>
      <c r="V3552" s="402">
        <v>0.42</v>
      </c>
      <c r="W3552" s="404">
        <v>0.05</v>
      </c>
      <c r="X3552" s="402">
        <v>0.3</v>
      </c>
      <c r="Y3552" s="404">
        <f>0.05/2</f>
        <v>2.5000000000000001E-2</v>
      </c>
      <c r="Z3552" s="397"/>
      <c r="AA3552" s="399"/>
      <c r="AB3552" s="394"/>
      <c r="AC3552" s="402"/>
      <c r="AD3552" s="399"/>
      <c r="AE3552" s="402"/>
      <c r="AF3552" s="391"/>
      <c r="AG3552" s="394"/>
      <c r="AH3552" s="394"/>
      <c r="AI3552" s="394"/>
      <c r="AJ3552" s="394"/>
      <c r="AK3552" s="394"/>
      <c r="AL3552" s="394"/>
      <c r="AM3552" s="394"/>
      <c r="AN3552" s="394"/>
      <c r="AO3552" s="394"/>
      <c r="AP3552" s="394"/>
      <c r="AQ3552" s="394"/>
      <c r="AR3552" s="394"/>
      <c r="AS3552" s="402"/>
      <c r="AT3552" s="404"/>
      <c r="AU3552" s="394"/>
      <c r="AV3552" s="394"/>
      <c r="AW3552" s="394"/>
      <c r="AX3552" s="5"/>
      <c r="AY3552" s="5"/>
      <c r="AZ3552" s="5"/>
      <c r="BA3552" s="5"/>
      <c r="BB3552" s="5"/>
      <c r="BC3552" s="5"/>
      <c r="BD3552" s="5"/>
      <c r="BE3552" s="5"/>
      <c r="BF3552" s="5"/>
      <c r="BG3552" s="5"/>
      <c r="BH3552" s="5"/>
      <c r="BI3552" s="5"/>
      <c r="BJ3552" s="5"/>
      <c r="BK3552" s="5"/>
      <c r="BL3552" s="5"/>
      <c r="BM3552" s="5"/>
      <c r="BN3552" s="5"/>
      <c r="BO3552" s="5"/>
      <c r="BP3552" s="5"/>
      <c r="BQ3552" s="5"/>
      <c r="BR3552" s="5"/>
      <c r="BS3552" s="5"/>
      <c r="BT3552" s="5"/>
      <c r="BU3552" s="5"/>
      <c r="BV3552" s="5"/>
      <c r="BW3552" s="5"/>
      <c r="BX3552" s="5"/>
      <c r="BY3552" s="5"/>
      <c r="BZ3552" s="5"/>
      <c r="CA3552" s="5"/>
    </row>
    <row r="3553" spans="1:79" s="400" customFormat="1" ht="15" customHeight="1">
      <c r="A3553" s="41" t="s">
        <v>183</v>
      </c>
      <c r="B3553" s="402" t="s">
        <v>2853</v>
      </c>
      <c r="C3553" s="113" t="s">
        <v>2991</v>
      </c>
      <c r="D3553" s="393" t="s">
        <v>1135</v>
      </c>
      <c r="E3553" s="394" t="s">
        <v>235</v>
      </c>
      <c r="F3553" s="85" t="s">
        <v>2993</v>
      </c>
      <c r="G3553" s="405" t="s">
        <v>2992</v>
      </c>
      <c r="H3553" s="404">
        <v>4952</v>
      </c>
      <c r="I3553" s="402" t="s">
        <v>1</v>
      </c>
      <c r="J3553" s="401" t="s">
        <v>938</v>
      </c>
      <c r="K3553" s="403">
        <v>41487</v>
      </c>
      <c r="L3553" s="398">
        <v>41478</v>
      </c>
      <c r="M3553" s="402">
        <f t="shared" ref="M3553" si="215">K3553-L3553</f>
        <v>9</v>
      </c>
      <c r="N3553" s="402" t="s">
        <v>2</v>
      </c>
      <c r="O3553" s="404">
        <f>2/2</f>
        <v>1</v>
      </c>
      <c r="P3553" s="402">
        <v>4.17</v>
      </c>
      <c r="Q3553" s="404">
        <v>6.2</v>
      </c>
      <c r="R3553" s="402">
        <v>68</v>
      </c>
      <c r="S3553" s="404">
        <v>37</v>
      </c>
      <c r="T3553" s="402">
        <v>0.2</v>
      </c>
      <c r="U3553" s="395">
        <v>3.57</v>
      </c>
      <c r="V3553" s="402">
        <v>1.53</v>
      </c>
      <c r="W3553" s="404">
        <v>3.2000000000000001E-2</v>
      </c>
      <c r="X3553" s="402">
        <v>0.29499999999999998</v>
      </c>
      <c r="Y3553" s="404">
        <f>0.03/2</f>
        <v>1.4999999999999999E-2</v>
      </c>
      <c r="Z3553" s="397"/>
      <c r="AA3553" s="399"/>
      <c r="AB3553" s="394"/>
      <c r="AC3553" s="402"/>
      <c r="AD3553" s="399"/>
      <c r="AE3553" s="402"/>
      <c r="AF3553" s="391"/>
      <c r="AG3553" s="394"/>
      <c r="AH3553" s="394"/>
      <c r="AI3553" s="394"/>
      <c r="AJ3553" s="394"/>
      <c r="AK3553" s="394"/>
      <c r="AL3553" s="394"/>
      <c r="AM3553" s="394"/>
      <c r="AN3553" s="394"/>
      <c r="AO3553" s="394"/>
      <c r="AP3553" s="394"/>
      <c r="AQ3553" s="394"/>
      <c r="AR3553" s="394"/>
      <c r="AS3553" s="402"/>
      <c r="AT3553" s="404"/>
      <c r="AU3553" s="394"/>
      <c r="AV3553" s="394"/>
      <c r="AW3553" s="394"/>
      <c r="AX3553" s="5"/>
      <c r="AY3553" s="5"/>
      <c r="AZ3553" s="5"/>
      <c r="BA3553" s="5"/>
      <c r="BB3553" s="5"/>
      <c r="BC3553" s="5"/>
      <c r="BD3553" s="5"/>
      <c r="BE3553" s="5"/>
      <c r="BF3553" s="5"/>
      <c r="BG3553" s="5"/>
      <c r="BH3553" s="5"/>
      <c r="BI3553" s="5"/>
      <c r="BJ3553" s="5"/>
      <c r="BK3553" s="5"/>
      <c r="BL3553" s="5"/>
      <c r="BM3553" s="5"/>
      <c r="BN3553" s="5"/>
      <c r="BO3553" s="5"/>
      <c r="BP3553" s="5"/>
      <c r="BQ3553" s="5"/>
      <c r="BR3553" s="5"/>
      <c r="BS3553" s="5"/>
      <c r="BT3553" s="5"/>
      <c r="BU3553" s="5"/>
      <c r="BV3553" s="5"/>
      <c r="BW3553" s="5"/>
      <c r="BX3553" s="5"/>
      <c r="BY3553" s="5"/>
      <c r="BZ3553" s="5"/>
      <c r="CA3553" s="5"/>
    </row>
    <row r="3554" spans="1:79" s="400" customFormat="1" ht="15" customHeight="1">
      <c r="A3554" s="41" t="s">
        <v>183</v>
      </c>
      <c r="B3554" s="402" t="s">
        <v>3967</v>
      </c>
      <c r="C3554" s="113" t="s">
        <v>3967</v>
      </c>
      <c r="D3554" s="393" t="s">
        <v>56</v>
      </c>
      <c r="E3554" s="394" t="s">
        <v>112</v>
      </c>
      <c r="F3554" s="402">
        <v>5200</v>
      </c>
      <c r="G3554" s="405" t="s">
        <v>5869</v>
      </c>
      <c r="H3554" s="404">
        <v>4119</v>
      </c>
      <c r="I3554" s="402" t="s">
        <v>2</v>
      </c>
      <c r="J3554" s="406" t="s">
        <v>5870</v>
      </c>
      <c r="K3554" s="403">
        <v>41072</v>
      </c>
      <c r="L3554" s="398">
        <v>41067</v>
      </c>
      <c r="M3554" s="402">
        <f t="shared" si="214"/>
        <v>5</v>
      </c>
      <c r="N3554" s="402" t="s">
        <v>2</v>
      </c>
      <c r="O3554" s="404">
        <f>5/2</f>
        <v>2.5</v>
      </c>
      <c r="P3554" s="402">
        <v>5.09</v>
      </c>
      <c r="Q3554" s="404">
        <v>4.3499999999999996</v>
      </c>
      <c r="R3554" s="402">
        <v>163</v>
      </c>
      <c r="S3554" s="404">
        <v>6</v>
      </c>
      <c r="T3554" s="402">
        <v>0.06</v>
      </c>
      <c r="U3554" s="395">
        <v>2.12</v>
      </c>
      <c r="V3554" s="402">
        <v>1.35</v>
      </c>
      <c r="W3554" s="404">
        <v>3.4000000000000002E-2</v>
      </c>
      <c r="X3554" s="402">
        <v>0.24</v>
      </c>
      <c r="Y3554" s="404">
        <v>1.2E-2</v>
      </c>
      <c r="Z3554" s="397">
        <v>0.70699999999999996</v>
      </c>
      <c r="AA3554" s="399">
        <v>0.70699999999999996</v>
      </c>
      <c r="AB3554" s="394">
        <v>18</v>
      </c>
      <c r="AC3554" s="402">
        <v>74</v>
      </c>
      <c r="AD3554" s="399">
        <v>0</v>
      </c>
      <c r="AE3554" s="402"/>
      <c r="AF3554" s="391"/>
      <c r="AG3554" s="394"/>
      <c r="AH3554" s="394"/>
      <c r="AI3554" s="394"/>
      <c r="AJ3554" s="394"/>
      <c r="AK3554" s="394"/>
      <c r="AL3554" s="394"/>
      <c r="AM3554" s="394"/>
      <c r="AN3554" s="394"/>
      <c r="AO3554" s="394"/>
      <c r="AP3554" s="394"/>
      <c r="AQ3554" s="394"/>
      <c r="AR3554" s="394"/>
      <c r="AS3554" s="402"/>
      <c r="AT3554" s="404"/>
      <c r="AU3554" s="394"/>
      <c r="AV3554" s="394"/>
      <c r="AW3554" s="394"/>
      <c r="AX3554" s="5"/>
      <c r="AY3554" s="5"/>
      <c r="AZ3554" s="5"/>
      <c r="BA3554" s="5"/>
      <c r="BB3554" s="5"/>
      <c r="BC3554" s="5"/>
      <c r="BD3554" s="5"/>
      <c r="BE3554" s="5"/>
      <c r="BF3554" s="5"/>
      <c r="BG3554" s="5"/>
      <c r="BH3554" s="5"/>
      <c r="BI3554" s="5"/>
      <c r="BJ3554" s="5"/>
      <c r="BK3554" s="5"/>
      <c r="BL3554" s="5"/>
      <c r="BM3554" s="5"/>
      <c r="BN3554" s="5"/>
      <c r="BO3554" s="5"/>
      <c r="BP3554" s="5"/>
      <c r="BQ3554" s="5"/>
      <c r="BR3554" s="5"/>
      <c r="BS3554" s="5"/>
      <c r="BT3554" s="5"/>
      <c r="BU3554" s="5"/>
      <c r="BV3554" s="5"/>
      <c r="BW3554" s="5"/>
      <c r="BX3554" s="5"/>
      <c r="BY3554" s="5"/>
      <c r="BZ3554" s="5"/>
      <c r="CA3554" s="5"/>
    </row>
    <row r="3555" spans="1:79" s="400" customFormat="1" ht="15" customHeight="1">
      <c r="A3555" s="41" t="s">
        <v>183</v>
      </c>
      <c r="B3555" s="402" t="s">
        <v>3967</v>
      </c>
      <c r="C3555" s="113" t="s">
        <v>3967</v>
      </c>
      <c r="D3555" s="393" t="s">
        <v>56</v>
      </c>
      <c r="E3555" s="394" t="s">
        <v>112</v>
      </c>
      <c r="F3555" s="402">
        <v>5200</v>
      </c>
      <c r="G3555" s="405" t="s">
        <v>5869</v>
      </c>
      <c r="H3555" s="404">
        <v>4119</v>
      </c>
      <c r="I3555" s="402" t="s">
        <v>2</v>
      </c>
      <c r="J3555" s="406" t="s">
        <v>5870</v>
      </c>
      <c r="K3555" s="403">
        <v>41180</v>
      </c>
      <c r="L3555" s="398">
        <v>41170</v>
      </c>
      <c r="M3555" s="402">
        <f t="shared" si="214"/>
        <v>10</v>
      </c>
      <c r="N3555" s="402" t="s">
        <v>2</v>
      </c>
      <c r="O3555" s="404">
        <f>5/2</f>
        <v>2.5</v>
      </c>
      <c r="P3555" s="402">
        <v>4.9000000000000004</v>
      </c>
      <c r="Q3555" s="404">
        <v>8.2899999999999991</v>
      </c>
      <c r="R3555" s="402">
        <v>39.6</v>
      </c>
      <c r="S3555" s="404">
        <v>15</v>
      </c>
      <c r="T3555" s="402">
        <v>7.0000000000000007E-2</v>
      </c>
      <c r="U3555" s="395">
        <v>0.72</v>
      </c>
      <c r="V3555" s="402">
        <v>1.31</v>
      </c>
      <c r="W3555" s="404">
        <v>7.0000000000000001E-3</v>
      </c>
      <c r="X3555" s="402">
        <v>0.04</v>
      </c>
      <c r="Y3555" s="404">
        <v>3.0000000000000001E-3</v>
      </c>
      <c r="Z3555" s="397"/>
      <c r="AA3555" s="399"/>
      <c r="AB3555" s="394"/>
      <c r="AC3555" s="402"/>
      <c r="AD3555" s="399"/>
      <c r="AE3555" s="402"/>
      <c r="AF3555" s="391"/>
      <c r="AG3555" s="394"/>
      <c r="AH3555" s="394"/>
      <c r="AI3555" s="394"/>
      <c r="AJ3555" s="394"/>
      <c r="AK3555" s="394"/>
      <c r="AL3555" s="394"/>
      <c r="AM3555" s="394"/>
      <c r="AN3555" s="394"/>
      <c r="AO3555" s="394"/>
      <c r="AP3555" s="394"/>
      <c r="AQ3555" s="394"/>
      <c r="AR3555" s="394"/>
      <c r="AS3555" s="402"/>
      <c r="AT3555" s="404"/>
      <c r="AU3555" s="394"/>
      <c r="AV3555" s="394"/>
      <c r="AW3555" s="394"/>
      <c r="AX3555" s="5"/>
      <c r="AY3555" s="5"/>
      <c r="AZ3555" s="5"/>
      <c r="BA3555" s="5"/>
      <c r="BB3555" s="5"/>
      <c r="BC3555" s="5"/>
      <c r="BD3555" s="5"/>
      <c r="BE3555" s="5"/>
      <c r="BF3555" s="5"/>
      <c r="BG3555" s="5"/>
      <c r="BH3555" s="5"/>
      <c r="BI3555" s="5"/>
      <c r="BJ3555" s="5"/>
      <c r="BK3555" s="5"/>
      <c r="BL3555" s="5"/>
      <c r="BM3555" s="5"/>
      <c r="BN3555" s="5"/>
      <c r="BO3555" s="5"/>
      <c r="BP3555" s="5"/>
      <c r="BQ3555" s="5"/>
      <c r="BR3555" s="5"/>
      <c r="BS3555" s="5"/>
      <c r="BT3555" s="5"/>
      <c r="BU3555" s="5"/>
      <c r="BV3555" s="5"/>
      <c r="BW3555" s="5"/>
      <c r="BX3555" s="5"/>
      <c r="BY3555" s="5"/>
      <c r="BZ3555" s="5"/>
      <c r="CA3555" s="5"/>
    </row>
    <row r="3556" spans="1:79" ht="15" customHeight="1">
      <c r="A3556" s="41" t="s">
        <v>183</v>
      </c>
      <c r="B3556" s="402" t="s">
        <v>1386</v>
      </c>
      <c r="C3556" s="113" t="s">
        <v>1387</v>
      </c>
      <c r="D3556" s="393" t="s">
        <v>350</v>
      </c>
      <c r="E3556" s="394" t="s">
        <v>1388</v>
      </c>
      <c r="G3556" s="405" t="s">
        <v>1389</v>
      </c>
      <c r="H3556" s="49">
        <v>3724</v>
      </c>
      <c r="I3556" s="50" t="s">
        <v>2</v>
      </c>
      <c r="J3556" s="76" t="s">
        <v>335</v>
      </c>
      <c r="K3556" s="51">
        <v>41645</v>
      </c>
      <c r="L3556" s="173">
        <v>41641</v>
      </c>
      <c r="M3556" s="50">
        <f t="shared" si="214"/>
        <v>4</v>
      </c>
      <c r="N3556" s="50" t="s">
        <v>2</v>
      </c>
      <c r="O3556" s="74">
        <f>1.1/2</f>
        <v>0.55000000000000004</v>
      </c>
      <c r="Q3556" s="74">
        <v>6.78</v>
      </c>
      <c r="R3556" s="50">
        <v>6.26</v>
      </c>
      <c r="S3556" s="74">
        <v>9</v>
      </c>
      <c r="T3556" s="50">
        <v>4.24E-2</v>
      </c>
      <c r="U3556" s="131">
        <v>0.42</v>
      </c>
      <c r="V3556" s="50">
        <v>0.26600000000000001</v>
      </c>
      <c r="W3556" s="74">
        <f>0.01/2</f>
        <v>5.0000000000000001E-3</v>
      </c>
      <c r="X3556" s="50">
        <f>0.06/2</f>
        <v>0.03</v>
      </c>
      <c r="Y3556" s="74">
        <f>0.015/2</f>
        <v>7.4999999999999997E-3</v>
      </c>
      <c r="Z3556" s="165"/>
    </row>
    <row r="3557" spans="1:79" s="400" customFormat="1" ht="15" customHeight="1">
      <c r="A3557" s="41" t="s">
        <v>183</v>
      </c>
      <c r="B3557" s="402" t="s">
        <v>1386</v>
      </c>
      <c r="C3557" s="113" t="s">
        <v>1387</v>
      </c>
      <c r="D3557" s="393" t="s">
        <v>350</v>
      </c>
      <c r="E3557" s="394" t="s">
        <v>1388</v>
      </c>
      <c r="F3557" s="402"/>
      <c r="G3557" s="405" t="s">
        <v>1389</v>
      </c>
      <c r="H3557" s="391">
        <v>3724</v>
      </c>
      <c r="I3557" s="402" t="s">
        <v>2</v>
      </c>
      <c r="J3557" s="393" t="s">
        <v>335</v>
      </c>
      <c r="K3557" s="403">
        <v>41345</v>
      </c>
      <c r="L3557" s="398">
        <v>41341</v>
      </c>
      <c r="M3557" s="402">
        <f t="shared" si="214"/>
        <v>4</v>
      </c>
      <c r="N3557" s="402" t="s">
        <v>2</v>
      </c>
      <c r="O3557" s="404">
        <v>2.2000000000000002</v>
      </c>
      <c r="P3557" s="402"/>
      <c r="Q3557" s="404">
        <v>6.16</v>
      </c>
      <c r="R3557" s="402">
        <v>7.46</v>
      </c>
      <c r="S3557" s="404">
        <v>35</v>
      </c>
      <c r="T3557" s="402">
        <v>0.21099999999999999</v>
      </c>
      <c r="U3557" s="395">
        <v>1.4</v>
      </c>
      <c r="V3557" s="402">
        <v>0.23</v>
      </c>
      <c r="W3557" s="404">
        <v>1.32E-2</v>
      </c>
      <c r="X3557" s="402">
        <v>5.4199999999999998E-2</v>
      </c>
      <c r="Y3557" s="404">
        <v>1.0200000000000001E-2</v>
      </c>
      <c r="Z3557" s="397"/>
      <c r="AA3557" s="399"/>
      <c r="AB3557" s="394"/>
      <c r="AC3557" s="402"/>
      <c r="AD3557" s="399"/>
      <c r="AE3557" s="402"/>
      <c r="AF3557" s="391"/>
      <c r="AG3557" s="394"/>
      <c r="AH3557" s="394"/>
      <c r="AI3557" s="394"/>
      <c r="AJ3557" s="394"/>
      <c r="AK3557" s="394"/>
      <c r="AL3557" s="394"/>
      <c r="AM3557" s="394"/>
      <c r="AN3557" s="394"/>
      <c r="AO3557" s="394"/>
      <c r="AP3557" s="394"/>
      <c r="AQ3557" s="394"/>
      <c r="AR3557" s="394"/>
      <c r="AS3557" s="402"/>
      <c r="AT3557" s="404"/>
      <c r="AU3557" s="394"/>
      <c r="AV3557" s="394"/>
      <c r="AW3557" s="394"/>
      <c r="AX3557" s="5"/>
      <c r="AY3557" s="5"/>
      <c r="AZ3557" s="5"/>
      <c r="BA3557" s="5"/>
      <c r="BB3557" s="5"/>
      <c r="BC3557" s="5"/>
      <c r="BD3557" s="5"/>
      <c r="BE3557" s="5"/>
      <c r="BF3557" s="5"/>
      <c r="BG3557" s="5"/>
      <c r="BH3557" s="5"/>
      <c r="BI3557" s="5"/>
      <c r="BJ3557" s="5"/>
      <c r="BK3557" s="5"/>
      <c r="BL3557" s="5"/>
      <c r="BM3557" s="5"/>
      <c r="BN3557" s="5"/>
      <c r="BO3557" s="5"/>
      <c r="BP3557" s="5"/>
      <c r="BQ3557" s="5"/>
      <c r="BR3557" s="5"/>
      <c r="BS3557" s="5"/>
      <c r="BT3557" s="5"/>
      <c r="BU3557" s="5"/>
      <c r="BV3557" s="5"/>
      <c r="BW3557" s="5"/>
      <c r="BX3557" s="5"/>
      <c r="BY3557" s="5"/>
      <c r="BZ3557" s="5"/>
      <c r="CA3557" s="5"/>
    </row>
    <row r="3558" spans="1:79" s="400" customFormat="1" ht="15" customHeight="1">
      <c r="A3558" s="41" t="s">
        <v>183</v>
      </c>
      <c r="B3558" s="402" t="s">
        <v>1386</v>
      </c>
      <c r="C3558" s="113" t="s">
        <v>1387</v>
      </c>
      <c r="D3558" s="393" t="s">
        <v>350</v>
      </c>
      <c r="E3558" s="394" t="s">
        <v>1388</v>
      </c>
      <c r="F3558" s="402"/>
      <c r="G3558" s="405" t="s">
        <v>1389</v>
      </c>
      <c r="H3558" s="391">
        <v>3724</v>
      </c>
      <c r="I3558" s="402" t="s">
        <v>2</v>
      </c>
      <c r="J3558" s="393" t="s">
        <v>335</v>
      </c>
      <c r="K3558" s="403">
        <v>41184</v>
      </c>
      <c r="L3558" s="398">
        <v>41180</v>
      </c>
      <c r="M3558" s="402">
        <f t="shared" si="214"/>
        <v>4</v>
      </c>
      <c r="N3558" s="402" t="s">
        <v>2</v>
      </c>
      <c r="O3558" s="404">
        <f>1/2</f>
        <v>0.5</v>
      </c>
      <c r="P3558" s="402"/>
      <c r="Q3558" s="404">
        <v>6.37</v>
      </c>
      <c r="R3558" s="402">
        <f>5/2</f>
        <v>2.5</v>
      </c>
      <c r="S3558" s="404">
        <v>14</v>
      </c>
      <c r="T3558" s="402">
        <v>0.107</v>
      </c>
      <c r="U3558" s="395">
        <v>0.42</v>
      </c>
      <c r="V3558" s="402">
        <v>0.12</v>
      </c>
      <c r="W3558" s="404">
        <f>0.005/2</f>
        <v>2.5000000000000001E-3</v>
      </c>
      <c r="X3558" s="402">
        <v>2.0400000000000001E-2</v>
      </c>
      <c r="Y3558" s="404">
        <f>0.0075/2</f>
        <v>3.7499999999999999E-3</v>
      </c>
      <c r="Z3558" s="397">
        <v>1</v>
      </c>
      <c r="AA3558" s="399">
        <v>1</v>
      </c>
      <c r="AB3558" s="394">
        <v>4</v>
      </c>
      <c r="AC3558" s="402">
        <v>23</v>
      </c>
      <c r="AD3558" s="399">
        <v>1</v>
      </c>
      <c r="AE3558" s="402"/>
      <c r="AF3558" s="391"/>
      <c r="AG3558" s="394"/>
      <c r="AH3558" s="394"/>
      <c r="AI3558" s="394"/>
      <c r="AJ3558" s="394"/>
      <c r="AK3558" s="394"/>
      <c r="AL3558" s="394"/>
      <c r="AM3558" s="394"/>
      <c r="AN3558" s="394"/>
      <c r="AO3558" s="394"/>
      <c r="AP3558" s="394"/>
      <c r="AQ3558" s="394"/>
      <c r="AR3558" s="394"/>
      <c r="AS3558" s="402"/>
      <c r="AT3558" s="404"/>
      <c r="AU3558" s="394"/>
      <c r="AV3558" s="394"/>
      <c r="AW3558" s="394"/>
      <c r="AX3558" s="5"/>
      <c r="AY3558" s="5"/>
      <c r="AZ3558" s="5"/>
      <c r="BA3558" s="5"/>
      <c r="BB3558" s="5"/>
      <c r="BC3558" s="5"/>
      <c r="BD3558" s="5"/>
      <c r="BE3558" s="5"/>
      <c r="BF3558" s="5"/>
      <c r="BG3558" s="5"/>
      <c r="BH3558" s="5"/>
      <c r="BI3558" s="5"/>
      <c r="BJ3558" s="5"/>
      <c r="BK3558" s="5"/>
      <c r="BL3558" s="5"/>
      <c r="BM3558" s="5"/>
      <c r="BN3558" s="5"/>
      <c r="BO3558" s="5"/>
      <c r="BP3558" s="5"/>
      <c r="BQ3558" s="5"/>
      <c r="BR3558" s="5"/>
      <c r="BS3558" s="5"/>
      <c r="BT3558" s="5"/>
      <c r="BU3558" s="5"/>
      <c r="BV3558" s="5"/>
      <c r="BW3558" s="5"/>
      <c r="BX3558" s="5"/>
      <c r="BY3558" s="5"/>
      <c r="BZ3558" s="5"/>
      <c r="CA3558" s="5"/>
    </row>
    <row r="3559" spans="1:79" s="400" customFormat="1" ht="15" customHeight="1">
      <c r="A3559" s="41" t="s">
        <v>183</v>
      </c>
      <c r="B3559" s="402" t="s">
        <v>2260</v>
      </c>
      <c r="C3559" s="113" t="s">
        <v>2260</v>
      </c>
      <c r="D3559" s="393" t="s">
        <v>347</v>
      </c>
      <c r="E3559" s="394" t="s">
        <v>1874</v>
      </c>
      <c r="F3559" s="402">
        <v>5206</v>
      </c>
      <c r="G3559" s="405" t="s">
        <v>1875</v>
      </c>
      <c r="H3559" s="404">
        <v>3569</v>
      </c>
      <c r="I3559" s="402" t="s">
        <v>2</v>
      </c>
      <c r="J3559" s="406" t="s">
        <v>6624</v>
      </c>
      <c r="K3559" s="403">
        <v>41604</v>
      </c>
      <c r="L3559" s="398">
        <v>41600</v>
      </c>
      <c r="M3559" s="402">
        <f t="shared" si="214"/>
        <v>4</v>
      </c>
      <c r="N3559" s="402" t="s">
        <v>2</v>
      </c>
      <c r="O3559" s="404">
        <f>1/2</f>
        <v>0.5</v>
      </c>
      <c r="P3559" s="402">
        <v>5.59</v>
      </c>
      <c r="Q3559" s="404">
        <v>9.5399999999999991</v>
      </c>
      <c r="R3559" s="402">
        <f>1/2</f>
        <v>0.5</v>
      </c>
      <c r="S3559" s="404">
        <v>251</v>
      </c>
      <c r="T3559" s="402">
        <v>0.3</v>
      </c>
      <c r="U3559" s="395">
        <v>5.32</v>
      </c>
      <c r="V3559" s="402">
        <v>0.28000000000000003</v>
      </c>
      <c r="W3559" s="404">
        <v>0.25</v>
      </c>
      <c r="X3559" s="402">
        <v>0.47</v>
      </c>
      <c r="Y3559" s="404">
        <f>0.05/2</f>
        <v>2.5000000000000001E-2</v>
      </c>
      <c r="Z3559" s="397">
        <v>1</v>
      </c>
      <c r="AA3559" s="399">
        <v>1</v>
      </c>
      <c r="AB3559" s="394">
        <v>46</v>
      </c>
      <c r="AC3559" s="402">
        <v>65</v>
      </c>
      <c r="AD3559" s="399">
        <v>1</v>
      </c>
      <c r="AE3559" s="402"/>
      <c r="AF3559" s="391"/>
      <c r="AG3559" s="394"/>
      <c r="AH3559" s="394"/>
      <c r="AI3559" s="394"/>
      <c r="AJ3559" s="394"/>
      <c r="AK3559" s="394"/>
      <c r="AL3559" s="394"/>
      <c r="AM3559" s="394"/>
      <c r="AN3559" s="394"/>
      <c r="AO3559" s="394"/>
      <c r="AP3559" s="394"/>
      <c r="AQ3559" s="394"/>
      <c r="AR3559" s="394"/>
      <c r="AS3559" s="402"/>
      <c r="AT3559" s="404"/>
      <c r="AU3559" s="394"/>
      <c r="AV3559" s="394"/>
      <c r="AW3559" s="394"/>
      <c r="AX3559" s="5"/>
      <c r="AY3559" s="5"/>
      <c r="AZ3559" s="5"/>
      <c r="BA3559" s="5"/>
      <c r="BB3559" s="5"/>
      <c r="BC3559" s="5"/>
      <c r="BD3559" s="5"/>
      <c r="BE3559" s="5"/>
      <c r="BF3559" s="5"/>
      <c r="BG3559" s="5"/>
      <c r="BH3559" s="5"/>
      <c r="BI3559" s="5"/>
      <c r="BJ3559" s="5"/>
      <c r="BK3559" s="5"/>
      <c r="BL3559" s="5"/>
      <c r="BM3559" s="5"/>
      <c r="BN3559" s="5"/>
      <c r="BO3559" s="5"/>
      <c r="BP3559" s="5"/>
      <c r="BQ3559" s="5"/>
      <c r="BR3559" s="5"/>
      <c r="BS3559" s="5"/>
      <c r="BT3559" s="5"/>
      <c r="BU3559" s="5"/>
      <c r="BV3559" s="5"/>
      <c r="BW3559" s="5"/>
      <c r="BX3559" s="5"/>
      <c r="BY3559" s="5"/>
      <c r="BZ3559" s="5"/>
      <c r="CA3559" s="5"/>
    </row>
    <row r="3560" spans="1:79" s="400" customFormat="1" ht="15" customHeight="1">
      <c r="A3560" s="41" t="s">
        <v>183</v>
      </c>
      <c r="B3560" s="402" t="s">
        <v>2260</v>
      </c>
      <c r="C3560" s="113" t="s">
        <v>2260</v>
      </c>
      <c r="D3560" s="393" t="s">
        <v>347</v>
      </c>
      <c r="E3560" s="394" t="s">
        <v>1874</v>
      </c>
      <c r="F3560" s="402">
        <v>5206</v>
      </c>
      <c r="G3560" s="405" t="s">
        <v>1875</v>
      </c>
      <c r="H3560" s="404">
        <v>3569</v>
      </c>
      <c r="I3560" s="402" t="s">
        <v>2</v>
      </c>
      <c r="J3560" s="401" t="s">
        <v>510</v>
      </c>
      <c r="K3560" s="403">
        <v>41345</v>
      </c>
      <c r="L3560" s="398">
        <v>41341</v>
      </c>
      <c r="M3560" s="402">
        <f t="shared" si="214"/>
        <v>4</v>
      </c>
      <c r="N3560" s="402" t="s">
        <v>1</v>
      </c>
      <c r="O3560" s="404">
        <v>1.2</v>
      </c>
      <c r="P3560" s="402">
        <v>4.97</v>
      </c>
      <c r="Q3560" s="404">
        <v>6.95</v>
      </c>
      <c r="R3560" s="402">
        <v>22</v>
      </c>
      <c r="S3560" s="404">
        <v>48</v>
      </c>
      <c r="T3560" s="402">
        <v>0.12</v>
      </c>
      <c r="U3560" s="395">
        <v>1.33</v>
      </c>
      <c r="V3560" s="402">
        <v>0.56999999999999995</v>
      </c>
      <c r="W3560" s="404">
        <f>0.05/2</f>
        <v>2.5000000000000001E-2</v>
      </c>
      <c r="X3560" s="402">
        <v>0.42</v>
      </c>
      <c r="Y3560" s="404">
        <f>0.05/2</f>
        <v>2.5000000000000001E-2</v>
      </c>
      <c r="Z3560" s="397">
        <v>1</v>
      </c>
      <c r="AA3560" s="399">
        <v>1</v>
      </c>
      <c r="AB3560" s="394">
        <v>90</v>
      </c>
      <c r="AC3560" s="402">
        <v>898</v>
      </c>
      <c r="AD3560" s="399">
        <v>1</v>
      </c>
      <c r="AE3560" s="402"/>
      <c r="AF3560" s="391"/>
      <c r="AG3560" s="394"/>
      <c r="AH3560" s="394"/>
      <c r="AI3560" s="394"/>
      <c r="AJ3560" s="394"/>
      <c r="AK3560" s="394"/>
      <c r="AL3560" s="394"/>
      <c r="AM3560" s="394"/>
      <c r="AN3560" s="394"/>
      <c r="AO3560" s="394"/>
      <c r="AP3560" s="394"/>
      <c r="AQ3560" s="394"/>
      <c r="AR3560" s="394"/>
      <c r="AS3560" s="402"/>
      <c r="AT3560" s="404"/>
      <c r="AU3560" s="394"/>
      <c r="AV3560" s="394"/>
      <c r="AW3560" s="394"/>
      <c r="AX3560" s="5"/>
      <c r="AY3560" s="5"/>
      <c r="AZ3560" s="5"/>
      <c r="BA3560" s="5"/>
      <c r="BB3560" s="5"/>
      <c r="BC3560" s="5"/>
      <c r="BD3560" s="5"/>
      <c r="BE3560" s="5"/>
      <c r="BF3560" s="5"/>
      <c r="BG3560" s="5"/>
      <c r="BH3560" s="5"/>
      <c r="BI3560" s="5"/>
      <c r="BJ3560" s="5"/>
      <c r="BK3560" s="5"/>
      <c r="BL3560" s="5"/>
      <c r="BM3560" s="5"/>
      <c r="BN3560" s="5"/>
      <c r="BO3560" s="5"/>
      <c r="BP3560" s="5"/>
      <c r="BQ3560" s="5"/>
      <c r="BR3560" s="5"/>
      <c r="BS3560" s="5"/>
      <c r="BT3560" s="5"/>
      <c r="BU3560" s="5"/>
      <c r="BV3560" s="5"/>
      <c r="BW3560" s="5"/>
      <c r="BX3560" s="5"/>
      <c r="BY3560" s="5"/>
      <c r="BZ3560" s="5"/>
      <c r="CA3560" s="5"/>
    </row>
    <row r="3561" spans="1:79" s="400" customFormat="1" ht="15" customHeight="1">
      <c r="A3561" s="41" t="s">
        <v>183</v>
      </c>
      <c r="B3561" s="402" t="s">
        <v>2260</v>
      </c>
      <c r="C3561" s="113" t="s">
        <v>2260</v>
      </c>
      <c r="D3561" s="393" t="s">
        <v>347</v>
      </c>
      <c r="E3561" s="394" t="s">
        <v>1874</v>
      </c>
      <c r="F3561" s="402">
        <v>5206</v>
      </c>
      <c r="G3561" s="405" t="s">
        <v>1875</v>
      </c>
      <c r="H3561" s="404">
        <v>3569</v>
      </c>
      <c r="I3561" s="402" t="s">
        <v>2</v>
      </c>
      <c r="J3561" s="401" t="s">
        <v>510</v>
      </c>
      <c r="K3561" s="403">
        <v>41438</v>
      </c>
      <c r="L3561" s="398">
        <v>41435</v>
      </c>
      <c r="M3561" s="402">
        <f t="shared" si="214"/>
        <v>3</v>
      </c>
      <c r="N3561" s="402" t="s">
        <v>2</v>
      </c>
      <c r="O3561" s="404">
        <v>3.3</v>
      </c>
      <c r="P3561" s="402">
        <v>4.82</v>
      </c>
      <c r="Q3561" s="404">
        <v>7.09</v>
      </c>
      <c r="R3561" s="402">
        <v>91</v>
      </c>
      <c r="S3561" s="404">
        <v>119</v>
      </c>
      <c r="T3561" s="402">
        <v>0.3</v>
      </c>
      <c r="U3561" s="395">
        <v>1.68</v>
      </c>
      <c r="V3561" s="402">
        <v>0.73</v>
      </c>
      <c r="W3561" s="404">
        <v>7.0000000000000007E-2</v>
      </c>
      <c r="X3561" s="402">
        <v>0.61</v>
      </c>
      <c r="Y3561" s="404">
        <f>0.1/2</f>
        <v>0.05</v>
      </c>
      <c r="Z3561" s="397">
        <v>0.70699999999999996</v>
      </c>
      <c r="AA3561" s="399">
        <v>0.70699999999999996</v>
      </c>
      <c r="AB3561" s="394">
        <v>31</v>
      </c>
      <c r="AC3561" s="402">
        <v>171</v>
      </c>
      <c r="AD3561" s="399">
        <v>0</v>
      </c>
      <c r="AE3561" s="402"/>
      <c r="AF3561" s="391"/>
      <c r="AG3561" s="394"/>
      <c r="AH3561" s="394"/>
      <c r="AI3561" s="394"/>
      <c r="AJ3561" s="394"/>
      <c r="AK3561" s="394"/>
      <c r="AL3561" s="394"/>
      <c r="AM3561" s="394"/>
      <c r="AN3561" s="394"/>
      <c r="AO3561" s="394"/>
      <c r="AP3561" s="394"/>
      <c r="AQ3561" s="394"/>
      <c r="AR3561" s="394"/>
      <c r="AS3561" s="402"/>
      <c r="AT3561" s="404"/>
      <c r="AU3561" s="394"/>
      <c r="AV3561" s="394"/>
      <c r="AW3561" s="394"/>
      <c r="AX3561" s="5"/>
      <c r="AY3561" s="5"/>
      <c r="AZ3561" s="5"/>
      <c r="BA3561" s="5"/>
      <c r="BB3561" s="5"/>
      <c r="BC3561" s="5"/>
      <c r="BD3561" s="5"/>
      <c r="BE3561" s="5"/>
      <c r="BF3561" s="5"/>
      <c r="BG3561" s="5"/>
      <c r="BH3561" s="5"/>
      <c r="BI3561" s="5"/>
      <c r="BJ3561" s="5"/>
      <c r="BK3561" s="5"/>
      <c r="BL3561" s="5"/>
      <c r="BM3561" s="5"/>
      <c r="BN3561" s="5"/>
      <c r="BO3561" s="5"/>
      <c r="BP3561" s="5"/>
      <c r="BQ3561" s="5"/>
      <c r="BR3561" s="5"/>
      <c r="BS3561" s="5"/>
      <c r="BT3561" s="5"/>
      <c r="BU3561" s="5"/>
      <c r="BV3561" s="5"/>
      <c r="BW3561" s="5"/>
      <c r="BX3561" s="5"/>
      <c r="BY3561" s="5"/>
      <c r="BZ3561" s="5"/>
      <c r="CA3561" s="5"/>
    </row>
    <row r="3562" spans="1:79" s="400" customFormat="1" ht="15" customHeight="1">
      <c r="A3562" s="41" t="s">
        <v>183</v>
      </c>
      <c r="B3562" s="402" t="s">
        <v>4843</v>
      </c>
      <c r="C3562" s="113" t="s">
        <v>4843</v>
      </c>
      <c r="D3562" s="393" t="s">
        <v>111</v>
      </c>
      <c r="E3562" s="394" t="s">
        <v>429</v>
      </c>
      <c r="F3562" s="402" t="s">
        <v>6193</v>
      </c>
      <c r="G3562" s="405" t="s">
        <v>3614</v>
      </c>
      <c r="H3562" s="404">
        <v>3312</v>
      </c>
      <c r="I3562" s="402" t="s">
        <v>1</v>
      </c>
      <c r="J3562" s="406" t="s">
        <v>2140</v>
      </c>
      <c r="K3562" s="403">
        <v>41122</v>
      </c>
      <c r="L3562" s="398">
        <v>41118</v>
      </c>
      <c r="M3562" s="402">
        <f t="shared" ref="M3562:M3573" si="216">K3562-L3562</f>
        <v>4</v>
      </c>
      <c r="N3562" s="402" t="s">
        <v>2</v>
      </c>
      <c r="O3562" s="404">
        <f>1/2</f>
        <v>0.5</v>
      </c>
      <c r="P3562" s="402">
        <v>6.04</v>
      </c>
      <c r="Q3562" s="404">
        <v>7.51</v>
      </c>
      <c r="R3562" s="402">
        <v>41.4</v>
      </c>
      <c r="S3562" s="404">
        <v>230</v>
      </c>
      <c r="T3562" s="402">
        <v>0.73</v>
      </c>
      <c r="U3562" s="395">
        <v>0.82</v>
      </c>
      <c r="V3562" s="402">
        <v>0.18</v>
      </c>
      <c r="W3562" s="404">
        <v>0.121</v>
      </c>
      <c r="X3562" s="402">
        <v>0.41499999999999998</v>
      </c>
      <c r="Y3562" s="404">
        <v>7.0000000000000001E-3</v>
      </c>
      <c r="Z3562" s="397">
        <v>1</v>
      </c>
      <c r="AA3562" s="399">
        <v>1</v>
      </c>
      <c r="AB3562" s="394">
        <v>53.17</v>
      </c>
      <c r="AC3562" s="402">
        <v>66</v>
      </c>
      <c r="AD3562" s="399">
        <v>1</v>
      </c>
      <c r="AE3562" s="402"/>
      <c r="AF3562" s="391"/>
      <c r="AG3562" s="394"/>
      <c r="AH3562" s="394"/>
      <c r="AI3562" s="394"/>
      <c r="AJ3562" s="394"/>
      <c r="AK3562" s="394"/>
      <c r="AL3562" s="394"/>
      <c r="AM3562" s="394"/>
      <c r="AN3562" s="394"/>
      <c r="AO3562" s="394"/>
      <c r="AP3562" s="394"/>
      <c r="AQ3562" s="394"/>
      <c r="AR3562" s="394"/>
      <c r="AS3562" s="402"/>
      <c r="AT3562" s="404"/>
      <c r="AU3562" s="394"/>
      <c r="AV3562" s="394"/>
      <c r="AW3562" s="394"/>
      <c r="AX3562" s="5"/>
      <c r="AY3562" s="5"/>
      <c r="AZ3562" s="5"/>
      <c r="BA3562" s="5"/>
      <c r="BB3562" s="5"/>
      <c r="BC3562" s="5"/>
      <c r="BD3562" s="5"/>
      <c r="BE3562" s="5"/>
      <c r="BF3562" s="5"/>
      <c r="BG3562" s="5"/>
      <c r="BH3562" s="5"/>
      <c r="BI3562" s="5"/>
      <c r="BJ3562" s="5"/>
      <c r="BK3562" s="5"/>
      <c r="BL3562" s="5"/>
      <c r="BM3562" s="5"/>
      <c r="BN3562" s="5"/>
      <c r="BO3562" s="5"/>
      <c r="BP3562" s="5"/>
      <c r="BQ3562" s="5"/>
      <c r="BR3562" s="5"/>
      <c r="BS3562" s="5"/>
      <c r="BT3562" s="5"/>
      <c r="BU3562" s="5"/>
      <c r="BV3562" s="5"/>
      <c r="BW3562" s="5"/>
      <c r="BX3562" s="5"/>
      <c r="BY3562" s="5"/>
      <c r="BZ3562" s="5"/>
      <c r="CA3562" s="5"/>
    </row>
    <row r="3563" spans="1:79" s="400" customFormat="1" ht="15" customHeight="1">
      <c r="A3563" s="41" t="s">
        <v>183</v>
      </c>
      <c r="B3563" s="402" t="s">
        <v>4843</v>
      </c>
      <c r="C3563" s="113" t="s">
        <v>4843</v>
      </c>
      <c r="D3563" s="393" t="s">
        <v>111</v>
      </c>
      <c r="E3563" s="394" t="s">
        <v>429</v>
      </c>
      <c r="F3563" s="402" t="s">
        <v>6193</v>
      </c>
      <c r="G3563" s="405" t="s">
        <v>3614</v>
      </c>
      <c r="H3563" s="404">
        <v>3312</v>
      </c>
      <c r="I3563" s="402" t="s">
        <v>1</v>
      </c>
      <c r="J3563" s="401" t="s">
        <v>2141</v>
      </c>
      <c r="K3563" s="403">
        <v>41122</v>
      </c>
      <c r="L3563" s="398">
        <v>41118</v>
      </c>
      <c r="M3563" s="402">
        <f t="shared" si="216"/>
        <v>4</v>
      </c>
      <c r="N3563" s="402" t="s">
        <v>2</v>
      </c>
      <c r="O3563" s="404">
        <f>1/2</f>
        <v>0.5</v>
      </c>
      <c r="P3563" s="402">
        <v>6.16</v>
      </c>
      <c r="Q3563" s="404">
        <v>7.65</v>
      </c>
      <c r="R3563" s="402">
        <v>38.4</v>
      </c>
      <c r="S3563" s="404">
        <v>750</v>
      </c>
      <c r="T3563" s="402">
        <v>2.02</v>
      </c>
      <c r="U3563" s="395">
        <v>1.89</v>
      </c>
      <c r="V3563" s="402">
        <v>0.91</v>
      </c>
      <c r="W3563" s="404">
        <v>0.40600000000000003</v>
      </c>
      <c r="X3563" s="402">
        <v>0.65200000000000002</v>
      </c>
      <c r="Y3563" s="404">
        <v>3.6999999999999998E-2</v>
      </c>
      <c r="Z3563" s="397">
        <v>1</v>
      </c>
      <c r="AA3563" s="399">
        <v>1</v>
      </c>
      <c r="AB3563" s="394">
        <v>182.6</v>
      </c>
      <c r="AC3563" s="402">
        <v>323</v>
      </c>
      <c r="AD3563" s="399">
        <v>1</v>
      </c>
      <c r="AE3563" s="402"/>
      <c r="AF3563" s="391"/>
      <c r="AG3563" s="394"/>
      <c r="AH3563" s="394"/>
      <c r="AI3563" s="394"/>
      <c r="AJ3563" s="394"/>
      <c r="AK3563" s="394"/>
      <c r="AL3563" s="394"/>
      <c r="AM3563" s="394"/>
      <c r="AN3563" s="394"/>
      <c r="AO3563" s="394"/>
      <c r="AP3563" s="394"/>
      <c r="AQ3563" s="394"/>
      <c r="AR3563" s="394"/>
      <c r="AS3563" s="402"/>
      <c r="AT3563" s="404"/>
      <c r="AU3563" s="394"/>
      <c r="AV3563" s="394"/>
      <c r="AW3563" s="394"/>
      <c r="AX3563" s="5"/>
      <c r="AY3563" s="5"/>
      <c r="AZ3563" s="5"/>
      <c r="BA3563" s="5"/>
      <c r="BB3563" s="5"/>
      <c r="BC3563" s="5"/>
      <c r="BD3563" s="5"/>
      <c r="BE3563" s="5"/>
      <c r="BF3563" s="5"/>
      <c r="BG3563" s="5"/>
      <c r="BH3563" s="5"/>
      <c r="BI3563" s="5"/>
      <c r="BJ3563" s="5"/>
      <c r="BK3563" s="5"/>
      <c r="BL3563" s="5"/>
      <c r="BM3563" s="5"/>
      <c r="BN3563" s="5"/>
      <c r="BO3563" s="5"/>
      <c r="BP3563" s="5"/>
      <c r="BQ3563" s="5"/>
      <c r="BR3563" s="5"/>
      <c r="BS3563" s="5"/>
      <c r="BT3563" s="5"/>
      <c r="BU3563" s="5"/>
      <c r="BV3563" s="5"/>
      <c r="BW3563" s="5"/>
      <c r="BX3563" s="5"/>
      <c r="BY3563" s="5"/>
      <c r="BZ3563" s="5"/>
      <c r="CA3563" s="5"/>
    </row>
    <row r="3564" spans="1:79" s="400" customFormat="1" ht="15" customHeight="1">
      <c r="A3564" s="41" t="s">
        <v>183</v>
      </c>
      <c r="B3564" s="402" t="s">
        <v>4843</v>
      </c>
      <c r="C3564" s="113" t="s">
        <v>4843</v>
      </c>
      <c r="D3564" s="393" t="s">
        <v>111</v>
      </c>
      <c r="E3564" s="394" t="s">
        <v>429</v>
      </c>
      <c r="F3564" s="402" t="s">
        <v>6193</v>
      </c>
      <c r="G3564" s="405" t="s">
        <v>3614</v>
      </c>
      <c r="H3564" s="404">
        <v>3312</v>
      </c>
      <c r="I3564" s="402" t="s">
        <v>1</v>
      </c>
      <c r="J3564" s="401" t="s">
        <v>2141</v>
      </c>
      <c r="K3564" s="403">
        <v>41364</v>
      </c>
      <c r="L3564" s="398">
        <v>41352</v>
      </c>
      <c r="M3564" s="402">
        <f t="shared" si="216"/>
        <v>12</v>
      </c>
      <c r="N3564" s="402" t="s">
        <v>2</v>
      </c>
      <c r="O3564" s="404">
        <f>1/2</f>
        <v>0.5</v>
      </c>
      <c r="P3564" s="402">
        <v>6.22</v>
      </c>
      <c r="Q3564" s="404">
        <v>7.46</v>
      </c>
      <c r="R3564" s="402">
        <v>7.5</v>
      </c>
      <c r="S3564" s="404">
        <v>2</v>
      </c>
      <c r="T3564" s="402">
        <f>0.05/2</f>
        <v>2.5000000000000001E-2</v>
      </c>
      <c r="U3564" s="395">
        <v>1.04</v>
      </c>
      <c r="V3564" s="402">
        <v>5.51</v>
      </c>
      <c r="W3564" s="404">
        <v>2.3E-2</v>
      </c>
      <c r="X3564" s="402">
        <v>0.64200000000000002</v>
      </c>
      <c r="Y3564" s="404">
        <v>2E-3</v>
      </c>
      <c r="Z3564" s="397"/>
      <c r="AA3564" s="399"/>
      <c r="AB3564" s="394"/>
      <c r="AC3564" s="402"/>
      <c r="AD3564" s="399"/>
      <c r="AE3564" s="402"/>
      <c r="AF3564" s="391"/>
      <c r="AG3564" s="394"/>
      <c r="AH3564" s="394"/>
      <c r="AI3564" s="394"/>
      <c r="AJ3564" s="394"/>
      <c r="AK3564" s="394"/>
      <c r="AL3564" s="394"/>
      <c r="AM3564" s="394"/>
      <c r="AN3564" s="394"/>
      <c r="AO3564" s="394"/>
      <c r="AP3564" s="394"/>
      <c r="AQ3564" s="394"/>
      <c r="AR3564" s="394"/>
      <c r="AS3564" s="402"/>
      <c r="AT3564" s="404"/>
      <c r="AU3564" s="394"/>
      <c r="AV3564" s="394"/>
      <c r="AW3564" s="394"/>
      <c r="AX3564" s="5"/>
      <c r="AY3564" s="5"/>
      <c r="AZ3564" s="5"/>
      <c r="BA3564" s="5"/>
      <c r="BB3564" s="5"/>
      <c r="BC3564" s="5"/>
      <c r="BD3564" s="5"/>
      <c r="BE3564" s="5"/>
      <c r="BF3564" s="5"/>
      <c r="BG3564" s="5"/>
      <c r="BH3564" s="5"/>
      <c r="BI3564" s="5"/>
      <c r="BJ3564" s="5"/>
      <c r="BK3564" s="5"/>
      <c r="BL3564" s="5"/>
      <c r="BM3564" s="5"/>
      <c r="BN3564" s="5"/>
      <c r="BO3564" s="5"/>
      <c r="BP3564" s="5"/>
      <c r="BQ3564" s="5"/>
      <c r="BR3564" s="5"/>
      <c r="BS3564" s="5"/>
      <c r="BT3564" s="5"/>
      <c r="BU3564" s="5"/>
      <c r="BV3564" s="5"/>
      <c r="BW3564" s="5"/>
      <c r="BX3564" s="5"/>
      <c r="BY3564" s="5"/>
      <c r="BZ3564" s="5"/>
      <c r="CA3564" s="5"/>
    </row>
    <row r="3565" spans="1:79" s="400" customFormat="1" ht="15" customHeight="1">
      <c r="A3565" s="41" t="s">
        <v>183</v>
      </c>
      <c r="B3565" s="402" t="s">
        <v>4843</v>
      </c>
      <c r="C3565" s="113" t="s">
        <v>4843</v>
      </c>
      <c r="D3565" s="393" t="s">
        <v>111</v>
      </c>
      <c r="E3565" s="394" t="s">
        <v>429</v>
      </c>
      <c r="F3565" s="402" t="s">
        <v>6193</v>
      </c>
      <c r="G3565" s="405" t="s">
        <v>3614</v>
      </c>
      <c r="H3565" s="404">
        <v>3312</v>
      </c>
      <c r="I3565" s="402" t="s">
        <v>1</v>
      </c>
      <c r="J3565" s="401" t="s">
        <v>2141</v>
      </c>
      <c r="K3565" s="403">
        <v>41364</v>
      </c>
      <c r="L3565" s="398">
        <v>41352</v>
      </c>
      <c r="M3565" s="402">
        <f t="shared" si="216"/>
        <v>12</v>
      </c>
      <c r="N3565" s="402" t="s">
        <v>2</v>
      </c>
      <c r="O3565" s="404">
        <f>1/2</f>
        <v>0.5</v>
      </c>
      <c r="P3565" s="402">
        <v>6.22</v>
      </c>
      <c r="Q3565" s="404">
        <v>6.98</v>
      </c>
      <c r="R3565" s="402">
        <v>11.3</v>
      </c>
      <c r="S3565" s="404">
        <v>5</v>
      </c>
      <c r="T3565" s="402">
        <v>0.16</v>
      </c>
      <c r="U3565" s="395">
        <v>1.03</v>
      </c>
      <c r="V3565" s="402">
        <v>1.3</v>
      </c>
      <c r="W3565" s="404">
        <v>1.0999999999999999E-2</v>
      </c>
      <c r="X3565" s="402">
        <v>1.147</v>
      </c>
      <c r="Y3565" s="404">
        <f>0.002/2</f>
        <v>1E-3</v>
      </c>
      <c r="Z3565" s="397"/>
      <c r="AA3565" s="399"/>
      <c r="AB3565" s="394"/>
      <c r="AC3565" s="402"/>
      <c r="AD3565" s="399"/>
      <c r="AE3565" s="402"/>
      <c r="AF3565" s="391"/>
      <c r="AG3565" s="394"/>
      <c r="AH3565" s="394"/>
      <c r="AI3565" s="394"/>
      <c r="AJ3565" s="394"/>
      <c r="AK3565" s="394"/>
      <c r="AL3565" s="394"/>
      <c r="AM3565" s="394"/>
      <c r="AN3565" s="394"/>
      <c r="AO3565" s="394"/>
      <c r="AP3565" s="394"/>
      <c r="AQ3565" s="394"/>
      <c r="AR3565" s="394"/>
      <c r="AS3565" s="402"/>
      <c r="AT3565" s="404"/>
      <c r="AU3565" s="394"/>
      <c r="AV3565" s="394"/>
      <c r="AW3565" s="394"/>
      <c r="AX3565" s="5"/>
      <c r="AY3565" s="5"/>
      <c r="AZ3565" s="5"/>
      <c r="BA3565" s="5"/>
      <c r="BB3565" s="5"/>
      <c r="BC3565" s="5"/>
      <c r="BD3565" s="5"/>
      <c r="BE3565" s="5"/>
      <c r="BF3565" s="5"/>
      <c r="BG3565" s="5"/>
      <c r="BH3565" s="5"/>
      <c r="BI3565" s="5"/>
      <c r="BJ3565" s="5"/>
      <c r="BK3565" s="5"/>
      <c r="BL3565" s="5"/>
      <c r="BM3565" s="5"/>
      <c r="BN3565" s="5"/>
      <c r="BO3565" s="5"/>
      <c r="BP3565" s="5"/>
      <c r="BQ3565" s="5"/>
      <c r="BR3565" s="5"/>
      <c r="BS3565" s="5"/>
      <c r="BT3565" s="5"/>
      <c r="BU3565" s="5"/>
      <c r="BV3565" s="5"/>
      <c r="BW3565" s="5"/>
      <c r="BX3565" s="5"/>
      <c r="BY3565" s="5"/>
      <c r="BZ3565" s="5"/>
      <c r="CA3565" s="5"/>
    </row>
    <row r="3566" spans="1:79" s="400" customFormat="1" ht="15" customHeight="1">
      <c r="A3566" s="41" t="s">
        <v>183</v>
      </c>
      <c r="B3566" s="402" t="s">
        <v>5088</v>
      </c>
      <c r="C3566" s="113" t="s">
        <v>5088</v>
      </c>
      <c r="D3566" s="393" t="s">
        <v>338</v>
      </c>
      <c r="E3566" s="394" t="s">
        <v>5089</v>
      </c>
      <c r="F3566" s="402">
        <v>6912</v>
      </c>
      <c r="G3566" s="405" t="s">
        <v>5090</v>
      </c>
      <c r="H3566" s="404">
        <v>3469</v>
      </c>
      <c r="I3566" s="402" t="s">
        <v>2</v>
      </c>
      <c r="J3566" s="406" t="s">
        <v>5091</v>
      </c>
      <c r="K3566" s="403">
        <v>41345</v>
      </c>
      <c r="L3566" s="398">
        <v>41341</v>
      </c>
      <c r="M3566" s="402">
        <f t="shared" si="216"/>
        <v>4</v>
      </c>
      <c r="N3566" s="402" t="s">
        <v>2</v>
      </c>
      <c r="O3566" s="404">
        <f>1.7/2</f>
        <v>0.85</v>
      </c>
      <c r="P3566" s="402">
        <v>6.4</v>
      </c>
      <c r="Q3566" s="404">
        <v>5</v>
      </c>
      <c r="R3566" s="402">
        <v>32</v>
      </c>
      <c r="S3566" s="404">
        <v>74</v>
      </c>
      <c r="T3566" s="402">
        <v>6.8000000000000005E-2</v>
      </c>
      <c r="U3566" s="395">
        <v>1.9</v>
      </c>
      <c r="V3566" s="402">
        <v>1.17</v>
      </c>
      <c r="W3566" s="404">
        <v>2.4E-2</v>
      </c>
      <c r="X3566" s="402">
        <v>0.26600000000000001</v>
      </c>
      <c r="Y3566" s="404">
        <f>0.005/2</f>
        <v>2.5000000000000001E-3</v>
      </c>
      <c r="Z3566" s="397"/>
      <c r="AA3566" s="399"/>
      <c r="AB3566" s="394"/>
      <c r="AC3566" s="402"/>
      <c r="AD3566" s="399"/>
      <c r="AE3566" s="402"/>
      <c r="AF3566" s="391"/>
      <c r="AG3566" s="394"/>
      <c r="AH3566" s="394"/>
      <c r="AI3566" s="394"/>
      <c r="AJ3566" s="394"/>
      <c r="AK3566" s="394"/>
      <c r="AL3566" s="394"/>
      <c r="AM3566" s="394"/>
      <c r="AN3566" s="394"/>
      <c r="AO3566" s="394"/>
      <c r="AP3566" s="394"/>
      <c r="AQ3566" s="394"/>
      <c r="AR3566" s="394"/>
      <c r="AS3566" s="402"/>
      <c r="AT3566" s="404"/>
      <c r="AU3566" s="394"/>
      <c r="AV3566" s="394"/>
      <c r="AW3566" s="394"/>
      <c r="AX3566" s="5"/>
      <c r="AY3566" s="5"/>
      <c r="AZ3566" s="5"/>
      <c r="BA3566" s="5"/>
      <c r="BB3566" s="5"/>
      <c r="BC3566" s="5"/>
      <c r="BD3566" s="5"/>
      <c r="BE3566" s="5"/>
      <c r="BF3566" s="5"/>
      <c r="BG3566" s="5"/>
      <c r="BH3566" s="5"/>
      <c r="BI3566" s="5"/>
      <c r="BJ3566" s="5"/>
      <c r="BK3566" s="5"/>
      <c r="BL3566" s="5"/>
      <c r="BM3566" s="5"/>
      <c r="BN3566" s="5"/>
      <c r="BO3566" s="5"/>
      <c r="BP3566" s="5"/>
      <c r="BQ3566" s="5"/>
      <c r="BR3566" s="5"/>
      <c r="BS3566" s="5"/>
      <c r="BT3566" s="5"/>
      <c r="BU3566" s="5"/>
      <c r="BV3566" s="5"/>
      <c r="BW3566" s="5"/>
      <c r="BX3566" s="5"/>
      <c r="BY3566" s="5"/>
      <c r="BZ3566" s="5"/>
      <c r="CA3566" s="5"/>
    </row>
    <row r="3567" spans="1:79" s="400" customFormat="1" ht="15" customHeight="1">
      <c r="A3567" s="41" t="s">
        <v>183</v>
      </c>
      <c r="B3567" s="402" t="s">
        <v>2057</v>
      </c>
      <c r="C3567" s="113" t="s">
        <v>2057</v>
      </c>
      <c r="D3567" s="393" t="s">
        <v>1759</v>
      </c>
      <c r="E3567" s="394" t="s">
        <v>2058</v>
      </c>
      <c r="F3567" s="402"/>
      <c r="G3567" s="405" t="s">
        <v>2059</v>
      </c>
      <c r="H3567" s="404">
        <v>3589</v>
      </c>
      <c r="I3567" s="402" t="s">
        <v>2</v>
      </c>
      <c r="J3567" s="404" t="s">
        <v>1119</v>
      </c>
      <c r="K3567" s="403">
        <v>41345</v>
      </c>
      <c r="L3567" s="398">
        <v>41341</v>
      </c>
      <c r="M3567" s="402">
        <f t="shared" si="216"/>
        <v>4</v>
      </c>
      <c r="N3567" s="402" t="s">
        <v>2</v>
      </c>
      <c r="O3567" s="404">
        <f>1.4/2</f>
        <v>0.7</v>
      </c>
      <c r="P3567" s="402"/>
      <c r="Q3567" s="404">
        <v>6.26</v>
      </c>
      <c r="R3567" s="402">
        <f>10/2</f>
        <v>5</v>
      </c>
      <c r="S3567" s="404">
        <f>5/2</f>
        <v>2.5</v>
      </c>
      <c r="T3567" s="402">
        <v>0.04</v>
      </c>
      <c r="U3567" s="395">
        <v>0.41</v>
      </c>
      <c r="V3567" s="402">
        <v>0.11</v>
      </c>
      <c r="W3567" s="404">
        <f>0.005/2</f>
        <v>2.5000000000000001E-3</v>
      </c>
      <c r="X3567" s="402">
        <v>0.13400000000000001</v>
      </c>
      <c r="Y3567" s="404">
        <f>0.002/2</f>
        <v>1E-3</v>
      </c>
      <c r="Z3567" s="397">
        <v>0.85199999999999998</v>
      </c>
      <c r="AA3567" s="399">
        <v>0.72</v>
      </c>
      <c r="AB3567" s="394">
        <v>12</v>
      </c>
      <c r="AC3567" s="402">
        <v>36</v>
      </c>
      <c r="AD3567" s="399">
        <v>0.05</v>
      </c>
      <c r="AE3567" s="402"/>
      <c r="AF3567" s="391"/>
      <c r="AG3567" s="394"/>
      <c r="AH3567" s="394"/>
      <c r="AI3567" s="394"/>
      <c r="AJ3567" s="394"/>
      <c r="AK3567" s="394"/>
      <c r="AL3567" s="394"/>
      <c r="AM3567" s="394"/>
      <c r="AN3567" s="394"/>
      <c r="AO3567" s="394"/>
      <c r="AP3567" s="394"/>
      <c r="AQ3567" s="394"/>
      <c r="AR3567" s="394"/>
      <c r="AS3567" s="402"/>
      <c r="AT3567" s="404"/>
      <c r="AU3567" s="394"/>
      <c r="AV3567" s="394"/>
      <c r="AW3567" s="394"/>
      <c r="AX3567" s="5"/>
      <c r="AY3567" s="5"/>
      <c r="AZ3567" s="5"/>
      <c r="BA3567" s="5"/>
      <c r="BB3567" s="5"/>
      <c r="BC3567" s="5"/>
      <c r="BD3567" s="5"/>
      <c r="BE3567" s="5"/>
      <c r="BF3567" s="5"/>
      <c r="BG3567" s="5"/>
      <c r="BH3567" s="5"/>
      <c r="BI3567" s="5"/>
      <c r="BJ3567" s="5"/>
      <c r="BK3567" s="5"/>
      <c r="BL3567" s="5"/>
      <c r="BM3567" s="5"/>
      <c r="BN3567" s="5"/>
      <c r="BO3567" s="5"/>
      <c r="BP3567" s="5"/>
      <c r="BQ3567" s="5"/>
      <c r="BR3567" s="5"/>
      <c r="BS3567" s="5"/>
      <c r="BT3567" s="5"/>
      <c r="BU3567" s="5"/>
      <c r="BV3567" s="5"/>
      <c r="BW3567" s="5"/>
      <c r="BX3567" s="5"/>
      <c r="BY3567" s="5"/>
      <c r="BZ3567" s="5"/>
      <c r="CA3567" s="5"/>
    </row>
    <row r="3568" spans="1:79" s="400" customFormat="1" ht="15" customHeight="1">
      <c r="A3568" s="41" t="s">
        <v>183</v>
      </c>
      <c r="B3568" s="402" t="s">
        <v>519</v>
      </c>
      <c r="C3568" s="113" t="s">
        <v>1332</v>
      </c>
      <c r="D3568" s="393" t="s">
        <v>499</v>
      </c>
      <c r="E3568" s="394" t="s">
        <v>49</v>
      </c>
      <c r="F3568" s="402"/>
      <c r="G3568" s="405" t="s">
        <v>1333</v>
      </c>
      <c r="H3568" s="404">
        <v>4952</v>
      </c>
      <c r="I3568" s="402" t="s">
        <v>2</v>
      </c>
      <c r="J3568" s="401" t="s">
        <v>81</v>
      </c>
      <c r="K3568" s="403">
        <v>41402</v>
      </c>
      <c r="L3568" s="398">
        <v>41384</v>
      </c>
      <c r="M3568" s="402">
        <f t="shared" si="216"/>
        <v>18</v>
      </c>
      <c r="N3568" s="402" t="s">
        <v>2</v>
      </c>
      <c r="O3568" s="404">
        <f>1.4/2</f>
        <v>0.7</v>
      </c>
      <c r="P3568" s="402">
        <v>5.52</v>
      </c>
      <c r="Q3568" s="404">
        <v>6.12</v>
      </c>
      <c r="R3568" s="402">
        <v>152</v>
      </c>
      <c r="S3568" s="404">
        <v>370</v>
      </c>
      <c r="T3568" s="402">
        <v>3.3</v>
      </c>
      <c r="U3568" s="395">
        <v>3.73</v>
      </c>
      <c r="V3568" s="402">
        <v>0.22</v>
      </c>
      <c r="W3568" s="404">
        <v>0.14099999999999999</v>
      </c>
      <c r="X3568" s="402">
        <v>0.23</v>
      </c>
      <c r="Y3568" s="404">
        <v>0.03</v>
      </c>
      <c r="Z3568" s="397">
        <v>1</v>
      </c>
      <c r="AA3568" s="399">
        <v>1</v>
      </c>
      <c r="AB3568" s="394"/>
      <c r="AC3568" s="402"/>
      <c r="AD3568" s="399"/>
      <c r="AE3568" s="402">
        <v>960</v>
      </c>
      <c r="AF3568" s="391"/>
      <c r="AG3568" s="394"/>
      <c r="AH3568" s="394"/>
      <c r="AI3568" s="394"/>
      <c r="AJ3568" s="394"/>
      <c r="AK3568" s="394"/>
      <c r="AL3568" s="394"/>
      <c r="AM3568" s="394"/>
      <c r="AN3568" s="394"/>
      <c r="AO3568" s="394"/>
      <c r="AP3568" s="394"/>
      <c r="AQ3568" s="394"/>
      <c r="AR3568" s="394"/>
      <c r="AS3568" s="402"/>
      <c r="AT3568" s="404"/>
      <c r="AU3568" s="394"/>
      <c r="AV3568" s="394"/>
      <c r="AW3568" s="394"/>
      <c r="AX3568" s="5"/>
      <c r="AY3568" s="5"/>
      <c r="AZ3568" s="5"/>
      <c r="BA3568" s="5"/>
      <c r="BB3568" s="5"/>
      <c r="BC3568" s="5"/>
      <c r="BD3568" s="5"/>
      <c r="BE3568" s="5"/>
      <c r="BF3568" s="5"/>
      <c r="BG3568" s="5"/>
      <c r="BH3568" s="5"/>
      <c r="BI3568" s="5"/>
      <c r="BJ3568" s="5"/>
      <c r="BK3568" s="5"/>
      <c r="BL3568" s="5"/>
      <c r="BM3568" s="5"/>
      <c r="BN3568" s="5"/>
      <c r="BO3568" s="5"/>
      <c r="BP3568" s="5"/>
      <c r="BQ3568" s="5"/>
      <c r="BR3568" s="5"/>
      <c r="BS3568" s="5"/>
      <c r="BT3568" s="5"/>
      <c r="BU3568" s="5"/>
      <c r="BV3568" s="5"/>
      <c r="BW3568" s="5"/>
      <c r="BX3568" s="5"/>
      <c r="BY3568" s="5"/>
      <c r="BZ3568" s="5"/>
      <c r="CA3568" s="5"/>
    </row>
    <row r="3569" spans="1:79" s="400" customFormat="1" ht="15" customHeight="1">
      <c r="A3569" s="41" t="s">
        <v>183</v>
      </c>
      <c r="B3569" s="402" t="s">
        <v>3713</v>
      </c>
      <c r="C3569" s="113" t="s">
        <v>3714</v>
      </c>
      <c r="D3569" s="393" t="s">
        <v>290</v>
      </c>
      <c r="E3569" s="394" t="s">
        <v>112</v>
      </c>
      <c r="F3569" s="402">
        <v>5200</v>
      </c>
      <c r="G3569" s="405" t="s">
        <v>3715</v>
      </c>
      <c r="H3569" s="113">
        <v>3841</v>
      </c>
      <c r="I3569" s="391" t="s">
        <v>1</v>
      </c>
      <c r="J3569" s="401" t="s">
        <v>3145</v>
      </c>
      <c r="K3569" s="403">
        <v>41345</v>
      </c>
      <c r="L3569" s="398">
        <v>41341</v>
      </c>
      <c r="M3569" s="402">
        <f t="shared" si="216"/>
        <v>4</v>
      </c>
      <c r="N3569" s="402" t="s">
        <v>2</v>
      </c>
      <c r="O3569" s="404">
        <f>2/2</f>
        <v>1</v>
      </c>
      <c r="P3569" s="402">
        <v>6</v>
      </c>
      <c r="Q3569" s="404">
        <v>7.6</v>
      </c>
      <c r="R3569" s="402">
        <v>12</v>
      </c>
      <c r="S3569" s="404">
        <v>4</v>
      </c>
      <c r="T3569" s="402">
        <f>0.05/2</f>
        <v>2.5000000000000001E-2</v>
      </c>
      <c r="U3569" s="395">
        <v>0.34</v>
      </c>
      <c r="V3569" s="402">
        <v>0.95</v>
      </c>
      <c r="W3569" s="404">
        <f>0.01/2</f>
        <v>5.0000000000000001E-3</v>
      </c>
      <c r="X3569" s="402">
        <f>0.03/2</f>
        <v>1.4999999999999999E-2</v>
      </c>
      <c r="Y3569" s="404">
        <f>0.03/2</f>
        <v>1.4999999999999999E-2</v>
      </c>
      <c r="Z3569" s="397">
        <v>1</v>
      </c>
      <c r="AA3569" s="399">
        <v>1</v>
      </c>
      <c r="AB3569" s="394">
        <v>640</v>
      </c>
      <c r="AC3569" s="402">
        <v>3650</v>
      </c>
      <c r="AD3569" s="399">
        <v>0.6</v>
      </c>
      <c r="AE3569" s="402"/>
      <c r="AF3569" s="391"/>
      <c r="AG3569" s="394"/>
      <c r="AH3569" s="394"/>
      <c r="AI3569" s="394"/>
      <c r="AJ3569" s="394"/>
      <c r="AK3569" s="394"/>
      <c r="AL3569" s="394"/>
      <c r="AM3569" s="394"/>
      <c r="AN3569" s="394"/>
      <c r="AO3569" s="394"/>
      <c r="AP3569" s="394"/>
      <c r="AQ3569" s="394"/>
      <c r="AR3569" s="394"/>
      <c r="AS3569" s="402"/>
      <c r="AT3569" s="404"/>
      <c r="AU3569" s="394"/>
      <c r="AV3569" s="394"/>
      <c r="AW3569" s="394"/>
      <c r="AX3569" s="5"/>
      <c r="AY3569" s="5"/>
      <c r="AZ3569" s="5"/>
      <c r="BA3569" s="5"/>
      <c r="BB3569" s="5"/>
      <c r="BC3569" s="5"/>
      <c r="BD3569" s="5"/>
      <c r="BE3569" s="5"/>
      <c r="BF3569" s="5"/>
      <c r="BG3569" s="5"/>
      <c r="BH3569" s="5"/>
      <c r="BI3569" s="5"/>
      <c r="BJ3569" s="5"/>
      <c r="BK3569" s="5"/>
      <c r="BL3569" s="5"/>
      <c r="BM3569" s="5"/>
      <c r="BN3569" s="5"/>
      <c r="BO3569" s="5"/>
      <c r="BP3569" s="5"/>
      <c r="BQ3569" s="5"/>
      <c r="BR3569" s="5"/>
      <c r="BS3569" s="5"/>
      <c r="BT3569" s="5"/>
      <c r="BU3569" s="5"/>
      <c r="BV3569" s="5"/>
      <c r="BW3569" s="5"/>
      <c r="BX3569" s="5"/>
      <c r="BY3569" s="5"/>
      <c r="BZ3569" s="5"/>
      <c r="CA3569" s="5"/>
    </row>
    <row r="3570" spans="1:79" s="400" customFormat="1" ht="15" customHeight="1">
      <c r="A3570" s="41" t="s">
        <v>183</v>
      </c>
      <c r="B3570" s="402" t="s">
        <v>3713</v>
      </c>
      <c r="C3570" s="113" t="s">
        <v>3714</v>
      </c>
      <c r="D3570" s="393" t="s">
        <v>290</v>
      </c>
      <c r="E3570" s="394" t="s">
        <v>112</v>
      </c>
      <c r="F3570" s="402">
        <v>5200</v>
      </c>
      <c r="G3570" s="405" t="s">
        <v>3715</v>
      </c>
      <c r="H3570" s="113">
        <v>3841</v>
      </c>
      <c r="I3570" s="391" t="s">
        <v>1</v>
      </c>
      <c r="J3570" s="401" t="s">
        <v>3716</v>
      </c>
      <c r="K3570" s="403">
        <v>41345</v>
      </c>
      <c r="L3570" s="398">
        <v>41341</v>
      </c>
      <c r="M3570" s="402">
        <f t="shared" si="216"/>
        <v>4</v>
      </c>
      <c r="N3570" s="402" t="s">
        <v>2</v>
      </c>
      <c r="O3570" s="404">
        <f>2/2</f>
        <v>1</v>
      </c>
      <c r="P3570" s="402">
        <v>6</v>
      </c>
      <c r="Q3570" s="404">
        <v>7.3</v>
      </c>
      <c r="R3570" s="402">
        <f>10/2</f>
        <v>5</v>
      </c>
      <c r="S3570" s="404">
        <v>6</v>
      </c>
      <c r="T3570" s="402">
        <f>0.05/2</f>
        <v>2.5000000000000001E-2</v>
      </c>
      <c r="U3570" s="395">
        <v>0.48</v>
      </c>
      <c r="V3570" s="402">
        <v>0.59</v>
      </c>
      <c r="W3570" s="404">
        <f>0.01/2</f>
        <v>5.0000000000000001E-3</v>
      </c>
      <c r="X3570" s="402">
        <f>0.03/2</f>
        <v>1.4999999999999999E-2</v>
      </c>
      <c r="Y3570" s="404">
        <f>0.03/2</f>
        <v>1.4999999999999999E-2</v>
      </c>
      <c r="Z3570" s="397">
        <v>1</v>
      </c>
      <c r="AA3570" s="399">
        <v>1</v>
      </c>
      <c r="AB3570" s="394">
        <v>123</v>
      </c>
      <c r="AC3570" s="402">
        <v>557</v>
      </c>
      <c r="AD3570" s="399">
        <v>1</v>
      </c>
      <c r="AE3570" s="402"/>
      <c r="AF3570" s="391"/>
      <c r="AG3570" s="394"/>
      <c r="AH3570" s="394"/>
      <c r="AI3570" s="394"/>
      <c r="AJ3570" s="394"/>
      <c r="AK3570" s="394"/>
      <c r="AL3570" s="394"/>
      <c r="AM3570" s="394"/>
      <c r="AN3570" s="394"/>
      <c r="AO3570" s="394"/>
      <c r="AP3570" s="394"/>
      <c r="AQ3570" s="394"/>
      <c r="AR3570" s="394"/>
      <c r="AS3570" s="402"/>
      <c r="AT3570" s="404"/>
      <c r="AU3570" s="394"/>
      <c r="AV3570" s="394"/>
      <c r="AW3570" s="394"/>
      <c r="AX3570" s="5"/>
      <c r="AY3570" s="5"/>
      <c r="AZ3570" s="5"/>
      <c r="BA3570" s="5"/>
      <c r="BB3570" s="5"/>
      <c r="BC3570" s="5"/>
      <c r="BD3570" s="5"/>
      <c r="BE3570" s="5"/>
      <c r="BF3570" s="5"/>
      <c r="BG3570" s="5"/>
      <c r="BH3570" s="5"/>
      <c r="BI3570" s="5"/>
      <c r="BJ3570" s="5"/>
      <c r="BK3570" s="5"/>
      <c r="BL3570" s="5"/>
      <c r="BM3570" s="5"/>
      <c r="BN3570" s="5"/>
      <c r="BO3570" s="5"/>
      <c r="BP3570" s="5"/>
      <c r="BQ3570" s="5"/>
      <c r="BR3570" s="5"/>
      <c r="BS3570" s="5"/>
      <c r="BT3570" s="5"/>
      <c r="BU3570" s="5"/>
      <c r="BV3570" s="5"/>
      <c r="BW3570" s="5"/>
      <c r="BX3570" s="5"/>
      <c r="BY3570" s="5"/>
      <c r="BZ3570" s="5"/>
      <c r="CA3570" s="5"/>
    </row>
    <row r="3571" spans="1:79" s="400" customFormat="1" ht="15" customHeight="1">
      <c r="A3571" s="41" t="s">
        <v>183</v>
      </c>
      <c r="B3571" s="402" t="s">
        <v>6194</v>
      </c>
      <c r="C3571" s="113" t="s">
        <v>6194</v>
      </c>
      <c r="D3571" s="393" t="s">
        <v>1896</v>
      </c>
      <c r="E3571" s="394" t="s">
        <v>6195</v>
      </c>
      <c r="F3571" s="402" t="s">
        <v>3412</v>
      </c>
      <c r="G3571" s="405" t="s">
        <v>6196</v>
      </c>
      <c r="H3571" s="404">
        <v>3281</v>
      </c>
      <c r="I3571" s="402" t="s">
        <v>2</v>
      </c>
      <c r="J3571" s="406"/>
      <c r="K3571" s="403">
        <v>41402</v>
      </c>
      <c r="L3571" s="398">
        <v>41402</v>
      </c>
      <c r="M3571" s="402">
        <f t="shared" si="216"/>
        <v>0</v>
      </c>
      <c r="N3571" s="402" t="s">
        <v>2</v>
      </c>
      <c r="O3571" s="404">
        <v>4.0999999999999996</v>
      </c>
      <c r="P3571" s="402">
        <v>8.9</v>
      </c>
      <c r="Q3571" s="404">
        <v>8.3000000000000007</v>
      </c>
      <c r="R3571" s="402">
        <v>147</v>
      </c>
      <c r="S3571" s="404">
        <v>336</v>
      </c>
      <c r="T3571" s="402">
        <v>0.46</v>
      </c>
      <c r="U3571" s="395">
        <v>1.5</v>
      </c>
      <c r="V3571" s="402">
        <f>0.1/2</f>
        <v>0.05</v>
      </c>
      <c r="W3571" s="404">
        <v>6.9000000000000006E-2</v>
      </c>
      <c r="X3571" s="402">
        <v>0.17699999999999999</v>
      </c>
      <c r="Y3571" s="404">
        <v>5.5E-2</v>
      </c>
      <c r="Z3571" s="397">
        <v>1</v>
      </c>
      <c r="AA3571" s="399">
        <v>1</v>
      </c>
      <c r="AB3571" s="394">
        <v>121</v>
      </c>
      <c r="AC3571" s="402">
        <v>152</v>
      </c>
      <c r="AD3571" s="399">
        <v>1</v>
      </c>
      <c r="AE3571" s="402"/>
      <c r="AF3571" s="391"/>
      <c r="AG3571" s="394"/>
      <c r="AH3571" s="394"/>
      <c r="AI3571" s="394"/>
      <c r="AJ3571" s="394"/>
      <c r="AK3571" s="394"/>
      <c r="AL3571" s="394"/>
      <c r="AM3571" s="394"/>
      <c r="AN3571" s="394"/>
      <c r="AO3571" s="394"/>
      <c r="AP3571" s="394"/>
      <c r="AQ3571" s="394"/>
      <c r="AR3571" s="394"/>
      <c r="AS3571" s="402"/>
      <c r="AT3571" s="404"/>
      <c r="AU3571" s="394"/>
      <c r="AV3571" s="394"/>
      <c r="AW3571" s="394"/>
      <c r="AX3571" s="5"/>
      <c r="AY3571" s="5"/>
      <c r="AZ3571" s="5"/>
      <c r="BA3571" s="5"/>
      <c r="BB3571" s="5"/>
      <c r="BC3571" s="5"/>
      <c r="BD3571" s="5"/>
      <c r="BE3571" s="5"/>
      <c r="BF3571" s="5"/>
      <c r="BG3571" s="5"/>
      <c r="BH3571" s="5"/>
      <c r="BI3571" s="5"/>
      <c r="BJ3571" s="5"/>
      <c r="BK3571" s="5"/>
      <c r="BL3571" s="5"/>
      <c r="BM3571" s="5"/>
      <c r="BN3571" s="5"/>
      <c r="BO3571" s="5"/>
      <c r="BP3571" s="5"/>
      <c r="BQ3571" s="5"/>
      <c r="BR3571" s="5"/>
      <c r="BS3571" s="5"/>
      <c r="BT3571" s="5"/>
      <c r="BU3571" s="5"/>
      <c r="BV3571" s="5"/>
      <c r="BW3571" s="5"/>
      <c r="BX3571" s="5"/>
      <c r="BY3571" s="5"/>
      <c r="BZ3571" s="5"/>
      <c r="CA3571" s="5"/>
    </row>
    <row r="3572" spans="1:79" s="400" customFormat="1" ht="15" customHeight="1">
      <c r="A3572" s="41" t="s">
        <v>183</v>
      </c>
      <c r="B3572" s="402" t="s">
        <v>1869</v>
      </c>
      <c r="C3572" s="113" t="s">
        <v>2653</v>
      </c>
      <c r="D3572" s="393" t="s">
        <v>534</v>
      </c>
      <c r="E3572" s="394" t="s">
        <v>304</v>
      </c>
      <c r="F3572" s="402"/>
      <c r="G3572" s="405" t="s">
        <v>1871</v>
      </c>
      <c r="H3572" s="404">
        <v>4952</v>
      </c>
      <c r="I3572" s="402" t="s">
        <v>1</v>
      </c>
      <c r="J3572" s="406" t="s">
        <v>431</v>
      </c>
      <c r="K3572" s="403">
        <v>41345</v>
      </c>
      <c r="L3572" s="398">
        <v>41341</v>
      </c>
      <c r="M3572" s="402">
        <f t="shared" si="216"/>
        <v>4</v>
      </c>
      <c r="N3572" s="402" t="s">
        <v>2</v>
      </c>
      <c r="O3572" s="404">
        <f>5/2</f>
        <v>2.5</v>
      </c>
      <c r="P3572" s="402">
        <v>6</v>
      </c>
      <c r="Q3572" s="404">
        <v>7.58</v>
      </c>
      <c r="R3572" s="402">
        <v>82</v>
      </c>
      <c r="S3572" s="404">
        <v>120</v>
      </c>
      <c r="T3572" s="402">
        <v>0.28000000000000003</v>
      </c>
      <c r="U3572" s="395">
        <f>1/2</f>
        <v>0.5</v>
      </c>
      <c r="V3572" s="402">
        <v>0.14000000000000001</v>
      </c>
      <c r="W3572" s="404">
        <f>0.04/2</f>
        <v>0.02</v>
      </c>
      <c r="X3572" s="402">
        <v>0.12</v>
      </c>
      <c r="Y3572" s="404">
        <v>2.9000000000000001E-2</v>
      </c>
      <c r="Z3572" s="397">
        <v>1</v>
      </c>
      <c r="AA3572" s="399">
        <v>1</v>
      </c>
      <c r="AB3572" s="394">
        <v>44</v>
      </c>
      <c r="AC3572" s="402">
        <v>1504</v>
      </c>
      <c r="AD3572" s="399">
        <v>1</v>
      </c>
      <c r="AE3572" s="402"/>
      <c r="AF3572" s="391"/>
      <c r="AG3572" s="394">
        <f>0.5/2</f>
        <v>0.25</v>
      </c>
      <c r="AH3572" s="394"/>
      <c r="AI3572" s="394"/>
      <c r="AJ3572" s="394"/>
      <c r="AK3572" s="394"/>
      <c r="AL3572" s="394"/>
      <c r="AM3572" s="394"/>
      <c r="AN3572" s="394"/>
      <c r="AO3572" s="394"/>
      <c r="AP3572" s="394"/>
      <c r="AQ3572" s="394"/>
      <c r="AR3572" s="394"/>
      <c r="AS3572" s="402"/>
      <c r="AT3572" s="404"/>
      <c r="AU3572" s="394"/>
      <c r="AV3572" s="394"/>
      <c r="AW3572" s="394"/>
      <c r="AX3572" s="5"/>
      <c r="AY3572" s="5"/>
      <c r="AZ3572" s="5"/>
      <c r="BA3572" s="5"/>
      <c r="BB3572" s="5"/>
      <c r="BC3572" s="5"/>
      <c r="BD3572" s="5"/>
      <c r="BE3572" s="5"/>
      <c r="BF3572" s="5"/>
      <c r="BG3572" s="5"/>
      <c r="BH3572" s="5"/>
      <c r="BI3572" s="5"/>
      <c r="BJ3572" s="5"/>
      <c r="BK3572" s="5"/>
      <c r="BL3572" s="5"/>
      <c r="BM3572" s="5"/>
      <c r="BN3572" s="5"/>
      <c r="BO3572" s="5"/>
      <c r="BP3572" s="5"/>
      <c r="BQ3572" s="5"/>
      <c r="BR3572" s="5"/>
      <c r="BS3572" s="5"/>
      <c r="BT3572" s="5"/>
      <c r="BU3572" s="5"/>
      <c r="BV3572" s="5"/>
      <c r="BW3572" s="5"/>
      <c r="BX3572" s="5"/>
      <c r="BY3572" s="5"/>
      <c r="BZ3572" s="5"/>
      <c r="CA3572" s="5"/>
    </row>
    <row r="3573" spans="1:79" s="400" customFormat="1" ht="15" customHeight="1">
      <c r="A3573" s="41" t="s">
        <v>183</v>
      </c>
      <c r="B3573" s="402" t="s">
        <v>2986</v>
      </c>
      <c r="C3573" s="113" t="s">
        <v>1332</v>
      </c>
      <c r="D3573" s="393" t="s">
        <v>684</v>
      </c>
      <c r="E3573" s="394" t="s">
        <v>2987</v>
      </c>
      <c r="F3573" s="402">
        <v>5208</v>
      </c>
      <c r="G3573" s="405" t="s">
        <v>2988</v>
      </c>
      <c r="H3573" s="404">
        <v>9199</v>
      </c>
      <c r="I3573" s="402" t="s">
        <v>2</v>
      </c>
      <c r="J3573" s="401" t="s">
        <v>3019</v>
      </c>
      <c r="K3573" s="403">
        <v>41417</v>
      </c>
      <c r="L3573" s="398">
        <v>41403</v>
      </c>
      <c r="M3573" s="402">
        <f t="shared" si="216"/>
        <v>14</v>
      </c>
      <c r="N3573" s="402" t="s">
        <v>2</v>
      </c>
      <c r="O3573" s="404">
        <v>8.1</v>
      </c>
      <c r="P3573" s="402">
        <v>6.2</v>
      </c>
      <c r="Q3573" s="404">
        <v>6.9</v>
      </c>
      <c r="R3573" s="402">
        <v>149</v>
      </c>
      <c r="S3573" s="404">
        <v>209</v>
      </c>
      <c r="T3573" s="402">
        <v>0.42</v>
      </c>
      <c r="U3573" s="395">
        <v>3.66</v>
      </c>
      <c r="V3573" s="402">
        <v>2.36</v>
      </c>
      <c r="W3573" s="404">
        <v>0.06</v>
      </c>
      <c r="X3573" s="402">
        <v>0.113</v>
      </c>
      <c r="Y3573" s="404">
        <f>0.03/2</f>
        <v>1.4999999999999999E-2</v>
      </c>
      <c r="Z3573" s="397"/>
      <c r="AA3573" s="399"/>
      <c r="AB3573" s="394"/>
      <c r="AC3573" s="402"/>
      <c r="AD3573" s="399"/>
      <c r="AE3573" s="402"/>
      <c r="AF3573" s="391"/>
      <c r="AG3573" s="394"/>
      <c r="AH3573" s="394"/>
      <c r="AI3573" s="394"/>
      <c r="AJ3573" s="394"/>
      <c r="AK3573" s="394"/>
      <c r="AL3573" s="394"/>
      <c r="AM3573" s="394"/>
      <c r="AN3573" s="394"/>
      <c r="AO3573" s="394"/>
      <c r="AP3573" s="394"/>
      <c r="AQ3573" s="394"/>
      <c r="AR3573" s="394"/>
      <c r="AS3573" s="402"/>
      <c r="AT3573" s="404"/>
      <c r="AU3573" s="394"/>
      <c r="AV3573" s="394"/>
      <c r="AW3573" s="394"/>
      <c r="AX3573" s="5"/>
      <c r="AY3573" s="5"/>
      <c r="AZ3573" s="5"/>
      <c r="BA3573" s="5"/>
      <c r="BB3573" s="5"/>
      <c r="BC3573" s="5"/>
      <c r="BD3573" s="5"/>
      <c r="BE3573" s="5"/>
      <c r="BF3573" s="5"/>
      <c r="BG3573" s="5"/>
      <c r="BH3573" s="5"/>
      <c r="BI3573" s="5"/>
      <c r="BJ3573" s="5"/>
      <c r="BK3573" s="5"/>
      <c r="BL3573" s="5"/>
      <c r="BM3573" s="5"/>
      <c r="BN3573" s="5"/>
      <c r="BO3573" s="5"/>
      <c r="BP3573" s="5"/>
      <c r="BQ3573" s="5"/>
      <c r="BR3573" s="5"/>
      <c r="BS3573" s="5"/>
      <c r="BT3573" s="5"/>
      <c r="BU3573" s="5"/>
      <c r="BV3573" s="5"/>
      <c r="BW3573" s="5"/>
      <c r="BX3573" s="5"/>
      <c r="BY3573" s="5"/>
      <c r="BZ3573" s="5"/>
      <c r="CA3573" s="5"/>
    </row>
    <row r="3574" spans="1:79" s="400" customFormat="1" ht="15" customHeight="1">
      <c r="A3574" s="41" t="s">
        <v>183</v>
      </c>
      <c r="B3574" s="402" t="s">
        <v>3717</v>
      </c>
      <c r="C3574" s="113" t="s">
        <v>3717</v>
      </c>
      <c r="D3574" s="393" t="s">
        <v>200</v>
      </c>
      <c r="E3574" s="394" t="s">
        <v>214</v>
      </c>
      <c r="F3574" s="402"/>
      <c r="G3574" s="405" t="s">
        <v>3238</v>
      </c>
      <c r="H3574" s="404">
        <v>3444</v>
      </c>
      <c r="I3574" s="402" t="s">
        <v>2</v>
      </c>
      <c r="J3574" s="406" t="s">
        <v>3239</v>
      </c>
      <c r="K3574" s="403">
        <v>41605</v>
      </c>
      <c r="L3574" s="398">
        <v>41585</v>
      </c>
      <c r="M3574" s="402">
        <f t="shared" ref="M3574:M3623" si="217">K3574-L3574</f>
        <v>20</v>
      </c>
      <c r="N3574" s="402" t="s">
        <v>2</v>
      </c>
      <c r="O3574" s="404">
        <f>1.8/2</f>
        <v>0.9</v>
      </c>
      <c r="P3574" s="402">
        <v>6</v>
      </c>
      <c r="Q3574" s="404">
        <v>6.8</v>
      </c>
      <c r="R3574" s="402">
        <f>20/2</f>
        <v>10</v>
      </c>
      <c r="S3574" s="404">
        <v>1.6</v>
      </c>
      <c r="T3574" s="402">
        <v>2.1999999999999999E-2</v>
      </c>
      <c r="U3574" s="395">
        <f>1.6/2</f>
        <v>0.8</v>
      </c>
      <c r="V3574" s="402">
        <v>0.47</v>
      </c>
      <c r="W3574" s="404">
        <v>6.0000000000000001E-3</v>
      </c>
      <c r="X3574" s="402">
        <v>2.5999999999999999E-2</v>
      </c>
      <c r="Y3574" s="404">
        <f>0.005/2</f>
        <v>2.5000000000000001E-3</v>
      </c>
      <c r="Z3574" s="397"/>
      <c r="AA3574" s="399"/>
      <c r="AB3574" s="394"/>
      <c r="AC3574" s="402"/>
      <c r="AD3574" s="399"/>
      <c r="AE3574" s="402"/>
      <c r="AF3574" s="391"/>
      <c r="AG3574" s="394"/>
      <c r="AH3574" s="394"/>
      <c r="AI3574" s="394"/>
      <c r="AJ3574" s="394"/>
      <c r="AK3574" s="394"/>
      <c r="AL3574" s="394"/>
      <c r="AM3574" s="394"/>
      <c r="AN3574" s="394"/>
      <c r="AO3574" s="394"/>
      <c r="AP3574" s="394"/>
      <c r="AQ3574" s="394"/>
      <c r="AR3574" s="394"/>
      <c r="AS3574" s="402"/>
      <c r="AT3574" s="404"/>
      <c r="AU3574" s="394"/>
      <c r="AV3574" s="394"/>
      <c r="AW3574" s="394"/>
      <c r="AX3574" s="5"/>
      <c r="AY3574" s="5"/>
      <c r="AZ3574" s="5"/>
      <c r="BA3574" s="5"/>
      <c r="BB3574" s="5"/>
      <c r="BC3574" s="5"/>
      <c r="BD3574" s="5"/>
      <c r="BE3574" s="5"/>
      <c r="BF3574" s="5"/>
      <c r="BG3574" s="5"/>
      <c r="BH3574" s="5"/>
      <c r="BI3574" s="5"/>
      <c r="BJ3574" s="5"/>
      <c r="BK3574" s="5"/>
      <c r="BL3574" s="5"/>
      <c r="BM3574" s="5"/>
      <c r="BN3574" s="5"/>
      <c r="BO3574" s="5"/>
      <c r="BP3574" s="5"/>
      <c r="BQ3574" s="5"/>
      <c r="BR3574" s="5"/>
      <c r="BS3574" s="5"/>
      <c r="BT3574" s="5"/>
      <c r="BU3574" s="5"/>
      <c r="BV3574" s="5"/>
      <c r="BW3574" s="5"/>
      <c r="BX3574" s="5"/>
      <c r="BY3574" s="5"/>
      <c r="BZ3574" s="5"/>
      <c r="CA3574" s="5"/>
    </row>
    <row r="3575" spans="1:79" s="400" customFormat="1" ht="15" customHeight="1">
      <c r="A3575" s="41" t="s">
        <v>183</v>
      </c>
      <c r="B3575" s="402" t="s">
        <v>3717</v>
      </c>
      <c r="C3575" s="113" t="s">
        <v>3717</v>
      </c>
      <c r="D3575" s="393" t="s">
        <v>200</v>
      </c>
      <c r="E3575" s="394" t="s">
        <v>214</v>
      </c>
      <c r="F3575" s="402"/>
      <c r="G3575" s="405" t="s">
        <v>3238</v>
      </c>
      <c r="H3575" s="404">
        <v>3444</v>
      </c>
      <c r="I3575" s="402" t="s">
        <v>2</v>
      </c>
      <c r="J3575" s="406" t="s">
        <v>3239</v>
      </c>
      <c r="K3575" s="403">
        <v>41495</v>
      </c>
      <c r="L3575" s="398">
        <v>41487</v>
      </c>
      <c r="M3575" s="402">
        <f t="shared" si="217"/>
        <v>8</v>
      </c>
      <c r="N3575" s="402" t="s">
        <v>2</v>
      </c>
      <c r="O3575" s="404">
        <f>1.8/2</f>
        <v>0.9</v>
      </c>
      <c r="P3575" s="402">
        <v>6.1</v>
      </c>
      <c r="Q3575" s="404">
        <v>7</v>
      </c>
      <c r="R3575" s="402">
        <v>23</v>
      </c>
      <c r="S3575" s="404">
        <v>2.5</v>
      </c>
      <c r="T3575" s="402">
        <v>4.1000000000000002E-2</v>
      </c>
      <c r="U3575" s="395">
        <v>1.2</v>
      </c>
      <c r="V3575" s="402">
        <f>0.46/2</f>
        <v>0.23</v>
      </c>
      <c r="W3575" s="404">
        <v>5.0000000000000001E-3</v>
      </c>
      <c r="X3575" s="402">
        <f>0.01/2</f>
        <v>5.0000000000000001E-3</v>
      </c>
      <c r="Y3575" s="404">
        <f>0.005/2</f>
        <v>2.5000000000000001E-3</v>
      </c>
      <c r="Z3575" s="397">
        <v>1</v>
      </c>
      <c r="AA3575" s="399">
        <v>0.58099999999999996</v>
      </c>
      <c r="AB3575" s="394">
        <v>20</v>
      </c>
      <c r="AC3575" s="402">
        <v>43</v>
      </c>
      <c r="AD3575" s="399">
        <v>0.3</v>
      </c>
      <c r="AE3575" s="402"/>
      <c r="AF3575" s="391"/>
      <c r="AG3575" s="394"/>
      <c r="AH3575" s="394"/>
      <c r="AI3575" s="394"/>
      <c r="AJ3575" s="394"/>
      <c r="AK3575" s="394"/>
      <c r="AL3575" s="394"/>
      <c r="AM3575" s="394"/>
      <c r="AN3575" s="394"/>
      <c r="AO3575" s="394"/>
      <c r="AP3575" s="394"/>
      <c r="AQ3575" s="394"/>
      <c r="AR3575" s="394"/>
      <c r="AS3575" s="402"/>
      <c r="AT3575" s="404"/>
      <c r="AU3575" s="394"/>
      <c r="AV3575" s="394"/>
      <c r="AW3575" s="394"/>
      <c r="AX3575" s="5"/>
      <c r="AY3575" s="5"/>
      <c r="AZ3575" s="5"/>
      <c r="BA3575" s="5"/>
      <c r="BB3575" s="5"/>
      <c r="BC3575" s="5"/>
      <c r="BD3575" s="5"/>
      <c r="BE3575" s="5"/>
      <c r="BF3575" s="5"/>
      <c r="BG3575" s="5"/>
      <c r="BH3575" s="5"/>
      <c r="BI3575" s="5"/>
      <c r="BJ3575" s="5"/>
      <c r="BK3575" s="5"/>
      <c r="BL3575" s="5"/>
      <c r="BM3575" s="5"/>
      <c r="BN3575" s="5"/>
      <c r="BO3575" s="5"/>
      <c r="BP3575" s="5"/>
      <c r="BQ3575" s="5"/>
      <c r="BR3575" s="5"/>
      <c r="BS3575" s="5"/>
      <c r="BT3575" s="5"/>
      <c r="BU3575" s="5"/>
      <c r="BV3575" s="5"/>
      <c r="BW3575" s="5"/>
      <c r="BX3575" s="5"/>
      <c r="BY3575" s="5"/>
      <c r="BZ3575" s="5"/>
      <c r="CA3575" s="5"/>
    </row>
    <row r="3576" spans="1:79" s="400" customFormat="1" ht="15" customHeight="1">
      <c r="A3576" s="41" t="s">
        <v>183</v>
      </c>
      <c r="B3576" s="402" t="s">
        <v>191</v>
      </c>
      <c r="C3576" s="113" t="s">
        <v>191</v>
      </c>
      <c r="D3576" s="393" t="s">
        <v>192</v>
      </c>
      <c r="E3576" s="394" t="s">
        <v>44</v>
      </c>
      <c r="F3576" s="402">
        <v>4000</v>
      </c>
      <c r="G3576" s="405" t="s">
        <v>193</v>
      </c>
      <c r="H3576" s="404">
        <v>4952</v>
      </c>
      <c r="I3576" s="402" t="s">
        <v>2</v>
      </c>
      <c r="J3576" s="404" t="s">
        <v>194</v>
      </c>
      <c r="K3576" s="403">
        <v>41044</v>
      </c>
      <c r="L3576" s="398">
        <v>41039</v>
      </c>
      <c r="M3576" s="402">
        <f t="shared" si="217"/>
        <v>5</v>
      </c>
      <c r="N3576" s="402" t="s">
        <v>2</v>
      </c>
      <c r="O3576" s="404">
        <f>1/2</f>
        <v>0.5</v>
      </c>
      <c r="P3576" s="402">
        <v>6.2</v>
      </c>
      <c r="Q3576" s="404">
        <v>6.86</v>
      </c>
      <c r="R3576" s="402">
        <v>47.3</v>
      </c>
      <c r="S3576" s="404">
        <v>33</v>
      </c>
      <c r="T3576" s="402">
        <v>0.31</v>
      </c>
      <c r="U3576" s="395">
        <v>1.8</v>
      </c>
      <c r="V3576" s="402">
        <v>1.3</v>
      </c>
      <c r="W3576" s="404">
        <v>1.7000000000000001E-2</v>
      </c>
      <c r="X3576" s="402">
        <v>6.4000000000000001E-2</v>
      </c>
      <c r="Y3576" s="404">
        <v>8.0000000000000002E-3</v>
      </c>
      <c r="Z3576" s="397"/>
      <c r="AA3576" s="399"/>
      <c r="AB3576" s="394"/>
      <c r="AC3576" s="402"/>
      <c r="AD3576" s="399"/>
      <c r="AE3576" s="402">
        <v>1300</v>
      </c>
      <c r="AF3576" s="391"/>
      <c r="AG3576" s="394"/>
      <c r="AH3576" s="394"/>
      <c r="AI3576" s="394"/>
      <c r="AJ3576" s="394"/>
      <c r="AK3576" s="394"/>
      <c r="AL3576" s="394"/>
      <c r="AM3576" s="394"/>
      <c r="AN3576" s="394"/>
      <c r="AO3576" s="394"/>
      <c r="AP3576" s="394"/>
      <c r="AQ3576" s="394"/>
      <c r="AR3576" s="394"/>
      <c r="AS3576" s="402"/>
      <c r="AT3576" s="404"/>
      <c r="AU3576" s="394"/>
      <c r="AV3576" s="394"/>
      <c r="AW3576" s="394"/>
      <c r="AX3576" s="5"/>
      <c r="AY3576" s="5"/>
      <c r="AZ3576" s="5"/>
      <c r="BA3576" s="5"/>
      <c r="BB3576" s="5"/>
      <c r="BC3576" s="5"/>
      <c r="BD3576" s="5"/>
      <c r="BE3576" s="5"/>
      <c r="BF3576" s="5"/>
      <c r="BG3576" s="5"/>
      <c r="BH3576" s="5"/>
      <c r="BI3576" s="5"/>
      <c r="BJ3576" s="5"/>
      <c r="BK3576" s="5"/>
      <c r="BL3576" s="5"/>
      <c r="BM3576" s="5"/>
      <c r="BN3576" s="5"/>
      <c r="BO3576" s="5"/>
      <c r="BP3576" s="5"/>
      <c r="BQ3576" s="5"/>
      <c r="BR3576" s="5"/>
      <c r="BS3576" s="5"/>
      <c r="BT3576" s="5"/>
      <c r="BU3576" s="5"/>
      <c r="BV3576" s="5"/>
      <c r="BW3576" s="5"/>
      <c r="BX3576" s="5"/>
      <c r="BY3576" s="5"/>
      <c r="BZ3576" s="5"/>
      <c r="CA3576" s="5"/>
    </row>
    <row r="3577" spans="1:79" s="400" customFormat="1" ht="15" customHeight="1">
      <c r="A3577" s="41" t="s">
        <v>183</v>
      </c>
      <c r="B3577" s="402" t="s">
        <v>5092</v>
      </c>
      <c r="C3577" s="113" t="s">
        <v>1037</v>
      </c>
      <c r="D3577" s="393" t="s">
        <v>262</v>
      </c>
      <c r="E3577" s="394" t="s">
        <v>664</v>
      </c>
      <c r="F3577" s="402">
        <v>7000</v>
      </c>
      <c r="G3577" s="405" t="s">
        <v>2697</v>
      </c>
      <c r="H3577" s="404">
        <v>9199</v>
      </c>
      <c r="I3577" s="402" t="s">
        <v>1</v>
      </c>
      <c r="J3577" s="406" t="s">
        <v>5093</v>
      </c>
      <c r="K3577" s="403">
        <v>41180</v>
      </c>
      <c r="L3577" s="398"/>
      <c r="M3577" s="402" t="s">
        <v>3431</v>
      </c>
      <c r="N3577" s="402"/>
      <c r="O3577" s="404">
        <v>7.36</v>
      </c>
      <c r="P3577" s="402">
        <v>5.66</v>
      </c>
      <c r="Q3577" s="404">
        <v>7.4</v>
      </c>
      <c r="R3577" s="402">
        <f>2/2</f>
        <v>1</v>
      </c>
      <c r="S3577" s="404">
        <v>12.5</v>
      </c>
      <c r="T3577" s="402">
        <v>0.55000000000000004</v>
      </c>
      <c r="U3577" s="395">
        <v>2.89</v>
      </c>
      <c r="V3577" s="402">
        <v>0.3</v>
      </c>
      <c r="W3577" s="404">
        <v>0.04</v>
      </c>
      <c r="X3577" s="402">
        <v>0.02</v>
      </c>
      <c r="Y3577" s="404">
        <f>0.004/2</f>
        <v>2E-3</v>
      </c>
      <c r="Z3577" s="397">
        <v>1</v>
      </c>
      <c r="AA3577" s="399">
        <v>1</v>
      </c>
      <c r="AB3577" s="394">
        <v>8</v>
      </c>
      <c r="AC3577" s="402">
        <v>45.5</v>
      </c>
      <c r="AD3577" s="399">
        <v>1</v>
      </c>
      <c r="AE3577" s="402" t="s">
        <v>5094</v>
      </c>
      <c r="AF3577" s="391"/>
      <c r="AG3577" s="394">
        <f>0.22/2</f>
        <v>0.11</v>
      </c>
      <c r="AH3577" s="394"/>
      <c r="AI3577" s="394" t="s">
        <v>5094</v>
      </c>
      <c r="AJ3577" s="394"/>
      <c r="AK3577" s="394"/>
      <c r="AL3577" s="394"/>
      <c r="AM3577" s="394"/>
      <c r="AN3577" s="394"/>
      <c r="AO3577" s="394"/>
      <c r="AP3577" s="394"/>
      <c r="AQ3577" s="394">
        <f>10/2</f>
        <v>5</v>
      </c>
      <c r="AR3577" s="394"/>
      <c r="AS3577" s="402"/>
      <c r="AT3577" s="404"/>
      <c r="AU3577" s="394"/>
      <c r="AV3577" s="394"/>
      <c r="AW3577" s="394"/>
      <c r="AX3577" s="5"/>
      <c r="AY3577" s="5"/>
      <c r="AZ3577" s="5"/>
      <c r="BA3577" s="5"/>
      <c r="BB3577" s="5"/>
      <c r="BC3577" s="5"/>
      <c r="BD3577" s="5"/>
      <c r="BE3577" s="5"/>
      <c r="BF3577" s="5"/>
      <c r="BG3577" s="5"/>
      <c r="BH3577" s="5"/>
      <c r="BI3577" s="5"/>
      <c r="BJ3577" s="5"/>
      <c r="BK3577" s="5"/>
      <c r="BL3577" s="5"/>
      <c r="BM3577" s="5"/>
      <c r="BN3577" s="5"/>
      <c r="BO3577" s="5"/>
      <c r="BP3577" s="5"/>
      <c r="BQ3577" s="5"/>
      <c r="BR3577" s="5"/>
      <c r="BS3577" s="5"/>
      <c r="BT3577" s="5"/>
      <c r="BU3577" s="5"/>
      <c r="BV3577" s="5"/>
      <c r="BW3577" s="5"/>
      <c r="BX3577" s="5"/>
      <c r="BY3577" s="5"/>
      <c r="BZ3577" s="5"/>
      <c r="CA3577" s="5"/>
    </row>
    <row r="3578" spans="1:79" s="400" customFormat="1" ht="15" customHeight="1">
      <c r="A3578" s="41" t="s">
        <v>183</v>
      </c>
      <c r="B3578" s="402" t="s">
        <v>2626</v>
      </c>
      <c r="C3578" s="113" t="s">
        <v>2626</v>
      </c>
      <c r="D3578" s="393" t="s">
        <v>406</v>
      </c>
      <c r="E3578" s="394" t="s">
        <v>6197</v>
      </c>
      <c r="F3578" s="402">
        <v>2107</v>
      </c>
      <c r="G3578" s="405" t="s">
        <v>2627</v>
      </c>
      <c r="H3578" s="404"/>
      <c r="I3578" s="402"/>
      <c r="J3578" s="406" t="s">
        <v>1943</v>
      </c>
      <c r="K3578" s="403">
        <v>41605</v>
      </c>
      <c r="L3578" s="398"/>
      <c r="M3578" s="402"/>
      <c r="N3578" s="402" t="s">
        <v>2</v>
      </c>
      <c r="O3578" s="404">
        <f>1/2</f>
        <v>0.5</v>
      </c>
      <c r="P3578" s="402">
        <v>4.8899999999999997</v>
      </c>
      <c r="Q3578" s="404">
        <v>6.86</v>
      </c>
      <c r="R3578" s="402">
        <f>1/2</f>
        <v>0.5</v>
      </c>
      <c r="S3578" s="404">
        <v>20</v>
      </c>
      <c r="T3578" s="402">
        <v>0.01</v>
      </c>
      <c r="U3578" s="395">
        <v>0.2</v>
      </c>
      <c r="V3578" s="402">
        <v>0.34</v>
      </c>
      <c r="W3578" s="404">
        <f>0.02/2</f>
        <v>0.01</v>
      </c>
      <c r="X3578" s="402">
        <f>0.02/2</f>
        <v>0.01</v>
      </c>
      <c r="Y3578" s="404">
        <v>6.0000000000000001E-3</v>
      </c>
      <c r="Z3578" s="397"/>
      <c r="AA3578" s="399"/>
      <c r="AB3578" s="394"/>
      <c r="AC3578" s="402"/>
      <c r="AD3578" s="399"/>
      <c r="AE3578" s="402"/>
      <c r="AF3578" s="391"/>
      <c r="AG3578" s="394"/>
      <c r="AH3578" s="394"/>
      <c r="AI3578" s="394"/>
      <c r="AJ3578" s="394"/>
      <c r="AK3578" s="394"/>
      <c r="AL3578" s="394"/>
      <c r="AM3578" s="394"/>
      <c r="AN3578" s="394"/>
      <c r="AO3578" s="394"/>
      <c r="AP3578" s="394"/>
      <c r="AQ3578" s="394"/>
      <c r="AR3578" s="394"/>
      <c r="AS3578" s="402"/>
      <c r="AT3578" s="404"/>
      <c r="AU3578" s="394"/>
      <c r="AV3578" s="394"/>
      <c r="AW3578" s="394"/>
      <c r="AX3578" s="5"/>
      <c r="AY3578" s="5"/>
      <c r="AZ3578" s="5"/>
      <c r="BA3578" s="5"/>
      <c r="BB3578" s="5"/>
      <c r="BC3578" s="5"/>
      <c r="BD3578" s="5"/>
      <c r="BE3578" s="5"/>
      <c r="BF3578" s="5"/>
      <c r="BG3578" s="5"/>
      <c r="BH3578" s="5"/>
      <c r="BI3578" s="5"/>
      <c r="BJ3578" s="5"/>
      <c r="BK3578" s="5"/>
      <c r="BL3578" s="5"/>
      <c r="BM3578" s="5"/>
      <c r="BN3578" s="5"/>
      <c r="BO3578" s="5"/>
      <c r="BP3578" s="5"/>
      <c r="BQ3578" s="5"/>
      <c r="BR3578" s="5"/>
      <c r="BS3578" s="5"/>
      <c r="BT3578" s="5"/>
      <c r="BU3578" s="5"/>
      <c r="BV3578" s="5"/>
      <c r="BW3578" s="5"/>
      <c r="BX3578" s="5"/>
      <c r="BY3578" s="5"/>
      <c r="BZ3578" s="5"/>
      <c r="CA3578" s="5"/>
    </row>
    <row r="3579" spans="1:79" s="400" customFormat="1" ht="15" customHeight="1">
      <c r="A3579" s="41" t="s">
        <v>183</v>
      </c>
      <c r="B3579" s="402" t="s">
        <v>2626</v>
      </c>
      <c r="C3579" s="113" t="s">
        <v>2626</v>
      </c>
      <c r="D3579" s="393" t="s">
        <v>406</v>
      </c>
      <c r="E3579" s="394" t="s">
        <v>6197</v>
      </c>
      <c r="F3579" s="402">
        <v>2107</v>
      </c>
      <c r="G3579" s="405" t="s">
        <v>2627</v>
      </c>
      <c r="H3579" s="404"/>
      <c r="I3579" s="402"/>
      <c r="J3579" s="406"/>
      <c r="K3579" s="403">
        <v>41438</v>
      </c>
      <c r="L3579" s="398"/>
      <c r="M3579" s="402"/>
      <c r="N3579" s="402" t="s">
        <v>2</v>
      </c>
      <c r="O3579" s="404">
        <f>1/2</f>
        <v>0.5</v>
      </c>
      <c r="P3579" s="402">
        <v>4.75</v>
      </c>
      <c r="Q3579" s="404">
        <v>6.05</v>
      </c>
      <c r="R3579" s="402">
        <v>5</v>
      </c>
      <c r="S3579" s="404">
        <f>2/2</f>
        <v>1</v>
      </c>
      <c r="T3579" s="402">
        <v>0.01</v>
      </c>
      <c r="U3579" s="395">
        <v>0.42</v>
      </c>
      <c r="V3579" s="402">
        <v>2.14</v>
      </c>
      <c r="W3579" s="404">
        <f>0.002/2</f>
        <v>1E-3</v>
      </c>
      <c r="X3579" s="402">
        <v>7.0000000000000001E-3</v>
      </c>
      <c r="Y3579" s="404">
        <f>0.002/2</f>
        <v>1E-3</v>
      </c>
      <c r="Z3579" s="397">
        <v>1</v>
      </c>
      <c r="AA3579" s="399">
        <v>1</v>
      </c>
      <c r="AB3579" s="394">
        <v>30</v>
      </c>
      <c r="AC3579" s="402">
        <v>176</v>
      </c>
      <c r="AD3579" s="399">
        <v>1</v>
      </c>
      <c r="AE3579" s="402"/>
      <c r="AF3579" s="391"/>
      <c r="AG3579" s="394"/>
      <c r="AH3579" s="394"/>
      <c r="AI3579" s="394"/>
      <c r="AJ3579" s="394"/>
      <c r="AK3579" s="394"/>
      <c r="AL3579" s="394"/>
      <c r="AM3579" s="394"/>
      <c r="AN3579" s="394"/>
      <c r="AO3579" s="394"/>
      <c r="AP3579" s="394"/>
      <c r="AQ3579" s="394"/>
      <c r="AR3579" s="394"/>
      <c r="AS3579" s="402"/>
      <c r="AT3579" s="404"/>
      <c r="AU3579" s="394"/>
      <c r="AV3579" s="394"/>
      <c r="AW3579" s="394"/>
      <c r="AX3579" s="5"/>
      <c r="AY3579" s="5"/>
      <c r="AZ3579" s="5"/>
      <c r="BA3579" s="5"/>
      <c r="BB3579" s="5"/>
      <c r="BC3579" s="5"/>
      <c r="BD3579" s="5"/>
      <c r="BE3579" s="5"/>
      <c r="BF3579" s="5"/>
      <c r="BG3579" s="5"/>
      <c r="BH3579" s="5"/>
      <c r="BI3579" s="5"/>
      <c r="BJ3579" s="5"/>
      <c r="BK3579" s="5"/>
      <c r="BL3579" s="5"/>
      <c r="BM3579" s="5"/>
      <c r="BN3579" s="5"/>
      <c r="BO3579" s="5"/>
      <c r="BP3579" s="5"/>
      <c r="BQ3579" s="5"/>
      <c r="BR3579" s="5"/>
      <c r="BS3579" s="5"/>
      <c r="BT3579" s="5"/>
      <c r="BU3579" s="5"/>
      <c r="BV3579" s="5"/>
      <c r="BW3579" s="5"/>
      <c r="BX3579" s="5"/>
      <c r="BY3579" s="5"/>
      <c r="BZ3579" s="5"/>
      <c r="CA3579" s="5"/>
    </row>
    <row r="3580" spans="1:79" s="400" customFormat="1" ht="15" customHeight="1">
      <c r="A3580" s="41" t="s">
        <v>183</v>
      </c>
      <c r="B3580" s="402" t="s">
        <v>6198</v>
      </c>
      <c r="C3580" s="113" t="s">
        <v>6020</v>
      </c>
      <c r="D3580" s="393" t="s">
        <v>1830</v>
      </c>
      <c r="E3580" s="394" t="s">
        <v>3271</v>
      </c>
      <c r="F3580" s="402">
        <v>7000</v>
      </c>
      <c r="G3580" s="405" t="s">
        <v>6021</v>
      </c>
      <c r="H3580" s="404"/>
      <c r="I3580" s="402" t="s">
        <v>2</v>
      </c>
      <c r="J3580" s="406" t="s">
        <v>6020</v>
      </c>
      <c r="K3580" s="403">
        <v>41180</v>
      </c>
      <c r="L3580" s="398">
        <v>41170</v>
      </c>
      <c r="M3580" s="402">
        <f t="shared" ref="M3580" si="218">K3580-L3580</f>
        <v>10</v>
      </c>
      <c r="N3580" s="402" t="s">
        <v>2</v>
      </c>
      <c r="O3580" s="404">
        <v>1.1000000000000001</v>
      </c>
      <c r="P3580" s="402">
        <v>4.5</v>
      </c>
      <c r="Q3580" s="404">
        <v>4.5999999999999996</v>
      </c>
      <c r="R3580" s="402">
        <v>5.6</v>
      </c>
      <c r="S3580" s="404">
        <v>5</v>
      </c>
      <c r="T3580" s="402">
        <v>1.6E-2</v>
      </c>
      <c r="U3580" s="395" t="s">
        <v>955</v>
      </c>
      <c r="V3580" s="402">
        <v>0.24</v>
      </c>
      <c r="W3580" s="404">
        <v>2.1999999999999999E-2</v>
      </c>
      <c r="X3580" s="402">
        <v>0.04</v>
      </c>
      <c r="Y3580" s="404" t="s">
        <v>955</v>
      </c>
      <c r="Z3580" s="397">
        <v>0.218</v>
      </c>
      <c r="AA3580" s="399">
        <v>0.129</v>
      </c>
      <c r="AB3580" s="394">
        <v>6</v>
      </c>
      <c r="AC3580" s="402">
        <v>21</v>
      </c>
      <c r="AD3580" s="399">
        <v>0</v>
      </c>
      <c r="AE3580" s="402"/>
      <c r="AF3580" s="391"/>
      <c r="AG3580" s="394"/>
      <c r="AH3580" s="394"/>
      <c r="AI3580" s="394"/>
      <c r="AJ3580" s="394"/>
      <c r="AK3580" s="394"/>
      <c r="AL3580" s="394"/>
      <c r="AM3580" s="394"/>
      <c r="AN3580" s="394"/>
      <c r="AO3580" s="394"/>
      <c r="AP3580" s="394"/>
      <c r="AQ3580" s="394"/>
      <c r="AR3580" s="394"/>
      <c r="AS3580" s="402"/>
      <c r="AT3580" s="404"/>
      <c r="AU3580" s="394"/>
      <c r="AV3580" s="394"/>
      <c r="AW3580" s="394"/>
      <c r="AX3580" s="5"/>
      <c r="AY3580" s="5"/>
      <c r="AZ3580" s="5"/>
      <c r="BA3580" s="5"/>
      <c r="BB3580" s="5"/>
      <c r="BC3580" s="5"/>
      <c r="BD3580" s="5"/>
      <c r="BE3580" s="5"/>
      <c r="BF3580" s="5"/>
      <c r="BG3580" s="5"/>
      <c r="BH3580" s="5"/>
      <c r="BI3580" s="5"/>
      <c r="BJ3580" s="5"/>
      <c r="BK3580" s="5"/>
      <c r="BL3580" s="5"/>
      <c r="BM3580" s="5"/>
      <c r="BN3580" s="5"/>
      <c r="BO3580" s="5"/>
      <c r="BP3580" s="5"/>
      <c r="BQ3580" s="5"/>
      <c r="BR3580" s="5"/>
      <c r="BS3580" s="5"/>
      <c r="BT3580" s="5"/>
      <c r="BU3580" s="5"/>
      <c r="BV3580" s="5"/>
      <c r="BW3580" s="5"/>
      <c r="BX3580" s="5"/>
      <c r="BY3580" s="5"/>
      <c r="BZ3580" s="5"/>
      <c r="CA3580" s="5"/>
    </row>
    <row r="3581" spans="1:79" ht="15" customHeight="1">
      <c r="A3581" s="404" t="s">
        <v>4668</v>
      </c>
      <c r="B3581" s="402" t="s">
        <v>5096</v>
      </c>
      <c r="C3581" s="113" t="s">
        <v>5096</v>
      </c>
      <c r="D3581" s="393" t="s">
        <v>268</v>
      </c>
      <c r="E3581" s="394" t="s">
        <v>269</v>
      </c>
      <c r="F3581" s="402">
        <v>4400</v>
      </c>
      <c r="G3581" s="405" t="s">
        <v>274</v>
      </c>
      <c r="H3581" s="49">
        <v>3484</v>
      </c>
      <c r="J3581" s="49" t="s">
        <v>271</v>
      </c>
      <c r="K3581" s="51">
        <v>41631</v>
      </c>
      <c r="L3581" s="173"/>
      <c r="M3581" s="50" t="s">
        <v>5380</v>
      </c>
      <c r="O3581" s="74">
        <v>4.8</v>
      </c>
      <c r="P3581" s="50">
        <v>4.6100000000000003</v>
      </c>
      <c r="Q3581" s="74">
        <v>7.38</v>
      </c>
      <c r="R3581" s="50">
        <v>87.9</v>
      </c>
      <c r="S3581" s="74">
        <v>166</v>
      </c>
      <c r="T3581" s="50">
        <v>0.25</v>
      </c>
      <c r="U3581" s="131">
        <v>1.39</v>
      </c>
      <c r="V3581" s="50">
        <v>0.37</v>
      </c>
      <c r="W3581" s="74">
        <v>0.14000000000000001</v>
      </c>
      <c r="X3581" s="50">
        <v>0.28999999999999998</v>
      </c>
      <c r="Y3581" s="74">
        <v>0.18</v>
      </c>
      <c r="Z3581" s="165"/>
    </row>
    <row r="3582" spans="1:79" ht="15" customHeight="1">
      <c r="A3582" s="404" t="s">
        <v>4668</v>
      </c>
      <c r="B3582" s="402" t="s">
        <v>5096</v>
      </c>
      <c r="C3582" s="113" t="s">
        <v>5096</v>
      </c>
      <c r="D3582" s="393" t="s">
        <v>268</v>
      </c>
      <c r="E3582" s="394" t="s">
        <v>269</v>
      </c>
      <c r="F3582" s="402">
        <v>4400</v>
      </c>
      <c r="G3582" s="405" t="s">
        <v>274</v>
      </c>
      <c r="H3582" s="74">
        <v>3484</v>
      </c>
      <c r="J3582" s="339" t="s">
        <v>272</v>
      </c>
      <c r="K3582" s="51">
        <v>41631</v>
      </c>
      <c r="L3582" s="173"/>
      <c r="M3582" s="50" t="s">
        <v>6199</v>
      </c>
      <c r="O3582" s="74">
        <v>5.6</v>
      </c>
      <c r="P3582" s="50">
        <v>4.6100000000000003</v>
      </c>
      <c r="Q3582" s="74">
        <v>6.84</v>
      </c>
      <c r="R3582" s="50">
        <v>104.4</v>
      </c>
      <c r="S3582" s="74">
        <v>157.5</v>
      </c>
      <c r="T3582" s="50">
        <v>0.32</v>
      </c>
      <c r="U3582" s="131">
        <v>2</v>
      </c>
      <c r="V3582" s="50">
        <v>0.32</v>
      </c>
      <c r="W3582" s="74">
        <v>0.12</v>
      </c>
      <c r="X3582" s="50">
        <v>0.43</v>
      </c>
      <c r="Y3582" s="74">
        <v>0.56999999999999995</v>
      </c>
      <c r="Z3582" s="165"/>
    </row>
    <row r="3583" spans="1:79" ht="15" customHeight="1">
      <c r="A3583" s="404" t="s">
        <v>4668</v>
      </c>
      <c r="B3583" s="402" t="s">
        <v>5096</v>
      </c>
      <c r="C3583" s="113" t="s">
        <v>5096</v>
      </c>
      <c r="D3583" s="393" t="s">
        <v>268</v>
      </c>
      <c r="E3583" s="394" t="s">
        <v>269</v>
      </c>
      <c r="F3583" s="402">
        <v>4400</v>
      </c>
      <c r="G3583" s="405" t="s">
        <v>274</v>
      </c>
      <c r="H3583" s="74">
        <v>3484</v>
      </c>
      <c r="J3583" s="339" t="s">
        <v>270</v>
      </c>
      <c r="K3583" s="51">
        <v>41631</v>
      </c>
      <c r="L3583" s="173"/>
      <c r="M3583" s="50" t="s">
        <v>6199</v>
      </c>
      <c r="O3583" s="74">
        <v>4.0999999999999996</v>
      </c>
      <c r="P3583" s="50">
        <v>4.6100000000000003</v>
      </c>
      <c r="Q3583" s="74">
        <v>6.38</v>
      </c>
      <c r="R3583" s="50">
        <v>73.5</v>
      </c>
      <c r="S3583" s="74">
        <v>138.5</v>
      </c>
      <c r="T3583" s="50">
        <v>0.1</v>
      </c>
      <c r="U3583" s="131">
        <v>1.54</v>
      </c>
      <c r="V3583" s="50">
        <v>0.27</v>
      </c>
      <c r="W3583" s="74">
        <v>0.3</v>
      </c>
      <c r="X3583" s="50">
        <v>0.45</v>
      </c>
      <c r="Y3583" s="74">
        <v>1.94</v>
      </c>
      <c r="Z3583" s="165"/>
    </row>
    <row r="3584" spans="1:79" ht="15" customHeight="1">
      <c r="A3584" s="404" t="s">
        <v>4668</v>
      </c>
      <c r="B3584" s="402" t="s">
        <v>5096</v>
      </c>
      <c r="C3584" s="113" t="s">
        <v>5096</v>
      </c>
      <c r="D3584" s="393" t="s">
        <v>268</v>
      </c>
      <c r="E3584" s="394" t="s">
        <v>269</v>
      </c>
      <c r="F3584" s="402">
        <v>4400</v>
      </c>
      <c r="G3584" s="405" t="s">
        <v>274</v>
      </c>
      <c r="H3584" s="74">
        <v>3484</v>
      </c>
      <c r="J3584" s="339" t="s">
        <v>273</v>
      </c>
      <c r="K3584" s="51">
        <v>41631</v>
      </c>
      <c r="L3584" s="173"/>
      <c r="M3584" s="50" t="s">
        <v>6199</v>
      </c>
      <c r="O3584" s="74">
        <v>4</v>
      </c>
      <c r="P3584" s="50">
        <v>4.6100000000000003</v>
      </c>
      <c r="Q3584" s="74">
        <v>6.92</v>
      </c>
      <c r="R3584" s="50">
        <v>87.9</v>
      </c>
      <c r="S3584" s="74">
        <v>180</v>
      </c>
      <c r="T3584" s="50">
        <v>0.34</v>
      </c>
      <c r="U3584" s="131">
        <v>1.99</v>
      </c>
      <c r="V3584" s="50">
        <v>0.25</v>
      </c>
      <c r="W3584" s="74">
        <v>0.15</v>
      </c>
      <c r="X3584" s="50">
        <v>0.4</v>
      </c>
      <c r="Y3584" s="74">
        <v>0.88</v>
      </c>
      <c r="Z3584" s="165"/>
    </row>
    <row r="3585" spans="1:79" s="400" customFormat="1" ht="15" customHeight="1">
      <c r="A3585" s="41" t="s">
        <v>183</v>
      </c>
      <c r="B3585" s="402" t="s">
        <v>332</v>
      </c>
      <c r="C3585" s="113" t="s">
        <v>332</v>
      </c>
      <c r="D3585" s="393" t="s">
        <v>333</v>
      </c>
      <c r="E3585" s="394" t="s">
        <v>467</v>
      </c>
      <c r="F3585" s="402" t="s">
        <v>980</v>
      </c>
      <c r="G3585" s="405" t="s">
        <v>334</v>
      </c>
      <c r="H3585" s="404">
        <v>3629</v>
      </c>
      <c r="I3585" s="402" t="s">
        <v>2</v>
      </c>
      <c r="J3585" s="406" t="s">
        <v>840</v>
      </c>
      <c r="K3585" s="403">
        <v>41264</v>
      </c>
      <c r="L3585" s="398">
        <v>41261</v>
      </c>
      <c r="M3585" s="402">
        <f t="shared" ref="M3585" si="219">K3585-L3585</f>
        <v>3</v>
      </c>
      <c r="N3585" s="402" t="s">
        <v>2</v>
      </c>
      <c r="O3585" s="404">
        <v>2.6</v>
      </c>
      <c r="P3585" s="402"/>
      <c r="Q3585" s="404">
        <v>4.4000000000000004</v>
      </c>
      <c r="R3585" s="402">
        <v>52</v>
      </c>
      <c r="S3585" s="404">
        <v>39</v>
      </c>
      <c r="T3585" s="402">
        <v>0.05</v>
      </c>
      <c r="U3585" s="395">
        <v>0.77</v>
      </c>
      <c r="V3585" s="402">
        <v>2.52</v>
      </c>
      <c r="W3585" s="404">
        <v>5.2999999999999999E-2</v>
      </c>
      <c r="X3585" s="402">
        <v>0.40600000000000003</v>
      </c>
      <c r="Y3585" s="404">
        <f>0.03/2</f>
        <v>1.4999999999999999E-2</v>
      </c>
      <c r="Z3585" s="397">
        <v>1</v>
      </c>
      <c r="AA3585" s="399">
        <v>0.95499999999999996</v>
      </c>
      <c r="AB3585" s="394">
        <v>19</v>
      </c>
      <c r="AC3585" s="402">
        <v>115</v>
      </c>
      <c r="AD3585" s="399">
        <v>0.45</v>
      </c>
      <c r="AE3585" s="402"/>
      <c r="AF3585" s="391"/>
      <c r="AG3585" s="394"/>
      <c r="AH3585" s="394"/>
      <c r="AI3585" s="394"/>
      <c r="AJ3585" s="394"/>
      <c r="AK3585" s="394"/>
      <c r="AL3585" s="394"/>
      <c r="AM3585" s="394"/>
      <c r="AN3585" s="394"/>
      <c r="AO3585" s="394"/>
      <c r="AP3585" s="394"/>
      <c r="AQ3585" s="394"/>
      <c r="AR3585" s="394"/>
      <c r="AS3585" s="402"/>
      <c r="AT3585" s="404"/>
      <c r="AU3585" s="394"/>
      <c r="AV3585" s="394"/>
      <c r="AW3585" s="394"/>
      <c r="AX3585" s="5"/>
      <c r="AY3585" s="5"/>
      <c r="AZ3585" s="5"/>
      <c r="BA3585" s="5"/>
      <c r="BB3585" s="5"/>
      <c r="BC3585" s="5"/>
      <c r="BD3585" s="5"/>
      <c r="BE3585" s="5"/>
      <c r="BF3585" s="5"/>
      <c r="BG3585" s="5"/>
      <c r="BH3585" s="5"/>
      <c r="BI3585" s="5"/>
      <c r="BJ3585" s="5"/>
      <c r="BK3585" s="5"/>
      <c r="BL3585" s="5"/>
      <c r="BM3585" s="5"/>
      <c r="BN3585" s="5"/>
      <c r="BO3585" s="5"/>
      <c r="BP3585" s="5"/>
      <c r="BQ3585" s="5"/>
      <c r="BR3585" s="5"/>
      <c r="BS3585" s="5"/>
      <c r="BT3585" s="5"/>
      <c r="BU3585" s="5"/>
      <c r="BV3585" s="5"/>
      <c r="BW3585" s="5"/>
      <c r="BX3585" s="5"/>
      <c r="BY3585" s="5"/>
      <c r="BZ3585" s="5"/>
      <c r="CA3585" s="5"/>
    </row>
    <row r="3586" spans="1:79" ht="15" customHeight="1">
      <c r="A3586" s="41" t="s">
        <v>183</v>
      </c>
      <c r="B3586" s="402" t="s">
        <v>332</v>
      </c>
      <c r="C3586" s="113" t="s">
        <v>332</v>
      </c>
      <c r="D3586" s="393" t="s">
        <v>333</v>
      </c>
      <c r="E3586" s="394" t="s">
        <v>467</v>
      </c>
      <c r="F3586" s="402" t="s">
        <v>980</v>
      </c>
      <c r="G3586" s="405" t="s">
        <v>334</v>
      </c>
      <c r="H3586" s="74">
        <v>3629</v>
      </c>
      <c r="I3586" s="50" t="s">
        <v>2</v>
      </c>
      <c r="J3586" s="339" t="s">
        <v>840</v>
      </c>
      <c r="K3586" s="51">
        <v>41585</v>
      </c>
      <c r="L3586" s="173">
        <v>41579</v>
      </c>
      <c r="M3586" s="50">
        <f t="shared" si="217"/>
        <v>6</v>
      </c>
      <c r="N3586" s="50" t="s">
        <v>1</v>
      </c>
      <c r="P3586" s="50">
        <v>5.58</v>
      </c>
      <c r="V3586" s="50">
        <v>0.19</v>
      </c>
      <c r="X3586" s="50">
        <v>0.16800000000000001</v>
      </c>
      <c r="Z3586" s="165"/>
    </row>
    <row r="3587" spans="1:79" s="400" customFormat="1" ht="15" customHeight="1">
      <c r="A3587" s="41" t="s">
        <v>183</v>
      </c>
      <c r="B3587" s="402" t="s">
        <v>1071</v>
      </c>
      <c r="C3587" s="113" t="s">
        <v>1071</v>
      </c>
      <c r="D3587" s="393" t="s">
        <v>372</v>
      </c>
      <c r="E3587" s="394" t="s">
        <v>1072</v>
      </c>
      <c r="F3587" s="402">
        <v>6900</v>
      </c>
      <c r="G3587" s="405" t="s">
        <v>1073</v>
      </c>
      <c r="H3587" s="391">
        <v>3471</v>
      </c>
      <c r="I3587" s="402" t="s">
        <v>2</v>
      </c>
      <c r="J3587" s="393" t="s">
        <v>1030</v>
      </c>
      <c r="K3587" s="403">
        <v>41058</v>
      </c>
      <c r="L3587" s="398">
        <v>41054</v>
      </c>
      <c r="M3587" s="402">
        <f t="shared" si="217"/>
        <v>4</v>
      </c>
      <c r="N3587" s="402" t="s">
        <v>2</v>
      </c>
      <c r="O3587" s="404">
        <f>2.5/2</f>
        <v>1.25</v>
      </c>
      <c r="P3587" s="402">
        <v>4.21</v>
      </c>
      <c r="Q3587" s="404">
        <v>4.72</v>
      </c>
      <c r="R3587" s="402">
        <v>120</v>
      </c>
      <c r="S3587" s="404">
        <v>81</v>
      </c>
      <c r="T3587" s="402">
        <v>4.8</v>
      </c>
      <c r="U3587" s="395">
        <v>2</v>
      </c>
      <c r="V3587" s="402">
        <v>0.94</v>
      </c>
      <c r="W3587" s="404">
        <v>0.14000000000000001</v>
      </c>
      <c r="X3587" s="402">
        <v>0.6</v>
      </c>
      <c r="Y3587" s="404">
        <v>2.7E-2</v>
      </c>
      <c r="Z3587" s="397">
        <v>0.51800000000000002</v>
      </c>
      <c r="AA3587" s="399">
        <v>0.26400000000000001</v>
      </c>
      <c r="AB3587" s="394">
        <v>42</v>
      </c>
      <c r="AC3587" s="402">
        <v>137</v>
      </c>
      <c r="AD3587" s="399">
        <v>0</v>
      </c>
      <c r="AE3587" s="402"/>
      <c r="AF3587" s="391"/>
      <c r="AG3587" s="394"/>
      <c r="AH3587" s="394"/>
      <c r="AI3587" s="394"/>
      <c r="AJ3587" s="394"/>
      <c r="AK3587" s="394"/>
      <c r="AL3587" s="394"/>
      <c r="AM3587" s="394"/>
      <c r="AN3587" s="394"/>
      <c r="AO3587" s="394"/>
      <c r="AP3587" s="394"/>
      <c r="AQ3587" s="394"/>
      <c r="AR3587" s="394"/>
      <c r="AS3587" s="402"/>
      <c r="AT3587" s="404"/>
      <c r="AU3587" s="394"/>
      <c r="AV3587" s="394"/>
      <c r="AW3587" s="394"/>
      <c r="AX3587" s="5"/>
      <c r="AY3587" s="5"/>
      <c r="AZ3587" s="5"/>
      <c r="BA3587" s="5"/>
      <c r="BB3587" s="5"/>
      <c r="BC3587" s="5"/>
      <c r="BD3587" s="5"/>
      <c r="BE3587" s="5"/>
      <c r="BF3587" s="5"/>
      <c r="BG3587" s="5"/>
      <c r="BH3587" s="5"/>
      <c r="BI3587" s="5"/>
      <c r="BJ3587" s="5"/>
      <c r="BK3587" s="5"/>
      <c r="BL3587" s="5"/>
      <c r="BM3587" s="5"/>
      <c r="BN3587" s="5"/>
      <c r="BO3587" s="5"/>
      <c r="BP3587" s="5"/>
      <c r="BQ3587" s="5"/>
      <c r="BR3587" s="5"/>
      <c r="BS3587" s="5"/>
      <c r="BT3587" s="5"/>
      <c r="BU3587" s="5"/>
      <c r="BV3587" s="5"/>
      <c r="BW3587" s="5"/>
      <c r="BX3587" s="5"/>
      <c r="BY3587" s="5"/>
      <c r="BZ3587" s="5"/>
      <c r="CA3587" s="5"/>
    </row>
    <row r="3588" spans="1:79" s="400" customFormat="1" ht="15" customHeight="1">
      <c r="A3588" s="41" t="s">
        <v>183</v>
      </c>
      <c r="B3588" s="402" t="s">
        <v>1071</v>
      </c>
      <c r="C3588" s="113" t="s">
        <v>1071</v>
      </c>
      <c r="D3588" s="393" t="s">
        <v>372</v>
      </c>
      <c r="E3588" s="394" t="s">
        <v>1072</v>
      </c>
      <c r="F3588" s="402">
        <v>6900</v>
      </c>
      <c r="G3588" s="405" t="s">
        <v>1073</v>
      </c>
      <c r="H3588" s="391">
        <v>3471</v>
      </c>
      <c r="I3588" s="402" t="s">
        <v>2</v>
      </c>
      <c r="J3588" s="393" t="s">
        <v>1030</v>
      </c>
      <c r="K3588" s="403">
        <v>41364</v>
      </c>
      <c r="L3588" s="398">
        <v>41332</v>
      </c>
      <c r="M3588" s="402">
        <f t="shared" si="217"/>
        <v>32</v>
      </c>
      <c r="N3588" s="402" t="s">
        <v>2</v>
      </c>
      <c r="O3588" s="404">
        <f>2.5/2</f>
        <v>1.25</v>
      </c>
      <c r="P3588" s="402">
        <v>5.0199999999999996</v>
      </c>
      <c r="Q3588" s="404">
        <v>5.77</v>
      </c>
      <c r="R3588" s="402">
        <v>18</v>
      </c>
      <c r="S3588" s="404">
        <v>19</v>
      </c>
      <c r="T3588" s="402">
        <v>0.15</v>
      </c>
      <c r="U3588" s="395">
        <v>1.2</v>
      </c>
      <c r="V3588" s="402">
        <v>0.18</v>
      </c>
      <c r="W3588" s="404">
        <v>6.2E-2</v>
      </c>
      <c r="X3588" s="402">
        <v>0.17</v>
      </c>
      <c r="Y3588" s="404">
        <f>0.013/2</f>
        <v>6.4999999999999997E-3</v>
      </c>
      <c r="Z3588" s="397">
        <v>0.55500000000000005</v>
      </c>
      <c r="AA3588" s="399">
        <v>0.5</v>
      </c>
      <c r="AB3588" s="394">
        <v>6</v>
      </c>
      <c r="AC3588" s="402">
        <v>47</v>
      </c>
      <c r="AD3588" s="399">
        <v>0.5</v>
      </c>
      <c r="AE3588" s="402"/>
      <c r="AF3588" s="391"/>
      <c r="AG3588" s="394"/>
      <c r="AH3588" s="394"/>
      <c r="AI3588" s="394"/>
      <c r="AJ3588" s="394"/>
      <c r="AK3588" s="394"/>
      <c r="AL3588" s="394"/>
      <c r="AM3588" s="394"/>
      <c r="AN3588" s="394"/>
      <c r="AO3588" s="394"/>
      <c r="AP3588" s="394"/>
      <c r="AQ3588" s="394"/>
      <c r="AR3588" s="394"/>
      <c r="AS3588" s="402"/>
      <c r="AT3588" s="404"/>
      <c r="AU3588" s="394"/>
      <c r="AV3588" s="394"/>
      <c r="AW3588" s="394"/>
      <c r="AX3588" s="5"/>
      <c r="AY3588" s="5"/>
      <c r="AZ3588" s="5"/>
      <c r="BA3588" s="5"/>
      <c r="BB3588" s="5"/>
      <c r="BC3588" s="5"/>
      <c r="BD3588" s="5"/>
      <c r="BE3588" s="5"/>
      <c r="BF3588" s="5"/>
      <c r="BG3588" s="5"/>
      <c r="BH3588" s="5"/>
      <c r="BI3588" s="5"/>
      <c r="BJ3588" s="5"/>
      <c r="BK3588" s="5"/>
      <c r="BL3588" s="5"/>
      <c r="BM3588" s="5"/>
      <c r="BN3588" s="5"/>
      <c r="BO3588" s="5"/>
      <c r="BP3588" s="5"/>
      <c r="BQ3588" s="5"/>
      <c r="BR3588" s="5"/>
      <c r="BS3588" s="5"/>
      <c r="BT3588" s="5"/>
      <c r="BU3588" s="5"/>
      <c r="BV3588" s="5"/>
      <c r="BW3588" s="5"/>
      <c r="BX3588" s="5"/>
      <c r="BY3588" s="5"/>
      <c r="BZ3588" s="5"/>
      <c r="CA3588" s="5"/>
    </row>
    <row r="3589" spans="1:79" ht="15" customHeight="1">
      <c r="A3589" s="41" t="s">
        <v>183</v>
      </c>
      <c r="B3589" s="402" t="s">
        <v>1071</v>
      </c>
      <c r="C3589" s="113" t="s">
        <v>1071</v>
      </c>
      <c r="D3589" s="393" t="s">
        <v>372</v>
      </c>
      <c r="E3589" s="394" t="s">
        <v>1072</v>
      </c>
      <c r="F3589" s="402">
        <v>6900</v>
      </c>
      <c r="G3589" s="405" t="s">
        <v>1073</v>
      </c>
      <c r="H3589" s="49">
        <v>3471</v>
      </c>
      <c r="I3589" s="50" t="s">
        <v>2</v>
      </c>
      <c r="J3589" s="76" t="s">
        <v>1030</v>
      </c>
      <c r="K3589" s="51">
        <v>41614</v>
      </c>
      <c r="L3589" s="173">
        <v>41605</v>
      </c>
      <c r="M3589" s="50">
        <f t="shared" si="217"/>
        <v>9</v>
      </c>
      <c r="N3589" s="50" t="s">
        <v>2</v>
      </c>
      <c r="Q3589" s="74">
        <v>5.13</v>
      </c>
      <c r="T3589" s="50">
        <v>1.5</v>
      </c>
      <c r="W3589" s="74">
        <f>0.04/2</f>
        <v>0.02</v>
      </c>
      <c r="X3589" s="50">
        <v>0.21</v>
      </c>
      <c r="Z3589" s="165"/>
    </row>
    <row r="3590" spans="1:79" s="400" customFormat="1" ht="15" customHeight="1">
      <c r="A3590" s="41" t="s">
        <v>183</v>
      </c>
      <c r="B3590" s="402" t="s">
        <v>4438</v>
      </c>
      <c r="C3590" s="113" t="s">
        <v>2000</v>
      </c>
      <c r="D3590" s="393" t="s">
        <v>434</v>
      </c>
      <c r="E3590" s="394" t="s">
        <v>304</v>
      </c>
      <c r="F3590" s="402" t="s">
        <v>6200</v>
      </c>
      <c r="G3590" s="405" t="s">
        <v>2002</v>
      </c>
      <c r="H3590" s="404">
        <v>4952</v>
      </c>
      <c r="I3590" s="402" t="s">
        <v>1</v>
      </c>
      <c r="J3590" s="406" t="s">
        <v>2003</v>
      </c>
      <c r="K3590" s="403">
        <v>41508</v>
      </c>
      <c r="L3590" s="398">
        <v>41481</v>
      </c>
      <c r="M3590" s="402">
        <f t="shared" si="217"/>
        <v>27</v>
      </c>
      <c r="N3590" s="402" t="s">
        <v>2</v>
      </c>
      <c r="O3590" s="404">
        <f t="shared" ref="O3590" si="220">1/2</f>
        <v>0.5</v>
      </c>
      <c r="P3590" s="402">
        <v>4.83</v>
      </c>
      <c r="Q3590" s="404">
        <v>2.84</v>
      </c>
      <c r="R3590" s="402">
        <v>38.4</v>
      </c>
      <c r="S3590" s="404">
        <v>6</v>
      </c>
      <c r="T3590" s="402">
        <v>0.42</v>
      </c>
      <c r="U3590" s="395">
        <v>2</v>
      </c>
      <c r="V3590" s="402">
        <v>0.86</v>
      </c>
      <c r="W3590" s="404">
        <v>0.14499999999999999</v>
      </c>
      <c r="X3590" s="402">
        <v>0.16500000000000001</v>
      </c>
      <c r="Y3590" s="404">
        <v>3.0000000000000001E-3</v>
      </c>
      <c r="Z3590" s="397"/>
      <c r="AA3590" s="399"/>
      <c r="AB3590" s="394"/>
      <c r="AC3590" s="402"/>
      <c r="AD3590" s="399"/>
      <c r="AE3590" s="402"/>
      <c r="AF3590" s="391"/>
      <c r="AG3590" s="394"/>
      <c r="AH3590" s="394"/>
      <c r="AI3590" s="394"/>
      <c r="AJ3590" s="394"/>
      <c r="AK3590" s="394"/>
      <c r="AL3590" s="394"/>
      <c r="AM3590" s="394"/>
      <c r="AN3590" s="394"/>
      <c r="AO3590" s="394"/>
      <c r="AP3590" s="394"/>
      <c r="AQ3590" s="394"/>
      <c r="AR3590" s="394"/>
      <c r="AS3590" s="402"/>
      <c r="AT3590" s="404"/>
      <c r="AU3590" s="394"/>
      <c r="AV3590" s="394"/>
      <c r="AW3590" s="394"/>
      <c r="AX3590" s="5"/>
      <c r="AY3590" s="5"/>
      <c r="AZ3590" s="5"/>
      <c r="BA3590" s="5"/>
      <c r="BB3590" s="5"/>
      <c r="BC3590" s="5"/>
      <c r="BD3590" s="5"/>
      <c r="BE3590" s="5"/>
      <c r="BF3590" s="5"/>
      <c r="BG3590" s="5"/>
      <c r="BH3590" s="5"/>
      <c r="BI3590" s="5"/>
      <c r="BJ3590" s="5"/>
      <c r="BK3590" s="5"/>
      <c r="BL3590" s="5"/>
      <c r="BM3590" s="5"/>
      <c r="BN3590" s="5"/>
      <c r="BO3590" s="5"/>
      <c r="BP3590" s="5"/>
      <c r="BQ3590" s="5"/>
      <c r="BR3590" s="5"/>
      <c r="BS3590" s="5"/>
      <c r="BT3590" s="5"/>
      <c r="BU3590" s="5"/>
      <c r="BV3590" s="5"/>
      <c r="BW3590" s="5"/>
      <c r="BX3590" s="5"/>
      <c r="BY3590" s="5"/>
      <c r="BZ3590" s="5"/>
      <c r="CA3590" s="5"/>
    </row>
    <row r="3591" spans="1:79" ht="15" customHeight="1">
      <c r="A3591" s="404" t="s">
        <v>4668</v>
      </c>
      <c r="B3591" s="402" t="s">
        <v>2189</v>
      </c>
      <c r="C3591" s="113" t="s">
        <v>2189</v>
      </c>
      <c r="D3591" s="393" t="s">
        <v>89</v>
      </c>
      <c r="E3591" s="394" t="s">
        <v>535</v>
      </c>
      <c r="F3591" s="402">
        <v>6600</v>
      </c>
      <c r="G3591" s="405" t="s">
        <v>2190</v>
      </c>
      <c r="H3591" s="74"/>
      <c r="J3591" s="339" t="s">
        <v>135</v>
      </c>
      <c r="K3591" s="51">
        <v>41579</v>
      </c>
      <c r="L3591" s="173">
        <v>41574</v>
      </c>
      <c r="M3591" s="50">
        <f t="shared" si="217"/>
        <v>5</v>
      </c>
      <c r="N3591" s="50" t="s">
        <v>2</v>
      </c>
      <c r="O3591" s="74">
        <f t="shared" ref="O3591:O3594" si="221">1/2</f>
        <v>0.5</v>
      </c>
      <c r="P3591" s="50">
        <v>6.1</v>
      </c>
      <c r="Q3591" s="74">
        <v>5.6</v>
      </c>
      <c r="R3591" s="50">
        <v>30</v>
      </c>
      <c r="S3591" s="74">
        <v>2.6</v>
      </c>
      <c r="T3591" s="50">
        <v>0.04</v>
      </c>
      <c r="U3591" s="131">
        <v>1.08</v>
      </c>
      <c r="V3591" s="50">
        <v>0.56999999999999995</v>
      </c>
      <c r="W3591" s="74">
        <f>0.005/2</f>
        <v>2.5000000000000001E-3</v>
      </c>
      <c r="X3591" s="50">
        <v>1.4E-2</v>
      </c>
      <c r="Y3591" s="74">
        <v>7.0000000000000001E-3</v>
      </c>
      <c r="Z3591" s="165"/>
      <c r="AE3591" s="50">
        <v>0</v>
      </c>
    </row>
    <row r="3592" spans="1:79" ht="15" customHeight="1">
      <c r="A3592" s="404" t="s">
        <v>4668</v>
      </c>
      <c r="B3592" s="402" t="s">
        <v>2189</v>
      </c>
      <c r="C3592" s="113" t="s">
        <v>2189</v>
      </c>
      <c r="D3592" s="393" t="s">
        <v>89</v>
      </c>
      <c r="E3592" s="394" t="s">
        <v>535</v>
      </c>
      <c r="F3592" s="402">
        <v>6600</v>
      </c>
      <c r="G3592" s="405" t="s">
        <v>2190</v>
      </c>
      <c r="H3592" s="74"/>
      <c r="J3592" s="48" t="s">
        <v>2192</v>
      </c>
      <c r="K3592" s="51">
        <v>41579</v>
      </c>
      <c r="L3592" s="173">
        <v>41574</v>
      </c>
      <c r="M3592" s="50">
        <f t="shared" si="217"/>
        <v>5</v>
      </c>
      <c r="N3592" s="50" t="s">
        <v>2</v>
      </c>
      <c r="O3592" s="74">
        <f t="shared" si="221"/>
        <v>0.5</v>
      </c>
      <c r="P3592" s="50">
        <v>6.1</v>
      </c>
      <c r="Q3592" s="74">
        <v>6.1</v>
      </c>
      <c r="R3592" s="50">
        <v>24</v>
      </c>
      <c r="S3592" s="74">
        <v>0.09</v>
      </c>
      <c r="T3592" s="50">
        <v>0.03</v>
      </c>
      <c r="U3592" s="131">
        <v>0.93</v>
      </c>
      <c r="V3592" s="50">
        <v>0.55000000000000004</v>
      </c>
      <c r="W3592" s="74">
        <f>0.005/2</f>
        <v>2.5000000000000001E-3</v>
      </c>
      <c r="X3592" s="50">
        <v>1.4999999999999999E-2</v>
      </c>
      <c r="Y3592" s="74">
        <v>6.0000000000000001E-3</v>
      </c>
      <c r="Z3592" s="165"/>
      <c r="AE3592" s="50">
        <v>0</v>
      </c>
    </row>
    <row r="3593" spans="1:79" ht="15" customHeight="1">
      <c r="A3593" s="404" t="s">
        <v>4668</v>
      </c>
      <c r="B3593" s="402" t="s">
        <v>2189</v>
      </c>
      <c r="C3593" s="113" t="s">
        <v>2189</v>
      </c>
      <c r="D3593" s="393" t="s">
        <v>89</v>
      </c>
      <c r="E3593" s="394" t="s">
        <v>535</v>
      </c>
      <c r="F3593" s="402">
        <v>6600</v>
      </c>
      <c r="G3593" s="405" t="s">
        <v>2190</v>
      </c>
      <c r="H3593" s="74"/>
      <c r="J3593" s="339" t="s">
        <v>75</v>
      </c>
      <c r="K3593" s="51">
        <v>41579</v>
      </c>
      <c r="L3593" s="173">
        <v>41574</v>
      </c>
      <c r="M3593" s="50">
        <f t="shared" si="217"/>
        <v>5</v>
      </c>
      <c r="N3593" s="50" t="s">
        <v>2</v>
      </c>
      <c r="O3593" s="74">
        <f t="shared" si="221"/>
        <v>0.5</v>
      </c>
      <c r="P3593" s="50">
        <v>6.1</v>
      </c>
      <c r="Q3593" s="74">
        <v>4.9000000000000004</v>
      </c>
      <c r="R3593" s="50">
        <v>26</v>
      </c>
      <c r="S3593" s="74">
        <v>1.6</v>
      </c>
      <c r="T3593" s="50">
        <v>0.01</v>
      </c>
      <c r="U3593" s="131">
        <v>1.08</v>
      </c>
      <c r="V3593" s="50">
        <v>0.62</v>
      </c>
      <c r="W3593" s="74">
        <f>0.005/2</f>
        <v>2.5000000000000001E-3</v>
      </c>
      <c r="X3593" s="50">
        <v>1.2E-2</v>
      </c>
      <c r="Y3593" s="74">
        <v>7.0000000000000001E-3</v>
      </c>
      <c r="Z3593" s="165"/>
      <c r="AE3593" s="50">
        <v>12</v>
      </c>
    </row>
    <row r="3594" spans="1:79" ht="15" customHeight="1">
      <c r="A3594" s="404" t="s">
        <v>4668</v>
      </c>
      <c r="B3594" s="402" t="s">
        <v>2189</v>
      </c>
      <c r="C3594" s="113" t="s">
        <v>2189</v>
      </c>
      <c r="D3594" s="393" t="s">
        <v>89</v>
      </c>
      <c r="E3594" s="394" t="s">
        <v>535</v>
      </c>
      <c r="F3594" s="402">
        <v>6600</v>
      </c>
      <c r="G3594" s="405" t="s">
        <v>2190</v>
      </c>
      <c r="H3594" s="74"/>
      <c r="J3594" s="339" t="s">
        <v>75</v>
      </c>
      <c r="K3594" s="51">
        <v>41579</v>
      </c>
      <c r="L3594" s="173">
        <v>41574</v>
      </c>
      <c r="M3594" s="50">
        <f t="shared" si="217"/>
        <v>5</v>
      </c>
      <c r="N3594" s="50" t="s">
        <v>2</v>
      </c>
      <c r="O3594" s="74">
        <f t="shared" si="221"/>
        <v>0.5</v>
      </c>
      <c r="P3594" s="50">
        <v>6.1</v>
      </c>
      <c r="Q3594" s="74">
        <v>6.1</v>
      </c>
      <c r="R3594" s="50">
        <v>16</v>
      </c>
      <c r="S3594" s="74">
        <v>1.9</v>
      </c>
      <c r="T3594" s="50">
        <v>0.02</v>
      </c>
      <c r="U3594" s="131">
        <v>0.9</v>
      </c>
      <c r="V3594" s="50">
        <v>0.56999999999999995</v>
      </c>
      <c r="W3594" s="74">
        <v>5.0000000000000001E-3</v>
      </c>
      <c r="X3594" s="50">
        <v>0.02</v>
      </c>
      <c r="Y3594" s="74">
        <v>7.0000000000000001E-3</v>
      </c>
      <c r="Z3594" s="165"/>
      <c r="AE3594" s="50">
        <v>0</v>
      </c>
    </row>
    <row r="3595" spans="1:79" ht="15" customHeight="1">
      <c r="A3595" s="41" t="s">
        <v>183</v>
      </c>
      <c r="B3595" s="402" t="s">
        <v>313</v>
      </c>
      <c r="C3595" s="113" t="s">
        <v>313</v>
      </c>
      <c r="D3595" s="393" t="s">
        <v>314</v>
      </c>
      <c r="E3595" s="394" t="s">
        <v>315</v>
      </c>
      <c r="G3595" s="405" t="s">
        <v>994</v>
      </c>
      <c r="H3595" s="74">
        <v>3728</v>
      </c>
      <c r="I3595" s="50" t="s">
        <v>2</v>
      </c>
      <c r="J3595" s="339" t="s">
        <v>81</v>
      </c>
      <c r="K3595" s="51">
        <v>41590</v>
      </c>
      <c r="L3595" s="173">
        <v>41585</v>
      </c>
      <c r="M3595" s="50">
        <f t="shared" si="217"/>
        <v>5</v>
      </c>
      <c r="N3595" s="50" t="s">
        <v>2</v>
      </c>
      <c r="R3595" s="50">
        <v>54</v>
      </c>
      <c r="U3595" s="131">
        <v>2.11</v>
      </c>
      <c r="Z3595" s="165"/>
    </row>
    <row r="3596" spans="1:79" ht="15" customHeight="1">
      <c r="A3596" s="404" t="s">
        <v>4668</v>
      </c>
      <c r="B3596" s="402" t="s">
        <v>4427</v>
      </c>
      <c r="C3596" s="113" t="s">
        <v>4428</v>
      </c>
      <c r="D3596" s="393" t="s">
        <v>534</v>
      </c>
      <c r="E3596" s="394" t="s">
        <v>304</v>
      </c>
      <c r="F3596" s="402">
        <v>6000</v>
      </c>
      <c r="G3596" s="405" t="s">
        <v>4429</v>
      </c>
      <c r="H3596" s="74"/>
      <c r="I3596" s="50" t="s">
        <v>1</v>
      </c>
      <c r="J3596" s="339" t="s">
        <v>4430</v>
      </c>
      <c r="K3596" s="51">
        <v>41553</v>
      </c>
      <c r="L3596" s="173">
        <v>41539</v>
      </c>
      <c r="M3596" s="50">
        <f t="shared" si="217"/>
        <v>14</v>
      </c>
      <c r="N3596" s="50" t="s">
        <v>2</v>
      </c>
      <c r="O3596" s="74">
        <f>0.5/2</f>
        <v>0.25</v>
      </c>
      <c r="P3596" s="50">
        <v>5.54</v>
      </c>
      <c r="Q3596" s="74">
        <v>5.8</v>
      </c>
      <c r="R3596" s="50">
        <v>11</v>
      </c>
      <c r="S3596" s="74">
        <v>16</v>
      </c>
      <c r="T3596" s="50">
        <v>0.18</v>
      </c>
      <c r="U3596" s="131">
        <v>0.8</v>
      </c>
      <c r="V3596" s="50">
        <v>0.31</v>
      </c>
      <c r="W3596" s="74">
        <v>0.01</v>
      </c>
      <c r="X3596" s="50">
        <f>0.01/2</f>
        <v>5.0000000000000001E-3</v>
      </c>
      <c r="Y3596" s="74">
        <f>0.001/2</f>
        <v>5.0000000000000001E-4</v>
      </c>
      <c r="Z3596" s="165"/>
    </row>
    <row r="3597" spans="1:79" ht="15" customHeight="1">
      <c r="A3597" s="404" t="s">
        <v>4668</v>
      </c>
      <c r="B3597" s="402" t="s">
        <v>4427</v>
      </c>
      <c r="C3597" s="113" t="s">
        <v>6202</v>
      </c>
      <c r="D3597" s="393" t="s">
        <v>534</v>
      </c>
      <c r="E3597" s="394" t="s">
        <v>304</v>
      </c>
      <c r="F3597" s="402">
        <v>6000</v>
      </c>
      <c r="G3597" s="405" t="s">
        <v>4429</v>
      </c>
      <c r="H3597" s="74"/>
      <c r="I3597" s="50" t="s">
        <v>1</v>
      </c>
      <c r="J3597" s="339" t="s">
        <v>6202</v>
      </c>
      <c r="K3597" s="51">
        <v>41553</v>
      </c>
      <c r="L3597" s="173">
        <v>41539</v>
      </c>
      <c r="M3597" s="50">
        <f t="shared" si="217"/>
        <v>14</v>
      </c>
      <c r="N3597" s="50" t="s">
        <v>2</v>
      </c>
      <c r="O3597" s="74">
        <v>1</v>
      </c>
      <c r="P3597" s="50">
        <v>5.54</v>
      </c>
      <c r="Q3597" s="74">
        <v>6.1</v>
      </c>
      <c r="R3597" s="50">
        <v>25</v>
      </c>
      <c r="S3597" s="74">
        <v>12.4</v>
      </c>
      <c r="T3597" s="50">
        <v>0.19</v>
      </c>
      <c r="U3597" s="131">
        <v>2.73</v>
      </c>
      <c r="V3597" s="50">
        <v>0.9</v>
      </c>
      <c r="W3597" s="74">
        <v>0.01</v>
      </c>
      <c r="X3597" s="50">
        <v>7.0000000000000007E-2</v>
      </c>
      <c r="Y3597" s="74">
        <v>1E-3</v>
      </c>
      <c r="Z3597" s="165"/>
    </row>
    <row r="3598" spans="1:79" s="400" customFormat="1" ht="15" customHeight="1">
      <c r="A3598" s="41" t="s">
        <v>183</v>
      </c>
      <c r="B3598" s="402" t="s">
        <v>4438</v>
      </c>
      <c r="C3598" s="113" t="s">
        <v>2000</v>
      </c>
      <c r="D3598" s="393" t="s">
        <v>434</v>
      </c>
      <c r="E3598" s="394" t="s">
        <v>304</v>
      </c>
      <c r="F3598" s="402" t="s">
        <v>6200</v>
      </c>
      <c r="G3598" s="405" t="s">
        <v>2002</v>
      </c>
      <c r="H3598" s="404">
        <v>4952</v>
      </c>
      <c r="I3598" s="402" t="s">
        <v>1</v>
      </c>
      <c r="J3598" s="406" t="s">
        <v>2003</v>
      </c>
      <c r="K3598" s="403">
        <v>41345</v>
      </c>
      <c r="L3598" s="398">
        <v>41341</v>
      </c>
      <c r="M3598" s="402">
        <f t="shared" si="217"/>
        <v>4</v>
      </c>
      <c r="N3598" s="402" t="s">
        <v>2</v>
      </c>
      <c r="O3598" s="404">
        <v>1.2</v>
      </c>
      <c r="P3598" s="402">
        <v>6.59</v>
      </c>
      <c r="Q3598" s="404">
        <v>6.65</v>
      </c>
      <c r="R3598" s="402">
        <f>1/2</f>
        <v>0.5</v>
      </c>
      <c r="S3598" s="404">
        <v>12</v>
      </c>
      <c r="T3598" s="402">
        <v>0.45</v>
      </c>
      <c r="U3598" s="395">
        <v>1</v>
      </c>
      <c r="V3598" s="402">
        <v>0.27</v>
      </c>
      <c r="W3598" s="404">
        <v>6.0000000000000001E-3</v>
      </c>
      <c r="X3598" s="402">
        <v>0.70799999999999996</v>
      </c>
      <c r="Y3598" s="404">
        <v>7.0000000000000001E-3</v>
      </c>
      <c r="Z3598" s="397">
        <v>1</v>
      </c>
      <c r="AA3598" s="399">
        <v>1</v>
      </c>
      <c r="AB3598" s="394">
        <v>3.79</v>
      </c>
      <c r="AC3598" s="402">
        <v>41</v>
      </c>
      <c r="AD3598" s="399">
        <v>0.9</v>
      </c>
      <c r="AE3598" s="402"/>
      <c r="AF3598" s="391"/>
      <c r="AG3598" s="394"/>
      <c r="AH3598" s="394"/>
      <c r="AI3598" s="394"/>
      <c r="AJ3598" s="394"/>
      <c r="AK3598" s="394"/>
      <c r="AL3598" s="394"/>
      <c r="AM3598" s="394"/>
      <c r="AN3598" s="394"/>
      <c r="AO3598" s="394"/>
      <c r="AP3598" s="394"/>
      <c r="AQ3598" s="394"/>
      <c r="AR3598" s="394"/>
      <c r="AS3598" s="402"/>
      <c r="AT3598" s="404"/>
      <c r="AU3598" s="394"/>
      <c r="AV3598" s="394"/>
      <c r="AW3598" s="394"/>
      <c r="AX3598" s="5"/>
      <c r="AY3598" s="5"/>
      <c r="AZ3598" s="5"/>
      <c r="BA3598" s="5"/>
      <c r="BB3598" s="5"/>
      <c r="BC3598" s="5"/>
      <c r="BD3598" s="5"/>
      <c r="BE3598" s="5"/>
      <c r="BF3598" s="5"/>
      <c r="BG3598" s="5"/>
      <c r="BH3598" s="5"/>
      <c r="BI3598" s="5"/>
      <c r="BJ3598" s="5"/>
      <c r="BK3598" s="5"/>
      <c r="BL3598" s="5"/>
      <c r="BM3598" s="5"/>
      <c r="BN3598" s="5"/>
      <c r="BO3598" s="5"/>
      <c r="BP3598" s="5"/>
      <c r="BQ3598" s="5"/>
      <c r="BR3598" s="5"/>
      <c r="BS3598" s="5"/>
      <c r="BT3598" s="5"/>
      <c r="BU3598" s="5"/>
      <c r="BV3598" s="5"/>
      <c r="BW3598" s="5"/>
      <c r="BX3598" s="5"/>
      <c r="BY3598" s="5"/>
      <c r="BZ3598" s="5"/>
      <c r="CA3598" s="5"/>
    </row>
    <row r="3599" spans="1:79" s="400" customFormat="1" ht="15" customHeight="1">
      <c r="A3599" s="41" t="s">
        <v>183</v>
      </c>
      <c r="B3599" s="402" t="s">
        <v>4424</v>
      </c>
      <c r="C3599" s="113" t="s">
        <v>4424</v>
      </c>
      <c r="D3599" s="393" t="s">
        <v>2376</v>
      </c>
      <c r="E3599" s="394" t="s">
        <v>364</v>
      </c>
      <c r="F3599" s="402" t="s">
        <v>6203</v>
      </c>
      <c r="G3599" s="405" t="s">
        <v>4425</v>
      </c>
      <c r="H3599" s="404">
        <v>3625</v>
      </c>
      <c r="I3599" s="402" t="s">
        <v>2</v>
      </c>
      <c r="J3599" s="406" t="s">
        <v>81</v>
      </c>
      <c r="K3599" s="403">
        <v>40898</v>
      </c>
      <c r="L3599" s="398"/>
      <c r="M3599" s="402" t="s">
        <v>5380</v>
      </c>
      <c r="N3599" s="402" t="s">
        <v>2</v>
      </c>
      <c r="O3599" s="404">
        <v>2.7</v>
      </c>
      <c r="P3599" s="402">
        <v>7.2</v>
      </c>
      <c r="Q3599" s="404">
        <v>6.3</v>
      </c>
      <c r="R3599" s="402">
        <v>43</v>
      </c>
      <c r="S3599" s="404">
        <v>12</v>
      </c>
      <c r="T3599" s="402">
        <v>7.0000000000000007E-2</v>
      </c>
      <c r="U3599" s="395">
        <v>2.64</v>
      </c>
      <c r="V3599" s="402">
        <v>0.4</v>
      </c>
      <c r="W3599" s="404">
        <v>2.5999999999999999E-2</v>
      </c>
      <c r="X3599" s="402">
        <v>0.69699999999999995</v>
      </c>
      <c r="Y3599" s="404">
        <f>0.03/2</f>
        <v>1.4999999999999999E-2</v>
      </c>
      <c r="Z3599" s="397">
        <v>0.68300000000000005</v>
      </c>
      <c r="AA3599" s="399">
        <v>0.33</v>
      </c>
      <c r="AB3599" s="394">
        <v>2</v>
      </c>
      <c r="AC3599" s="402">
        <v>18</v>
      </c>
      <c r="AD3599" s="399">
        <v>0</v>
      </c>
      <c r="AE3599" s="402"/>
      <c r="AF3599" s="391"/>
      <c r="AG3599" s="394"/>
      <c r="AH3599" s="394"/>
      <c r="AI3599" s="394"/>
      <c r="AJ3599" s="394"/>
      <c r="AK3599" s="394"/>
      <c r="AL3599" s="394"/>
      <c r="AM3599" s="394"/>
      <c r="AN3599" s="394"/>
      <c r="AO3599" s="394"/>
      <c r="AP3599" s="394"/>
      <c r="AQ3599" s="394"/>
      <c r="AR3599" s="394"/>
      <c r="AS3599" s="402"/>
      <c r="AT3599" s="404"/>
      <c r="AU3599" s="394"/>
      <c r="AV3599" s="394"/>
      <c r="AW3599" s="394"/>
      <c r="AX3599" s="5"/>
      <c r="AY3599" s="5"/>
      <c r="AZ3599" s="5"/>
      <c r="BA3599" s="5"/>
      <c r="BB3599" s="5"/>
      <c r="BC3599" s="5"/>
      <c r="BD3599" s="5"/>
      <c r="BE3599" s="5"/>
      <c r="BF3599" s="5"/>
      <c r="BG3599" s="5"/>
      <c r="BH3599" s="5"/>
      <c r="BI3599" s="5"/>
      <c r="BJ3599" s="5"/>
      <c r="BK3599" s="5"/>
      <c r="BL3599" s="5"/>
      <c r="BM3599" s="5"/>
      <c r="BN3599" s="5"/>
      <c r="BO3599" s="5"/>
      <c r="BP3599" s="5"/>
      <c r="BQ3599" s="5"/>
      <c r="BR3599" s="5"/>
      <c r="BS3599" s="5"/>
      <c r="BT3599" s="5"/>
      <c r="BU3599" s="5"/>
      <c r="BV3599" s="5"/>
      <c r="BW3599" s="5"/>
      <c r="BX3599" s="5"/>
      <c r="BY3599" s="5"/>
      <c r="BZ3599" s="5"/>
      <c r="CA3599" s="5"/>
    </row>
    <row r="3600" spans="1:79" s="400" customFormat="1" ht="15" customHeight="1">
      <c r="A3600" s="41" t="s">
        <v>183</v>
      </c>
      <c r="B3600" s="402" t="s">
        <v>4424</v>
      </c>
      <c r="C3600" s="113" t="s">
        <v>4424</v>
      </c>
      <c r="D3600" s="393" t="s">
        <v>2376</v>
      </c>
      <c r="E3600" s="394" t="s">
        <v>364</v>
      </c>
      <c r="F3600" s="402" t="s">
        <v>6203</v>
      </c>
      <c r="G3600" s="405" t="s">
        <v>4425</v>
      </c>
      <c r="H3600" s="404">
        <v>3625</v>
      </c>
      <c r="I3600" s="402" t="s">
        <v>2</v>
      </c>
      <c r="J3600" s="406" t="s">
        <v>114</v>
      </c>
      <c r="K3600" s="403">
        <v>40898</v>
      </c>
      <c r="L3600" s="398"/>
      <c r="M3600" s="402" t="s">
        <v>5380</v>
      </c>
      <c r="N3600" s="402" t="s">
        <v>2</v>
      </c>
      <c r="O3600" s="404">
        <v>10.8</v>
      </c>
      <c r="P3600" s="402">
        <v>7.2</v>
      </c>
      <c r="Q3600" s="404">
        <v>7.3</v>
      </c>
      <c r="R3600" s="402">
        <v>76</v>
      </c>
      <c r="S3600" s="404">
        <v>65</v>
      </c>
      <c r="T3600" s="402">
        <v>0.2</v>
      </c>
      <c r="U3600" s="395">
        <v>1.59</v>
      </c>
      <c r="V3600" s="402">
        <v>0.2</v>
      </c>
      <c r="W3600" s="404">
        <v>0.06</v>
      </c>
      <c r="X3600" s="402">
        <v>0.16800000000000001</v>
      </c>
      <c r="Y3600" s="404">
        <f>0.03/2</f>
        <v>1.4999999999999999E-2</v>
      </c>
      <c r="Z3600" s="397">
        <v>1</v>
      </c>
      <c r="AA3600" s="399">
        <v>1</v>
      </c>
      <c r="AB3600" s="394">
        <v>15</v>
      </c>
      <c r="AC3600" s="402">
        <v>258</v>
      </c>
      <c r="AD3600" s="399">
        <v>1</v>
      </c>
      <c r="AE3600" s="402"/>
      <c r="AF3600" s="391"/>
      <c r="AG3600" s="394"/>
      <c r="AH3600" s="394"/>
      <c r="AI3600" s="394"/>
      <c r="AJ3600" s="394"/>
      <c r="AK3600" s="394"/>
      <c r="AL3600" s="394"/>
      <c r="AM3600" s="394"/>
      <c r="AN3600" s="394"/>
      <c r="AO3600" s="394"/>
      <c r="AP3600" s="394"/>
      <c r="AQ3600" s="394"/>
      <c r="AR3600" s="394"/>
      <c r="AS3600" s="402"/>
      <c r="AT3600" s="404"/>
      <c r="AU3600" s="394"/>
      <c r="AV3600" s="394"/>
      <c r="AW3600" s="394"/>
      <c r="AX3600" s="5"/>
      <c r="AY3600" s="5"/>
      <c r="AZ3600" s="5"/>
      <c r="BA3600" s="5"/>
      <c r="BB3600" s="5"/>
      <c r="BC3600" s="5"/>
      <c r="BD3600" s="5"/>
      <c r="BE3600" s="5"/>
      <c r="BF3600" s="5"/>
      <c r="BG3600" s="5"/>
      <c r="BH3600" s="5"/>
      <c r="BI3600" s="5"/>
      <c r="BJ3600" s="5"/>
      <c r="BK3600" s="5"/>
      <c r="BL3600" s="5"/>
      <c r="BM3600" s="5"/>
      <c r="BN3600" s="5"/>
      <c r="BO3600" s="5"/>
      <c r="BP3600" s="5"/>
      <c r="BQ3600" s="5"/>
      <c r="BR3600" s="5"/>
      <c r="BS3600" s="5"/>
      <c r="BT3600" s="5"/>
      <c r="BU3600" s="5"/>
      <c r="BV3600" s="5"/>
      <c r="BW3600" s="5"/>
      <c r="BX3600" s="5"/>
      <c r="BY3600" s="5"/>
      <c r="BZ3600" s="5"/>
      <c r="CA3600" s="5"/>
    </row>
    <row r="3601" spans="1:79" s="400" customFormat="1" ht="15" customHeight="1">
      <c r="A3601" s="41" t="s">
        <v>183</v>
      </c>
      <c r="B3601" s="402" t="s">
        <v>4424</v>
      </c>
      <c r="C3601" s="113" t="s">
        <v>4424</v>
      </c>
      <c r="D3601" s="393" t="s">
        <v>2376</v>
      </c>
      <c r="E3601" s="394" t="s">
        <v>364</v>
      </c>
      <c r="F3601" s="402" t="s">
        <v>6203</v>
      </c>
      <c r="G3601" s="405" t="s">
        <v>4425</v>
      </c>
      <c r="H3601" s="404">
        <v>3625</v>
      </c>
      <c r="I3601" s="402" t="s">
        <v>2</v>
      </c>
      <c r="J3601" s="406" t="s">
        <v>114</v>
      </c>
      <c r="K3601" s="403">
        <v>41184</v>
      </c>
      <c r="L3601" s="398"/>
      <c r="M3601" s="402" t="s">
        <v>5380</v>
      </c>
      <c r="N3601" s="402" t="s">
        <v>2</v>
      </c>
      <c r="O3601" s="404">
        <v>17</v>
      </c>
      <c r="P3601" s="402">
        <v>6.5</v>
      </c>
      <c r="Q3601" s="404">
        <v>6.9</v>
      </c>
      <c r="R3601" s="402">
        <v>93</v>
      </c>
      <c r="S3601" s="404">
        <v>136</v>
      </c>
      <c r="T3601" s="402">
        <v>0.27</v>
      </c>
      <c r="U3601" s="395">
        <v>0.94</v>
      </c>
      <c r="V3601" s="402">
        <f>0.1/2</f>
        <v>0.05</v>
      </c>
      <c r="W3601" s="404">
        <v>0.45300000000000001</v>
      </c>
      <c r="X3601" s="402">
        <v>0.59599999999999997</v>
      </c>
      <c r="Y3601" s="404">
        <v>3.7999999999999999E-2</v>
      </c>
      <c r="Z3601" s="397">
        <v>1</v>
      </c>
      <c r="AA3601" s="399">
        <v>1</v>
      </c>
      <c r="AB3601" s="394">
        <v>68</v>
      </c>
      <c r="AC3601" s="402">
        <v>37</v>
      </c>
      <c r="AD3601" s="399">
        <v>0.95</v>
      </c>
      <c r="AE3601" s="402"/>
      <c r="AF3601" s="391"/>
      <c r="AG3601" s="394"/>
      <c r="AH3601" s="394"/>
      <c r="AI3601" s="394"/>
      <c r="AJ3601" s="394"/>
      <c r="AK3601" s="394"/>
      <c r="AL3601" s="394"/>
      <c r="AM3601" s="394"/>
      <c r="AN3601" s="394"/>
      <c r="AO3601" s="394"/>
      <c r="AP3601" s="394"/>
      <c r="AQ3601" s="394"/>
      <c r="AR3601" s="394"/>
      <c r="AS3601" s="402"/>
      <c r="AT3601" s="404"/>
      <c r="AU3601" s="394"/>
      <c r="AV3601" s="394"/>
      <c r="AW3601" s="394"/>
      <c r="AX3601" s="5"/>
      <c r="AY3601" s="5"/>
      <c r="AZ3601" s="5"/>
      <c r="BA3601" s="5"/>
      <c r="BB3601" s="5"/>
      <c r="BC3601" s="5"/>
      <c r="BD3601" s="5"/>
      <c r="BE3601" s="5"/>
      <c r="BF3601" s="5"/>
      <c r="BG3601" s="5"/>
      <c r="BH3601" s="5"/>
      <c r="BI3601" s="5"/>
      <c r="BJ3601" s="5"/>
      <c r="BK3601" s="5"/>
      <c r="BL3601" s="5"/>
      <c r="BM3601" s="5"/>
      <c r="BN3601" s="5"/>
      <c r="BO3601" s="5"/>
      <c r="BP3601" s="5"/>
      <c r="BQ3601" s="5"/>
      <c r="BR3601" s="5"/>
      <c r="BS3601" s="5"/>
      <c r="BT3601" s="5"/>
      <c r="BU3601" s="5"/>
      <c r="BV3601" s="5"/>
      <c r="BW3601" s="5"/>
      <c r="BX3601" s="5"/>
      <c r="BY3601" s="5"/>
      <c r="BZ3601" s="5"/>
      <c r="CA3601" s="5"/>
    </row>
    <row r="3602" spans="1:79" s="400" customFormat="1" ht="15" customHeight="1">
      <c r="A3602" s="41" t="s">
        <v>183</v>
      </c>
      <c r="B3602" s="402" t="s">
        <v>4424</v>
      </c>
      <c r="C3602" s="113" t="s">
        <v>4424</v>
      </c>
      <c r="D3602" s="393" t="s">
        <v>2376</v>
      </c>
      <c r="E3602" s="394" t="s">
        <v>364</v>
      </c>
      <c r="F3602" s="402" t="s">
        <v>6203</v>
      </c>
      <c r="G3602" s="405" t="s">
        <v>4425</v>
      </c>
      <c r="H3602" s="404">
        <v>3625</v>
      </c>
      <c r="I3602" s="402" t="s">
        <v>2</v>
      </c>
      <c r="J3602" s="406" t="s">
        <v>81</v>
      </c>
      <c r="K3602" s="403">
        <v>41184</v>
      </c>
      <c r="L3602" s="398"/>
      <c r="M3602" s="402" t="s">
        <v>5380</v>
      </c>
      <c r="N3602" s="402" t="s">
        <v>2</v>
      </c>
      <c r="O3602" s="404">
        <f>2/2</f>
        <v>1</v>
      </c>
      <c r="P3602" s="402">
        <v>6.5</v>
      </c>
      <c r="Q3602" s="404">
        <v>6.6</v>
      </c>
      <c r="R3602" s="402">
        <v>36</v>
      </c>
      <c r="S3602" s="404">
        <v>4</v>
      </c>
      <c r="T3602" s="402">
        <f>0.05/2</f>
        <v>2.5000000000000001E-2</v>
      </c>
      <c r="U3602" s="395">
        <v>1.69</v>
      </c>
      <c r="V3602" s="402">
        <f>0.1/2</f>
        <v>0.05</v>
      </c>
      <c r="W3602" s="404">
        <f>0.01/2</f>
        <v>5.0000000000000001E-3</v>
      </c>
      <c r="X3602" s="402">
        <v>0.34599999999999997</v>
      </c>
      <c r="Y3602" s="404">
        <f>0.03/2</f>
        <v>1.4999999999999999E-2</v>
      </c>
      <c r="Z3602" s="397">
        <v>1</v>
      </c>
      <c r="AA3602" s="399">
        <v>1</v>
      </c>
      <c r="AB3602" s="394">
        <f>2/2</f>
        <v>1</v>
      </c>
      <c r="AC3602" s="402">
        <v>37</v>
      </c>
      <c r="AD3602" s="399">
        <v>0</v>
      </c>
      <c r="AE3602" s="402"/>
      <c r="AF3602" s="391"/>
      <c r="AG3602" s="394"/>
      <c r="AH3602" s="394"/>
      <c r="AI3602" s="394"/>
      <c r="AJ3602" s="394"/>
      <c r="AK3602" s="394"/>
      <c r="AL3602" s="394"/>
      <c r="AM3602" s="394"/>
      <c r="AN3602" s="394"/>
      <c r="AO3602" s="394"/>
      <c r="AP3602" s="394"/>
      <c r="AQ3602" s="394"/>
      <c r="AR3602" s="394"/>
      <c r="AS3602" s="402"/>
      <c r="AT3602" s="404"/>
      <c r="AU3602" s="394"/>
      <c r="AV3602" s="394"/>
      <c r="AW3602" s="394"/>
      <c r="AX3602" s="5"/>
      <c r="AY3602" s="5"/>
      <c r="AZ3602" s="5"/>
      <c r="BA3602" s="5"/>
      <c r="BB3602" s="5"/>
      <c r="BC3602" s="5"/>
      <c r="BD3602" s="5"/>
      <c r="BE3602" s="5"/>
      <c r="BF3602" s="5"/>
      <c r="BG3602" s="5"/>
      <c r="BH3602" s="5"/>
      <c r="BI3602" s="5"/>
      <c r="BJ3602" s="5"/>
      <c r="BK3602" s="5"/>
      <c r="BL3602" s="5"/>
      <c r="BM3602" s="5"/>
      <c r="BN3602" s="5"/>
      <c r="BO3602" s="5"/>
      <c r="BP3602" s="5"/>
      <c r="BQ3602" s="5"/>
      <c r="BR3602" s="5"/>
      <c r="BS3602" s="5"/>
      <c r="BT3602" s="5"/>
      <c r="BU3602" s="5"/>
      <c r="BV3602" s="5"/>
      <c r="BW3602" s="5"/>
      <c r="BX3602" s="5"/>
      <c r="BY3602" s="5"/>
      <c r="BZ3602" s="5"/>
      <c r="CA3602" s="5"/>
    </row>
    <row r="3603" spans="1:79" s="400" customFormat="1" ht="15" customHeight="1">
      <c r="A3603" s="41" t="s">
        <v>183</v>
      </c>
      <c r="B3603" s="402" t="s">
        <v>4424</v>
      </c>
      <c r="C3603" s="113" t="s">
        <v>4424</v>
      </c>
      <c r="D3603" s="393" t="s">
        <v>2376</v>
      </c>
      <c r="E3603" s="394" t="s">
        <v>364</v>
      </c>
      <c r="F3603" s="402" t="s">
        <v>6203</v>
      </c>
      <c r="G3603" s="405" t="s">
        <v>4425</v>
      </c>
      <c r="H3603" s="404">
        <v>3625</v>
      </c>
      <c r="I3603" s="402" t="s">
        <v>2</v>
      </c>
      <c r="J3603" s="406" t="s">
        <v>81</v>
      </c>
      <c r="K3603" s="403">
        <v>41449</v>
      </c>
      <c r="L3603" s="398"/>
      <c r="M3603" s="402" t="s">
        <v>5380</v>
      </c>
      <c r="N3603" s="402" t="s">
        <v>2</v>
      </c>
      <c r="O3603" s="404">
        <v>1.4</v>
      </c>
      <c r="P3603" s="402">
        <v>6.5</v>
      </c>
      <c r="Q3603" s="404">
        <v>5.74</v>
      </c>
      <c r="R3603" s="402">
        <v>37.1</v>
      </c>
      <c r="S3603" s="404">
        <f>5/2</f>
        <v>2.5</v>
      </c>
      <c r="T3603" s="402">
        <v>0.10100000000000001</v>
      </c>
      <c r="U3603" s="395">
        <v>1.72</v>
      </c>
      <c r="V3603" s="402">
        <v>0.52</v>
      </c>
      <c r="W3603" s="404">
        <v>1.38E-2</v>
      </c>
      <c r="X3603" s="402">
        <v>0.46300000000000002</v>
      </c>
      <c r="Y3603" s="404">
        <f>0.0075/2</f>
        <v>3.7499999999999999E-3</v>
      </c>
      <c r="Z3603" s="397"/>
      <c r="AA3603" s="399"/>
      <c r="AB3603" s="394"/>
      <c r="AC3603" s="402"/>
      <c r="AD3603" s="399"/>
      <c r="AE3603" s="402"/>
      <c r="AF3603" s="391"/>
      <c r="AG3603" s="394"/>
      <c r="AH3603" s="394"/>
      <c r="AI3603" s="394"/>
      <c r="AJ3603" s="394"/>
      <c r="AK3603" s="394"/>
      <c r="AL3603" s="394"/>
      <c r="AM3603" s="394"/>
      <c r="AN3603" s="394"/>
      <c r="AO3603" s="394"/>
      <c r="AP3603" s="394"/>
      <c r="AQ3603" s="394"/>
      <c r="AR3603" s="394"/>
      <c r="AS3603" s="402"/>
      <c r="AT3603" s="404"/>
      <c r="AU3603" s="394"/>
      <c r="AV3603" s="394"/>
      <c r="AW3603" s="394"/>
      <c r="AX3603" s="5"/>
      <c r="AY3603" s="5"/>
      <c r="AZ3603" s="5"/>
      <c r="BA3603" s="5"/>
      <c r="BB3603" s="5"/>
      <c r="BC3603" s="5"/>
      <c r="BD3603" s="5"/>
      <c r="BE3603" s="5"/>
      <c r="BF3603" s="5"/>
      <c r="BG3603" s="5"/>
      <c r="BH3603" s="5"/>
      <c r="BI3603" s="5"/>
      <c r="BJ3603" s="5"/>
      <c r="BK3603" s="5"/>
      <c r="BL3603" s="5"/>
      <c r="BM3603" s="5"/>
      <c r="BN3603" s="5"/>
      <c r="BO3603" s="5"/>
      <c r="BP3603" s="5"/>
      <c r="BQ3603" s="5"/>
      <c r="BR3603" s="5"/>
      <c r="BS3603" s="5"/>
      <c r="BT3603" s="5"/>
      <c r="BU3603" s="5"/>
      <c r="BV3603" s="5"/>
      <c r="BW3603" s="5"/>
      <c r="BX3603" s="5"/>
      <c r="BY3603" s="5"/>
      <c r="BZ3603" s="5"/>
      <c r="CA3603" s="5"/>
    </row>
    <row r="3604" spans="1:79" s="400" customFormat="1" ht="15" customHeight="1">
      <c r="A3604" s="41" t="s">
        <v>183</v>
      </c>
      <c r="B3604" s="402" t="s">
        <v>4424</v>
      </c>
      <c r="C3604" s="113" t="s">
        <v>4424</v>
      </c>
      <c r="D3604" s="393" t="s">
        <v>2376</v>
      </c>
      <c r="E3604" s="394" t="s">
        <v>364</v>
      </c>
      <c r="F3604" s="402" t="s">
        <v>6203</v>
      </c>
      <c r="G3604" s="405" t="s">
        <v>4425</v>
      </c>
      <c r="H3604" s="404">
        <v>3625</v>
      </c>
      <c r="I3604" s="402" t="s">
        <v>2</v>
      </c>
      <c r="J3604" s="406" t="s">
        <v>114</v>
      </c>
      <c r="K3604" s="403">
        <v>41449</v>
      </c>
      <c r="L3604" s="398"/>
      <c r="M3604" s="402" t="s">
        <v>5380</v>
      </c>
      <c r="N3604" s="402" t="s">
        <v>2</v>
      </c>
      <c r="O3604" s="404">
        <v>3</v>
      </c>
      <c r="P3604" s="402">
        <v>6.5</v>
      </c>
      <c r="Q3604" s="404">
        <v>6.42</v>
      </c>
      <c r="R3604" s="402">
        <v>64.400000000000006</v>
      </c>
      <c r="S3604" s="404">
        <v>50</v>
      </c>
      <c r="T3604" s="402">
        <v>0.182</v>
      </c>
      <c r="U3604" s="395">
        <v>1.61</v>
      </c>
      <c r="V3604" s="402">
        <v>0.57999999999999996</v>
      </c>
      <c r="W3604" s="404">
        <v>4.4299999999999999E-2</v>
      </c>
      <c r="X3604" s="402">
        <v>5.9700000000000003E-2</v>
      </c>
      <c r="Y3604" s="404">
        <f>0.0075/2</f>
        <v>3.7499999999999999E-3</v>
      </c>
      <c r="Z3604" s="397"/>
      <c r="AA3604" s="399"/>
      <c r="AB3604" s="394"/>
      <c r="AC3604" s="402"/>
      <c r="AD3604" s="399"/>
      <c r="AE3604" s="402"/>
      <c r="AF3604" s="391"/>
      <c r="AG3604" s="394"/>
      <c r="AH3604" s="394"/>
      <c r="AI3604" s="394"/>
      <c r="AJ3604" s="394"/>
      <c r="AK3604" s="394"/>
      <c r="AL3604" s="394"/>
      <c r="AM3604" s="394"/>
      <c r="AN3604" s="394"/>
      <c r="AO3604" s="394"/>
      <c r="AP3604" s="394"/>
      <c r="AQ3604" s="394"/>
      <c r="AR3604" s="394"/>
      <c r="AS3604" s="402"/>
      <c r="AT3604" s="404"/>
      <c r="AU3604" s="394"/>
      <c r="AV3604" s="394"/>
      <c r="AW3604" s="394"/>
      <c r="AX3604" s="5"/>
      <c r="AY3604" s="5"/>
      <c r="AZ3604" s="5"/>
      <c r="BA3604" s="5"/>
      <c r="BB3604" s="5"/>
      <c r="BC3604" s="5"/>
      <c r="BD3604" s="5"/>
      <c r="BE3604" s="5"/>
      <c r="BF3604" s="5"/>
      <c r="BG3604" s="5"/>
      <c r="BH3604" s="5"/>
      <c r="BI3604" s="5"/>
      <c r="BJ3604" s="5"/>
      <c r="BK3604" s="5"/>
      <c r="BL3604" s="5"/>
      <c r="BM3604" s="5"/>
      <c r="BN3604" s="5"/>
      <c r="BO3604" s="5"/>
      <c r="BP3604" s="5"/>
      <c r="BQ3604" s="5"/>
      <c r="BR3604" s="5"/>
      <c r="BS3604" s="5"/>
      <c r="BT3604" s="5"/>
      <c r="BU3604" s="5"/>
      <c r="BV3604" s="5"/>
      <c r="BW3604" s="5"/>
      <c r="BX3604" s="5"/>
      <c r="BY3604" s="5"/>
      <c r="BZ3604" s="5"/>
      <c r="CA3604" s="5"/>
    </row>
    <row r="3605" spans="1:79" s="400" customFormat="1" ht="15" customHeight="1">
      <c r="A3605" s="41" t="s">
        <v>183</v>
      </c>
      <c r="B3605" s="385" t="s">
        <v>4375</v>
      </c>
      <c r="C3605" s="18" t="s">
        <v>4375</v>
      </c>
      <c r="D3605" s="377" t="s">
        <v>1759</v>
      </c>
      <c r="E3605" s="394"/>
      <c r="F3605" s="402" t="s">
        <v>2236</v>
      </c>
      <c r="G3605" s="405" t="s">
        <v>2237</v>
      </c>
      <c r="H3605" s="404">
        <v>2899</v>
      </c>
      <c r="I3605" s="402" t="s">
        <v>2</v>
      </c>
      <c r="J3605" s="406" t="s">
        <v>81</v>
      </c>
      <c r="K3605" s="403">
        <v>41345</v>
      </c>
      <c r="L3605" s="398">
        <v>41341</v>
      </c>
      <c r="M3605" s="402">
        <f t="shared" ref="M3605:M3606" si="222">K3605-L3605</f>
        <v>4</v>
      </c>
      <c r="N3605" s="402" t="s">
        <v>2</v>
      </c>
      <c r="O3605" s="404">
        <f>2/2</f>
        <v>1</v>
      </c>
      <c r="P3605" s="402"/>
      <c r="Q3605" s="404">
        <v>6.9</v>
      </c>
      <c r="R3605" s="402">
        <v>16</v>
      </c>
      <c r="S3605" s="404">
        <v>33</v>
      </c>
      <c r="T3605" s="402">
        <v>0.12</v>
      </c>
      <c r="U3605" s="395">
        <v>0.56999999999999995</v>
      </c>
      <c r="V3605" s="402">
        <v>0.33</v>
      </c>
      <c r="W3605" s="404">
        <v>1.4E-2</v>
      </c>
      <c r="X3605" s="402">
        <v>0.126</v>
      </c>
      <c r="Y3605" s="404">
        <f>0.03/2</f>
        <v>1.4999999999999999E-2</v>
      </c>
      <c r="Z3605" s="397">
        <v>1</v>
      </c>
      <c r="AA3605" s="399">
        <v>1</v>
      </c>
      <c r="AB3605" s="394">
        <v>22</v>
      </c>
      <c r="AC3605" s="402">
        <v>480</v>
      </c>
      <c r="AD3605" s="399">
        <v>1</v>
      </c>
      <c r="AE3605" s="402"/>
      <c r="AF3605" s="391"/>
      <c r="AG3605" s="394"/>
      <c r="AH3605" s="394"/>
      <c r="AI3605" s="394"/>
      <c r="AJ3605" s="394"/>
      <c r="AK3605" s="394"/>
      <c r="AL3605" s="394"/>
      <c r="AM3605" s="394"/>
      <c r="AN3605" s="394"/>
      <c r="AO3605" s="394"/>
      <c r="AP3605" s="394"/>
      <c r="AQ3605" s="394"/>
      <c r="AR3605" s="394"/>
      <c r="AS3605" s="402"/>
      <c r="AT3605" s="404"/>
      <c r="AU3605" s="394"/>
      <c r="AV3605" s="394"/>
      <c r="AW3605" s="394"/>
      <c r="AX3605" s="5"/>
      <c r="AY3605" s="5"/>
      <c r="AZ3605" s="5"/>
      <c r="BA3605" s="5"/>
      <c r="BB3605" s="5"/>
      <c r="BC3605" s="5"/>
      <c r="BD3605" s="5"/>
      <c r="BE3605" s="5"/>
      <c r="BF3605" s="5"/>
      <c r="BG3605" s="5"/>
      <c r="BH3605" s="5"/>
      <c r="BI3605" s="5"/>
      <c r="BJ3605" s="5"/>
      <c r="BK3605" s="5"/>
      <c r="BL3605" s="5"/>
      <c r="BM3605" s="5"/>
      <c r="BN3605" s="5"/>
      <c r="BO3605" s="5"/>
      <c r="BP3605" s="5"/>
      <c r="BQ3605" s="5"/>
      <c r="BR3605" s="5"/>
      <c r="BS3605" s="5"/>
      <c r="BT3605" s="5"/>
      <c r="BU3605" s="5"/>
      <c r="BV3605" s="5"/>
      <c r="BW3605" s="5"/>
      <c r="BX3605" s="5"/>
      <c r="BY3605" s="5"/>
      <c r="BZ3605" s="5"/>
      <c r="CA3605" s="5"/>
    </row>
    <row r="3606" spans="1:79" s="400" customFormat="1" ht="15" customHeight="1">
      <c r="A3606" s="41" t="s">
        <v>183</v>
      </c>
      <c r="B3606" s="385" t="s">
        <v>4375</v>
      </c>
      <c r="C3606" s="18" t="s">
        <v>4375</v>
      </c>
      <c r="D3606" s="377" t="s">
        <v>1759</v>
      </c>
      <c r="E3606" s="394"/>
      <c r="F3606" s="402" t="s">
        <v>2236</v>
      </c>
      <c r="G3606" s="405" t="s">
        <v>2237</v>
      </c>
      <c r="H3606" s="404">
        <v>2899</v>
      </c>
      <c r="I3606" s="402" t="s">
        <v>2</v>
      </c>
      <c r="J3606" s="406" t="s">
        <v>81</v>
      </c>
      <c r="K3606" s="403">
        <v>41508</v>
      </c>
      <c r="L3606" s="398">
        <v>41495</v>
      </c>
      <c r="M3606" s="402">
        <f t="shared" si="222"/>
        <v>13</v>
      </c>
      <c r="N3606" s="402" t="s">
        <v>2</v>
      </c>
      <c r="O3606" s="404">
        <f>2/2</f>
        <v>1</v>
      </c>
      <c r="P3606" s="402">
        <v>6</v>
      </c>
      <c r="Q3606" s="404">
        <v>7.1</v>
      </c>
      <c r="R3606" s="402">
        <v>15</v>
      </c>
      <c r="S3606" s="404">
        <v>154</v>
      </c>
      <c r="T3606" s="402">
        <v>0.12</v>
      </c>
      <c r="U3606" s="395">
        <v>1.28</v>
      </c>
      <c r="V3606" s="402">
        <v>0.96</v>
      </c>
      <c r="W3606" s="404">
        <v>1.2E-2</v>
      </c>
      <c r="X3606" s="402">
        <v>9.5000000000000001E-2</v>
      </c>
      <c r="Y3606" s="404">
        <f>0.03/2</f>
        <v>1.4999999999999999E-2</v>
      </c>
      <c r="Z3606" s="397"/>
      <c r="AA3606" s="399"/>
      <c r="AB3606" s="394"/>
      <c r="AC3606" s="402"/>
      <c r="AD3606" s="399"/>
      <c r="AE3606" s="402"/>
      <c r="AF3606" s="391"/>
      <c r="AG3606" s="394"/>
      <c r="AH3606" s="394"/>
      <c r="AI3606" s="394"/>
      <c r="AJ3606" s="394"/>
      <c r="AK3606" s="394"/>
      <c r="AL3606" s="394"/>
      <c r="AM3606" s="394"/>
      <c r="AN3606" s="394"/>
      <c r="AO3606" s="394"/>
      <c r="AP3606" s="394"/>
      <c r="AQ3606" s="394"/>
      <c r="AR3606" s="394"/>
      <c r="AS3606" s="402"/>
      <c r="AT3606" s="404"/>
      <c r="AU3606" s="394"/>
      <c r="AV3606" s="394"/>
      <c r="AW3606" s="394"/>
      <c r="AX3606" s="5"/>
      <c r="AY3606" s="5"/>
      <c r="AZ3606" s="5"/>
      <c r="BA3606" s="5"/>
      <c r="BB3606" s="5"/>
      <c r="BC3606" s="5"/>
      <c r="BD3606" s="5"/>
      <c r="BE3606" s="5"/>
      <c r="BF3606" s="5"/>
      <c r="BG3606" s="5"/>
      <c r="BH3606" s="5"/>
      <c r="BI3606" s="5"/>
      <c r="BJ3606" s="5"/>
      <c r="BK3606" s="5"/>
      <c r="BL3606" s="5"/>
      <c r="BM3606" s="5"/>
      <c r="BN3606" s="5"/>
      <c r="BO3606" s="5"/>
      <c r="BP3606" s="5"/>
      <c r="BQ3606" s="5"/>
      <c r="BR3606" s="5"/>
      <c r="BS3606" s="5"/>
      <c r="BT3606" s="5"/>
      <c r="BU3606" s="5"/>
      <c r="BV3606" s="5"/>
      <c r="BW3606" s="5"/>
      <c r="BX3606" s="5"/>
      <c r="BY3606" s="5"/>
      <c r="BZ3606" s="5"/>
      <c r="CA3606" s="5"/>
    </row>
    <row r="3607" spans="1:79" ht="15" customHeight="1">
      <c r="A3607" s="404" t="s">
        <v>4668</v>
      </c>
      <c r="B3607" s="386" t="s">
        <v>657</v>
      </c>
      <c r="C3607" s="149" t="s">
        <v>658</v>
      </c>
      <c r="D3607" s="392" t="s">
        <v>659</v>
      </c>
      <c r="E3607" s="258" t="s">
        <v>44</v>
      </c>
      <c r="F3607" s="402" t="s">
        <v>5856</v>
      </c>
      <c r="G3607" s="405" t="s">
        <v>660</v>
      </c>
      <c r="H3607" s="55">
        <v>4226</v>
      </c>
      <c r="I3607" s="54" t="s">
        <v>1</v>
      </c>
      <c r="J3607" s="61" t="s">
        <v>661</v>
      </c>
      <c r="K3607" s="51">
        <v>41136</v>
      </c>
      <c r="L3607" s="173">
        <v>41132</v>
      </c>
      <c r="M3607" s="50">
        <f t="shared" si="217"/>
        <v>4</v>
      </c>
      <c r="N3607" s="50" t="s">
        <v>2</v>
      </c>
      <c r="O3607" s="74">
        <f>4.1/2</f>
        <v>2.0499999999999998</v>
      </c>
      <c r="P3607" s="50">
        <v>6.3</v>
      </c>
      <c r="Q3607" s="74">
        <v>5.6</v>
      </c>
      <c r="R3607" s="50">
        <f>20/2</f>
        <v>10</v>
      </c>
      <c r="S3607" s="74">
        <v>6</v>
      </c>
      <c r="T3607" s="50">
        <f>0.2/2</f>
        <v>0.1</v>
      </c>
      <c r="U3607" s="131">
        <v>0.48</v>
      </c>
      <c r="V3607" s="50">
        <f>0.01/2</f>
        <v>5.0000000000000001E-3</v>
      </c>
      <c r="W3607" s="74">
        <f>0.025/2</f>
        <v>1.2500000000000001E-2</v>
      </c>
      <c r="X3607" s="50">
        <f>0.02/2</f>
        <v>0.01</v>
      </c>
      <c r="Y3607" s="74">
        <f>0.005/2</f>
        <v>2.5000000000000001E-3</v>
      </c>
      <c r="Z3607" s="165"/>
    </row>
    <row r="3608" spans="1:79" ht="15" customHeight="1">
      <c r="A3608" s="404" t="s">
        <v>4668</v>
      </c>
      <c r="B3608" s="386" t="s">
        <v>657</v>
      </c>
      <c r="C3608" s="149" t="s">
        <v>658</v>
      </c>
      <c r="D3608" s="392" t="s">
        <v>659</v>
      </c>
      <c r="E3608" s="258" t="s">
        <v>44</v>
      </c>
      <c r="F3608" s="402" t="s">
        <v>5856</v>
      </c>
      <c r="G3608" s="405" t="s">
        <v>660</v>
      </c>
      <c r="H3608" s="55">
        <v>4226</v>
      </c>
      <c r="I3608" s="54" t="s">
        <v>1</v>
      </c>
      <c r="J3608" s="61" t="s">
        <v>662</v>
      </c>
      <c r="K3608" s="51">
        <v>41136</v>
      </c>
      <c r="L3608" s="173">
        <v>41132</v>
      </c>
      <c r="M3608" s="50">
        <f t="shared" si="217"/>
        <v>4</v>
      </c>
      <c r="N3608" s="50" t="s">
        <v>2</v>
      </c>
      <c r="O3608" s="74">
        <f>4.1/2</f>
        <v>2.0499999999999998</v>
      </c>
      <c r="P3608" s="50">
        <v>6.3</v>
      </c>
      <c r="Q3608" s="74">
        <v>5.9</v>
      </c>
      <c r="R3608" s="50">
        <f>20/2</f>
        <v>10</v>
      </c>
      <c r="S3608" s="74">
        <f>4/2</f>
        <v>2</v>
      </c>
      <c r="T3608" s="50">
        <f>0.2/2</f>
        <v>0.1</v>
      </c>
      <c r="U3608" s="131">
        <f>0.3/2</f>
        <v>0.15</v>
      </c>
      <c r="V3608" s="50">
        <v>1.4</v>
      </c>
      <c r="W3608" s="74">
        <f>0.025/2</f>
        <v>1.2500000000000001E-2</v>
      </c>
      <c r="X3608" s="50">
        <v>2.5000000000000001E-2</v>
      </c>
      <c r="Y3608" s="74">
        <f>0.005/2</f>
        <v>2.5000000000000001E-3</v>
      </c>
      <c r="Z3608" s="165"/>
    </row>
    <row r="3609" spans="1:79" ht="15" customHeight="1">
      <c r="A3609" s="404" t="s">
        <v>4668</v>
      </c>
      <c r="B3609" s="386" t="s">
        <v>657</v>
      </c>
      <c r="C3609" s="149" t="s">
        <v>658</v>
      </c>
      <c r="D3609" s="392" t="s">
        <v>659</v>
      </c>
      <c r="E3609" s="258" t="s">
        <v>44</v>
      </c>
      <c r="F3609" s="402" t="s">
        <v>5856</v>
      </c>
      <c r="G3609" s="405" t="s">
        <v>660</v>
      </c>
      <c r="H3609" s="55">
        <v>4226</v>
      </c>
      <c r="I3609" s="54" t="s">
        <v>1</v>
      </c>
      <c r="J3609" s="61" t="s">
        <v>661</v>
      </c>
      <c r="K3609" s="51">
        <v>41346</v>
      </c>
      <c r="L3609" s="173">
        <v>41341</v>
      </c>
      <c r="M3609" s="50">
        <f t="shared" si="217"/>
        <v>5</v>
      </c>
      <c r="N3609" s="50" t="s">
        <v>2</v>
      </c>
      <c r="O3609" s="74">
        <f>1.4/2</f>
        <v>0.7</v>
      </c>
      <c r="P3609" s="50">
        <v>5.53</v>
      </c>
      <c r="Q3609" s="74">
        <v>6.83</v>
      </c>
      <c r="R3609" s="50">
        <f>10/2</f>
        <v>5</v>
      </c>
      <c r="S3609" s="74">
        <f>5/2</f>
        <v>2.5</v>
      </c>
      <c r="T3609" s="50">
        <v>0.03</v>
      </c>
      <c r="U3609" s="131">
        <v>0.28000000000000003</v>
      </c>
      <c r="V3609" s="50">
        <v>7.0000000000000007E-2</v>
      </c>
      <c r="W3609" s="74">
        <f>0.005/2</f>
        <v>2.5000000000000001E-3</v>
      </c>
      <c r="X3609" s="50">
        <v>3.6999999999999998E-2</v>
      </c>
      <c r="Y3609" s="74">
        <f>0.002/2</f>
        <v>1E-3</v>
      </c>
      <c r="Z3609" s="165">
        <v>1</v>
      </c>
      <c r="AA3609" s="271">
        <v>1</v>
      </c>
      <c r="AB3609" s="114">
        <v>16</v>
      </c>
      <c r="AC3609" s="50">
        <v>81</v>
      </c>
      <c r="AD3609" s="271">
        <v>1</v>
      </c>
      <c r="AJ3609" s="114">
        <f>10/2</f>
        <v>5</v>
      </c>
    </row>
    <row r="3610" spans="1:79" ht="15" customHeight="1">
      <c r="A3610" s="404" t="s">
        <v>4668</v>
      </c>
      <c r="B3610" s="386" t="s">
        <v>657</v>
      </c>
      <c r="C3610" s="149" t="s">
        <v>658</v>
      </c>
      <c r="D3610" s="392" t="s">
        <v>659</v>
      </c>
      <c r="E3610" s="258" t="s">
        <v>44</v>
      </c>
      <c r="F3610" s="402" t="s">
        <v>5856</v>
      </c>
      <c r="G3610" s="405" t="s">
        <v>660</v>
      </c>
      <c r="H3610" s="55">
        <v>4226</v>
      </c>
      <c r="I3610" s="54" t="s">
        <v>1</v>
      </c>
      <c r="J3610" s="61" t="s">
        <v>662</v>
      </c>
      <c r="K3610" s="51">
        <v>41346</v>
      </c>
      <c r="L3610" s="173">
        <v>41341</v>
      </c>
      <c r="M3610" s="50">
        <f t="shared" si="217"/>
        <v>5</v>
      </c>
      <c r="N3610" s="50" t="s">
        <v>2</v>
      </c>
      <c r="O3610" s="74">
        <f>1.4/2</f>
        <v>0.7</v>
      </c>
      <c r="P3610" s="50">
        <v>5.53</v>
      </c>
      <c r="Q3610" s="74">
        <v>6.77</v>
      </c>
      <c r="R3610" s="50">
        <f>10/2</f>
        <v>5</v>
      </c>
      <c r="S3610" s="74">
        <f>5/2</f>
        <v>2.5</v>
      </c>
      <c r="T3610" s="50">
        <v>0.02</v>
      </c>
      <c r="U3610" s="131">
        <v>0.2</v>
      </c>
      <c r="V3610" s="50">
        <f>0.05/2</f>
        <v>2.5000000000000001E-2</v>
      </c>
      <c r="W3610" s="74">
        <f>0.005/2</f>
        <v>2.5000000000000001E-3</v>
      </c>
      <c r="X3610" s="50">
        <v>5.0000000000000001E-3</v>
      </c>
      <c r="Y3610" s="74">
        <f>0.002/2</f>
        <v>1E-3</v>
      </c>
      <c r="Z3610" s="165">
        <v>1</v>
      </c>
      <c r="AA3610" s="271">
        <v>1</v>
      </c>
      <c r="AB3610" s="114">
        <v>8</v>
      </c>
      <c r="AC3610" s="50">
        <v>23</v>
      </c>
      <c r="AD3610" s="271">
        <v>0.95</v>
      </c>
      <c r="AJ3610" s="114">
        <f>10/2</f>
        <v>5</v>
      </c>
    </row>
    <row r="3611" spans="1:79" ht="15" customHeight="1">
      <c r="A3611" s="404" t="s">
        <v>4668</v>
      </c>
      <c r="B3611" s="386" t="s">
        <v>657</v>
      </c>
      <c r="C3611" s="149" t="s">
        <v>658</v>
      </c>
      <c r="D3611" s="392" t="s">
        <v>659</v>
      </c>
      <c r="E3611" s="258" t="s">
        <v>44</v>
      </c>
      <c r="F3611" s="402" t="s">
        <v>5856</v>
      </c>
      <c r="G3611" s="405" t="s">
        <v>660</v>
      </c>
      <c r="H3611" s="55">
        <v>4226</v>
      </c>
      <c r="I3611" s="54" t="s">
        <v>1</v>
      </c>
      <c r="J3611" s="61" t="s">
        <v>662</v>
      </c>
      <c r="K3611" s="51">
        <v>41432</v>
      </c>
      <c r="L3611" s="173">
        <v>41428</v>
      </c>
      <c r="M3611" s="50">
        <f t="shared" si="217"/>
        <v>4</v>
      </c>
      <c r="N3611" s="50" t="s">
        <v>2</v>
      </c>
      <c r="O3611" s="74">
        <f>1.5/2</f>
        <v>0.75</v>
      </c>
      <c r="P3611" s="50">
        <v>5.91</v>
      </c>
      <c r="Q3611" s="74">
        <v>6.73</v>
      </c>
      <c r="R3611" s="50">
        <f>10/2</f>
        <v>5</v>
      </c>
      <c r="S3611" s="74">
        <f>5/2</f>
        <v>2.5</v>
      </c>
      <c r="T3611" s="50">
        <v>0.06</v>
      </c>
      <c r="U3611" s="131">
        <v>0.47</v>
      </c>
      <c r="V3611" s="50">
        <v>0.82</v>
      </c>
      <c r="W3611" s="74">
        <f>0.005/2</f>
        <v>2.5000000000000001E-3</v>
      </c>
      <c r="X3611" s="50">
        <v>4.0000000000000001E-3</v>
      </c>
      <c r="Y3611" s="74">
        <f>0.002/2</f>
        <v>1E-3</v>
      </c>
      <c r="Z3611" s="165"/>
    </row>
    <row r="3612" spans="1:79" ht="15" customHeight="1">
      <c r="A3612" s="404" t="s">
        <v>4668</v>
      </c>
      <c r="B3612" s="386" t="s">
        <v>657</v>
      </c>
      <c r="C3612" s="149" t="s">
        <v>658</v>
      </c>
      <c r="D3612" s="392" t="s">
        <v>659</v>
      </c>
      <c r="E3612" s="258" t="s">
        <v>44</v>
      </c>
      <c r="F3612" s="402" t="s">
        <v>5856</v>
      </c>
      <c r="G3612" s="405" t="s">
        <v>660</v>
      </c>
      <c r="H3612" s="55">
        <v>4226</v>
      </c>
      <c r="I3612" s="54" t="s">
        <v>1</v>
      </c>
      <c r="J3612" s="61" t="s">
        <v>661</v>
      </c>
      <c r="K3612" s="51">
        <v>41432</v>
      </c>
      <c r="L3612" s="173">
        <v>41428</v>
      </c>
      <c r="M3612" s="50">
        <f t="shared" si="217"/>
        <v>4</v>
      </c>
      <c r="N3612" s="50" t="s">
        <v>2</v>
      </c>
      <c r="O3612" s="74">
        <f>1.4/2</f>
        <v>0.7</v>
      </c>
      <c r="P3612" s="50">
        <v>5.91</v>
      </c>
      <c r="Q3612" s="74">
        <v>7.12</v>
      </c>
      <c r="R3612" s="50">
        <f>10/2</f>
        <v>5</v>
      </c>
      <c r="S3612" s="74">
        <f>5/2</f>
        <v>2.5</v>
      </c>
      <c r="T3612" s="50">
        <v>0.04</v>
      </c>
      <c r="U3612" s="131">
        <v>0.69</v>
      </c>
      <c r="V3612" s="50">
        <f>0.01/2</f>
        <v>5.0000000000000001E-3</v>
      </c>
      <c r="W3612" s="74">
        <f>0.005/2</f>
        <v>2.5000000000000001E-3</v>
      </c>
      <c r="X3612" s="50">
        <v>1.0999999999999999E-2</v>
      </c>
      <c r="Y3612" s="74">
        <f>0.002/2</f>
        <v>1E-3</v>
      </c>
      <c r="Z3612" s="165"/>
    </row>
    <row r="3613" spans="1:79" ht="15" customHeight="1">
      <c r="A3613" s="404" t="s">
        <v>4668</v>
      </c>
      <c r="B3613" s="386" t="s">
        <v>657</v>
      </c>
      <c r="C3613" s="149" t="s">
        <v>658</v>
      </c>
      <c r="D3613" s="392" t="s">
        <v>659</v>
      </c>
      <c r="E3613" s="258" t="s">
        <v>44</v>
      </c>
      <c r="F3613" s="402" t="s">
        <v>5856</v>
      </c>
      <c r="G3613" s="405" t="s">
        <v>660</v>
      </c>
      <c r="H3613" s="55">
        <v>4226</v>
      </c>
      <c r="I3613" s="54" t="s">
        <v>1</v>
      </c>
      <c r="J3613" s="61" t="s">
        <v>661</v>
      </c>
      <c r="K3613" s="51">
        <v>41555</v>
      </c>
      <c r="L3613" s="173">
        <v>41444</v>
      </c>
      <c r="M3613" s="50">
        <f t="shared" si="217"/>
        <v>111</v>
      </c>
      <c r="N3613" s="50" t="s">
        <v>2</v>
      </c>
      <c r="O3613" s="74">
        <f>1.4/2</f>
        <v>0.7</v>
      </c>
      <c r="P3613" s="50">
        <v>5.61</v>
      </c>
      <c r="Q3613" s="74">
        <v>7.13</v>
      </c>
      <c r="R3613" s="50">
        <v>13</v>
      </c>
      <c r="S3613" s="74">
        <v>5.5</v>
      </c>
      <c r="T3613" s="50">
        <v>0.04</v>
      </c>
      <c r="U3613" s="131">
        <v>0.59</v>
      </c>
      <c r="V3613" s="50">
        <v>0.02</v>
      </c>
      <c r="W3613" s="74">
        <f>0.005/2</f>
        <v>2.5000000000000001E-3</v>
      </c>
      <c r="X3613" s="50">
        <v>6.0000000000000001E-3</v>
      </c>
      <c r="Y3613" s="74">
        <f>0.002/2</f>
        <v>1E-3</v>
      </c>
      <c r="Z3613" s="165">
        <v>1</v>
      </c>
      <c r="AA3613" s="271">
        <v>1</v>
      </c>
      <c r="AB3613" s="114">
        <v>10</v>
      </c>
      <c r="AC3613" s="50">
        <v>21</v>
      </c>
      <c r="AD3613" s="271">
        <v>1</v>
      </c>
      <c r="AJ3613" s="114">
        <v>20</v>
      </c>
    </row>
    <row r="3614" spans="1:79" ht="15" customHeight="1">
      <c r="A3614" s="404" t="s">
        <v>4668</v>
      </c>
      <c r="B3614" s="385" t="s">
        <v>4330</v>
      </c>
      <c r="C3614" s="18" t="s">
        <v>4331</v>
      </c>
      <c r="D3614" s="377" t="s">
        <v>1683</v>
      </c>
      <c r="E3614" s="20" t="s">
        <v>953</v>
      </c>
      <c r="F3614" s="385" t="s">
        <v>4332</v>
      </c>
      <c r="G3614" s="405" t="s">
        <v>263</v>
      </c>
      <c r="H3614" s="74">
        <v>3826</v>
      </c>
      <c r="I3614" s="50" t="s">
        <v>2</v>
      </c>
      <c r="J3614" s="339" t="s">
        <v>271</v>
      </c>
      <c r="K3614" s="51">
        <v>41226</v>
      </c>
      <c r="L3614" s="173">
        <v>41221</v>
      </c>
      <c r="M3614" s="50">
        <f t="shared" si="217"/>
        <v>5</v>
      </c>
      <c r="N3614" s="50" t="s">
        <v>2</v>
      </c>
      <c r="O3614" s="74">
        <f>5/2</f>
        <v>2.5</v>
      </c>
      <c r="P3614" s="50">
        <v>6.29</v>
      </c>
      <c r="Q3614" s="74">
        <v>5.15</v>
      </c>
      <c r="R3614" s="50">
        <v>67</v>
      </c>
      <c r="S3614" s="74">
        <v>40</v>
      </c>
      <c r="T3614" s="50">
        <f>0.1/2</f>
        <v>0.05</v>
      </c>
      <c r="U3614" s="131">
        <f>1/2</f>
        <v>0.5</v>
      </c>
      <c r="V3614" s="50">
        <f>0.1/2</f>
        <v>0.05</v>
      </c>
      <c r="W3614" s="74">
        <f>0.04/2</f>
        <v>0.02</v>
      </c>
      <c r="X3614" s="50">
        <v>0.21</v>
      </c>
      <c r="Y3614" s="74">
        <f>0.013/2</f>
        <v>6.4999999999999997E-3</v>
      </c>
      <c r="Z3614" s="165">
        <v>1</v>
      </c>
      <c r="AA3614" s="271">
        <v>1</v>
      </c>
      <c r="AB3614" s="114">
        <v>29</v>
      </c>
      <c r="AC3614" s="50">
        <v>1770</v>
      </c>
      <c r="AD3614" s="271">
        <v>1</v>
      </c>
    </row>
    <row r="3615" spans="1:79" ht="15" customHeight="1">
      <c r="A3615" s="404" t="s">
        <v>4668</v>
      </c>
      <c r="B3615" s="385" t="s">
        <v>4330</v>
      </c>
      <c r="C3615" s="18" t="s">
        <v>4331</v>
      </c>
      <c r="D3615" s="377" t="s">
        <v>1683</v>
      </c>
      <c r="E3615" s="20" t="s">
        <v>953</v>
      </c>
      <c r="F3615" s="385" t="s">
        <v>4332</v>
      </c>
      <c r="G3615" s="405" t="s">
        <v>263</v>
      </c>
      <c r="H3615" s="74">
        <v>3826</v>
      </c>
      <c r="I3615" s="50" t="s">
        <v>2</v>
      </c>
      <c r="J3615" s="339" t="s">
        <v>272</v>
      </c>
      <c r="K3615" s="51">
        <v>41226</v>
      </c>
      <c r="L3615" s="173">
        <v>41221</v>
      </c>
      <c r="M3615" s="50">
        <f t="shared" si="217"/>
        <v>5</v>
      </c>
      <c r="N3615" s="50" t="s">
        <v>2</v>
      </c>
      <c r="O3615" s="74">
        <f>5/2</f>
        <v>2.5</v>
      </c>
      <c r="P3615" s="50">
        <v>6.2</v>
      </c>
      <c r="Q3615" s="74">
        <v>6.29</v>
      </c>
      <c r="R3615" s="50">
        <v>190</v>
      </c>
      <c r="S3615" s="74">
        <v>140</v>
      </c>
      <c r="T3615" s="50">
        <v>0.2</v>
      </c>
      <c r="U3615" s="131">
        <v>3.8</v>
      </c>
      <c r="V3615" s="50">
        <v>0.35</v>
      </c>
      <c r="W3615" s="74">
        <f>0.04/2</f>
        <v>0.02</v>
      </c>
      <c r="X3615" s="50">
        <v>1.2</v>
      </c>
      <c r="Y3615" s="74">
        <f>0.013/2</f>
        <v>6.4999999999999997E-3</v>
      </c>
      <c r="Z3615" s="165">
        <v>1</v>
      </c>
      <c r="AA3615" s="271">
        <v>1</v>
      </c>
      <c r="AB3615" s="114">
        <v>200</v>
      </c>
      <c r="AC3615" s="50">
        <v>5520</v>
      </c>
      <c r="AD3615" s="271">
        <v>0.9</v>
      </c>
    </row>
    <row r="3616" spans="1:79" ht="15" customHeight="1">
      <c r="A3616" s="404" t="s">
        <v>4668</v>
      </c>
      <c r="B3616" s="385" t="s">
        <v>4330</v>
      </c>
      <c r="C3616" s="18" t="s">
        <v>4331</v>
      </c>
      <c r="D3616" s="377" t="s">
        <v>1683</v>
      </c>
      <c r="E3616" s="20" t="s">
        <v>953</v>
      </c>
      <c r="F3616" s="385" t="s">
        <v>4332</v>
      </c>
      <c r="G3616" s="405" t="s">
        <v>263</v>
      </c>
      <c r="H3616" s="74">
        <v>3826</v>
      </c>
      <c r="I3616" s="50" t="s">
        <v>2</v>
      </c>
      <c r="J3616" s="339" t="s">
        <v>270</v>
      </c>
      <c r="K3616" s="51">
        <v>41226</v>
      </c>
      <c r="L3616" s="173">
        <v>41221</v>
      </c>
      <c r="M3616" s="50">
        <f t="shared" si="217"/>
        <v>5</v>
      </c>
      <c r="N3616" s="50" t="s">
        <v>2</v>
      </c>
      <c r="O3616" s="74">
        <f>5/2</f>
        <v>2.5</v>
      </c>
      <c r="P3616" s="50">
        <v>6.29</v>
      </c>
      <c r="Q3616" s="74">
        <v>6.34</v>
      </c>
      <c r="R3616" s="50">
        <v>18</v>
      </c>
      <c r="S3616" s="74">
        <v>9</v>
      </c>
      <c r="T3616" s="50">
        <f>0.1/2</f>
        <v>0.05</v>
      </c>
      <c r="U3616" s="131">
        <v>1</v>
      </c>
      <c r="V3616" s="50">
        <v>1.4</v>
      </c>
      <c r="W3616" s="74">
        <f>0.04/2</f>
        <v>0.02</v>
      </c>
      <c r="X3616" s="50">
        <v>0.05</v>
      </c>
      <c r="Y3616" s="74">
        <f>0.013/2</f>
        <v>6.4999999999999997E-3</v>
      </c>
      <c r="Z3616" s="165">
        <v>1</v>
      </c>
      <c r="AA3616" s="271">
        <v>1</v>
      </c>
      <c r="AB3616" s="114">
        <v>3.4</v>
      </c>
      <c r="AC3616" s="50">
        <v>62</v>
      </c>
      <c r="AD3616" s="271">
        <v>1</v>
      </c>
    </row>
    <row r="3617" spans="1:79" ht="15" customHeight="1">
      <c r="A3617" s="404" t="s">
        <v>4668</v>
      </c>
      <c r="B3617" s="385" t="s">
        <v>4330</v>
      </c>
      <c r="C3617" s="18" t="s">
        <v>4331</v>
      </c>
      <c r="D3617" s="377" t="s">
        <v>1683</v>
      </c>
      <c r="E3617" s="20" t="s">
        <v>953</v>
      </c>
      <c r="F3617" s="385" t="s">
        <v>4332</v>
      </c>
      <c r="G3617" s="405" t="s">
        <v>263</v>
      </c>
      <c r="H3617" s="74">
        <v>3826</v>
      </c>
      <c r="I3617" s="50" t="s">
        <v>2</v>
      </c>
      <c r="J3617" s="339" t="s">
        <v>273</v>
      </c>
      <c r="K3617" s="51">
        <v>41226</v>
      </c>
      <c r="L3617" s="173">
        <v>41221</v>
      </c>
      <c r="M3617" s="50">
        <f t="shared" si="217"/>
        <v>5</v>
      </c>
      <c r="N3617" s="50" t="s">
        <v>2</v>
      </c>
      <c r="O3617" s="74">
        <f>5/2</f>
        <v>2.5</v>
      </c>
      <c r="P3617" s="50">
        <v>6.29</v>
      </c>
      <c r="Q3617" s="74">
        <v>5.56</v>
      </c>
      <c r="R3617" s="50">
        <v>400</v>
      </c>
      <c r="S3617" s="74">
        <f>5/2</f>
        <v>2.5</v>
      </c>
      <c r="T3617" s="50">
        <v>5.3</v>
      </c>
      <c r="U3617" s="131">
        <v>5.7</v>
      </c>
      <c r="V3617" s="50">
        <v>0.35</v>
      </c>
      <c r="W3617" s="74">
        <f>0.04/2</f>
        <v>0.02</v>
      </c>
      <c r="X3617" s="50">
        <v>0.31</v>
      </c>
      <c r="Y3617" s="74">
        <f>0.013/2</f>
        <v>6.4999999999999997E-3</v>
      </c>
      <c r="Z3617" s="165">
        <v>0.17699999999999999</v>
      </c>
      <c r="AA3617" s="271">
        <v>0.17699999999999999</v>
      </c>
      <c r="AB3617" s="114">
        <v>210</v>
      </c>
      <c r="AC3617" s="50">
        <v>4750</v>
      </c>
      <c r="AD3617" s="271">
        <v>0</v>
      </c>
    </row>
    <row r="3618" spans="1:79" ht="15" customHeight="1">
      <c r="A3618" s="404" t="s">
        <v>4668</v>
      </c>
      <c r="B3618" s="402" t="s">
        <v>6204</v>
      </c>
      <c r="C3618" s="113" t="s">
        <v>6204</v>
      </c>
      <c r="D3618" s="393" t="s">
        <v>2691</v>
      </c>
      <c r="E3618" s="394" t="s">
        <v>49</v>
      </c>
      <c r="F3618" s="402" t="s">
        <v>6205</v>
      </c>
      <c r="G3618" s="405" t="s">
        <v>6206</v>
      </c>
      <c r="H3618" s="74">
        <v>2842</v>
      </c>
      <c r="J3618" s="339" t="s">
        <v>6207</v>
      </c>
      <c r="K3618" s="51">
        <v>41332</v>
      </c>
      <c r="L3618" s="173"/>
      <c r="N3618" s="50" t="s">
        <v>1</v>
      </c>
      <c r="O3618" s="74">
        <f>1.4/2</f>
        <v>0.7</v>
      </c>
      <c r="P3618" s="50">
        <v>6.56</v>
      </c>
      <c r="Q3618" s="74">
        <v>6.86</v>
      </c>
      <c r="R3618" s="50">
        <v>12</v>
      </c>
      <c r="S3618" s="74">
        <v>11</v>
      </c>
      <c r="T3618" s="50">
        <v>0.04</v>
      </c>
      <c r="U3618" s="131">
        <v>0.32</v>
      </c>
      <c r="V3618" s="50">
        <v>0.04</v>
      </c>
      <c r="W3618" s="74">
        <f>0.005/2</f>
        <v>2.5000000000000001E-3</v>
      </c>
      <c r="X3618" s="50">
        <v>2.8000000000000001E-2</v>
      </c>
      <c r="Y3618" s="74">
        <f>0.002/2</f>
        <v>1E-3</v>
      </c>
      <c r="Z3618" s="165">
        <v>1</v>
      </c>
      <c r="AA3618" s="271">
        <v>1</v>
      </c>
      <c r="AB3618" s="114">
        <v>6</v>
      </c>
      <c r="AC3618" s="50">
        <v>37</v>
      </c>
      <c r="AD3618" s="271">
        <v>1</v>
      </c>
    </row>
    <row r="3619" spans="1:79" ht="15" customHeight="1">
      <c r="A3619" s="404" t="s">
        <v>4668</v>
      </c>
      <c r="B3619" s="402" t="s">
        <v>6208</v>
      </c>
      <c r="C3619" s="113" t="s">
        <v>6208</v>
      </c>
      <c r="D3619" s="393" t="s">
        <v>251</v>
      </c>
      <c r="E3619" s="394" t="s">
        <v>6209</v>
      </c>
      <c r="F3619" s="72">
        <v>913898</v>
      </c>
      <c r="G3619" s="405" t="s">
        <v>6210</v>
      </c>
      <c r="H3619" s="74">
        <v>3724</v>
      </c>
      <c r="I3619" s="50" t="s">
        <v>2</v>
      </c>
      <c r="J3619" s="339" t="s">
        <v>194</v>
      </c>
      <c r="K3619" s="51">
        <v>41345</v>
      </c>
      <c r="L3619" s="173">
        <v>41341</v>
      </c>
      <c r="M3619" s="50">
        <f t="shared" si="217"/>
        <v>4</v>
      </c>
      <c r="N3619" s="50" t="s">
        <v>1</v>
      </c>
      <c r="O3619" s="74">
        <f>1/2</f>
        <v>0.5</v>
      </c>
      <c r="Q3619" s="74">
        <v>7.48</v>
      </c>
      <c r="R3619" s="50">
        <f>5/2</f>
        <v>2.5</v>
      </c>
      <c r="S3619" s="74">
        <f>5/2</f>
        <v>2.5</v>
      </c>
      <c r="T3619" s="50">
        <v>1.9E-2</v>
      </c>
      <c r="U3619" s="131">
        <f>0.2/2</f>
        <v>0.1</v>
      </c>
      <c r="V3619" s="50">
        <v>1.8</v>
      </c>
      <c r="W3619" s="74">
        <v>5.4999999999999997E-3</v>
      </c>
      <c r="X3619" s="50">
        <v>1.4999999999999999E-2</v>
      </c>
      <c r="Y3619" s="74">
        <f>0.0075/2</f>
        <v>3.7499999999999999E-3</v>
      </c>
      <c r="Z3619" s="165">
        <v>1</v>
      </c>
      <c r="AA3619" s="271">
        <v>1</v>
      </c>
    </row>
    <row r="3620" spans="1:79" ht="15" customHeight="1">
      <c r="A3620" s="404" t="s">
        <v>4668</v>
      </c>
      <c r="B3620" s="402" t="s">
        <v>1393</v>
      </c>
      <c r="C3620" s="113" t="s">
        <v>1393</v>
      </c>
      <c r="D3620" s="393" t="s">
        <v>133</v>
      </c>
      <c r="E3620" s="394" t="s">
        <v>5269</v>
      </c>
      <c r="F3620" s="402" t="s">
        <v>1188</v>
      </c>
      <c r="G3620" s="405" t="s">
        <v>2207</v>
      </c>
      <c r="H3620" s="74">
        <v>4311</v>
      </c>
      <c r="I3620" s="50" t="s">
        <v>2</v>
      </c>
      <c r="J3620" s="339" t="s">
        <v>366</v>
      </c>
      <c r="K3620" s="51">
        <v>41170</v>
      </c>
      <c r="L3620" s="173">
        <v>41160</v>
      </c>
      <c r="M3620" s="50">
        <f t="shared" si="217"/>
        <v>10</v>
      </c>
      <c r="N3620" s="50" t="s">
        <v>2</v>
      </c>
      <c r="O3620" s="74">
        <f>1.4/2</f>
        <v>0.7</v>
      </c>
      <c r="P3620" s="50">
        <v>6</v>
      </c>
      <c r="Q3620" s="74">
        <v>6.61</v>
      </c>
      <c r="R3620" s="50">
        <v>28</v>
      </c>
      <c r="S3620" s="74">
        <v>12</v>
      </c>
      <c r="T3620" s="50">
        <v>7.0000000000000007E-2</v>
      </c>
      <c r="U3620" s="131">
        <v>1.67</v>
      </c>
      <c r="V3620" s="50">
        <v>0.62</v>
      </c>
      <c r="W3620" s="74">
        <v>1.0999999999999999E-2</v>
      </c>
      <c r="X3620" s="50">
        <v>0.105</v>
      </c>
      <c r="Y3620" s="74">
        <v>4.0000000000000001E-3</v>
      </c>
      <c r="Z3620" s="165"/>
    </row>
    <row r="3621" spans="1:79" ht="15" customHeight="1">
      <c r="A3621" s="404" t="s">
        <v>4668</v>
      </c>
      <c r="B3621" s="402" t="s">
        <v>1393</v>
      </c>
      <c r="C3621" s="113" t="s">
        <v>1393</v>
      </c>
      <c r="D3621" s="393" t="s">
        <v>133</v>
      </c>
      <c r="E3621" s="394" t="s">
        <v>5269</v>
      </c>
      <c r="F3621" s="402" t="s">
        <v>1188</v>
      </c>
      <c r="G3621" s="405" t="s">
        <v>2207</v>
      </c>
      <c r="H3621" s="74">
        <v>4311</v>
      </c>
      <c r="I3621" s="50" t="s">
        <v>2</v>
      </c>
      <c r="J3621" s="339" t="s">
        <v>366</v>
      </c>
      <c r="K3621" s="51">
        <v>41402</v>
      </c>
      <c r="L3621" s="173">
        <v>41384</v>
      </c>
      <c r="M3621" s="50">
        <f t="shared" si="217"/>
        <v>18</v>
      </c>
      <c r="N3621" s="50" t="s">
        <v>2</v>
      </c>
      <c r="O3621" s="74">
        <v>1.6</v>
      </c>
      <c r="P3621" s="50">
        <v>6.44</v>
      </c>
      <c r="Q3621" s="74">
        <v>6.51</v>
      </c>
      <c r="R3621" s="50">
        <v>159</v>
      </c>
      <c r="S3621" s="74">
        <v>180</v>
      </c>
      <c r="T3621" s="50">
        <v>0.44</v>
      </c>
      <c r="U3621" s="131">
        <v>3.2</v>
      </c>
      <c r="V3621" s="50">
        <v>0.3</v>
      </c>
      <c r="W3621" s="74">
        <v>0.04</v>
      </c>
      <c r="X3621" s="50">
        <v>0.18099999999999999</v>
      </c>
      <c r="Y3621" s="74">
        <v>5.2999999999999999E-2</v>
      </c>
      <c r="Z3621" s="165">
        <v>1</v>
      </c>
      <c r="AA3621" s="271">
        <v>1</v>
      </c>
      <c r="AB3621" s="114">
        <v>8</v>
      </c>
      <c r="AC3621" s="50">
        <v>30</v>
      </c>
      <c r="AD3621" s="271">
        <v>1</v>
      </c>
    </row>
    <row r="3622" spans="1:79" ht="15" customHeight="1">
      <c r="A3622" s="404" t="s">
        <v>4668</v>
      </c>
      <c r="B3622" s="402" t="s">
        <v>3245</v>
      </c>
      <c r="C3622" s="113" t="s">
        <v>3245</v>
      </c>
      <c r="D3622" s="393" t="s">
        <v>314</v>
      </c>
      <c r="E3622" s="394" t="s">
        <v>3096</v>
      </c>
      <c r="F3622" s="402">
        <v>4500</v>
      </c>
      <c r="G3622" s="405" t="s">
        <v>3097</v>
      </c>
      <c r="H3622" s="74">
        <v>3544</v>
      </c>
      <c r="I3622" s="50" t="s">
        <v>2</v>
      </c>
      <c r="J3622" s="48" t="s">
        <v>510</v>
      </c>
      <c r="K3622" s="51">
        <v>41037</v>
      </c>
      <c r="L3622" s="173">
        <v>41032</v>
      </c>
      <c r="M3622" s="50">
        <f t="shared" si="217"/>
        <v>5</v>
      </c>
      <c r="N3622" s="50" t="s">
        <v>2</v>
      </c>
      <c r="O3622" s="74">
        <f>1.4/2</f>
        <v>0.7</v>
      </c>
      <c r="P3622" s="50">
        <v>7.15</v>
      </c>
      <c r="Q3622" s="74">
        <v>5.91</v>
      </c>
      <c r="R3622" s="50">
        <v>64</v>
      </c>
      <c r="S3622" s="74">
        <v>28</v>
      </c>
      <c r="T3622" s="50">
        <v>0.57999999999999996</v>
      </c>
      <c r="U3622" s="131">
        <v>2.4</v>
      </c>
      <c r="V3622" s="50">
        <v>0.75</v>
      </c>
      <c r="W3622" s="74">
        <v>2.1000000000000001E-2</v>
      </c>
      <c r="X3622" s="50">
        <v>0.85499999999999998</v>
      </c>
      <c r="Y3622" s="74">
        <v>4.0000000000000001E-3</v>
      </c>
      <c r="Z3622" s="165"/>
    </row>
    <row r="3623" spans="1:79" ht="15" customHeight="1">
      <c r="A3623" s="404" t="s">
        <v>4668</v>
      </c>
      <c r="B3623" s="402" t="s">
        <v>3245</v>
      </c>
      <c r="C3623" s="113" t="s">
        <v>3245</v>
      </c>
      <c r="D3623" s="393" t="s">
        <v>314</v>
      </c>
      <c r="E3623" s="394" t="s">
        <v>3096</v>
      </c>
      <c r="F3623" s="402">
        <v>4500</v>
      </c>
      <c r="G3623" s="405" t="s">
        <v>3097</v>
      </c>
      <c r="H3623" s="74">
        <v>3544</v>
      </c>
      <c r="I3623" s="50" t="s">
        <v>2</v>
      </c>
      <c r="J3623" s="48" t="s">
        <v>510</v>
      </c>
      <c r="K3623" s="51">
        <v>41409</v>
      </c>
      <c r="L3623" s="173">
        <v>41405</v>
      </c>
      <c r="M3623" s="50">
        <f t="shared" si="217"/>
        <v>4</v>
      </c>
      <c r="N3623" s="50" t="s">
        <v>2</v>
      </c>
      <c r="O3623" s="74">
        <f>1.4/2</f>
        <v>0.7</v>
      </c>
      <c r="P3623" s="50">
        <v>5.92</v>
      </c>
      <c r="Q3623" s="74">
        <v>5.57</v>
      </c>
      <c r="R3623" s="50">
        <v>90</v>
      </c>
      <c r="S3623" s="74">
        <v>30</v>
      </c>
      <c r="T3623" s="50">
        <v>0.51</v>
      </c>
      <c r="U3623" s="131">
        <v>7.08</v>
      </c>
      <c r="V3623" s="50">
        <v>0.91</v>
      </c>
      <c r="W3623" s="74">
        <v>1.2999999999999999E-2</v>
      </c>
      <c r="X3623" s="50">
        <v>0.27800000000000002</v>
      </c>
      <c r="Y3623" s="74">
        <v>2E-3</v>
      </c>
      <c r="Z3623" s="165"/>
    </row>
    <row r="3624" spans="1:79" ht="15" customHeight="1">
      <c r="A3624" s="404" t="s">
        <v>4668</v>
      </c>
      <c r="B3624" s="402" t="s">
        <v>1402</v>
      </c>
      <c r="C3624" s="113" t="s">
        <v>1403</v>
      </c>
      <c r="D3624" s="393" t="s">
        <v>308</v>
      </c>
      <c r="E3624" s="394" t="s">
        <v>535</v>
      </c>
      <c r="F3624" s="402">
        <v>4303</v>
      </c>
      <c r="G3624" s="405" t="s">
        <v>1404</v>
      </c>
      <c r="H3624" s="74">
        <v>3562</v>
      </c>
      <c r="I3624" s="50" t="s">
        <v>1</v>
      </c>
      <c r="J3624" s="76" t="s">
        <v>1355</v>
      </c>
      <c r="K3624" s="51">
        <v>41539</v>
      </c>
      <c r="L3624" s="173">
        <v>41529</v>
      </c>
      <c r="M3624" s="50">
        <f t="shared" ref="M3624:M3638" si="223">K3624-L3624</f>
        <v>10</v>
      </c>
      <c r="N3624" s="50" t="s">
        <v>2</v>
      </c>
      <c r="O3624" s="74">
        <f>5/2</f>
        <v>2.5</v>
      </c>
      <c r="P3624" s="50">
        <v>5</v>
      </c>
      <c r="Q3624" s="74">
        <v>5.99</v>
      </c>
      <c r="R3624" s="50">
        <f>5/2</f>
        <v>2.5</v>
      </c>
      <c r="S3624" s="74">
        <f>5/2</f>
        <v>2.5</v>
      </c>
      <c r="T3624" s="50">
        <f>0.1/2</f>
        <v>0.05</v>
      </c>
      <c r="U3624" s="131">
        <f>1/2</f>
        <v>0.5</v>
      </c>
      <c r="V3624" s="50">
        <f>0.1/2</f>
        <v>0.05</v>
      </c>
      <c r="W3624" s="74">
        <f>0.04/2</f>
        <v>0.02</v>
      </c>
      <c r="X3624" s="50">
        <f>0.02/2</f>
        <v>0.01</v>
      </c>
      <c r="Y3624" s="74">
        <f>0.013/2</f>
        <v>6.4999999999999997E-3</v>
      </c>
      <c r="Z3624" s="165"/>
    </row>
    <row r="3625" spans="1:79" ht="15" customHeight="1">
      <c r="A3625" s="404" t="s">
        <v>4668</v>
      </c>
      <c r="B3625" s="402" t="s">
        <v>1402</v>
      </c>
      <c r="C3625" s="113" t="s">
        <v>1403</v>
      </c>
      <c r="D3625" s="393" t="s">
        <v>308</v>
      </c>
      <c r="E3625" s="394" t="s">
        <v>535</v>
      </c>
      <c r="F3625" s="402">
        <v>4303</v>
      </c>
      <c r="G3625" s="405" t="s">
        <v>1404</v>
      </c>
      <c r="H3625" s="74">
        <v>3562</v>
      </c>
      <c r="I3625" s="50" t="s">
        <v>1</v>
      </c>
      <c r="J3625" s="76" t="s">
        <v>1356</v>
      </c>
      <c r="K3625" s="51">
        <v>41539</v>
      </c>
      <c r="L3625" s="173">
        <v>41529</v>
      </c>
      <c r="M3625" s="50">
        <f t="shared" si="223"/>
        <v>10</v>
      </c>
      <c r="N3625" s="50" t="s">
        <v>2</v>
      </c>
      <c r="O3625" s="74">
        <f>5/2</f>
        <v>2.5</v>
      </c>
      <c r="P3625" s="50">
        <v>5</v>
      </c>
      <c r="Q3625" s="74">
        <v>5.73</v>
      </c>
      <c r="R3625" s="50">
        <v>7.5</v>
      </c>
      <c r="S3625" s="74">
        <f>5/2</f>
        <v>2.5</v>
      </c>
      <c r="T3625" s="50">
        <f>0.1/2</f>
        <v>0.05</v>
      </c>
      <c r="U3625" s="131">
        <f>1/2</f>
        <v>0.5</v>
      </c>
      <c r="V3625" s="50">
        <f>0.1/2</f>
        <v>0.05</v>
      </c>
      <c r="W3625" s="74">
        <f>0.04/2</f>
        <v>0.02</v>
      </c>
      <c r="X3625" s="50">
        <f>0.02/2</f>
        <v>0.01</v>
      </c>
      <c r="Y3625" s="74">
        <f>0.013/2</f>
        <v>6.4999999999999997E-3</v>
      </c>
      <c r="Z3625" s="165"/>
    </row>
    <row r="3626" spans="1:79" ht="15" customHeight="1">
      <c r="A3626" s="404" t="s">
        <v>4668</v>
      </c>
      <c r="B3626" s="402" t="s">
        <v>1402</v>
      </c>
      <c r="C3626" s="113" t="s">
        <v>1403</v>
      </c>
      <c r="D3626" s="393" t="s">
        <v>308</v>
      </c>
      <c r="E3626" s="394" t="s">
        <v>535</v>
      </c>
      <c r="F3626" s="402">
        <v>4303</v>
      </c>
      <c r="G3626" s="405" t="s">
        <v>1404</v>
      </c>
      <c r="H3626" s="74">
        <v>3562</v>
      </c>
      <c r="I3626" s="50" t="s">
        <v>1</v>
      </c>
      <c r="J3626" s="76" t="s">
        <v>1355</v>
      </c>
      <c r="K3626" s="51">
        <v>41352</v>
      </c>
      <c r="L3626" s="173">
        <v>41345</v>
      </c>
      <c r="M3626" s="50">
        <f t="shared" si="223"/>
        <v>7</v>
      </c>
      <c r="N3626" s="50" t="s">
        <v>1</v>
      </c>
      <c r="O3626" s="74">
        <f>5/2</f>
        <v>2.5</v>
      </c>
      <c r="P3626" s="50">
        <v>5</v>
      </c>
      <c r="Q3626" s="74">
        <v>5.97</v>
      </c>
      <c r="R3626" s="50">
        <v>12</v>
      </c>
      <c r="S3626" s="74">
        <v>6</v>
      </c>
      <c r="T3626" s="50">
        <f>0.1/2</f>
        <v>0.05</v>
      </c>
      <c r="U3626" s="131">
        <f>1/2</f>
        <v>0.5</v>
      </c>
      <c r="V3626" s="50">
        <v>1.1000000000000001</v>
      </c>
      <c r="W3626" s="74">
        <f>0.04/2</f>
        <v>0.02</v>
      </c>
      <c r="X3626" s="50">
        <v>0.19</v>
      </c>
      <c r="Y3626" s="74">
        <f>0.013/2</f>
        <v>6.4999999999999997E-3</v>
      </c>
      <c r="Z3626" s="165">
        <v>0.61599999999999999</v>
      </c>
      <c r="AA3626" s="271">
        <v>0.29699999999999999</v>
      </c>
      <c r="AB3626" s="114">
        <v>5.2</v>
      </c>
      <c r="AC3626" s="50">
        <v>30</v>
      </c>
      <c r="AD3626" s="271">
        <v>0</v>
      </c>
      <c r="AE3626" s="50">
        <f>1/2</f>
        <v>0.5</v>
      </c>
    </row>
    <row r="3627" spans="1:79" ht="15" customHeight="1">
      <c r="A3627" s="404" t="s">
        <v>4668</v>
      </c>
      <c r="B3627" s="402" t="s">
        <v>1402</v>
      </c>
      <c r="C3627" s="113" t="s">
        <v>1403</v>
      </c>
      <c r="D3627" s="393" t="s">
        <v>308</v>
      </c>
      <c r="E3627" s="394" t="s">
        <v>535</v>
      </c>
      <c r="F3627" s="402">
        <v>4303</v>
      </c>
      <c r="G3627" s="405" t="s">
        <v>1404</v>
      </c>
      <c r="H3627" s="74">
        <v>3562</v>
      </c>
      <c r="I3627" s="50" t="s">
        <v>1</v>
      </c>
      <c r="J3627" s="76" t="s">
        <v>1356</v>
      </c>
      <c r="K3627" s="51">
        <v>41352</v>
      </c>
      <c r="L3627" s="173">
        <v>41345</v>
      </c>
      <c r="M3627" s="50">
        <f t="shared" si="223"/>
        <v>7</v>
      </c>
      <c r="N3627" s="50" t="s">
        <v>1</v>
      </c>
      <c r="O3627" s="74">
        <f>5/2</f>
        <v>2.5</v>
      </c>
      <c r="P3627" s="50">
        <v>5</v>
      </c>
      <c r="Q3627" s="74">
        <v>6.76</v>
      </c>
      <c r="R3627" s="50">
        <v>9.5</v>
      </c>
      <c r="S3627" s="74">
        <v>6</v>
      </c>
      <c r="T3627" s="50">
        <f>0.1/2</f>
        <v>0.05</v>
      </c>
      <c r="U3627" s="131">
        <f>1/2</f>
        <v>0.5</v>
      </c>
      <c r="V3627" s="50">
        <v>0.32</v>
      </c>
      <c r="W3627" s="74">
        <f>0.04/2</f>
        <v>0.02</v>
      </c>
      <c r="X3627" s="50">
        <v>2.9000000000000001E-2</v>
      </c>
      <c r="Y3627" s="74">
        <f>0.013/2</f>
        <v>6.4999999999999997E-3</v>
      </c>
      <c r="Z3627" s="165">
        <v>1</v>
      </c>
      <c r="AA3627" s="271">
        <v>1</v>
      </c>
      <c r="AB3627" s="114">
        <v>73</v>
      </c>
      <c r="AC3627" s="50">
        <v>625</v>
      </c>
      <c r="AD3627" s="271">
        <v>0.6</v>
      </c>
      <c r="AE3627" s="50">
        <f>1/2</f>
        <v>0.5</v>
      </c>
    </row>
    <row r="3628" spans="1:79" s="400" customFormat="1" ht="15" customHeight="1">
      <c r="A3628" s="41" t="s">
        <v>183</v>
      </c>
      <c r="B3628" s="402" t="s">
        <v>2208</v>
      </c>
      <c r="C3628" s="113" t="s">
        <v>2208</v>
      </c>
      <c r="D3628" s="393" t="s">
        <v>1217</v>
      </c>
      <c r="E3628" s="394" t="s">
        <v>2112</v>
      </c>
      <c r="F3628" s="402" t="s">
        <v>6480</v>
      </c>
      <c r="G3628" s="405" t="s">
        <v>2210</v>
      </c>
      <c r="H3628" s="113">
        <v>3721</v>
      </c>
      <c r="I3628" s="391" t="s">
        <v>2</v>
      </c>
      <c r="J3628" s="401" t="s">
        <v>1125</v>
      </c>
      <c r="K3628" s="403">
        <v>41529</v>
      </c>
      <c r="L3628" s="398">
        <v>41519</v>
      </c>
      <c r="M3628" s="402">
        <f t="shared" si="223"/>
        <v>10</v>
      </c>
      <c r="N3628" s="402" t="s">
        <v>2</v>
      </c>
      <c r="O3628" s="404">
        <f>1.4/2</f>
        <v>0.7</v>
      </c>
      <c r="P3628" s="402">
        <v>6.13</v>
      </c>
      <c r="Q3628" s="404">
        <v>6.47</v>
      </c>
      <c r="R3628" s="402">
        <f>10/2</f>
        <v>5</v>
      </c>
      <c r="S3628" s="404">
        <v>7</v>
      </c>
      <c r="T3628" s="402">
        <v>0.04</v>
      </c>
      <c r="U3628" s="395">
        <v>0.7</v>
      </c>
      <c r="V3628" s="402">
        <v>0.53</v>
      </c>
      <c r="W3628" s="404">
        <f>0.005/2</f>
        <v>2.5000000000000001E-3</v>
      </c>
      <c r="X3628" s="402">
        <v>0.10100000000000001</v>
      </c>
      <c r="Y3628" s="404">
        <f>0.002/2</f>
        <v>1E-3</v>
      </c>
      <c r="Z3628" s="397">
        <v>0.94399999999999995</v>
      </c>
      <c r="AA3628" s="399">
        <v>0.70699999999999996</v>
      </c>
      <c r="AB3628" s="394">
        <v>2</v>
      </c>
      <c r="AC3628" s="402">
        <v>13</v>
      </c>
      <c r="AD3628" s="399">
        <v>0</v>
      </c>
      <c r="AE3628" s="402"/>
      <c r="AF3628" s="391"/>
      <c r="AG3628" s="394"/>
      <c r="AH3628" s="394"/>
      <c r="AI3628" s="394"/>
      <c r="AJ3628" s="394"/>
      <c r="AK3628" s="394"/>
      <c r="AL3628" s="394"/>
      <c r="AM3628" s="394"/>
      <c r="AN3628" s="394"/>
      <c r="AO3628" s="394"/>
      <c r="AP3628" s="394"/>
      <c r="AQ3628" s="394"/>
      <c r="AR3628" s="394"/>
      <c r="AS3628" s="402"/>
      <c r="AT3628" s="404"/>
      <c r="AU3628" s="394"/>
      <c r="AV3628" s="394"/>
      <c r="AW3628" s="394"/>
      <c r="AX3628" s="5"/>
      <c r="AY3628" s="5"/>
      <c r="AZ3628" s="5"/>
      <c r="BA3628" s="5"/>
      <c r="BB3628" s="5"/>
      <c r="BC3628" s="5"/>
      <c r="BD3628" s="5"/>
      <c r="BE3628" s="5"/>
      <c r="BF3628" s="5"/>
      <c r="BG3628" s="5"/>
      <c r="BH3628" s="5"/>
      <c r="BI3628" s="5"/>
      <c r="BJ3628" s="5"/>
      <c r="BK3628" s="5"/>
      <c r="BL3628" s="5"/>
      <c r="BM3628" s="5"/>
      <c r="BN3628" s="5"/>
      <c r="BO3628" s="5"/>
      <c r="BP3628" s="5"/>
      <c r="BQ3628" s="5"/>
      <c r="BR3628" s="5"/>
      <c r="BS3628" s="5"/>
      <c r="BT3628" s="5"/>
      <c r="BU3628" s="5"/>
      <c r="BV3628" s="5"/>
      <c r="BW3628" s="5"/>
      <c r="BX3628" s="5"/>
      <c r="BY3628" s="5"/>
      <c r="BZ3628" s="5"/>
      <c r="CA3628" s="5"/>
    </row>
    <row r="3629" spans="1:79" ht="15" customHeight="1">
      <c r="A3629" s="404" t="s">
        <v>4668</v>
      </c>
      <c r="B3629" s="402" t="s">
        <v>6211</v>
      </c>
      <c r="C3629" s="113" t="s">
        <v>3232</v>
      </c>
      <c r="D3629" s="393" t="s">
        <v>710</v>
      </c>
      <c r="E3629" s="394" t="s">
        <v>711</v>
      </c>
      <c r="F3629" s="402">
        <v>3300</v>
      </c>
      <c r="G3629" s="405" t="s">
        <v>3233</v>
      </c>
      <c r="H3629" s="74">
        <v>1442</v>
      </c>
      <c r="J3629" s="339" t="s">
        <v>6212</v>
      </c>
      <c r="K3629" s="51">
        <v>41495</v>
      </c>
      <c r="L3629" s="173">
        <v>41487</v>
      </c>
      <c r="M3629" s="50">
        <f t="shared" si="223"/>
        <v>8</v>
      </c>
      <c r="N3629" s="50" t="s">
        <v>2</v>
      </c>
      <c r="O3629" s="74">
        <f>1/2</f>
        <v>0.5</v>
      </c>
      <c r="P3629" s="50">
        <v>6</v>
      </c>
      <c r="Q3629" s="74">
        <v>6.4</v>
      </c>
      <c r="R3629" s="50">
        <v>120</v>
      </c>
      <c r="S3629" s="74">
        <v>330</v>
      </c>
      <c r="T3629" s="50">
        <v>0.45</v>
      </c>
      <c r="U3629" s="131">
        <f>0.5</f>
        <v>0.5</v>
      </c>
      <c r="V3629" s="50">
        <v>0.16</v>
      </c>
      <c r="W3629" s="74">
        <v>6.2E-2</v>
      </c>
      <c r="X3629" s="50">
        <v>0.14000000000000001</v>
      </c>
      <c r="Y3629" s="74">
        <v>1.4999999999999999E-2</v>
      </c>
      <c r="Z3629" s="165">
        <v>1</v>
      </c>
      <c r="AA3629" s="271">
        <v>1</v>
      </c>
      <c r="AB3629" s="114">
        <v>388</v>
      </c>
      <c r="AC3629" s="50">
        <v>810</v>
      </c>
      <c r="AD3629" s="271">
        <v>1</v>
      </c>
    </row>
    <row r="3630" spans="1:79" ht="15" customHeight="1">
      <c r="A3630" s="404" t="s">
        <v>4668</v>
      </c>
      <c r="B3630" s="402" t="s">
        <v>6213</v>
      </c>
      <c r="C3630" s="113" t="s">
        <v>6214</v>
      </c>
      <c r="D3630" s="393" t="s">
        <v>192</v>
      </c>
      <c r="E3630" s="394" t="s">
        <v>1546</v>
      </c>
      <c r="F3630" s="402" t="s">
        <v>6215</v>
      </c>
      <c r="G3630" s="405" t="s">
        <v>6216</v>
      </c>
      <c r="H3630" s="49">
        <v>4231</v>
      </c>
      <c r="I3630" s="50" t="s">
        <v>1</v>
      </c>
      <c r="J3630" s="339" t="s">
        <v>194</v>
      </c>
      <c r="K3630" s="51">
        <v>41529</v>
      </c>
      <c r="L3630" s="173">
        <v>41512</v>
      </c>
      <c r="M3630" s="50">
        <f t="shared" si="223"/>
        <v>17</v>
      </c>
      <c r="N3630" s="50" t="s">
        <v>2</v>
      </c>
      <c r="O3630" s="74">
        <f>1.9/2</f>
        <v>0.95</v>
      </c>
      <c r="P3630" s="50">
        <v>4.8</v>
      </c>
      <c r="Q3630" s="74">
        <v>7</v>
      </c>
      <c r="R3630" s="50">
        <f>2/2</f>
        <v>1</v>
      </c>
      <c r="S3630" s="74">
        <v>18</v>
      </c>
      <c r="T3630" s="50">
        <v>0.05</v>
      </c>
      <c r="U3630" s="131">
        <v>1.3</v>
      </c>
      <c r="V3630" s="50">
        <f>0.46/2</f>
        <v>0.23</v>
      </c>
      <c r="W3630" s="74">
        <f>0.005/2</f>
        <v>2.5000000000000001E-3</v>
      </c>
      <c r="X3630" s="50">
        <v>0.06</v>
      </c>
      <c r="Y3630" s="74">
        <f>0.005/2</f>
        <v>2.5000000000000001E-3</v>
      </c>
      <c r="Z3630" s="165">
        <v>1</v>
      </c>
      <c r="AA3630" s="271">
        <v>1</v>
      </c>
      <c r="AB3630" s="114">
        <f>2/2</f>
        <v>1</v>
      </c>
      <c r="AC3630" s="50">
        <v>15</v>
      </c>
      <c r="AD3630" s="271">
        <v>1</v>
      </c>
      <c r="AE3630" s="50">
        <v>9780</v>
      </c>
    </row>
    <row r="3631" spans="1:79" ht="15" customHeight="1">
      <c r="A3631" s="404" t="s">
        <v>4668</v>
      </c>
      <c r="B3631" s="402" t="s">
        <v>6213</v>
      </c>
      <c r="C3631" s="113" t="s">
        <v>6214</v>
      </c>
      <c r="D3631" s="393" t="s">
        <v>192</v>
      </c>
      <c r="E3631" s="394" t="s">
        <v>1546</v>
      </c>
      <c r="F3631" s="402" t="s">
        <v>6215</v>
      </c>
      <c r="G3631" s="405" t="s">
        <v>6216</v>
      </c>
      <c r="H3631" s="49">
        <v>4231</v>
      </c>
      <c r="I3631" s="50" t="s">
        <v>1</v>
      </c>
      <c r="J3631" s="339" t="s">
        <v>194</v>
      </c>
      <c r="K3631" s="51">
        <v>41324</v>
      </c>
      <c r="L3631" s="173">
        <v>41316</v>
      </c>
      <c r="M3631" s="50">
        <f t="shared" si="223"/>
        <v>8</v>
      </c>
      <c r="N3631" s="50" t="s">
        <v>2</v>
      </c>
      <c r="O3631" s="74">
        <f>1.7/2</f>
        <v>0.85</v>
      </c>
      <c r="P3631" s="50">
        <v>4.7</v>
      </c>
      <c r="Q3631" s="74">
        <v>6.8</v>
      </c>
      <c r="R3631" s="50">
        <v>21</v>
      </c>
      <c r="S3631" s="74">
        <v>20.5</v>
      </c>
      <c r="T3631" s="50">
        <v>5.5E-2</v>
      </c>
      <c r="U3631" s="131">
        <v>1.9</v>
      </c>
      <c r="V3631" s="50">
        <v>0.52</v>
      </c>
      <c r="W3631" s="74">
        <v>1.0999999999999999E-2</v>
      </c>
      <c r="X3631" s="50">
        <v>0.10100000000000001</v>
      </c>
      <c r="Y3631" s="74">
        <f>0.005/2</f>
        <v>2.5000000000000001E-3</v>
      </c>
      <c r="Z3631" s="165"/>
    </row>
    <row r="3632" spans="1:79" ht="15" customHeight="1">
      <c r="A3632" s="404" t="s">
        <v>4668</v>
      </c>
      <c r="B3632" s="402" t="s">
        <v>6213</v>
      </c>
      <c r="C3632" s="113" t="s">
        <v>6214</v>
      </c>
      <c r="D3632" s="393" t="s">
        <v>209</v>
      </c>
      <c r="E3632" s="394" t="s">
        <v>1546</v>
      </c>
      <c r="F3632" s="402">
        <v>4000</v>
      </c>
      <c r="G3632" s="405" t="s">
        <v>6217</v>
      </c>
      <c r="H3632" s="49">
        <v>4222</v>
      </c>
      <c r="I3632" s="50" t="s">
        <v>1</v>
      </c>
      <c r="J3632" s="339" t="s">
        <v>690</v>
      </c>
      <c r="K3632" s="51">
        <v>41324</v>
      </c>
      <c r="L3632" s="173">
        <v>41316</v>
      </c>
      <c r="M3632" s="50">
        <f t="shared" si="223"/>
        <v>8</v>
      </c>
      <c r="N3632" s="50" t="s">
        <v>2</v>
      </c>
      <c r="O3632" s="74">
        <f>1.7/2</f>
        <v>0.85</v>
      </c>
      <c r="P3632" s="50">
        <v>4.7</v>
      </c>
      <c r="Q3632" s="74">
        <v>6.7</v>
      </c>
      <c r="R3632" s="50">
        <v>110</v>
      </c>
      <c r="S3632" s="74">
        <v>42.5</v>
      </c>
      <c r="T3632" s="50">
        <v>0.09</v>
      </c>
      <c r="U3632" s="131">
        <v>2.1</v>
      </c>
      <c r="V3632" s="50">
        <v>0.78</v>
      </c>
      <c r="W3632" s="74">
        <v>0.01</v>
      </c>
      <c r="X3632" s="50">
        <v>6.4000000000000001E-2</v>
      </c>
      <c r="Y3632" s="74">
        <v>9.2999999999999992E-3</v>
      </c>
      <c r="Z3632" s="165"/>
    </row>
    <row r="3633" spans="1:35" ht="15" customHeight="1">
      <c r="A3633" s="404" t="s">
        <v>4668</v>
      </c>
      <c r="B3633" s="402" t="s">
        <v>6213</v>
      </c>
      <c r="C3633" s="113" t="s">
        <v>6214</v>
      </c>
      <c r="D3633" s="393" t="s">
        <v>209</v>
      </c>
      <c r="E3633" s="394" t="s">
        <v>1546</v>
      </c>
      <c r="F3633" s="402">
        <v>4000</v>
      </c>
      <c r="G3633" s="405" t="s">
        <v>6217</v>
      </c>
      <c r="H3633" s="49">
        <v>4222</v>
      </c>
      <c r="I3633" s="50" t="s">
        <v>1</v>
      </c>
      <c r="J3633" s="339" t="s">
        <v>690</v>
      </c>
      <c r="K3633" s="51">
        <v>41105</v>
      </c>
      <c r="L3633" s="173">
        <v>41092</v>
      </c>
      <c r="M3633" s="50">
        <f t="shared" si="223"/>
        <v>13</v>
      </c>
      <c r="N3633" s="50" t="s">
        <v>2</v>
      </c>
      <c r="O3633" s="74">
        <f>1.7/2</f>
        <v>0.85</v>
      </c>
      <c r="P3633" s="50">
        <v>6.3</v>
      </c>
      <c r="Q3633" s="74">
        <v>7</v>
      </c>
      <c r="R3633" s="50">
        <v>25</v>
      </c>
      <c r="S3633" s="74">
        <v>27</v>
      </c>
      <c r="T3633" s="50">
        <v>5.0999999999999997E-2</v>
      </c>
      <c r="U3633" s="131">
        <v>1.4</v>
      </c>
      <c r="V3633" s="50">
        <v>0.88</v>
      </c>
      <c r="W3633" s="74">
        <f>0.005/2</f>
        <v>2.5000000000000001E-3</v>
      </c>
      <c r="X3633" s="50">
        <v>4.2000000000000003E-2</v>
      </c>
      <c r="Y3633" s="74">
        <f>0.005/2</f>
        <v>2.5000000000000001E-3</v>
      </c>
      <c r="Z3633" s="165">
        <v>1</v>
      </c>
      <c r="AA3633" s="271">
        <v>1</v>
      </c>
      <c r="AB3633" s="114">
        <v>112</v>
      </c>
      <c r="AC3633" s="50">
        <v>695</v>
      </c>
      <c r="AD3633" s="271">
        <v>1</v>
      </c>
      <c r="AE3633" s="50">
        <v>3285</v>
      </c>
    </row>
    <row r="3634" spans="1:35" ht="15" customHeight="1">
      <c r="A3634" s="404" t="s">
        <v>4668</v>
      </c>
      <c r="B3634" s="402" t="s">
        <v>6213</v>
      </c>
      <c r="C3634" s="113" t="s">
        <v>6214</v>
      </c>
      <c r="D3634" s="393" t="s">
        <v>209</v>
      </c>
      <c r="E3634" s="394" t="s">
        <v>1546</v>
      </c>
      <c r="F3634" s="402">
        <v>4000</v>
      </c>
      <c r="G3634" s="405" t="s">
        <v>6217</v>
      </c>
      <c r="H3634" s="49">
        <v>4222</v>
      </c>
      <c r="I3634" s="50" t="s">
        <v>1</v>
      </c>
      <c r="J3634" s="339" t="s">
        <v>690</v>
      </c>
      <c r="K3634" s="51">
        <v>40999</v>
      </c>
      <c r="L3634" s="173">
        <v>40996</v>
      </c>
      <c r="M3634" s="50">
        <f t="shared" si="223"/>
        <v>3</v>
      </c>
      <c r="N3634" s="50" t="s">
        <v>2</v>
      </c>
      <c r="O3634" s="74">
        <f>1.7/2</f>
        <v>0.85</v>
      </c>
      <c r="P3634" s="50">
        <v>6.05</v>
      </c>
      <c r="Q3634" s="74">
        <v>7.1</v>
      </c>
      <c r="R3634" s="50">
        <v>59</v>
      </c>
      <c r="S3634" s="74">
        <v>80.5</v>
      </c>
      <c r="T3634" s="50">
        <v>0.183</v>
      </c>
      <c r="U3634" s="131">
        <v>1.6</v>
      </c>
      <c r="V3634" s="50">
        <v>1.36</v>
      </c>
      <c r="W3634" s="74">
        <v>5.0000000000000001E-4</v>
      </c>
      <c r="X3634" s="50">
        <v>5.8000000000000003E-2</v>
      </c>
      <c r="Y3634" s="74">
        <v>5.3E-3</v>
      </c>
      <c r="Z3634" s="165"/>
    </row>
    <row r="3635" spans="1:35" ht="15" customHeight="1">
      <c r="A3635" s="404" t="s">
        <v>4668</v>
      </c>
      <c r="B3635" s="402" t="s">
        <v>6213</v>
      </c>
      <c r="C3635" s="113" t="s">
        <v>6214</v>
      </c>
      <c r="D3635" s="393" t="s">
        <v>192</v>
      </c>
      <c r="E3635" s="394" t="s">
        <v>1546</v>
      </c>
      <c r="F3635" s="402" t="s">
        <v>6215</v>
      </c>
      <c r="G3635" s="405" t="s">
        <v>6216</v>
      </c>
      <c r="H3635" s="49">
        <v>4231</v>
      </c>
      <c r="I3635" s="50" t="s">
        <v>1</v>
      </c>
      <c r="J3635" s="339" t="s">
        <v>194</v>
      </c>
      <c r="K3635" s="51">
        <v>40999</v>
      </c>
      <c r="L3635" s="173">
        <v>40996</v>
      </c>
      <c r="M3635" s="50">
        <f t="shared" si="223"/>
        <v>3</v>
      </c>
      <c r="N3635" s="50" t="s">
        <v>2</v>
      </c>
      <c r="O3635" s="74">
        <f>2/2</f>
        <v>1</v>
      </c>
      <c r="P3635" s="50">
        <v>6.05</v>
      </c>
      <c r="Q3635" s="74">
        <v>6.6</v>
      </c>
      <c r="R3635" s="50">
        <v>84</v>
      </c>
      <c r="S3635" s="74">
        <v>39</v>
      </c>
      <c r="T3635" s="50">
        <v>0.155</v>
      </c>
      <c r="U3635" s="131">
        <v>1.8</v>
      </c>
      <c r="V3635" s="50">
        <v>2.0099999999999998</v>
      </c>
      <c r="W3635" s="74">
        <v>1.4E-2</v>
      </c>
      <c r="X3635" s="50">
        <v>0.154</v>
      </c>
      <c r="Y3635" s="74">
        <f>0.005/2</f>
        <v>2.5000000000000001E-3</v>
      </c>
      <c r="Z3635" s="165"/>
    </row>
    <row r="3636" spans="1:35" ht="15" customHeight="1">
      <c r="A3636" s="404" t="s">
        <v>4668</v>
      </c>
      <c r="B3636" s="402" t="s">
        <v>6213</v>
      </c>
      <c r="C3636" s="113" t="s">
        <v>6214</v>
      </c>
      <c r="D3636" s="393" t="s">
        <v>192</v>
      </c>
      <c r="E3636" s="394" t="s">
        <v>1546</v>
      </c>
      <c r="F3636" s="402" t="s">
        <v>6215</v>
      </c>
      <c r="G3636" s="405" t="s">
        <v>6216</v>
      </c>
      <c r="H3636" s="49">
        <v>4231</v>
      </c>
      <c r="I3636" s="50" t="s">
        <v>1</v>
      </c>
      <c r="J3636" s="339" t="s">
        <v>194</v>
      </c>
      <c r="K3636" s="51">
        <v>41105</v>
      </c>
      <c r="L3636" s="173">
        <v>41092</v>
      </c>
      <c r="M3636" s="50">
        <f t="shared" si="223"/>
        <v>13</v>
      </c>
      <c r="N3636" s="50" t="s">
        <v>2</v>
      </c>
      <c r="O3636" s="74">
        <f>1.8/2</f>
        <v>0.9</v>
      </c>
      <c r="P3636" s="50">
        <v>6.3</v>
      </c>
      <c r="Q3636" s="74">
        <v>6.1</v>
      </c>
      <c r="R3636" s="50">
        <v>50</v>
      </c>
      <c r="S3636" s="74">
        <v>9</v>
      </c>
      <c r="T3636" s="50">
        <v>0.107</v>
      </c>
      <c r="U3636" s="131">
        <v>2.2000000000000002</v>
      </c>
      <c r="V3636" s="50">
        <v>0.69</v>
      </c>
      <c r="W3636" s="74">
        <v>8.0000000000000002E-3</v>
      </c>
      <c r="X3636" s="50">
        <v>0.184</v>
      </c>
      <c r="Y3636" s="74">
        <f>0.005/2</f>
        <v>2.5000000000000001E-3</v>
      </c>
      <c r="Z3636" s="165">
        <v>1</v>
      </c>
      <c r="AA3636" s="271">
        <v>1</v>
      </c>
      <c r="AB3636" s="114">
        <v>14</v>
      </c>
      <c r="AC3636" s="50">
        <v>49</v>
      </c>
      <c r="AD3636" s="271">
        <v>0.75</v>
      </c>
      <c r="AE3636" s="50">
        <v>205</v>
      </c>
    </row>
    <row r="3637" spans="1:35" ht="15" customHeight="1">
      <c r="A3637" s="404" t="s">
        <v>4668</v>
      </c>
      <c r="B3637" s="402" t="s">
        <v>6213</v>
      </c>
      <c r="C3637" s="113" t="s">
        <v>6214</v>
      </c>
      <c r="D3637" s="393" t="s">
        <v>209</v>
      </c>
      <c r="E3637" s="394" t="s">
        <v>1546</v>
      </c>
      <c r="F3637" s="402">
        <v>4000</v>
      </c>
      <c r="G3637" s="405" t="s">
        <v>6217</v>
      </c>
      <c r="H3637" s="49">
        <v>4222</v>
      </c>
      <c r="I3637" s="50" t="s">
        <v>1</v>
      </c>
      <c r="J3637" s="339" t="s">
        <v>690</v>
      </c>
      <c r="K3637" s="51">
        <v>41529</v>
      </c>
      <c r="L3637" s="173">
        <v>41512</v>
      </c>
      <c r="M3637" s="50">
        <f t="shared" si="223"/>
        <v>17</v>
      </c>
      <c r="N3637" s="50" t="s">
        <v>2</v>
      </c>
      <c r="O3637" s="74">
        <v>2.5</v>
      </c>
      <c r="P3637" s="50">
        <v>4.8</v>
      </c>
      <c r="Q3637" s="74">
        <v>7.1</v>
      </c>
      <c r="R3637" s="50">
        <v>37</v>
      </c>
      <c r="S3637" s="74">
        <v>40.700000000000003</v>
      </c>
      <c r="T3637" s="50">
        <v>7.3999999999999996E-2</v>
      </c>
      <c r="U3637" s="131">
        <v>1.3</v>
      </c>
      <c r="V3637" s="50">
        <f>0.46/2</f>
        <v>0.23</v>
      </c>
      <c r="W3637" s="74">
        <f>0.005/2</f>
        <v>2.5000000000000001E-3</v>
      </c>
      <c r="X3637" s="50">
        <v>0.05</v>
      </c>
      <c r="Y3637" s="74">
        <f>0.005/2</f>
        <v>2.5000000000000001E-3</v>
      </c>
      <c r="Z3637" s="165">
        <v>1</v>
      </c>
      <c r="AA3637" s="271">
        <v>1</v>
      </c>
      <c r="AB3637" s="114">
        <v>12</v>
      </c>
      <c r="AC3637" s="50">
        <v>96</v>
      </c>
      <c r="AD3637" s="271">
        <v>1</v>
      </c>
      <c r="AE3637" s="50">
        <v>1290</v>
      </c>
    </row>
    <row r="3638" spans="1:35" ht="15" customHeight="1">
      <c r="A3638" s="404" t="s">
        <v>4668</v>
      </c>
      <c r="B3638" s="402" t="s">
        <v>4472</v>
      </c>
      <c r="C3638" s="113" t="s">
        <v>2000</v>
      </c>
      <c r="D3638" s="393" t="s">
        <v>452</v>
      </c>
      <c r="E3638" s="394" t="s">
        <v>398</v>
      </c>
      <c r="F3638" s="402">
        <v>3000</v>
      </c>
      <c r="G3638" s="405" t="s">
        <v>4473</v>
      </c>
      <c r="H3638" s="74">
        <v>4952</v>
      </c>
      <c r="I3638" s="50" t="s">
        <v>1</v>
      </c>
      <c r="J3638" s="339" t="s">
        <v>4474</v>
      </c>
      <c r="K3638" s="51">
        <v>41508</v>
      </c>
      <c r="L3638" s="173">
        <v>41495</v>
      </c>
      <c r="M3638" s="50">
        <f t="shared" si="223"/>
        <v>13</v>
      </c>
      <c r="N3638" s="50" t="s">
        <v>2</v>
      </c>
      <c r="O3638" s="74">
        <v>2.2000000000000002</v>
      </c>
      <c r="P3638" s="50">
        <v>7.09</v>
      </c>
      <c r="Q3638" s="74">
        <v>6.5</v>
      </c>
      <c r="R3638" s="50">
        <v>40</v>
      </c>
      <c r="S3638" s="74">
        <v>58</v>
      </c>
      <c r="T3638" s="50">
        <v>0.16</v>
      </c>
      <c r="U3638" s="131">
        <v>1.6</v>
      </c>
      <c r="V3638" s="50">
        <v>0.49</v>
      </c>
      <c r="W3638" s="74">
        <v>3.1E-2</v>
      </c>
      <c r="X3638" s="50">
        <v>7.3999999999999996E-2</v>
      </c>
      <c r="Y3638" s="74">
        <v>0.02</v>
      </c>
      <c r="Z3638" s="165">
        <v>1</v>
      </c>
      <c r="AA3638" s="271">
        <v>1</v>
      </c>
      <c r="AB3638" s="114">
        <v>70</v>
      </c>
      <c r="AC3638" s="50">
        <v>724</v>
      </c>
      <c r="AD3638" s="271">
        <v>1</v>
      </c>
      <c r="AI3638" s="114">
        <f>2/2</f>
        <v>1</v>
      </c>
    </row>
    <row r="3639" spans="1:35" ht="15" customHeight="1">
      <c r="A3639" s="404" t="s">
        <v>4668</v>
      </c>
      <c r="B3639" s="402" t="s">
        <v>4472</v>
      </c>
      <c r="C3639" s="113" t="s">
        <v>2000</v>
      </c>
      <c r="D3639" s="393" t="s">
        <v>452</v>
      </c>
      <c r="E3639" s="394" t="s">
        <v>398</v>
      </c>
      <c r="F3639" s="402">
        <v>3000</v>
      </c>
      <c r="G3639" s="405" t="s">
        <v>4473</v>
      </c>
      <c r="H3639" s="74">
        <v>4952</v>
      </c>
      <c r="I3639" s="50" t="s">
        <v>1</v>
      </c>
      <c r="J3639" s="339" t="s">
        <v>4475</v>
      </c>
      <c r="K3639" s="51">
        <v>41508</v>
      </c>
      <c r="L3639" s="173">
        <v>41495</v>
      </c>
      <c r="M3639" s="50">
        <v>13</v>
      </c>
      <c r="N3639" s="50" t="s">
        <v>2</v>
      </c>
      <c r="O3639" s="74">
        <v>4.0999999999999996</v>
      </c>
      <c r="P3639" s="50">
        <v>7.39</v>
      </c>
      <c r="Q3639" s="74">
        <v>6.9</v>
      </c>
      <c r="R3639" s="50">
        <v>66</v>
      </c>
      <c r="S3639" s="74">
        <v>79</v>
      </c>
      <c r="T3639" s="50">
        <v>0.26</v>
      </c>
      <c r="U3639" s="131">
        <v>1.5</v>
      </c>
      <c r="V3639" s="50">
        <v>0.44</v>
      </c>
      <c r="W3639" s="74">
        <v>2.1999999999999999E-2</v>
      </c>
      <c r="X3639" s="50">
        <v>7.4999999999999997E-2</v>
      </c>
      <c r="Y3639" s="74">
        <v>7.9000000000000001E-2</v>
      </c>
      <c r="Z3639" s="165">
        <v>1</v>
      </c>
      <c r="AA3639" s="271">
        <v>1</v>
      </c>
      <c r="AI3639" s="114">
        <f>2/2</f>
        <v>1</v>
      </c>
    </row>
    <row r="3640" spans="1:35" ht="15" customHeight="1">
      <c r="A3640" s="404" t="s">
        <v>4668</v>
      </c>
      <c r="B3640" s="402" t="s">
        <v>6218</v>
      </c>
      <c r="C3640" s="113" t="s">
        <v>6218</v>
      </c>
      <c r="D3640" s="393" t="s">
        <v>213</v>
      </c>
      <c r="E3640" s="394" t="s">
        <v>671</v>
      </c>
      <c r="F3640" s="402" t="s">
        <v>3258</v>
      </c>
      <c r="G3640" s="405" t="s">
        <v>6219</v>
      </c>
      <c r="H3640" s="74">
        <v>3599</v>
      </c>
      <c r="I3640" s="50" t="s">
        <v>2</v>
      </c>
      <c r="J3640" s="339" t="s">
        <v>6220</v>
      </c>
      <c r="K3640" s="51">
        <v>41030</v>
      </c>
      <c r="L3640" s="173">
        <v>41021</v>
      </c>
      <c r="M3640" s="50">
        <f>K3640-L3640</f>
        <v>9</v>
      </c>
      <c r="N3640" s="50" t="s">
        <v>2</v>
      </c>
      <c r="O3640" s="74">
        <f>3/2</f>
        <v>1.5</v>
      </c>
      <c r="Q3640" s="74">
        <v>5.6</v>
      </c>
      <c r="R3640" s="50">
        <v>310</v>
      </c>
      <c r="S3640" s="74">
        <v>127</v>
      </c>
      <c r="T3640" s="50">
        <v>1.1499999999999999</v>
      </c>
      <c r="U3640" s="131">
        <v>6.5</v>
      </c>
      <c r="V3640" s="50">
        <v>1.47</v>
      </c>
      <c r="W3640" s="74">
        <v>6.6000000000000003E-2</v>
      </c>
      <c r="X3640" s="50">
        <v>0.109</v>
      </c>
      <c r="Y3640" s="74">
        <v>5.4999999999999997E-3</v>
      </c>
      <c r="Z3640" s="165">
        <v>1</v>
      </c>
      <c r="AA3640" s="271">
        <v>1</v>
      </c>
      <c r="AB3640" s="114">
        <v>12</v>
      </c>
      <c r="AC3640" s="50">
        <v>119</v>
      </c>
      <c r="AD3640" s="271">
        <v>0.95</v>
      </c>
    </row>
    <row r="3641" spans="1:35" ht="15" customHeight="1">
      <c r="A3641" s="404" t="s">
        <v>4668</v>
      </c>
      <c r="B3641" s="402" t="s">
        <v>2491</v>
      </c>
      <c r="C3641" s="113" t="s">
        <v>5239</v>
      </c>
      <c r="D3641" s="393" t="s">
        <v>262</v>
      </c>
      <c r="E3641" s="394" t="s">
        <v>874</v>
      </c>
      <c r="F3641" s="402" t="s">
        <v>6221</v>
      </c>
      <c r="G3641" s="405" t="s">
        <v>5240</v>
      </c>
      <c r="H3641" s="74">
        <v>5171</v>
      </c>
      <c r="I3641" s="50" t="s">
        <v>1</v>
      </c>
      <c r="J3641" s="339" t="s">
        <v>3251</v>
      </c>
      <c r="K3641" s="51">
        <v>41180</v>
      </c>
      <c r="L3641" s="173">
        <v>41170</v>
      </c>
      <c r="M3641" s="50">
        <f>K3641-L3641</f>
        <v>10</v>
      </c>
      <c r="N3641" s="50" t="s">
        <v>2</v>
      </c>
      <c r="O3641" s="74">
        <f>5/2</f>
        <v>2.5</v>
      </c>
      <c r="P3641" s="50">
        <v>5.5</v>
      </c>
      <c r="Q3641" s="74">
        <v>7.45</v>
      </c>
      <c r="R3641" s="50">
        <v>72</v>
      </c>
      <c r="S3641" s="74">
        <v>49</v>
      </c>
      <c r="T3641" s="50">
        <f>0.1/2</f>
        <v>0.05</v>
      </c>
      <c r="U3641" s="131">
        <v>1.5</v>
      </c>
      <c r="V3641" s="50">
        <v>1.3</v>
      </c>
      <c r="W3641" s="74">
        <f>0.04/2</f>
        <v>0.02</v>
      </c>
      <c r="X3641" s="50">
        <v>0.26</v>
      </c>
      <c r="Y3641" s="74">
        <f>0.013/2</f>
        <v>6.4999999999999997E-3</v>
      </c>
      <c r="Z3641" s="165"/>
    </row>
    <row r="3642" spans="1:35" ht="15" customHeight="1">
      <c r="A3642" s="41" t="s">
        <v>183</v>
      </c>
      <c r="B3642" s="385" t="s">
        <v>4355</v>
      </c>
      <c r="C3642" s="18" t="s">
        <v>4355</v>
      </c>
      <c r="D3642" s="377" t="s">
        <v>1881</v>
      </c>
      <c r="E3642" s="20" t="s">
        <v>1329</v>
      </c>
      <c r="F3642" s="401" t="s">
        <v>6222</v>
      </c>
      <c r="G3642" s="405" t="s">
        <v>1330</v>
      </c>
      <c r="H3642" s="49">
        <v>3398</v>
      </c>
      <c r="I3642" s="50" t="s">
        <v>2</v>
      </c>
      <c r="J3642" s="344" t="s">
        <v>3145</v>
      </c>
      <c r="K3642" s="51">
        <v>41345</v>
      </c>
      <c r="L3642" s="115">
        <v>41332</v>
      </c>
      <c r="O3642" s="74">
        <v>22</v>
      </c>
      <c r="Q3642" s="74">
        <v>6.87</v>
      </c>
      <c r="R3642" s="50">
        <v>423</v>
      </c>
      <c r="S3642" s="74">
        <v>770</v>
      </c>
      <c r="T3642" s="50">
        <v>1.1000000000000001</v>
      </c>
      <c r="U3642" s="131">
        <v>4</v>
      </c>
      <c r="V3642" s="50">
        <f>0.01/2</f>
        <v>5.0000000000000001E-3</v>
      </c>
      <c r="W3642" s="74">
        <v>7.5999999999999998E-2</v>
      </c>
      <c r="X3642" s="50">
        <v>0.32700000000000001</v>
      </c>
      <c r="Y3642" s="74">
        <v>6.9000000000000006E-2</v>
      </c>
      <c r="Z3642" s="165">
        <v>1</v>
      </c>
      <c r="AA3642" s="271">
        <v>1</v>
      </c>
      <c r="AB3642" s="114">
        <v>24</v>
      </c>
      <c r="AC3642" s="50">
        <v>139</v>
      </c>
      <c r="AD3642" s="271">
        <v>1</v>
      </c>
    </row>
    <row r="3643" spans="1:35" ht="15" customHeight="1">
      <c r="A3643" s="41" t="s">
        <v>183</v>
      </c>
      <c r="B3643" s="385" t="s">
        <v>4355</v>
      </c>
      <c r="C3643" s="18" t="s">
        <v>4355</v>
      </c>
      <c r="D3643" s="377" t="s">
        <v>1881</v>
      </c>
      <c r="E3643" s="20" t="s">
        <v>1329</v>
      </c>
      <c r="F3643" s="401" t="s">
        <v>6222</v>
      </c>
      <c r="G3643" s="405" t="s">
        <v>1330</v>
      </c>
      <c r="H3643" s="49">
        <v>3398</v>
      </c>
      <c r="I3643" s="50" t="s">
        <v>2</v>
      </c>
      <c r="J3643" s="344" t="s">
        <v>3145</v>
      </c>
      <c r="K3643" s="51">
        <v>41402</v>
      </c>
      <c r="L3643" s="173">
        <v>41384</v>
      </c>
      <c r="M3643" s="50">
        <f>K3643-L3643</f>
        <v>18</v>
      </c>
      <c r="N3643" s="50" t="s">
        <v>2</v>
      </c>
      <c r="O3643" s="74">
        <v>20</v>
      </c>
      <c r="P3643" s="50">
        <v>6.75</v>
      </c>
      <c r="Q3643" s="74">
        <v>6.52</v>
      </c>
      <c r="R3643" s="50">
        <v>396</v>
      </c>
      <c r="S3643" s="74">
        <v>260</v>
      </c>
      <c r="T3643" s="50">
        <v>1.21</v>
      </c>
      <c r="U3643" s="131">
        <v>7.16</v>
      </c>
      <c r="V3643" s="50">
        <v>0.15</v>
      </c>
      <c r="W3643" s="74">
        <v>3.5000000000000003E-2</v>
      </c>
      <c r="X3643" s="50">
        <v>0.16400000000000001</v>
      </c>
      <c r="Y3643" s="74">
        <v>4.2999999999999997E-2</v>
      </c>
      <c r="Z3643" s="165"/>
    </row>
    <row r="3644" spans="1:35" ht="15" customHeight="1">
      <c r="A3644" s="74" t="s">
        <v>5328</v>
      </c>
      <c r="B3644" s="385" t="s">
        <v>4355</v>
      </c>
      <c r="C3644" s="18" t="s">
        <v>4355</v>
      </c>
      <c r="D3644" s="377" t="s">
        <v>1881</v>
      </c>
      <c r="E3644" s="20" t="s">
        <v>1329</v>
      </c>
      <c r="F3644" s="401" t="s">
        <v>6222</v>
      </c>
      <c r="G3644" s="405" t="s">
        <v>1330</v>
      </c>
      <c r="H3644" s="49">
        <v>3398</v>
      </c>
      <c r="I3644" s="50" t="s">
        <v>2</v>
      </c>
      <c r="J3644" s="344" t="s">
        <v>3145</v>
      </c>
      <c r="K3644" s="51">
        <v>41614</v>
      </c>
      <c r="L3644" s="173">
        <v>41605</v>
      </c>
      <c r="M3644" s="50">
        <f>K3644-L3644</f>
        <v>9</v>
      </c>
      <c r="N3644" s="50" t="s">
        <v>2</v>
      </c>
      <c r="O3644" s="74">
        <v>5.5</v>
      </c>
      <c r="R3644" s="50">
        <v>41</v>
      </c>
      <c r="S3644" s="74">
        <v>940</v>
      </c>
      <c r="T3644" s="50">
        <v>0.81</v>
      </c>
      <c r="U3644" s="131">
        <v>3.32</v>
      </c>
      <c r="Z3644" s="165"/>
    </row>
    <row r="3645" spans="1:35" ht="15" customHeight="1">
      <c r="A3645" s="404" t="s">
        <v>4668</v>
      </c>
      <c r="B3645" s="402" t="s">
        <v>2263</v>
      </c>
      <c r="C3645" s="113" t="s">
        <v>2263</v>
      </c>
      <c r="D3645" s="393" t="s">
        <v>372</v>
      </c>
      <c r="E3645" s="394" t="s">
        <v>235</v>
      </c>
      <c r="F3645" s="402">
        <v>6900</v>
      </c>
      <c r="G3645" s="405" t="s">
        <v>2264</v>
      </c>
      <c r="H3645" s="74">
        <v>4119</v>
      </c>
      <c r="I3645" s="50" t="s">
        <v>1</v>
      </c>
      <c r="J3645" s="339" t="s">
        <v>1125</v>
      </c>
      <c r="K3645" s="51">
        <v>41364</v>
      </c>
      <c r="L3645" s="173">
        <v>41341</v>
      </c>
      <c r="M3645" s="50">
        <f t="shared" ref="M3645:M3706" si="224">K3645-L3645</f>
        <v>23</v>
      </c>
      <c r="N3645" s="50" t="s">
        <v>2</v>
      </c>
      <c r="O3645" s="74">
        <f>1.4/2</f>
        <v>0.7</v>
      </c>
      <c r="P3645" s="50">
        <v>7.49</v>
      </c>
      <c r="Q3645" s="74">
        <v>8.18</v>
      </c>
      <c r="R3645" s="50">
        <v>25</v>
      </c>
      <c r="S3645" s="74">
        <f>5/2</f>
        <v>2.5</v>
      </c>
      <c r="T3645" s="50">
        <v>0.02</v>
      </c>
      <c r="U3645" s="131">
        <v>0.43</v>
      </c>
      <c r="V3645" s="50">
        <v>7.0000000000000007E-2</v>
      </c>
      <c r="W3645" s="74">
        <f>0.005/2</f>
        <v>2.5000000000000001E-3</v>
      </c>
      <c r="X3645" s="50">
        <v>3.1E-2</v>
      </c>
      <c r="Y3645" s="74">
        <f>0.002/2</f>
        <v>1E-3</v>
      </c>
      <c r="Z3645" s="165"/>
    </row>
    <row r="3646" spans="1:35" ht="15" customHeight="1">
      <c r="A3646" s="404" t="s">
        <v>4668</v>
      </c>
      <c r="B3646" s="402" t="s">
        <v>1079</v>
      </c>
      <c r="C3646" s="113" t="s">
        <v>1079</v>
      </c>
      <c r="D3646" s="393" t="s">
        <v>372</v>
      </c>
      <c r="E3646" s="394" t="s">
        <v>235</v>
      </c>
      <c r="F3646" s="402" t="s">
        <v>6223</v>
      </c>
      <c r="G3646" s="405" t="s">
        <v>1080</v>
      </c>
      <c r="H3646" s="74">
        <v>3471</v>
      </c>
      <c r="I3646" s="50" t="s">
        <v>1</v>
      </c>
      <c r="J3646" s="76" t="s">
        <v>1081</v>
      </c>
      <c r="K3646" s="51">
        <v>41345</v>
      </c>
      <c r="L3646" s="173">
        <v>41341</v>
      </c>
      <c r="M3646" s="50">
        <f t="shared" si="224"/>
        <v>4</v>
      </c>
      <c r="N3646" s="50" t="s">
        <v>2</v>
      </c>
      <c r="O3646" s="74">
        <f t="shared" ref="O3646:O3651" si="225">1/2</f>
        <v>0.5</v>
      </c>
      <c r="P3646" s="50">
        <v>5.98</v>
      </c>
      <c r="Q3646" s="74">
        <v>6.14</v>
      </c>
      <c r="R3646" s="50">
        <f>1/2</f>
        <v>0.5</v>
      </c>
      <c r="S3646" s="74">
        <v>2</v>
      </c>
      <c r="T3646" s="50">
        <f>0.05/2</f>
        <v>2.5000000000000001E-2</v>
      </c>
      <c r="U3646" s="131">
        <v>0.48</v>
      </c>
      <c r="V3646" s="50">
        <v>0.12</v>
      </c>
      <c r="W3646" s="74">
        <v>1.2E-2</v>
      </c>
      <c r="X3646" s="50">
        <v>9.7000000000000003E-2</v>
      </c>
      <c r="Y3646" s="74">
        <f>0.002/2</f>
        <v>1E-3</v>
      </c>
      <c r="Z3646" s="165">
        <v>1</v>
      </c>
      <c r="AA3646" s="271">
        <v>0.79400000000000004</v>
      </c>
      <c r="AB3646" s="114">
        <v>1.1399999999999999</v>
      </c>
      <c r="AC3646" s="50">
        <v>7</v>
      </c>
      <c r="AD3646" s="271">
        <v>0.25</v>
      </c>
    </row>
    <row r="3647" spans="1:35" ht="15" customHeight="1">
      <c r="A3647" s="404" t="s">
        <v>4668</v>
      </c>
      <c r="B3647" s="402" t="s">
        <v>1079</v>
      </c>
      <c r="C3647" s="113" t="s">
        <v>1079</v>
      </c>
      <c r="D3647" s="393" t="s">
        <v>372</v>
      </c>
      <c r="E3647" s="394" t="s">
        <v>235</v>
      </c>
      <c r="F3647" s="402" t="s">
        <v>6223</v>
      </c>
      <c r="G3647" s="405" t="s">
        <v>1080</v>
      </c>
      <c r="H3647" s="74">
        <v>3471</v>
      </c>
      <c r="I3647" s="50" t="s">
        <v>1</v>
      </c>
      <c r="J3647" s="76" t="s">
        <v>1081</v>
      </c>
      <c r="K3647" s="51">
        <v>41508</v>
      </c>
      <c r="L3647" s="173">
        <v>41503</v>
      </c>
      <c r="M3647" s="50">
        <f t="shared" si="224"/>
        <v>5</v>
      </c>
      <c r="N3647" s="50" t="s">
        <v>2</v>
      </c>
      <c r="O3647" s="74">
        <f t="shared" si="225"/>
        <v>0.5</v>
      </c>
      <c r="P3647" s="50">
        <v>5.13</v>
      </c>
      <c r="Q3647" s="74">
        <v>5.76</v>
      </c>
      <c r="R3647" s="50">
        <v>22.2</v>
      </c>
      <c r="S3647" s="74">
        <v>1</v>
      </c>
      <c r="T3647" s="50">
        <v>0.05</v>
      </c>
      <c r="U3647" s="131">
        <v>0.7</v>
      </c>
      <c r="V3647" s="50">
        <v>0.61</v>
      </c>
      <c r="W3647" s="74">
        <v>3.3000000000000002E-2</v>
      </c>
      <c r="X3647" s="50">
        <v>4.2999999999999997E-2</v>
      </c>
      <c r="Y3647" s="74">
        <v>4.0000000000000001E-3</v>
      </c>
      <c r="Z3647" s="165"/>
      <c r="AE3647" s="50">
        <v>60</v>
      </c>
    </row>
    <row r="3648" spans="1:35" ht="15" customHeight="1">
      <c r="A3648" s="404" t="s">
        <v>4668</v>
      </c>
      <c r="B3648" s="402" t="s">
        <v>1079</v>
      </c>
      <c r="C3648" s="113" t="s">
        <v>1079</v>
      </c>
      <c r="D3648" s="393" t="s">
        <v>372</v>
      </c>
      <c r="E3648" s="394" t="s">
        <v>235</v>
      </c>
      <c r="F3648" s="402" t="s">
        <v>6223</v>
      </c>
      <c r="G3648" s="405" t="s">
        <v>1080</v>
      </c>
      <c r="H3648" s="74">
        <v>3471</v>
      </c>
      <c r="I3648" s="50" t="s">
        <v>1</v>
      </c>
      <c r="J3648" s="76" t="s">
        <v>1081</v>
      </c>
      <c r="K3648" s="51">
        <v>41149</v>
      </c>
      <c r="L3648" s="173">
        <v>41138</v>
      </c>
      <c r="M3648" s="50">
        <f t="shared" si="224"/>
        <v>11</v>
      </c>
      <c r="N3648" s="50" t="s">
        <v>2</v>
      </c>
      <c r="O3648" s="74">
        <f t="shared" si="225"/>
        <v>0.5</v>
      </c>
      <c r="P3648" s="50">
        <v>5.3</v>
      </c>
      <c r="Q3648" s="74">
        <v>6.45</v>
      </c>
      <c r="R3648" s="50">
        <v>28.9</v>
      </c>
      <c r="S3648" s="74">
        <v>2</v>
      </c>
      <c r="T3648" s="50">
        <v>0.09</v>
      </c>
      <c r="U3648" s="131">
        <v>2.2200000000000002</v>
      </c>
      <c r="V3648" s="50">
        <v>0.52</v>
      </c>
      <c r="W3648" s="74">
        <v>4.1000000000000002E-2</v>
      </c>
      <c r="X3648" s="50">
        <v>0.219</v>
      </c>
      <c r="Y3648" s="74">
        <v>4.0000000000000001E-3</v>
      </c>
      <c r="Z3648" s="165"/>
    </row>
    <row r="3649" spans="1:31" ht="15" customHeight="1">
      <c r="A3649" s="404" t="s">
        <v>4668</v>
      </c>
      <c r="B3649" s="402" t="s">
        <v>250</v>
      </c>
      <c r="C3649" s="113" t="s">
        <v>250</v>
      </c>
      <c r="D3649" s="393" t="s">
        <v>251</v>
      </c>
      <c r="E3649" s="394" t="s">
        <v>252</v>
      </c>
      <c r="F3649" s="402">
        <v>4402</v>
      </c>
      <c r="G3649" s="405" t="s">
        <v>253</v>
      </c>
      <c r="H3649" s="49">
        <v>3728</v>
      </c>
      <c r="I3649" s="50" t="s">
        <v>2</v>
      </c>
      <c r="J3649" s="76" t="s">
        <v>255</v>
      </c>
      <c r="K3649" s="51">
        <v>41021</v>
      </c>
      <c r="L3649" s="173">
        <v>41000</v>
      </c>
      <c r="M3649" s="50">
        <f t="shared" si="224"/>
        <v>21</v>
      </c>
      <c r="N3649" s="50" t="s">
        <v>2</v>
      </c>
      <c r="O3649" s="74">
        <f t="shared" si="225"/>
        <v>0.5</v>
      </c>
      <c r="P3649" s="50">
        <v>6.32</v>
      </c>
      <c r="Q3649" s="74">
        <v>6.24</v>
      </c>
      <c r="R3649" s="50">
        <v>92.1</v>
      </c>
      <c r="S3649" s="74">
        <v>42</v>
      </c>
      <c r="T3649" s="50">
        <v>0.31</v>
      </c>
      <c r="U3649" s="131">
        <v>3.32</v>
      </c>
      <c r="V3649" s="50">
        <v>0.63</v>
      </c>
      <c r="W3649" s="74">
        <v>0.08</v>
      </c>
      <c r="X3649" s="50">
        <v>0.123</v>
      </c>
      <c r="Y3649" s="74">
        <v>5.0000000000000001E-3</v>
      </c>
      <c r="Z3649" s="165"/>
      <c r="AE3649" s="50">
        <v>25</v>
      </c>
    </row>
    <row r="3650" spans="1:31" ht="15" customHeight="1">
      <c r="A3650" s="404" t="s">
        <v>4668</v>
      </c>
      <c r="B3650" s="402" t="s">
        <v>250</v>
      </c>
      <c r="C3650" s="113" t="s">
        <v>250</v>
      </c>
      <c r="D3650" s="393" t="s">
        <v>251</v>
      </c>
      <c r="E3650" s="394" t="s">
        <v>252</v>
      </c>
      <c r="F3650" s="402">
        <v>4402</v>
      </c>
      <c r="G3650" s="405" t="s">
        <v>253</v>
      </c>
      <c r="H3650" s="49">
        <v>3728</v>
      </c>
      <c r="I3650" s="50" t="s">
        <v>2</v>
      </c>
      <c r="J3650" s="76" t="s">
        <v>96</v>
      </c>
      <c r="K3650" s="51">
        <v>41021</v>
      </c>
      <c r="L3650" s="173">
        <v>41000</v>
      </c>
      <c r="M3650" s="50">
        <f t="shared" si="224"/>
        <v>21</v>
      </c>
      <c r="N3650" s="50" t="s">
        <v>2</v>
      </c>
      <c r="O3650" s="74">
        <f t="shared" si="225"/>
        <v>0.5</v>
      </c>
      <c r="P3650" s="50">
        <v>6.32</v>
      </c>
      <c r="Q3650" s="74">
        <v>5</v>
      </c>
      <c r="R3650" s="50">
        <v>50.2</v>
      </c>
      <c r="S3650" s="74">
        <v>17</v>
      </c>
      <c r="T3650" s="50">
        <v>0.2</v>
      </c>
      <c r="U3650" s="131">
        <v>4</v>
      </c>
      <c r="V3650" s="50">
        <v>0.11</v>
      </c>
      <c r="W3650" s="74">
        <v>4.5999999999999999E-2</v>
      </c>
      <c r="X3650" s="50">
        <v>0.157</v>
      </c>
      <c r="Y3650" s="74">
        <v>6.0000000000000001E-3</v>
      </c>
      <c r="Z3650" s="165"/>
      <c r="AE3650" s="50">
        <v>10</v>
      </c>
    </row>
    <row r="3651" spans="1:31" ht="15" customHeight="1">
      <c r="A3651" s="404" t="s">
        <v>4668</v>
      </c>
      <c r="B3651" s="402" t="s">
        <v>250</v>
      </c>
      <c r="C3651" s="113" t="s">
        <v>250</v>
      </c>
      <c r="D3651" s="393" t="s">
        <v>251</v>
      </c>
      <c r="E3651" s="394" t="s">
        <v>252</v>
      </c>
      <c r="F3651" s="402">
        <v>4402</v>
      </c>
      <c r="G3651" s="405" t="s">
        <v>253</v>
      </c>
      <c r="H3651" s="49">
        <v>3728</v>
      </c>
      <c r="I3651" s="50" t="s">
        <v>2</v>
      </c>
      <c r="J3651" s="76" t="s">
        <v>254</v>
      </c>
      <c r="K3651" s="51">
        <v>41021</v>
      </c>
      <c r="L3651" s="173">
        <v>41000</v>
      </c>
      <c r="M3651" s="50">
        <f t="shared" si="224"/>
        <v>21</v>
      </c>
      <c r="N3651" s="50" t="s">
        <v>2</v>
      </c>
      <c r="O3651" s="74">
        <f t="shared" si="225"/>
        <v>0.5</v>
      </c>
      <c r="P3651" s="50">
        <v>6.32</v>
      </c>
      <c r="Q3651" s="74">
        <v>4.5599999999999996</v>
      </c>
      <c r="R3651" s="50">
        <v>47.3</v>
      </c>
      <c r="S3651" s="74">
        <v>6</v>
      </c>
      <c r="T3651" s="50">
        <v>0.22</v>
      </c>
      <c r="U3651" s="131">
        <v>3.74</v>
      </c>
      <c r="V3651" s="50">
        <v>0.87</v>
      </c>
      <c r="W3651" s="74">
        <v>4.8000000000000001E-2</v>
      </c>
      <c r="X3651" s="50">
        <v>0.315</v>
      </c>
      <c r="Y3651" s="74">
        <v>4.8000000000000001E-2</v>
      </c>
      <c r="Z3651" s="165"/>
      <c r="AE3651" s="50">
        <v>1200</v>
      </c>
    </row>
    <row r="3652" spans="1:31" ht="15" customHeight="1">
      <c r="A3652" s="404" t="s">
        <v>4668</v>
      </c>
      <c r="B3652" s="402" t="s">
        <v>250</v>
      </c>
      <c r="C3652" s="113" t="s">
        <v>250</v>
      </c>
      <c r="D3652" s="393" t="s">
        <v>251</v>
      </c>
      <c r="E3652" s="394" t="s">
        <v>252</v>
      </c>
      <c r="F3652" s="402">
        <v>4402</v>
      </c>
      <c r="G3652" s="405" t="s">
        <v>253</v>
      </c>
      <c r="H3652" s="49">
        <v>3728</v>
      </c>
      <c r="I3652" s="50" t="s">
        <v>2</v>
      </c>
      <c r="J3652" s="76" t="s">
        <v>96</v>
      </c>
      <c r="K3652" s="51">
        <v>41226</v>
      </c>
      <c r="L3652" s="173">
        <v>41221</v>
      </c>
      <c r="M3652" s="50">
        <f t="shared" si="224"/>
        <v>5</v>
      </c>
      <c r="N3652" s="50" t="s">
        <v>2</v>
      </c>
      <c r="O3652" s="74">
        <f>2/2</f>
        <v>1</v>
      </c>
      <c r="P3652" s="50">
        <v>6.24</v>
      </c>
      <c r="Q3652" s="74">
        <v>5.36</v>
      </c>
      <c r="R3652" s="50">
        <f>20/2</f>
        <v>10</v>
      </c>
      <c r="S3652" s="74">
        <f>1/2</f>
        <v>0.5</v>
      </c>
      <c r="T3652" s="50">
        <v>1.6E-2</v>
      </c>
      <c r="U3652" s="131">
        <v>1.7</v>
      </c>
      <c r="V3652" s="50">
        <v>1.04</v>
      </c>
      <c r="W3652" s="74">
        <f>0.005/2</f>
        <v>2.5000000000000001E-3</v>
      </c>
      <c r="X3652" s="50">
        <v>0.15</v>
      </c>
      <c r="Y3652" s="74">
        <f>0.005/2</f>
        <v>2.5000000000000001E-3</v>
      </c>
      <c r="Z3652" s="165">
        <v>1</v>
      </c>
      <c r="AA3652" s="271">
        <v>1</v>
      </c>
      <c r="AB3652" s="114">
        <v>6</v>
      </c>
      <c r="AC3652" s="50">
        <v>44</v>
      </c>
      <c r="AD3652" s="271">
        <v>1</v>
      </c>
    </row>
    <row r="3653" spans="1:31" ht="15" customHeight="1">
      <c r="A3653" s="404" t="s">
        <v>4668</v>
      </c>
      <c r="B3653" s="402" t="s">
        <v>250</v>
      </c>
      <c r="C3653" s="113" t="s">
        <v>250</v>
      </c>
      <c r="D3653" s="393" t="s">
        <v>251</v>
      </c>
      <c r="E3653" s="394" t="s">
        <v>252</v>
      </c>
      <c r="F3653" s="402">
        <v>4402</v>
      </c>
      <c r="G3653" s="405" t="s">
        <v>253</v>
      </c>
      <c r="H3653" s="49">
        <v>3728</v>
      </c>
      <c r="I3653" s="50" t="s">
        <v>2</v>
      </c>
      <c r="J3653" s="76" t="s">
        <v>254</v>
      </c>
      <c r="K3653" s="51">
        <v>41226</v>
      </c>
      <c r="L3653" s="173">
        <v>41221</v>
      </c>
      <c r="M3653" s="50">
        <f t="shared" si="224"/>
        <v>5</v>
      </c>
      <c r="N3653" s="50" t="s">
        <v>2</v>
      </c>
      <c r="O3653" s="74">
        <f>1.7/2</f>
        <v>0.85</v>
      </c>
      <c r="P3653" s="50">
        <v>6.24</v>
      </c>
      <c r="Q3653" s="74">
        <v>6.2</v>
      </c>
      <c r="R3653" s="50">
        <v>24</v>
      </c>
      <c r="S3653" s="74">
        <v>2.2000000000000002</v>
      </c>
      <c r="T3653" s="50">
        <v>5.5E-2</v>
      </c>
      <c r="U3653" s="131">
        <v>1.7</v>
      </c>
      <c r="V3653" s="50">
        <v>1.24</v>
      </c>
      <c r="W3653" s="74">
        <v>1.0999999999999999E-2</v>
      </c>
      <c r="X3653" s="50">
        <v>0.17100000000000001</v>
      </c>
      <c r="Y3653" s="74">
        <v>6.7000000000000002E-3</v>
      </c>
      <c r="Z3653" s="165">
        <v>1</v>
      </c>
      <c r="AA3653" s="271">
        <v>1</v>
      </c>
      <c r="AB3653" s="114">
        <v>10</v>
      </c>
      <c r="AC3653" s="50">
        <v>68</v>
      </c>
      <c r="AD3653" s="271">
        <v>0.5</v>
      </c>
    </row>
    <row r="3654" spans="1:31" ht="15" customHeight="1">
      <c r="A3654" s="404" t="s">
        <v>4668</v>
      </c>
      <c r="B3654" s="402" t="s">
        <v>250</v>
      </c>
      <c r="C3654" s="113" t="s">
        <v>250</v>
      </c>
      <c r="D3654" s="393" t="s">
        <v>251</v>
      </c>
      <c r="E3654" s="394" t="s">
        <v>252</v>
      </c>
      <c r="F3654" s="402">
        <v>4402</v>
      </c>
      <c r="G3654" s="405" t="s">
        <v>253</v>
      </c>
      <c r="H3654" s="49">
        <v>3728</v>
      </c>
      <c r="I3654" s="50" t="s">
        <v>2</v>
      </c>
      <c r="J3654" s="76" t="s">
        <v>96</v>
      </c>
      <c r="K3654" s="51">
        <v>41487</v>
      </c>
      <c r="L3654" s="173">
        <v>41481</v>
      </c>
      <c r="M3654" s="50">
        <f t="shared" si="224"/>
        <v>6</v>
      </c>
      <c r="N3654" s="50" t="s">
        <v>2</v>
      </c>
      <c r="O3654" s="74">
        <f>1.7/2</f>
        <v>0.85</v>
      </c>
      <c r="P3654" s="50">
        <v>6.3</v>
      </c>
      <c r="Q3654" s="74">
        <v>4.4000000000000004</v>
      </c>
      <c r="R3654" s="50">
        <v>37</v>
      </c>
      <c r="S3654" s="74">
        <v>7.5</v>
      </c>
      <c r="T3654" s="50">
        <v>5.3999999999999999E-2</v>
      </c>
      <c r="U3654" s="131">
        <v>1.7</v>
      </c>
      <c r="V3654" s="50">
        <v>1.1000000000000001</v>
      </c>
      <c r="W3654" s="74">
        <v>1.4999999999999999E-2</v>
      </c>
      <c r="X3654" s="50">
        <v>0.28999999999999998</v>
      </c>
      <c r="Y3654" s="74">
        <f>0.005/2</f>
        <v>2.5000000000000001E-3</v>
      </c>
      <c r="Z3654" s="165"/>
      <c r="AE3654" s="50">
        <f>50/2</f>
        <v>25</v>
      </c>
    </row>
    <row r="3655" spans="1:31" ht="15" customHeight="1">
      <c r="A3655" s="404" t="s">
        <v>4668</v>
      </c>
      <c r="B3655" s="402" t="s">
        <v>250</v>
      </c>
      <c r="C3655" s="113" t="s">
        <v>250</v>
      </c>
      <c r="D3655" s="393" t="s">
        <v>251</v>
      </c>
      <c r="E3655" s="394" t="s">
        <v>252</v>
      </c>
      <c r="F3655" s="402">
        <v>4402</v>
      </c>
      <c r="G3655" s="405" t="s">
        <v>253</v>
      </c>
      <c r="H3655" s="49">
        <v>3728</v>
      </c>
      <c r="I3655" s="50" t="s">
        <v>2</v>
      </c>
      <c r="J3655" s="76" t="s">
        <v>254</v>
      </c>
      <c r="K3655" s="51">
        <v>41487</v>
      </c>
      <c r="L3655" s="173">
        <v>41481</v>
      </c>
      <c r="M3655" s="50">
        <f t="shared" si="224"/>
        <v>6</v>
      </c>
      <c r="N3655" s="50" t="s">
        <v>2</v>
      </c>
      <c r="O3655" s="74">
        <f>2/2</f>
        <v>1</v>
      </c>
      <c r="P3655" s="50">
        <v>6.3</v>
      </c>
      <c r="Q3655" s="74">
        <v>7.2</v>
      </c>
      <c r="R3655" s="50">
        <v>280</v>
      </c>
      <c r="S3655" s="74">
        <v>10.5</v>
      </c>
      <c r="T3655" s="50">
        <v>0.05</v>
      </c>
      <c r="U3655" s="131">
        <v>16</v>
      </c>
      <c r="V3655" s="50">
        <f>0.46/2</f>
        <v>0.23</v>
      </c>
      <c r="W3655" s="74">
        <v>1.0999999999999999E-2</v>
      </c>
      <c r="X3655" s="50">
        <v>2.1000000000000001E-2</v>
      </c>
      <c r="Y3655" s="74">
        <v>8.3000000000000001E-3</v>
      </c>
      <c r="Z3655" s="165"/>
      <c r="AE3655" s="50">
        <f>50/2</f>
        <v>25</v>
      </c>
    </row>
    <row r="3656" spans="1:31" ht="15" customHeight="1">
      <c r="A3656" s="41" t="s">
        <v>183</v>
      </c>
      <c r="B3656" s="402" t="s">
        <v>250</v>
      </c>
      <c r="C3656" s="113" t="s">
        <v>250</v>
      </c>
      <c r="D3656" s="393" t="s">
        <v>251</v>
      </c>
      <c r="E3656" s="394" t="s">
        <v>252</v>
      </c>
      <c r="F3656" s="402">
        <v>4402</v>
      </c>
      <c r="G3656" s="405" t="s">
        <v>253</v>
      </c>
      <c r="H3656" s="49">
        <v>3728</v>
      </c>
      <c r="I3656" s="50" t="s">
        <v>2</v>
      </c>
      <c r="J3656" s="76" t="s">
        <v>96</v>
      </c>
      <c r="K3656" s="51">
        <v>41600</v>
      </c>
      <c r="L3656" s="173">
        <v>41596</v>
      </c>
      <c r="M3656" s="50">
        <f t="shared" si="224"/>
        <v>4</v>
      </c>
      <c r="N3656" s="50" t="s">
        <v>2</v>
      </c>
      <c r="X3656" s="50">
        <v>0.128</v>
      </c>
      <c r="Z3656" s="165"/>
    </row>
    <row r="3657" spans="1:31" ht="15" customHeight="1">
      <c r="A3657" s="41" t="s">
        <v>183</v>
      </c>
      <c r="B3657" s="402" t="s">
        <v>250</v>
      </c>
      <c r="C3657" s="113" t="s">
        <v>250</v>
      </c>
      <c r="D3657" s="393" t="s">
        <v>251</v>
      </c>
      <c r="E3657" s="394" t="s">
        <v>252</v>
      </c>
      <c r="F3657" s="402">
        <v>4402</v>
      </c>
      <c r="G3657" s="405" t="s">
        <v>253</v>
      </c>
      <c r="H3657" s="49">
        <v>3728</v>
      </c>
      <c r="I3657" s="50" t="s">
        <v>2</v>
      </c>
      <c r="J3657" s="76" t="s">
        <v>254</v>
      </c>
      <c r="K3657" s="51">
        <v>41600</v>
      </c>
      <c r="L3657" s="173">
        <v>41596</v>
      </c>
      <c r="M3657" s="50">
        <f t="shared" si="224"/>
        <v>4</v>
      </c>
      <c r="N3657" s="50" t="s">
        <v>2</v>
      </c>
      <c r="R3657" s="50">
        <v>29</v>
      </c>
      <c r="U3657" s="131">
        <v>2.2000000000000002</v>
      </c>
      <c r="Z3657" s="165"/>
    </row>
    <row r="3658" spans="1:31" ht="15" customHeight="1">
      <c r="A3658" s="404" t="s">
        <v>4668</v>
      </c>
      <c r="B3658" s="402" t="s">
        <v>1342</v>
      </c>
      <c r="C3658" s="113" t="s">
        <v>1342</v>
      </c>
      <c r="D3658" s="393" t="s">
        <v>2328</v>
      </c>
      <c r="E3658" s="394" t="s">
        <v>1343</v>
      </c>
      <c r="F3658" s="72">
        <v>988925</v>
      </c>
      <c r="G3658" s="405" t="s">
        <v>1344</v>
      </c>
      <c r="H3658" s="74">
        <v>3829</v>
      </c>
      <c r="I3658" s="50" t="s">
        <v>2</v>
      </c>
      <c r="J3658" s="76" t="s">
        <v>1345</v>
      </c>
      <c r="K3658" s="51">
        <v>41499</v>
      </c>
      <c r="L3658" s="173">
        <v>41495</v>
      </c>
      <c r="M3658" s="50">
        <f t="shared" si="224"/>
        <v>4</v>
      </c>
      <c r="N3658" s="50" t="s">
        <v>2</v>
      </c>
      <c r="O3658" s="74">
        <f>1.4/2</f>
        <v>0.7</v>
      </c>
      <c r="P3658" s="50">
        <v>6</v>
      </c>
      <c r="Q3658" s="74">
        <v>7.85</v>
      </c>
      <c r="R3658" s="50">
        <v>17</v>
      </c>
      <c r="S3658" s="74">
        <v>100</v>
      </c>
      <c r="T3658" s="50">
        <v>0.34</v>
      </c>
      <c r="U3658" s="131">
        <v>0.74</v>
      </c>
      <c r="V3658" s="50">
        <v>0.65</v>
      </c>
      <c r="W3658" s="74">
        <f>0.005/2</f>
        <v>2.5000000000000001E-3</v>
      </c>
      <c r="X3658" s="50">
        <v>1.2E-2</v>
      </c>
      <c r="Y3658" s="74">
        <v>4.0000000000000001E-3</v>
      </c>
      <c r="Z3658" s="165"/>
    </row>
    <row r="3659" spans="1:31" ht="15" customHeight="1">
      <c r="A3659" s="404" t="s">
        <v>4668</v>
      </c>
      <c r="B3659" s="402" t="s">
        <v>1342</v>
      </c>
      <c r="C3659" s="113" t="s">
        <v>1342</v>
      </c>
      <c r="D3659" s="393" t="s">
        <v>2328</v>
      </c>
      <c r="E3659" s="394" t="s">
        <v>1343</v>
      </c>
      <c r="F3659" s="72">
        <v>988925</v>
      </c>
      <c r="G3659" s="405" t="s">
        <v>1344</v>
      </c>
      <c r="H3659" s="74">
        <v>3829</v>
      </c>
      <c r="I3659" s="50" t="s">
        <v>2</v>
      </c>
      <c r="J3659" s="76" t="s">
        <v>1345</v>
      </c>
      <c r="K3659" s="51">
        <v>41345</v>
      </c>
      <c r="L3659" s="173">
        <v>41341</v>
      </c>
      <c r="M3659" s="50">
        <f t="shared" si="224"/>
        <v>4</v>
      </c>
      <c r="N3659" s="50" t="s">
        <v>2</v>
      </c>
      <c r="O3659" s="74">
        <f>1.4/2</f>
        <v>0.7</v>
      </c>
      <c r="Q3659" s="74">
        <v>7.29</v>
      </c>
      <c r="R3659" s="50">
        <v>32</v>
      </c>
      <c r="S3659" s="74">
        <v>190</v>
      </c>
      <c r="T3659" s="50">
        <v>0.22</v>
      </c>
      <c r="U3659" s="131">
        <v>1.05</v>
      </c>
      <c r="V3659" s="50">
        <v>0.78</v>
      </c>
      <c r="W3659" s="74">
        <v>0.01</v>
      </c>
      <c r="X3659" s="50">
        <v>3.6999999999999998E-2</v>
      </c>
      <c r="Y3659" s="74">
        <v>5.0000000000000001E-3</v>
      </c>
      <c r="Z3659" s="165">
        <v>1</v>
      </c>
      <c r="AA3659" s="271">
        <v>1</v>
      </c>
      <c r="AB3659" s="114">
        <v>24</v>
      </c>
      <c r="AC3659" s="50">
        <v>119</v>
      </c>
      <c r="AD3659" s="271">
        <v>0.95</v>
      </c>
    </row>
    <row r="3660" spans="1:31" ht="15" customHeight="1">
      <c r="A3660" s="41" t="s">
        <v>183</v>
      </c>
      <c r="B3660" s="402" t="s">
        <v>1993</v>
      </c>
      <c r="C3660" s="113" t="s">
        <v>1993</v>
      </c>
      <c r="D3660" s="393" t="s">
        <v>350</v>
      </c>
      <c r="E3660" s="394" t="s">
        <v>530</v>
      </c>
      <c r="F3660" s="402" t="s">
        <v>6224</v>
      </c>
      <c r="G3660" s="405" t="s">
        <v>1994</v>
      </c>
      <c r="H3660" s="74">
        <v>2121</v>
      </c>
      <c r="I3660" s="50" t="s">
        <v>2</v>
      </c>
      <c r="J3660" s="48" t="s">
        <v>1125</v>
      </c>
      <c r="K3660" s="51">
        <v>41585</v>
      </c>
      <c r="L3660" s="173">
        <v>41578</v>
      </c>
      <c r="M3660" s="50">
        <f t="shared" si="224"/>
        <v>7</v>
      </c>
      <c r="N3660" s="50" t="s">
        <v>2</v>
      </c>
      <c r="R3660" s="50">
        <v>2600</v>
      </c>
      <c r="U3660" s="131">
        <v>27.1</v>
      </c>
      <c r="X3660" s="50">
        <v>1.04</v>
      </c>
      <c r="Z3660" s="165"/>
    </row>
    <row r="3661" spans="1:31" ht="15" customHeight="1">
      <c r="A3661" s="404" t="s">
        <v>4668</v>
      </c>
      <c r="B3661" s="402" t="s">
        <v>1993</v>
      </c>
      <c r="C3661" s="113" t="s">
        <v>1993</v>
      </c>
      <c r="D3661" s="393" t="s">
        <v>350</v>
      </c>
      <c r="E3661" s="394" t="s">
        <v>530</v>
      </c>
      <c r="F3661" s="402" t="s">
        <v>6224</v>
      </c>
      <c r="G3661" s="405" t="s">
        <v>1994</v>
      </c>
      <c r="H3661" s="74">
        <v>2121</v>
      </c>
      <c r="I3661" s="50" t="s">
        <v>2</v>
      </c>
      <c r="J3661" s="48" t="s">
        <v>1125</v>
      </c>
      <c r="K3661" s="51">
        <v>41226</v>
      </c>
      <c r="L3661" s="173">
        <v>41220</v>
      </c>
      <c r="M3661" s="50">
        <f t="shared" si="224"/>
        <v>6</v>
      </c>
      <c r="N3661" s="50" t="s">
        <v>2</v>
      </c>
      <c r="O3661" s="74">
        <f>1.4/2</f>
        <v>0.7</v>
      </c>
      <c r="P3661" s="50">
        <v>4.09</v>
      </c>
      <c r="Q3661" s="74">
        <v>5.59</v>
      </c>
      <c r="R3661" s="50">
        <v>250</v>
      </c>
      <c r="S3661" s="74">
        <f>5/2</f>
        <v>2.5</v>
      </c>
      <c r="T3661" s="50">
        <v>0.01</v>
      </c>
      <c r="U3661" s="131">
        <v>2.57</v>
      </c>
      <c r="V3661" s="50">
        <v>0.33</v>
      </c>
      <c r="W3661" s="74">
        <v>1.7000000000000001E-2</v>
      </c>
      <c r="X3661" s="50">
        <v>0.13</v>
      </c>
      <c r="Y3661" s="74">
        <f>0.002/2</f>
        <v>1E-3</v>
      </c>
      <c r="Z3661" s="165">
        <v>0.70699999999999996</v>
      </c>
      <c r="AA3661" s="271">
        <v>0.70699999999999996</v>
      </c>
      <c r="AB3661" s="114">
        <v>16</v>
      </c>
      <c r="AC3661" s="50">
        <v>162</v>
      </c>
      <c r="AD3661" s="271">
        <v>0</v>
      </c>
    </row>
    <row r="3662" spans="1:31" ht="15" customHeight="1">
      <c r="A3662" s="404" t="s">
        <v>4668</v>
      </c>
      <c r="B3662" s="402" t="s">
        <v>1993</v>
      </c>
      <c r="C3662" s="113" t="s">
        <v>1993</v>
      </c>
      <c r="D3662" s="393" t="s">
        <v>350</v>
      </c>
      <c r="E3662" s="394" t="s">
        <v>530</v>
      </c>
      <c r="F3662" s="402" t="s">
        <v>6224</v>
      </c>
      <c r="G3662" s="405" t="s">
        <v>1994</v>
      </c>
      <c r="H3662" s="74">
        <v>2121</v>
      </c>
      <c r="I3662" s="50" t="s">
        <v>2</v>
      </c>
      <c r="J3662" s="48" t="s">
        <v>1125</v>
      </c>
      <c r="K3662" s="51">
        <v>41402</v>
      </c>
      <c r="L3662" s="173">
        <v>41384</v>
      </c>
      <c r="M3662" s="50">
        <f t="shared" si="224"/>
        <v>18</v>
      </c>
      <c r="N3662" s="50" t="s">
        <v>2</v>
      </c>
      <c r="O3662" s="74">
        <v>5.4</v>
      </c>
      <c r="P3662" s="50">
        <v>5.53</v>
      </c>
      <c r="Q3662" s="74">
        <v>5.87</v>
      </c>
      <c r="R3662" s="50">
        <v>269</v>
      </c>
      <c r="S3662" s="74">
        <v>3.8</v>
      </c>
      <c r="T3662" s="50">
        <v>0.12</v>
      </c>
      <c r="U3662" s="131">
        <v>6.16</v>
      </c>
      <c r="V3662" s="50">
        <v>7.0000000000000007E-2</v>
      </c>
      <c r="W3662" s="74">
        <v>5.7000000000000002E-2</v>
      </c>
      <c r="X3662" s="50">
        <v>0.217</v>
      </c>
      <c r="Y3662" s="74">
        <v>8.0000000000000002E-3</v>
      </c>
      <c r="Z3662" s="165"/>
    </row>
    <row r="3663" spans="1:31" ht="15" customHeight="1">
      <c r="A3663" s="404" t="s">
        <v>4668</v>
      </c>
      <c r="B3663" s="386" t="s">
        <v>413</v>
      </c>
      <c r="C3663" s="149" t="s">
        <v>413</v>
      </c>
      <c r="D3663" s="392" t="s">
        <v>372</v>
      </c>
      <c r="E3663" s="258" t="s">
        <v>414</v>
      </c>
      <c r="F3663" s="386">
        <v>6912</v>
      </c>
      <c r="G3663" s="405" t="s">
        <v>415</v>
      </c>
      <c r="H3663" s="74">
        <v>5051</v>
      </c>
      <c r="J3663" s="61" t="s">
        <v>335</v>
      </c>
      <c r="K3663" s="51">
        <v>41345</v>
      </c>
      <c r="L3663" s="173">
        <v>41341</v>
      </c>
      <c r="M3663" s="50">
        <f t="shared" si="224"/>
        <v>4</v>
      </c>
      <c r="N3663" s="54" t="s">
        <v>2</v>
      </c>
      <c r="O3663" s="74">
        <v>6.3</v>
      </c>
      <c r="P3663" s="50">
        <v>6.06</v>
      </c>
      <c r="Q3663" s="74">
        <v>6.91</v>
      </c>
      <c r="R3663" s="50">
        <v>30</v>
      </c>
      <c r="S3663" s="74">
        <v>388.5</v>
      </c>
      <c r="T3663" s="50">
        <v>0.6</v>
      </c>
      <c r="U3663" s="131">
        <v>3.06</v>
      </c>
      <c r="V3663" s="50">
        <f>0.2/2</f>
        <v>0.1</v>
      </c>
      <c r="W3663" s="74">
        <v>0.09</v>
      </c>
      <c r="X3663" s="50">
        <v>0.21</v>
      </c>
      <c r="Y3663" s="74">
        <v>0.06</v>
      </c>
      <c r="Z3663" s="165">
        <v>1</v>
      </c>
      <c r="AA3663" s="271">
        <v>1</v>
      </c>
      <c r="AB3663" s="114">
        <v>54.2</v>
      </c>
      <c r="AC3663" s="50">
        <v>779</v>
      </c>
      <c r="AD3663" s="271">
        <v>0.85</v>
      </c>
    </row>
    <row r="3664" spans="1:31" ht="15" customHeight="1">
      <c r="A3664" s="404" t="s">
        <v>4668</v>
      </c>
      <c r="B3664" s="386" t="s">
        <v>413</v>
      </c>
      <c r="C3664" s="149" t="s">
        <v>413</v>
      </c>
      <c r="D3664" s="392" t="s">
        <v>372</v>
      </c>
      <c r="E3664" s="258" t="s">
        <v>414</v>
      </c>
      <c r="F3664" s="386">
        <v>6912</v>
      </c>
      <c r="G3664" s="405" t="s">
        <v>415</v>
      </c>
      <c r="H3664" s="74">
        <v>5051</v>
      </c>
      <c r="J3664" s="61" t="s">
        <v>335</v>
      </c>
      <c r="K3664" s="51">
        <v>41122</v>
      </c>
      <c r="L3664" s="173">
        <v>41118</v>
      </c>
      <c r="M3664" s="50">
        <f t="shared" si="224"/>
        <v>4</v>
      </c>
      <c r="N3664" s="54" t="s">
        <v>2</v>
      </c>
      <c r="O3664" s="74">
        <f>1/2</f>
        <v>0.5</v>
      </c>
      <c r="P3664" s="50">
        <v>4.6399999999999997</v>
      </c>
      <c r="Q3664" s="74">
        <v>5.83</v>
      </c>
      <c r="R3664" s="50">
        <v>49.7</v>
      </c>
      <c r="S3664" s="74">
        <v>23</v>
      </c>
      <c r="T3664" s="50">
        <v>0.16</v>
      </c>
      <c r="U3664" s="131">
        <v>1.45</v>
      </c>
      <c r="V3664" s="50">
        <v>0.97</v>
      </c>
      <c r="W3664" s="74">
        <v>0.03</v>
      </c>
      <c r="X3664" s="50">
        <v>0.53</v>
      </c>
      <c r="Y3664" s="74">
        <v>0.09</v>
      </c>
      <c r="Z3664" s="165"/>
    </row>
    <row r="3665" spans="1:31" ht="15" customHeight="1">
      <c r="A3665" s="404" t="s">
        <v>4668</v>
      </c>
      <c r="B3665" s="386" t="s">
        <v>413</v>
      </c>
      <c r="C3665" s="149" t="s">
        <v>413</v>
      </c>
      <c r="D3665" s="392" t="s">
        <v>372</v>
      </c>
      <c r="E3665" s="258" t="s">
        <v>414</v>
      </c>
      <c r="F3665" s="386">
        <v>6912</v>
      </c>
      <c r="G3665" s="405" t="s">
        <v>415</v>
      </c>
      <c r="H3665" s="74">
        <v>5051</v>
      </c>
      <c r="J3665" s="61" t="s">
        <v>335</v>
      </c>
      <c r="K3665" s="51">
        <v>41428</v>
      </c>
      <c r="L3665" s="173">
        <v>41419</v>
      </c>
      <c r="M3665" s="50">
        <f t="shared" si="224"/>
        <v>9</v>
      </c>
      <c r="N3665" s="54" t="s">
        <v>2</v>
      </c>
      <c r="O3665" s="74">
        <v>3.5</v>
      </c>
      <c r="P3665" s="50">
        <v>6.43</v>
      </c>
      <c r="Q3665" s="74">
        <v>7.27</v>
      </c>
      <c r="R3665" s="50">
        <v>10.3</v>
      </c>
      <c r="S3665" s="74">
        <v>48.5</v>
      </c>
      <c r="T3665" s="50">
        <f>0.05/2</f>
        <v>2.5000000000000001E-2</v>
      </c>
      <c r="U3665" s="131">
        <v>0.69</v>
      </c>
      <c r="V3665" s="50">
        <v>0.57999999999999996</v>
      </c>
      <c r="W3665" s="74">
        <v>0.02</v>
      </c>
      <c r="X3665" s="50">
        <v>0.05</v>
      </c>
      <c r="Y3665" s="74">
        <f>0.02/2</f>
        <v>0.01</v>
      </c>
      <c r="Z3665" s="165"/>
    </row>
    <row r="3666" spans="1:31" ht="15" customHeight="1">
      <c r="A3666" s="404" t="s">
        <v>4668</v>
      </c>
      <c r="B3666" s="402" t="s">
        <v>2016</v>
      </c>
      <c r="C3666" s="113" t="s">
        <v>2016</v>
      </c>
      <c r="D3666" s="393" t="s">
        <v>200</v>
      </c>
      <c r="E3666" s="394" t="s">
        <v>671</v>
      </c>
      <c r="F3666" s="402">
        <v>4315</v>
      </c>
      <c r="G3666" s="405" t="s">
        <v>2017</v>
      </c>
      <c r="H3666" s="74">
        <v>3398</v>
      </c>
      <c r="I3666" s="50" t="s">
        <v>2</v>
      </c>
      <c r="J3666" s="48" t="s">
        <v>1125</v>
      </c>
      <c r="K3666" s="51">
        <v>41530</v>
      </c>
      <c r="L3666" s="173">
        <v>41529</v>
      </c>
      <c r="M3666" s="50">
        <f t="shared" si="224"/>
        <v>1</v>
      </c>
      <c r="N3666" s="50" t="s">
        <v>2</v>
      </c>
      <c r="O3666" s="74">
        <v>2.2000000000000002</v>
      </c>
      <c r="P3666" s="50">
        <v>4.5999999999999996</v>
      </c>
      <c r="Q3666" s="74">
        <v>5.21</v>
      </c>
      <c r="R3666" s="50">
        <v>49</v>
      </c>
      <c r="S3666" s="74">
        <v>140</v>
      </c>
      <c r="T3666" s="50">
        <v>0.18</v>
      </c>
      <c r="U3666" s="131">
        <v>2.46</v>
      </c>
      <c r="V3666" s="50">
        <v>0.86</v>
      </c>
      <c r="W3666" s="74">
        <v>2.8000000000000001E-2</v>
      </c>
      <c r="X3666" s="50">
        <v>0.17299999999999999</v>
      </c>
      <c r="Y3666" s="74">
        <v>2.4E-2</v>
      </c>
      <c r="Z3666" s="165">
        <v>0.89100000000000001</v>
      </c>
      <c r="AA3666" s="271">
        <v>0.79400000000000004</v>
      </c>
      <c r="AB3666" s="114">
        <v>14</v>
      </c>
      <c r="AC3666" s="50">
        <v>29</v>
      </c>
      <c r="AD3666" s="271">
        <v>0.25</v>
      </c>
    </row>
    <row r="3667" spans="1:31" ht="15" customHeight="1">
      <c r="A3667" s="404" t="s">
        <v>4668</v>
      </c>
      <c r="B3667" s="402" t="s">
        <v>2016</v>
      </c>
      <c r="C3667" s="113" t="s">
        <v>2016</v>
      </c>
      <c r="D3667" s="393" t="s">
        <v>200</v>
      </c>
      <c r="E3667" s="394" t="s">
        <v>671</v>
      </c>
      <c r="F3667" s="402">
        <v>4315</v>
      </c>
      <c r="G3667" s="405" t="s">
        <v>2017</v>
      </c>
      <c r="H3667" s="74">
        <v>3398</v>
      </c>
      <c r="I3667" s="50" t="s">
        <v>2</v>
      </c>
      <c r="J3667" s="48" t="s">
        <v>1126</v>
      </c>
      <c r="K3667" s="51">
        <v>41530</v>
      </c>
      <c r="L3667" s="173">
        <v>41529</v>
      </c>
      <c r="M3667" s="50">
        <f t="shared" si="224"/>
        <v>1</v>
      </c>
      <c r="N3667" s="50" t="s">
        <v>2</v>
      </c>
      <c r="O3667" s="74">
        <v>1.6</v>
      </c>
      <c r="P3667" s="50">
        <v>4.5999999999999996</v>
      </c>
      <c r="Q3667" s="74">
        <v>5.39</v>
      </c>
      <c r="R3667" s="50">
        <v>52</v>
      </c>
      <c r="S3667" s="74">
        <v>230</v>
      </c>
      <c r="T3667" s="50">
        <v>0.15</v>
      </c>
      <c r="U3667" s="131">
        <v>2.0299999999999998</v>
      </c>
      <c r="V3667" s="50">
        <v>0.92</v>
      </c>
      <c r="W3667" s="74">
        <v>2.1000000000000001E-2</v>
      </c>
      <c r="X3667" s="50">
        <v>0.254</v>
      </c>
      <c r="Y3667" s="74">
        <v>5.0000000000000001E-3</v>
      </c>
      <c r="Z3667" s="165">
        <v>1</v>
      </c>
      <c r="AA3667" s="271">
        <v>1</v>
      </c>
      <c r="AB3667" s="114">
        <v>14</v>
      </c>
      <c r="AC3667" s="50">
        <v>41</v>
      </c>
      <c r="AD3667" s="271">
        <v>1</v>
      </c>
    </row>
    <row r="3668" spans="1:31" ht="15" customHeight="1">
      <c r="A3668" s="404" t="s">
        <v>4668</v>
      </c>
      <c r="B3668" s="402" t="s">
        <v>2016</v>
      </c>
      <c r="C3668" s="113" t="s">
        <v>2016</v>
      </c>
      <c r="D3668" s="393" t="s">
        <v>200</v>
      </c>
      <c r="E3668" s="394" t="s">
        <v>671</v>
      </c>
      <c r="F3668" s="402">
        <v>4315</v>
      </c>
      <c r="G3668" s="405" t="s">
        <v>2017</v>
      </c>
      <c r="H3668" s="74">
        <v>3398</v>
      </c>
      <c r="I3668" s="50" t="s">
        <v>2</v>
      </c>
      <c r="J3668" s="48" t="s">
        <v>1126</v>
      </c>
      <c r="K3668" s="51">
        <v>41402</v>
      </c>
      <c r="L3668" s="173">
        <v>41377</v>
      </c>
      <c r="M3668" s="50">
        <f t="shared" si="224"/>
        <v>25</v>
      </c>
      <c r="N3668" s="50" t="s">
        <v>2</v>
      </c>
      <c r="O3668" s="74">
        <v>3.1</v>
      </c>
      <c r="P3668" s="50">
        <v>5.9</v>
      </c>
      <c r="Q3668" s="74">
        <v>5.89</v>
      </c>
      <c r="R3668" s="50">
        <v>422</v>
      </c>
      <c r="S3668" s="74">
        <v>530</v>
      </c>
      <c r="T3668" s="50">
        <v>1.07</v>
      </c>
      <c r="U3668" s="131">
        <v>10.199999999999999</v>
      </c>
      <c r="V3668" s="50">
        <v>0.84</v>
      </c>
      <c r="W3668" s="74">
        <v>6.4000000000000001E-2</v>
      </c>
      <c r="X3668" s="50">
        <v>0.34300000000000003</v>
      </c>
      <c r="Y3668" s="74">
        <v>2.4E-2</v>
      </c>
      <c r="Z3668" s="165">
        <v>1</v>
      </c>
      <c r="AA3668" s="271">
        <v>1</v>
      </c>
      <c r="AB3668" s="114">
        <v>16</v>
      </c>
      <c r="AC3668" s="50">
        <v>47</v>
      </c>
      <c r="AD3668" s="271">
        <v>1</v>
      </c>
    </row>
    <row r="3669" spans="1:31" ht="15" customHeight="1">
      <c r="A3669" s="404" t="s">
        <v>4668</v>
      </c>
      <c r="B3669" s="402" t="s">
        <v>2016</v>
      </c>
      <c r="C3669" s="113" t="s">
        <v>2016</v>
      </c>
      <c r="D3669" s="393" t="s">
        <v>200</v>
      </c>
      <c r="E3669" s="394" t="s">
        <v>671</v>
      </c>
      <c r="F3669" s="402">
        <v>4315</v>
      </c>
      <c r="G3669" s="405" t="s">
        <v>2017</v>
      </c>
      <c r="H3669" s="74">
        <v>3398</v>
      </c>
      <c r="I3669" s="50" t="s">
        <v>2</v>
      </c>
      <c r="J3669" s="48" t="s">
        <v>1125</v>
      </c>
      <c r="K3669" s="51">
        <v>41402</v>
      </c>
      <c r="L3669" s="173">
        <v>41377</v>
      </c>
      <c r="M3669" s="50">
        <f t="shared" si="224"/>
        <v>25</v>
      </c>
      <c r="N3669" s="50" t="s">
        <v>2</v>
      </c>
      <c r="O3669" s="74">
        <v>2.6</v>
      </c>
      <c r="P3669" s="50">
        <v>5.9</v>
      </c>
      <c r="Q3669" s="74">
        <v>4.95</v>
      </c>
      <c r="R3669" s="50">
        <v>269</v>
      </c>
      <c r="S3669" s="74">
        <v>170</v>
      </c>
      <c r="T3669" s="50">
        <v>0.59</v>
      </c>
      <c r="U3669" s="131">
        <v>8.6999999999999993</v>
      </c>
      <c r="V3669" s="50">
        <v>0.45</v>
      </c>
      <c r="W3669" s="74">
        <v>3.6999999999999998E-2</v>
      </c>
      <c r="X3669" s="50">
        <v>0.214</v>
      </c>
      <c r="Y3669" s="74">
        <v>3.5999999999999997E-2</v>
      </c>
      <c r="Z3669" s="165">
        <v>1</v>
      </c>
      <c r="AA3669" s="271">
        <v>1</v>
      </c>
      <c r="AB3669" s="114">
        <v>24</v>
      </c>
      <c r="AC3669" s="50">
        <v>63</v>
      </c>
      <c r="AD3669" s="271">
        <v>1</v>
      </c>
    </row>
    <row r="3670" spans="1:31" ht="15" customHeight="1">
      <c r="A3670" s="404" t="s">
        <v>4668</v>
      </c>
      <c r="B3670" s="386" t="s">
        <v>529</v>
      </c>
      <c r="C3670" s="149" t="s">
        <v>529</v>
      </c>
      <c r="D3670" s="392" t="s">
        <v>350</v>
      </c>
      <c r="E3670" s="258" t="s">
        <v>530</v>
      </c>
      <c r="G3670" s="405" t="s">
        <v>531</v>
      </c>
      <c r="H3670" s="55">
        <v>4222</v>
      </c>
      <c r="I3670" s="54" t="s">
        <v>2</v>
      </c>
      <c r="J3670" s="61" t="s">
        <v>194</v>
      </c>
      <c r="K3670" s="51">
        <v>41044</v>
      </c>
      <c r="L3670" s="173">
        <v>41039</v>
      </c>
      <c r="M3670" s="50">
        <f t="shared" si="224"/>
        <v>5</v>
      </c>
      <c r="N3670" s="50" t="s">
        <v>2</v>
      </c>
      <c r="O3670" s="74">
        <f>1.4/2</f>
        <v>0.7</v>
      </c>
      <c r="P3670" s="50">
        <v>7.72</v>
      </c>
      <c r="Q3670" s="74">
        <v>8.57</v>
      </c>
      <c r="R3670" s="50">
        <f>10/2</f>
        <v>5</v>
      </c>
      <c r="S3670" s="74">
        <f>5/2</f>
        <v>2.5</v>
      </c>
      <c r="T3670" s="50">
        <v>0.06</v>
      </c>
      <c r="U3670" s="131">
        <v>0.63</v>
      </c>
      <c r="V3670" s="50">
        <v>1.2</v>
      </c>
      <c r="W3670" s="74">
        <f>0.005/2</f>
        <v>2.5000000000000001E-3</v>
      </c>
      <c r="X3670" s="50">
        <v>7.0000000000000001E-3</v>
      </c>
      <c r="Y3670" s="74">
        <f>0.002/2</f>
        <v>1E-3</v>
      </c>
      <c r="Z3670" s="165"/>
    </row>
    <row r="3671" spans="1:31" ht="15" customHeight="1">
      <c r="A3671" s="404" t="s">
        <v>4668</v>
      </c>
      <c r="B3671" s="386" t="s">
        <v>529</v>
      </c>
      <c r="C3671" s="149" t="s">
        <v>529</v>
      </c>
      <c r="D3671" s="392" t="s">
        <v>350</v>
      </c>
      <c r="E3671" s="258" t="s">
        <v>530</v>
      </c>
      <c r="G3671" s="405" t="s">
        <v>531</v>
      </c>
      <c r="H3671" s="55">
        <v>4222</v>
      </c>
      <c r="I3671" s="54" t="s">
        <v>2</v>
      </c>
      <c r="J3671" s="61" t="s">
        <v>194</v>
      </c>
      <c r="K3671" s="51">
        <v>41487</v>
      </c>
      <c r="L3671" s="173">
        <v>41481</v>
      </c>
      <c r="M3671" s="50">
        <f t="shared" si="224"/>
        <v>6</v>
      </c>
      <c r="N3671" s="50" t="s">
        <v>2</v>
      </c>
      <c r="O3671" s="74">
        <f>1.4/2</f>
        <v>0.7</v>
      </c>
      <c r="P3671" s="50">
        <v>4.2300000000000004</v>
      </c>
      <c r="Q3671" s="74">
        <v>7.72</v>
      </c>
      <c r="R3671" s="50">
        <v>10</v>
      </c>
      <c r="S3671" s="74">
        <f>5/2</f>
        <v>2.5</v>
      </c>
      <c r="T3671" s="50">
        <v>0.08</v>
      </c>
      <c r="U3671" s="131">
        <v>0.71</v>
      </c>
      <c r="V3671" s="50">
        <v>0.16</v>
      </c>
      <c r="W3671" s="74">
        <f>0.005/2</f>
        <v>2.5000000000000001E-3</v>
      </c>
      <c r="X3671" s="50">
        <v>3.0000000000000001E-3</v>
      </c>
      <c r="Y3671" s="74">
        <v>4.0000000000000001E-3</v>
      </c>
      <c r="Z3671" s="165"/>
    </row>
    <row r="3672" spans="1:31" ht="15" customHeight="1">
      <c r="A3672" s="404" t="s">
        <v>4668</v>
      </c>
      <c r="B3672" s="386" t="s">
        <v>529</v>
      </c>
      <c r="C3672" s="149" t="s">
        <v>529</v>
      </c>
      <c r="D3672" s="392" t="s">
        <v>350</v>
      </c>
      <c r="E3672" s="258" t="s">
        <v>530</v>
      </c>
      <c r="G3672" s="405" t="s">
        <v>531</v>
      </c>
      <c r="H3672" s="55">
        <v>4222</v>
      </c>
      <c r="I3672" s="54" t="s">
        <v>2</v>
      </c>
      <c r="J3672" s="61" t="s">
        <v>194</v>
      </c>
      <c r="K3672" s="51">
        <v>41201</v>
      </c>
      <c r="L3672" s="173">
        <v>41197</v>
      </c>
      <c r="M3672" s="50">
        <f t="shared" si="224"/>
        <v>4</v>
      </c>
      <c r="N3672" s="50" t="s">
        <v>2</v>
      </c>
      <c r="O3672" s="74">
        <f>1.4/2</f>
        <v>0.7</v>
      </c>
      <c r="P3672" s="50">
        <v>6.97</v>
      </c>
      <c r="Q3672" s="74">
        <v>7</v>
      </c>
      <c r="R3672" s="50">
        <v>16</v>
      </c>
      <c r="S3672" s="74">
        <f>5/2</f>
        <v>2.5</v>
      </c>
      <c r="T3672" s="50">
        <v>0.03</v>
      </c>
      <c r="U3672" s="131">
        <v>0.67</v>
      </c>
      <c r="V3672" s="50">
        <v>1.32</v>
      </c>
      <c r="W3672" s="74">
        <f>0.005/2</f>
        <v>2.5000000000000001E-3</v>
      </c>
      <c r="X3672" s="50">
        <v>0.01</v>
      </c>
      <c r="Y3672" s="74">
        <f>0.002/2</f>
        <v>1E-3</v>
      </c>
      <c r="Z3672" s="165">
        <v>1</v>
      </c>
      <c r="AA3672" s="271">
        <v>1</v>
      </c>
      <c r="AB3672" s="114">
        <v>50</v>
      </c>
      <c r="AC3672" s="50">
        <v>163</v>
      </c>
      <c r="AD3672" s="271">
        <v>1</v>
      </c>
    </row>
    <row r="3673" spans="1:31" ht="15" customHeight="1">
      <c r="A3673" s="404" t="s">
        <v>4668</v>
      </c>
      <c r="B3673" s="402" t="s">
        <v>6225</v>
      </c>
      <c r="C3673" s="113" t="s">
        <v>6226</v>
      </c>
      <c r="D3673" s="393" t="s">
        <v>806</v>
      </c>
      <c r="E3673" s="394" t="s">
        <v>535</v>
      </c>
      <c r="F3673" s="402">
        <v>6600</v>
      </c>
      <c r="G3673" s="405" t="s">
        <v>6227</v>
      </c>
      <c r="H3673" s="74">
        <v>2869</v>
      </c>
      <c r="I3673" s="50" t="s">
        <v>1</v>
      </c>
      <c r="J3673" s="339" t="s">
        <v>5756</v>
      </c>
      <c r="K3673" s="51">
        <v>41365</v>
      </c>
      <c r="L3673" s="173">
        <v>41352</v>
      </c>
      <c r="M3673" s="50">
        <f t="shared" si="224"/>
        <v>13</v>
      </c>
      <c r="N3673" s="50" t="s">
        <v>2</v>
      </c>
      <c r="O3673" s="74">
        <f>5/2</f>
        <v>2.5</v>
      </c>
      <c r="P3673" s="50">
        <v>4.8099999999999996</v>
      </c>
      <c r="Q3673" s="74">
        <v>8.25</v>
      </c>
      <c r="R3673" s="50">
        <v>14</v>
      </c>
      <c r="S3673" s="74">
        <v>67</v>
      </c>
      <c r="T3673" s="50">
        <f>0.1/2</f>
        <v>0.05</v>
      </c>
      <c r="U3673" s="131">
        <f>1/2</f>
        <v>0.5</v>
      </c>
      <c r="V3673" s="50">
        <v>1.4</v>
      </c>
      <c r="W3673" s="74">
        <f>0.04/2</f>
        <v>0.02</v>
      </c>
      <c r="X3673" s="50">
        <v>0.04</v>
      </c>
      <c r="Y3673" s="74">
        <f>0.013/2</f>
        <v>6.4999999999999997E-3</v>
      </c>
      <c r="Z3673" s="165">
        <v>1</v>
      </c>
      <c r="AA3673" s="271">
        <v>1</v>
      </c>
      <c r="AB3673" s="114">
        <v>200</v>
      </c>
      <c r="AC3673" s="50">
        <v>562</v>
      </c>
      <c r="AD3673" s="271">
        <v>1</v>
      </c>
      <c r="AE3673" s="50">
        <v>2</v>
      </c>
    </row>
    <row r="3674" spans="1:31" ht="15" customHeight="1">
      <c r="A3674" s="404" t="s">
        <v>4668</v>
      </c>
      <c r="B3674" s="386" t="s">
        <v>820</v>
      </c>
      <c r="C3674" s="149" t="s">
        <v>820</v>
      </c>
      <c r="D3674" s="392" t="s">
        <v>78</v>
      </c>
      <c r="E3674" s="394" t="s">
        <v>3347</v>
      </c>
      <c r="F3674" s="386" t="s">
        <v>984</v>
      </c>
      <c r="G3674" s="405" t="s">
        <v>821</v>
      </c>
      <c r="H3674" s="55">
        <v>2759</v>
      </c>
      <c r="I3674" s="54" t="s">
        <v>2</v>
      </c>
      <c r="J3674" s="61" t="s">
        <v>700</v>
      </c>
      <c r="K3674" s="51">
        <v>41499</v>
      </c>
      <c r="L3674" s="173">
        <v>41495</v>
      </c>
      <c r="M3674" s="50">
        <f t="shared" si="224"/>
        <v>4</v>
      </c>
      <c r="N3674" s="50" t="s">
        <v>2</v>
      </c>
      <c r="O3674" s="74">
        <f>2.2/2</f>
        <v>1.1000000000000001</v>
      </c>
      <c r="P3674" s="50">
        <v>6.71</v>
      </c>
      <c r="Q3674" s="74">
        <v>7</v>
      </c>
      <c r="R3674" s="50">
        <v>44</v>
      </c>
      <c r="S3674" s="74">
        <v>4.7</v>
      </c>
      <c r="T3674" s="50">
        <v>7.9000000000000001E-2</v>
      </c>
      <c r="U3674" s="131">
        <v>1.3</v>
      </c>
      <c r="V3674" s="50">
        <v>0.98</v>
      </c>
      <c r="W3674" s="74">
        <v>6.0000000000000001E-3</v>
      </c>
      <c r="X3674" s="50">
        <v>0.04</v>
      </c>
      <c r="Y3674" s="74">
        <f>0.005/2</f>
        <v>2.5000000000000001E-3</v>
      </c>
      <c r="Z3674" s="165">
        <v>1</v>
      </c>
      <c r="AA3674" s="271">
        <v>1</v>
      </c>
      <c r="AB3674" s="114">
        <v>14</v>
      </c>
      <c r="AC3674" s="50">
        <v>84</v>
      </c>
      <c r="AD3674" s="271">
        <v>1</v>
      </c>
    </row>
    <row r="3675" spans="1:31" ht="15" customHeight="1">
      <c r="A3675" s="404" t="s">
        <v>4668</v>
      </c>
      <c r="B3675" s="386" t="s">
        <v>820</v>
      </c>
      <c r="C3675" s="149" t="s">
        <v>820</v>
      </c>
      <c r="D3675" s="392" t="s">
        <v>78</v>
      </c>
      <c r="E3675" s="394" t="s">
        <v>3347</v>
      </c>
      <c r="F3675" s="386" t="s">
        <v>984</v>
      </c>
      <c r="G3675" s="405" t="s">
        <v>821</v>
      </c>
      <c r="H3675" s="55">
        <v>2759</v>
      </c>
      <c r="I3675" s="54" t="s">
        <v>2</v>
      </c>
      <c r="J3675" s="61" t="s">
        <v>700</v>
      </c>
      <c r="K3675" s="51">
        <v>41345</v>
      </c>
      <c r="L3675" s="173">
        <v>41341</v>
      </c>
      <c r="M3675" s="50">
        <f t="shared" si="224"/>
        <v>4</v>
      </c>
      <c r="N3675" s="50" t="s">
        <v>2</v>
      </c>
      <c r="O3675" s="74">
        <f>1.7/2</f>
        <v>0.85</v>
      </c>
      <c r="P3675" s="50">
        <v>7.56</v>
      </c>
      <c r="Q3675" s="74">
        <v>7.1</v>
      </c>
      <c r="R3675" s="50">
        <v>77</v>
      </c>
      <c r="S3675" s="74">
        <v>42</v>
      </c>
      <c r="T3675" s="50">
        <v>9.5000000000000001E-2</v>
      </c>
      <c r="U3675" s="131">
        <v>2.2999999999999998</v>
      </c>
      <c r="V3675" s="50">
        <v>0.7</v>
      </c>
      <c r="W3675" s="74">
        <v>7.0000000000000001E-3</v>
      </c>
      <c r="X3675" s="50">
        <v>6.0999999999999999E-2</v>
      </c>
      <c r="Y3675" s="74">
        <v>5.1999999999999998E-3</v>
      </c>
      <c r="Z3675" s="165"/>
    </row>
    <row r="3676" spans="1:31" ht="15" customHeight="1">
      <c r="A3676" s="404" t="s">
        <v>4668</v>
      </c>
      <c r="B3676" s="386" t="s">
        <v>542</v>
      </c>
      <c r="C3676" s="149" t="s">
        <v>542</v>
      </c>
      <c r="D3676" s="392" t="s">
        <v>41</v>
      </c>
      <c r="E3676" s="258" t="s">
        <v>42</v>
      </c>
      <c r="F3676" s="64" t="s">
        <v>981</v>
      </c>
      <c r="G3676" s="405" t="s">
        <v>544</v>
      </c>
      <c r="H3676" s="74">
        <v>3724</v>
      </c>
      <c r="I3676" s="50" t="s">
        <v>2</v>
      </c>
      <c r="J3676" s="339" t="s">
        <v>543</v>
      </c>
      <c r="K3676" s="51">
        <v>41073</v>
      </c>
      <c r="L3676" s="173">
        <v>41069</v>
      </c>
      <c r="M3676" s="50">
        <f t="shared" si="224"/>
        <v>4</v>
      </c>
      <c r="N3676" s="50" t="s">
        <v>2</v>
      </c>
      <c r="O3676" s="74">
        <f t="shared" ref="O3676:O3681" si="226">1.4/2</f>
        <v>0.7</v>
      </c>
      <c r="P3676" s="50">
        <v>5.35</v>
      </c>
      <c r="Q3676" s="74">
        <v>5.91</v>
      </c>
      <c r="R3676" s="50">
        <v>13</v>
      </c>
      <c r="S3676" s="74">
        <f>5/2</f>
        <v>2.5</v>
      </c>
      <c r="T3676" s="50">
        <v>0.04</v>
      </c>
      <c r="U3676" s="131">
        <v>0.56999999999999995</v>
      </c>
      <c r="V3676" s="50">
        <v>0.23</v>
      </c>
      <c r="W3676" s="74">
        <f>0.005/2</f>
        <v>2.5000000000000001E-3</v>
      </c>
      <c r="X3676" s="50">
        <v>3.0000000000000001E-3</v>
      </c>
      <c r="Y3676" s="74">
        <f t="shared" ref="Y3676:Y3681" si="227">0.002/2</f>
        <v>1E-3</v>
      </c>
      <c r="Z3676" s="165"/>
    </row>
    <row r="3677" spans="1:31" ht="15" customHeight="1">
      <c r="A3677" s="404" t="s">
        <v>4668</v>
      </c>
      <c r="B3677" s="386" t="s">
        <v>542</v>
      </c>
      <c r="C3677" s="149" t="s">
        <v>542</v>
      </c>
      <c r="D3677" s="392" t="s">
        <v>41</v>
      </c>
      <c r="E3677" s="258" t="s">
        <v>42</v>
      </c>
      <c r="F3677" s="64" t="s">
        <v>981</v>
      </c>
      <c r="G3677" s="405" t="s">
        <v>544</v>
      </c>
      <c r="H3677" s="74">
        <v>3724</v>
      </c>
      <c r="I3677" s="50" t="s">
        <v>2</v>
      </c>
      <c r="J3677" s="339" t="s">
        <v>545</v>
      </c>
      <c r="K3677" s="51">
        <v>41073</v>
      </c>
      <c r="L3677" s="173">
        <v>41069</v>
      </c>
      <c r="M3677" s="50">
        <f t="shared" si="224"/>
        <v>4</v>
      </c>
      <c r="N3677" s="50" t="s">
        <v>2</v>
      </c>
      <c r="O3677" s="74">
        <f t="shared" si="226"/>
        <v>0.7</v>
      </c>
      <c r="P3677" s="50">
        <v>5.35</v>
      </c>
      <c r="Q3677" s="74">
        <v>5.43</v>
      </c>
      <c r="R3677" s="50">
        <v>24</v>
      </c>
      <c r="S3677" s="74">
        <f>5/2</f>
        <v>2.5</v>
      </c>
      <c r="T3677" s="50">
        <f>0.01/2</f>
        <v>5.0000000000000001E-3</v>
      </c>
      <c r="U3677" s="131">
        <v>0.28999999999999998</v>
      </c>
      <c r="V3677" s="50">
        <v>7.0000000000000007E-2</v>
      </c>
      <c r="W3677" s="74">
        <f>0.005/2</f>
        <v>2.5000000000000001E-3</v>
      </c>
      <c r="X3677" s="50">
        <v>3.7999999999999999E-2</v>
      </c>
      <c r="Y3677" s="74">
        <f t="shared" si="227"/>
        <v>1E-3</v>
      </c>
      <c r="Z3677" s="165"/>
    </row>
    <row r="3678" spans="1:31" ht="15" customHeight="1">
      <c r="A3678" s="404" t="s">
        <v>4668</v>
      </c>
      <c r="B3678" s="386" t="s">
        <v>542</v>
      </c>
      <c r="C3678" s="149" t="s">
        <v>542</v>
      </c>
      <c r="D3678" s="392" t="s">
        <v>41</v>
      </c>
      <c r="E3678" s="258" t="s">
        <v>42</v>
      </c>
      <c r="F3678" s="64" t="s">
        <v>981</v>
      </c>
      <c r="G3678" s="405" t="s">
        <v>544</v>
      </c>
      <c r="H3678" s="74">
        <v>3724</v>
      </c>
      <c r="I3678" s="50" t="s">
        <v>2</v>
      </c>
      <c r="J3678" s="339" t="s">
        <v>545</v>
      </c>
      <c r="K3678" s="51">
        <v>41345</v>
      </c>
      <c r="L3678" s="173">
        <v>41345</v>
      </c>
      <c r="M3678" s="50">
        <f t="shared" si="224"/>
        <v>0</v>
      </c>
      <c r="N3678" s="50" t="s">
        <v>2</v>
      </c>
      <c r="O3678" s="74">
        <f t="shared" si="226"/>
        <v>0.7</v>
      </c>
      <c r="P3678" s="50">
        <v>6.94</v>
      </c>
      <c r="Q3678" s="74">
        <v>7.13</v>
      </c>
      <c r="R3678" s="50">
        <v>30</v>
      </c>
      <c r="S3678" s="74">
        <v>27</v>
      </c>
      <c r="T3678" s="50">
        <v>0.15</v>
      </c>
      <c r="U3678" s="131">
        <v>0.5</v>
      </c>
      <c r="V3678" s="50">
        <v>0.08</v>
      </c>
      <c r="W3678" s="74">
        <v>8.9999999999999993E-3</v>
      </c>
      <c r="X3678" s="50">
        <v>4.5999999999999999E-2</v>
      </c>
      <c r="Y3678" s="74">
        <f t="shared" si="227"/>
        <v>1E-3</v>
      </c>
      <c r="Z3678" s="165">
        <v>1</v>
      </c>
      <c r="AA3678" s="271">
        <v>1</v>
      </c>
      <c r="AB3678" s="114">
        <v>22</v>
      </c>
      <c r="AC3678" s="50">
        <v>182</v>
      </c>
      <c r="AD3678" s="271">
        <v>1</v>
      </c>
    </row>
    <row r="3679" spans="1:31" ht="15" customHeight="1">
      <c r="A3679" s="404" t="s">
        <v>4668</v>
      </c>
      <c r="B3679" s="386" t="s">
        <v>542</v>
      </c>
      <c r="C3679" s="149" t="s">
        <v>542</v>
      </c>
      <c r="D3679" s="392" t="s">
        <v>41</v>
      </c>
      <c r="E3679" s="258" t="s">
        <v>42</v>
      </c>
      <c r="F3679" s="64" t="s">
        <v>981</v>
      </c>
      <c r="G3679" s="405" t="s">
        <v>544</v>
      </c>
      <c r="H3679" s="74">
        <v>3724</v>
      </c>
      <c r="I3679" s="50" t="s">
        <v>2</v>
      </c>
      <c r="J3679" s="339" t="s">
        <v>545</v>
      </c>
      <c r="K3679" s="51">
        <v>41345</v>
      </c>
      <c r="L3679" s="173">
        <v>41345</v>
      </c>
      <c r="M3679" s="50">
        <f t="shared" si="224"/>
        <v>0</v>
      </c>
      <c r="N3679" s="50" t="s">
        <v>2</v>
      </c>
      <c r="O3679" s="74">
        <f t="shared" si="226"/>
        <v>0.7</v>
      </c>
      <c r="P3679" s="50">
        <v>6.94</v>
      </c>
      <c r="Q3679" s="74">
        <v>5.2</v>
      </c>
      <c r="R3679" s="50">
        <f>10/2</f>
        <v>5</v>
      </c>
      <c r="S3679" s="74">
        <f>5/2</f>
        <v>2.5</v>
      </c>
      <c r="T3679" s="50">
        <f>0.02/2</f>
        <v>0.01</v>
      </c>
      <c r="U3679" s="131">
        <v>0.24</v>
      </c>
      <c r="V3679" s="50">
        <v>0.11</v>
      </c>
      <c r="W3679" s="74">
        <f>0.005/2</f>
        <v>2.5000000000000001E-3</v>
      </c>
      <c r="X3679" s="50">
        <v>7.0000000000000007E-2</v>
      </c>
      <c r="Y3679" s="74">
        <f t="shared" si="227"/>
        <v>1E-3</v>
      </c>
      <c r="Z3679" s="165">
        <v>1</v>
      </c>
      <c r="AA3679" s="271">
        <v>0.84699999999999998</v>
      </c>
      <c r="AB3679" s="114">
        <v>2</v>
      </c>
      <c r="AC3679" s="50">
        <v>17</v>
      </c>
      <c r="AD3679" s="271">
        <v>0.35</v>
      </c>
    </row>
    <row r="3680" spans="1:31" ht="15" customHeight="1">
      <c r="A3680" s="404" t="s">
        <v>4668</v>
      </c>
      <c r="B3680" s="386" t="s">
        <v>542</v>
      </c>
      <c r="C3680" s="149" t="s">
        <v>542</v>
      </c>
      <c r="D3680" s="392" t="s">
        <v>41</v>
      </c>
      <c r="E3680" s="258" t="s">
        <v>42</v>
      </c>
      <c r="F3680" s="64" t="s">
        <v>981</v>
      </c>
      <c r="G3680" s="405" t="s">
        <v>544</v>
      </c>
      <c r="H3680" s="74">
        <v>3724</v>
      </c>
      <c r="I3680" s="50" t="s">
        <v>2</v>
      </c>
      <c r="J3680" s="339" t="s">
        <v>543</v>
      </c>
      <c r="K3680" s="51">
        <v>41495</v>
      </c>
      <c r="L3680" s="173">
        <v>41490</v>
      </c>
      <c r="M3680" s="50">
        <f t="shared" si="224"/>
        <v>5</v>
      </c>
      <c r="N3680" s="50" t="s">
        <v>2</v>
      </c>
      <c r="O3680" s="74">
        <f t="shared" si="226"/>
        <v>0.7</v>
      </c>
      <c r="P3680" s="50">
        <v>5.45</v>
      </c>
      <c r="Q3680" s="74">
        <v>6.22</v>
      </c>
      <c r="R3680" s="50">
        <v>21</v>
      </c>
      <c r="S3680" s="74">
        <v>10</v>
      </c>
      <c r="T3680" s="50">
        <v>0.04</v>
      </c>
      <c r="U3680" s="131">
        <v>0.48</v>
      </c>
      <c r="V3680" s="50">
        <v>0.06</v>
      </c>
      <c r="W3680" s="74">
        <f>0.005/2</f>
        <v>2.5000000000000001E-3</v>
      </c>
      <c r="X3680" s="50">
        <v>8.0000000000000002E-3</v>
      </c>
      <c r="Y3680" s="74">
        <f t="shared" si="227"/>
        <v>1E-3</v>
      </c>
      <c r="Z3680" s="165"/>
    </row>
    <row r="3681" spans="1:30" ht="15" customHeight="1">
      <c r="A3681" s="404" t="s">
        <v>4668</v>
      </c>
      <c r="B3681" s="386" t="s">
        <v>542</v>
      </c>
      <c r="C3681" s="149" t="s">
        <v>542</v>
      </c>
      <c r="D3681" s="392" t="s">
        <v>41</v>
      </c>
      <c r="E3681" s="258" t="s">
        <v>42</v>
      </c>
      <c r="F3681" s="64" t="s">
        <v>981</v>
      </c>
      <c r="G3681" s="405" t="s">
        <v>544</v>
      </c>
      <c r="H3681" s="74">
        <v>3724</v>
      </c>
      <c r="I3681" s="50" t="s">
        <v>2</v>
      </c>
      <c r="J3681" s="339" t="s">
        <v>545</v>
      </c>
      <c r="K3681" s="51">
        <v>41495</v>
      </c>
      <c r="L3681" s="173">
        <v>41490</v>
      </c>
      <c r="M3681" s="50">
        <f t="shared" si="224"/>
        <v>5</v>
      </c>
      <c r="N3681" s="50" t="s">
        <v>2</v>
      </c>
      <c r="O3681" s="74">
        <f t="shared" si="226"/>
        <v>0.7</v>
      </c>
      <c r="P3681" s="50">
        <v>5.45</v>
      </c>
      <c r="Q3681" s="74">
        <v>5.71</v>
      </c>
      <c r="R3681" s="50">
        <v>10</v>
      </c>
      <c r="S3681" s="74">
        <f>5/2</f>
        <v>2.5</v>
      </c>
      <c r="T3681" s="50">
        <f>0.02/2</f>
        <v>0.01</v>
      </c>
      <c r="U3681" s="131">
        <v>0.22</v>
      </c>
      <c r="V3681" s="50">
        <v>0.08</v>
      </c>
      <c r="W3681" s="74">
        <f>0.005/2</f>
        <v>2.5000000000000001E-3</v>
      </c>
      <c r="X3681" s="50">
        <v>5.8999999999999997E-2</v>
      </c>
      <c r="Y3681" s="74">
        <f t="shared" si="227"/>
        <v>1E-3</v>
      </c>
      <c r="Z3681" s="165"/>
    </row>
    <row r="3682" spans="1:30" ht="15" customHeight="1">
      <c r="A3682" s="404" t="s">
        <v>4668</v>
      </c>
      <c r="B3682" s="402" t="s">
        <v>436</v>
      </c>
      <c r="C3682" s="113" t="s">
        <v>436</v>
      </c>
      <c r="D3682" s="393" t="s">
        <v>347</v>
      </c>
      <c r="E3682" s="394" t="s">
        <v>437</v>
      </c>
      <c r="F3682" s="72">
        <v>1207525</v>
      </c>
      <c r="G3682" s="405" t="s">
        <v>1677</v>
      </c>
      <c r="H3682" s="74">
        <v>3829</v>
      </c>
      <c r="I3682" s="50" t="s">
        <v>2</v>
      </c>
      <c r="J3682" s="339" t="s">
        <v>366</v>
      </c>
      <c r="K3682" s="51">
        <v>41539</v>
      </c>
      <c r="L3682" s="173">
        <v>41529</v>
      </c>
      <c r="M3682" s="50">
        <f t="shared" si="224"/>
        <v>10</v>
      </c>
      <c r="N3682" s="50" t="s">
        <v>2</v>
      </c>
      <c r="O3682" s="74">
        <f>1/2</f>
        <v>0.5</v>
      </c>
      <c r="P3682" s="50">
        <v>5</v>
      </c>
      <c r="Q3682" s="74">
        <v>5.04</v>
      </c>
      <c r="R3682" s="50">
        <v>96.3</v>
      </c>
      <c r="S3682" s="74">
        <v>14</v>
      </c>
      <c r="T3682" s="50">
        <v>0.08</v>
      </c>
      <c r="U3682" s="131">
        <v>1.56</v>
      </c>
      <c r="V3682" s="50">
        <v>1.05</v>
      </c>
      <c r="W3682" s="74">
        <v>2.4E-2</v>
      </c>
      <c r="X3682" s="50">
        <v>0.45</v>
      </c>
      <c r="Y3682" s="74">
        <v>8.0000000000000002E-3</v>
      </c>
      <c r="Z3682" s="165"/>
    </row>
    <row r="3683" spans="1:30" ht="15" customHeight="1">
      <c r="A3683" s="404" t="s">
        <v>4668</v>
      </c>
      <c r="B3683" s="385" t="s">
        <v>4402</v>
      </c>
      <c r="C3683" s="18" t="s">
        <v>4402</v>
      </c>
      <c r="D3683" s="393" t="s">
        <v>372</v>
      </c>
      <c r="E3683" s="20" t="s">
        <v>309</v>
      </c>
      <c r="F3683" s="402">
        <v>6914</v>
      </c>
      <c r="G3683" s="405" t="s">
        <v>4403</v>
      </c>
      <c r="H3683" s="74">
        <v>3679</v>
      </c>
      <c r="I3683" s="7" t="s">
        <v>2</v>
      </c>
      <c r="J3683" s="344" t="s">
        <v>1030</v>
      </c>
      <c r="K3683" s="51">
        <v>40996</v>
      </c>
      <c r="L3683" s="173">
        <v>40993</v>
      </c>
      <c r="M3683" s="50">
        <f t="shared" si="224"/>
        <v>3</v>
      </c>
      <c r="N3683" s="50" t="s">
        <v>2</v>
      </c>
      <c r="O3683" s="74">
        <f>1.7/2</f>
        <v>0.85</v>
      </c>
      <c r="P3683" s="50">
        <v>6.96</v>
      </c>
      <c r="Q3683" s="74">
        <v>6.87</v>
      </c>
      <c r="R3683" s="50">
        <f>20/2</f>
        <v>10</v>
      </c>
      <c r="S3683" s="74">
        <v>22</v>
      </c>
      <c r="T3683" s="50">
        <v>2.7E-2</v>
      </c>
      <c r="U3683" s="131">
        <f>1/2</f>
        <v>0.5</v>
      </c>
      <c r="V3683" s="50">
        <f>0.46/2</f>
        <v>0.23</v>
      </c>
      <c r="W3683" s="74">
        <v>1.4999999999999999E-2</v>
      </c>
      <c r="X3683" s="50">
        <v>9.6000000000000002E-2</v>
      </c>
      <c r="Y3683" s="74">
        <v>1.0800000000000001E-2</v>
      </c>
      <c r="Z3683" s="165"/>
    </row>
    <row r="3684" spans="1:30" ht="15" customHeight="1">
      <c r="A3684" s="404" t="s">
        <v>4668</v>
      </c>
      <c r="B3684" s="385" t="s">
        <v>4402</v>
      </c>
      <c r="C3684" s="18" t="s">
        <v>4402</v>
      </c>
      <c r="D3684" s="393" t="s">
        <v>372</v>
      </c>
      <c r="E3684" s="20" t="s">
        <v>309</v>
      </c>
      <c r="F3684" s="402">
        <v>6914</v>
      </c>
      <c r="G3684" s="405" t="s">
        <v>4403</v>
      </c>
      <c r="H3684" s="74">
        <v>3679</v>
      </c>
      <c r="I3684" s="7" t="s">
        <v>2</v>
      </c>
      <c r="J3684" s="344" t="s">
        <v>1030</v>
      </c>
      <c r="K3684" s="51">
        <v>41364</v>
      </c>
      <c r="L3684" s="173">
        <v>41352</v>
      </c>
      <c r="M3684" s="50">
        <f t="shared" si="224"/>
        <v>12</v>
      </c>
      <c r="N3684" s="50" t="s">
        <v>2</v>
      </c>
      <c r="O3684" s="74">
        <f>1.6/2</f>
        <v>0.8</v>
      </c>
      <c r="P3684" s="50">
        <v>4.3</v>
      </c>
      <c r="R3684" s="50">
        <v>55</v>
      </c>
      <c r="S3684" s="74">
        <v>142</v>
      </c>
      <c r="T3684" s="50">
        <v>0.14000000000000001</v>
      </c>
      <c r="U3684" s="131">
        <v>2.5</v>
      </c>
      <c r="V3684" s="50">
        <f>0.46/2</f>
        <v>0.23</v>
      </c>
      <c r="W3684" s="74">
        <v>2.5999999999999999E-2</v>
      </c>
      <c r="X3684" s="50">
        <v>7.0000000000000007E-2</v>
      </c>
      <c r="Y3684" s="74">
        <v>7.1999999999999998E-3</v>
      </c>
      <c r="Z3684" s="165"/>
    </row>
    <row r="3685" spans="1:30" ht="15" customHeight="1">
      <c r="A3685" s="404" t="s">
        <v>4668</v>
      </c>
      <c r="B3685" s="402" t="s">
        <v>1950</v>
      </c>
      <c r="C3685" s="113" t="s">
        <v>6228</v>
      </c>
      <c r="D3685" s="393" t="s">
        <v>314</v>
      </c>
      <c r="E3685" s="394" t="s">
        <v>467</v>
      </c>
      <c r="F3685" s="402">
        <v>4500</v>
      </c>
      <c r="G3685" s="405" t="s">
        <v>1951</v>
      </c>
      <c r="H3685" s="74">
        <v>3724</v>
      </c>
      <c r="I3685" s="50" t="s">
        <v>2</v>
      </c>
      <c r="J3685" s="48" t="s">
        <v>1952</v>
      </c>
      <c r="K3685" s="51">
        <v>41131</v>
      </c>
      <c r="L3685" s="173">
        <v>41126</v>
      </c>
      <c r="M3685" s="50">
        <f t="shared" si="224"/>
        <v>5</v>
      </c>
      <c r="N3685" s="50" t="s">
        <v>2</v>
      </c>
      <c r="O3685" s="74">
        <v>2</v>
      </c>
      <c r="P3685" s="50">
        <v>6.2</v>
      </c>
      <c r="Q3685" s="74">
        <v>6.19</v>
      </c>
      <c r="R3685" s="50">
        <v>87</v>
      </c>
      <c r="S3685" s="74">
        <v>95</v>
      </c>
      <c r="T3685" s="50">
        <v>0.32</v>
      </c>
      <c r="U3685" s="131">
        <v>1.96</v>
      </c>
      <c r="V3685" s="50">
        <v>0.35</v>
      </c>
      <c r="W3685" s="74">
        <v>4.4999999999999998E-2</v>
      </c>
      <c r="X3685" s="50">
        <v>0.13400000000000001</v>
      </c>
      <c r="Y3685" s="74">
        <v>6.0000000000000001E-3</v>
      </c>
      <c r="Z3685" s="165">
        <v>1</v>
      </c>
      <c r="AA3685" s="271">
        <v>1</v>
      </c>
      <c r="AB3685" s="114">
        <v>4</v>
      </c>
      <c r="AC3685" s="50">
        <v>26</v>
      </c>
      <c r="AD3685" s="271">
        <v>1</v>
      </c>
    </row>
    <row r="3686" spans="1:30" ht="15" customHeight="1">
      <c r="A3686" s="404" t="s">
        <v>4668</v>
      </c>
      <c r="B3686" s="402" t="s">
        <v>1950</v>
      </c>
      <c r="C3686" s="113" t="s">
        <v>6228</v>
      </c>
      <c r="D3686" s="393" t="s">
        <v>314</v>
      </c>
      <c r="E3686" s="394" t="s">
        <v>467</v>
      </c>
      <c r="F3686" s="402">
        <v>4500</v>
      </c>
      <c r="G3686" s="405" t="s">
        <v>1951</v>
      </c>
      <c r="H3686" s="113">
        <v>3724</v>
      </c>
      <c r="I3686" s="49" t="s">
        <v>2</v>
      </c>
      <c r="J3686" s="48" t="s">
        <v>1125</v>
      </c>
      <c r="K3686" s="51">
        <v>41131</v>
      </c>
      <c r="L3686" s="173">
        <v>41126</v>
      </c>
      <c r="M3686" s="50">
        <f t="shared" si="224"/>
        <v>5</v>
      </c>
      <c r="N3686" s="50" t="s">
        <v>2</v>
      </c>
      <c r="O3686" s="74">
        <v>1.9</v>
      </c>
      <c r="P3686" s="50">
        <v>6.2</v>
      </c>
      <c r="Q3686" s="74">
        <v>6.7</v>
      </c>
      <c r="R3686" s="50">
        <v>130</v>
      </c>
      <c r="S3686" s="74">
        <v>70</v>
      </c>
      <c r="T3686" s="50">
        <v>0.25</v>
      </c>
      <c r="U3686" s="131">
        <v>4.37</v>
      </c>
      <c r="V3686" s="50">
        <v>0.82</v>
      </c>
      <c r="W3686" s="74">
        <v>3.1E-2</v>
      </c>
      <c r="X3686" s="50">
        <v>1.25</v>
      </c>
      <c r="Y3686" s="74">
        <v>8.9999999999999993E-3</v>
      </c>
      <c r="Z3686" s="165">
        <v>1</v>
      </c>
      <c r="AA3686" s="271">
        <v>0.41599999999999998</v>
      </c>
      <c r="AB3686" s="114">
        <v>8</v>
      </c>
      <c r="AC3686" s="50">
        <v>58</v>
      </c>
      <c r="AD3686" s="271">
        <v>0</v>
      </c>
    </row>
    <row r="3687" spans="1:30" ht="15" customHeight="1">
      <c r="A3687" s="404" t="s">
        <v>4668</v>
      </c>
      <c r="B3687" s="402" t="s">
        <v>1950</v>
      </c>
      <c r="C3687" s="113" t="s">
        <v>6228</v>
      </c>
      <c r="D3687" s="393" t="s">
        <v>314</v>
      </c>
      <c r="E3687" s="394" t="s">
        <v>467</v>
      </c>
      <c r="F3687" s="402">
        <v>4500</v>
      </c>
      <c r="G3687" s="405" t="s">
        <v>1951</v>
      </c>
      <c r="H3687" s="113">
        <v>3724</v>
      </c>
      <c r="I3687" s="49" t="s">
        <v>2</v>
      </c>
      <c r="J3687" s="48" t="s">
        <v>1125</v>
      </c>
      <c r="K3687" s="51">
        <v>41428</v>
      </c>
      <c r="L3687" s="173">
        <v>41423</v>
      </c>
      <c r="M3687" s="50">
        <f t="shared" si="224"/>
        <v>5</v>
      </c>
      <c r="N3687" s="50" t="s">
        <v>2</v>
      </c>
      <c r="O3687" s="74">
        <f>1.4/2</f>
        <v>0.7</v>
      </c>
      <c r="P3687" s="50">
        <v>6.9</v>
      </c>
      <c r="Q3687" s="74">
        <v>6.63</v>
      </c>
      <c r="R3687" s="50">
        <v>32</v>
      </c>
      <c r="S3687" s="74">
        <v>22</v>
      </c>
      <c r="T3687" s="50">
        <v>7.0000000000000007E-2</v>
      </c>
      <c r="U3687" s="131">
        <v>0.73</v>
      </c>
      <c r="V3687" s="50">
        <v>0.11</v>
      </c>
      <c r="W3687" s="74">
        <v>8.0000000000000002E-3</v>
      </c>
      <c r="X3687" s="50">
        <v>0.54100000000000004</v>
      </c>
      <c r="Y3687" s="74">
        <v>2E-3</v>
      </c>
      <c r="Z3687" s="165"/>
    </row>
    <row r="3688" spans="1:30" ht="15" customHeight="1">
      <c r="A3688" s="404" t="s">
        <v>4668</v>
      </c>
      <c r="B3688" s="402" t="s">
        <v>1950</v>
      </c>
      <c r="C3688" s="113" t="s">
        <v>6228</v>
      </c>
      <c r="D3688" s="393" t="s">
        <v>314</v>
      </c>
      <c r="E3688" s="394" t="s">
        <v>467</v>
      </c>
      <c r="F3688" s="402">
        <v>4500</v>
      </c>
      <c r="G3688" s="405" t="s">
        <v>1951</v>
      </c>
      <c r="H3688" s="113">
        <v>3724</v>
      </c>
      <c r="I3688" s="49" t="s">
        <v>2</v>
      </c>
      <c r="J3688" s="48" t="s">
        <v>1952</v>
      </c>
      <c r="K3688" s="51">
        <v>41428</v>
      </c>
      <c r="L3688" s="173">
        <v>41423</v>
      </c>
      <c r="M3688" s="50">
        <f t="shared" si="224"/>
        <v>5</v>
      </c>
      <c r="N3688" s="50" t="s">
        <v>2</v>
      </c>
      <c r="O3688" s="74">
        <f>1.4/2</f>
        <v>0.7</v>
      </c>
      <c r="P3688" s="50">
        <v>6.9</v>
      </c>
      <c r="Q3688" s="74">
        <v>6.76</v>
      </c>
      <c r="R3688" s="50">
        <v>27</v>
      </c>
      <c r="S3688" s="74">
        <v>36</v>
      </c>
      <c r="T3688" s="50">
        <v>0.15</v>
      </c>
      <c r="U3688" s="131">
        <v>1.07</v>
      </c>
      <c r="V3688" s="50">
        <v>0.12</v>
      </c>
      <c r="W3688" s="74">
        <v>1.4999999999999999E-2</v>
      </c>
      <c r="X3688" s="50">
        <v>5.2999999999999999E-2</v>
      </c>
      <c r="Y3688" s="74">
        <v>3.0000000000000001E-3</v>
      </c>
      <c r="Z3688" s="165"/>
    </row>
    <row r="3689" spans="1:30" ht="15" customHeight="1">
      <c r="A3689" s="404" t="s">
        <v>4668</v>
      </c>
      <c r="B3689" s="402" t="s">
        <v>3725</v>
      </c>
      <c r="C3689" s="113" t="s">
        <v>3726</v>
      </c>
      <c r="D3689" s="393" t="s">
        <v>684</v>
      </c>
      <c r="E3689" s="394" t="s">
        <v>2115</v>
      </c>
      <c r="G3689" s="405" t="s">
        <v>3607</v>
      </c>
      <c r="H3689" s="74">
        <v>4111</v>
      </c>
      <c r="I3689" s="50" t="s">
        <v>2</v>
      </c>
      <c r="J3689" s="76" t="s">
        <v>510</v>
      </c>
      <c r="K3689" s="51">
        <v>41264</v>
      </c>
      <c r="L3689" s="173">
        <v>41261</v>
      </c>
      <c r="M3689" s="50">
        <f t="shared" si="224"/>
        <v>3</v>
      </c>
      <c r="O3689" s="74">
        <v>3</v>
      </c>
      <c r="P3689" s="50">
        <v>5.55</v>
      </c>
      <c r="Q3689" s="74">
        <v>6.74</v>
      </c>
      <c r="R3689" s="50">
        <v>19</v>
      </c>
      <c r="S3689" s="74">
        <v>270</v>
      </c>
      <c r="T3689" s="50">
        <v>0.14000000000000001</v>
      </c>
      <c r="U3689" s="131">
        <v>0.61</v>
      </c>
      <c r="V3689" s="50">
        <v>0.47</v>
      </c>
      <c r="W3689" s="74">
        <v>0.05</v>
      </c>
      <c r="X3689" s="50">
        <v>0.29599999999999999</v>
      </c>
      <c r="Y3689" s="74">
        <v>8.2000000000000003E-2</v>
      </c>
      <c r="Z3689" s="165">
        <v>1</v>
      </c>
      <c r="AA3689" s="271">
        <v>1</v>
      </c>
      <c r="AB3689" s="114">
        <v>10</v>
      </c>
      <c r="AC3689" s="50">
        <v>42</v>
      </c>
      <c r="AD3689" s="271">
        <v>1</v>
      </c>
    </row>
    <row r="3690" spans="1:30" ht="15" customHeight="1">
      <c r="A3690" s="404" t="s">
        <v>4668</v>
      </c>
      <c r="B3690" s="402" t="s">
        <v>3725</v>
      </c>
      <c r="C3690" s="113" t="s">
        <v>3726</v>
      </c>
      <c r="D3690" s="393" t="s">
        <v>684</v>
      </c>
      <c r="E3690" s="394" t="s">
        <v>2115</v>
      </c>
      <c r="G3690" s="405" t="s">
        <v>3607</v>
      </c>
      <c r="H3690" s="74">
        <v>4111</v>
      </c>
      <c r="I3690" s="50" t="s">
        <v>2</v>
      </c>
      <c r="J3690" s="76" t="s">
        <v>510</v>
      </c>
      <c r="K3690" s="51">
        <v>41529</v>
      </c>
      <c r="L3690" s="173">
        <v>41519</v>
      </c>
      <c r="M3690" s="50">
        <f t="shared" si="224"/>
        <v>10</v>
      </c>
      <c r="N3690" s="50" t="s">
        <v>2</v>
      </c>
      <c r="O3690" s="74">
        <f>1.4/2</f>
        <v>0.7</v>
      </c>
      <c r="P3690" s="50">
        <v>7.08</v>
      </c>
      <c r="Q3690" s="74">
        <v>6.98</v>
      </c>
      <c r="R3690" s="50">
        <v>21</v>
      </c>
      <c r="S3690" s="74">
        <v>130</v>
      </c>
      <c r="T3690" s="50">
        <v>0.49</v>
      </c>
      <c r="U3690" s="131">
        <v>1.02</v>
      </c>
      <c r="V3690" s="50">
        <v>0.34</v>
      </c>
      <c r="W3690" s="74">
        <v>5.8999999999999997E-2</v>
      </c>
      <c r="X3690" s="50">
        <v>0.47099999999999997</v>
      </c>
      <c r="Y3690" s="74">
        <v>9.9000000000000005E-2</v>
      </c>
      <c r="Z3690" s="165"/>
    </row>
    <row r="3691" spans="1:30" ht="15" customHeight="1">
      <c r="A3691" s="404" t="s">
        <v>4668</v>
      </c>
      <c r="B3691" s="402" t="s">
        <v>6229</v>
      </c>
      <c r="C3691" s="113" t="s">
        <v>6230</v>
      </c>
      <c r="D3691" s="393" t="s">
        <v>347</v>
      </c>
      <c r="E3691" s="394" t="s">
        <v>3249</v>
      </c>
      <c r="F3691" s="402">
        <v>5205</v>
      </c>
      <c r="G3691" s="405" t="s">
        <v>6231</v>
      </c>
      <c r="H3691" s="74"/>
      <c r="I3691" s="50" t="s">
        <v>2</v>
      </c>
      <c r="J3691" s="339" t="s">
        <v>6232</v>
      </c>
      <c r="K3691" s="51">
        <v>41044</v>
      </c>
      <c r="L3691" s="173"/>
      <c r="N3691" s="50" t="s">
        <v>2</v>
      </c>
      <c r="O3691" s="74">
        <f>1/2</f>
        <v>0.5</v>
      </c>
      <c r="Q3691" s="74">
        <v>6.52</v>
      </c>
      <c r="R3691" s="50">
        <v>18.7</v>
      </c>
      <c r="S3691" s="74">
        <v>11</v>
      </c>
      <c r="T3691" s="50">
        <v>0.1</v>
      </c>
      <c r="U3691" s="131">
        <v>0.64</v>
      </c>
      <c r="V3691" s="50">
        <v>0.22</v>
      </c>
      <c r="W3691" s="74">
        <v>6.0000000000000001E-3</v>
      </c>
      <c r="X3691" s="50">
        <v>4.7E-2</v>
      </c>
      <c r="Y3691" s="74">
        <v>3.0000000000000001E-3</v>
      </c>
      <c r="Z3691" s="165"/>
      <c r="AB3691" s="114">
        <v>17.29</v>
      </c>
    </row>
    <row r="3692" spans="1:30" ht="15" customHeight="1">
      <c r="A3692" s="404" t="s">
        <v>4668</v>
      </c>
      <c r="B3692" s="402" t="s">
        <v>6229</v>
      </c>
      <c r="C3692" s="113" t="s">
        <v>6230</v>
      </c>
      <c r="D3692" s="393" t="s">
        <v>347</v>
      </c>
      <c r="E3692" s="394" t="s">
        <v>3249</v>
      </c>
      <c r="F3692" s="402">
        <v>5205</v>
      </c>
      <c r="G3692" s="405" t="s">
        <v>6231</v>
      </c>
      <c r="H3692" s="74"/>
      <c r="I3692" s="50" t="s">
        <v>2</v>
      </c>
      <c r="J3692" s="339" t="s">
        <v>6232</v>
      </c>
      <c r="K3692" s="51">
        <v>40835</v>
      </c>
      <c r="L3692" s="173"/>
      <c r="N3692" s="50" t="s">
        <v>2</v>
      </c>
      <c r="O3692" s="74">
        <f>1/2</f>
        <v>0.5</v>
      </c>
      <c r="Q3692" s="74">
        <v>7.19</v>
      </c>
      <c r="R3692" s="50">
        <f>1/2</f>
        <v>0.5</v>
      </c>
      <c r="S3692" s="74">
        <v>1</v>
      </c>
      <c r="T3692" s="50">
        <f>0.05/2</f>
        <v>2.5000000000000001E-2</v>
      </c>
      <c r="U3692" s="131">
        <v>0.56000000000000005</v>
      </c>
      <c r="V3692" s="50">
        <f>0.1/2</f>
        <v>0.05</v>
      </c>
      <c r="W3692" s="74">
        <v>6.0000000000000001E-3</v>
      </c>
      <c r="X3692" s="50">
        <v>2.5999999999999999E-2</v>
      </c>
      <c r="Y3692" s="74">
        <f>0.002/2</f>
        <v>1E-3</v>
      </c>
      <c r="Z3692" s="165">
        <v>1</v>
      </c>
      <c r="AA3692" s="271">
        <v>1</v>
      </c>
      <c r="AB3692" s="114">
        <v>13.44</v>
      </c>
      <c r="AC3692" s="50">
        <v>46</v>
      </c>
      <c r="AD3692" s="271">
        <v>1</v>
      </c>
    </row>
    <row r="3693" spans="1:30" ht="15" customHeight="1">
      <c r="A3693" s="404" t="s">
        <v>4668</v>
      </c>
      <c r="B3693" s="402" t="s">
        <v>6229</v>
      </c>
      <c r="C3693" s="113" t="s">
        <v>6233</v>
      </c>
      <c r="D3693" s="393" t="s">
        <v>156</v>
      </c>
      <c r="F3693" s="402">
        <v>4600</v>
      </c>
      <c r="G3693" s="405" t="s">
        <v>6234</v>
      </c>
      <c r="H3693" s="74"/>
      <c r="I3693" s="50" t="s">
        <v>2</v>
      </c>
      <c r="J3693" s="339" t="s">
        <v>6232</v>
      </c>
      <c r="K3693" s="51">
        <v>41073</v>
      </c>
      <c r="L3693" s="173"/>
      <c r="N3693" s="50" t="s">
        <v>2</v>
      </c>
      <c r="O3693" s="74">
        <v>1.2</v>
      </c>
      <c r="Q3693" s="74">
        <v>6.13</v>
      </c>
      <c r="R3693" s="50">
        <v>15</v>
      </c>
      <c r="S3693" s="74">
        <v>15</v>
      </c>
      <c r="T3693" s="50">
        <v>0.31</v>
      </c>
      <c r="U3693" s="131">
        <v>0.74</v>
      </c>
      <c r="V3693" s="50">
        <f>0.1/2</f>
        <v>0.05</v>
      </c>
      <c r="W3693" s="74">
        <v>7.0000000000000001E-3</v>
      </c>
      <c r="X3693" s="50">
        <v>1.4E-2</v>
      </c>
      <c r="Y3693" s="74">
        <v>2E-3</v>
      </c>
      <c r="Z3693" s="165"/>
      <c r="AB3693" s="114">
        <v>5.03</v>
      </c>
    </row>
    <row r="3694" spans="1:30" ht="15" customHeight="1">
      <c r="A3694" s="404" t="s">
        <v>4668</v>
      </c>
      <c r="B3694" s="402" t="s">
        <v>6229</v>
      </c>
      <c r="C3694" s="113" t="s">
        <v>6233</v>
      </c>
      <c r="D3694" s="393" t="s">
        <v>156</v>
      </c>
      <c r="F3694" s="402">
        <v>4600</v>
      </c>
      <c r="G3694" s="405" t="s">
        <v>6234</v>
      </c>
      <c r="H3694" s="74"/>
      <c r="I3694" s="50" t="s">
        <v>2</v>
      </c>
      <c r="J3694" s="339" t="s">
        <v>6232</v>
      </c>
      <c r="K3694" s="51">
        <v>40835</v>
      </c>
      <c r="L3694" s="173"/>
      <c r="N3694" s="50" t="s">
        <v>2</v>
      </c>
      <c r="O3694" s="74">
        <f>1/2</f>
        <v>0.5</v>
      </c>
      <c r="Q3694" s="74">
        <v>6.45</v>
      </c>
      <c r="R3694" s="50">
        <v>7.5</v>
      </c>
      <c r="S3694" s="74">
        <v>3</v>
      </c>
      <c r="T3694" s="50">
        <f>0.05/2</f>
        <v>2.5000000000000001E-2</v>
      </c>
      <c r="U3694" s="131">
        <v>1.24</v>
      </c>
      <c r="V3694" s="50">
        <f>0.1/2</f>
        <v>0.05</v>
      </c>
      <c r="W3694" s="74">
        <v>6.0000000000000001E-3</v>
      </c>
      <c r="X3694" s="50">
        <v>2.1999999999999999E-2</v>
      </c>
      <c r="Y3694" s="74">
        <v>2E-3</v>
      </c>
      <c r="Z3694" s="165">
        <v>1</v>
      </c>
      <c r="AA3694" s="271">
        <v>1</v>
      </c>
      <c r="AB3694" s="114">
        <v>4.2</v>
      </c>
      <c r="AC3694" s="50">
        <v>13</v>
      </c>
      <c r="AD3694" s="271">
        <v>1</v>
      </c>
    </row>
    <row r="3695" spans="1:30" ht="15" customHeight="1">
      <c r="A3695" s="404" t="s">
        <v>4668</v>
      </c>
      <c r="B3695" s="402" t="s">
        <v>6229</v>
      </c>
      <c r="C3695" s="113" t="s">
        <v>6233</v>
      </c>
      <c r="D3695" s="393" t="s">
        <v>156</v>
      </c>
      <c r="F3695" s="402">
        <v>4600</v>
      </c>
      <c r="G3695" s="405" t="s">
        <v>6234</v>
      </c>
      <c r="H3695" s="74"/>
      <c r="I3695" s="50" t="s">
        <v>2</v>
      </c>
      <c r="J3695" s="339" t="s">
        <v>6232</v>
      </c>
      <c r="K3695" s="51">
        <v>41438</v>
      </c>
      <c r="L3695" s="173"/>
      <c r="N3695" s="50" t="s">
        <v>2</v>
      </c>
      <c r="O3695" s="74">
        <f>1/2</f>
        <v>0.5</v>
      </c>
      <c r="Q3695" s="74">
        <v>6.63</v>
      </c>
      <c r="R3695" s="50">
        <v>7.5</v>
      </c>
      <c r="S3695" s="74">
        <v>8</v>
      </c>
      <c r="T3695" s="50">
        <v>1.67</v>
      </c>
      <c r="U3695" s="131">
        <f>0.1/2</f>
        <v>0.05</v>
      </c>
      <c r="V3695" s="50">
        <v>0.25</v>
      </c>
      <c r="W3695" s="74">
        <f>0.005/2</f>
        <v>2.5000000000000001E-3</v>
      </c>
      <c r="X3695" s="50">
        <v>1.2999999999999999E-2</v>
      </c>
      <c r="Y3695" s="74">
        <f>0.002/2</f>
        <v>1E-3</v>
      </c>
      <c r="Z3695" s="165">
        <v>1</v>
      </c>
      <c r="AA3695" s="271">
        <v>1</v>
      </c>
      <c r="AB3695" s="114">
        <v>4.5199999999999996</v>
      </c>
      <c r="AC3695" s="50">
        <v>54.2</v>
      </c>
      <c r="AD3695" s="271">
        <v>1</v>
      </c>
    </row>
    <row r="3696" spans="1:30" ht="15" customHeight="1">
      <c r="A3696" s="404" t="s">
        <v>4668</v>
      </c>
      <c r="B3696" s="402" t="s">
        <v>6229</v>
      </c>
      <c r="C3696" s="113" t="s">
        <v>6230</v>
      </c>
      <c r="D3696" s="393" t="s">
        <v>347</v>
      </c>
      <c r="E3696" s="394" t="s">
        <v>3249</v>
      </c>
      <c r="F3696" s="402">
        <v>5205</v>
      </c>
      <c r="G3696" s="405" t="s">
        <v>6231</v>
      </c>
      <c r="H3696" s="74"/>
      <c r="I3696" s="50" t="s">
        <v>2</v>
      </c>
      <c r="J3696" s="339" t="s">
        <v>6232</v>
      </c>
      <c r="K3696" s="51">
        <v>41438</v>
      </c>
      <c r="L3696" s="173">
        <v>41438</v>
      </c>
      <c r="M3696" s="50">
        <f t="shared" si="224"/>
        <v>0</v>
      </c>
      <c r="N3696" s="50" t="s">
        <v>2</v>
      </c>
      <c r="O3696" s="74">
        <v>1.2</v>
      </c>
      <c r="Q3696" s="74">
        <v>7.25</v>
      </c>
      <c r="R3696" s="50">
        <v>11.3</v>
      </c>
      <c r="S3696" s="74">
        <v>173</v>
      </c>
      <c r="T3696" s="50">
        <f>0.05/2</f>
        <v>2.5000000000000001E-2</v>
      </c>
      <c r="U3696" s="131">
        <v>0.23</v>
      </c>
      <c r="V3696" s="50">
        <v>0.37</v>
      </c>
      <c r="W3696" s="74">
        <v>0.01</v>
      </c>
      <c r="X3696" s="50">
        <v>0.108</v>
      </c>
      <c r="Y3696" s="74">
        <v>4.0000000000000001E-3</v>
      </c>
      <c r="Z3696" s="165">
        <v>1</v>
      </c>
      <c r="AA3696" s="271">
        <v>1</v>
      </c>
      <c r="AB3696" s="114">
        <v>17.18</v>
      </c>
      <c r="AC3696" s="50">
        <v>32</v>
      </c>
      <c r="AD3696" s="271">
        <v>1</v>
      </c>
    </row>
    <row r="3697" spans="1:32" ht="15" customHeight="1">
      <c r="A3697" s="404" t="s">
        <v>4668</v>
      </c>
      <c r="B3697" s="385" t="s">
        <v>4207</v>
      </c>
      <c r="C3697" s="18" t="s">
        <v>1055</v>
      </c>
      <c r="D3697" s="377" t="s">
        <v>205</v>
      </c>
      <c r="E3697" s="20" t="s">
        <v>4208</v>
      </c>
      <c r="G3697" s="405" t="s">
        <v>1057</v>
      </c>
      <c r="H3697" s="74">
        <v>3221</v>
      </c>
      <c r="I3697" s="50" t="s">
        <v>1</v>
      </c>
      <c r="J3697" s="339" t="s">
        <v>130</v>
      </c>
      <c r="K3697" s="51">
        <v>41579</v>
      </c>
      <c r="L3697" s="173">
        <v>41566</v>
      </c>
      <c r="M3697" s="50">
        <f t="shared" si="224"/>
        <v>13</v>
      </c>
      <c r="N3697" s="50" t="s">
        <v>2</v>
      </c>
      <c r="R3697" s="50">
        <v>25.6</v>
      </c>
      <c r="S3697" s="74">
        <v>25</v>
      </c>
      <c r="T3697" s="50">
        <v>0.24</v>
      </c>
      <c r="U3697" s="131">
        <v>0.94</v>
      </c>
      <c r="Z3697" s="165"/>
    </row>
    <row r="3698" spans="1:32" ht="15" customHeight="1">
      <c r="A3698" s="404" t="s">
        <v>4668</v>
      </c>
      <c r="B3698" s="385" t="s">
        <v>4207</v>
      </c>
      <c r="C3698" s="18" t="s">
        <v>1055</v>
      </c>
      <c r="D3698" s="377" t="s">
        <v>205</v>
      </c>
      <c r="E3698" s="20" t="s">
        <v>4208</v>
      </c>
      <c r="G3698" s="405" t="s">
        <v>1057</v>
      </c>
      <c r="H3698" s="74">
        <v>3221</v>
      </c>
      <c r="I3698" s="50" t="s">
        <v>1</v>
      </c>
      <c r="J3698" s="339" t="s">
        <v>130</v>
      </c>
      <c r="K3698" s="51">
        <v>41157</v>
      </c>
      <c r="L3698" s="173">
        <v>41153</v>
      </c>
      <c r="M3698" s="50">
        <f t="shared" si="224"/>
        <v>4</v>
      </c>
      <c r="N3698" s="50" t="s">
        <v>2</v>
      </c>
      <c r="O3698" s="74">
        <f>1/2</f>
        <v>0.5</v>
      </c>
      <c r="P3698" s="50">
        <v>6.5</v>
      </c>
      <c r="Q3698" s="74">
        <v>7.2</v>
      </c>
      <c r="R3698" s="50">
        <v>11.3</v>
      </c>
      <c r="S3698" s="74">
        <f>1/2</f>
        <v>0.5</v>
      </c>
      <c r="T3698" s="50">
        <v>7.0000000000000007E-2</v>
      </c>
      <c r="U3698" s="131">
        <v>0.41</v>
      </c>
      <c r="V3698" s="50">
        <v>0.76</v>
      </c>
      <c r="W3698" s="74">
        <f>0.005/2</f>
        <v>2.5000000000000001E-3</v>
      </c>
      <c r="X3698" s="50">
        <v>0.01</v>
      </c>
      <c r="Y3698" s="74">
        <f>0.002/2</f>
        <v>1E-3</v>
      </c>
      <c r="Z3698" s="165"/>
    </row>
    <row r="3699" spans="1:32" ht="15" customHeight="1">
      <c r="A3699" s="404" t="s">
        <v>4668</v>
      </c>
      <c r="B3699" s="385" t="s">
        <v>4207</v>
      </c>
      <c r="C3699" s="18" t="s">
        <v>1055</v>
      </c>
      <c r="D3699" s="377" t="s">
        <v>205</v>
      </c>
      <c r="E3699" s="20" t="s">
        <v>4208</v>
      </c>
      <c r="G3699" s="405" t="s">
        <v>1057</v>
      </c>
      <c r="H3699" s="74">
        <v>3221</v>
      </c>
      <c r="I3699" s="50" t="s">
        <v>1</v>
      </c>
      <c r="J3699" s="339" t="s">
        <v>130</v>
      </c>
      <c r="K3699" s="51">
        <v>41259</v>
      </c>
      <c r="L3699" s="173">
        <v>41252</v>
      </c>
      <c r="M3699" s="50">
        <f t="shared" si="224"/>
        <v>7</v>
      </c>
      <c r="N3699" s="50" t="s">
        <v>2</v>
      </c>
      <c r="O3699" s="74">
        <f>1/2</f>
        <v>0.5</v>
      </c>
      <c r="P3699" s="50">
        <v>6.9</v>
      </c>
      <c r="Q3699" s="74">
        <v>8.5</v>
      </c>
      <c r="R3699" s="50">
        <v>110.1</v>
      </c>
      <c r="S3699" s="74">
        <v>151</v>
      </c>
      <c r="T3699" s="50">
        <v>0.62</v>
      </c>
      <c r="U3699" s="131">
        <f>0.1/2</f>
        <v>0.05</v>
      </c>
      <c r="V3699" s="50">
        <f>0.1/2</f>
        <v>0.05</v>
      </c>
      <c r="W3699" s="74">
        <v>2.1999999999999999E-2</v>
      </c>
      <c r="X3699" s="50" t="s">
        <v>6235</v>
      </c>
      <c r="Y3699" s="74">
        <v>5.0000000000000001E-3</v>
      </c>
      <c r="Z3699" s="165">
        <v>1</v>
      </c>
      <c r="AA3699" s="271">
        <v>1</v>
      </c>
      <c r="AB3699" s="114">
        <v>29.68</v>
      </c>
      <c r="AC3699" s="50">
        <v>370</v>
      </c>
      <c r="AD3699" s="271">
        <v>0.9</v>
      </c>
    </row>
    <row r="3700" spans="1:32" ht="15" customHeight="1">
      <c r="A3700" s="404" t="s">
        <v>4668</v>
      </c>
      <c r="B3700" s="386" t="s">
        <v>666</v>
      </c>
      <c r="C3700" s="149" t="s">
        <v>670</v>
      </c>
      <c r="D3700" s="392" t="s">
        <v>213</v>
      </c>
      <c r="E3700" s="258" t="s">
        <v>671</v>
      </c>
      <c r="G3700" s="405" t="s">
        <v>672</v>
      </c>
      <c r="H3700" s="55">
        <v>3724</v>
      </c>
      <c r="I3700" s="54" t="s">
        <v>2</v>
      </c>
      <c r="J3700" s="339" t="s">
        <v>510</v>
      </c>
      <c r="K3700" s="51">
        <v>41402</v>
      </c>
      <c r="L3700" s="173">
        <v>41389</v>
      </c>
      <c r="M3700" s="50">
        <f t="shared" si="224"/>
        <v>13</v>
      </c>
      <c r="N3700" s="50" t="s">
        <v>2</v>
      </c>
      <c r="O3700" s="74">
        <f>5/2</f>
        <v>2.5</v>
      </c>
      <c r="P3700" s="50">
        <v>6.59</v>
      </c>
      <c r="Q3700" s="74">
        <v>5.42</v>
      </c>
      <c r="R3700" s="50">
        <v>180</v>
      </c>
      <c r="S3700" s="74">
        <v>420</v>
      </c>
      <c r="T3700" s="50">
        <v>0.6</v>
      </c>
      <c r="U3700" s="131">
        <v>3.5</v>
      </c>
      <c r="V3700" s="50">
        <v>0.65</v>
      </c>
      <c r="W3700" s="74">
        <v>8.8999999999999996E-2</v>
      </c>
      <c r="X3700" s="50">
        <v>0.42</v>
      </c>
      <c r="Y3700" s="74">
        <v>1.6E-2</v>
      </c>
      <c r="Z3700" s="165">
        <v>1</v>
      </c>
      <c r="AA3700" s="271">
        <v>1</v>
      </c>
      <c r="AB3700" s="114">
        <v>28</v>
      </c>
      <c r="AC3700" s="50">
        <v>28</v>
      </c>
      <c r="AD3700" s="271">
        <v>1</v>
      </c>
    </row>
    <row r="3701" spans="1:32" ht="15" customHeight="1">
      <c r="A3701" s="404" t="s">
        <v>4668</v>
      </c>
      <c r="B3701" s="386" t="s">
        <v>666</v>
      </c>
      <c r="C3701" s="149" t="s">
        <v>670</v>
      </c>
      <c r="D3701" s="392" t="s">
        <v>213</v>
      </c>
      <c r="E3701" s="258" t="s">
        <v>671</v>
      </c>
      <c r="F3701" s="402" t="s">
        <v>3258</v>
      </c>
      <c r="G3701" s="405" t="s">
        <v>672</v>
      </c>
      <c r="H3701" s="55">
        <v>3724</v>
      </c>
      <c r="I3701" s="54" t="s">
        <v>2</v>
      </c>
      <c r="J3701" s="339" t="s">
        <v>510</v>
      </c>
      <c r="K3701" s="51">
        <v>41579</v>
      </c>
      <c r="L3701" s="173">
        <v>41554</v>
      </c>
      <c r="M3701" s="50">
        <f t="shared" si="224"/>
        <v>25</v>
      </c>
      <c r="N3701" s="50" t="s">
        <v>2</v>
      </c>
      <c r="O3701" s="74">
        <f>1.4/2</f>
        <v>0.7</v>
      </c>
      <c r="P3701" s="50">
        <v>4.6500000000000004</v>
      </c>
      <c r="Q3701" s="74">
        <v>5.01</v>
      </c>
      <c r="R3701" s="50">
        <v>70</v>
      </c>
      <c r="S3701" s="74">
        <v>6.5</v>
      </c>
      <c r="T3701" s="50">
        <v>0.16</v>
      </c>
      <c r="U3701" s="131">
        <v>0.63</v>
      </c>
      <c r="W3701" s="74">
        <f>0.01/2</f>
        <v>5.0000000000000001E-3</v>
      </c>
      <c r="X3701" s="50">
        <v>6.0000000000000001E-3</v>
      </c>
      <c r="Y3701" s="74">
        <v>0.127</v>
      </c>
      <c r="Z3701" s="165"/>
    </row>
    <row r="3702" spans="1:32" ht="15" customHeight="1">
      <c r="A3702" s="404" t="s">
        <v>4668</v>
      </c>
      <c r="B3702" s="386" t="s">
        <v>666</v>
      </c>
      <c r="C3702" s="149" t="s">
        <v>670</v>
      </c>
      <c r="D3702" s="392" t="s">
        <v>213</v>
      </c>
      <c r="E3702" s="258" t="s">
        <v>671</v>
      </c>
      <c r="F3702" s="402" t="s">
        <v>3258</v>
      </c>
      <c r="G3702" s="405" t="s">
        <v>672</v>
      </c>
      <c r="H3702" s="55">
        <v>3724</v>
      </c>
      <c r="I3702" s="54" t="s">
        <v>2</v>
      </c>
      <c r="J3702" s="339" t="s">
        <v>510</v>
      </c>
      <c r="K3702" s="51">
        <v>41131</v>
      </c>
      <c r="L3702" s="173">
        <v>41126</v>
      </c>
      <c r="M3702" s="50">
        <f t="shared" si="224"/>
        <v>5</v>
      </c>
      <c r="N3702" s="50" t="s">
        <v>2</v>
      </c>
      <c r="O3702" s="74">
        <f>1/2</f>
        <v>0.5</v>
      </c>
      <c r="P3702" s="50">
        <v>6.61</v>
      </c>
      <c r="Q3702" s="74">
        <v>7.21</v>
      </c>
      <c r="R3702" s="50">
        <v>47.3</v>
      </c>
      <c r="S3702" s="74">
        <v>16</v>
      </c>
      <c r="T3702" s="50">
        <v>0.22</v>
      </c>
      <c r="U3702" s="131">
        <v>1.65</v>
      </c>
      <c r="V3702" s="50">
        <v>0.26</v>
      </c>
      <c r="W3702" s="74">
        <v>2.5999999999999999E-2</v>
      </c>
      <c r="X3702" s="50">
        <v>0.26600000000000001</v>
      </c>
      <c r="Y3702" s="74">
        <v>2E-3</v>
      </c>
      <c r="Z3702" s="165">
        <v>1</v>
      </c>
      <c r="AA3702" s="271">
        <v>0.5</v>
      </c>
      <c r="AB3702" s="114">
        <v>18.5</v>
      </c>
      <c r="AC3702" s="50">
        <v>27</v>
      </c>
      <c r="AD3702" s="271">
        <v>0.1</v>
      </c>
    </row>
    <row r="3703" spans="1:32" ht="15" customHeight="1">
      <c r="A3703" s="404" t="s">
        <v>4668</v>
      </c>
      <c r="B3703" s="402" t="s">
        <v>1811</v>
      </c>
      <c r="C3703" s="113" t="s">
        <v>1811</v>
      </c>
      <c r="D3703" s="393" t="s">
        <v>41</v>
      </c>
      <c r="E3703" s="394" t="s">
        <v>1812</v>
      </c>
      <c r="F3703" s="402">
        <v>4404</v>
      </c>
      <c r="G3703" s="405" t="s">
        <v>672</v>
      </c>
      <c r="H3703" s="74">
        <v>3728</v>
      </c>
      <c r="I3703" s="50" t="s">
        <v>2</v>
      </c>
      <c r="J3703" s="339" t="s">
        <v>249</v>
      </c>
      <c r="K3703" s="51">
        <v>41365</v>
      </c>
      <c r="L3703" s="173">
        <v>41352</v>
      </c>
      <c r="M3703" s="50">
        <f t="shared" si="224"/>
        <v>13</v>
      </c>
      <c r="N3703" s="50" t="s">
        <v>2</v>
      </c>
      <c r="O3703" s="74">
        <v>1.5</v>
      </c>
      <c r="P3703" s="50">
        <v>5.6</v>
      </c>
      <c r="Q3703" s="74">
        <v>5.81</v>
      </c>
      <c r="R3703" s="50">
        <v>69</v>
      </c>
      <c r="S3703" s="74">
        <v>41</v>
      </c>
      <c r="T3703" s="50">
        <v>0.13</v>
      </c>
      <c r="U3703" s="131">
        <v>2.66</v>
      </c>
      <c r="V3703" s="50">
        <v>0.96</v>
      </c>
      <c r="W3703" s="74">
        <v>1.0999999999999999E-2</v>
      </c>
      <c r="X3703" s="50">
        <v>0.108</v>
      </c>
      <c r="Y3703" s="74">
        <v>1.9E-2</v>
      </c>
      <c r="Z3703" s="165">
        <v>1</v>
      </c>
      <c r="AA3703" s="271">
        <v>1</v>
      </c>
      <c r="AB3703" s="114">
        <v>6</v>
      </c>
      <c r="AC3703" s="50">
        <v>56</v>
      </c>
      <c r="AD3703" s="271">
        <v>0.9</v>
      </c>
    </row>
    <row r="3704" spans="1:32" ht="15" customHeight="1">
      <c r="A3704" s="404" t="s">
        <v>4668</v>
      </c>
      <c r="B3704" s="402" t="s">
        <v>3287</v>
      </c>
      <c r="C3704" s="113" t="s">
        <v>3287</v>
      </c>
      <c r="D3704" s="393" t="s">
        <v>462</v>
      </c>
      <c r="E3704" s="394" t="s">
        <v>3288</v>
      </c>
      <c r="F3704" s="402">
        <v>4003</v>
      </c>
      <c r="G3704" s="405" t="s">
        <v>3289</v>
      </c>
      <c r="H3704" s="74">
        <v>3471</v>
      </c>
      <c r="I3704" s="50" t="s">
        <v>2</v>
      </c>
      <c r="J3704" s="339" t="s">
        <v>255</v>
      </c>
      <c r="K3704" s="51">
        <v>41585</v>
      </c>
      <c r="L3704" s="173">
        <v>41579</v>
      </c>
      <c r="M3704" s="50">
        <f t="shared" si="224"/>
        <v>6</v>
      </c>
      <c r="N3704" s="50" t="s">
        <v>2</v>
      </c>
      <c r="O3704" s="74">
        <v>2</v>
      </c>
      <c r="P3704" s="50">
        <v>4.88</v>
      </c>
      <c r="Q3704" s="74">
        <v>6.4</v>
      </c>
      <c r="R3704" s="50">
        <v>19</v>
      </c>
      <c r="S3704" s="74">
        <f>5/2</f>
        <v>2.5</v>
      </c>
      <c r="T3704" s="50">
        <f>0.062/2</f>
        <v>3.1E-2</v>
      </c>
      <c r="U3704" s="131">
        <f>1/2</f>
        <v>0.5</v>
      </c>
      <c r="V3704" s="50">
        <v>0.23</v>
      </c>
      <c r="W3704" s="74">
        <v>6.1000000000000004E-3</v>
      </c>
      <c r="X3704" s="50">
        <v>2.5999999999999999E-2</v>
      </c>
      <c r="Y3704" s="74">
        <f>0.005/2</f>
        <v>2.5000000000000001E-3</v>
      </c>
      <c r="Z3704" s="165"/>
    </row>
    <row r="3705" spans="1:32" ht="15" customHeight="1">
      <c r="A3705" s="404" t="s">
        <v>4668</v>
      </c>
      <c r="B3705" s="402" t="s">
        <v>3287</v>
      </c>
      <c r="C3705" s="113" t="s">
        <v>3287</v>
      </c>
      <c r="D3705" s="393" t="s">
        <v>462</v>
      </c>
      <c r="E3705" s="394" t="s">
        <v>3288</v>
      </c>
      <c r="F3705" s="402">
        <v>4003</v>
      </c>
      <c r="G3705" s="405" t="s">
        <v>3289</v>
      </c>
      <c r="H3705" s="74">
        <v>3471</v>
      </c>
      <c r="I3705" s="50" t="s">
        <v>2</v>
      </c>
      <c r="J3705" s="339" t="s">
        <v>255</v>
      </c>
      <c r="K3705" s="51">
        <v>41527</v>
      </c>
      <c r="L3705" s="173">
        <v>41522</v>
      </c>
      <c r="M3705" s="50">
        <f t="shared" si="224"/>
        <v>5</v>
      </c>
      <c r="N3705" s="50" t="s">
        <v>2</v>
      </c>
      <c r="O3705" s="74">
        <f>1.7/2</f>
        <v>0.85</v>
      </c>
      <c r="P3705" s="50">
        <v>6.1</v>
      </c>
      <c r="Q3705" s="74">
        <v>6.2</v>
      </c>
      <c r="R3705" s="50">
        <v>26</v>
      </c>
      <c r="S3705" s="74">
        <f>5/2</f>
        <v>2.5</v>
      </c>
      <c r="T3705" s="50">
        <f>0.062/2</f>
        <v>3.1E-2</v>
      </c>
      <c r="U3705" s="131">
        <f>1/2</f>
        <v>0.5</v>
      </c>
      <c r="V3705" s="50">
        <v>1.2</v>
      </c>
      <c r="W3705" s="74">
        <f>0.005/2</f>
        <v>2.5000000000000001E-3</v>
      </c>
      <c r="X3705" s="50">
        <v>3.5999999999999997E-2</v>
      </c>
      <c r="Y3705" s="74">
        <f>0.005/2</f>
        <v>2.5000000000000001E-3</v>
      </c>
      <c r="Z3705" s="165"/>
    </row>
    <row r="3706" spans="1:32" ht="15" customHeight="1">
      <c r="A3706" s="404" t="s">
        <v>4668</v>
      </c>
      <c r="B3706" s="402" t="s">
        <v>2263</v>
      </c>
      <c r="C3706" s="113" t="s">
        <v>2263</v>
      </c>
      <c r="D3706" s="393" t="s">
        <v>372</v>
      </c>
      <c r="E3706" s="394" t="s">
        <v>235</v>
      </c>
      <c r="F3706" s="402">
        <v>6900</v>
      </c>
      <c r="G3706" s="405" t="s">
        <v>2264</v>
      </c>
      <c r="H3706" s="74">
        <v>4119</v>
      </c>
      <c r="I3706" s="50" t="s">
        <v>1</v>
      </c>
      <c r="J3706" s="339" t="s">
        <v>1125</v>
      </c>
      <c r="K3706" s="51">
        <v>41527</v>
      </c>
      <c r="L3706" s="173">
        <v>41512</v>
      </c>
      <c r="M3706" s="50">
        <f t="shared" si="224"/>
        <v>15</v>
      </c>
      <c r="N3706" s="50" t="s">
        <v>2</v>
      </c>
      <c r="O3706" s="74">
        <f>1.4/2</f>
        <v>0.7</v>
      </c>
      <c r="P3706" s="50">
        <v>6.35</v>
      </c>
      <c r="Q3706" s="74">
        <v>5.49</v>
      </c>
      <c r="R3706" s="50">
        <v>34</v>
      </c>
      <c r="S3706" s="74">
        <f>5/2</f>
        <v>2.5</v>
      </c>
      <c r="T3706" s="50">
        <v>0.06</v>
      </c>
      <c r="U3706" s="131">
        <v>2.42</v>
      </c>
      <c r="V3706" s="50">
        <v>1.1000000000000001</v>
      </c>
      <c r="W3706" s="74">
        <v>6.0000000000000001E-3</v>
      </c>
      <c r="X3706" s="50">
        <v>0.49099999999999999</v>
      </c>
      <c r="Y3706" s="74">
        <f>0.002/2</f>
        <v>1E-3</v>
      </c>
      <c r="Z3706" s="165">
        <v>1</v>
      </c>
      <c r="AA3706" s="271">
        <v>0.498</v>
      </c>
      <c r="AB3706" s="114">
        <v>40</v>
      </c>
      <c r="AC3706" s="50">
        <v>8</v>
      </c>
      <c r="AD3706" s="271">
        <v>0.2</v>
      </c>
      <c r="AE3706" s="50">
        <f>10/2</f>
        <v>5</v>
      </c>
      <c r="AF3706" s="49" t="s">
        <v>964</v>
      </c>
    </row>
    <row r="3707" spans="1:32" ht="15" customHeight="1">
      <c r="A3707" s="404" t="s">
        <v>4668</v>
      </c>
      <c r="B3707" s="402" t="s">
        <v>5081</v>
      </c>
      <c r="C3707" s="113" t="s">
        <v>5082</v>
      </c>
      <c r="D3707" s="393" t="s">
        <v>356</v>
      </c>
      <c r="E3707" s="394" t="s">
        <v>6236</v>
      </c>
      <c r="F3707" s="402" t="s">
        <v>1051</v>
      </c>
      <c r="G3707" s="405" t="s">
        <v>5083</v>
      </c>
      <c r="H3707" s="74">
        <v>2051</v>
      </c>
      <c r="I3707" s="50" t="s">
        <v>2</v>
      </c>
      <c r="J3707" s="339" t="s">
        <v>6237</v>
      </c>
      <c r="K3707" s="51">
        <v>41610</v>
      </c>
      <c r="L3707" s="173">
        <v>41605</v>
      </c>
      <c r="M3707" s="50">
        <f t="shared" ref="M3707:M3772" si="228">K3707-L3707</f>
        <v>5</v>
      </c>
      <c r="N3707" s="50" t="s">
        <v>2</v>
      </c>
      <c r="Z3707" s="165">
        <v>6.25E-2</v>
      </c>
      <c r="AA3707" s="271">
        <v>6.25E-2</v>
      </c>
      <c r="AB3707" s="114">
        <v>34</v>
      </c>
      <c r="AC3707" s="50">
        <v>237</v>
      </c>
      <c r="AD3707" s="271">
        <v>0</v>
      </c>
    </row>
    <row r="3708" spans="1:32" ht="15" customHeight="1">
      <c r="A3708" s="404" t="s">
        <v>4668</v>
      </c>
      <c r="B3708" s="402" t="s">
        <v>6238</v>
      </c>
      <c r="C3708" s="113" t="s">
        <v>6238</v>
      </c>
      <c r="D3708" s="393" t="s">
        <v>2372</v>
      </c>
      <c r="E3708" s="394" t="s">
        <v>6239</v>
      </c>
      <c r="F3708" s="402">
        <v>3900</v>
      </c>
      <c r="G3708" s="405" t="s">
        <v>6240</v>
      </c>
      <c r="H3708" s="74">
        <v>2813</v>
      </c>
      <c r="I3708" s="50" t="s">
        <v>2</v>
      </c>
      <c r="J3708" s="339" t="s">
        <v>81</v>
      </c>
      <c r="K3708" s="51">
        <v>41402</v>
      </c>
      <c r="L3708" s="173">
        <v>41383</v>
      </c>
      <c r="M3708" s="50">
        <f t="shared" si="228"/>
        <v>19</v>
      </c>
      <c r="N3708" s="50" t="s">
        <v>2</v>
      </c>
      <c r="O3708" s="74">
        <f>1.4/2</f>
        <v>0.7</v>
      </c>
      <c r="P3708" s="50">
        <v>5.87</v>
      </c>
      <c r="Q3708" s="74">
        <v>5.54</v>
      </c>
      <c r="R3708" s="50">
        <v>176</v>
      </c>
      <c r="S3708" s="74">
        <v>490</v>
      </c>
      <c r="T3708" s="50">
        <v>0.95</v>
      </c>
      <c r="U3708" s="131">
        <v>4.26</v>
      </c>
      <c r="V3708" s="50">
        <v>0.85</v>
      </c>
      <c r="W3708" s="74">
        <v>5.1999999999999998E-2</v>
      </c>
      <c r="X3708" s="50">
        <v>0.24399999999999999</v>
      </c>
      <c r="Y3708" s="74">
        <v>1.6E-2</v>
      </c>
      <c r="Z3708" s="165">
        <v>1</v>
      </c>
      <c r="AA3708" s="271">
        <v>1</v>
      </c>
      <c r="AB3708" s="114">
        <v>8</v>
      </c>
      <c r="AC3708" s="50">
        <v>58</v>
      </c>
      <c r="AD3708" s="271">
        <v>1</v>
      </c>
    </row>
    <row r="3709" spans="1:32" ht="15" customHeight="1">
      <c r="A3709" s="404" t="s">
        <v>4668</v>
      </c>
      <c r="B3709" s="402" t="s">
        <v>6238</v>
      </c>
      <c r="C3709" s="113" t="s">
        <v>6238</v>
      </c>
      <c r="D3709" s="393" t="s">
        <v>2372</v>
      </c>
      <c r="E3709" s="394" t="s">
        <v>6239</v>
      </c>
      <c r="F3709" s="402">
        <v>3900</v>
      </c>
      <c r="G3709" s="405" t="s">
        <v>6240</v>
      </c>
      <c r="H3709" s="74">
        <v>2813</v>
      </c>
      <c r="I3709" s="50" t="s">
        <v>2</v>
      </c>
      <c r="J3709" s="339" t="s">
        <v>114</v>
      </c>
      <c r="K3709" s="51">
        <v>41402</v>
      </c>
      <c r="L3709" s="173">
        <v>41383</v>
      </c>
      <c r="M3709" s="50">
        <f t="shared" si="228"/>
        <v>19</v>
      </c>
      <c r="N3709" s="50" t="s">
        <v>2</v>
      </c>
      <c r="O3709" s="74">
        <f>1.4/2</f>
        <v>0.7</v>
      </c>
      <c r="P3709" s="50">
        <v>5.51</v>
      </c>
      <c r="Q3709" s="74">
        <v>8.36</v>
      </c>
      <c r="R3709" s="50">
        <v>414</v>
      </c>
      <c r="S3709" s="74">
        <v>80</v>
      </c>
      <c r="T3709" s="50">
        <v>0.33</v>
      </c>
      <c r="U3709" s="131">
        <v>0.85</v>
      </c>
      <c r="V3709" s="50">
        <v>0.12</v>
      </c>
      <c r="W3709" s="74">
        <v>0.13400000000000001</v>
      </c>
      <c r="X3709" s="50">
        <v>0.31</v>
      </c>
      <c r="Y3709" s="74">
        <v>1.7999999999999999E-2</v>
      </c>
      <c r="Z3709" s="165">
        <v>1</v>
      </c>
      <c r="AA3709" s="271">
        <v>1</v>
      </c>
      <c r="AB3709" s="114">
        <v>22</v>
      </c>
      <c r="AC3709" s="50">
        <v>67</v>
      </c>
      <c r="AD3709" s="271">
        <v>0.95</v>
      </c>
    </row>
    <row r="3710" spans="1:32" ht="15" customHeight="1">
      <c r="A3710" s="404" t="s">
        <v>4668</v>
      </c>
      <c r="B3710" s="402" t="s">
        <v>5610</v>
      </c>
      <c r="C3710" s="113" t="s">
        <v>5610</v>
      </c>
      <c r="D3710" s="393" t="s">
        <v>350</v>
      </c>
      <c r="E3710" s="394" t="s">
        <v>838</v>
      </c>
      <c r="F3710" s="402" t="s">
        <v>6241</v>
      </c>
      <c r="G3710" s="405" t="s">
        <v>5612</v>
      </c>
      <c r="H3710" s="74">
        <v>3441</v>
      </c>
      <c r="I3710" s="50" t="s">
        <v>2</v>
      </c>
      <c r="J3710" s="339" t="s">
        <v>6242</v>
      </c>
      <c r="K3710" s="51">
        <v>41170</v>
      </c>
      <c r="L3710" s="173">
        <v>41167</v>
      </c>
      <c r="M3710" s="50">
        <f t="shared" si="228"/>
        <v>3</v>
      </c>
      <c r="N3710" s="50" t="s">
        <v>2</v>
      </c>
      <c r="O3710" s="74">
        <f>1.7/2</f>
        <v>0.85</v>
      </c>
      <c r="P3710" s="50">
        <v>5</v>
      </c>
      <c r="Q3710" s="74">
        <v>9</v>
      </c>
      <c r="R3710" s="50">
        <v>300</v>
      </c>
      <c r="S3710" s="74">
        <v>895</v>
      </c>
      <c r="T3710" s="50">
        <v>0.83599999999999997</v>
      </c>
      <c r="U3710" s="131">
        <f>1/2</f>
        <v>0.5</v>
      </c>
      <c r="V3710" s="50">
        <f>0.46/2</f>
        <v>0.23</v>
      </c>
      <c r="W3710" s="74">
        <v>0.08</v>
      </c>
      <c r="X3710" s="50">
        <v>0.252</v>
      </c>
      <c r="Y3710" s="74">
        <v>1.6899999999999998E-2</v>
      </c>
      <c r="Z3710" s="165"/>
    </row>
    <row r="3711" spans="1:32" ht="15" customHeight="1">
      <c r="A3711" s="404" t="s">
        <v>4668</v>
      </c>
      <c r="B3711" s="402" t="s">
        <v>5610</v>
      </c>
      <c r="C3711" s="113" t="s">
        <v>5610</v>
      </c>
      <c r="D3711" s="393" t="s">
        <v>350</v>
      </c>
      <c r="E3711" s="394" t="s">
        <v>838</v>
      </c>
      <c r="F3711" s="402" t="s">
        <v>6241</v>
      </c>
      <c r="G3711" s="405" t="s">
        <v>5612</v>
      </c>
      <c r="H3711" s="74">
        <v>3441</v>
      </c>
      <c r="I3711" s="50" t="s">
        <v>2</v>
      </c>
      <c r="J3711" s="339" t="s">
        <v>6243</v>
      </c>
      <c r="K3711" s="51">
        <v>41170</v>
      </c>
      <c r="L3711" s="173">
        <v>41167</v>
      </c>
      <c r="M3711" s="50">
        <f t="shared" si="228"/>
        <v>3</v>
      </c>
      <c r="N3711" s="90" t="s">
        <v>2</v>
      </c>
      <c r="O3711" s="74">
        <f>1.7/2</f>
        <v>0.85</v>
      </c>
      <c r="P3711" s="50">
        <v>5</v>
      </c>
      <c r="Q3711" s="74">
        <v>9.5</v>
      </c>
      <c r="R3711" s="50">
        <v>44</v>
      </c>
      <c r="S3711" s="74">
        <v>739</v>
      </c>
      <c r="T3711" s="50">
        <v>0.215</v>
      </c>
      <c r="U3711" s="131">
        <f>1/2</f>
        <v>0.5</v>
      </c>
      <c r="V3711" s="50">
        <f>0.46/2</f>
        <v>0.23</v>
      </c>
      <c r="W3711" s="74">
        <v>2.1999999999999999E-2</v>
      </c>
      <c r="X3711" s="50">
        <v>0.158</v>
      </c>
      <c r="Y3711" s="74">
        <v>1.06E-2</v>
      </c>
      <c r="Z3711" s="165"/>
    </row>
    <row r="3712" spans="1:32" ht="15" customHeight="1">
      <c r="A3712" s="404" t="s">
        <v>4668</v>
      </c>
      <c r="B3712" s="402" t="s">
        <v>5610</v>
      </c>
      <c r="C3712" s="113" t="s">
        <v>5610</v>
      </c>
      <c r="D3712" s="393" t="s">
        <v>350</v>
      </c>
      <c r="E3712" s="394" t="s">
        <v>838</v>
      </c>
      <c r="F3712" s="402" t="s">
        <v>6241</v>
      </c>
      <c r="G3712" s="405" t="s">
        <v>5612</v>
      </c>
      <c r="H3712" s="74">
        <v>3441</v>
      </c>
      <c r="I3712" s="50" t="s">
        <v>2</v>
      </c>
      <c r="J3712" s="339" t="s">
        <v>6242</v>
      </c>
      <c r="K3712" s="51">
        <v>41021</v>
      </c>
      <c r="L3712" s="173">
        <v>41000</v>
      </c>
      <c r="M3712" s="50">
        <f t="shared" si="228"/>
        <v>21</v>
      </c>
      <c r="N3712" s="50" t="s">
        <v>2</v>
      </c>
      <c r="O3712" s="74">
        <f>1.7/2</f>
        <v>0.85</v>
      </c>
      <c r="P3712" s="50">
        <v>6.2</v>
      </c>
      <c r="Q3712" s="74">
        <v>8.5</v>
      </c>
      <c r="R3712" s="50">
        <v>110</v>
      </c>
      <c r="S3712" s="74">
        <v>440</v>
      </c>
      <c r="T3712" s="50">
        <v>0.38700000000000001</v>
      </c>
      <c r="U3712" s="131">
        <f>1/2</f>
        <v>0.5</v>
      </c>
      <c r="V3712" s="50">
        <v>0.57999999999999996</v>
      </c>
      <c r="W3712" s="74">
        <v>7.6999999999999999E-2</v>
      </c>
      <c r="X3712" s="50">
        <v>0.21099999999999999</v>
      </c>
      <c r="Y3712" s="74">
        <v>1.67E-2</v>
      </c>
      <c r="Z3712" s="165">
        <v>1</v>
      </c>
      <c r="AA3712" s="271">
        <v>1</v>
      </c>
      <c r="AB3712" s="114">
        <v>40</v>
      </c>
      <c r="AC3712" s="50">
        <v>134</v>
      </c>
      <c r="AD3712" s="271">
        <v>1</v>
      </c>
    </row>
    <row r="3713" spans="1:30" ht="15" customHeight="1">
      <c r="A3713" s="404" t="s">
        <v>4668</v>
      </c>
      <c r="B3713" s="402" t="s">
        <v>1644</v>
      </c>
      <c r="C3713" s="113" t="s">
        <v>1644</v>
      </c>
      <c r="D3713" s="393" t="s">
        <v>1217</v>
      </c>
      <c r="E3713" s="394" t="s">
        <v>2112</v>
      </c>
      <c r="F3713" s="402" t="s">
        <v>1051</v>
      </c>
      <c r="G3713" s="405" t="s">
        <v>6048</v>
      </c>
      <c r="H3713" s="74">
        <v>3357</v>
      </c>
      <c r="I3713" s="50" t="s">
        <v>2</v>
      </c>
      <c r="J3713" s="339" t="s">
        <v>74</v>
      </c>
      <c r="K3713" s="51">
        <v>41443</v>
      </c>
      <c r="L3713" s="173">
        <v>41439</v>
      </c>
      <c r="M3713" s="50">
        <f t="shared" si="228"/>
        <v>4</v>
      </c>
      <c r="N3713" s="50" t="s">
        <v>2</v>
      </c>
      <c r="O3713" s="74">
        <f>1.4/2</f>
        <v>0.7</v>
      </c>
      <c r="P3713" s="50">
        <v>5.6</v>
      </c>
      <c r="Q3713" s="74">
        <v>6.54</v>
      </c>
      <c r="R3713" s="50">
        <v>96</v>
      </c>
      <c r="S3713" s="74">
        <v>23</v>
      </c>
      <c r="T3713" s="50">
        <v>0.08</v>
      </c>
      <c r="U3713" s="131">
        <v>1.2</v>
      </c>
      <c r="V3713" s="50">
        <v>1.93</v>
      </c>
      <c r="W3713" s="74">
        <v>8.0000000000000002E-3</v>
      </c>
      <c r="X3713" s="50">
        <v>7.0000000000000007E-2</v>
      </c>
      <c r="Y3713" s="74">
        <f>0.002/2</f>
        <v>1E-3</v>
      </c>
      <c r="Z3713" s="165"/>
    </row>
    <row r="3714" spans="1:30" ht="15" customHeight="1">
      <c r="A3714" s="404" t="s">
        <v>4668</v>
      </c>
      <c r="B3714" s="402" t="s">
        <v>1644</v>
      </c>
      <c r="C3714" s="113" t="s">
        <v>1644</v>
      </c>
      <c r="D3714" s="393" t="s">
        <v>1217</v>
      </c>
      <c r="E3714" s="394" t="s">
        <v>2112</v>
      </c>
      <c r="F3714" s="402" t="s">
        <v>1051</v>
      </c>
      <c r="G3714" s="405" t="s">
        <v>6048</v>
      </c>
      <c r="H3714" s="74">
        <v>3357</v>
      </c>
      <c r="I3714" s="50" t="s">
        <v>2</v>
      </c>
      <c r="J3714" s="339" t="s">
        <v>687</v>
      </c>
      <c r="K3714" s="51">
        <v>41443</v>
      </c>
      <c r="L3714" s="173">
        <v>41439</v>
      </c>
      <c r="M3714" s="50">
        <f t="shared" si="228"/>
        <v>4</v>
      </c>
      <c r="N3714" s="50" t="s">
        <v>2</v>
      </c>
      <c r="O3714" s="74">
        <v>1.7</v>
      </c>
      <c r="P3714" s="50">
        <v>5.6</v>
      </c>
      <c r="Q3714" s="74">
        <v>6.15</v>
      </c>
      <c r="R3714" s="50">
        <v>84</v>
      </c>
      <c r="S3714" s="74">
        <v>59</v>
      </c>
      <c r="T3714" s="50">
        <v>0.13</v>
      </c>
      <c r="U3714" s="131">
        <v>1.81</v>
      </c>
      <c r="V3714" s="50">
        <v>1.64</v>
      </c>
      <c r="W3714" s="74">
        <v>0.01</v>
      </c>
      <c r="X3714" s="50">
        <v>7.6999999999999999E-2</v>
      </c>
      <c r="Y3714" s="74">
        <v>7.0000000000000001E-3</v>
      </c>
      <c r="Z3714" s="165"/>
    </row>
    <row r="3715" spans="1:30" ht="15" customHeight="1">
      <c r="A3715" s="404" t="s">
        <v>4668</v>
      </c>
      <c r="B3715" s="402" t="s">
        <v>1644</v>
      </c>
      <c r="C3715" s="113" t="s">
        <v>1644</v>
      </c>
      <c r="D3715" s="393" t="s">
        <v>1217</v>
      </c>
      <c r="E3715" s="394" t="s">
        <v>2112</v>
      </c>
      <c r="F3715" s="402" t="s">
        <v>1051</v>
      </c>
      <c r="G3715" s="405" t="s">
        <v>6048</v>
      </c>
      <c r="H3715" s="74">
        <v>3357</v>
      </c>
      <c r="I3715" s="50" t="s">
        <v>2</v>
      </c>
      <c r="J3715" s="339" t="s">
        <v>1642</v>
      </c>
      <c r="K3715" s="51">
        <v>41443</v>
      </c>
      <c r="L3715" s="173">
        <v>41439</v>
      </c>
      <c r="M3715" s="50">
        <f t="shared" si="228"/>
        <v>4</v>
      </c>
      <c r="N3715" s="50" t="s">
        <v>2</v>
      </c>
      <c r="O3715" s="74">
        <f>1.4/2</f>
        <v>0.7</v>
      </c>
      <c r="P3715" s="50">
        <v>5.6</v>
      </c>
      <c r="Q3715" s="74">
        <v>5.64</v>
      </c>
      <c r="R3715" s="50">
        <v>45</v>
      </c>
      <c r="S3715" s="74">
        <v>19</v>
      </c>
      <c r="T3715" s="50">
        <v>0.09</v>
      </c>
      <c r="U3715" s="131">
        <v>1.38</v>
      </c>
      <c r="V3715" s="50">
        <v>0.89</v>
      </c>
      <c r="W3715" s="74">
        <v>1.7999999999999999E-2</v>
      </c>
      <c r="X3715" s="50">
        <v>0.375</v>
      </c>
      <c r="Y3715" s="74">
        <f>0.002/2</f>
        <v>1E-3</v>
      </c>
      <c r="Z3715" s="165"/>
    </row>
    <row r="3716" spans="1:30" ht="15" customHeight="1">
      <c r="A3716" s="41" t="s">
        <v>183</v>
      </c>
      <c r="B3716" s="402" t="s">
        <v>1644</v>
      </c>
      <c r="C3716" s="113" t="s">
        <v>1644</v>
      </c>
      <c r="D3716" s="393" t="s">
        <v>1217</v>
      </c>
      <c r="E3716" s="394" t="s">
        <v>2112</v>
      </c>
      <c r="F3716" s="402" t="s">
        <v>1051</v>
      </c>
      <c r="G3716" s="405" t="s">
        <v>6048</v>
      </c>
      <c r="H3716" s="74">
        <v>3357</v>
      </c>
      <c r="I3716" s="50" t="s">
        <v>2</v>
      </c>
      <c r="J3716" s="339" t="s">
        <v>74</v>
      </c>
      <c r="K3716" s="51">
        <v>41585</v>
      </c>
      <c r="L3716" s="173">
        <v>41579</v>
      </c>
      <c r="M3716" s="50">
        <f t="shared" si="228"/>
        <v>6</v>
      </c>
      <c r="N3716" s="50" t="s">
        <v>2</v>
      </c>
      <c r="V3716" s="50">
        <v>3.31</v>
      </c>
      <c r="Z3716" s="165"/>
    </row>
    <row r="3717" spans="1:30" ht="15" customHeight="1">
      <c r="A3717" s="41" t="s">
        <v>183</v>
      </c>
      <c r="B3717" s="402" t="s">
        <v>1644</v>
      </c>
      <c r="C3717" s="113" t="s">
        <v>1644</v>
      </c>
      <c r="D3717" s="393" t="s">
        <v>1217</v>
      </c>
      <c r="E3717" s="394" t="s">
        <v>2112</v>
      </c>
      <c r="F3717" s="402" t="s">
        <v>1051</v>
      </c>
      <c r="G3717" s="405" t="s">
        <v>6048</v>
      </c>
      <c r="H3717" s="74">
        <v>3357</v>
      </c>
      <c r="I3717" s="50" t="s">
        <v>2</v>
      </c>
      <c r="J3717" s="339" t="s">
        <v>687</v>
      </c>
      <c r="K3717" s="51">
        <v>41585</v>
      </c>
      <c r="L3717" s="173">
        <v>41579</v>
      </c>
      <c r="M3717" s="50">
        <f t="shared" si="228"/>
        <v>6</v>
      </c>
      <c r="N3717" s="50" t="s">
        <v>2</v>
      </c>
      <c r="R3717" s="50">
        <v>13</v>
      </c>
      <c r="S3717" s="74">
        <f>5/2</f>
        <v>2.5</v>
      </c>
      <c r="V3717" s="50">
        <v>0.31</v>
      </c>
      <c r="X3717" s="50">
        <v>1.7000000000000001E-2</v>
      </c>
      <c r="Z3717" s="165"/>
    </row>
    <row r="3718" spans="1:30" ht="15" customHeight="1">
      <c r="A3718" s="41" t="s">
        <v>183</v>
      </c>
      <c r="B3718" s="402" t="s">
        <v>1644</v>
      </c>
      <c r="C3718" s="113" t="s">
        <v>1644</v>
      </c>
      <c r="D3718" s="393" t="s">
        <v>1217</v>
      </c>
      <c r="E3718" s="394" t="s">
        <v>2112</v>
      </c>
      <c r="F3718" s="402" t="s">
        <v>1051</v>
      </c>
      <c r="G3718" s="405" t="s">
        <v>6048</v>
      </c>
      <c r="H3718" s="74">
        <v>3357</v>
      </c>
      <c r="I3718" s="50" t="s">
        <v>2</v>
      </c>
      <c r="J3718" s="339" t="s">
        <v>1642</v>
      </c>
      <c r="K3718" s="51">
        <v>41585</v>
      </c>
      <c r="L3718" s="173">
        <v>41579</v>
      </c>
      <c r="M3718" s="50">
        <f t="shared" si="228"/>
        <v>6</v>
      </c>
      <c r="N3718" s="50" t="s">
        <v>2</v>
      </c>
      <c r="R3718" s="50">
        <v>43</v>
      </c>
      <c r="X3718" s="50">
        <v>7.5999999999999998E-2</v>
      </c>
      <c r="Z3718" s="165"/>
    </row>
    <row r="3719" spans="1:30" ht="15" customHeight="1">
      <c r="A3719" s="404" t="s">
        <v>4668</v>
      </c>
      <c r="B3719" s="386" t="s">
        <v>666</v>
      </c>
      <c r="C3719" s="149" t="s">
        <v>6244</v>
      </c>
      <c r="D3719" s="392" t="s">
        <v>251</v>
      </c>
      <c r="E3719" s="258" t="s">
        <v>823</v>
      </c>
      <c r="F3719" s="402">
        <v>4401</v>
      </c>
      <c r="G3719" s="405" t="s">
        <v>824</v>
      </c>
      <c r="H3719" s="74">
        <v>3724</v>
      </c>
      <c r="I3719" s="50" t="s">
        <v>2</v>
      </c>
      <c r="J3719" s="61" t="s">
        <v>669</v>
      </c>
      <c r="K3719" s="51">
        <v>41578</v>
      </c>
      <c r="L3719" s="173">
        <v>41554</v>
      </c>
      <c r="M3719" s="50">
        <f t="shared" si="228"/>
        <v>24</v>
      </c>
      <c r="N3719" s="50" t="s">
        <v>2</v>
      </c>
      <c r="O3719" s="74">
        <v>1.5</v>
      </c>
      <c r="P3719" s="50">
        <v>4.6500000000000004</v>
      </c>
      <c r="Q3719" s="74">
        <v>7.09</v>
      </c>
      <c r="R3719" s="50">
        <v>63</v>
      </c>
      <c r="S3719" s="74">
        <f>5/2</f>
        <v>2.5</v>
      </c>
      <c r="T3719" s="50">
        <v>0.06</v>
      </c>
      <c r="U3719" s="131">
        <v>2.92</v>
      </c>
      <c r="V3719" s="50">
        <v>0.45</v>
      </c>
      <c r="W3719" s="74">
        <v>2.5000000000000001E-2</v>
      </c>
      <c r="X3719" s="50">
        <v>0.12</v>
      </c>
      <c r="Y3719" s="74">
        <f>0.002/2</f>
        <v>1E-3</v>
      </c>
      <c r="Z3719" s="165">
        <v>1</v>
      </c>
      <c r="AA3719" s="271">
        <v>1</v>
      </c>
      <c r="AB3719" s="114">
        <v>8</v>
      </c>
      <c r="AC3719" s="50">
        <v>57</v>
      </c>
      <c r="AD3719" s="271">
        <v>0.75</v>
      </c>
    </row>
    <row r="3720" spans="1:30" ht="15" customHeight="1">
      <c r="A3720" s="404" t="s">
        <v>4668</v>
      </c>
      <c r="B3720" s="386" t="s">
        <v>666</v>
      </c>
      <c r="C3720" s="149" t="s">
        <v>6244</v>
      </c>
      <c r="D3720" s="392" t="s">
        <v>251</v>
      </c>
      <c r="E3720" s="258" t="s">
        <v>823</v>
      </c>
      <c r="F3720" s="402">
        <v>4401</v>
      </c>
      <c r="G3720" s="405" t="s">
        <v>824</v>
      </c>
      <c r="H3720" s="74">
        <v>3724</v>
      </c>
      <c r="I3720" s="50" t="s">
        <v>2</v>
      </c>
      <c r="J3720" s="61" t="s">
        <v>676</v>
      </c>
      <c r="K3720" s="51">
        <v>41578</v>
      </c>
      <c r="L3720" s="173">
        <v>41554</v>
      </c>
      <c r="M3720" s="50">
        <f t="shared" si="228"/>
        <v>24</v>
      </c>
      <c r="N3720" s="50" t="s">
        <v>2</v>
      </c>
      <c r="O3720" s="74">
        <f>1.4/2</f>
        <v>0.7</v>
      </c>
      <c r="P3720" s="50">
        <v>4.6500000000000004</v>
      </c>
      <c r="Q3720" s="74">
        <v>8.02</v>
      </c>
      <c r="R3720" s="50">
        <v>35</v>
      </c>
      <c r="S3720" s="74">
        <v>5</v>
      </c>
      <c r="T3720" s="50">
        <v>0.25</v>
      </c>
      <c r="U3720" s="131">
        <v>1.78</v>
      </c>
      <c r="V3720" s="50">
        <v>2.25</v>
      </c>
      <c r="W3720" s="74">
        <v>2.7E-2</v>
      </c>
      <c r="X3720" s="50">
        <v>1.9E-2</v>
      </c>
      <c r="Y3720" s="74">
        <v>3.0000000000000001E-3</v>
      </c>
      <c r="Z3720" s="165">
        <v>1</v>
      </c>
      <c r="AA3720" s="271">
        <v>1</v>
      </c>
      <c r="AB3720" s="114">
        <v>8</v>
      </c>
      <c r="AC3720" s="50">
        <v>296</v>
      </c>
      <c r="AD3720" s="271">
        <v>1</v>
      </c>
    </row>
    <row r="3721" spans="1:30" ht="15" customHeight="1">
      <c r="A3721" s="404" t="s">
        <v>4668</v>
      </c>
      <c r="B3721" s="386" t="s">
        <v>666</v>
      </c>
      <c r="C3721" s="149" t="s">
        <v>6245</v>
      </c>
      <c r="D3721" s="393" t="s">
        <v>251</v>
      </c>
      <c r="E3721" s="394" t="s">
        <v>6246</v>
      </c>
      <c r="F3721" s="402">
        <v>4401</v>
      </c>
      <c r="G3721" s="405" t="s">
        <v>668</v>
      </c>
      <c r="H3721" s="74">
        <v>3724</v>
      </c>
      <c r="I3721" s="50" t="s">
        <v>2</v>
      </c>
      <c r="J3721" s="339" t="s">
        <v>669</v>
      </c>
      <c r="K3721" s="51">
        <v>41578</v>
      </c>
      <c r="L3721" s="173">
        <v>41554</v>
      </c>
      <c r="M3721" s="50">
        <f t="shared" si="228"/>
        <v>24</v>
      </c>
      <c r="N3721" s="50" t="s">
        <v>2</v>
      </c>
      <c r="O3721" s="74">
        <f>1.4/2</f>
        <v>0.7</v>
      </c>
      <c r="P3721" s="50">
        <v>4.6500000000000004</v>
      </c>
      <c r="Q3721" s="74">
        <v>6.2</v>
      </c>
      <c r="R3721" s="50">
        <v>74</v>
      </c>
      <c r="S3721" s="74">
        <v>12</v>
      </c>
      <c r="T3721" s="50">
        <v>0.27</v>
      </c>
      <c r="U3721" s="131">
        <v>1.54</v>
      </c>
      <c r="V3721" s="50">
        <v>0.26</v>
      </c>
      <c r="W3721" s="74">
        <v>1.2999999999999999E-2</v>
      </c>
      <c r="X3721" s="50">
        <v>0.28399999999999997</v>
      </c>
      <c r="Y3721" s="74">
        <v>2.4E-2</v>
      </c>
      <c r="Z3721" s="165">
        <v>1</v>
      </c>
      <c r="AA3721" s="271">
        <v>1</v>
      </c>
      <c r="AB3721" s="114">
        <v>20</v>
      </c>
      <c r="AC3721" s="50">
        <v>163</v>
      </c>
      <c r="AD3721" s="271">
        <v>0.5</v>
      </c>
    </row>
    <row r="3722" spans="1:30" ht="15" customHeight="1">
      <c r="A3722" s="41" t="s">
        <v>183</v>
      </c>
      <c r="B3722" s="402" t="s">
        <v>6247</v>
      </c>
      <c r="C3722" s="113" t="s">
        <v>6247</v>
      </c>
      <c r="D3722" s="393" t="s">
        <v>1135</v>
      </c>
      <c r="E3722" s="394" t="s">
        <v>6248</v>
      </c>
      <c r="F3722" s="402">
        <v>6919</v>
      </c>
      <c r="G3722" s="405" t="s">
        <v>6045</v>
      </c>
      <c r="H3722" s="74">
        <v>3357</v>
      </c>
      <c r="I3722" s="50" t="s">
        <v>2</v>
      </c>
      <c r="J3722" s="339" t="s">
        <v>700</v>
      </c>
      <c r="K3722" s="51">
        <v>41604</v>
      </c>
      <c r="L3722" s="173">
        <v>41600</v>
      </c>
      <c r="M3722" s="50">
        <f t="shared" si="228"/>
        <v>4</v>
      </c>
      <c r="N3722" s="50" t="s">
        <v>2</v>
      </c>
      <c r="W3722" s="74">
        <v>0.221</v>
      </c>
      <c r="Y3722" s="74">
        <v>0.39500000000000002</v>
      </c>
      <c r="Z3722" s="165"/>
    </row>
    <row r="3723" spans="1:30" ht="15" customHeight="1">
      <c r="A3723" s="41" t="s">
        <v>183</v>
      </c>
      <c r="B3723" s="402" t="s">
        <v>6247</v>
      </c>
      <c r="C3723" s="113" t="s">
        <v>6247</v>
      </c>
      <c r="D3723" s="393" t="s">
        <v>1135</v>
      </c>
      <c r="E3723" s="394" t="s">
        <v>6248</v>
      </c>
      <c r="F3723" s="402">
        <v>6919</v>
      </c>
      <c r="G3723" s="405" t="s">
        <v>6045</v>
      </c>
      <c r="H3723" s="74">
        <v>3357</v>
      </c>
      <c r="I3723" s="50" t="s">
        <v>2</v>
      </c>
      <c r="J3723" s="339" t="s">
        <v>1061</v>
      </c>
      <c r="K3723" s="51">
        <v>41604</v>
      </c>
      <c r="L3723" s="173">
        <v>41600</v>
      </c>
      <c r="M3723" s="50">
        <f t="shared" si="228"/>
        <v>4</v>
      </c>
      <c r="N3723" s="50" t="s">
        <v>2</v>
      </c>
      <c r="X3723" s="50">
        <v>0.16300000000000001</v>
      </c>
      <c r="Z3723" s="165"/>
    </row>
    <row r="3724" spans="1:30" ht="15" customHeight="1">
      <c r="A3724" s="41" t="s">
        <v>183</v>
      </c>
      <c r="B3724" s="402" t="s">
        <v>6247</v>
      </c>
      <c r="C3724" s="113" t="s">
        <v>6247</v>
      </c>
      <c r="D3724" s="393" t="s">
        <v>1135</v>
      </c>
      <c r="E3724" s="394" t="s">
        <v>6248</v>
      </c>
      <c r="F3724" s="402">
        <v>6919</v>
      </c>
      <c r="G3724" s="405" t="s">
        <v>6045</v>
      </c>
      <c r="H3724" s="74">
        <v>3357</v>
      </c>
      <c r="I3724" s="50" t="s">
        <v>2</v>
      </c>
      <c r="J3724" s="339" t="s">
        <v>1062</v>
      </c>
      <c r="K3724" s="51">
        <v>41604</v>
      </c>
      <c r="L3724" s="173">
        <v>41600</v>
      </c>
      <c r="M3724" s="50">
        <f t="shared" si="228"/>
        <v>4</v>
      </c>
      <c r="N3724" s="50" t="s">
        <v>2</v>
      </c>
      <c r="W3724" s="74">
        <v>5.5E-2</v>
      </c>
      <c r="Z3724" s="165"/>
    </row>
    <row r="3725" spans="1:30" ht="15" customHeight="1">
      <c r="A3725" s="41" t="s">
        <v>183</v>
      </c>
      <c r="B3725" s="402" t="s">
        <v>6247</v>
      </c>
      <c r="C3725" s="113" t="s">
        <v>6247</v>
      </c>
      <c r="D3725" s="393" t="s">
        <v>1135</v>
      </c>
      <c r="E3725" s="394" t="s">
        <v>6248</v>
      </c>
      <c r="F3725" s="402">
        <v>6919</v>
      </c>
      <c r="G3725" s="405" t="s">
        <v>6045</v>
      </c>
      <c r="H3725" s="74">
        <v>3357</v>
      </c>
      <c r="I3725" s="50" t="s">
        <v>2</v>
      </c>
      <c r="J3725" s="339" t="s">
        <v>1063</v>
      </c>
      <c r="K3725" s="51">
        <v>41604</v>
      </c>
      <c r="L3725" s="173">
        <v>41600</v>
      </c>
      <c r="M3725" s="50">
        <f t="shared" si="228"/>
        <v>4</v>
      </c>
      <c r="N3725" s="50" t="s">
        <v>2</v>
      </c>
      <c r="V3725" s="50">
        <v>0.65</v>
      </c>
      <c r="W3725" s="74">
        <v>2.8000000000000001E-2</v>
      </c>
      <c r="X3725" s="50">
        <v>0.122</v>
      </c>
      <c r="Z3725" s="165"/>
    </row>
    <row r="3726" spans="1:30" ht="15" customHeight="1">
      <c r="A3726" s="41" t="s">
        <v>183</v>
      </c>
      <c r="B3726" s="402" t="s">
        <v>6247</v>
      </c>
      <c r="C3726" s="113" t="s">
        <v>6247</v>
      </c>
      <c r="D3726" s="393" t="s">
        <v>1135</v>
      </c>
      <c r="E3726" s="394" t="s">
        <v>6248</v>
      </c>
      <c r="F3726" s="402">
        <v>6919</v>
      </c>
      <c r="G3726" s="405" t="s">
        <v>6045</v>
      </c>
      <c r="H3726" s="74">
        <v>3357</v>
      </c>
      <c r="I3726" s="50" t="s">
        <v>2</v>
      </c>
      <c r="J3726" s="339" t="s">
        <v>1064</v>
      </c>
      <c r="K3726" s="51">
        <v>41604</v>
      </c>
      <c r="L3726" s="173">
        <v>41600</v>
      </c>
      <c r="M3726" s="50">
        <f t="shared" si="228"/>
        <v>4</v>
      </c>
      <c r="N3726" s="50" t="s">
        <v>2</v>
      </c>
      <c r="R3726" s="50">
        <v>10</v>
      </c>
      <c r="S3726" s="74">
        <v>10.8</v>
      </c>
      <c r="W3726" s="74">
        <v>8.0000000000000002E-3</v>
      </c>
      <c r="X3726" s="50">
        <v>2.5000000000000001E-2</v>
      </c>
      <c r="Z3726" s="165"/>
    </row>
    <row r="3727" spans="1:30" ht="15" customHeight="1">
      <c r="A3727" s="41" t="s">
        <v>183</v>
      </c>
      <c r="B3727" s="402" t="s">
        <v>6247</v>
      </c>
      <c r="C3727" s="113" t="s">
        <v>6247</v>
      </c>
      <c r="D3727" s="393" t="s">
        <v>1135</v>
      </c>
      <c r="E3727" s="394" t="s">
        <v>6248</v>
      </c>
      <c r="F3727" s="402">
        <v>6919</v>
      </c>
      <c r="G3727" s="405" t="s">
        <v>6045</v>
      </c>
      <c r="H3727" s="74">
        <v>3357</v>
      </c>
      <c r="I3727" s="50" t="s">
        <v>2</v>
      </c>
      <c r="J3727" s="339" t="s">
        <v>1065</v>
      </c>
      <c r="K3727" s="51">
        <v>41604</v>
      </c>
      <c r="L3727" s="173">
        <v>41600</v>
      </c>
      <c r="M3727" s="50">
        <f t="shared" si="228"/>
        <v>4</v>
      </c>
      <c r="N3727" s="50" t="s">
        <v>2</v>
      </c>
      <c r="R3727" s="50">
        <v>160</v>
      </c>
      <c r="S3727" s="74">
        <v>48</v>
      </c>
      <c r="W3727" s="74">
        <v>4.4999999999999998E-2</v>
      </c>
      <c r="X3727" s="50">
        <v>0.14399999999999999</v>
      </c>
      <c r="Z3727" s="165"/>
    </row>
    <row r="3728" spans="1:30" ht="15" customHeight="1">
      <c r="A3728" s="404" t="s">
        <v>4668</v>
      </c>
      <c r="B3728" s="402" t="s">
        <v>6247</v>
      </c>
      <c r="C3728" s="113" t="s">
        <v>6247</v>
      </c>
      <c r="D3728" s="393" t="s">
        <v>1135</v>
      </c>
      <c r="E3728" s="394" t="s">
        <v>6248</v>
      </c>
      <c r="F3728" s="402">
        <v>6919</v>
      </c>
      <c r="G3728" s="405" t="s">
        <v>6045</v>
      </c>
      <c r="H3728" s="74">
        <v>3357</v>
      </c>
      <c r="I3728" s="50" t="s">
        <v>2</v>
      </c>
      <c r="J3728" s="339" t="s">
        <v>700</v>
      </c>
      <c r="K3728" s="51">
        <v>41539</v>
      </c>
      <c r="L3728" s="173">
        <v>41529</v>
      </c>
      <c r="M3728" s="50">
        <f t="shared" si="228"/>
        <v>10</v>
      </c>
      <c r="N3728" s="50" t="s">
        <v>2</v>
      </c>
      <c r="O3728" s="74">
        <f>1.9/2</f>
        <v>0.95</v>
      </c>
      <c r="P3728" s="50">
        <v>6.85</v>
      </c>
      <c r="Q3728" s="74">
        <v>7.99</v>
      </c>
      <c r="R3728" s="50">
        <f>20/2</f>
        <v>10</v>
      </c>
      <c r="S3728" s="74">
        <v>79</v>
      </c>
      <c r="T3728" s="50">
        <v>5.8000000000000003E-2</v>
      </c>
      <c r="U3728" s="131">
        <v>1.7</v>
      </c>
      <c r="V3728" s="50">
        <f>0.46/2</f>
        <v>0.23</v>
      </c>
      <c r="W3728" s="74">
        <v>8.5999999999999993E-2</v>
      </c>
      <c r="X3728" s="50">
        <v>6.6000000000000003E-2</v>
      </c>
      <c r="Y3728" s="74">
        <v>0.128</v>
      </c>
      <c r="Z3728" s="165">
        <v>0.70699999999999996</v>
      </c>
      <c r="AA3728" s="271">
        <v>0.70699999999999996</v>
      </c>
      <c r="AB3728" s="114">
        <f>2/2</f>
        <v>1</v>
      </c>
      <c r="AC3728" s="50">
        <v>4</v>
      </c>
      <c r="AD3728" s="271">
        <v>0</v>
      </c>
    </row>
    <row r="3729" spans="1:30" ht="15" customHeight="1">
      <c r="A3729" s="404" t="s">
        <v>4668</v>
      </c>
      <c r="B3729" s="402" t="s">
        <v>6247</v>
      </c>
      <c r="C3729" s="113" t="s">
        <v>6247</v>
      </c>
      <c r="D3729" s="393" t="s">
        <v>1135</v>
      </c>
      <c r="E3729" s="394" t="s">
        <v>6248</v>
      </c>
      <c r="F3729" s="402">
        <v>6919</v>
      </c>
      <c r="G3729" s="405" t="s">
        <v>6045</v>
      </c>
      <c r="H3729" s="74">
        <v>3357</v>
      </c>
      <c r="I3729" s="50" t="s">
        <v>2</v>
      </c>
      <c r="J3729" s="339" t="s">
        <v>1061</v>
      </c>
      <c r="K3729" s="51">
        <v>41539</v>
      </c>
      <c r="L3729" s="173">
        <v>41529</v>
      </c>
      <c r="M3729" s="50">
        <f t="shared" si="228"/>
        <v>10</v>
      </c>
      <c r="N3729" s="50" t="s">
        <v>2</v>
      </c>
      <c r="O3729" s="74">
        <f>1.7/2</f>
        <v>0.85</v>
      </c>
      <c r="P3729" s="50">
        <v>6.85</v>
      </c>
      <c r="Q3729" s="74">
        <v>7.18</v>
      </c>
      <c r="R3729" s="50">
        <f>20/2</f>
        <v>10</v>
      </c>
      <c r="S3729" s="74">
        <v>12.6</v>
      </c>
      <c r="T3729" s="50">
        <v>0.05</v>
      </c>
      <c r="U3729" s="131">
        <v>1</v>
      </c>
      <c r="V3729" s="50">
        <f>0.46/2</f>
        <v>0.23</v>
      </c>
      <c r="W3729" s="74">
        <v>8.9999999999999993E-3</v>
      </c>
      <c r="X3729" s="50">
        <v>5.2999999999999999E-2</v>
      </c>
      <c r="Y3729" s="74">
        <v>5.3E-3</v>
      </c>
      <c r="Z3729" s="165">
        <v>1</v>
      </c>
      <c r="AA3729" s="271">
        <v>1</v>
      </c>
      <c r="AB3729" s="114">
        <v>2</v>
      </c>
      <c r="AC3729" s="50">
        <v>12</v>
      </c>
      <c r="AD3729" s="271">
        <v>0.85</v>
      </c>
    </row>
    <row r="3730" spans="1:30" ht="15" customHeight="1">
      <c r="A3730" s="404" t="s">
        <v>4668</v>
      </c>
      <c r="B3730" s="402" t="s">
        <v>6247</v>
      </c>
      <c r="C3730" s="113" t="s">
        <v>6247</v>
      </c>
      <c r="D3730" s="393" t="s">
        <v>1135</v>
      </c>
      <c r="E3730" s="394" t="s">
        <v>6248</v>
      </c>
      <c r="F3730" s="402">
        <v>6919</v>
      </c>
      <c r="G3730" s="405" t="s">
        <v>6045</v>
      </c>
      <c r="H3730" s="74">
        <v>3357</v>
      </c>
      <c r="I3730" s="50" t="s">
        <v>2</v>
      </c>
      <c r="J3730" s="339" t="s">
        <v>1062</v>
      </c>
      <c r="K3730" s="51">
        <v>41539</v>
      </c>
      <c r="L3730" s="173">
        <v>41529</v>
      </c>
      <c r="M3730" s="50">
        <f t="shared" si="228"/>
        <v>10</v>
      </c>
      <c r="N3730" s="50" t="s">
        <v>2</v>
      </c>
      <c r="O3730" s="74">
        <f>2/2</f>
        <v>1</v>
      </c>
      <c r="P3730" s="50">
        <v>6.85</v>
      </c>
      <c r="Q3730" s="74">
        <v>8.0299999999999994</v>
      </c>
      <c r="R3730" s="50">
        <f>20/2</f>
        <v>10</v>
      </c>
      <c r="S3730" s="74">
        <v>1</v>
      </c>
      <c r="T3730" s="50">
        <v>1.6E-2</v>
      </c>
      <c r="U3730" s="131">
        <f>1/2</f>
        <v>0.5</v>
      </c>
      <c r="V3730" s="50">
        <f>0.46/2</f>
        <v>0.23</v>
      </c>
      <c r="W3730" s="74">
        <v>1.4999999999999999E-2</v>
      </c>
      <c r="X3730" s="50">
        <v>1.4999999999999999E-2</v>
      </c>
      <c r="Y3730" s="74">
        <v>1.7399999999999999E-2</v>
      </c>
      <c r="Z3730" s="165">
        <v>1</v>
      </c>
      <c r="AA3730" s="271">
        <v>1</v>
      </c>
      <c r="AB3730" s="114">
        <f>2/2</f>
        <v>1</v>
      </c>
      <c r="AC3730" s="50">
        <v>4</v>
      </c>
      <c r="AD3730" s="271">
        <v>0.9</v>
      </c>
    </row>
    <row r="3731" spans="1:30" ht="15" customHeight="1">
      <c r="A3731" s="404" t="s">
        <v>4668</v>
      </c>
      <c r="B3731" s="402" t="s">
        <v>6247</v>
      </c>
      <c r="C3731" s="113" t="s">
        <v>6247</v>
      </c>
      <c r="D3731" s="393" t="s">
        <v>1135</v>
      </c>
      <c r="E3731" s="394" t="s">
        <v>6248</v>
      </c>
      <c r="F3731" s="402">
        <v>6919</v>
      </c>
      <c r="G3731" s="405" t="s">
        <v>6045</v>
      </c>
      <c r="H3731" s="74">
        <v>3357</v>
      </c>
      <c r="I3731" s="50" t="s">
        <v>2</v>
      </c>
      <c r="J3731" s="339" t="s">
        <v>1063</v>
      </c>
      <c r="K3731" s="51">
        <v>41539</v>
      </c>
      <c r="L3731" s="173">
        <v>41529</v>
      </c>
      <c r="M3731" s="50">
        <f t="shared" si="228"/>
        <v>10</v>
      </c>
      <c r="N3731" s="50" t="s">
        <v>2</v>
      </c>
      <c r="O3731" s="74">
        <f>1.9/2</f>
        <v>0.95</v>
      </c>
      <c r="P3731" s="50">
        <v>6.85</v>
      </c>
      <c r="Q3731" s="74">
        <v>7.21</v>
      </c>
      <c r="R3731" s="50">
        <v>42</v>
      </c>
      <c r="S3731" s="74">
        <v>18.2</v>
      </c>
      <c r="T3731" s="50">
        <v>0.33800000000000002</v>
      </c>
      <c r="U3731" s="131">
        <v>3.4</v>
      </c>
      <c r="V3731" s="50">
        <v>1.95</v>
      </c>
      <c r="W3731" s="74">
        <v>0.219</v>
      </c>
      <c r="X3731" s="50">
        <v>0.56899999999999995</v>
      </c>
      <c r="Y3731" s="74">
        <v>8.2299999999999998E-2</v>
      </c>
      <c r="Z3731" s="165">
        <v>0.57399999999999995</v>
      </c>
      <c r="AA3731" s="271">
        <v>0.35399999999999998</v>
      </c>
      <c r="AB3731" s="114">
        <v>14</v>
      </c>
      <c r="AC3731" s="50">
        <v>64</v>
      </c>
      <c r="AD3731" s="271">
        <v>0</v>
      </c>
    </row>
    <row r="3732" spans="1:30" ht="15" customHeight="1">
      <c r="A3732" s="404" t="s">
        <v>4668</v>
      </c>
      <c r="B3732" s="402" t="s">
        <v>6247</v>
      </c>
      <c r="C3732" s="113" t="s">
        <v>6247</v>
      </c>
      <c r="D3732" s="393" t="s">
        <v>1135</v>
      </c>
      <c r="E3732" s="394" t="s">
        <v>6248</v>
      </c>
      <c r="F3732" s="402">
        <v>6919</v>
      </c>
      <c r="G3732" s="405" t="s">
        <v>6045</v>
      </c>
      <c r="H3732" s="74">
        <v>3357</v>
      </c>
      <c r="I3732" s="50" t="s">
        <v>2</v>
      </c>
      <c r="J3732" s="339" t="s">
        <v>1064</v>
      </c>
      <c r="K3732" s="51">
        <v>41539</v>
      </c>
      <c r="L3732" s="173">
        <v>41529</v>
      </c>
      <c r="M3732" s="50">
        <f t="shared" si="228"/>
        <v>10</v>
      </c>
      <c r="N3732" s="50" t="s">
        <v>2</v>
      </c>
      <c r="O3732" s="74">
        <f>1.9/2</f>
        <v>0.95</v>
      </c>
      <c r="P3732" s="50">
        <v>6.85</v>
      </c>
      <c r="Q3732" s="74">
        <v>7.84</v>
      </c>
      <c r="R3732" s="50">
        <v>150</v>
      </c>
      <c r="S3732" s="74">
        <v>256</v>
      </c>
      <c r="T3732" s="50">
        <v>0.372</v>
      </c>
      <c r="U3732" s="131">
        <v>1.8</v>
      </c>
      <c r="V3732" s="50">
        <v>0.5</v>
      </c>
      <c r="W3732" s="74">
        <v>8.4000000000000005E-2</v>
      </c>
      <c r="X3732" s="50">
        <v>0.31</v>
      </c>
      <c r="Y3732" s="74">
        <v>5.8400000000000001E-2</v>
      </c>
      <c r="Z3732" s="165">
        <v>1</v>
      </c>
      <c r="AA3732" s="271">
        <v>1</v>
      </c>
      <c r="AB3732" s="114">
        <v>12</v>
      </c>
      <c r="AC3732" s="50">
        <v>46</v>
      </c>
      <c r="AD3732" s="271">
        <v>1</v>
      </c>
    </row>
    <row r="3733" spans="1:30" ht="15" customHeight="1">
      <c r="A3733" s="404" t="s">
        <v>4668</v>
      </c>
      <c r="B3733" s="402" t="s">
        <v>6247</v>
      </c>
      <c r="C3733" s="113" t="s">
        <v>6247</v>
      </c>
      <c r="D3733" s="393" t="s">
        <v>1135</v>
      </c>
      <c r="E3733" s="394" t="s">
        <v>6248</v>
      </c>
      <c r="F3733" s="402">
        <v>6919</v>
      </c>
      <c r="G3733" s="405" t="s">
        <v>6045</v>
      </c>
      <c r="H3733" s="74">
        <v>3357</v>
      </c>
      <c r="I3733" s="50" t="s">
        <v>2</v>
      </c>
      <c r="J3733" s="339" t="s">
        <v>1065</v>
      </c>
      <c r="K3733" s="51">
        <v>41539</v>
      </c>
      <c r="L3733" s="173">
        <v>41529</v>
      </c>
      <c r="M3733" s="50">
        <f t="shared" si="228"/>
        <v>10</v>
      </c>
      <c r="N3733" s="50" t="s">
        <v>2</v>
      </c>
      <c r="O3733" s="74">
        <f>1.9/2</f>
        <v>0.95</v>
      </c>
      <c r="P3733" s="50">
        <v>6.85</v>
      </c>
      <c r="Q3733" s="74">
        <v>8.08</v>
      </c>
      <c r="R3733" s="50">
        <v>21</v>
      </c>
      <c r="S3733" s="74">
        <v>28.4</v>
      </c>
      <c r="T3733" s="50">
        <v>5.8999999999999997E-2</v>
      </c>
      <c r="U3733" s="131">
        <f>1/2</f>
        <v>0.5</v>
      </c>
      <c r="V3733" s="50">
        <f>0.46/2</f>
        <v>0.23</v>
      </c>
      <c r="W3733" s="74">
        <v>2.5000000000000001E-2</v>
      </c>
      <c r="X3733" s="50">
        <v>7.3999999999999996E-2</v>
      </c>
      <c r="Y3733" s="74">
        <v>8.5000000000000006E-3</v>
      </c>
      <c r="Z3733" s="165">
        <v>1</v>
      </c>
      <c r="AA3733" s="271">
        <v>0.71699999999999997</v>
      </c>
      <c r="AB3733" s="114">
        <v>4</v>
      </c>
      <c r="AC3733" s="50">
        <v>12</v>
      </c>
      <c r="AD3733" s="271">
        <v>0.05</v>
      </c>
    </row>
    <row r="3734" spans="1:30" ht="15" customHeight="1">
      <c r="A3734" s="404" t="s">
        <v>4668</v>
      </c>
      <c r="B3734" s="402" t="s">
        <v>6249</v>
      </c>
      <c r="C3734" s="113" t="s">
        <v>6250</v>
      </c>
      <c r="D3734" s="393" t="s">
        <v>111</v>
      </c>
      <c r="E3734" s="258" t="s">
        <v>112</v>
      </c>
      <c r="F3734" s="64" t="s">
        <v>987</v>
      </c>
      <c r="G3734" s="405" t="s">
        <v>541</v>
      </c>
      <c r="H3734" s="74">
        <v>2821</v>
      </c>
      <c r="I3734" s="50" t="s">
        <v>2</v>
      </c>
      <c r="J3734" s="339" t="s">
        <v>96</v>
      </c>
      <c r="K3734" s="51">
        <v>41499</v>
      </c>
      <c r="L3734" s="173">
        <v>41495</v>
      </c>
      <c r="M3734" s="50">
        <f t="shared" si="228"/>
        <v>4</v>
      </c>
      <c r="N3734" s="50" t="s">
        <v>2</v>
      </c>
      <c r="O3734" s="74">
        <f>1/2</f>
        <v>0.5</v>
      </c>
      <c r="P3734" s="50">
        <v>6.9</v>
      </c>
      <c r="Q3734" s="74">
        <v>6.7</v>
      </c>
      <c r="R3734" s="50">
        <v>12</v>
      </c>
      <c r="S3734" s="74">
        <v>2</v>
      </c>
      <c r="T3734" s="50">
        <v>0.05</v>
      </c>
      <c r="U3734" s="131">
        <v>2</v>
      </c>
      <c r="V3734" s="50">
        <v>1.7</v>
      </c>
      <c r="W3734" s="74">
        <f>0.002/2</f>
        <v>1E-3</v>
      </c>
      <c r="X3734" s="50">
        <f>0.01/2</f>
        <v>5.0000000000000001E-3</v>
      </c>
      <c r="Y3734" s="74">
        <f>0.005/2</f>
        <v>2.5000000000000001E-3</v>
      </c>
      <c r="Z3734" s="165"/>
    </row>
    <row r="3735" spans="1:30" ht="15" customHeight="1">
      <c r="A3735" s="404" t="s">
        <v>4668</v>
      </c>
      <c r="B3735" s="402" t="s">
        <v>3293</v>
      </c>
      <c r="C3735" s="113" t="s">
        <v>3294</v>
      </c>
      <c r="D3735" s="393" t="s">
        <v>1837</v>
      </c>
      <c r="E3735" s="394" t="s">
        <v>3295</v>
      </c>
      <c r="F3735" s="402">
        <v>5202</v>
      </c>
      <c r="G3735" s="405" t="s">
        <v>3296</v>
      </c>
      <c r="H3735" s="74">
        <v>4225</v>
      </c>
      <c r="I3735" s="50" t="s">
        <v>2</v>
      </c>
      <c r="J3735" s="339" t="s">
        <v>2191</v>
      </c>
      <c r="K3735" s="51">
        <v>41402</v>
      </c>
      <c r="L3735" s="173">
        <v>41398</v>
      </c>
      <c r="M3735" s="50">
        <f t="shared" si="228"/>
        <v>4</v>
      </c>
      <c r="N3735" s="50" t="s">
        <v>2</v>
      </c>
      <c r="O3735" s="74">
        <f>1.4/2</f>
        <v>0.7</v>
      </c>
      <c r="P3735" s="50">
        <v>7</v>
      </c>
      <c r="Q3735" s="74">
        <v>7.1</v>
      </c>
      <c r="R3735" s="50">
        <v>53</v>
      </c>
      <c r="S3735" s="74">
        <v>12</v>
      </c>
      <c r="T3735" s="50">
        <v>0.2</v>
      </c>
      <c r="U3735" s="131">
        <v>1.59</v>
      </c>
      <c r="V3735" s="50">
        <v>0.57999999999999996</v>
      </c>
      <c r="W3735" s="74">
        <v>0.01</v>
      </c>
      <c r="X3735" s="50">
        <v>4.1000000000000002E-2</v>
      </c>
      <c r="Y3735" s="74">
        <v>2E-3</v>
      </c>
      <c r="Z3735" s="165">
        <v>1</v>
      </c>
      <c r="AA3735" s="271">
        <v>1</v>
      </c>
      <c r="AB3735" s="114">
        <v>16</v>
      </c>
      <c r="AC3735" s="50">
        <v>272</v>
      </c>
      <c r="AD3735" s="271">
        <v>1</v>
      </c>
    </row>
    <row r="3736" spans="1:30" ht="15" customHeight="1">
      <c r="A3736" s="404" t="s">
        <v>4668</v>
      </c>
      <c r="B3736" s="402" t="s">
        <v>6251</v>
      </c>
      <c r="C3736" s="113" t="s">
        <v>6251</v>
      </c>
      <c r="D3736" s="393" t="s">
        <v>1881</v>
      </c>
      <c r="E3736" s="394" t="s">
        <v>6252</v>
      </c>
      <c r="F3736" s="402">
        <v>4004</v>
      </c>
      <c r="G3736" s="405" t="s">
        <v>6253</v>
      </c>
      <c r="H3736" s="74">
        <v>3679</v>
      </c>
      <c r="I3736" s="50" t="s">
        <v>2</v>
      </c>
      <c r="J3736" s="339" t="s">
        <v>1030</v>
      </c>
      <c r="K3736" s="51">
        <v>41529</v>
      </c>
      <c r="L3736" s="173">
        <v>41519</v>
      </c>
      <c r="M3736" s="50">
        <f t="shared" si="228"/>
        <v>10</v>
      </c>
      <c r="N3736" s="50" t="s">
        <v>2</v>
      </c>
      <c r="O3736" s="74">
        <f>1.7/2</f>
        <v>0.85</v>
      </c>
      <c r="P3736" s="50">
        <v>7.99</v>
      </c>
      <c r="Q3736" s="74">
        <v>5.0999999999999996</v>
      </c>
      <c r="R3736" s="50">
        <v>21</v>
      </c>
      <c r="S3736" s="74">
        <v>15.2</v>
      </c>
      <c r="T3736" s="50">
        <v>5.7000000000000002E-2</v>
      </c>
      <c r="U3736" s="131">
        <v>1.1000000000000001</v>
      </c>
      <c r="V3736" s="50">
        <v>0.48</v>
      </c>
      <c r="W3736" s="74">
        <v>5.0000000000000001E-3</v>
      </c>
      <c r="X3736" s="50">
        <v>0.08</v>
      </c>
      <c r="Y3736" s="74">
        <v>6.7000000000000002E-3</v>
      </c>
      <c r="Z3736" s="165"/>
    </row>
    <row r="3737" spans="1:30" ht="15" customHeight="1">
      <c r="A3737" s="404" t="s">
        <v>4668</v>
      </c>
      <c r="B3737" s="402" t="s">
        <v>6251</v>
      </c>
      <c r="C3737" s="113" t="s">
        <v>6251</v>
      </c>
      <c r="D3737" s="393" t="s">
        <v>1881</v>
      </c>
      <c r="E3737" s="394" t="s">
        <v>6252</v>
      </c>
      <c r="F3737" s="402">
        <v>4004</v>
      </c>
      <c r="G3737" s="405" t="s">
        <v>6253</v>
      </c>
      <c r="H3737" s="74">
        <v>3679</v>
      </c>
      <c r="I3737" s="50" t="s">
        <v>2</v>
      </c>
      <c r="J3737" s="339" t="s">
        <v>1030</v>
      </c>
      <c r="K3737" s="51">
        <v>41170</v>
      </c>
      <c r="L3737" s="173">
        <v>41161</v>
      </c>
      <c r="M3737" s="50">
        <f t="shared" si="228"/>
        <v>9</v>
      </c>
      <c r="N3737" s="50" t="s">
        <v>2</v>
      </c>
      <c r="O3737" s="74">
        <f>1.8/2</f>
        <v>0.9</v>
      </c>
      <c r="P3737" s="50">
        <v>6.1</v>
      </c>
      <c r="Q3737" s="74">
        <v>7</v>
      </c>
      <c r="R3737" s="50">
        <v>37</v>
      </c>
      <c r="S3737" s="74">
        <v>21.4</v>
      </c>
      <c r="T3737" s="50">
        <v>0.105</v>
      </c>
      <c r="U3737" s="131">
        <v>1</v>
      </c>
      <c r="V3737" s="50">
        <v>0.76</v>
      </c>
      <c r="W3737" s="74">
        <f>0.005/2</f>
        <v>2.5000000000000001E-3</v>
      </c>
      <c r="X3737" s="50">
        <v>1.7999999999999999E-2</v>
      </c>
      <c r="Y3737" s="74">
        <f>0.005/2</f>
        <v>2.5000000000000001E-3</v>
      </c>
      <c r="Z3737" s="165">
        <v>1</v>
      </c>
      <c r="AA3737" s="271">
        <v>1</v>
      </c>
      <c r="AB3737" s="114">
        <v>6</v>
      </c>
      <c r="AC3737" s="50">
        <v>57</v>
      </c>
      <c r="AD3737" s="271">
        <v>1</v>
      </c>
    </row>
    <row r="3738" spans="1:30" ht="15" customHeight="1">
      <c r="A3738" s="404" t="s">
        <v>4668</v>
      </c>
      <c r="B3738" s="402" t="s">
        <v>6251</v>
      </c>
      <c r="C3738" s="113" t="s">
        <v>6251</v>
      </c>
      <c r="D3738" s="393" t="s">
        <v>1881</v>
      </c>
      <c r="E3738" s="394" t="s">
        <v>6252</v>
      </c>
      <c r="F3738" s="402">
        <v>4004</v>
      </c>
      <c r="G3738" s="405" t="s">
        <v>6253</v>
      </c>
      <c r="H3738" s="74">
        <v>3679</v>
      </c>
      <c r="I3738" s="50" t="s">
        <v>2</v>
      </c>
      <c r="J3738" s="339" t="s">
        <v>1030</v>
      </c>
      <c r="K3738" s="51">
        <v>40996</v>
      </c>
      <c r="L3738" s="173">
        <v>40993</v>
      </c>
      <c r="M3738" s="50">
        <f t="shared" si="228"/>
        <v>3</v>
      </c>
      <c r="N3738" s="50" t="s">
        <v>2</v>
      </c>
      <c r="O3738" s="74">
        <f>1.8/2</f>
        <v>0.9</v>
      </c>
      <c r="P3738" s="50">
        <v>6.94</v>
      </c>
      <c r="Q3738" s="74">
        <v>7.43</v>
      </c>
      <c r="R3738" s="50">
        <v>110</v>
      </c>
      <c r="S3738" s="74">
        <v>76</v>
      </c>
      <c r="T3738" s="50">
        <v>0.33100000000000002</v>
      </c>
      <c r="U3738" s="131">
        <v>1.5</v>
      </c>
      <c r="V3738" s="50">
        <v>1.94</v>
      </c>
      <c r="W3738" s="74">
        <v>1.4E-2</v>
      </c>
      <c r="X3738" s="50">
        <v>0.05</v>
      </c>
      <c r="Y3738" s="74">
        <v>6.4000000000000003E-3</v>
      </c>
      <c r="Z3738" s="165"/>
    </row>
    <row r="3739" spans="1:30" ht="15" customHeight="1">
      <c r="A3739" s="404" t="s">
        <v>4668</v>
      </c>
      <c r="B3739" s="402" t="s">
        <v>6251</v>
      </c>
      <c r="C3739" s="113" t="s">
        <v>6251</v>
      </c>
      <c r="D3739" s="393" t="s">
        <v>1881</v>
      </c>
      <c r="E3739" s="394" t="s">
        <v>6252</v>
      </c>
      <c r="F3739" s="402">
        <v>4004</v>
      </c>
      <c r="G3739" s="405" t="s">
        <v>6253</v>
      </c>
      <c r="H3739" s="74">
        <v>3679</v>
      </c>
      <c r="I3739" s="50" t="s">
        <v>2</v>
      </c>
      <c r="J3739" s="339" t="s">
        <v>1030</v>
      </c>
      <c r="K3739" s="51">
        <v>41345</v>
      </c>
      <c r="L3739" s="173">
        <v>41341</v>
      </c>
      <c r="M3739" s="50">
        <f t="shared" si="228"/>
        <v>4</v>
      </c>
      <c r="N3739" s="50" t="s">
        <v>2</v>
      </c>
      <c r="O3739" s="74">
        <f>1.7/2</f>
        <v>0.85</v>
      </c>
      <c r="P3739" s="50">
        <v>7</v>
      </c>
      <c r="Q3739" s="74">
        <v>7.2</v>
      </c>
      <c r="R3739" s="50">
        <f>20/2</f>
        <v>10</v>
      </c>
      <c r="S3739" s="74">
        <v>17.7</v>
      </c>
      <c r="T3739" s="50">
        <v>4.2000000000000003E-2</v>
      </c>
      <c r="U3739" s="131">
        <v>1.8</v>
      </c>
      <c r="V3739" s="50">
        <f>0.46/2</f>
        <v>0.23</v>
      </c>
      <c r="W3739" s="74">
        <f>0.005/2</f>
        <v>2.5000000000000001E-3</v>
      </c>
      <c r="X3739" s="50">
        <v>3.4000000000000002E-2</v>
      </c>
      <c r="Y3739" s="74">
        <f>0.005/2</f>
        <v>2.5000000000000001E-3</v>
      </c>
      <c r="Z3739" s="165">
        <v>1</v>
      </c>
      <c r="AA3739" s="271">
        <v>1</v>
      </c>
      <c r="AB3739" s="114">
        <v>10</v>
      </c>
      <c r="AC3739" s="50">
        <v>46</v>
      </c>
      <c r="AD3739" s="271">
        <v>1</v>
      </c>
    </row>
    <row r="3740" spans="1:30" ht="15" customHeight="1">
      <c r="A3740" s="404" t="s">
        <v>4668</v>
      </c>
      <c r="B3740" s="402" t="s">
        <v>5231</v>
      </c>
      <c r="C3740" s="113" t="s">
        <v>2285</v>
      </c>
      <c r="D3740" s="393" t="s">
        <v>41</v>
      </c>
      <c r="E3740" s="394" t="s">
        <v>2286</v>
      </c>
      <c r="F3740" s="402" t="s">
        <v>961</v>
      </c>
      <c r="G3740" s="405" t="s">
        <v>2287</v>
      </c>
      <c r="H3740" s="74">
        <v>4225</v>
      </c>
      <c r="I3740" s="50" t="s">
        <v>2</v>
      </c>
      <c r="J3740" s="48" t="s">
        <v>1126</v>
      </c>
      <c r="K3740" s="51">
        <v>41345</v>
      </c>
      <c r="L3740" s="173">
        <v>41341</v>
      </c>
      <c r="M3740" s="50">
        <f t="shared" si="228"/>
        <v>4</v>
      </c>
      <c r="N3740" s="50" t="s">
        <v>1</v>
      </c>
      <c r="O3740" s="74">
        <f>1.7/2</f>
        <v>0.85</v>
      </c>
      <c r="P3740" s="50">
        <v>6.4</v>
      </c>
      <c r="Q3740" s="74">
        <v>7.3</v>
      </c>
      <c r="R3740" s="50">
        <v>44</v>
      </c>
      <c r="S3740" s="74">
        <v>26.5</v>
      </c>
      <c r="T3740" s="50">
        <v>0.16600000000000001</v>
      </c>
      <c r="U3740" s="131">
        <v>3</v>
      </c>
      <c r="V3740" s="50">
        <v>0.5</v>
      </c>
      <c r="W3740" s="74">
        <v>8.9999999999999993E-3</v>
      </c>
      <c r="X3740" s="50">
        <v>0.38800000000000001</v>
      </c>
      <c r="Y3740" s="74">
        <f>0.005/2</f>
        <v>2.5000000000000001E-3</v>
      </c>
      <c r="Z3740" s="165"/>
    </row>
    <row r="3741" spans="1:30" ht="15" customHeight="1">
      <c r="A3741" s="404" t="s">
        <v>4668</v>
      </c>
      <c r="B3741" s="402" t="s">
        <v>1439</v>
      </c>
      <c r="C3741" s="113" t="s">
        <v>1439</v>
      </c>
      <c r="D3741" s="393" t="s">
        <v>372</v>
      </c>
      <c r="E3741" s="394" t="s">
        <v>1440</v>
      </c>
      <c r="F3741" s="402">
        <v>6900</v>
      </c>
      <c r="G3741" s="405" t="s">
        <v>1441</v>
      </c>
      <c r="H3741" s="74">
        <v>2899</v>
      </c>
      <c r="I3741" s="50" t="s">
        <v>2</v>
      </c>
      <c r="J3741" s="339" t="s">
        <v>114</v>
      </c>
      <c r="K3741" s="51">
        <v>41578</v>
      </c>
      <c r="L3741" s="173">
        <v>41554</v>
      </c>
      <c r="M3741" s="50">
        <f t="shared" si="228"/>
        <v>24</v>
      </c>
      <c r="N3741" s="50" t="s">
        <v>2</v>
      </c>
      <c r="O3741" s="74">
        <v>1.9</v>
      </c>
      <c r="P3741" s="50">
        <v>4.5199999999999996</v>
      </c>
      <c r="Q3741" s="74">
        <v>4.2300000000000004</v>
      </c>
      <c r="R3741" s="50">
        <v>23.7</v>
      </c>
      <c r="S3741" s="74">
        <v>10.5</v>
      </c>
      <c r="T3741" s="50">
        <v>7.0000000000000007E-2</v>
      </c>
      <c r="U3741" s="131">
        <v>1.55</v>
      </c>
      <c r="V3741" s="50">
        <v>0.49</v>
      </c>
      <c r="W3741" s="74">
        <v>0.02</v>
      </c>
      <c r="X3741" s="50">
        <v>0.09</v>
      </c>
      <c r="Y3741" s="74">
        <f>0.02/2</f>
        <v>0.01</v>
      </c>
      <c r="Z3741" s="165"/>
    </row>
    <row r="3742" spans="1:30" ht="15" customHeight="1">
      <c r="A3742" s="404" t="s">
        <v>4668</v>
      </c>
      <c r="B3742" s="402" t="s">
        <v>1439</v>
      </c>
      <c r="C3742" s="113" t="s">
        <v>1439</v>
      </c>
      <c r="D3742" s="393" t="s">
        <v>372</v>
      </c>
      <c r="E3742" s="394" t="s">
        <v>1440</v>
      </c>
      <c r="F3742" s="402">
        <v>6900</v>
      </c>
      <c r="G3742" s="405" t="s">
        <v>1441</v>
      </c>
      <c r="H3742" s="74">
        <v>2899</v>
      </c>
      <c r="I3742" s="50" t="s">
        <v>2</v>
      </c>
      <c r="J3742" s="339" t="s">
        <v>114</v>
      </c>
      <c r="K3742" s="51">
        <v>41402</v>
      </c>
      <c r="L3742" s="173">
        <v>41387</v>
      </c>
      <c r="M3742" s="50">
        <f t="shared" si="228"/>
        <v>15</v>
      </c>
      <c r="N3742" s="50" t="s">
        <v>2</v>
      </c>
      <c r="O3742" s="74">
        <v>1.6</v>
      </c>
      <c r="P3742" s="50">
        <v>5.21</v>
      </c>
      <c r="Q3742" s="74">
        <v>5.41</v>
      </c>
      <c r="R3742" s="50">
        <v>6.8</v>
      </c>
      <c r="S3742" s="74">
        <v>6.5</v>
      </c>
      <c r="T3742" s="50">
        <f>0.05/2</f>
        <v>2.5000000000000001E-2</v>
      </c>
      <c r="U3742" s="131">
        <v>0.77</v>
      </c>
      <c r="V3742" s="50">
        <f>0.2/2</f>
        <v>0.1</v>
      </c>
      <c r="W3742" s="74">
        <v>0.01</v>
      </c>
      <c r="X3742" s="50">
        <v>0.04</v>
      </c>
      <c r="Y3742" s="74">
        <f>0.02/2</f>
        <v>0.01</v>
      </c>
      <c r="Z3742" s="165">
        <v>1</v>
      </c>
      <c r="AA3742" s="271">
        <v>1</v>
      </c>
      <c r="AB3742" s="114">
        <v>6.71</v>
      </c>
      <c r="AC3742" s="50">
        <v>26.3</v>
      </c>
      <c r="AD3742" s="271">
        <v>1</v>
      </c>
    </row>
    <row r="3743" spans="1:30" ht="15" customHeight="1">
      <c r="A3743" s="41" t="s">
        <v>183</v>
      </c>
      <c r="B3743" s="402" t="s">
        <v>1926</v>
      </c>
      <c r="C3743" s="113" t="s">
        <v>1926</v>
      </c>
      <c r="D3743" s="393" t="s">
        <v>1505</v>
      </c>
      <c r="E3743" s="394" t="s">
        <v>44</v>
      </c>
      <c r="F3743" s="402" t="s">
        <v>6254</v>
      </c>
      <c r="G3743" s="405" t="s">
        <v>1927</v>
      </c>
      <c r="H3743" s="74">
        <v>3479</v>
      </c>
      <c r="I3743" s="50" t="s">
        <v>2</v>
      </c>
      <c r="J3743" s="48" t="s">
        <v>366</v>
      </c>
      <c r="K3743" s="51">
        <v>41585</v>
      </c>
      <c r="L3743" s="173">
        <v>41578</v>
      </c>
      <c r="M3743" s="50">
        <f t="shared" si="228"/>
        <v>7</v>
      </c>
      <c r="N3743" s="50" t="s">
        <v>2</v>
      </c>
      <c r="X3743" s="50">
        <v>0.38100000000000001</v>
      </c>
      <c r="Z3743" s="165"/>
    </row>
    <row r="3744" spans="1:30" ht="15" customHeight="1">
      <c r="A3744" s="41" t="s">
        <v>183</v>
      </c>
      <c r="B3744" s="402" t="s">
        <v>1926</v>
      </c>
      <c r="C3744" s="113" t="s">
        <v>1926</v>
      </c>
      <c r="D3744" s="393" t="s">
        <v>1505</v>
      </c>
      <c r="E3744" s="394" t="s">
        <v>44</v>
      </c>
      <c r="F3744" s="402" t="s">
        <v>6254</v>
      </c>
      <c r="G3744" s="405" t="s">
        <v>1927</v>
      </c>
      <c r="H3744" s="74">
        <v>3479</v>
      </c>
      <c r="I3744" s="50" t="s">
        <v>2</v>
      </c>
      <c r="J3744" s="48" t="s">
        <v>593</v>
      </c>
      <c r="K3744" s="51">
        <v>41585</v>
      </c>
      <c r="L3744" s="173">
        <v>41578</v>
      </c>
      <c r="M3744" s="50">
        <f t="shared" si="228"/>
        <v>7</v>
      </c>
      <c r="N3744" s="50" t="s">
        <v>2</v>
      </c>
      <c r="X3744" s="50">
        <v>7.1999999999999995E-2</v>
      </c>
      <c r="Z3744" s="165"/>
    </row>
    <row r="3745" spans="1:31" ht="15" customHeight="1">
      <c r="A3745" s="41" t="s">
        <v>183</v>
      </c>
      <c r="B3745" s="402" t="s">
        <v>1926</v>
      </c>
      <c r="C3745" s="113" t="s">
        <v>1926</v>
      </c>
      <c r="D3745" s="393" t="s">
        <v>1505</v>
      </c>
      <c r="E3745" s="394" t="s">
        <v>44</v>
      </c>
      <c r="F3745" s="402" t="s">
        <v>6254</v>
      </c>
      <c r="G3745" s="405" t="s">
        <v>1927</v>
      </c>
      <c r="H3745" s="74">
        <v>3479</v>
      </c>
      <c r="I3745" s="50" t="s">
        <v>2</v>
      </c>
      <c r="J3745" s="48" t="s">
        <v>477</v>
      </c>
      <c r="K3745" s="51">
        <v>41585</v>
      </c>
      <c r="L3745" s="173">
        <v>41578</v>
      </c>
      <c r="M3745" s="50">
        <f t="shared" si="228"/>
        <v>7</v>
      </c>
      <c r="N3745" s="50" t="s">
        <v>2</v>
      </c>
      <c r="R3745" s="50">
        <v>10</v>
      </c>
      <c r="U3745" s="131">
        <v>0.54</v>
      </c>
      <c r="V3745" s="50">
        <v>0.28999999999999998</v>
      </c>
      <c r="W3745" s="74">
        <v>5.8999999999999997E-2</v>
      </c>
      <c r="X3745" s="50">
        <v>1.78</v>
      </c>
      <c r="Z3745" s="165"/>
    </row>
    <row r="3746" spans="1:31" ht="15" customHeight="1">
      <c r="A3746" s="41" t="s">
        <v>183</v>
      </c>
      <c r="B3746" s="402" t="s">
        <v>1926</v>
      </c>
      <c r="C3746" s="113" t="s">
        <v>1926</v>
      </c>
      <c r="D3746" s="393" t="s">
        <v>1505</v>
      </c>
      <c r="E3746" s="394" t="s">
        <v>44</v>
      </c>
      <c r="F3746" s="402" t="s">
        <v>6254</v>
      </c>
      <c r="G3746" s="405" t="s">
        <v>1927</v>
      </c>
      <c r="H3746" s="74">
        <v>3479</v>
      </c>
      <c r="I3746" s="50" t="s">
        <v>2</v>
      </c>
      <c r="J3746" s="48" t="s">
        <v>366</v>
      </c>
      <c r="K3746" s="51">
        <v>41108</v>
      </c>
      <c r="L3746" s="173">
        <v>41092</v>
      </c>
      <c r="M3746" s="50">
        <f t="shared" si="228"/>
        <v>16</v>
      </c>
      <c r="N3746" s="50" t="s">
        <v>2</v>
      </c>
      <c r="O3746" s="74">
        <f t="shared" ref="O3746:O3751" si="229">1.4/2</f>
        <v>0.7</v>
      </c>
      <c r="P3746" s="50">
        <v>8.8000000000000007</v>
      </c>
      <c r="Q3746" s="74">
        <v>6.11</v>
      </c>
      <c r="R3746" s="50">
        <v>34</v>
      </c>
      <c r="S3746" s="74">
        <v>41</v>
      </c>
      <c r="T3746" s="50">
        <v>0.12</v>
      </c>
      <c r="U3746" s="131">
        <v>2.29</v>
      </c>
      <c r="V3746" s="50">
        <v>0.69</v>
      </c>
      <c r="W3746" s="74">
        <v>1.7000000000000001E-2</v>
      </c>
      <c r="X3746" s="50">
        <v>0.32400000000000001</v>
      </c>
      <c r="Y3746" s="74">
        <v>4.0000000000000001E-3</v>
      </c>
      <c r="Z3746" s="165"/>
    </row>
    <row r="3747" spans="1:31" ht="15" customHeight="1">
      <c r="A3747" s="41" t="s">
        <v>183</v>
      </c>
      <c r="B3747" s="402" t="s">
        <v>1926</v>
      </c>
      <c r="C3747" s="113" t="s">
        <v>1926</v>
      </c>
      <c r="D3747" s="393" t="s">
        <v>1505</v>
      </c>
      <c r="E3747" s="394" t="s">
        <v>44</v>
      </c>
      <c r="F3747" s="402" t="s">
        <v>6254</v>
      </c>
      <c r="G3747" s="405" t="s">
        <v>1927</v>
      </c>
      <c r="H3747" s="74">
        <v>3479</v>
      </c>
      <c r="I3747" s="50" t="s">
        <v>2</v>
      </c>
      <c r="J3747" s="48" t="s">
        <v>593</v>
      </c>
      <c r="K3747" s="51">
        <v>41108</v>
      </c>
      <c r="L3747" s="173">
        <v>41092</v>
      </c>
      <c r="M3747" s="50">
        <f>K3747-L3747</f>
        <v>16</v>
      </c>
      <c r="N3747" s="50" t="s">
        <v>2</v>
      </c>
      <c r="O3747" s="74">
        <f t="shared" si="229"/>
        <v>0.7</v>
      </c>
      <c r="P3747" s="50">
        <v>8.8000000000000007</v>
      </c>
      <c r="Q3747" s="74">
        <v>6.17</v>
      </c>
      <c r="R3747" s="50">
        <v>28</v>
      </c>
      <c r="S3747" s="74">
        <v>53</v>
      </c>
      <c r="T3747" s="50">
        <v>0.12</v>
      </c>
      <c r="U3747" s="131">
        <v>4.05</v>
      </c>
      <c r="V3747" s="50">
        <v>0.73</v>
      </c>
      <c r="W3747" s="74">
        <v>2.5000000000000001E-2</v>
      </c>
      <c r="X3747" s="50">
        <v>0.25800000000000001</v>
      </c>
      <c r="Y3747" s="74">
        <v>3.0000000000000001E-3</v>
      </c>
      <c r="Z3747" s="165"/>
    </row>
    <row r="3748" spans="1:31" ht="15" customHeight="1">
      <c r="A3748" s="41" t="s">
        <v>183</v>
      </c>
      <c r="B3748" s="402" t="s">
        <v>1926</v>
      </c>
      <c r="C3748" s="113" t="s">
        <v>1926</v>
      </c>
      <c r="D3748" s="393" t="s">
        <v>1505</v>
      </c>
      <c r="E3748" s="394" t="s">
        <v>44</v>
      </c>
      <c r="F3748" s="402" t="s">
        <v>6254</v>
      </c>
      <c r="G3748" s="405" t="s">
        <v>1927</v>
      </c>
      <c r="H3748" s="74">
        <v>3479</v>
      </c>
      <c r="I3748" s="50" t="s">
        <v>2</v>
      </c>
      <c r="J3748" s="48" t="s">
        <v>477</v>
      </c>
      <c r="K3748" s="51">
        <v>41108</v>
      </c>
      <c r="L3748" s="173">
        <v>41092</v>
      </c>
      <c r="M3748" s="50">
        <f>K3748-L3748</f>
        <v>16</v>
      </c>
      <c r="N3748" s="50" t="s">
        <v>2</v>
      </c>
      <c r="O3748" s="74">
        <f t="shared" si="229"/>
        <v>0.7</v>
      </c>
      <c r="P3748" s="50">
        <v>8.8000000000000007</v>
      </c>
      <c r="Q3748" s="74">
        <v>5.98</v>
      </c>
      <c r="R3748" s="50">
        <v>130</v>
      </c>
      <c r="S3748" s="74">
        <v>80</v>
      </c>
      <c r="T3748" s="50">
        <v>0.87</v>
      </c>
      <c r="U3748" s="131">
        <v>9.52</v>
      </c>
      <c r="V3748" s="50">
        <v>0.94</v>
      </c>
      <c r="W3748" s="74">
        <v>7.6999999999999999E-2</v>
      </c>
      <c r="X3748" s="50">
        <v>0.48799999999999999</v>
      </c>
      <c r="Y3748" s="74">
        <v>3.0000000000000001E-3</v>
      </c>
      <c r="Z3748" s="165"/>
    </row>
    <row r="3749" spans="1:31" ht="15" customHeight="1">
      <c r="A3749" s="41" t="s">
        <v>183</v>
      </c>
      <c r="B3749" s="402" t="s">
        <v>1926</v>
      </c>
      <c r="C3749" s="113" t="s">
        <v>1926</v>
      </c>
      <c r="D3749" s="393" t="s">
        <v>1505</v>
      </c>
      <c r="E3749" s="394" t="s">
        <v>44</v>
      </c>
      <c r="F3749" s="402" t="s">
        <v>6254</v>
      </c>
      <c r="G3749" s="405" t="s">
        <v>1927</v>
      </c>
      <c r="H3749" s="74">
        <v>3479</v>
      </c>
      <c r="I3749" s="50" t="s">
        <v>2</v>
      </c>
      <c r="J3749" s="48" t="s">
        <v>366</v>
      </c>
      <c r="K3749" s="51">
        <v>41345</v>
      </c>
      <c r="L3749" s="173">
        <v>41341</v>
      </c>
      <c r="M3749" s="50">
        <f t="shared" si="228"/>
        <v>4</v>
      </c>
      <c r="N3749" s="50" t="s">
        <v>2</v>
      </c>
      <c r="O3749" s="74">
        <f t="shared" si="229"/>
        <v>0.7</v>
      </c>
      <c r="P3749" s="50">
        <v>7.7</v>
      </c>
      <c r="Q3749" s="74">
        <v>5.04</v>
      </c>
      <c r="R3749" s="50">
        <v>28</v>
      </c>
      <c r="S3749" s="74">
        <v>14</v>
      </c>
      <c r="T3749" s="50">
        <v>0.06</v>
      </c>
      <c r="U3749" s="131">
        <v>1.1399999999999999</v>
      </c>
      <c r="V3749" s="50">
        <v>1.03</v>
      </c>
      <c r="W3749" s="74">
        <v>8.9999999999999993E-3</v>
      </c>
      <c r="X3749" s="50">
        <v>0.30199999999999999</v>
      </c>
      <c r="Y3749" s="74">
        <f>0.002/2</f>
        <v>1E-3</v>
      </c>
      <c r="Z3749" s="165">
        <v>0.93500000000000005</v>
      </c>
      <c r="AA3749" s="271">
        <v>0.53</v>
      </c>
      <c r="AB3749" s="114">
        <v>4</v>
      </c>
      <c r="AC3749" s="50">
        <v>67</v>
      </c>
      <c r="AD3749" s="271">
        <v>0</v>
      </c>
    </row>
    <row r="3750" spans="1:31" ht="15" customHeight="1">
      <c r="A3750" s="41" t="s">
        <v>183</v>
      </c>
      <c r="B3750" s="402" t="s">
        <v>1926</v>
      </c>
      <c r="C3750" s="113" t="s">
        <v>1926</v>
      </c>
      <c r="D3750" s="393" t="s">
        <v>1505</v>
      </c>
      <c r="E3750" s="394" t="s">
        <v>44</v>
      </c>
      <c r="F3750" s="402" t="s">
        <v>6254</v>
      </c>
      <c r="G3750" s="405" t="s">
        <v>1927</v>
      </c>
      <c r="H3750" s="74">
        <v>3479</v>
      </c>
      <c r="I3750" s="50" t="s">
        <v>2</v>
      </c>
      <c r="J3750" s="48" t="s">
        <v>593</v>
      </c>
      <c r="K3750" s="51">
        <v>41345</v>
      </c>
      <c r="L3750" s="173">
        <v>41341</v>
      </c>
      <c r="M3750" s="50">
        <f t="shared" si="228"/>
        <v>4</v>
      </c>
      <c r="N3750" s="50" t="s">
        <v>2</v>
      </c>
      <c r="O3750" s="74">
        <f t="shared" si="229"/>
        <v>0.7</v>
      </c>
      <c r="P3750" s="50">
        <v>7.7</v>
      </c>
      <c r="Q3750" s="74">
        <v>4.8499999999999996</v>
      </c>
      <c r="R3750" s="50">
        <v>28</v>
      </c>
      <c r="S3750" s="74">
        <f>5/2</f>
        <v>2.5</v>
      </c>
      <c r="T3750" s="50">
        <v>0.05</v>
      </c>
      <c r="U3750" s="131">
        <v>0.9</v>
      </c>
      <c r="V3750" s="50">
        <v>0.4</v>
      </c>
      <c r="W3750" s="74">
        <v>7.9000000000000001E-2</v>
      </c>
      <c r="X3750" s="50">
        <v>1.56</v>
      </c>
      <c r="Y3750" s="74">
        <f>0.002/2</f>
        <v>1E-3</v>
      </c>
      <c r="Z3750" s="165">
        <v>0.95199999999999996</v>
      </c>
      <c r="AA3750" s="271">
        <v>0.67700000000000005</v>
      </c>
      <c r="AB3750" s="114">
        <v>6</v>
      </c>
      <c r="AC3750" s="50">
        <v>66</v>
      </c>
      <c r="AD3750" s="271">
        <v>0.05</v>
      </c>
    </row>
    <row r="3751" spans="1:31" ht="15" customHeight="1">
      <c r="A3751" s="41" t="s">
        <v>183</v>
      </c>
      <c r="B3751" s="402" t="s">
        <v>1926</v>
      </c>
      <c r="C3751" s="113" t="s">
        <v>1926</v>
      </c>
      <c r="D3751" s="393" t="s">
        <v>1505</v>
      </c>
      <c r="E3751" s="394" t="s">
        <v>44</v>
      </c>
      <c r="F3751" s="402" t="s">
        <v>6254</v>
      </c>
      <c r="G3751" s="405" t="s">
        <v>1927</v>
      </c>
      <c r="H3751" s="74">
        <v>3479</v>
      </c>
      <c r="I3751" s="50" t="s">
        <v>2</v>
      </c>
      <c r="J3751" s="48" t="s">
        <v>477</v>
      </c>
      <c r="K3751" s="51">
        <v>41345</v>
      </c>
      <c r="L3751" s="173">
        <v>41341</v>
      </c>
      <c r="M3751" s="50">
        <f t="shared" si="228"/>
        <v>4</v>
      </c>
      <c r="N3751" s="50" t="s">
        <v>2</v>
      </c>
      <c r="O3751" s="74">
        <f t="shared" si="229"/>
        <v>0.7</v>
      </c>
      <c r="P3751" s="50">
        <v>7.7</v>
      </c>
      <c r="Q3751" s="74">
        <v>4.99</v>
      </c>
      <c r="R3751" s="50">
        <v>53</v>
      </c>
      <c r="S3751" s="74">
        <v>12</v>
      </c>
      <c r="T3751" s="50">
        <v>0.06</v>
      </c>
      <c r="U3751" s="131">
        <v>1.52</v>
      </c>
      <c r="V3751" s="50">
        <v>1.03</v>
      </c>
      <c r="W3751" s="74">
        <v>7.5999999999999998E-2</v>
      </c>
      <c r="X3751" s="50">
        <v>1.46</v>
      </c>
      <c r="Y3751" s="74">
        <f>0.002/2</f>
        <v>1E-3</v>
      </c>
      <c r="Z3751" s="165">
        <v>0.109</v>
      </c>
      <c r="AA3751" s="271">
        <v>9.01E-2</v>
      </c>
      <c r="AB3751" s="114">
        <v>46</v>
      </c>
      <c r="AC3751" s="50">
        <v>110</v>
      </c>
      <c r="AD3751" s="271">
        <v>0</v>
      </c>
    </row>
    <row r="3752" spans="1:31" ht="15" customHeight="1">
      <c r="A3752" s="404" t="s">
        <v>4668</v>
      </c>
      <c r="B3752" s="402" t="s">
        <v>6255</v>
      </c>
      <c r="C3752" s="113" t="s">
        <v>6256</v>
      </c>
      <c r="D3752" s="393" t="s">
        <v>452</v>
      </c>
      <c r="E3752" s="394" t="s">
        <v>398</v>
      </c>
      <c r="F3752" s="402">
        <v>2000</v>
      </c>
      <c r="G3752" s="405" t="s">
        <v>1067</v>
      </c>
      <c r="H3752" s="74">
        <v>2844</v>
      </c>
      <c r="I3752" s="50" t="s">
        <v>2</v>
      </c>
      <c r="J3752" s="339" t="s">
        <v>6257</v>
      </c>
      <c r="K3752" s="51">
        <v>41529</v>
      </c>
      <c r="L3752" s="173">
        <v>41520</v>
      </c>
      <c r="M3752" s="50">
        <f t="shared" si="228"/>
        <v>9</v>
      </c>
      <c r="N3752" s="50" t="s">
        <v>2</v>
      </c>
      <c r="O3752" s="74">
        <f>1/2</f>
        <v>0.5</v>
      </c>
      <c r="P3752" s="50">
        <v>6</v>
      </c>
      <c r="Q3752" s="74">
        <v>6.3</v>
      </c>
      <c r="R3752" s="50">
        <v>50</v>
      </c>
      <c r="S3752" s="74">
        <v>150</v>
      </c>
      <c r="T3752" s="50">
        <v>0.11</v>
      </c>
      <c r="U3752" s="131">
        <v>0.93</v>
      </c>
      <c r="V3752" s="50">
        <v>0.48</v>
      </c>
      <c r="W3752" s="74">
        <v>1.0999999999999999E-2</v>
      </c>
      <c r="X3752" s="50">
        <v>0.22</v>
      </c>
      <c r="Y3752" s="74">
        <v>0.04</v>
      </c>
      <c r="Z3752" s="165">
        <v>0.77100000000000002</v>
      </c>
      <c r="AA3752" s="271">
        <v>0.68300000000000005</v>
      </c>
      <c r="AB3752" s="114">
        <v>6</v>
      </c>
      <c r="AC3752" s="50">
        <v>16</v>
      </c>
      <c r="AD3752" s="271">
        <v>0</v>
      </c>
    </row>
    <row r="3753" spans="1:31" ht="15" customHeight="1">
      <c r="A3753" s="404" t="s">
        <v>4668</v>
      </c>
      <c r="B3753" s="402" t="s">
        <v>3584</v>
      </c>
      <c r="C3753" s="113" t="s">
        <v>3584</v>
      </c>
      <c r="D3753" s="393" t="s">
        <v>276</v>
      </c>
      <c r="E3753" s="394" t="s">
        <v>214</v>
      </c>
      <c r="G3753" s="405" t="s">
        <v>3585</v>
      </c>
      <c r="H3753" s="74">
        <v>3471</v>
      </c>
      <c r="I3753" s="50" t="s">
        <v>1</v>
      </c>
      <c r="J3753" s="339" t="s">
        <v>255</v>
      </c>
      <c r="K3753" s="51">
        <v>41495</v>
      </c>
      <c r="L3753" s="173">
        <v>41487</v>
      </c>
      <c r="M3753" s="50">
        <f t="shared" si="228"/>
        <v>8</v>
      </c>
      <c r="N3753" s="50" t="s">
        <v>2</v>
      </c>
      <c r="O3753" s="74">
        <f>1.7/2</f>
        <v>0.85</v>
      </c>
      <c r="P3753" s="50">
        <v>6.6</v>
      </c>
      <c r="Q3753" s="74">
        <v>6.5</v>
      </c>
      <c r="R3753" s="50">
        <f>20/2</f>
        <v>10</v>
      </c>
      <c r="S3753" s="74">
        <v>10.3</v>
      </c>
      <c r="T3753" s="50">
        <v>8.1000000000000003E-2</v>
      </c>
      <c r="U3753" s="131">
        <f>1/2</f>
        <v>0.5</v>
      </c>
      <c r="V3753" s="50">
        <f>0.46/2</f>
        <v>0.23</v>
      </c>
      <c r="W3753" s="74">
        <f>0.005/2</f>
        <v>2.5000000000000001E-3</v>
      </c>
      <c r="X3753" s="50">
        <v>1.2999999999999999E-2</v>
      </c>
      <c r="Y3753" s="74">
        <f>0.005/2</f>
        <v>2.5000000000000001E-3</v>
      </c>
      <c r="Z3753" s="165">
        <v>1</v>
      </c>
      <c r="AA3753" s="271">
        <v>1</v>
      </c>
      <c r="AB3753" s="114">
        <v>2</v>
      </c>
      <c r="AC3753" s="50">
        <v>14</v>
      </c>
      <c r="AD3753" s="271">
        <v>0.95</v>
      </c>
      <c r="AE3753" s="50">
        <v>50</v>
      </c>
    </row>
    <row r="3754" spans="1:31" ht="15" customHeight="1">
      <c r="A3754" s="404" t="s">
        <v>4668</v>
      </c>
      <c r="B3754" s="402" t="s">
        <v>1430</v>
      </c>
      <c r="C3754" s="113" t="s">
        <v>1431</v>
      </c>
      <c r="D3754" s="393" t="s">
        <v>262</v>
      </c>
      <c r="E3754" s="394" t="s">
        <v>1432</v>
      </c>
      <c r="F3754" s="72">
        <v>1862920</v>
      </c>
      <c r="G3754" s="405" t="s">
        <v>1433</v>
      </c>
      <c r="H3754" s="49">
        <v>4959</v>
      </c>
      <c r="I3754" s="50" t="s">
        <v>2</v>
      </c>
      <c r="J3754" s="76" t="s">
        <v>1434</v>
      </c>
      <c r="K3754" s="51">
        <v>41402</v>
      </c>
      <c r="L3754" s="173">
        <v>41394</v>
      </c>
      <c r="M3754" s="50">
        <f t="shared" si="228"/>
        <v>8</v>
      </c>
      <c r="N3754" s="50" t="s">
        <v>2</v>
      </c>
      <c r="O3754" s="74">
        <f>5/2</f>
        <v>2.5</v>
      </c>
      <c r="P3754" s="50">
        <v>5.67</v>
      </c>
      <c r="Q3754" s="74">
        <v>5.7</v>
      </c>
      <c r="R3754" s="50">
        <v>53</v>
      </c>
      <c r="S3754" s="74">
        <v>27</v>
      </c>
      <c r="T3754" s="50">
        <f>0.1/2</f>
        <v>0.05</v>
      </c>
      <c r="U3754" s="131">
        <f>1/2</f>
        <v>0.5</v>
      </c>
      <c r="V3754" s="50">
        <v>0.28000000000000003</v>
      </c>
      <c r="W3754" s="74">
        <f>0.04/2</f>
        <v>0.02</v>
      </c>
      <c r="X3754" s="50">
        <v>7.5999999999999998E-2</v>
      </c>
      <c r="Y3754" s="74">
        <f>0.013/2</f>
        <v>6.4999999999999997E-3</v>
      </c>
      <c r="Z3754" s="165">
        <v>1</v>
      </c>
      <c r="AA3754" s="271">
        <v>1</v>
      </c>
      <c r="AB3754" s="114">
        <v>9.9</v>
      </c>
      <c r="AC3754" s="50">
        <v>58</v>
      </c>
      <c r="AD3754" s="271">
        <v>1</v>
      </c>
    </row>
    <row r="3755" spans="1:31" ht="15" customHeight="1">
      <c r="A3755" s="404" t="s">
        <v>4668</v>
      </c>
      <c r="B3755" s="402" t="s">
        <v>6255</v>
      </c>
      <c r="C3755" s="113" t="s">
        <v>6256</v>
      </c>
      <c r="D3755" s="393" t="s">
        <v>452</v>
      </c>
      <c r="E3755" s="394" t="s">
        <v>398</v>
      </c>
      <c r="F3755" s="402">
        <v>2000</v>
      </c>
      <c r="G3755" s="405" t="s">
        <v>1067</v>
      </c>
      <c r="H3755" s="74">
        <v>2844</v>
      </c>
      <c r="I3755" s="50" t="s">
        <v>2</v>
      </c>
      <c r="J3755" s="339" t="s">
        <v>6257</v>
      </c>
      <c r="K3755" s="51">
        <v>41085</v>
      </c>
      <c r="L3755" s="173">
        <v>41073</v>
      </c>
      <c r="M3755" s="50">
        <f t="shared" si="228"/>
        <v>12</v>
      </c>
      <c r="N3755" s="50" t="s">
        <v>2</v>
      </c>
      <c r="O3755" s="74">
        <f>2/2</f>
        <v>1</v>
      </c>
      <c r="P3755" s="50">
        <v>5.8</v>
      </c>
      <c r="Q3755" s="74">
        <v>3.6</v>
      </c>
      <c r="R3755" s="50">
        <v>34</v>
      </c>
      <c r="S3755" s="74">
        <v>110</v>
      </c>
      <c r="T3755" s="50">
        <v>0.06</v>
      </c>
      <c r="U3755" s="131">
        <v>0.84</v>
      </c>
      <c r="V3755" s="50">
        <v>0.24</v>
      </c>
      <c r="W3755" s="74">
        <v>3.4000000000000002E-2</v>
      </c>
      <c r="X3755" s="50">
        <v>0.15</v>
      </c>
      <c r="Y3755" s="74">
        <v>8.6999999999999994E-2</v>
      </c>
      <c r="Z3755" s="165">
        <v>0.5</v>
      </c>
      <c r="AA3755" s="271">
        <v>0.378</v>
      </c>
      <c r="AB3755" s="114">
        <v>12</v>
      </c>
      <c r="AC3755" s="50">
        <v>129</v>
      </c>
      <c r="AD3755" s="271">
        <v>0</v>
      </c>
    </row>
    <row r="3756" spans="1:31" ht="15" customHeight="1">
      <c r="A3756" s="404" t="s">
        <v>4668</v>
      </c>
      <c r="B3756" s="402" t="s">
        <v>6255</v>
      </c>
      <c r="C3756" s="113" t="s">
        <v>6256</v>
      </c>
      <c r="D3756" s="393" t="s">
        <v>452</v>
      </c>
      <c r="E3756" s="394" t="s">
        <v>398</v>
      </c>
      <c r="F3756" s="402">
        <v>2000</v>
      </c>
      <c r="G3756" s="405" t="s">
        <v>1067</v>
      </c>
      <c r="H3756" s="74">
        <v>2844</v>
      </c>
      <c r="I3756" s="50" t="s">
        <v>2</v>
      </c>
      <c r="J3756" s="339" t="s">
        <v>6257</v>
      </c>
      <c r="K3756" s="51">
        <v>41345</v>
      </c>
      <c r="L3756" s="173">
        <v>41332</v>
      </c>
      <c r="M3756" s="50">
        <f t="shared" si="228"/>
        <v>13</v>
      </c>
      <c r="N3756" s="50" t="s">
        <v>2</v>
      </c>
      <c r="O3756" s="74">
        <v>4.4000000000000004</v>
      </c>
      <c r="P3756" s="50">
        <v>6</v>
      </c>
      <c r="Q3756" s="74">
        <v>6.3</v>
      </c>
      <c r="R3756" s="50">
        <v>130</v>
      </c>
      <c r="S3756" s="74">
        <v>170</v>
      </c>
      <c r="T3756" s="50">
        <v>0.33</v>
      </c>
      <c r="U3756" s="131">
        <v>1.6</v>
      </c>
      <c r="V3756" s="50">
        <v>0.43</v>
      </c>
      <c r="W3756" s="74">
        <v>4.2000000000000003E-2</v>
      </c>
      <c r="X3756" s="50">
        <v>0.54</v>
      </c>
      <c r="Y3756" s="74">
        <v>0.11</v>
      </c>
      <c r="Z3756" s="165"/>
    </row>
    <row r="3757" spans="1:31" ht="15" customHeight="1">
      <c r="A3757" s="404" t="s">
        <v>4668</v>
      </c>
      <c r="B3757" s="402" t="s">
        <v>2495</v>
      </c>
      <c r="C3757" s="113" t="s">
        <v>2495</v>
      </c>
      <c r="D3757" s="393" t="s">
        <v>41</v>
      </c>
      <c r="E3757" s="394" t="s">
        <v>2496</v>
      </c>
      <c r="G3757" s="405" t="s">
        <v>2497</v>
      </c>
      <c r="H3757" s="74">
        <v>3454</v>
      </c>
      <c r="I3757" s="50" t="s">
        <v>2</v>
      </c>
      <c r="J3757" s="339" t="s">
        <v>2498</v>
      </c>
      <c r="K3757" s="51">
        <v>41170</v>
      </c>
      <c r="L3757" s="173">
        <v>41160</v>
      </c>
      <c r="M3757" s="50">
        <f t="shared" si="228"/>
        <v>10</v>
      </c>
      <c r="N3757" s="50" t="s">
        <v>2</v>
      </c>
      <c r="O3757" s="74">
        <f>1.7/2</f>
        <v>0.85</v>
      </c>
      <c r="P3757" s="50">
        <v>6.74</v>
      </c>
      <c r="Q3757" s="74">
        <v>7.03</v>
      </c>
      <c r="R3757" s="50">
        <f>20/2</f>
        <v>10</v>
      </c>
      <c r="S3757" s="74">
        <v>3.4</v>
      </c>
      <c r="T3757" s="50">
        <v>3.3000000000000002E-2</v>
      </c>
      <c r="U3757" s="131">
        <v>1.4</v>
      </c>
      <c r="V3757" s="50">
        <v>0.7</v>
      </c>
      <c r="W3757" s="74">
        <f>0.005/2</f>
        <v>2.5000000000000001E-3</v>
      </c>
      <c r="X3757" s="50">
        <v>0.35199999999999998</v>
      </c>
      <c r="Y3757" s="74">
        <f>0.005/2</f>
        <v>2.5000000000000001E-3</v>
      </c>
      <c r="Z3757" s="165">
        <v>1</v>
      </c>
      <c r="AA3757" s="271">
        <v>0.70699999999999996</v>
      </c>
      <c r="AB3757" s="114">
        <v>6</v>
      </c>
      <c r="AC3757" s="50">
        <v>34</v>
      </c>
      <c r="AD3757" s="271">
        <v>0</v>
      </c>
    </row>
    <row r="3758" spans="1:31" ht="15" customHeight="1">
      <c r="A3758" s="404" t="s">
        <v>4668</v>
      </c>
      <c r="B3758" s="402" t="s">
        <v>2495</v>
      </c>
      <c r="C3758" s="113" t="s">
        <v>2495</v>
      </c>
      <c r="D3758" s="393" t="s">
        <v>41</v>
      </c>
      <c r="E3758" s="394" t="s">
        <v>2496</v>
      </c>
      <c r="G3758" s="405" t="s">
        <v>2497</v>
      </c>
      <c r="H3758" s="74">
        <v>3454</v>
      </c>
      <c r="I3758" s="50" t="s">
        <v>2</v>
      </c>
      <c r="J3758" s="339" t="s">
        <v>5342</v>
      </c>
      <c r="K3758" s="51">
        <v>41170</v>
      </c>
      <c r="L3758" s="173">
        <v>41160</v>
      </c>
      <c r="M3758" s="50">
        <f t="shared" si="228"/>
        <v>10</v>
      </c>
      <c r="N3758" s="50" t="s">
        <v>2</v>
      </c>
      <c r="O3758" s="74">
        <f>1.8/2</f>
        <v>0.9</v>
      </c>
      <c r="P3758" s="50">
        <v>6.74</v>
      </c>
      <c r="Q3758" s="74">
        <v>7.03</v>
      </c>
      <c r="R3758" s="50">
        <v>46</v>
      </c>
      <c r="S3758" s="74">
        <v>54.5</v>
      </c>
      <c r="T3758" s="50">
        <v>0.27800000000000002</v>
      </c>
      <c r="U3758" s="131">
        <v>2</v>
      </c>
      <c r="V3758" s="50">
        <v>0.7</v>
      </c>
      <c r="W3758" s="74">
        <v>8.9999999999999993E-3</v>
      </c>
      <c r="X3758" s="50">
        <v>7.9000000000000001E-2</v>
      </c>
      <c r="Y3758" s="74">
        <f>0.005/2</f>
        <v>2.5000000000000001E-3</v>
      </c>
      <c r="Z3758" s="165">
        <v>1</v>
      </c>
      <c r="AA3758" s="271">
        <v>1</v>
      </c>
      <c r="AB3758" s="114">
        <v>10</v>
      </c>
      <c r="AC3758" s="50">
        <v>60</v>
      </c>
      <c r="AD3758" s="271">
        <v>1</v>
      </c>
    </row>
    <row r="3759" spans="1:31" ht="15" customHeight="1">
      <c r="A3759" s="404" t="s">
        <v>4668</v>
      </c>
      <c r="B3759" s="385" t="s">
        <v>4348</v>
      </c>
      <c r="C3759" s="18" t="s">
        <v>4349</v>
      </c>
      <c r="D3759" s="377" t="s">
        <v>379</v>
      </c>
      <c r="E3759" s="20" t="s">
        <v>214</v>
      </c>
      <c r="F3759" s="385">
        <v>4315</v>
      </c>
      <c r="G3759" s="405" t="s">
        <v>4350</v>
      </c>
      <c r="H3759" s="74">
        <v>2653</v>
      </c>
      <c r="I3759" s="50" t="s">
        <v>1</v>
      </c>
      <c r="J3759" s="339" t="s">
        <v>6258</v>
      </c>
      <c r="K3759" s="51">
        <v>41487</v>
      </c>
      <c r="L3759" s="173">
        <v>41481</v>
      </c>
      <c r="M3759" s="50">
        <f t="shared" si="228"/>
        <v>6</v>
      </c>
      <c r="N3759" s="50" t="s">
        <v>2</v>
      </c>
      <c r="O3759" s="74">
        <f>1.6/2</f>
        <v>0.8</v>
      </c>
      <c r="P3759" s="50">
        <v>6.3</v>
      </c>
      <c r="Q3759" s="74">
        <v>7.2</v>
      </c>
      <c r="R3759" s="50">
        <v>44</v>
      </c>
      <c r="S3759" s="74">
        <v>19.3</v>
      </c>
      <c r="T3759" s="50">
        <v>0.112</v>
      </c>
      <c r="U3759" s="131">
        <v>2</v>
      </c>
      <c r="V3759" s="50">
        <v>0.56999999999999995</v>
      </c>
      <c r="W3759" s="74">
        <v>0.01</v>
      </c>
      <c r="X3759" s="50">
        <v>6.5000000000000002E-2</v>
      </c>
      <c r="Y3759" s="74">
        <f>0.005/2</f>
        <v>2.5000000000000001E-3</v>
      </c>
      <c r="Z3759" s="165">
        <v>1</v>
      </c>
      <c r="AA3759" s="271">
        <v>1</v>
      </c>
      <c r="AB3759" s="114">
        <v>8</v>
      </c>
      <c r="AC3759" s="50">
        <v>51</v>
      </c>
      <c r="AD3759" s="271">
        <v>1</v>
      </c>
      <c r="AE3759" s="50">
        <v>155</v>
      </c>
    </row>
    <row r="3760" spans="1:31" ht="15" customHeight="1">
      <c r="A3760" s="404" t="s">
        <v>4668</v>
      </c>
      <c r="B3760" s="402" t="s">
        <v>956</v>
      </c>
      <c r="C3760" s="113" t="s">
        <v>4231</v>
      </c>
      <c r="D3760" s="393" t="s">
        <v>1830</v>
      </c>
      <c r="E3760" s="394" t="s">
        <v>3271</v>
      </c>
      <c r="F3760" s="402">
        <v>7000</v>
      </c>
      <c r="G3760" s="405" t="s">
        <v>3272</v>
      </c>
      <c r="H3760" s="74">
        <v>4151</v>
      </c>
      <c r="I3760" s="50" t="s">
        <v>2</v>
      </c>
      <c r="J3760" s="339" t="s">
        <v>81</v>
      </c>
      <c r="K3760" s="51">
        <v>41345</v>
      </c>
      <c r="L3760" s="173">
        <v>41339</v>
      </c>
      <c r="M3760" s="50">
        <f t="shared" si="228"/>
        <v>6</v>
      </c>
      <c r="N3760" s="7" t="s">
        <v>2</v>
      </c>
      <c r="O3760" s="74">
        <v>35.1</v>
      </c>
      <c r="P3760" s="50">
        <v>6.11</v>
      </c>
      <c r="Q3760" s="74">
        <v>7.38</v>
      </c>
      <c r="R3760" s="50">
        <v>280.2</v>
      </c>
      <c r="S3760" s="74">
        <v>423</v>
      </c>
      <c r="T3760" s="50">
        <v>3.43</v>
      </c>
      <c r="U3760" s="131">
        <v>11.27</v>
      </c>
      <c r="V3760" s="50">
        <f>0.2/2</f>
        <v>0.1</v>
      </c>
      <c r="W3760" s="74">
        <v>0.06</v>
      </c>
      <c r="X3760" s="50">
        <v>0.33</v>
      </c>
      <c r="Y3760" s="74">
        <v>0.05</v>
      </c>
      <c r="Z3760" s="165">
        <v>1</v>
      </c>
      <c r="AA3760" s="271">
        <v>1</v>
      </c>
      <c r="AB3760" s="114">
        <v>97.6</v>
      </c>
      <c r="AC3760" s="50">
        <v>222</v>
      </c>
      <c r="AD3760" s="271">
        <v>0.95</v>
      </c>
    </row>
    <row r="3761" spans="1:79" ht="15" customHeight="1">
      <c r="A3761" s="404" t="s">
        <v>4668</v>
      </c>
      <c r="B3761" s="402" t="s">
        <v>1832</v>
      </c>
      <c r="C3761" s="113" t="s">
        <v>1914</v>
      </c>
      <c r="D3761" s="393" t="s">
        <v>111</v>
      </c>
      <c r="E3761" s="394" t="s">
        <v>382</v>
      </c>
      <c r="F3761" s="402" t="s">
        <v>1915</v>
      </c>
      <c r="G3761" s="405" t="s">
        <v>1809</v>
      </c>
      <c r="H3761" s="49">
        <v>3272</v>
      </c>
      <c r="I3761" s="50" t="s">
        <v>2</v>
      </c>
      <c r="J3761" s="260" t="s">
        <v>74</v>
      </c>
      <c r="K3761" s="51">
        <v>41438</v>
      </c>
      <c r="L3761" s="173"/>
      <c r="N3761" s="50" t="s">
        <v>2</v>
      </c>
      <c r="O3761" s="74">
        <v>3.2</v>
      </c>
      <c r="Q3761" s="74">
        <v>7.25</v>
      </c>
      <c r="R3761" s="50">
        <v>102.4</v>
      </c>
      <c r="S3761" s="74">
        <v>393</v>
      </c>
      <c r="T3761" s="50">
        <v>0.27</v>
      </c>
      <c r="U3761" s="131">
        <v>0.36</v>
      </c>
      <c r="V3761" s="50">
        <v>0.84</v>
      </c>
      <c r="W3761" s="74">
        <v>1.2999999999999999E-2</v>
      </c>
      <c r="X3761" s="50">
        <v>0.11899999999999999</v>
      </c>
      <c r="Y3761" s="74">
        <v>5.0000000000000001E-3</v>
      </c>
      <c r="Z3761" s="165"/>
    </row>
    <row r="3762" spans="1:79" ht="15" customHeight="1">
      <c r="A3762" s="404" t="s">
        <v>4668</v>
      </c>
      <c r="B3762" s="402" t="s">
        <v>2527</v>
      </c>
      <c r="C3762" s="113" t="s">
        <v>2527</v>
      </c>
      <c r="D3762" s="393" t="s">
        <v>640</v>
      </c>
      <c r="F3762" s="402">
        <v>5000</v>
      </c>
      <c r="G3762" s="405" t="s">
        <v>2529</v>
      </c>
      <c r="H3762" s="74">
        <v>4213</v>
      </c>
      <c r="I3762" s="50" t="s">
        <v>2</v>
      </c>
      <c r="J3762" s="339" t="s">
        <v>6259</v>
      </c>
      <c r="K3762" s="51">
        <v>41596</v>
      </c>
      <c r="L3762" s="173">
        <v>41590</v>
      </c>
      <c r="M3762" s="50">
        <f t="shared" si="228"/>
        <v>6</v>
      </c>
      <c r="N3762" s="50" t="s">
        <v>2</v>
      </c>
      <c r="O3762" s="74">
        <v>8.4</v>
      </c>
      <c r="P3762" s="50">
        <v>7.33</v>
      </c>
      <c r="Q3762" s="74">
        <v>7.31</v>
      </c>
      <c r="R3762" s="50">
        <v>52</v>
      </c>
      <c r="S3762" s="74">
        <v>390</v>
      </c>
      <c r="T3762" s="50">
        <v>0.47</v>
      </c>
      <c r="U3762" s="131">
        <v>2.46</v>
      </c>
      <c r="V3762" s="50">
        <v>0.76</v>
      </c>
      <c r="W3762" s="74">
        <v>8.6999999999999994E-2</v>
      </c>
      <c r="X3762" s="50">
        <v>0.22500000000000001</v>
      </c>
      <c r="Y3762" s="74">
        <v>2.5999999999999999E-2</v>
      </c>
      <c r="Z3762" s="165">
        <v>1</v>
      </c>
      <c r="AA3762" s="271">
        <v>1</v>
      </c>
      <c r="AB3762" s="114">
        <v>22</v>
      </c>
      <c r="AC3762" s="50">
        <v>109</v>
      </c>
      <c r="AD3762" s="271">
        <v>1</v>
      </c>
    </row>
    <row r="3763" spans="1:79" ht="15" customHeight="1">
      <c r="A3763" s="404" t="s">
        <v>4668</v>
      </c>
      <c r="B3763" s="402" t="s">
        <v>2527</v>
      </c>
      <c r="C3763" s="113" t="s">
        <v>2527</v>
      </c>
      <c r="D3763" s="393" t="s">
        <v>640</v>
      </c>
      <c r="F3763" s="402">
        <v>5000</v>
      </c>
      <c r="G3763" s="405" t="s">
        <v>2529</v>
      </c>
      <c r="H3763" s="74">
        <v>4214</v>
      </c>
      <c r="I3763" s="50" t="s">
        <v>2</v>
      </c>
      <c r="J3763" s="339" t="s">
        <v>6259</v>
      </c>
      <c r="K3763" s="51">
        <v>41288</v>
      </c>
      <c r="L3763" s="173">
        <v>41285</v>
      </c>
      <c r="M3763" s="50">
        <f t="shared" si="228"/>
        <v>3</v>
      </c>
      <c r="O3763" s="74">
        <v>11</v>
      </c>
      <c r="P3763" s="50">
        <v>7.55</v>
      </c>
      <c r="Q3763" s="74">
        <v>7.39</v>
      </c>
      <c r="R3763" s="50">
        <v>53</v>
      </c>
      <c r="S3763" s="74">
        <v>340</v>
      </c>
      <c r="T3763" s="50">
        <v>0.47</v>
      </c>
      <c r="U3763" s="131">
        <v>3.78</v>
      </c>
      <c r="V3763" s="50">
        <v>1.94</v>
      </c>
      <c r="W3763" s="74">
        <v>0.09</v>
      </c>
      <c r="X3763" s="50">
        <v>0.20200000000000001</v>
      </c>
      <c r="Y3763" s="74">
        <v>0.03</v>
      </c>
      <c r="Z3763" s="165">
        <v>0.17699999999999999</v>
      </c>
      <c r="AA3763" s="271">
        <v>0.17699999999999999</v>
      </c>
      <c r="AB3763" s="114">
        <v>68</v>
      </c>
      <c r="AC3763" s="50">
        <v>1791</v>
      </c>
      <c r="AD3763" s="271">
        <v>0</v>
      </c>
    </row>
    <row r="3764" spans="1:79" ht="15" customHeight="1">
      <c r="A3764" s="404" t="s">
        <v>4668</v>
      </c>
      <c r="B3764" s="402" t="s">
        <v>2527</v>
      </c>
      <c r="C3764" s="113" t="s">
        <v>2527</v>
      </c>
      <c r="D3764" s="393" t="s">
        <v>640</v>
      </c>
      <c r="F3764" s="402">
        <v>5000</v>
      </c>
      <c r="G3764" s="405" t="s">
        <v>2529</v>
      </c>
      <c r="H3764" s="74">
        <v>4215</v>
      </c>
      <c r="I3764" s="50" t="s">
        <v>2</v>
      </c>
      <c r="J3764" s="339" t="s">
        <v>6259</v>
      </c>
      <c r="K3764" s="51">
        <v>41416</v>
      </c>
      <c r="L3764" s="173">
        <v>41413</v>
      </c>
      <c r="M3764" s="50">
        <f t="shared" si="228"/>
        <v>3</v>
      </c>
      <c r="N3764" s="50" t="s">
        <v>2</v>
      </c>
      <c r="O3764" s="74">
        <v>3.4</v>
      </c>
      <c r="P3764" s="50">
        <v>7.28</v>
      </c>
      <c r="Q3764" s="74">
        <v>7.32</v>
      </c>
      <c r="R3764" s="50">
        <v>40</v>
      </c>
      <c r="S3764" s="74">
        <v>220</v>
      </c>
      <c r="T3764" s="50">
        <v>0.31</v>
      </c>
      <c r="U3764" s="131">
        <v>1.63</v>
      </c>
      <c r="V3764" s="50">
        <v>0.73</v>
      </c>
      <c r="W3764" s="74">
        <v>0.04</v>
      </c>
      <c r="X3764" s="50">
        <v>8.4000000000000005E-2</v>
      </c>
      <c r="Y3764" s="74">
        <v>1.4999999999999999E-2</v>
      </c>
      <c r="Z3764" s="165">
        <v>1</v>
      </c>
      <c r="AA3764" s="271">
        <v>1</v>
      </c>
      <c r="AB3764" s="114">
        <v>28</v>
      </c>
      <c r="AC3764" s="50">
        <v>145</v>
      </c>
      <c r="AD3764" s="271">
        <v>1</v>
      </c>
    </row>
    <row r="3765" spans="1:79" ht="15" customHeight="1">
      <c r="A3765" s="404" t="s">
        <v>4668</v>
      </c>
      <c r="B3765" s="402" t="s">
        <v>2155</v>
      </c>
      <c r="C3765" s="113" t="s">
        <v>2156</v>
      </c>
      <c r="D3765" s="393" t="s">
        <v>71</v>
      </c>
      <c r="E3765" s="394" t="s">
        <v>2157</v>
      </c>
      <c r="F3765" s="402" t="s">
        <v>2158</v>
      </c>
      <c r="G3765" s="405" t="s">
        <v>3620</v>
      </c>
      <c r="H3765" s="74">
        <v>2821</v>
      </c>
      <c r="I3765" s="50" t="s">
        <v>1</v>
      </c>
      <c r="J3765" s="339" t="s">
        <v>2159</v>
      </c>
      <c r="K3765" s="51">
        <v>41529</v>
      </c>
      <c r="L3765" s="173">
        <v>41520</v>
      </c>
      <c r="M3765" s="50">
        <f t="shared" si="228"/>
        <v>9</v>
      </c>
      <c r="N3765" s="50" t="s">
        <v>2</v>
      </c>
      <c r="O3765" s="74">
        <f>1/2</f>
        <v>0.5</v>
      </c>
      <c r="P3765" s="50">
        <v>7.1</v>
      </c>
      <c r="Q3765" s="74">
        <v>6.7</v>
      </c>
      <c r="R3765" s="50">
        <v>13</v>
      </c>
      <c r="S3765" s="74">
        <v>8.4</v>
      </c>
      <c r="T3765" s="50">
        <v>3.2000000000000001E-2</v>
      </c>
      <c r="U3765" s="131">
        <v>0.56000000000000005</v>
      </c>
      <c r="V3765" s="50">
        <v>0.33</v>
      </c>
      <c r="W3765" s="74">
        <v>2.8E-3</v>
      </c>
      <c r="X3765" s="50">
        <v>5.6000000000000001E-2</v>
      </c>
      <c r="Y3765" s="74">
        <v>2.0999999999999999E-3</v>
      </c>
      <c r="Z3765" s="165"/>
      <c r="AI3765" s="114">
        <v>80</v>
      </c>
      <c r="AJ3765" s="114">
        <v>30</v>
      </c>
    </row>
    <row r="3766" spans="1:79" ht="15" customHeight="1">
      <c r="A3766" s="404" t="s">
        <v>4668</v>
      </c>
      <c r="B3766" s="402" t="s">
        <v>2155</v>
      </c>
      <c r="C3766" s="113" t="s">
        <v>2156</v>
      </c>
      <c r="D3766" s="393" t="s">
        <v>1524</v>
      </c>
      <c r="E3766" s="394" t="s">
        <v>2157</v>
      </c>
      <c r="F3766" s="402" t="s">
        <v>6260</v>
      </c>
      <c r="G3766" s="405" t="s">
        <v>5503</v>
      </c>
      <c r="H3766" s="74">
        <v>2822</v>
      </c>
      <c r="I3766" s="50" t="s">
        <v>1</v>
      </c>
      <c r="J3766" s="339" t="s">
        <v>254</v>
      </c>
      <c r="K3766" s="51">
        <v>41529</v>
      </c>
      <c r="L3766" s="173">
        <v>41520</v>
      </c>
      <c r="M3766" s="50">
        <f t="shared" si="228"/>
        <v>9</v>
      </c>
      <c r="N3766" s="50" t="s">
        <v>2</v>
      </c>
      <c r="O3766" s="74">
        <f>1/2</f>
        <v>0.5</v>
      </c>
      <c r="P3766" s="50">
        <v>7.1</v>
      </c>
      <c r="Q3766" s="74">
        <v>6.5</v>
      </c>
      <c r="R3766" s="50">
        <v>47</v>
      </c>
      <c r="S3766" s="74">
        <v>30</v>
      </c>
      <c r="T3766" s="50">
        <v>0.06</v>
      </c>
      <c r="U3766" s="131">
        <f>0.5/2</f>
        <v>0.25</v>
      </c>
      <c r="V3766" s="50">
        <v>0.44</v>
      </c>
      <c r="W3766" s="74">
        <v>5.1999999999999998E-3</v>
      </c>
      <c r="X3766" s="50">
        <v>0.2</v>
      </c>
      <c r="Y3766" s="74">
        <v>3.8999999999999998E-3</v>
      </c>
      <c r="Z3766" s="165"/>
      <c r="AI3766" s="114">
        <v>510</v>
      </c>
      <c r="AJ3766" s="114">
        <v>970</v>
      </c>
    </row>
    <row r="3767" spans="1:79" ht="15" customHeight="1">
      <c r="A3767" s="404" t="s">
        <v>4668</v>
      </c>
      <c r="B3767" s="402" t="s">
        <v>2155</v>
      </c>
      <c r="C3767" s="113" t="s">
        <v>2156</v>
      </c>
      <c r="D3767" s="393" t="s">
        <v>2591</v>
      </c>
      <c r="E3767" s="394" t="s">
        <v>2157</v>
      </c>
      <c r="F3767" s="402" t="s">
        <v>6261</v>
      </c>
      <c r="G3767" s="405" t="s">
        <v>1595</v>
      </c>
      <c r="H3767" s="74">
        <v>2823</v>
      </c>
      <c r="I3767" s="50" t="s">
        <v>1</v>
      </c>
      <c r="J3767" s="339" t="s">
        <v>169</v>
      </c>
      <c r="K3767" s="51">
        <v>41529</v>
      </c>
      <c r="L3767" s="173">
        <v>41520</v>
      </c>
      <c r="M3767" s="50">
        <f t="shared" si="228"/>
        <v>9</v>
      </c>
      <c r="N3767" s="50" t="s">
        <v>2</v>
      </c>
      <c r="O3767" s="74">
        <f>1/2</f>
        <v>0.5</v>
      </c>
      <c r="P3767" s="50">
        <v>7.1</v>
      </c>
      <c r="Q3767" s="74">
        <v>6.3</v>
      </c>
      <c r="R3767" s="50">
        <v>7.4</v>
      </c>
      <c r="S3767" s="74">
        <v>33</v>
      </c>
      <c r="T3767" s="50">
        <v>6.2E-2</v>
      </c>
      <c r="U3767" s="131">
        <f>0.5/2</f>
        <v>0.25</v>
      </c>
      <c r="V3767" s="50">
        <v>0.53</v>
      </c>
      <c r="W3767" s="74">
        <v>3.2000000000000002E-3</v>
      </c>
      <c r="X3767" s="50">
        <v>0.11</v>
      </c>
      <c r="Y3767" s="74">
        <v>7.4000000000000003E-3</v>
      </c>
      <c r="Z3767" s="165"/>
      <c r="AI3767" s="114">
        <v>390</v>
      </c>
      <c r="AJ3767" s="114">
        <v>680</v>
      </c>
    </row>
    <row r="3768" spans="1:79" ht="15" customHeight="1">
      <c r="A3768" s="404" t="s">
        <v>4668</v>
      </c>
      <c r="B3768" s="402" t="s">
        <v>2155</v>
      </c>
      <c r="C3768" s="113" t="s">
        <v>2156</v>
      </c>
      <c r="D3768" s="393" t="s">
        <v>186</v>
      </c>
      <c r="E3768" s="394" t="s">
        <v>2157</v>
      </c>
      <c r="F3768" s="402" t="s">
        <v>6262</v>
      </c>
      <c r="G3768" s="405" t="s">
        <v>6263</v>
      </c>
      <c r="H3768" s="74">
        <v>2824</v>
      </c>
      <c r="I3768" s="50" t="s">
        <v>1</v>
      </c>
      <c r="J3768" s="339" t="s">
        <v>96</v>
      </c>
      <c r="K3768" s="51">
        <v>41529</v>
      </c>
      <c r="L3768" s="173">
        <v>41520</v>
      </c>
      <c r="M3768" s="50">
        <f t="shared" si="228"/>
        <v>9</v>
      </c>
      <c r="N3768" s="50" t="s">
        <v>2</v>
      </c>
      <c r="O3768" s="74">
        <v>1</v>
      </c>
      <c r="P3768" s="50">
        <v>7.1</v>
      </c>
      <c r="Q3768" s="74">
        <v>6.1</v>
      </c>
      <c r="R3768" s="50">
        <v>19</v>
      </c>
      <c r="S3768" s="74">
        <v>3.1</v>
      </c>
      <c r="T3768" s="50">
        <v>6.8000000000000005E-2</v>
      </c>
      <c r="U3768" s="131">
        <v>0.56999999999999995</v>
      </c>
      <c r="V3768" s="50">
        <v>0.42</v>
      </c>
      <c r="W3768" s="74">
        <v>5.5999999999999999E-3</v>
      </c>
      <c r="X3768" s="50">
        <v>0.21</v>
      </c>
      <c r="Y3768" s="74">
        <v>7.0000000000000001E-3</v>
      </c>
      <c r="Z3768" s="165"/>
      <c r="AI3768" s="114">
        <v>150</v>
      </c>
      <c r="AJ3768" s="114">
        <v>290</v>
      </c>
    </row>
    <row r="3769" spans="1:79" ht="15" customHeight="1">
      <c r="A3769" s="404" t="s">
        <v>4668</v>
      </c>
      <c r="B3769" s="402" t="s">
        <v>2155</v>
      </c>
      <c r="C3769" s="113" t="s">
        <v>2156</v>
      </c>
      <c r="D3769" s="393" t="s">
        <v>6264</v>
      </c>
      <c r="E3769" s="394" t="s">
        <v>2157</v>
      </c>
      <c r="F3769" s="402" t="s">
        <v>6265</v>
      </c>
      <c r="G3769" s="405" t="s">
        <v>6266</v>
      </c>
      <c r="H3769" s="74">
        <v>2825</v>
      </c>
      <c r="I3769" s="50" t="s">
        <v>1</v>
      </c>
      <c r="J3769" s="339" t="s">
        <v>2160</v>
      </c>
      <c r="K3769" s="51">
        <v>41529</v>
      </c>
      <c r="L3769" s="173">
        <v>41520</v>
      </c>
      <c r="M3769" s="50">
        <f t="shared" si="228"/>
        <v>9</v>
      </c>
      <c r="N3769" s="50" t="s">
        <v>2</v>
      </c>
      <c r="O3769" s="74">
        <f>1/2</f>
        <v>0.5</v>
      </c>
      <c r="P3769" s="50">
        <v>7.1</v>
      </c>
      <c r="Q3769" s="74">
        <v>6.6</v>
      </c>
      <c r="R3769" s="50">
        <v>23</v>
      </c>
      <c r="S3769" s="74">
        <v>8.8000000000000007</v>
      </c>
      <c r="T3769" s="50">
        <v>3.9E-2</v>
      </c>
      <c r="U3769" s="131">
        <f>0.5/2</f>
        <v>0.25</v>
      </c>
      <c r="V3769" s="50">
        <v>0.28000000000000003</v>
      </c>
      <c r="W3769" s="74">
        <v>2.0999999999999999E-3</v>
      </c>
      <c r="X3769" s="50">
        <v>38</v>
      </c>
      <c r="Y3769" s="74">
        <f>0.002/2</f>
        <v>1E-3</v>
      </c>
      <c r="Z3769" s="165"/>
      <c r="AI3769" s="114">
        <v>400</v>
      </c>
      <c r="AJ3769" s="114">
        <v>10</v>
      </c>
    </row>
    <row r="3770" spans="1:79" ht="15" customHeight="1">
      <c r="A3770" s="404" t="s">
        <v>4668</v>
      </c>
      <c r="B3770" s="402" t="s">
        <v>4875</v>
      </c>
      <c r="C3770" s="113" t="s">
        <v>4876</v>
      </c>
      <c r="D3770" s="393" t="s">
        <v>372</v>
      </c>
      <c r="E3770" s="394" t="s">
        <v>535</v>
      </c>
      <c r="G3770" s="405" t="s">
        <v>932</v>
      </c>
      <c r="H3770" s="74">
        <v>2653</v>
      </c>
      <c r="J3770" s="339" t="s">
        <v>4877</v>
      </c>
      <c r="K3770" s="51">
        <v>41184</v>
      </c>
      <c r="L3770" s="173">
        <v>41180</v>
      </c>
      <c r="M3770" s="50">
        <f t="shared" si="228"/>
        <v>4</v>
      </c>
      <c r="N3770" s="50" t="s">
        <v>2</v>
      </c>
      <c r="O3770" s="74">
        <v>5.3</v>
      </c>
      <c r="P3770" s="50">
        <v>5.73</v>
      </c>
      <c r="Q3770" s="74">
        <v>6.22</v>
      </c>
      <c r="R3770" s="50">
        <v>10.3</v>
      </c>
      <c r="S3770" s="74">
        <f>1/2</f>
        <v>0.5</v>
      </c>
      <c r="T3770" s="50">
        <v>0.08</v>
      </c>
      <c r="U3770" s="131">
        <f>0.1/2</f>
        <v>0.05</v>
      </c>
      <c r="V3770" s="50">
        <f>0.2/2</f>
        <v>0.1</v>
      </c>
      <c r="W3770" s="74">
        <v>0.02</v>
      </c>
      <c r="X3770" s="50">
        <v>0.09</v>
      </c>
      <c r="Y3770" s="74">
        <f>0.02/2</f>
        <v>0.01</v>
      </c>
      <c r="Z3770" s="165">
        <v>1</v>
      </c>
      <c r="AA3770" s="271">
        <v>0.95299999999999996</v>
      </c>
      <c r="AB3770" s="114">
        <v>4.28</v>
      </c>
      <c r="AC3770" s="50">
        <v>40.299999999999997</v>
      </c>
      <c r="AD3770" s="271">
        <v>1</v>
      </c>
    </row>
    <row r="3771" spans="1:79" ht="15" customHeight="1">
      <c r="A3771" s="404" t="s">
        <v>4668</v>
      </c>
      <c r="B3771" s="402" t="s">
        <v>4458</v>
      </c>
      <c r="C3771" s="113" t="s">
        <v>4459</v>
      </c>
      <c r="D3771" s="393" t="s">
        <v>684</v>
      </c>
      <c r="E3771" s="394" t="s">
        <v>112</v>
      </c>
      <c r="G3771" s="405" t="s">
        <v>4460</v>
      </c>
      <c r="H3771" s="74">
        <v>4212</v>
      </c>
      <c r="I3771" s="50" t="s">
        <v>1</v>
      </c>
      <c r="J3771" s="339" t="s">
        <v>81</v>
      </c>
      <c r="K3771" s="51">
        <v>41156</v>
      </c>
      <c r="L3771" s="173" t="s">
        <v>5380</v>
      </c>
      <c r="N3771" s="50" t="s">
        <v>2</v>
      </c>
      <c r="Q3771" s="74">
        <v>6.44</v>
      </c>
      <c r="R3771" s="50">
        <v>160</v>
      </c>
      <c r="S3771" s="74">
        <v>190</v>
      </c>
      <c r="T3771" s="50">
        <v>0.78</v>
      </c>
      <c r="U3771" s="131">
        <v>2.1</v>
      </c>
      <c r="V3771" s="50">
        <v>0.59</v>
      </c>
      <c r="W3771" s="74">
        <v>0.1</v>
      </c>
      <c r="X3771" s="50">
        <v>0.55000000000000004</v>
      </c>
      <c r="Y3771" s="74">
        <v>0.14000000000000001</v>
      </c>
      <c r="Z3771" s="165">
        <v>1</v>
      </c>
      <c r="AA3771" s="271">
        <v>1</v>
      </c>
      <c r="AB3771" s="114">
        <v>12</v>
      </c>
      <c r="AC3771" s="50">
        <v>40</v>
      </c>
      <c r="AD3771" s="271">
        <v>0.8</v>
      </c>
    </row>
    <row r="3772" spans="1:79" ht="15" customHeight="1">
      <c r="A3772" s="404" t="s">
        <v>4668</v>
      </c>
      <c r="B3772" s="402" t="s">
        <v>2054</v>
      </c>
      <c r="C3772" s="113" t="s">
        <v>2054</v>
      </c>
      <c r="D3772" s="393" t="s">
        <v>209</v>
      </c>
      <c r="E3772" s="394" t="s">
        <v>2055</v>
      </c>
      <c r="G3772" s="405" t="s">
        <v>2056</v>
      </c>
      <c r="H3772" s="74">
        <v>2024</v>
      </c>
      <c r="I3772" s="50" t="s">
        <v>2</v>
      </c>
      <c r="J3772" s="339" t="s">
        <v>1392</v>
      </c>
      <c r="K3772" s="51">
        <v>41108</v>
      </c>
      <c r="L3772" s="173">
        <v>41105</v>
      </c>
      <c r="M3772" s="50">
        <f t="shared" si="228"/>
        <v>3</v>
      </c>
      <c r="N3772" s="50" t="s">
        <v>2</v>
      </c>
      <c r="O3772" s="74">
        <f>2/2</f>
        <v>1</v>
      </c>
      <c r="P3772" s="50">
        <v>5</v>
      </c>
      <c r="Q3772" s="74">
        <v>6.2</v>
      </c>
      <c r="R3772" s="50">
        <v>186</v>
      </c>
      <c r="S3772" s="74">
        <v>327</v>
      </c>
      <c r="T3772" s="50">
        <v>0.28000000000000003</v>
      </c>
      <c r="U3772" s="131">
        <v>4.2300000000000004</v>
      </c>
      <c r="V3772" s="50">
        <v>0.84</v>
      </c>
      <c r="W3772" s="74">
        <v>5.1999999999999998E-2</v>
      </c>
      <c r="X3772" s="50">
        <v>0.59699999999999998</v>
      </c>
      <c r="Y3772" s="74">
        <f>0.03/2</f>
        <v>1.4999999999999999E-2</v>
      </c>
      <c r="Z3772" s="165">
        <v>1</v>
      </c>
      <c r="AA3772" s="271">
        <v>1</v>
      </c>
      <c r="AB3772" s="114">
        <v>26</v>
      </c>
      <c r="AC3772" s="50">
        <v>78</v>
      </c>
      <c r="AD3772" s="271">
        <v>0.85</v>
      </c>
    </row>
    <row r="3773" spans="1:79" ht="15" customHeight="1">
      <c r="A3773" s="404" t="s">
        <v>4668</v>
      </c>
      <c r="B3773" s="385" t="s">
        <v>4348</v>
      </c>
      <c r="C3773" s="18" t="s">
        <v>4349</v>
      </c>
      <c r="D3773" s="377" t="s">
        <v>379</v>
      </c>
      <c r="E3773" s="20" t="s">
        <v>214</v>
      </c>
      <c r="F3773" s="385">
        <v>4315</v>
      </c>
      <c r="G3773" s="405" t="s">
        <v>4350</v>
      </c>
      <c r="H3773" s="74">
        <v>2653</v>
      </c>
      <c r="I3773" s="50" t="s">
        <v>1</v>
      </c>
      <c r="J3773" s="339" t="s">
        <v>6258</v>
      </c>
      <c r="K3773" s="51">
        <v>41131</v>
      </c>
      <c r="L3773" s="173">
        <v>41126</v>
      </c>
      <c r="M3773" s="50">
        <f t="shared" ref="M3773:M3835" si="230">K3773-L3773</f>
        <v>5</v>
      </c>
      <c r="N3773" s="50" t="s">
        <v>2</v>
      </c>
      <c r="O3773" s="74">
        <f>1.6/2</f>
        <v>0.8</v>
      </c>
      <c r="P3773" s="50">
        <v>4.5</v>
      </c>
      <c r="Q3773" s="74">
        <v>7.1</v>
      </c>
      <c r="R3773" s="50">
        <v>39</v>
      </c>
      <c r="S3773" s="74">
        <v>26</v>
      </c>
      <c r="T3773" s="50">
        <v>9.1999999999999998E-2</v>
      </c>
      <c r="U3773" s="131">
        <f>1/2</f>
        <v>0.5</v>
      </c>
      <c r="V3773" s="50">
        <f>0.46/2</f>
        <v>0.23</v>
      </c>
      <c r="W3773" s="74">
        <f>0.005/2</f>
        <v>2.5000000000000001E-3</v>
      </c>
      <c r="X3773" s="50">
        <v>6.7000000000000004E-2</v>
      </c>
      <c r="Y3773" s="74">
        <f>0.005/2</f>
        <v>2.5000000000000001E-3</v>
      </c>
      <c r="Z3773" s="165"/>
      <c r="AE3773" s="50">
        <v>100</v>
      </c>
    </row>
    <row r="3774" spans="1:79" ht="15" customHeight="1">
      <c r="A3774" s="404" t="s">
        <v>4668</v>
      </c>
      <c r="B3774" s="402" t="s">
        <v>2029</v>
      </c>
      <c r="C3774" s="113" t="s">
        <v>2030</v>
      </c>
      <c r="D3774" s="393" t="s">
        <v>303</v>
      </c>
      <c r="E3774" s="394" t="s">
        <v>2031</v>
      </c>
      <c r="G3774" s="405" t="s">
        <v>2032</v>
      </c>
      <c r="H3774" s="113">
        <v>3231</v>
      </c>
      <c r="I3774" s="49" t="s">
        <v>2</v>
      </c>
      <c r="J3774" s="48" t="s">
        <v>2033</v>
      </c>
      <c r="K3774" s="51">
        <v>41122</v>
      </c>
      <c r="L3774" s="173">
        <v>41118</v>
      </c>
      <c r="M3774" s="50">
        <f t="shared" si="230"/>
        <v>4</v>
      </c>
      <c r="N3774" s="50" t="s">
        <v>2</v>
      </c>
      <c r="O3774" s="74">
        <f>1.4/2</f>
        <v>0.7</v>
      </c>
      <c r="P3774" s="50">
        <v>6.5</v>
      </c>
      <c r="Q3774" s="74">
        <v>7.06</v>
      </c>
      <c r="R3774" s="50">
        <v>41</v>
      </c>
      <c r="S3774" s="74">
        <f>5/2</f>
        <v>2.5</v>
      </c>
      <c r="T3774" s="50">
        <v>0.16</v>
      </c>
      <c r="U3774" s="131">
        <v>1.21</v>
      </c>
      <c r="V3774" s="50">
        <v>0.41</v>
      </c>
      <c r="W3774" s="74">
        <v>7.0000000000000001E-3</v>
      </c>
      <c r="X3774" s="50">
        <v>0.26500000000000001</v>
      </c>
      <c r="Y3774" s="74">
        <f>0.002/2</f>
        <v>1E-3</v>
      </c>
      <c r="Z3774" s="165"/>
    </row>
    <row r="3775" spans="1:79" ht="15" customHeight="1">
      <c r="A3775" s="404" t="s">
        <v>4668</v>
      </c>
      <c r="B3775" s="402" t="s">
        <v>2029</v>
      </c>
      <c r="C3775" s="113" t="s">
        <v>2030</v>
      </c>
      <c r="D3775" s="393" t="s">
        <v>303</v>
      </c>
      <c r="E3775" s="394" t="s">
        <v>2031</v>
      </c>
      <c r="G3775" s="405" t="s">
        <v>2032</v>
      </c>
      <c r="H3775" s="113">
        <v>3231</v>
      </c>
      <c r="I3775" s="49" t="s">
        <v>2</v>
      </c>
      <c r="J3775" s="48" t="s">
        <v>2034</v>
      </c>
      <c r="K3775" s="51">
        <v>41122</v>
      </c>
      <c r="L3775" s="173">
        <v>41118</v>
      </c>
      <c r="M3775" s="50">
        <f t="shared" si="230"/>
        <v>4</v>
      </c>
      <c r="N3775" s="50" t="s">
        <v>2</v>
      </c>
      <c r="O3775" s="74">
        <f>1.4/2</f>
        <v>0.7</v>
      </c>
      <c r="P3775" s="50">
        <v>6.5</v>
      </c>
      <c r="Q3775" s="74">
        <v>6</v>
      </c>
      <c r="R3775" s="50">
        <v>36</v>
      </c>
      <c r="S3775" s="74">
        <f>5/2</f>
        <v>2.5</v>
      </c>
      <c r="T3775" s="50">
        <v>0.1</v>
      </c>
      <c r="U3775" s="131">
        <v>1.23</v>
      </c>
      <c r="V3775" s="50">
        <v>0.28999999999999998</v>
      </c>
      <c r="W3775" s="74">
        <v>8.0000000000000002E-3</v>
      </c>
      <c r="X3775" s="50">
        <v>0.115</v>
      </c>
      <c r="Y3775" s="74">
        <v>0.05</v>
      </c>
      <c r="Z3775" s="165"/>
    </row>
    <row r="3776" spans="1:79" s="400" customFormat="1" ht="15" customHeight="1">
      <c r="A3776" s="41" t="s">
        <v>183</v>
      </c>
      <c r="B3776" s="402" t="s">
        <v>4926</v>
      </c>
      <c r="C3776" s="113" t="s">
        <v>4926</v>
      </c>
      <c r="D3776" s="393" t="s">
        <v>41</v>
      </c>
      <c r="E3776" s="394" t="s">
        <v>4927</v>
      </c>
      <c r="F3776" s="402"/>
      <c r="G3776" s="405" t="s">
        <v>4928</v>
      </c>
      <c r="H3776" s="404">
        <v>336399</v>
      </c>
      <c r="I3776" s="402" t="s">
        <v>1</v>
      </c>
      <c r="J3776" s="406" t="s">
        <v>81</v>
      </c>
      <c r="K3776" s="403">
        <v>41170</v>
      </c>
      <c r="L3776" s="398">
        <v>41167</v>
      </c>
      <c r="M3776" s="402">
        <f t="shared" si="230"/>
        <v>3</v>
      </c>
      <c r="N3776" s="402" t="s">
        <v>2</v>
      </c>
      <c r="O3776" s="404">
        <f>1.4/2</f>
        <v>0.7</v>
      </c>
      <c r="P3776" s="402">
        <v>5.8</v>
      </c>
      <c r="Q3776" s="404">
        <v>6.61</v>
      </c>
      <c r="R3776" s="402">
        <v>89</v>
      </c>
      <c r="S3776" s="404">
        <v>9</v>
      </c>
      <c r="T3776" s="402">
        <v>0.25</v>
      </c>
      <c r="U3776" s="395">
        <v>5.68</v>
      </c>
      <c r="V3776" s="402">
        <v>0.94</v>
      </c>
      <c r="W3776" s="404">
        <v>3.6999999999999998E-2</v>
      </c>
      <c r="X3776" s="402">
        <v>0.1</v>
      </c>
      <c r="Y3776" s="404">
        <v>6.0000000000000001E-3</v>
      </c>
      <c r="Z3776" s="397">
        <v>0.68300000000000005</v>
      </c>
      <c r="AA3776" s="399">
        <v>0.68300000000000005</v>
      </c>
      <c r="AB3776" s="394">
        <v>8</v>
      </c>
      <c r="AC3776" s="402">
        <v>52</v>
      </c>
      <c r="AD3776" s="399">
        <v>0</v>
      </c>
      <c r="AE3776" s="402"/>
      <c r="AF3776" s="391"/>
      <c r="AG3776" s="394"/>
      <c r="AH3776" s="394"/>
      <c r="AI3776" s="394"/>
      <c r="AJ3776" s="394"/>
      <c r="AK3776" s="394"/>
      <c r="AL3776" s="394"/>
      <c r="AM3776" s="394"/>
      <c r="AN3776" s="394"/>
      <c r="AO3776" s="394"/>
      <c r="AP3776" s="394"/>
      <c r="AQ3776" s="394"/>
      <c r="AR3776" s="394"/>
      <c r="AS3776" s="402"/>
      <c r="AT3776" s="404"/>
      <c r="AU3776" s="394"/>
      <c r="AV3776" s="394"/>
      <c r="AW3776" s="394"/>
      <c r="AX3776" s="5"/>
      <c r="AY3776" s="5"/>
      <c r="AZ3776" s="5"/>
      <c r="BA3776" s="5"/>
      <c r="BB3776" s="5"/>
      <c r="BC3776" s="5"/>
      <c r="BD3776" s="5"/>
      <c r="BE3776" s="5"/>
      <c r="BF3776" s="5"/>
      <c r="BG3776" s="5"/>
      <c r="BH3776" s="5"/>
      <c r="BI3776" s="5"/>
      <c r="BJ3776" s="5"/>
      <c r="BK3776" s="5"/>
      <c r="BL3776" s="5"/>
      <c r="BM3776" s="5"/>
      <c r="BN3776" s="5"/>
      <c r="BO3776" s="5"/>
      <c r="BP3776" s="5"/>
      <c r="BQ3776" s="5"/>
      <c r="BR3776" s="5"/>
      <c r="BS3776" s="5"/>
      <c r="BT3776" s="5"/>
      <c r="BU3776" s="5"/>
      <c r="BV3776" s="5"/>
      <c r="BW3776" s="5"/>
      <c r="BX3776" s="5"/>
      <c r="BY3776" s="5"/>
      <c r="BZ3776" s="5"/>
      <c r="CA3776" s="5"/>
    </row>
    <row r="3777" spans="1:79" s="400" customFormat="1" ht="15" customHeight="1">
      <c r="A3777" s="41" t="s">
        <v>183</v>
      </c>
      <c r="B3777" s="402" t="s">
        <v>4926</v>
      </c>
      <c r="C3777" s="113" t="s">
        <v>4926</v>
      </c>
      <c r="D3777" s="393" t="s">
        <v>41</v>
      </c>
      <c r="E3777" s="394" t="s">
        <v>4927</v>
      </c>
      <c r="F3777" s="402"/>
      <c r="G3777" s="405" t="s">
        <v>4928</v>
      </c>
      <c r="H3777" s="404">
        <v>336399</v>
      </c>
      <c r="I3777" s="402" t="s">
        <v>1</v>
      </c>
      <c r="J3777" s="406" t="s">
        <v>114</v>
      </c>
      <c r="K3777" s="403">
        <v>41170</v>
      </c>
      <c r="L3777" s="398">
        <v>41167</v>
      </c>
      <c r="M3777" s="402">
        <f t="shared" si="230"/>
        <v>3</v>
      </c>
      <c r="N3777" s="402" t="s">
        <v>2</v>
      </c>
      <c r="O3777" s="404">
        <f>1.4/2</f>
        <v>0.7</v>
      </c>
      <c r="P3777" s="402">
        <v>5.8</v>
      </c>
      <c r="Q3777" s="404">
        <v>6.43</v>
      </c>
      <c r="R3777" s="402">
        <v>38</v>
      </c>
      <c r="S3777" s="404">
        <f>5/2</f>
        <v>2.5</v>
      </c>
      <c r="T3777" s="402">
        <v>0.02</v>
      </c>
      <c r="U3777" s="395">
        <v>3.03</v>
      </c>
      <c r="V3777" s="402">
        <v>0.96</v>
      </c>
      <c r="W3777" s="404">
        <v>2.7E-2</v>
      </c>
      <c r="X3777" s="402">
        <v>0.249</v>
      </c>
      <c r="Y3777" s="404">
        <f>0.002/2</f>
        <v>1E-3</v>
      </c>
      <c r="Z3777" s="397">
        <v>0.55500000000000005</v>
      </c>
      <c r="AA3777" s="399">
        <v>0.42099999999999999</v>
      </c>
      <c r="AB3777" s="394">
        <v>8</v>
      </c>
      <c r="AC3777" s="402">
        <v>41</v>
      </c>
      <c r="AD3777" s="399">
        <v>0</v>
      </c>
      <c r="AE3777" s="402"/>
      <c r="AF3777" s="391"/>
      <c r="AG3777" s="394"/>
      <c r="AH3777" s="394"/>
      <c r="AI3777" s="394"/>
      <c r="AJ3777" s="394"/>
      <c r="AK3777" s="394"/>
      <c r="AL3777" s="394"/>
      <c r="AM3777" s="394"/>
      <c r="AN3777" s="394"/>
      <c r="AO3777" s="394"/>
      <c r="AP3777" s="394"/>
      <c r="AQ3777" s="394"/>
      <c r="AR3777" s="394"/>
      <c r="AS3777" s="402"/>
      <c r="AT3777" s="404"/>
      <c r="AU3777" s="394"/>
      <c r="AV3777" s="394"/>
      <c r="AW3777" s="394"/>
      <c r="AX3777" s="5"/>
      <c r="AY3777" s="5"/>
      <c r="AZ3777" s="5"/>
      <c r="BA3777" s="5"/>
      <c r="BB3777" s="5"/>
      <c r="BC3777" s="5"/>
      <c r="BD3777" s="5"/>
      <c r="BE3777" s="5"/>
      <c r="BF3777" s="5"/>
      <c r="BG3777" s="5"/>
      <c r="BH3777" s="5"/>
      <c r="BI3777" s="5"/>
      <c r="BJ3777" s="5"/>
      <c r="BK3777" s="5"/>
      <c r="BL3777" s="5"/>
      <c r="BM3777" s="5"/>
      <c r="BN3777" s="5"/>
      <c r="BO3777" s="5"/>
      <c r="BP3777" s="5"/>
      <c r="BQ3777" s="5"/>
      <c r="BR3777" s="5"/>
      <c r="BS3777" s="5"/>
      <c r="BT3777" s="5"/>
      <c r="BU3777" s="5"/>
      <c r="BV3777" s="5"/>
      <c r="BW3777" s="5"/>
      <c r="BX3777" s="5"/>
      <c r="BY3777" s="5"/>
      <c r="BZ3777" s="5"/>
      <c r="CA3777" s="5"/>
    </row>
    <row r="3778" spans="1:79" s="400" customFormat="1" ht="15" customHeight="1">
      <c r="A3778" s="41" t="s">
        <v>183</v>
      </c>
      <c r="B3778" s="402" t="s">
        <v>4926</v>
      </c>
      <c r="C3778" s="113" t="s">
        <v>4926</v>
      </c>
      <c r="D3778" s="393" t="s">
        <v>41</v>
      </c>
      <c r="E3778" s="394" t="s">
        <v>4927</v>
      </c>
      <c r="F3778" s="402"/>
      <c r="G3778" s="405" t="s">
        <v>4928</v>
      </c>
      <c r="H3778" s="404">
        <v>336399</v>
      </c>
      <c r="I3778" s="402" t="s">
        <v>1</v>
      </c>
      <c r="J3778" s="406" t="s">
        <v>115</v>
      </c>
      <c r="K3778" s="403">
        <v>41170</v>
      </c>
      <c r="L3778" s="398">
        <v>41167</v>
      </c>
      <c r="M3778" s="402">
        <f t="shared" si="230"/>
        <v>3</v>
      </c>
      <c r="N3778" s="402" t="s">
        <v>2</v>
      </c>
      <c r="O3778" s="404">
        <v>2.2999999999999998</v>
      </c>
      <c r="P3778" s="402">
        <v>5.8</v>
      </c>
      <c r="Q3778" s="404">
        <v>6.73</v>
      </c>
      <c r="R3778" s="402">
        <v>38</v>
      </c>
      <c r="S3778" s="404">
        <v>80</v>
      </c>
      <c r="T3778" s="402">
        <v>0.24</v>
      </c>
      <c r="U3778" s="395">
        <v>1.43</v>
      </c>
      <c r="V3778" s="402">
        <v>0.44</v>
      </c>
      <c r="W3778" s="404">
        <v>1.2E-2</v>
      </c>
      <c r="X3778" s="402">
        <v>0.114</v>
      </c>
      <c r="Y3778" s="404">
        <v>8.9999999999999993E-3</v>
      </c>
      <c r="Z3778" s="397">
        <v>1</v>
      </c>
      <c r="AA3778" s="399">
        <v>1</v>
      </c>
      <c r="AB3778" s="394">
        <v>4</v>
      </c>
      <c r="AC3778" s="402">
        <v>46</v>
      </c>
      <c r="AD3778" s="399">
        <v>1</v>
      </c>
      <c r="AE3778" s="402"/>
      <c r="AF3778" s="391"/>
      <c r="AG3778" s="394"/>
      <c r="AH3778" s="394"/>
      <c r="AI3778" s="394"/>
      <c r="AJ3778" s="394"/>
      <c r="AK3778" s="394"/>
      <c r="AL3778" s="394"/>
      <c r="AM3778" s="394"/>
      <c r="AN3778" s="394"/>
      <c r="AO3778" s="394"/>
      <c r="AP3778" s="394"/>
      <c r="AQ3778" s="394"/>
      <c r="AR3778" s="394"/>
      <c r="AS3778" s="402"/>
      <c r="AT3778" s="404"/>
      <c r="AU3778" s="394"/>
      <c r="AV3778" s="394"/>
      <c r="AW3778" s="394"/>
      <c r="AX3778" s="5"/>
      <c r="AY3778" s="5"/>
      <c r="AZ3778" s="5"/>
      <c r="BA3778" s="5"/>
      <c r="BB3778" s="5"/>
      <c r="BC3778" s="5"/>
      <c r="BD3778" s="5"/>
      <c r="BE3778" s="5"/>
      <c r="BF3778" s="5"/>
      <c r="BG3778" s="5"/>
      <c r="BH3778" s="5"/>
      <c r="BI3778" s="5"/>
      <c r="BJ3778" s="5"/>
      <c r="BK3778" s="5"/>
      <c r="BL3778" s="5"/>
      <c r="BM3778" s="5"/>
      <c r="BN3778" s="5"/>
      <c r="BO3778" s="5"/>
      <c r="BP3778" s="5"/>
      <c r="BQ3778" s="5"/>
      <c r="BR3778" s="5"/>
      <c r="BS3778" s="5"/>
      <c r="BT3778" s="5"/>
      <c r="BU3778" s="5"/>
      <c r="BV3778" s="5"/>
      <c r="BW3778" s="5"/>
      <c r="BX3778" s="5"/>
      <c r="BY3778" s="5"/>
      <c r="BZ3778" s="5"/>
      <c r="CA3778" s="5"/>
    </row>
    <row r="3779" spans="1:79" ht="15" customHeight="1">
      <c r="A3779" s="404" t="s">
        <v>4668</v>
      </c>
      <c r="B3779" s="402" t="s">
        <v>2111</v>
      </c>
      <c r="C3779" s="113" t="s">
        <v>2111</v>
      </c>
      <c r="D3779" s="393" t="s">
        <v>1217</v>
      </c>
      <c r="E3779" s="394" t="s">
        <v>2112</v>
      </c>
      <c r="G3779" s="405" t="s">
        <v>3606</v>
      </c>
      <c r="H3779" s="113">
        <v>3562</v>
      </c>
      <c r="I3779" s="49" t="s">
        <v>2</v>
      </c>
      <c r="J3779" s="48" t="s">
        <v>2102</v>
      </c>
      <c r="K3779" s="51">
        <v>41170</v>
      </c>
      <c r="L3779" s="173">
        <v>41167</v>
      </c>
      <c r="M3779" s="50">
        <f t="shared" si="230"/>
        <v>3</v>
      </c>
      <c r="N3779" s="50" t="s">
        <v>2</v>
      </c>
      <c r="O3779" s="74">
        <v>1.8</v>
      </c>
      <c r="R3779" s="50">
        <v>38.1</v>
      </c>
      <c r="S3779" s="74">
        <f>5/2</f>
        <v>2.5</v>
      </c>
      <c r="T3779" s="50">
        <v>9.8199999999999996E-2</v>
      </c>
      <c r="U3779" s="131">
        <v>1.96</v>
      </c>
      <c r="V3779" s="50">
        <v>0.93</v>
      </c>
      <c r="W3779" s="74">
        <v>1.0999999999999999E-2</v>
      </c>
      <c r="X3779" s="50">
        <v>8.6999999999999994E-2</v>
      </c>
      <c r="Y3779" s="74">
        <f>0.0075/2</f>
        <v>3.7499999999999999E-3</v>
      </c>
      <c r="Z3779" s="165">
        <v>1</v>
      </c>
      <c r="AA3779" s="271">
        <v>1</v>
      </c>
      <c r="AB3779" s="114">
        <v>6</v>
      </c>
      <c r="AC3779" s="50">
        <v>92</v>
      </c>
      <c r="AD3779" s="271">
        <v>0.95</v>
      </c>
    </row>
    <row r="3780" spans="1:79" ht="15" customHeight="1">
      <c r="A3780" s="404" t="s">
        <v>4668</v>
      </c>
      <c r="B3780" s="402" t="s">
        <v>5326</v>
      </c>
      <c r="C3780" s="113" t="s">
        <v>5326</v>
      </c>
      <c r="D3780" s="393" t="s">
        <v>111</v>
      </c>
      <c r="E3780" s="394" t="s">
        <v>6267</v>
      </c>
      <c r="G3780" s="405" t="s">
        <v>4074</v>
      </c>
      <c r="H3780" s="74">
        <v>4953</v>
      </c>
      <c r="I3780" s="50" t="s">
        <v>2</v>
      </c>
      <c r="J3780" s="339" t="s">
        <v>5327</v>
      </c>
      <c r="K3780" s="51">
        <v>41605</v>
      </c>
      <c r="L3780" s="173"/>
      <c r="N3780" s="50" t="s">
        <v>1</v>
      </c>
      <c r="O3780" s="74">
        <f>2/2</f>
        <v>1</v>
      </c>
      <c r="P3780" s="50">
        <v>6.8</v>
      </c>
      <c r="Q3780" s="74">
        <v>6.7</v>
      </c>
      <c r="R3780" s="50">
        <f>10/2</f>
        <v>5</v>
      </c>
      <c r="S3780" s="74">
        <v>1</v>
      </c>
      <c r="T3780" s="50">
        <v>0.08</v>
      </c>
      <c r="U3780" s="131">
        <v>0.49</v>
      </c>
      <c r="V3780" s="50">
        <v>0.15</v>
      </c>
      <c r="W3780" s="74">
        <f>0.01/2</f>
        <v>5.0000000000000001E-3</v>
      </c>
      <c r="X3780" s="50">
        <v>0.06</v>
      </c>
      <c r="Y3780" s="74">
        <f>0.03/2</f>
        <v>1.4999999999999999E-2</v>
      </c>
      <c r="Z3780" s="165">
        <v>1</v>
      </c>
      <c r="AA3780" s="271">
        <v>1</v>
      </c>
      <c r="AB3780" s="114">
        <v>10</v>
      </c>
      <c r="AC3780" s="50">
        <v>36</v>
      </c>
      <c r="AD3780" s="271">
        <v>0.85</v>
      </c>
    </row>
    <row r="3781" spans="1:79" ht="15" customHeight="1">
      <c r="A3781" s="404" t="s">
        <v>4668</v>
      </c>
      <c r="B3781" s="402" t="s">
        <v>5158</v>
      </c>
      <c r="C3781" s="113" t="s">
        <v>126</v>
      </c>
      <c r="D3781" s="393" t="s">
        <v>127</v>
      </c>
      <c r="E3781" s="394" t="s">
        <v>128</v>
      </c>
      <c r="G3781" s="405" t="s">
        <v>129</v>
      </c>
      <c r="H3781" s="74">
        <v>2841</v>
      </c>
      <c r="I3781" s="50" t="s">
        <v>2</v>
      </c>
      <c r="J3781" s="339" t="s">
        <v>130</v>
      </c>
      <c r="K3781" s="51">
        <v>41105</v>
      </c>
      <c r="L3781" s="173">
        <v>41094</v>
      </c>
      <c r="M3781" s="50">
        <f t="shared" si="230"/>
        <v>11</v>
      </c>
      <c r="N3781" s="50" t="s">
        <v>2</v>
      </c>
      <c r="O3781" s="74">
        <f>5/2</f>
        <v>2.5</v>
      </c>
      <c r="P3781" s="50">
        <v>5.8</v>
      </c>
      <c r="Q3781" s="74">
        <v>6.1</v>
      </c>
      <c r="R3781" s="50">
        <v>65</v>
      </c>
      <c r="S3781" s="74">
        <v>34</v>
      </c>
      <c r="T3781" s="50">
        <f>0.1/2</f>
        <v>0.05</v>
      </c>
      <c r="U3781" s="131">
        <f>1/2</f>
        <v>0.5</v>
      </c>
      <c r="V3781" s="50">
        <v>0.35</v>
      </c>
      <c r="W3781" s="74">
        <f>0.04/2</f>
        <v>0.02</v>
      </c>
      <c r="X3781" s="50">
        <v>2.2000000000000002</v>
      </c>
      <c r="Y3781" s="74">
        <f>0.013/2</f>
        <v>6.4999999999999997E-3</v>
      </c>
      <c r="Z3781" s="165"/>
    </row>
    <row r="3782" spans="1:79" ht="15" customHeight="1">
      <c r="A3782" s="41" t="s">
        <v>183</v>
      </c>
      <c r="B3782" s="402" t="s">
        <v>5158</v>
      </c>
      <c r="C3782" s="113" t="s">
        <v>126</v>
      </c>
      <c r="D3782" s="393" t="s">
        <v>127</v>
      </c>
      <c r="E3782" s="394" t="s">
        <v>128</v>
      </c>
      <c r="G3782" s="405" t="s">
        <v>129</v>
      </c>
      <c r="H3782" s="74">
        <v>2841</v>
      </c>
      <c r="I3782" s="50" t="s">
        <v>2</v>
      </c>
      <c r="J3782" s="339" t="s">
        <v>130</v>
      </c>
      <c r="K3782" s="51">
        <v>41585</v>
      </c>
      <c r="L3782" s="173">
        <v>41578</v>
      </c>
      <c r="M3782" s="50">
        <f t="shared" si="230"/>
        <v>7</v>
      </c>
      <c r="N3782" s="50" t="s">
        <v>2</v>
      </c>
      <c r="X3782" s="50">
        <v>0.78</v>
      </c>
      <c r="Z3782" s="165"/>
    </row>
    <row r="3783" spans="1:79" ht="15" customHeight="1">
      <c r="A3783" s="404" t="s">
        <v>4668</v>
      </c>
      <c r="B3783" s="402" t="s">
        <v>1985</v>
      </c>
      <c r="C3783" s="113" t="s">
        <v>6040</v>
      </c>
      <c r="D3783" s="393" t="s">
        <v>205</v>
      </c>
      <c r="E3783" s="394" t="s">
        <v>364</v>
      </c>
      <c r="F3783" s="402">
        <v>4300</v>
      </c>
      <c r="G3783" s="405" t="s">
        <v>6041</v>
      </c>
      <c r="H3783" s="74">
        <v>4911</v>
      </c>
      <c r="I3783" s="50" t="s">
        <v>2</v>
      </c>
      <c r="J3783" s="339" t="s">
        <v>669</v>
      </c>
      <c r="K3783" s="51">
        <v>41600</v>
      </c>
      <c r="L3783" s="173">
        <v>41596</v>
      </c>
      <c r="M3783" s="50">
        <f t="shared" si="230"/>
        <v>4</v>
      </c>
      <c r="N3783" s="50" t="s">
        <v>2</v>
      </c>
      <c r="O3783" s="74">
        <f>1.8/2</f>
        <v>0.9</v>
      </c>
      <c r="P3783" s="50">
        <v>4.8</v>
      </c>
      <c r="Q3783" s="74">
        <v>9.8000000000000007</v>
      </c>
      <c r="R3783" s="50">
        <f>20/2</f>
        <v>10</v>
      </c>
      <c r="S3783" s="74">
        <v>4</v>
      </c>
      <c r="T3783" s="50">
        <v>0.107</v>
      </c>
      <c r="U3783" s="131">
        <v>1.3</v>
      </c>
      <c r="V3783" s="50">
        <f>0.46/2</f>
        <v>0.23</v>
      </c>
      <c r="W3783" s="74">
        <f>0.005/2</f>
        <v>2.5000000000000001E-3</v>
      </c>
      <c r="X3783" s="50">
        <v>0.20699999999999999</v>
      </c>
      <c r="Y3783" s="74">
        <f>0.005/2</f>
        <v>2.5000000000000001E-3</v>
      </c>
      <c r="Z3783" s="165">
        <v>1</v>
      </c>
      <c r="AA3783" s="271">
        <v>1</v>
      </c>
      <c r="AB3783" s="114">
        <v>22</v>
      </c>
      <c r="AC3783" s="50">
        <v>124</v>
      </c>
      <c r="AD3783" s="271">
        <v>1</v>
      </c>
    </row>
    <row r="3784" spans="1:79" ht="15" customHeight="1">
      <c r="A3784" s="404" t="s">
        <v>4668</v>
      </c>
      <c r="B3784" s="402" t="s">
        <v>1985</v>
      </c>
      <c r="C3784" s="113" t="s">
        <v>6040</v>
      </c>
      <c r="D3784" s="393" t="s">
        <v>205</v>
      </c>
      <c r="E3784" s="394" t="s">
        <v>364</v>
      </c>
      <c r="F3784" s="402">
        <v>4301</v>
      </c>
      <c r="G3784" s="405" t="s">
        <v>6268</v>
      </c>
      <c r="H3784" s="74">
        <v>4912</v>
      </c>
      <c r="I3784" s="50" t="s">
        <v>2</v>
      </c>
      <c r="J3784" s="339" t="s">
        <v>676</v>
      </c>
      <c r="K3784" s="51">
        <v>41600</v>
      </c>
      <c r="L3784" s="173">
        <v>41596</v>
      </c>
      <c r="M3784" s="50">
        <f t="shared" si="230"/>
        <v>4</v>
      </c>
      <c r="N3784" s="50" t="s">
        <v>2</v>
      </c>
      <c r="O3784" s="74">
        <v>4.3</v>
      </c>
      <c r="P3784" s="50">
        <v>4.8</v>
      </c>
      <c r="Q3784" s="74">
        <v>8.8000000000000007</v>
      </c>
      <c r="R3784" s="50">
        <v>23</v>
      </c>
      <c r="S3784" s="74">
        <v>10.5</v>
      </c>
      <c r="T3784" s="50">
        <v>9.8000000000000004E-2</v>
      </c>
      <c r="U3784" s="131">
        <v>1.2</v>
      </c>
      <c r="V3784" s="50">
        <v>0.63</v>
      </c>
      <c r="W3784" s="74">
        <v>6.0000000000000001E-3</v>
      </c>
      <c r="X3784" s="50">
        <v>2.1999999999999999E-2</v>
      </c>
      <c r="Y3784" s="74">
        <f>0.005/2</f>
        <v>2.5000000000000001E-3</v>
      </c>
      <c r="Z3784" s="165">
        <v>1</v>
      </c>
      <c r="AA3784" s="271">
        <v>1</v>
      </c>
      <c r="AB3784" s="114">
        <v>34</v>
      </c>
      <c r="AC3784" s="50">
        <v>84</v>
      </c>
      <c r="AD3784" s="271">
        <v>0.85</v>
      </c>
    </row>
    <row r="3785" spans="1:79" ht="15" customHeight="1">
      <c r="A3785" s="404" t="s">
        <v>4668</v>
      </c>
      <c r="B3785" s="402" t="s">
        <v>6269</v>
      </c>
      <c r="C3785" s="113" t="s">
        <v>6269</v>
      </c>
      <c r="D3785" s="393" t="s">
        <v>1633</v>
      </c>
      <c r="E3785" s="394" t="s">
        <v>6270</v>
      </c>
      <c r="G3785" s="405" t="s">
        <v>6055</v>
      </c>
      <c r="H3785" s="74">
        <v>3449</v>
      </c>
      <c r="I3785" s="50" t="s">
        <v>2</v>
      </c>
      <c r="J3785" s="339" t="s">
        <v>6271</v>
      </c>
      <c r="K3785" s="51">
        <v>41605</v>
      </c>
      <c r="L3785" s="173"/>
      <c r="N3785" s="50" t="s">
        <v>2</v>
      </c>
      <c r="O3785" s="74">
        <f>2/2</f>
        <v>1</v>
      </c>
      <c r="P3785" s="50">
        <v>6</v>
      </c>
      <c r="Q3785" s="74">
        <v>6.1</v>
      </c>
      <c r="R3785" s="50">
        <v>94</v>
      </c>
      <c r="S3785" s="74">
        <v>270</v>
      </c>
      <c r="T3785" s="50">
        <v>0.53</v>
      </c>
      <c r="U3785" s="131">
        <v>1.5</v>
      </c>
      <c r="V3785" s="50">
        <v>6.4000000000000001E-2</v>
      </c>
      <c r="W3785" s="74">
        <v>2.7E-2</v>
      </c>
      <c r="X3785" s="50">
        <v>9.5000000000000001E-2</v>
      </c>
      <c r="Y3785" s="74">
        <v>3.4000000000000002E-2</v>
      </c>
      <c r="Z3785" s="165">
        <v>1</v>
      </c>
      <c r="AA3785" s="271">
        <v>1</v>
      </c>
      <c r="AB3785" s="114">
        <v>8</v>
      </c>
      <c r="AC3785" s="50">
        <v>12</v>
      </c>
      <c r="AD3785" s="271">
        <v>1</v>
      </c>
    </row>
    <row r="3786" spans="1:79" ht="15" customHeight="1">
      <c r="A3786" s="404" t="s">
        <v>4668</v>
      </c>
      <c r="B3786" s="402" t="s">
        <v>2303</v>
      </c>
      <c r="C3786" s="113" t="s">
        <v>2303</v>
      </c>
      <c r="D3786" s="393" t="s">
        <v>205</v>
      </c>
      <c r="F3786" s="402">
        <v>4321</v>
      </c>
      <c r="G3786" s="405" t="s">
        <v>2304</v>
      </c>
      <c r="H3786" s="74">
        <v>3499</v>
      </c>
      <c r="I3786" s="50" t="s">
        <v>2</v>
      </c>
      <c r="J3786" s="48" t="s">
        <v>700</v>
      </c>
      <c r="K3786" s="51">
        <v>41345</v>
      </c>
      <c r="L3786" s="173">
        <v>41341</v>
      </c>
      <c r="M3786" s="50">
        <f>K3786-L3786</f>
        <v>4</v>
      </c>
      <c r="N3786" s="50" t="s">
        <v>1</v>
      </c>
      <c r="O3786" s="74">
        <f>1.9/2</f>
        <v>0.95</v>
      </c>
      <c r="P3786" s="50">
        <v>6.4</v>
      </c>
      <c r="Q3786" s="74">
        <v>8.4</v>
      </c>
      <c r="R3786" s="50">
        <v>23</v>
      </c>
      <c r="S3786" s="74">
        <v>18</v>
      </c>
      <c r="T3786" s="50">
        <v>8.4000000000000005E-2</v>
      </c>
      <c r="U3786" s="131">
        <v>1.7</v>
      </c>
      <c r="V3786" s="50">
        <v>0.63</v>
      </c>
      <c r="W3786" s="74">
        <f t="shared" ref="W3786:W3791" si="231">0.005/2</f>
        <v>2.5000000000000001E-3</v>
      </c>
      <c r="X3786" s="50">
        <v>2.7E-2</v>
      </c>
      <c r="Y3786" s="74">
        <f t="shared" ref="Y3786:Y3791" si="232">0.005/2</f>
        <v>2.5000000000000001E-3</v>
      </c>
      <c r="Z3786" s="165"/>
    </row>
    <row r="3787" spans="1:79" ht="15" customHeight="1">
      <c r="A3787" s="404" t="s">
        <v>4668</v>
      </c>
      <c r="B3787" s="402" t="s">
        <v>2303</v>
      </c>
      <c r="C3787" s="113" t="s">
        <v>2303</v>
      </c>
      <c r="D3787" s="393" t="s">
        <v>205</v>
      </c>
      <c r="F3787" s="402">
        <v>4321</v>
      </c>
      <c r="G3787" s="405" t="s">
        <v>2304</v>
      </c>
      <c r="H3787" s="74">
        <v>3499</v>
      </c>
      <c r="I3787" s="50" t="s">
        <v>2</v>
      </c>
      <c r="J3787" s="48" t="s">
        <v>1061</v>
      </c>
      <c r="K3787" s="51">
        <v>41345</v>
      </c>
      <c r="L3787" s="173">
        <v>41341</v>
      </c>
      <c r="M3787" s="50">
        <f>K3787-L3787</f>
        <v>4</v>
      </c>
      <c r="N3787" s="50" t="s">
        <v>1</v>
      </c>
      <c r="O3787" s="74">
        <f>1.8/2</f>
        <v>0.9</v>
      </c>
      <c r="P3787" s="50">
        <v>6.4</v>
      </c>
      <c r="Q3787" s="74">
        <v>6.8</v>
      </c>
      <c r="R3787" s="50">
        <f>20/2</f>
        <v>10</v>
      </c>
      <c r="S3787" s="74">
        <v>7.3</v>
      </c>
      <c r="T3787" s="50">
        <v>5.6000000000000001E-2</v>
      </c>
      <c r="U3787" s="131">
        <v>1.6</v>
      </c>
      <c r="V3787" s="50">
        <f>0.46/2</f>
        <v>0.23</v>
      </c>
      <c r="W3787" s="74">
        <f t="shared" si="231"/>
        <v>2.5000000000000001E-3</v>
      </c>
      <c r="X3787" s="50">
        <v>3.9E-2</v>
      </c>
      <c r="Y3787" s="74">
        <f t="shared" si="232"/>
        <v>2.5000000000000001E-3</v>
      </c>
      <c r="Z3787" s="165"/>
    </row>
    <row r="3788" spans="1:79" ht="15" customHeight="1">
      <c r="A3788" s="404" t="s">
        <v>4668</v>
      </c>
      <c r="B3788" s="402" t="s">
        <v>2303</v>
      </c>
      <c r="C3788" s="113" t="s">
        <v>2303</v>
      </c>
      <c r="D3788" s="393" t="s">
        <v>205</v>
      </c>
      <c r="F3788" s="402">
        <v>4321</v>
      </c>
      <c r="G3788" s="405" t="s">
        <v>2304</v>
      </c>
      <c r="H3788" s="74">
        <v>3499</v>
      </c>
      <c r="I3788" s="50" t="s">
        <v>2</v>
      </c>
      <c r="J3788" s="48" t="s">
        <v>700</v>
      </c>
      <c r="K3788" s="51">
        <v>41539</v>
      </c>
      <c r="L3788" s="173">
        <v>41529</v>
      </c>
      <c r="M3788" s="50">
        <f t="shared" si="230"/>
        <v>10</v>
      </c>
      <c r="N3788" s="50" t="s">
        <v>2</v>
      </c>
      <c r="O3788" s="74">
        <f>1.9/2</f>
        <v>0.95</v>
      </c>
      <c r="P3788" s="50">
        <v>6.74</v>
      </c>
      <c r="Q3788" s="74">
        <v>6.9</v>
      </c>
      <c r="R3788" s="50">
        <f>20/2</f>
        <v>10</v>
      </c>
      <c r="S3788" s="74">
        <v>2.6</v>
      </c>
      <c r="T3788" s="50">
        <v>1.7000000000000001E-2</v>
      </c>
      <c r="U3788" s="131">
        <f>1/2</f>
        <v>0.5</v>
      </c>
      <c r="V3788" s="50">
        <f>0.046/2</f>
        <v>2.3E-2</v>
      </c>
      <c r="W3788" s="74">
        <f t="shared" si="231"/>
        <v>2.5000000000000001E-3</v>
      </c>
      <c r="X3788" s="50">
        <f>0.01/2</f>
        <v>5.0000000000000001E-3</v>
      </c>
      <c r="Y3788" s="74">
        <f t="shared" si="232"/>
        <v>2.5000000000000001E-3</v>
      </c>
      <c r="Z3788" s="165">
        <v>1</v>
      </c>
      <c r="AA3788" s="271">
        <v>1</v>
      </c>
      <c r="AB3788" s="114">
        <f>2/2</f>
        <v>1</v>
      </c>
      <c r="AC3788" s="50">
        <v>7</v>
      </c>
      <c r="AD3788" s="271">
        <v>1</v>
      </c>
    </row>
    <row r="3789" spans="1:79" ht="15" customHeight="1">
      <c r="A3789" s="404" t="s">
        <v>4668</v>
      </c>
      <c r="B3789" s="402" t="s">
        <v>2303</v>
      </c>
      <c r="C3789" s="113" t="s">
        <v>2303</v>
      </c>
      <c r="D3789" s="393" t="s">
        <v>205</v>
      </c>
      <c r="F3789" s="402">
        <v>4321</v>
      </c>
      <c r="G3789" s="405" t="s">
        <v>2304</v>
      </c>
      <c r="H3789" s="74">
        <v>3499</v>
      </c>
      <c r="I3789" s="50" t="s">
        <v>2</v>
      </c>
      <c r="J3789" s="48" t="s">
        <v>1061</v>
      </c>
      <c r="K3789" s="51">
        <v>41539</v>
      </c>
      <c r="L3789" s="173">
        <v>41529</v>
      </c>
      <c r="M3789" s="50">
        <f t="shared" si="230"/>
        <v>10</v>
      </c>
      <c r="N3789" s="50" t="s">
        <v>2</v>
      </c>
      <c r="O3789" s="74">
        <f>1.7/2</f>
        <v>0.85</v>
      </c>
      <c r="P3789" s="50">
        <v>6.74</v>
      </c>
      <c r="Q3789" s="74">
        <v>6.5</v>
      </c>
      <c r="R3789" s="50">
        <f>20/2</f>
        <v>10</v>
      </c>
      <c r="S3789" s="74">
        <v>8</v>
      </c>
      <c r="T3789" s="50">
        <v>7.0999999999999994E-2</v>
      </c>
      <c r="U3789" s="131">
        <f>1/2</f>
        <v>0.5</v>
      </c>
      <c r="V3789" s="50">
        <f>0.46/2</f>
        <v>0.23</v>
      </c>
      <c r="W3789" s="74">
        <f t="shared" si="231"/>
        <v>2.5000000000000001E-3</v>
      </c>
      <c r="X3789" s="50">
        <v>2.1000000000000001E-2</v>
      </c>
      <c r="Y3789" s="74">
        <f t="shared" si="232"/>
        <v>2.5000000000000001E-3</v>
      </c>
      <c r="Z3789" s="165">
        <v>1</v>
      </c>
      <c r="AA3789" s="271">
        <v>1</v>
      </c>
      <c r="AB3789" s="114">
        <v>2</v>
      </c>
      <c r="AC3789" s="50">
        <v>10</v>
      </c>
      <c r="AD3789" s="271">
        <v>1</v>
      </c>
    </row>
    <row r="3790" spans="1:79" ht="15" customHeight="1">
      <c r="A3790" s="404" t="s">
        <v>4668</v>
      </c>
      <c r="B3790" s="402" t="s">
        <v>2303</v>
      </c>
      <c r="C3790" s="113" t="s">
        <v>2303</v>
      </c>
      <c r="D3790" s="393" t="s">
        <v>205</v>
      </c>
      <c r="F3790" s="402">
        <v>4321</v>
      </c>
      <c r="G3790" s="405" t="s">
        <v>2304</v>
      </c>
      <c r="H3790" s="74">
        <v>3499</v>
      </c>
      <c r="I3790" s="50" t="s">
        <v>2</v>
      </c>
      <c r="J3790" s="48" t="s">
        <v>700</v>
      </c>
      <c r="K3790" s="51">
        <v>41170</v>
      </c>
      <c r="L3790" s="173">
        <v>41160</v>
      </c>
      <c r="M3790" s="50">
        <f t="shared" si="230"/>
        <v>10</v>
      </c>
      <c r="N3790" s="50" t="s">
        <v>2</v>
      </c>
      <c r="O3790" s="74">
        <f>1.8/2</f>
        <v>0.9</v>
      </c>
      <c r="P3790" s="50">
        <v>6.74</v>
      </c>
      <c r="Q3790" s="74">
        <v>7.03</v>
      </c>
      <c r="R3790" s="50">
        <v>39</v>
      </c>
      <c r="S3790" s="74">
        <v>18.600000000000001</v>
      </c>
      <c r="T3790" s="50">
        <v>0.20399999999999999</v>
      </c>
      <c r="U3790" s="131">
        <v>1</v>
      </c>
      <c r="V3790" s="50">
        <v>0.83</v>
      </c>
      <c r="W3790" s="74">
        <f t="shared" si="231"/>
        <v>2.5000000000000001E-3</v>
      </c>
      <c r="X3790" s="50">
        <v>4.2999999999999997E-2</v>
      </c>
      <c r="Y3790" s="74">
        <f t="shared" si="232"/>
        <v>2.5000000000000001E-3</v>
      </c>
      <c r="Z3790" s="165">
        <v>1</v>
      </c>
      <c r="AA3790" s="271">
        <v>1</v>
      </c>
      <c r="AB3790" s="114">
        <v>6</v>
      </c>
      <c r="AC3790" s="50">
        <v>30</v>
      </c>
      <c r="AD3790" s="271">
        <v>1</v>
      </c>
    </row>
    <row r="3791" spans="1:79" ht="15" customHeight="1">
      <c r="A3791" s="404" t="s">
        <v>4668</v>
      </c>
      <c r="B3791" s="402" t="s">
        <v>2303</v>
      </c>
      <c r="C3791" s="113" t="s">
        <v>2303</v>
      </c>
      <c r="D3791" s="393" t="s">
        <v>205</v>
      </c>
      <c r="F3791" s="402">
        <v>4321</v>
      </c>
      <c r="G3791" s="405" t="s">
        <v>2304</v>
      </c>
      <c r="H3791" s="74">
        <v>3499</v>
      </c>
      <c r="I3791" s="50" t="s">
        <v>2</v>
      </c>
      <c r="J3791" s="48" t="s">
        <v>1061</v>
      </c>
      <c r="K3791" s="51">
        <v>41170</v>
      </c>
      <c r="L3791" s="173">
        <v>41160</v>
      </c>
      <c r="M3791" s="50">
        <f t="shared" si="230"/>
        <v>10</v>
      </c>
      <c r="N3791" s="50" t="s">
        <v>2</v>
      </c>
      <c r="O3791" s="74">
        <f>1.8/2</f>
        <v>0.9</v>
      </c>
      <c r="P3791" s="50">
        <v>6.74</v>
      </c>
      <c r="Q3791" s="74">
        <v>7.03</v>
      </c>
      <c r="R3791" s="50">
        <v>59</v>
      </c>
      <c r="S3791" s="74">
        <v>10.5</v>
      </c>
      <c r="T3791" s="50">
        <v>0.13700000000000001</v>
      </c>
      <c r="U3791" s="131">
        <v>1.7</v>
      </c>
      <c r="V3791" s="50">
        <v>0.63</v>
      </c>
      <c r="W3791" s="74">
        <f t="shared" si="231"/>
        <v>2.5000000000000001E-3</v>
      </c>
      <c r="X3791" s="50">
        <v>1.7999999999999999E-2</v>
      </c>
      <c r="Y3791" s="74">
        <f t="shared" si="232"/>
        <v>2.5000000000000001E-3</v>
      </c>
      <c r="Z3791" s="165">
        <v>1</v>
      </c>
      <c r="AA3791" s="271">
        <v>1</v>
      </c>
      <c r="AB3791" s="114">
        <v>12</v>
      </c>
      <c r="AC3791" s="50">
        <v>89</v>
      </c>
      <c r="AD3791" s="271">
        <v>1</v>
      </c>
    </row>
    <row r="3792" spans="1:79" ht="15" customHeight="1">
      <c r="A3792" s="404" t="s">
        <v>4668</v>
      </c>
      <c r="B3792" s="402" t="s">
        <v>3077</v>
      </c>
      <c r="C3792" s="113" t="s">
        <v>3078</v>
      </c>
      <c r="D3792" s="393" t="s">
        <v>192</v>
      </c>
      <c r="E3792" s="394" t="s">
        <v>1546</v>
      </c>
      <c r="F3792" s="86" t="s">
        <v>3079</v>
      </c>
      <c r="G3792" s="405" t="s">
        <v>3080</v>
      </c>
      <c r="H3792" s="74">
        <v>4931</v>
      </c>
      <c r="I3792" s="50" t="s">
        <v>1</v>
      </c>
      <c r="J3792" s="48" t="s">
        <v>840</v>
      </c>
      <c r="K3792" s="51">
        <v>41119</v>
      </c>
      <c r="L3792" s="173">
        <v>41118</v>
      </c>
      <c r="M3792" s="50">
        <f t="shared" si="230"/>
        <v>1</v>
      </c>
      <c r="N3792" s="50" t="s">
        <v>2</v>
      </c>
      <c r="O3792" s="74">
        <f>1.5/2</f>
        <v>0.75</v>
      </c>
      <c r="P3792" s="50">
        <v>6.42</v>
      </c>
      <c r="Q3792" s="74">
        <v>7.53</v>
      </c>
      <c r="R3792" s="50">
        <f>10/2</f>
        <v>5</v>
      </c>
      <c r="S3792" s="74">
        <v>6.5</v>
      </c>
      <c r="T3792" s="50">
        <v>0.13</v>
      </c>
      <c r="U3792" s="131">
        <v>0.59</v>
      </c>
      <c r="V3792" s="50">
        <v>1.22</v>
      </c>
      <c r="W3792" s="74">
        <v>8.9999999999999993E-3</v>
      </c>
      <c r="X3792" s="50">
        <v>7.6999999999999999E-2</v>
      </c>
      <c r="Y3792" s="74">
        <f>0.002/2</f>
        <v>1E-3</v>
      </c>
      <c r="Z3792" s="165"/>
    </row>
    <row r="3793" spans="1:79" ht="15" customHeight="1">
      <c r="A3793" s="404" t="s">
        <v>4668</v>
      </c>
      <c r="B3793" s="402" t="s">
        <v>3077</v>
      </c>
      <c r="C3793" s="113" t="s">
        <v>3078</v>
      </c>
      <c r="D3793" s="393" t="s">
        <v>192</v>
      </c>
      <c r="E3793" s="394" t="s">
        <v>1546</v>
      </c>
      <c r="F3793" s="86" t="s">
        <v>3079</v>
      </c>
      <c r="G3793" s="405" t="s">
        <v>3080</v>
      </c>
      <c r="H3793" s="74">
        <v>4931</v>
      </c>
      <c r="I3793" s="50" t="s">
        <v>1</v>
      </c>
      <c r="J3793" s="48" t="s">
        <v>840</v>
      </c>
      <c r="K3793" s="51">
        <v>41030</v>
      </c>
      <c r="L3793" s="173">
        <v>41022</v>
      </c>
      <c r="M3793" s="50">
        <f t="shared" si="230"/>
        <v>8</v>
      </c>
      <c r="N3793" s="50" t="s">
        <v>2</v>
      </c>
      <c r="O3793" s="74">
        <v>1.6</v>
      </c>
      <c r="P3793" s="50">
        <v>6.23</v>
      </c>
      <c r="Q3793" s="74">
        <v>7.21</v>
      </c>
      <c r="R3793" s="50">
        <v>18</v>
      </c>
      <c r="S3793" s="74">
        <v>15</v>
      </c>
      <c r="T3793" s="50">
        <v>0.12</v>
      </c>
      <c r="U3793" s="131">
        <v>0.69</v>
      </c>
      <c r="V3793" s="50">
        <v>0.33</v>
      </c>
      <c r="W3793" s="74">
        <f>0.005/2</f>
        <v>2.5000000000000001E-3</v>
      </c>
      <c r="X3793" s="50">
        <v>0.21</v>
      </c>
      <c r="Y3793" s="74">
        <f>0.002/2</f>
        <v>1E-3</v>
      </c>
      <c r="Z3793" s="165">
        <v>1</v>
      </c>
      <c r="AA3793" s="271">
        <v>1</v>
      </c>
      <c r="AB3793" s="114">
        <v>10</v>
      </c>
      <c r="AC3793" s="50">
        <v>112</v>
      </c>
      <c r="AD3793" s="271">
        <v>1</v>
      </c>
      <c r="AE3793" s="50">
        <f>10/2</f>
        <v>5</v>
      </c>
      <c r="AG3793" s="114">
        <f>0.5/2</f>
        <v>0.25</v>
      </c>
      <c r="AT3793" s="74">
        <f>0.0002/2</f>
        <v>1E-4</v>
      </c>
    </row>
    <row r="3794" spans="1:79" ht="15" customHeight="1">
      <c r="A3794" s="404" t="s">
        <v>4668</v>
      </c>
      <c r="B3794" s="402" t="s">
        <v>3077</v>
      </c>
      <c r="C3794" s="113" t="s">
        <v>3078</v>
      </c>
      <c r="D3794" s="393" t="s">
        <v>192</v>
      </c>
      <c r="E3794" s="394" t="s">
        <v>1546</v>
      </c>
      <c r="F3794" s="86" t="s">
        <v>3079</v>
      </c>
      <c r="G3794" s="405" t="s">
        <v>3080</v>
      </c>
      <c r="H3794" s="74">
        <v>4931</v>
      </c>
      <c r="I3794" s="50" t="s">
        <v>1</v>
      </c>
      <c r="J3794" s="48" t="s">
        <v>840</v>
      </c>
      <c r="K3794" s="51">
        <v>41529</v>
      </c>
      <c r="L3794" s="173">
        <v>41519</v>
      </c>
      <c r="M3794" s="50">
        <f t="shared" si="230"/>
        <v>10</v>
      </c>
      <c r="N3794" s="50" t="s">
        <v>2</v>
      </c>
      <c r="O3794" s="74">
        <v>5.0999999999999996</v>
      </c>
      <c r="P3794" s="50">
        <v>4.5599999999999996</v>
      </c>
      <c r="Q3794" s="74">
        <v>7.28</v>
      </c>
      <c r="R3794" s="50">
        <f>10/2</f>
        <v>5</v>
      </c>
      <c r="S3794" s="74">
        <v>5.5</v>
      </c>
      <c r="T3794" s="50">
        <v>7.0000000000000007E-2</v>
      </c>
      <c r="U3794" s="131">
        <v>0.83</v>
      </c>
      <c r="V3794" s="50">
        <v>1.94</v>
      </c>
      <c r="W3794" s="74">
        <v>6.8000000000000005E-2</v>
      </c>
      <c r="X3794" s="50">
        <v>0.216</v>
      </c>
      <c r="Y3794" s="74">
        <f>0.002/2</f>
        <v>1E-3</v>
      </c>
      <c r="Z3794" s="165">
        <v>1</v>
      </c>
      <c r="AA3794" s="271">
        <v>1</v>
      </c>
      <c r="AB3794" s="114">
        <v>38</v>
      </c>
      <c r="AC3794" s="50">
        <v>219</v>
      </c>
      <c r="AD3794" s="271">
        <v>1</v>
      </c>
    </row>
    <row r="3795" spans="1:79" ht="15" customHeight="1">
      <c r="A3795" s="41" t="s">
        <v>183</v>
      </c>
      <c r="B3795" s="402" t="s">
        <v>6272</v>
      </c>
      <c r="C3795" s="113" t="s">
        <v>6272</v>
      </c>
      <c r="D3795" s="393" t="s">
        <v>350</v>
      </c>
      <c r="E3795" s="394" t="s">
        <v>4974</v>
      </c>
      <c r="F3795" s="86" t="s">
        <v>6273</v>
      </c>
      <c r="G3795" s="405" t="s">
        <v>2542</v>
      </c>
      <c r="H3795" s="74">
        <v>2657</v>
      </c>
      <c r="I3795" s="50" t="s">
        <v>2</v>
      </c>
      <c r="J3795" s="48" t="s">
        <v>6274</v>
      </c>
      <c r="K3795" s="51">
        <v>41332</v>
      </c>
      <c r="L3795" s="173">
        <v>41328</v>
      </c>
      <c r="M3795" s="50">
        <f t="shared" si="230"/>
        <v>4</v>
      </c>
      <c r="N3795" s="50" t="s">
        <v>1</v>
      </c>
      <c r="O3795" s="74">
        <v>10</v>
      </c>
      <c r="Q3795" s="74">
        <v>6.7</v>
      </c>
      <c r="R3795" s="50">
        <v>146</v>
      </c>
      <c r="S3795" s="74">
        <v>45</v>
      </c>
      <c r="T3795" s="50">
        <v>0.24</v>
      </c>
      <c r="U3795" s="131">
        <v>1.43</v>
      </c>
      <c r="V3795" s="50">
        <v>0.06</v>
      </c>
      <c r="W3795" s="74">
        <v>3.4000000000000002E-2</v>
      </c>
      <c r="X3795" s="50">
        <v>0.13300000000000001</v>
      </c>
      <c r="Y3795" s="74">
        <v>1.0999999999999999E-2</v>
      </c>
      <c r="Z3795" s="165">
        <v>1</v>
      </c>
      <c r="AA3795" s="271">
        <v>1</v>
      </c>
      <c r="AB3795" s="114">
        <v>2</v>
      </c>
      <c r="AC3795" s="50">
        <v>16</v>
      </c>
      <c r="AD3795" s="271">
        <v>1</v>
      </c>
    </row>
    <row r="3796" spans="1:79" ht="15" customHeight="1">
      <c r="A3796" s="74" t="s">
        <v>5328</v>
      </c>
      <c r="B3796" s="402" t="s">
        <v>6272</v>
      </c>
      <c r="C3796" s="113" t="s">
        <v>6272</v>
      </c>
      <c r="D3796" s="393" t="s">
        <v>350</v>
      </c>
      <c r="E3796" s="394" t="s">
        <v>4974</v>
      </c>
      <c r="F3796" s="86" t="s">
        <v>6273</v>
      </c>
      <c r="G3796" s="405" t="s">
        <v>2542</v>
      </c>
      <c r="H3796" s="74">
        <v>2657</v>
      </c>
      <c r="I3796" s="50" t="s">
        <v>2</v>
      </c>
      <c r="J3796" s="48" t="s">
        <v>6274</v>
      </c>
      <c r="K3796" s="51">
        <v>41579</v>
      </c>
      <c r="L3796" s="173">
        <v>41570</v>
      </c>
      <c r="M3796" s="50">
        <f t="shared" si="230"/>
        <v>9</v>
      </c>
      <c r="N3796" s="50" t="s">
        <v>2</v>
      </c>
      <c r="O3796" s="74">
        <v>3.4</v>
      </c>
      <c r="P3796" s="50">
        <v>5.82</v>
      </c>
      <c r="Q3796" s="74">
        <v>5.83</v>
      </c>
      <c r="R3796" s="50">
        <v>410</v>
      </c>
      <c r="S3796" s="74">
        <v>92</v>
      </c>
      <c r="T3796" s="50">
        <v>1.49</v>
      </c>
      <c r="U3796" s="131">
        <v>3.7</v>
      </c>
      <c r="V3796" s="50">
        <f>0.05/2</f>
        <v>2.5000000000000001E-2</v>
      </c>
      <c r="W3796" s="74">
        <v>0.182</v>
      </c>
      <c r="X3796" s="50">
        <v>0.47</v>
      </c>
      <c r="Y3796" s="74">
        <v>1.6E-2</v>
      </c>
      <c r="Z3796" s="165">
        <v>1</v>
      </c>
      <c r="AA3796" s="271">
        <v>0.93899999999999995</v>
      </c>
    </row>
    <row r="3797" spans="1:79" ht="15" customHeight="1">
      <c r="A3797" s="404" t="s">
        <v>4668</v>
      </c>
      <c r="B3797" s="402" t="s">
        <v>4450</v>
      </c>
      <c r="C3797" s="113" t="s">
        <v>4450</v>
      </c>
      <c r="D3797" s="393" t="s">
        <v>257</v>
      </c>
      <c r="E3797" s="394" t="s">
        <v>4451</v>
      </c>
      <c r="F3797" s="402" t="s">
        <v>6275</v>
      </c>
      <c r="G3797" s="405" t="s">
        <v>4452</v>
      </c>
      <c r="H3797" s="74">
        <v>3471</v>
      </c>
      <c r="I3797" s="50" t="s">
        <v>1</v>
      </c>
      <c r="J3797" s="339" t="s">
        <v>1943</v>
      </c>
      <c r="K3797" s="51">
        <v>41402</v>
      </c>
      <c r="L3797" s="173">
        <v>41389</v>
      </c>
      <c r="M3797" s="50">
        <f t="shared" si="230"/>
        <v>13</v>
      </c>
      <c r="N3797" s="50" t="s">
        <v>2</v>
      </c>
      <c r="O3797" s="74">
        <v>8.4</v>
      </c>
      <c r="P3797" s="50">
        <v>6.59</v>
      </c>
      <c r="Q3797" s="74">
        <v>6.51</v>
      </c>
      <c r="R3797" s="50">
        <v>183</v>
      </c>
      <c r="S3797" s="74">
        <v>150</v>
      </c>
      <c r="T3797" s="50">
        <v>1.37</v>
      </c>
      <c r="U3797" s="131">
        <v>2.82</v>
      </c>
      <c r="V3797" s="50">
        <v>0.39</v>
      </c>
      <c r="W3797" s="74">
        <v>0.16500000000000001</v>
      </c>
      <c r="X3797" s="50">
        <v>1.02</v>
      </c>
      <c r="Y3797" s="74">
        <v>3.7999999999999999E-2</v>
      </c>
      <c r="Z3797" s="165">
        <v>1</v>
      </c>
      <c r="AA3797" s="271">
        <v>0.56599999999999995</v>
      </c>
      <c r="AB3797" s="114">
        <v>30</v>
      </c>
      <c r="AC3797" s="50">
        <v>100</v>
      </c>
      <c r="AD3797" s="271">
        <v>0.05</v>
      </c>
    </row>
    <row r="3798" spans="1:79" ht="15" customHeight="1">
      <c r="A3798" s="41" t="s">
        <v>183</v>
      </c>
      <c r="B3798" s="402" t="s">
        <v>4763</v>
      </c>
      <c r="C3798" s="113" t="s">
        <v>4763</v>
      </c>
      <c r="D3798" s="393" t="s">
        <v>347</v>
      </c>
      <c r="E3798" s="394" t="s">
        <v>3496</v>
      </c>
      <c r="F3798" s="402">
        <v>5206</v>
      </c>
      <c r="G3798" s="405" t="s">
        <v>3253</v>
      </c>
      <c r="H3798" s="74">
        <v>4212</v>
      </c>
      <c r="I3798" s="50" t="s">
        <v>2</v>
      </c>
      <c r="J3798" s="339" t="s">
        <v>4764</v>
      </c>
      <c r="K3798" s="51">
        <v>41579</v>
      </c>
      <c r="L3798" s="173">
        <v>41554</v>
      </c>
      <c r="M3798" s="50">
        <f t="shared" si="230"/>
        <v>25</v>
      </c>
      <c r="N3798" s="50" t="s">
        <v>2</v>
      </c>
      <c r="O3798" s="74">
        <f>2/2</f>
        <v>1</v>
      </c>
      <c r="P3798" s="50">
        <v>6.95</v>
      </c>
      <c r="Q3798" s="74">
        <v>7.1</v>
      </c>
      <c r="R3798" s="50">
        <v>86</v>
      </c>
      <c r="S3798" s="74">
        <v>61</v>
      </c>
      <c r="T3798" s="50">
        <v>0.27</v>
      </c>
      <c r="U3798" s="131">
        <v>1.81</v>
      </c>
      <c r="V3798" s="50">
        <v>0.59</v>
      </c>
      <c r="W3798" s="74">
        <v>4.1000000000000002E-2</v>
      </c>
      <c r="X3798" s="50">
        <v>0.214</v>
      </c>
      <c r="Y3798" s="74">
        <f>0.03/2</f>
        <v>1.4999999999999999E-2</v>
      </c>
      <c r="Z3798" s="165">
        <v>1</v>
      </c>
      <c r="AA3798" s="271">
        <v>1</v>
      </c>
      <c r="AB3798" s="114">
        <v>32</v>
      </c>
      <c r="AC3798" s="50">
        <v>95</v>
      </c>
      <c r="AD3798" s="271">
        <v>1</v>
      </c>
    </row>
    <row r="3799" spans="1:79" ht="15" customHeight="1">
      <c r="A3799" s="41" t="s">
        <v>183</v>
      </c>
      <c r="B3799" s="385" t="s">
        <v>4336</v>
      </c>
      <c r="C3799" s="18" t="s">
        <v>4336</v>
      </c>
      <c r="D3799" s="377" t="s">
        <v>213</v>
      </c>
      <c r="E3799" s="394" t="s">
        <v>6276</v>
      </c>
      <c r="G3799" s="405" t="s">
        <v>4338</v>
      </c>
      <c r="H3799" s="74">
        <v>3541</v>
      </c>
      <c r="I3799" s="50" t="s">
        <v>2</v>
      </c>
      <c r="J3799" s="339" t="s">
        <v>1291</v>
      </c>
      <c r="K3799" s="51">
        <v>41529</v>
      </c>
      <c r="L3799" s="173">
        <v>41519</v>
      </c>
      <c r="M3799" s="50">
        <f t="shared" si="230"/>
        <v>10</v>
      </c>
      <c r="N3799" s="50" t="s">
        <v>2</v>
      </c>
      <c r="O3799" s="74">
        <f>1.7/2</f>
        <v>0.85</v>
      </c>
      <c r="P3799" s="50">
        <v>4.8</v>
      </c>
      <c r="Q3799" s="74">
        <v>6.9</v>
      </c>
      <c r="R3799" s="50">
        <v>33</v>
      </c>
      <c r="S3799" s="74">
        <v>19</v>
      </c>
      <c r="T3799" s="50">
        <v>0.124</v>
      </c>
      <c r="U3799" s="131">
        <v>6.9</v>
      </c>
      <c r="V3799" s="50">
        <v>0.56999999999999995</v>
      </c>
      <c r="W3799" s="74">
        <f>0.005/2</f>
        <v>2.5000000000000001E-3</v>
      </c>
      <c r="X3799" s="50">
        <v>2.5999999999999999E-2</v>
      </c>
      <c r="Y3799" s="74">
        <f t="shared" ref="Y3799:Y3805" si="233">0.005/2</f>
        <v>2.5000000000000001E-3</v>
      </c>
      <c r="Z3799" s="165">
        <v>1</v>
      </c>
      <c r="AA3799" s="271">
        <v>1</v>
      </c>
      <c r="AB3799" s="114">
        <v>150</v>
      </c>
      <c r="AC3799" s="50">
        <v>778</v>
      </c>
      <c r="AD3799" s="271">
        <v>1</v>
      </c>
    </row>
    <row r="3800" spans="1:79" ht="15" customHeight="1">
      <c r="A3800" s="41" t="s">
        <v>183</v>
      </c>
      <c r="B3800" s="385" t="s">
        <v>4336</v>
      </c>
      <c r="C3800" s="18" t="s">
        <v>4336</v>
      </c>
      <c r="D3800" s="377" t="s">
        <v>213</v>
      </c>
      <c r="E3800" s="394" t="s">
        <v>5409</v>
      </c>
      <c r="G3800" s="405" t="s">
        <v>4338</v>
      </c>
      <c r="H3800" s="74">
        <v>3541</v>
      </c>
      <c r="I3800" s="50" t="s">
        <v>2</v>
      </c>
      <c r="J3800" s="339" t="s">
        <v>5410</v>
      </c>
      <c r="K3800" s="51">
        <v>41529</v>
      </c>
      <c r="L3800" s="173">
        <v>41519</v>
      </c>
      <c r="M3800" s="50">
        <f t="shared" si="230"/>
        <v>10</v>
      </c>
      <c r="N3800" s="50" t="s">
        <v>2</v>
      </c>
      <c r="O3800" s="74">
        <f>1.6/2</f>
        <v>0.8</v>
      </c>
      <c r="P3800" s="50">
        <v>4.8</v>
      </c>
      <c r="Q3800" s="74">
        <v>4.8</v>
      </c>
      <c r="R3800" s="50">
        <f>20/2</f>
        <v>10</v>
      </c>
      <c r="S3800" s="74">
        <v>3.8</v>
      </c>
      <c r="T3800" s="50">
        <v>7.0999999999999994E-2</v>
      </c>
      <c r="U3800" s="131">
        <v>2.1</v>
      </c>
      <c r="V3800" s="50">
        <v>0.63</v>
      </c>
      <c r="W3800" s="74">
        <f>0.005/2</f>
        <v>2.5000000000000001E-3</v>
      </c>
      <c r="X3800" s="50">
        <v>1.9E-2</v>
      </c>
      <c r="Y3800" s="74">
        <f t="shared" si="233"/>
        <v>2.5000000000000001E-3</v>
      </c>
      <c r="Z3800" s="165">
        <v>1</v>
      </c>
      <c r="AA3800" s="271">
        <v>1</v>
      </c>
      <c r="AB3800" s="114">
        <v>70</v>
      </c>
      <c r="AC3800" s="50">
        <v>395</v>
      </c>
      <c r="AD3800" s="271">
        <v>1</v>
      </c>
    </row>
    <row r="3801" spans="1:79" ht="15" customHeight="1">
      <c r="A3801" s="41" t="s">
        <v>183</v>
      </c>
      <c r="B3801" s="385" t="s">
        <v>4336</v>
      </c>
      <c r="C3801" s="18" t="s">
        <v>4336</v>
      </c>
      <c r="D3801" s="377" t="s">
        <v>213</v>
      </c>
      <c r="E3801" s="394" t="s">
        <v>5409</v>
      </c>
      <c r="G3801" s="405" t="s">
        <v>4565</v>
      </c>
      <c r="H3801" s="74">
        <v>3541</v>
      </c>
      <c r="I3801" s="50" t="s">
        <v>2</v>
      </c>
      <c r="J3801" s="339" t="s">
        <v>1867</v>
      </c>
      <c r="K3801" s="51">
        <v>41170</v>
      </c>
      <c r="L3801" s="173">
        <v>41161</v>
      </c>
      <c r="M3801" s="50">
        <f t="shared" si="230"/>
        <v>9</v>
      </c>
      <c r="N3801" s="50" t="s">
        <v>2</v>
      </c>
      <c r="O3801" s="74">
        <f>1.7/2</f>
        <v>0.85</v>
      </c>
      <c r="P3801" s="50">
        <v>7.1</v>
      </c>
      <c r="Q3801" s="74">
        <v>4.9000000000000004</v>
      </c>
      <c r="R3801" s="50">
        <f>20/2</f>
        <v>10</v>
      </c>
      <c r="S3801" s="74">
        <v>2.4</v>
      </c>
      <c r="T3801" s="50">
        <v>0.51</v>
      </c>
      <c r="U3801" s="131">
        <f>1/2</f>
        <v>0.5</v>
      </c>
      <c r="V3801" s="50">
        <v>0.81</v>
      </c>
      <c r="W3801" s="74">
        <v>6.0000000000000001E-3</v>
      </c>
      <c r="X3801" s="50">
        <v>0.42799999999999999</v>
      </c>
      <c r="Y3801" s="74">
        <f t="shared" si="233"/>
        <v>2.5000000000000001E-3</v>
      </c>
      <c r="Z3801" s="165">
        <v>0.61599999999999999</v>
      </c>
      <c r="AA3801" s="271">
        <v>0.44900000000000001</v>
      </c>
      <c r="AB3801" s="114">
        <v>6</v>
      </c>
      <c r="AC3801" s="50">
        <v>54</v>
      </c>
      <c r="AD3801" s="271">
        <v>0</v>
      </c>
    </row>
    <row r="3802" spans="1:79" ht="15" customHeight="1">
      <c r="A3802" s="41" t="s">
        <v>183</v>
      </c>
      <c r="B3802" s="385" t="s">
        <v>4336</v>
      </c>
      <c r="C3802" s="18" t="s">
        <v>4336</v>
      </c>
      <c r="D3802" s="377" t="s">
        <v>213</v>
      </c>
      <c r="E3802" s="394" t="s">
        <v>3083</v>
      </c>
      <c r="G3802" s="405" t="s">
        <v>4565</v>
      </c>
      <c r="H3802" s="74">
        <v>3541</v>
      </c>
      <c r="I3802" s="50" t="s">
        <v>2</v>
      </c>
      <c r="J3802" s="339" t="s">
        <v>5411</v>
      </c>
      <c r="K3802" s="51">
        <v>41170</v>
      </c>
      <c r="L3802" s="173">
        <v>41161</v>
      </c>
      <c r="M3802" s="50">
        <f t="shared" si="230"/>
        <v>9</v>
      </c>
      <c r="N3802" s="50" t="s">
        <v>2</v>
      </c>
      <c r="O3802" s="74">
        <f>1.6/2</f>
        <v>0.8</v>
      </c>
      <c r="P3802" s="50">
        <v>7.1</v>
      </c>
      <c r="Q3802" s="74">
        <v>6.5</v>
      </c>
      <c r="R3802" s="50">
        <v>37</v>
      </c>
      <c r="S3802" s="74">
        <v>1.8</v>
      </c>
      <c r="T3802" s="50">
        <v>1.4999999999999999E-2</v>
      </c>
      <c r="U3802" s="131">
        <v>1.7</v>
      </c>
      <c r="V3802" s="50">
        <v>0.9</v>
      </c>
      <c r="W3802" s="74">
        <f>0.005/2</f>
        <v>2.5000000000000001E-3</v>
      </c>
      <c r="X3802" s="50">
        <v>0.442</v>
      </c>
      <c r="Y3802" s="74">
        <f t="shared" si="233"/>
        <v>2.5000000000000001E-3</v>
      </c>
      <c r="Z3802" s="165">
        <v>0.66</v>
      </c>
      <c r="AA3802" s="271">
        <v>0.57399999999999995</v>
      </c>
      <c r="AB3802" s="114">
        <v>8</v>
      </c>
      <c r="AC3802" s="50">
        <v>51</v>
      </c>
      <c r="AD3802" s="271">
        <v>0</v>
      </c>
    </row>
    <row r="3803" spans="1:79" ht="15" customHeight="1">
      <c r="A3803" s="41" t="s">
        <v>183</v>
      </c>
      <c r="B3803" s="385" t="s">
        <v>4336</v>
      </c>
      <c r="C3803" s="18" t="s">
        <v>4336</v>
      </c>
      <c r="D3803" s="377" t="s">
        <v>213</v>
      </c>
      <c r="E3803" s="394" t="s">
        <v>6276</v>
      </c>
      <c r="G3803" s="405" t="s">
        <v>4338</v>
      </c>
      <c r="H3803" s="74">
        <v>3541</v>
      </c>
      <c r="I3803" s="50" t="s">
        <v>2</v>
      </c>
      <c r="J3803" s="339" t="s">
        <v>1291</v>
      </c>
      <c r="K3803" s="51">
        <v>41170</v>
      </c>
      <c r="L3803" s="173">
        <v>41161</v>
      </c>
      <c r="M3803" s="50">
        <f t="shared" si="230"/>
        <v>9</v>
      </c>
      <c r="N3803" s="50" t="s">
        <v>2</v>
      </c>
      <c r="O3803" s="74">
        <f>1.6/2</f>
        <v>0.8</v>
      </c>
      <c r="P3803" s="50">
        <v>7.1</v>
      </c>
      <c r="Q3803" s="74">
        <v>7</v>
      </c>
      <c r="R3803" s="50">
        <v>34</v>
      </c>
      <c r="S3803" s="74">
        <v>30</v>
      </c>
      <c r="T3803" s="50">
        <v>6.7000000000000004E-2</v>
      </c>
      <c r="U3803" s="131">
        <v>2.5</v>
      </c>
      <c r="V3803" s="50">
        <f>0.46/2</f>
        <v>0.23</v>
      </c>
      <c r="W3803" s="74">
        <f>0.005/2</f>
        <v>2.5000000000000001E-3</v>
      </c>
      <c r="X3803" s="50">
        <v>0.01</v>
      </c>
      <c r="Y3803" s="74">
        <f t="shared" si="233"/>
        <v>2.5000000000000001E-3</v>
      </c>
      <c r="Z3803" s="165">
        <v>1</v>
      </c>
      <c r="AA3803" s="271">
        <v>1</v>
      </c>
      <c r="AB3803" s="114">
        <v>212</v>
      </c>
      <c r="AC3803" s="50">
        <v>1121</v>
      </c>
      <c r="AD3803" s="271">
        <v>1</v>
      </c>
    </row>
    <row r="3804" spans="1:79" ht="15" customHeight="1">
      <c r="A3804" s="41" t="s">
        <v>183</v>
      </c>
      <c r="B3804" s="385" t="s">
        <v>4336</v>
      </c>
      <c r="C3804" s="18" t="s">
        <v>4336</v>
      </c>
      <c r="D3804" s="377" t="s">
        <v>213</v>
      </c>
      <c r="E3804" s="394" t="s">
        <v>5409</v>
      </c>
      <c r="G3804" s="405" t="s">
        <v>4338</v>
      </c>
      <c r="H3804" s="74">
        <v>3541</v>
      </c>
      <c r="I3804" s="50" t="s">
        <v>2</v>
      </c>
      <c r="J3804" s="339" t="s">
        <v>5410</v>
      </c>
      <c r="K3804" s="51">
        <v>41170</v>
      </c>
      <c r="L3804" s="173">
        <v>41161</v>
      </c>
      <c r="M3804" s="50">
        <f t="shared" si="230"/>
        <v>9</v>
      </c>
      <c r="N3804" s="50" t="s">
        <v>2</v>
      </c>
      <c r="O3804" s="74">
        <f>1.6/2</f>
        <v>0.8</v>
      </c>
      <c r="P3804" s="50">
        <v>7.1</v>
      </c>
      <c r="Q3804" s="74">
        <v>7.3</v>
      </c>
      <c r="R3804" s="50">
        <f>20/2</f>
        <v>10</v>
      </c>
      <c r="S3804" s="74">
        <v>4.3</v>
      </c>
      <c r="T3804" s="50">
        <v>2.7E-2</v>
      </c>
      <c r="U3804" s="131">
        <f>1/2</f>
        <v>0.5</v>
      </c>
      <c r="V3804" s="50">
        <v>0.51</v>
      </c>
      <c r="W3804" s="74">
        <f>0.005/2</f>
        <v>2.5000000000000001E-3</v>
      </c>
      <c r="X3804" s="50">
        <v>1.2999999999999999E-2</v>
      </c>
      <c r="Y3804" s="74">
        <f t="shared" si="233"/>
        <v>2.5000000000000001E-3</v>
      </c>
      <c r="Z3804" s="165">
        <v>1</v>
      </c>
      <c r="AA3804" s="271">
        <v>1</v>
      </c>
      <c r="AB3804" s="114">
        <v>90</v>
      </c>
      <c r="AC3804" s="50">
        <v>424</v>
      </c>
      <c r="AD3804" s="271">
        <v>1</v>
      </c>
    </row>
    <row r="3805" spans="1:79" ht="15" customHeight="1">
      <c r="A3805" s="41" t="s">
        <v>183</v>
      </c>
      <c r="B3805" s="385" t="s">
        <v>4336</v>
      </c>
      <c r="C3805" s="18" t="s">
        <v>4336</v>
      </c>
      <c r="D3805" s="377" t="s">
        <v>213</v>
      </c>
      <c r="E3805" s="394" t="s">
        <v>6277</v>
      </c>
      <c r="G3805" s="405" t="s">
        <v>4338</v>
      </c>
      <c r="H3805" s="74">
        <v>3541</v>
      </c>
      <c r="I3805" s="50" t="s">
        <v>2</v>
      </c>
      <c r="J3805" s="339" t="s">
        <v>255</v>
      </c>
      <c r="K3805" s="51">
        <v>41170</v>
      </c>
      <c r="L3805" s="173">
        <v>41161</v>
      </c>
      <c r="M3805" s="50">
        <f t="shared" si="230"/>
        <v>9</v>
      </c>
      <c r="N3805" s="50" t="s">
        <v>2</v>
      </c>
      <c r="O3805" s="74">
        <f>1.6/2</f>
        <v>0.8</v>
      </c>
      <c r="P3805" s="50">
        <v>7.1</v>
      </c>
      <c r="Q3805" s="74">
        <v>6.7</v>
      </c>
      <c r="R3805" s="50">
        <v>48</v>
      </c>
      <c r="S3805" s="74">
        <v>5.6</v>
      </c>
      <c r="T3805" s="50">
        <v>9.6000000000000002E-2</v>
      </c>
      <c r="U3805" s="131">
        <v>1.1000000000000001</v>
      </c>
      <c r="V3805" s="50">
        <v>1.04</v>
      </c>
      <c r="W3805" s="74">
        <v>8.0000000000000002E-3</v>
      </c>
      <c r="X3805" s="50">
        <v>6.4000000000000001E-2</v>
      </c>
      <c r="Y3805" s="74">
        <f t="shared" si="233"/>
        <v>2.5000000000000001E-3</v>
      </c>
      <c r="Z3805" s="165">
        <v>1</v>
      </c>
      <c r="AA3805" s="271">
        <v>1</v>
      </c>
      <c r="AB3805" s="114">
        <v>18</v>
      </c>
      <c r="AC3805" s="50">
        <v>97</v>
      </c>
      <c r="AD3805" s="271">
        <v>1</v>
      </c>
    </row>
    <row r="3806" spans="1:79" ht="15" customHeight="1">
      <c r="A3806" s="404" t="s">
        <v>4668</v>
      </c>
      <c r="B3806" s="402" t="s">
        <v>6278</v>
      </c>
      <c r="C3806" s="113" t="s">
        <v>6278</v>
      </c>
      <c r="D3806" s="393" t="s">
        <v>636</v>
      </c>
      <c r="E3806" s="394" t="s">
        <v>6279</v>
      </c>
      <c r="F3806" s="402">
        <v>3700</v>
      </c>
      <c r="G3806" s="405" t="s">
        <v>6280</v>
      </c>
      <c r="H3806" s="74">
        <v>265301</v>
      </c>
      <c r="I3806" s="50" t="s">
        <v>2</v>
      </c>
      <c r="J3806" s="339" t="s">
        <v>255</v>
      </c>
      <c r="K3806" s="51">
        <v>41345</v>
      </c>
      <c r="L3806" s="173">
        <v>41342</v>
      </c>
      <c r="M3806" s="50">
        <f t="shared" si="230"/>
        <v>3</v>
      </c>
      <c r="N3806" s="50" t="s">
        <v>2</v>
      </c>
      <c r="O3806" s="74">
        <f>2/2</f>
        <v>1</v>
      </c>
      <c r="P3806" s="50">
        <v>6.5</v>
      </c>
      <c r="Q3806" s="74">
        <v>7.2</v>
      </c>
      <c r="R3806" s="50">
        <f>10/2</f>
        <v>5</v>
      </c>
      <c r="S3806" s="74">
        <v>21</v>
      </c>
      <c r="T3806" s="50">
        <f>0.05/2</f>
        <v>2.5000000000000001E-2</v>
      </c>
      <c r="U3806" s="131">
        <v>0.31</v>
      </c>
      <c r="V3806" s="50">
        <v>0.12</v>
      </c>
      <c r="W3806" s="74">
        <v>1.2E-2</v>
      </c>
      <c r="X3806" s="50">
        <v>0.13400000000000001</v>
      </c>
      <c r="Y3806" s="74">
        <f>0.03/2</f>
        <v>1.4999999999999999E-2</v>
      </c>
      <c r="Z3806" s="165">
        <v>1</v>
      </c>
      <c r="AA3806" s="271">
        <v>1</v>
      </c>
      <c r="AB3806" s="114">
        <v>11</v>
      </c>
      <c r="AC3806" s="50">
        <v>65</v>
      </c>
      <c r="AD3806" s="271">
        <v>0.25</v>
      </c>
    </row>
    <row r="3807" spans="1:79" s="400" customFormat="1" ht="15" customHeight="1">
      <c r="A3807" s="41" t="s">
        <v>183</v>
      </c>
      <c r="B3807" s="402" t="s">
        <v>6278</v>
      </c>
      <c r="C3807" s="113" t="s">
        <v>6278</v>
      </c>
      <c r="D3807" s="393" t="s">
        <v>636</v>
      </c>
      <c r="E3807" s="394" t="s">
        <v>6279</v>
      </c>
      <c r="F3807" s="402">
        <v>3700</v>
      </c>
      <c r="G3807" s="405" t="s">
        <v>6280</v>
      </c>
      <c r="H3807" s="404">
        <v>265301</v>
      </c>
      <c r="I3807" s="402" t="s">
        <v>2</v>
      </c>
      <c r="J3807" s="406" t="s">
        <v>255</v>
      </c>
      <c r="K3807" s="403">
        <v>41156</v>
      </c>
      <c r="L3807" s="398">
        <v>41139</v>
      </c>
      <c r="M3807" s="402">
        <f t="shared" si="230"/>
        <v>17</v>
      </c>
      <c r="N3807" s="402" t="s">
        <v>2</v>
      </c>
      <c r="O3807" s="404">
        <f>2/2</f>
        <v>1</v>
      </c>
      <c r="P3807" s="402">
        <v>5.3</v>
      </c>
      <c r="Q3807" s="404">
        <v>5.9</v>
      </c>
      <c r="R3807" s="402">
        <f>10/2</f>
        <v>5</v>
      </c>
      <c r="S3807" s="404">
        <v>4</v>
      </c>
      <c r="T3807" s="402">
        <f>0.05/2</f>
        <v>2.5000000000000001E-2</v>
      </c>
      <c r="U3807" s="395">
        <v>0.56000000000000005</v>
      </c>
      <c r="V3807" s="402">
        <v>0.18</v>
      </c>
      <c r="W3807" s="404">
        <v>1.4999999999999999E-2</v>
      </c>
      <c r="X3807" s="402">
        <f>0.03/2</f>
        <v>1.4999999999999999E-2</v>
      </c>
      <c r="Y3807" s="404">
        <f>0.03/2</f>
        <v>1.4999999999999999E-2</v>
      </c>
      <c r="Z3807" s="397">
        <v>1</v>
      </c>
      <c r="AA3807" s="399">
        <v>0.83</v>
      </c>
      <c r="AB3807" s="394">
        <v>3</v>
      </c>
      <c r="AC3807" s="402">
        <v>28</v>
      </c>
      <c r="AD3807" s="399">
        <v>0.25</v>
      </c>
      <c r="AE3807" s="402"/>
      <c r="AF3807" s="391"/>
      <c r="AG3807" s="394"/>
      <c r="AH3807" s="394"/>
      <c r="AI3807" s="394"/>
      <c r="AJ3807" s="394"/>
      <c r="AK3807" s="394"/>
      <c r="AL3807" s="394"/>
      <c r="AM3807" s="394"/>
      <c r="AN3807" s="394"/>
      <c r="AO3807" s="394"/>
      <c r="AP3807" s="394"/>
      <c r="AQ3807" s="394"/>
      <c r="AR3807" s="394"/>
      <c r="AS3807" s="402"/>
      <c r="AT3807" s="404"/>
      <c r="AU3807" s="394"/>
      <c r="AV3807" s="394"/>
      <c r="AW3807" s="394"/>
      <c r="AX3807" s="5"/>
      <c r="AY3807" s="5"/>
      <c r="AZ3807" s="5"/>
      <c r="BA3807" s="5"/>
      <c r="BB3807" s="5"/>
      <c r="BC3807" s="5"/>
      <c r="BD3807" s="5"/>
      <c r="BE3807" s="5"/>
      <c r="BF3807" s="5"/>
      <c r="BG3807" s="5"/>
      <c r="BH3807" s="5"/>
      <c r="BI3807" s="5"/>
      <c r="BJ3807" s="5"/>
      <c r="BK3807" s="5"/>
      <c r="BL3807" s="5"/>
      <c r="BM3807" s="5"/>
      <c r="BN3807" s="5"/>
      <c r="BO3807" s="5"/>
      <c r="BP3807" s="5"/>
      <c r="BQ3807" s="5"/>
      <c r="BR3807" s="5"/>
      <c r="BS3807" s="5"/>
      <c r="BT3807" s="5"/>
      <c r="BU3807" s="5"/>
      <c r="BV3807" s="5"/>
      <c r="BW3807" s="5"/>
      <c r="BX3807" s="5"/>
      <c r="BY3807" s="5"/>
      <c r="BZ3807" s="5"/>
      <c r="CA3807" s="5"/>
    </row>
    <row r="3808" spans="1:79" ht="15" customHeight="1">
      <c r="A3808" s="41" t="s">
        <v>183</v>
      </c>
      <c r="B3808" s="402" t="s">
        <v>5002</v>
      </c>
      <c r="C3808" s="113" t="s">
        <v>5002</v>
      </c>
      <c r="D3808" s="393" t="s">
        <v>6281</v>
      </c>
      <c r="E3808" s="394" t="s">
        <v>5003</v>
      </c>
      <c r="F3808" s="402" t="s">
        <v>5004</v>
      </c>
      <c r="G3808" s="405" t="s">
        <v>6282</v>
      </c>
      <c r="H3808" s="74" t="s">
        <v>6368</v>
      </c>
      <c r="I3808" s="50" t="s">
        <v>2</v>
      </c>
      <c r="J3808" s="339" t="s">
        <v>5388</v>
      </c>
      <c r="K3808" s="51">
        <v>41529</v>
      </c>
      <c r="L3808" s="173">
        <v>41520</v>
      </c>
      <c r="M3808" s="50">
        <f t="shared" si="230"/>
        <v>9</v>
      </c>
      <c r="N3808" s="50" t="s">
        <v>2</v>
      </c>
      <c r="O3808" s="74">
        <f>5/2</f>
        <v>2.5</v>
      </c>
      <c r="P3808" s="50">
        <v>7</v>
      </c>
      <c r="Q3808" s="74">
        <v>6.53</v>
      </c>
      <c r="R3808" s="50">
        <v>42</v>
      </c>
      <c r="S3808" s="74">
        <v>70</v>
      </c>
      <c r="T3808" s="50">
        <f>0.1/2</f>
        <v>0.05</v>
      </c>
      <c r="U3808" s="131">
        <f>1/2</f>
        <v>0.5</v>
      </c>
      <c r="V3808" s="50">
        <v>0.28000000000000003</v>
      </c>
      <c r="W3808" s="74">
        <f>0.04/2</f>
        <v>0.02</v>
      </c>
      <c r="X3808" s="50">
        <v>8.2000000000000003E-2</v>
      </c>
      <c r="Y3808" s="74">
        <f>0.013/2</f>
        <v>6.4999999999999997E-3</v>
      </c>
      <c r="Z3808" s="165">
        <v>1</v>
      </c>
      <c r="AA3808" s="271">
        <v>1</v>
      </c>
      <c r="AB3808" s="114">
        <v>18</v>
      </c>
      <c r="AC3808" s="50">
        <v>42</v>
      </c>
      <c r="AD3808" s="271">
        <v>1</v>
      </c>
    </row>
    <row r="3809" spans="1:31" ht="15" customHeight="1">
      <c r="A3809" s="41" t="s">
        <v>183</v>
      </c>
      <c r="B3809" s="402" t="s">
        <v>5002</v>
      </c>
      <c r="C3809" s="113" t="s">
        <v>5002</v>
      </c>
      <c r="D3809" s="393" t="s">
        <v>6281</v>
      </c>
      <c r="E3809" s="394" t="s">
        <v>5003</v>
      </c>
      <c r="F3809" s="402" t="s">
        <v>5004</v>
      </c>
      <c r="G3809" s="405" t="s">
        <v>6282</v>
      </c>
      <c r="H3809" s="74" t="s">
        <v>5006</v>
      </c>
      <c r="I3809" s="50" t="s">
        <v>2</v>
      </c>
      <c r="J3809" s="339" t="s">
        <v>5388</v>
      </c>
      <c r="K3809" s="51">
        <v>41072</v>
      </c>
      <c r="L3809" s="173">
        <v>41065</v>
      </c>
      <c r="M3809" s="50">
        <f t="shared" si="230"/>
        <v>7</v>
      </c>
      <c r="N3809" s="50" t="s">
        <v>2</v>
      </c>
      <c r="O3809" s="74">
        <f>5/2</f>
        <v>2.5</v>
      </c>
      <c r="P3809" s="50">
        <v>6.8</v>
      </c>
      <c r="Q3809" s="74">
        <v>6.8</v>
      </c>
      <c r="R3809" s="50">
        <v>16</v>
      </c>
      <c r="S3809" s="74">
        <f>5/2</f>
        <v>2.5</v>
      </c>
      <c r="T3809" s="50">
        <f>0.1/2</f>
        <v>0.05</v>
      </c>
      <c r="U3809" s="131">
        <f>1/2</f>
        <v>0.5</v>
      </c>
      <c r="V3809" s="50">
        <f>0.1/2</f>
        <v>0.05</v>
      </c>
      <c r="W3809" s="74">
        <f>0.04/2</f>
        <v>0.02</v>
      </c>
      <c r="X3809" s="50">
        <v>0.02</v>
      </c>
      <c r="Y3809" s="74">
        <f>0.013/2</f>
        <v>6.4999999999999997E-3</v>
      </c>
      <c r="Z3809" s="165">
        <v>1</v>
      </c>
      <c r="AA3809" s="271">
        <v>1</v>
      </c>
      <c r="AB3809" s="114">
        <v>14</v>
      </c>
      <c r="AC3809" s="50">
        <v>33</v>
      </c>
      <c r="AD3809" s="271">
        <v>1</v>
      </c>
    </row>
    <row r="3810" spans="1:31" ht="15" customHeight="1">
      <c r="A3810" s="404" t="s">
        <v>4668</v>
      </c>
      <c r="B3810" s="386" t="s">
        <v>820</v>
      </c>
      <c r="C3810" s="149" t="s">
        <v>820</v>
      </c>
      <c r="D3810" s="392" t="s">
        <v>818</v>
      </c>
      <c r="E3810" s="258"/>
      <c r="F3810" s="64" t="s">
        <v>984</v>
      </c>
      <c r="G3810" s="405" t="s">
        <v>819</v>
      </c>
      <c r="H3810" s="55">
        <v>2759</v>
      </c>
      <c r="I3810" s="54" t="s">
        <v>2</v>
      </c>
      <c r="J3810" s="61" t="s">
        <v>700</v>
      </c>
      <c r="K3810" s="51">
        <v>41499</v>
      </c>
      <c r="L3810" s="173">
        <v>41495</v>
      </c>
      <c r="M3810" s="50">
        <f t="shared" si="230"/>
        <v>4</v>
      </c>
      <c r="N3810" s="50" t="s">
        <v>2</v>
      </c>
      <c r="O3810" s="74">
        <f>2.3/2</f>
        <v>1.1499999999999999</v>
      </c>
      <c r="P3810" s="50">
        <v>6.71</v>
      </c>
      <c r="Q3810" s="74">
        <v>7.1</v>
      </c>
      <c r="R3810" s="50">
        <f>20/2</f>
        <v>10</v>
      </c>
      <c r="S3810" s="74">
        <v>1.2</v>
      </c>
      <c r="T3810" s="50">
        <v>1.4999999999999999E-2</v>
      </c>
      <c r="U3810" s="131">
        <f>1/2</f>
        <v>0.5</v>
      </c>
      <c r="V3810" s="50">
        <v>3.27</v>
      </c>
      <c r="W3810" s="74">
        <f>0.005/2</f>
        <v>2.5000000000000001E-3</v>
      </c>
      <c r="X3810" s="50">
        <v>0.15</v>
      </c>
      <c r="Y3810" s="74">
        <f>0.005/2</f>
        <v>2.5000000000000001E-3</v>
      </c>
      <c r="Z3810" s="165">
        <v>1</v>
      </c>
      <c r="AA3810" s="271">
        <v>1</v>
      </c>
      <c r="AB3810" s="114">
        <v>86</v>
      </c>
      <c r="AC3810" s="50">
        <v>295</v>
      </c>
      <c r="AD3810" s="271">
        <v>1</v>
      </c>
    </row>
    <row r="3811" spans="1:31" ht="15" customHeight="1">
      <c r="A3811" s="404" t="s">
        <v>4668</v>
      </c>
      <c r="B3811" s="386" t="s">
        <v>820</v>
      </c>
      <c r="C3811" s="149" t="s">
        <v>820</v>
      </c>
      <c r="D3811" s="392" t="s">
        <v>818</v>
      </c>
      <c r="E3811" s="258"/>
      <c r="F3811" s="64" t="s">
        <v>984</v>
      </c>
      <c r="G3811" s="405" t="s">
        <v>819</v>
      </c>
      <c r="H3811" s="55">
        <v>2759</v>
      </c>
      <c r="I3811" s="54" t="s">
        <v>2</v>
      </c>
      <c r="J3811" s="61" t="s">
        <v>700</v>
      </c>
      <c r="K3811" s="51">
        <v>41324</v>
      </c>
      <c r="L3811" s="173">
        <v>41316</v>
      </c>
      <c r="M3811" s="50">
        <f t="shared" si="230"/>
        <v>8</v>
      </c>
      <c r="N3811" s="50" t="s">
        <v>1</v>
      </c>
      <c r="O3811" s="74">
        <f>2/2</f>
        <v>1</v>
      </c>
      <c r="P3811" s="50">
        <v>7.08</v>
      </c>
      <c r="Q3811" s="74">
        <v>7.05</v>
      </c>
      <c r="R3811" s="50">
        <f>20/2</f>
        <v>10</v>
      </c>
      <c r="S3811" s="74">
        <v>6.6</v>
      </c>
      <c r="T3811" s="50">
        <v>3.4000000000000002E-2</v>
      </c>
      <c r="U3811" s="131">
        <v>1.9</v>
      </c>
      <c r="V3811" s="50">
        <v>1.98</v>
      </c>
      <c r="W3811" s="74">
        <f>0.005/2</f>
        <v>2.5000000000000001E-3</v>
      </c>
      <c r="X3811" s="50">
        <v>6.2E-2</v>
      </c>
      <c r="Y3811" s="74">
        <f>0.0025/2</f>
        <v>1.25E-3</v>
      </c>
      <c r="Z3811" s="165"/>
    </row>
    <row r="3812" spans="1:31" ht="15" customHeight="1">
      <c r="A3812" s="404" t="s">
        <v>4668</v>
      </c>
      <c r="B3812" s="386" t="s">
        <v>820</v>
      </c>
      <c r="C3812" s="149" t="s">
        <v>820</v>
      </c>
      <c r="D3812" s="392" t="s">
        <v>818</v>
      </c>
      <c r="E3812" s="258"/>
      <c r="F3812" s="64" t="s">
        <v>984</v>
      </c>
      <c r="G3812" s="405" t="s">
        <v>819</v>
      </c>
      <c r="H3812" s="55">
        <v>2759</v>
      </c>
      <c r="I3812" s="54" t="s">
        <v>2</v>
      </c>
      <c r="J3812" s="61" t="s">
        <v>700</v>
      </c>
      <c r="K3812" s="51">
        <v>41148</v>
      </c>
      <c r="L3812" s="173">
        <v>41139</v>
      </c>
      <c r="M3812" s="50">
        <f t="shared" si="230"/>
        <v>9</v>
      </c>
      <c r="N3812" s="50" t="s">
        <v>2</v>
      </c>
      <c r="O3812" s="74">
        <f>2.3/2</f>
        <v>1.1499999999999999</v>
      </c>
      <c r="P3812" s="50">
        <v>6.71</v>
      </c>
      <c r="Q3812" s="74">
        <v>7.02</v>
      </c>
      <c r="R3812" s="50">
        <f>20/2</f>
        <v>10</v>
      </c>
      <c r="S3812" s="74">
        <v>82</v>
      </c>
      <c r="T3812" s="50">
        <v>1.2E-2</v>
      </c>
      <c r="U3812" s="131">
        <f>1/2</f>
        <v>0.5</v>
      </c>
      <c r="V3812" s="50">
        <v>3.41</v>
      </c>
      <c r="W3812" s="74">
        <f>0.005/2</f>
        <v>2.5000000000000001E-3</v>
      </c>
      <c r="X3812" s="50">
        <v>2.7E-2</v>
      </c>
      <c r="Y3812" s="74">
        <f>0.005/2</f>
        <v>2.5000000000000001E-3</v>
      </c>
      <c r="Z3812" s="165">
        <v>1</v>
      </c>
      <c r="AA3812" s="271">
        <v>1</v>
      </c>
      <c r="AB3812" s="114">
        <v>102</v>
      </c>
      <c r="AC3812" s="50">
        <v>347</v>
      </c>
      <c r="AD3812" s="271">
        <v>1</v>
      </c>
    </row>
    <row r="3813" spans="1:31" ht="15" customHeight="1">
      <c r="A3813" s="404" t="s">
        <v>4668</v>
      </c>
      <c r="B3813" s="386" t="s">
        <v>820</v>
      </c>
      <c r="C3813" s="149" t="s">
        <v>820</v>
      </c>
      <c r="D3813" s="392" t="s">
        <v>756</v>
      </c>
      <c r="E3813" s="258"/>
      <c r="F3813" s="64" t="s">
        <v>984</v>
      </c>
      <c r="G3813" s="405" t="s">
        <v>821</v>
      </c>
      <c r="H3813" s="74">
        <v>2759</v>
      </c>
      <c r="I3813" s="50" t="s">
        <v>2</v>
      </c>
      <c r="J3813" s="61" t="s">
        <v>700</v>
      </c>
      <c r="K3813" s="51">
        <v>41170</v>
      </c>
      <c r="L3813" s="173">
        <v>41160</v>
      </c>
      <c r="M3813" s="50">
        <f t="shared" si="230"/>
        <v>10</v>
      </c>
      <c r="N3813" s="50" t="s">
        <v>2</v>
      </c>
      <c r="O3813" s="74">
        <f>1.9/2</f>
        <v>0.95</v>
      </c>
      <c r="P3813" s="50">
        <v>6.78</v>
      </c>
      <c r="Q3813" s="74">
        <v>6.51</v>
      </c>
      <c r="R3813" s="50">
        <v>110</v>
      </c>
      <c r="S3813" s="74">
        <v>24</v>
      </c>
      <c r="T3813" s="50">
        <v>0.16900000000000001</v>
      </c>
      <c r="U3813" s="131">
        <v>11</v>
      </c>
      <c r="V3813" s="50">
        <v>1.7</v>
      </c>
      <c r="W3813" s="74">
        <v>3.4000000000000002E-2</v>
      </c>
      <c r="X3813" s="50">
        <v>0.19400000000000001</v>
      </c>
      <c r="Y3813" s="74">
        <v>9.4000000000000004E-3</v>
      </c>
      <c r="Z3813" s="165">
        <v>1</v>
      </c>
      <c r="AA3813" s="271">
        <v>1</v>
      </c>
      <c r="AB3813" s="114">
        <v>88</v>
      </c>
      <c r="AC3813" s="50">
        <v>360</v>
      </c>
      <c r="AD3813" s="271">
        <v>1</v>
      </c>
    </row>
    <row r="3814" spans="1:31" ht="15" customHeight="1">
      <c r="A3814" s="41" t="s">
        <v>183</v>
      </c>
      <c r="B3814" s="402" t="s">
        <v>1920</v>
      </c>
      <c r="C3814" s="113" t="s">
        <v>1920</v>
      </c>
      <c r="D3814" s="393" t="s">
        <v>636</v>
      </c>
      <c r="E3814" s="394" t="s">
        <v>1859</v>
      </c>
      <c r="G3814" s="405" t="s">
        <v>1921</v>
      </c>
      <c r="H3814" s="74">
        <v>3087</v>
      </c>
      <c r="I3814" s="50" t="s">
        <v>1</v>
      </c>
      <c r="J3814" s="48" t="s">
        <v>255</v>
      </c>
      <c r="K3814" s="51">
        <v>41339</v>
      </c>
      <c r="L3814" s="173">
        <v>41333</v>
      </c>
      <c r="M3814" s="50">
        <f t="shared" si="230"/>
        <v>6</v>
      </c>
      <c r="N3814" s="50" t="s">
        <v>1</v>
      </c>
      <c r="O3814" s="74">
        <f>1/2</f>
        <v>0.5</v>
      </c>
      <c r="P3814" s="50">
        <v>6</v>
      </c>
      <c r="Q3814" s="74">
        <v>5.6</v>
      </c>
      <c r="R3814" s="50">
        <v>140</v>
      </c>
      <c r="S3814" s="74">
        <v>300</v>
      </c>
      <c r="T3814" s="50">
        <v>0.51</v>
      </c>
      <c r="U3814" s="131">
        <v>1</v>
      </c>
      <c r="V3814" s="50">
        <v>0.34</v>
      </c>
      <c r="W3814" s="74">
        <v>2.1000000000000001E-2</v>
      </c>
      <c r="X3814" s="50">
        <v>0.42</v>
      </c>
      <c r="Y3814" s="74">
        <v>9.1999999999999998E-3</v>
      </c>
      <c r="Z3814" s="165">
        <v>1</v>
      </c>
      <c r="AA3814" s="271">
        <v>0.72</v>
      </c>
      <c r="AB3814" s="114">
        <v>6</v>
      </c>
      <c r="AC3814" s="50">
        <v>112</v>
      </c>
      <c r="AD3814" s="271">
        <v>0.05</v>
      </c>
      <c r="AE3814" s="50">
        <v>10</v>
      </c>
    </row>
    <row r="3815" spans="1:31" ht="15" customHeight="1">
      <c r="A3815" s="41" t="s">
        <v>183</v>
      </c>
      <c r="B3815" s="402" t="s">
        <v>1920</v>
      </c>
      <c r="C3815" s="113" t="s">
        <v>1920</v>
      </c>
      <c r="D3815" s="393" t="s">
        <v>636</v>
      </c>
      <c r="E3815" s="394" t="s">
        <v>1859</v>
      </c>
      <c r="G3815" s="405" t="s">
        <v>1921</v>
      </c>
      <c r="H3815" s="74">
        <v>3087</v>
      </c>
      <c r="I3815" s="50" t="s">
        <v>1</v>
      </c>
      <c r="J3815" s="48" t="s">
        <v>255</v>
      </c>
      <c r="K3815" s="51">
        <v>41585</v>
      </c>
      <c r="L3815" s="173">
        <v>41581</v>
      </c>
      <c r="M3815" s="50">
        <f t="shared" si="230"/>
        <v>4</v>
      </c>
      <c r="N3815" s="50" t="s">
        <v>2</v>
      </c>
      <c r="R3815" s="50">
        <v>48</v>
      </c>
      <c r="S3815" s="74">
        <v>23</v>
      </c>
      <c r="X3815" s="50">
        <v>0.52</v>
      </c>
      <c r="Z3815" s="165"/>
      <c r="AE3815" s="50">
        <v>20</v>
      </c>
    </row>
    <row r="3816" spans="1:31" ht="15" customHeight="1">
      <c r="A3816" s="41" t="s">
        <v>183</v>
      </c>
      <c r="B3816" s="402" t="s">
        <v>1920</v>
      </c>
      <c r="C3816" s="113" t="s">
        <v>1920</v>
      </c>
      <c r="D3816" s="393" t="s">
        <v>4157</v>
      </c>
      <c r="E3816" s="394" t="s">
        <v>1859</v>
      </c>
      <c r="G3816" s="405" t="s">
        <v>1921</v>
      </c>
      <c r="H3816" s="74">
        <v>3087</v>
      </c>
      <c r="I3816" s="50" t="s">
        <v>1</v>
      </c>
      <c r="J3816" s="48" t="s">
        <v>255</v>
      </c>
      <c r="K3816" s="51">
        <v>41431</v>
      </c>
      <c r="L3816" s="173">
        <v>41428</v>
      </c>
      <c r="M3816" s="50">
        <f t="shared" si="230"/>
        <v>3</v>
      </c>
      <c r="N3816" s="50" t="s">
        <v>2</v>
      </c>
      <c r="O3816" s="74">
        <f>1/2</f>
        <v>0.5</v>
      </c>
      <c r="P3816" s="50">
        <v>6</v>
      </c>
      <c r="Q3816" s="74">
        <v>6.1</v>
      </c>
      <c r="R3816" s="50">
        <v>46</v>
      </c>
      <c r="S3816" s="74">
        <v>22</v>
      </c>
      <c r="T3816" s="50">
        <v>0.1</v>
      </c>
      <c r="U3816" s="131">
        <v>1.7</v>
      </c>
      <c r="V3816" s="50">
        <v>0.49</v>
      </c>
      <c r="W3816" s="74">
        <v>2.7000000000000001E-3</v>
      </c>
      <c r="X3816" s="50">
        <v>0.38</v>
      </c>
      <c r="Y3816" s="74">
        <f>0.002/2</f>
        <v>1E-3</v>
      </c>
      <c r="Z3816" s="165"/>
      <c r="AE3816" s="50">
        <v>10</v>
      </c>
    </row>
    <row r="3817" spans="1:31" ht="15" customHeight="1">
      <c r="A3817" s="41" t="s">
        <v>183</v>
      </c>
      <c r="B3817" s="402" t="s">
        <v>3252</v>
      </c>
      <c r="C3817" s="113" t="s">
        <v>3252</v>
      </c>
      <c r="D3817" s="393" t="s">
        <v>347</v>
      </c>
      <c r="E3817" s="394" t="s">
        <v>3496</v>
      </c>
      <c r="G3817" s="405" t="s">
        <v>3253</v>
      </c>
      <c r="H3817" s="74">
        <v>4212</v>
      </c>
      <c r="I3817" s="50" t="s">
        <v>2</v>
      </c>
      <c r="J3817" s="339" t="s">
        <v>4764</v>
      </c>
      <c r="K3817" s="51">
        <v>41264</v>
      </c>
      <c r="L3817" s="173">
        <v>41261</v>
      </c>
      <c r="M3817" s="50">
        <f t="shared" si="230"/>
        <v>3</v>
      </c>
      <c r="N3817" s="50" t="s">
        <v>2</v>
      </c>
      <c r="O3817" s="74">
        <v>4</v>
      </c>
      <c r="P3817" s="50">
        <v>7</v>
      </c>
      <c r="Q3817" s="74">
        <v>7</v>
      </c>
      <c r="R3817" s="50">
        <v>70</v>
      </c>
      <c r="S3817" s="74">
        <v>162</v>
      </c>
      <c r="T3817" s="50">
        <v>0.25</v>
      </c>
      <c r="U3817" s="131">
        <v>1.29</v>
      </c>
      <c r="V3817" s="50">
        <v>0.77</v>
      </c>
      <c r="W3817" s="74">
        <v>7.6999999999999999E-2</v>
      </c>
      <c r="X3817" s="50">
        <v>0.26700000000000002</v>
      </c>
      <c r="Y3817" s="74">
        <f>0.03/2</f>
        <v>1.4999999999999999E-2</v>
      </c>
      <c r="Z3817" s="165">
        <v>1</v>
      </c>
      <c r="AA3817" s="271">
        <v>1</v>
      </c>
      <c r="AB3817" s="114">
        <v>63</v>
      </c>
      <c r="AC3817" s="50">
        <v>60</v>
      </c>
      <c r="AD3817" s="271">
        <v>0.55000000000000004</v>
      </c>
    </row>
    <row r="3818" spans="1:31" ht="15" customHeight="1">
      <c r="A3818" s="41" t="s">
        <v>183</v>
      </c>
      <c r="B3818" s="402" t="s">
        <v>3252</v>
      </c>
      <c r="C3818" s="113" t="s">
        <v>3252</v>
      </c>
      <c r="D3818" s="393" t="s">
        <v>347</v>
      </c>
      <c r="E3818" s="394" t="s">
        <v>3496</v>
      </c>
      <c r="G3818" s="405" t="s">
        <v>3253</v>
      </c>
      <c r="H3818" s="74">
        <v>4212</v>
      </c>
      <c r="I3818" s="50" t="s">
        <v>2</v>
      </c>
      <c r="J3818" s="339" t="s">
        <v>4764</v>
      </c>
      <c r="K3818" s="51">
        <v>41116</v>
      </c>
      <c r="L3818" s="173">
        <v>41113</v>
      </c>
      <c r="M3818" s="50">
        <f t="shared" si="230"/>
        <v>3</v>
      </c>
      <c r="N3818" s="50" t="s">
        <v>2</v>
      </c>
      <c r="O3818" s="74">
        <f>2/2</f>
        <v>1</v>
      </c>
      <c r="P3818" s="50">
        <v>7</v>
      </c>
      <c r="Q3818" s="74">
        <v>7.2</v>
      </c>
      <c r="R3818" s="50">
        <v>27</v>
      </c>
      <c r="S3818" s="74">
        <v>660</v>
      </c>
      <c r="T3818" s="50">
        <v>0.15</v>
      </c>
      <c r="U3818" s="131">
        <v>1.32</v>
      </c>
      <c r="V3818" s="50">
        <v>0.79</v>
      </c>
      <c r="W3818" s="74">
        <v>3.3000000000000002E-2</v>
      </c>
      <c r="X3818" s="50">
        <v>0.125</v>
      </c>
      <c r="Y3818" s="74">
        <f>0.03/2</f>
        <v>1.4999999999999999E-2</v>
      </c>
      <c r="Z3818" s="165"/>
    </row>
    <row r="3819" spans="1:31" ht="15" customHeight="1">
      <c r="A3819" s="404" t="s">
        <v>4668</v>
      </c>
      <c r="B3819" s="402" t="s">
        <v>3085</v>
      </c>
      <c r="C3819" s="113" t="s">
        <v>3085</v>
      </c>
      <c r="D3819" s="393" t="s">
        <v>84</v>
      </c>
      <c r="G3819" s="405" t="s">
        <v>3086</v>
      </c>
      <c r="H3819" s="74">
        <v>3499</v>
      </c>
      <c r="J3819" s="48" t="s">
        <v>3087</v>
      </c>
      <c r="K3819" s="51">
        <v>41352</v>
      </c>
      <c r="L3819" s="173">
        <v>41341</v>
      </c>
      <c r="M3819" s="50">
        <f t="shared" si="230"/>
        <v>11</v>
      </c>
      <c r="N3819" s="50" t="s">
        <v>2</v>
      </c>
      <c r="O3819" s="74">
        <v>1</v>
      </c>
      <c r="P3819" s="50">
        <v>6.94</v>
      </c>
      <c r="Q3819" s="74">
        <v>6.86</v>
      </c>
      <c r="R3819" s="50">
        <f>2/2</f>
        <v>1</v>
      </c>
      <c r="S3819" s="74">
        <f>1/2</f>
        <v>0.5</v>
      </c>
      <c r="T3819" s="50">
        <f>0.05/2</f>
        <v>2.5000000000000001E-2</v>
      </c>
      <c r="U3819" s="131">
        <v>0.31</v>
      </c>
      <c r="V3819" s="50">
        <v>0.3</v>
      </c>
      <c r="W3819" s="74">
        <v>0.43</v>
      </c>
      <c r="X3819" s="50">
        <v>0.16</v>
      </c>
      <c r="Y3819" s="74">
        <f>0.02/2</f>
        <v>0.01</v>
      </c>
      <c r="Z3819" s="165">
        <v>6.25E-2</v>
      </c>
      <c r="AA3819" s="271">
        <v>6.25E-2</v>
      </c>
      <c r="AB3819" s="114">
        <v>20.5</v>
      </c>
      <c r="AC3819" s="50">
        <v>47.9</v>
      </c>
      <c r="AD3819" s="271">
        <v>0</v>
      </c>
    </row>
    <row r="3820" spans="1:31" ht="15" customHeight="1">
      <c r="A3820" s="404" t="s">
        <v>4668</v>
      </c>
      <c r="B3820" s="402" t="s">
        <v>3085</v>
      </c>
      <c r="C3820" s="113" t="s">
        <v>3085</v>
      </c>
      <c r="D3820" s="393" t="s">
        <v>84</v>
      </c>
      <c r="G3820" s="405" t="s">
        <v>3086</v>
      </c>
      <c r="H3820" s="74">
        <v>3499</v>
      </c>
      <c r="J3820" s="48" t="s">
        <v>3087</v>
      </c>
      <c r="K3820" s="51">
        <v>41499</v>
      </c>
      <c r="L3820" s="173">
        <v>41495</v>
      </c>
      <c r="M3820" s="50">
        <f t="shared" si="230"/>
        <v>4</v>
      </c>
      <c r="N3820" s="50" t="s">
        <v>2</v>
      </c>
      <c r="O3820" s="74">
        <v>1.7</v>
      </c>
      <c r="P3820" s="50">
        <v>5</v>
      </c>
      <c r="Q3820" s="74">
        <v>7.08</v>
      </c>
      <c r="R3820" s="50">
        <v>30</v>
      </c>
      <c r="S3820" s="74">
        <v>1</v>
      </c>
      <c r="T3820" s="50">
        <v>7.0000000000000007E-2</v>
      </c>
      <c r="U3820" s="131">
        <v>1.71</v>
      </c>
      <c r="V3820" s="50">
        <v>0.61</v>
      </c>
      <c r="W3820" s="74">
        <v>1.18</v>
      </c>
      <c r="X3820" s="50">
        <v>0.3</v>
      </c>
      <c r="Y3820" s="74">
        <f>0.02/2</f>
        <v>0.01</v>
      </c>
      <c r="Z3820" s="165">
        <v>1</v>
      </c>
      <c r="AA3820" s="271">
        <v>6.25E-2</v>
      </c>
      <c r="AB3820" s="114">
        <v>20.8</v>
      </c>
      <c r="AC3820" s="50">
        <v>35.6</v>
      </c>
      <c r="AD3820" s="271">
        <v>0</v>
      </c>
    </row>
    <row r="3821" spans="1:31" ht="15" customHeight="1">
      <c r="A3821" s="404" t="s">
        <v>4668</v>
      </c>
      <c r="B3821" s="402" t="s">
        <v>4433</v>
      </c>
      <c r="C3821" s="113" t="s">
        <v>4433</v>
      </c>
      <c r="D3821" s="393" t="s">
        <v>314</v>
      </c>
      <c r="E3821" s="394" t="s">
        <v>49</v>
      </c>
      <c r="F3821" s="402" t="s">
        <v>6283</v>
      </c>
      <c r="G3821" s="405" t="s">
        <v>4434</v>
      </c>
      <c r="H3821" s="74">
        <v>3479</v>
      </c>
      <c r="I3821" s="50" t="s">
        <v>2</v>
      </c>
      <c r="J3821" s="339" t="s">
        <v>255</v>
      </c>
      <c r="K3821" s="51">
        <v>41487</v>
      </c>
      <c r="L3821" s="173">
        <v>41481</v>
      </c>
      <c r="M3821" s="50">
        <f t="shared" si="230"/>
        <v>6</v>
      </c>
      <c r="N3821" s="50" t="s">
        <v>2</v>
      </c>
      <c r="O3821" s="74">
        <f>2/2</f>
        <v>1</v>
      </c>
      <c r="P3821" s="50">
        <v>5.9</v>
      </c>
      <c r="Q3821" s="74">
        <v>5.7</v>
      </c>
      <c r="R3821" s="50">
        <v>63</v>
      </c>
      <c r="S3821" s="74">
        <v>10</v>
      </c>
      <c r="T3821" s="50">
        <v>0.09</v>
      </c>
      <c r="U3821" s="131">
        <v>2.4</v>
      </c>
      <c r="V3821" s="50">
        <v>1.67</v>
      </c>
      <c r="W3821" s="74">
        <v>0.155</v>
      </c>
      <c r="X3821" s="50">
        <v>1.77</v>
      </c>
      <c r="Y3821" s="74">
        <f>0.03/2</f>
        <v>1.4999999999999999E-2</v>
      </c>
      <c r="Z3821" s="165"/>
    </row>
    <row r="3822" spans="1:31" ht="15" customHeight="1">
      <c r="A3822" s="404" t="s">
        <v>4668</v>
      </c>
      <c r="B3822" s="402" t="s">
        <v>3707</v>
      </c>
      <c r="C3822" s="113" t="s">
        <v>3707</v>
      </c>
      <c r="D3822" s="393" t="s">
        <v>150</v>
      </c>
      <c r="E3822" s="394" t="s">
        <v>686</v>
      </c>
      <c r="G3822" s="405" t="s">
        <v>3709</v>
      </c>
      <c r="H3822" s="74">
        <v>3272</v>
      </c>
      <c r="I3822" s="50" t="s">
        <v>2</v>
      </c>
      <c r="J3822" s="48" t="s">
        <v>3144</v>
      </c>
      <c r="K3822" s="51">
        <v>41345</v>
      </c>
      <c r="L3822" s="173" t="s">
        <v>6284</v>
      </c>
      <c r="N3822" s="50" t="s">
        <v>1</v>
      </c>
      <c r="O3822" s="74">
        <f>2.5/2</f>
        <v>1.25</v>
      </c>
      <c r="P3822" s="50">
        <v>7.57</v>
      </c>
      <c r="Q3822" s="74">
        <v>7.6</v>
      </c>
      <c r="R3822" s="50">
        <f>2/2</f>
        <v>1</v>
      </c>
      <c r="S3822" s="74">
        <f>5/2</f>
        <v>2.5</v>
      </c>
      <c r="T3822" s="50">
        <f>0.05/2</f>
        <v>2.5000000000000001E-2</v>
      </c>
      <c r="U3822" s="131">
        <f>0.1/2</f>
        <v>0.05</v>
      </c>
      <c r="V3822" s="50">
        <f>0.25/2</f>
        <v>0.125</v>
      </c>
      <c r="W3822" s="74">
        <v>0.01</v>
      </c>
      <c r="X3822" s="50">
        <v>0.03</v>
      </c>
      <c r="Y3822" s="74">
        <f>0.004/2</f>
        <v>2E-3</v>
      </c>
      <c r="Z3822" s="165"/>
    </row>
    <row r="3823" spans="1:31" ht="15" customHeight="1">
      <c r="A3823" s="404" t="s">
        <v>4668</v>
      </c>
      <c r="B3823" s="402" t="s">
        <v>3707</v>
      </c>
      <c r="C3823" s="113" t="s">
        <v>3707</v>
      </c>
      <c r="D3823" s="393" t="s">
        <v>150</v>
      </c>
      <c r="E3823" s="394" t="s">
        <v>686</v>
      </c>
      <c r="G3823" s="405" t="s">
        <v>3709</v>
      </c>
      <c r="H3823" s="74">
        <v>3272</v>
      </c>
      <c r="I3823" s="50" t="s">
        <v>2</v>
      </c>
      <c r="J3823" s="48" t="s">
        <v>3144</v>
      </c>
      <c r="K3823" s="51">
        <v>41519</v>
      </c>
      <c r="L3823" s="173" t="s">
        <v>3434</v>
      </c>
      <c r="N3823" s="50" t="s">
        <v>2</v>
      </c>
      <c r="O3823" s="74">
        <f>2.5/2</f>
        <v>1.25</v>
      </c>
      <c r="P3823" s="50">
        <v>6.84</v>
      </c>
      <c r="Q3823" s="74">
        <v>7.02</v>
      </c>
      <c r="R3823" s="50">
        <v>13.8</v>
      </c>
      <c r="S3823" s="74">
        <f>5/2</f>
        <v>2.5</v>
      </c>
      <c r="T3823" s="50">
        <f>0.05/2</f>
        <v>2.5000000000000001E-2</v>
      </c>
      <c r="U3823" s="131">
        <v>0.88</v>
      </c>
      <c r="V3823" s="50">
        <v>0.38</v>
      </c>
      <c r="W3823" s="74">
        <v>0.04</v>
      </c>
      <c r="X3823" s="50">
        <v>0.11</v>
      </c>
      <c r="Y3823" s="74">
        <f>0.004/2</f>
        <v>2E-3</v>
      </c>
      <c r="Z3823" s="165">
        <v>1</v>
      </c>
      <c r="AA3823" s="271">
        <v>1</v>
      </c>
      <c r="AB3823" s="114">
        <v>24</v>
      </c>
      <c r="AC3823" s="50">
        <v>12.3</v>
      </c>
      <c r="AD3823" s="271">
        <v>1</v>
      </c>
    </row>
    <row r="3824" spans="1:31" ht="15" customHeight="1">
      <c r="A3824" s="404" t="s">
        <v>4668</v>
      </c>
      <c r="B3824" s="402" t="s">
        <v>5257</v>
      </c>
      <c r="C3824" s="113" t="s">
        <v>5258</v>
      </c>
      <c r="D3824" s="393" t="s">
        <v>89</v>
      </c>
      <c r="E3824" s="394" t="s">
        <v>5259</v>
      </c>
      <c r="G3824" s="405" t="s">
        <v>5260</v>
      </c>
      <c r="H3824" s="74">
        <v>4953</v>
      </c>
      <c r="J3824" s="339" t="s">
        <v>130</v>
      </c>
      <c r="K3824" s="51">
        <v>41324</v>
      </c>
      <c r="L3824" s="173">
        <v>41316</v>
      </c>
      <c r="M3824" s="50">
        <f t="shared" si="230"/>
        <v>8</v>
      </c>
      <c r="N3824" s="50" t="s">
        <v>2</v>
      </c>
      <c r="O3824" s="74">
        <f>1.4/2</f>
        <v>0.7</v>
      </c>
      <c r="P3824" s="50">
        <v>6.76</v>
      </c>
      <c r="Q3824" s="74">
        <v>7.16</v>
      </c>
      <c r="R3824" s="50">
        <v>210</v>
      </c>
      <c r="S3824" s="74">
        <v>120</v>
      </c>
      <c r="T3824" s="50">
        <v>0.1</v>
      </c>
      <c r="U3824" s="131">
        <v>2.04</v>
      </c>
      <c r="V3824" s="50">
        <v>0.69</v>
      </c>
      <c r="W3824" s="74">
        <v>3.1E-2</v>
      </c>
      <c r="X3824" s="50">
        <v>7.4999999999999997E-2</v>
      </c>
      <c r="Y3824" s="74">
        <v>3.0000000000000001E-3</v>
      </c>
      <c r="Z3824" s="165">
        <v>0.70699999999999996</v>
      </c>
      <c r="AA3824" s="271">
        <v>0.35399999999999998</v>
      </c>
      <c r="AB3824" s="114">
        <v>106</v>
      </c>
      <c r="AC3824" s="50">
        <v>13030</v>
      </c>
      <c r="AD3824" s="271">
        <v>0</v>
      </c>
    </row>
    <row r="3825" spans="1:31" ht="15" customHeight="1">
      <c r="A3825" s="404" t="s">
        <v>4668</v>
      </c>
      <c r="B3825" s="402" t="s">
        <v>5257</v>
      </c>
      <c r="C3825" s="113" t="s">
        <v>5258</v>
      </c>
      <c r="D3825" s="393" t="s">
        <v>89</v>
      </c>
      <c r="E3825" s="394" t="s">
        <v>5259</v>
      </c>
      <c r="G3825" s="405" t="s">
        <v>5260</v>
      </c>
      <c r="H3825" s="74">
        <v>4953</v>
      </c>
      <c r="J3825" s="339" t="s">
        <v>456</v>
      </c>
      <c r="K3825" s="51">
        <v>41324</v>
      </c>
      <c r="L3825" s="173">
        <v>41316</v>
      </c>
      <c r="M3825" s="50">
        <f t="shared" si="230"/>
        <v>8</v>
      </c>
      <c r="N3825" s="50" t="s">
        <v>2</v>
      </c>
      <c r="O3825" s="74">
        <v>8.6</v>
      </c>
      <c r="P3825" s="50">
        <v>6.76</v>
      </c>
      <c r="Q3825" s="74">
        <v>7.2</v>
      </c>
      <c r="R3825" s="50">
        <v>620</v>
      </c>
      <c r="S3825" s="74">
        <v>1100</v>
      </c>
      <c r="T3825" s="50">
        <v>2.08</v>
      </c>
      <c r="U3825" s="131">
        <v>5.83</v>
      </c>
      <c r="V3825" s="50">
        <v>0.28000000000000003</v>
      </c>
      <c r="W3825" s="74">
        <v>0.20499999999999999</v>
      </c>
      <c r="X3825" s="50">
        <v>0.52700000000000002</v>
      </c>
      <c r="Y3825" s="74">
        <v>0.109</v>
      </c>
      <c r="Z3825" s="165">
        <v>1</v>
      </c>
      <c r="AA3825" s="271">
        <v>1</v>
      </c>
      <c r="AB3825" s="114">
        <v>18</v>
      </c>
      <c r="AC3825" s="50">
        <v>213</v>
      </c>
      <c r="AD3825" s="271">
        <v>1</v>
      </c>
    </row>
    <row r="3826" spans="1:31" ht="15" customHeight="1">
      <c r="A3826" s="404" t="s">
        <v>4668</v>
      </c>
      <c r="B3826" s="402" t="s">
        <v>5257</v>
      </c>
      <c r="C3826" s="113" t="s">
        <v>5258</v>
      </c>
      <c r="D3826" s="393" t="s">
        <v>89</v>
      </c>
      <c r="E3826" s="394" t="s">
        <v>5259</v>
      </c>
      <c r="G3826" s="405" t="s">
        <v>5260</v>
      </c>
      <c r="H3826" s="74">
        <v>4953</v>
      </c>
      <c r="J3826" s="339" t="s">
        <v>5261</v>
      </c>
      <c r="K3826" s="51">
        <v>41324</v>
      </c>
      <c r="L3826" s="173">
        <v>41316</v>
      </c>
      <c r="M3826" s="50">
        <f t="shared" si="230"/>
        <v>8</v>
      </c>
      <c r="N3826" s="50" t="s">
        <v>2</v>
      </c>
      <c r="O3826" s="74">
        <f>1.4/2</f>
        <v>0.7</v>
      </c>
      <c r="P3826" s="50">
        <v>6.76</v>
      </c>
      <c r="Q3826" s="74">
        <v>8.15</v>
      </c>
      <c r="R3826" s="50">
        <v>23</v>
      </c>
      <c r="S3826" s="74">
        <v>65</v>
      </c>
      <c r="T3826" s="50">
        <v>0.14000000000000001</v>
      </c>
      <c r="U3826" s="131">
        <v>1.44</v>
      </c>
      <c r="V3826" s="50">
        <v>3.47</v>
      </c>
      <c r="W3826" s="74">
        <v>2.8000000000000001E-2</v>
      </c>
      <c r="X3826" s="50">
        <v>5.8000000000000003E-2</v>
      </c>
      <c r="Y3826" s="74">
        <v>8.0000000000000002E-3</v>
      </c>
      <c r="Z3826" s="165">
        <v>1</v>
      </c>
      <c r="AA3826" s="271">
        <v>1</v>
      </c>
      <c r="AB3826" s="114">
        <v>162</v>
      </c>
      <c r="AC3826" s="50">
        <v>940</v>
      </c>
      <c r="AD3826" s="271">
        <v>1</v>
      </c>
    </row>
    <row r="3827" spans="1:31" ht="15" customHeight="1">
      <c r="A3827" s="404" t="s">
        <v>4668</v>
      </c>
      <c r="B3827" s="402" t="s">
        <v>5257</v>
      </c>
      <c r="C3827" s="113" t="s">
        <v>5258</v>
      </c>
      <c r="D3827" s="393" t="s">
        <v>89</v>
      </c>
      <c r="E3827" s="394" t="s">
        <v>5259</v>
      </c>
      <c r="G3827" s="405" t="s">
        <v>5260</v>
      </c>
      <c r="H3827" s="74">
        <v>4953</v>
      </c>
      <c r="J3827" s="339" t="s">
        <v>1277</v>
      </c>
      <c r="K3827" s="51">
        <v>41324</v>
      </c>
      <c r="L3827" s="173">
        <v>41316</v>
      </c>
      <c r="M3827" s="50">
        <f t="shared" si="230"/>
        <v>8</v>
      </c>
      <c r="N3827" s="50" t="s">
        <v>2</v>
      </c>
      <c r="O3827" s="74">
        <v>2.2000000000000002</v>
      </c>
      <c r="P3827" s="50">
        <v>6.76</v>
      </c>
      <c r="Q3827" s="74">
        <v>7.48</v>
      </c>
      <c r="R3827" s="50">
        <v>75</v>
      </c>
      <c r="S3827" s="74">
        <v>130</v>
      </c>
      <c r="T3827" s="50">
        <v>0.33</v>
      </c>
      <c r="U3827" s="131">
        <v>2.1800000000000002</v>
      </c>
      <c r="V3827" s="50">
        <v>0.38</v>
      </c>
      <c r="W3827" s="74">
        <v>5.8000000000000003E-2</v>
      </c>
      <c r="X3827" s="50">
        <v>0.157</v>
      </c>
      <c r="Y3827" s="74">
        <v>1.0999999999999999E-2</v>
      </c>
      <c r="Z3827" s="165">
        <v>1</v>
      </c>
      <c r="AA3827" s="271">
        <v>1</v>
      </c>
      <c r="AB3827" s="114">
        <v>50</v>
      </c>
      <c r="AC3827" s="50">
        <v>1146</v>
      </c>
      <c r="AD3827" s="271">
        <v>1</v>
      </c>
    </row>
    <row r="3828" spans="1:31" ht="15" customHeight="1">
      <c r="A3828" s="404" t="s">
        <v>4668</v>
      </c>
      <c r="B3828" s="402" t="s">
        <v>6285</v>
      </c>
      <c r="C3828" s="113" t="s">
        <v>6286</v>
      </c>
      <c r="D3828" s="393" t="s">
        <v>56</v>
      </c>
      <c r="E3828" s="394" t="s">
        <v>95</v>
      </c>
      <c r="F3828" s="402">
        <v>5000</v>
      </c>
      <c r="G3828" s="405" t="s">
        <v>6287</v>
      </c>
      <c r="H3828" s="74">
        <v>4953</v>
      </c>
      <c r="I3828" s="50" t="s">
        <v>2</v>
      </c>
      <c r="J3828" s="48" t="s">
        <v>6288</v>
      </c>
      <c r="K3828" s="51">
        <v>41579</v>
      </c>
      <c r="L3828" s="173">
        <v>41543</v>
      </c>
      <c r="M3828" s="50">
        <f t="shared" si="230"/>
        <v>36</v>
      </c>
      <c r="N3828" s="50" t="s">
        <v>2</v>
      </c>
      <c r="O3828" s="74">
        <v>32</v>
      </c>
      <c r="P3828" s="50">
        <v>7.53</v>
      </c>
      <c r="Q3828" s="74">
        <v>7.52</v>
      </c>
      <c r="R3828" s="50">
        <v>250</v>
      </c>
      <c r="S3828" s="74">
        <v>22</v>
      </c>
      <c r="T3828" s="50">
        <v>0.17</v>
      </c>
      <c r="U3828" s="131">
        <v>1.2</v>
      </c>
      <c r="V3828" s="50">
        <v>0.13</v>
      </c>
      <c r="W3828" s="74">
        <v>4.3999999999999997E-2</v>
      </c>
      <c r="X3828" s="50">
        <v>0.43</v>
      </c>
      <c r="Y3828" s="74">
        <f>0.013/2</f>
        <v>6.4999999999999997E-3</v>
      </c>
      <c r="Z3828" s="165">
        <v>1</v>
      </c>
      <c r="AA3828" s="271">
        <v>1</v>
      </c>
      <c r="AB3828" s="114">
        <v>35</v>
      </c>
      <c r="AC3828" s="50">
        <v>244</v>
      </c>
      <c r="AD3828" s="271">
        <v>0.5</v>
      </c>
    </row>
    <row r="3829" spans="1:31" ht="15" customHeight="1">
      <c r="A3829" s="404" t="s">
        <v>4668</v>
      </c>
      <c r="B3829" s="402" t="s">
        <v>4931</v>
      </c>
      <c r="C3829" s="113" t="s">
        <v>6289</v>
      </c>
      <c r="D3829" s="393" t="s">
        <v>4549</v>
      </c>
      <c r="G3829" s="405" t="s">
        <v>6290</v>
      </c>
      <c r="H3829" s="74">
        <v>4151</v>
      </c>
      <c r="I3829" s="50" t="s">
        <v>2</v>
      </c>
      <c r="J3829" s="339" t="s">
        <v>249</v>
      </c>
      <c r="K3829" s="51">
        <v>41694</v>
      </c>
      <c r="L3829" s="173">
        <v>41691</v>
      </c>
      <c r="M3829" s="50">
        <f t="shared" si="230"/>
        <v>3</v>
      </c>
      <c r="N3829" s="50" t="s">
        <v>1</v>
      </c>
      <c r="O3829" s="74">
        <f t="shared" ref="O3829:O3851" si="234">5/2</f>
        <v>2.5</v>
      </c>
      <c r="P3829" s="50">
        <v>4.13</v>
      </c>
      <c r="Q3829" s="74">
        <v>4.12</v>
      </c>
      <c r="R3829" s="50">
        <v>210</v>
      </c>
      <c r="S3829" s="74">
        <v>370</v>
      </c>
      <c r="T3829" s="50">
        <v>0.64</v>
      </c>
      <c r="U3829" s="131">
        <v>2.5</v>
      </c>
      <c r="V3829" s="50">
        <v>0.46</v>
      </c>
      <c r="W3829" s="74">
        <v>4.1000000000000002E-2</v>
      </c>
      <c r="X3829" s="50">
        <v>0.15</v>
      </c>
      <c r="Y3829" s="74">
        <f>0.013/2</f>
        <v>6.4999999999999997E-3</v>
      </c>
      <c r="Z3829" s="165">
        <v>1</v>
      </c>
      <c r="AA3829" s="271">
        <v>0.70699999999999996</v>
      </c>
      <c r="AB3829" s="114">
        <v>46</v>
      </c>
      <c r="AC3829" s="50">
        <v>6010</v>
      </c>
      <c r="AD3829" s="271">
        <v>0</v>
      </c>
    </row>
    <row r="3830" spans="1:31" ht="15" customHeight="1">
      <c r="A3830" s="404" t="s">
        <v>4668</v>
      </c>
      <c r="B3830" s="402" t="s">
        <v>4931</v>
      </c>
      <c r="C3830" s="113" t="s">
        <v>6289</v>
      </c>
      <c r="D3830" s="393" t="s">
        <v>4549</v>
      </c>
      <c r="G3830" s="405" t="s">
        <v>6290</v>
      </c>
      <c r="H3830" s="74">
        <v>4151</v>
      </c>
      <c r="I3830" s="50" t="s">
        <v>2</v>
      </c>
      <c r="J3830" s="339" t="s">
        <v>249</v>
      </c>
      <c r="K3830" s="51">
        <v>41345</v>
      </c>
      <c r="L3830" s="173">
        <v>41341</v>
      </c>
      <c r="M3830" s="50">
        <f t="shared" si="230"/>
        <v>4</v>
      </c>
      <c r="N3830" s="50" t="s">
        <v>1</v>
      </c>
      <c r="O3830" s="74">
        <f t="shared" si="234"/>
        <v>2.5</v>
      </c>
      <c r="P3830" s="50">
        <v>6.2</v>
      </c>
      <c r="Q3830" s="74">
        <v>6.57</v>
      </c>
      <c r="R3830" s="50">
        <v>80</v>
      </c>
      <c r="S3830" s="74">
        <v>470</v>
      </c>
      <c r="T3830" s="50">
        <v>6.4</v>
      </c>
      <c r="U3830" s="131">
        <f>1/2</f>
        <v>0.5</v>
      </c>
      <c r="V3830" s="50">
        <v>0.18</v>
      </c>
      <c r="W3830" s="74">
        <v>0.11</v>
      </c>
      <c r="X3830" s="50">
        <v>0.3</v>
      </c>
      <c r="Y3830" s="74">
        <v>5.2999999999999999E-2</v>
      </c>
      <c r="Z3830" s="165">
        <v>1</v>
      </c>
      <c r="AA3830" s="271">
        <v>1</v>
      </c>
      <c r="AB3830" s="114">
        <v>33</v>
      </c>
      <c r="AC3830" s="50">
        <v>396</v>
      </c>
      <c r="AD3830" s="271">
        <v>0.85</v>
      </c>
    </row>
    <row r="3831" spans="1:31" ht="15" customHeight="1">
      <c r="A3831" s="404" t="s">
        <v>4668</v>
      </c>
      <c r="B3831" s="402" t="s">
        <v>4931</v>
      </c>
      <c r="C3831" s="113" t="s">
        <v>6289</v>
      </c>
      <c r="D3831" s="393" t="s">
        <v>4549</v>
      </c>
      <c r="G3831" s="405" t="s">
        <v>6290</v>
      </c>
      <c r="H3831" s="74">
        <v>4151</v>
      </c>
      <c r="I3831" s="50" t="s">
        <v>2</v>
      </c>
      <c r="J3831" s="339" t="s">
        <v>249</v>
      </c>
      <c r="K3831" s="51">
        <v>41585</v>
      </c>
      <c r="L3831" s="173">
        <v>41579</v>
      </c>
      <c r="M3831" s="50">
        <f t="shared" si="230"/>
        <v>6</v>
      </c>
      <c r="N3831" s="50" t="s">
        <v>2</v>
      </c>
      <c r="O3831" s="74">
        <f t="shared" si="234"/>
        <v>2.5</v>
      </c>
      <c r="P3831" s="50">
        <v>6.2</v>
      </c>
      <c r="Q3831" s="74">
        <v>6.29</v>
      </c>
      <c r="R3831" s="50">
        <v>490</v>
      </c>
      <c r="S3831" s="74">
        <v>120</v>
      </c>
      <c r="T3831" s="50">
        <v>1.2</v>
      </c>
      <c r="U3831" s="131">
        <v>2</v>
      </c>
      <c r="V3831" s="50">
        <v>0.36</v>
      </c>
      <c r="W3831" s="74">
        <f>0.04/2</f>
        <v>0.02</v>
      </c>
      <c r="X3831" s="50">
        <v>7.8E-2</v>
      </c>
      <c r="Y3831" s="74">
        <v>1.2999999999999999E-2</v>
      </c>
      <c r="Z3831" s="165">
        <v>1</v>
      </c>
      <c r="AA3831" s="271">
        <v>1</v>
      </c>
      <c r="AB3831" s="114">
        <v>17</v>
      </c>
      <c r="AC3831" s="50">
        <v>115</v>
      </c>
      <c r="AD3831" s="271">
        <v>1</v>
      </c>
    </row>
    <row r="3832" spans="1:31" ht="15" customHeight="1">
      <c r="A3832" s="404" t="s">
        <v>4668</v>
      </c>
      <c r="B3832" s="402" t="s">
        <v>4931</v>
      </c>
      <c r="C3832" s="113" t="s">
        <v>6291</v>
      </c>
      <c r="D3832" s="393" t="s">
        <v>1484</v>
      </c>
      <c r="E3832" s="394" t="s">
        <v>235</v>
      </c>
      <c r="G3832" s="405" t="s">
        <v>6292</v>
      </c>
      <c r="H3832" s="74">
        <v>4151</v>
      </c>
      <c r="I3832" s="50" t="s">
        <v>2</v>
      </c>
      <c r="J3832" s="339" t="s">
        <v>249</v>
      </c>
      <c r="K3832" s="51">
        <v>41352</v>
      </c>
      <c r="L3832" s="173">
        <v>41345</v>
      </c>
      <c r="M3832" s="50">
        <f t="shared" si="230"/>
        <v>7</v>
      </c>
      <c r="N3832" s="50" t="s">
        <v>1</v>
      </c>
      <c r="O3832" s="74">
        <f t="shared" si="234"/>
        <v>2.5</v>
      </c>
      <c r="P3832" s="50">
        <v>7.36</v>
      </c>
      <c r="Q3832" s="74">
        <v>7.5</v>
      </c>
      <c r="R3832" s="50">
        <v>210</v>
      </c>
      <c r="S3832" s="74">
        <v>2100</v>
      </c>
      <c r="T3832" s="50">
        <v>2.5</v>
      </c>
      <c r="U3832" s="131">
        <v>2</v>
      </c>
      <c r="V3832" s="50">
        <v>0.38</v>
      </c>
      <c r="W3832" s="74">
        <v>8.1000000000000003E-2</v>
      </c>
      <c r="X3832" s="50">
        <v>0.38</v>
      </c>
      <c r="Y3832" s="74">
        <v>0.16</v>
      </c>
      <c r="Z3832" s="165">
        <v>1</v>
      </c>
      <c r="AA3832" s="271">
        <v>1</v>
      </c>
      <c r="AB3832" s="114">
        <v>51</v>
      </c>
      <c r="AC3832" s="50">
        <v>163</v>
      </c>
      <c r="AD3832" s="271">
        <v>1</v>
      </c>
      <c r="AE3832" s="50">
        <v>200</v>
      </c>
    </row>
    <row r="3833" spans="1:31" ht="15" customHeight="1">
      <c r="A3833" s="404" t="s">
        <v>4668</v>
      </c>
      <c r="B3833" s="402" t="s">
        <v>4931</v>
      </c>
      <c r="C3833" s="113" t="s">
        <v>6291</v>
      </c>
      <c r="D3833" s="393" t="s">
        <v>1484</v>
      </c>
      <c r="E3833" s="394" t="s">
        <v>235</v>
      </c>
      <c r="G3833" s="405" t="s">
        <v>6292</v>
      </c>
      <c r="H3833" s="74">
        <v>4151</v>
      </c>
      <c r="I3833" s="50" t="s">
        <v>2</v>
      </c>
      <c r="J3833" s="339" t="s">
        <v>249</v>
      </c>
      <c r="K3833" s="51">
        <v>41585</v>
      </c>
      <c r="L3833" s="173">
        <v>41579</v>
      </c>
      <c r="M3833" s="50">
        <f t="shared" si="230"/>
        <v>6</v>
      </c>
      <c r="N3833" s="50" t="s">
        <v>1</v>
      </c>
      <c r="O3833" s="74">
        <f t="shared" si="234"/>
        <v>2.5</v>
      </c>
      <c r="P3833" s="50">
        <v>6.12</v>
      </c>
      <c r="Q3833" s="74">
        <v>6.19</v>
      </c>
      <c r="R3833" s="50">
        <v>40</v>
      </c>
      <c r="S3833" s="74">
        <v>37</v>
      </c>
      <c r="T3833" s="50">
        <v>0.13</v>
      </c>
      <c r="U3833" s="131">
        <f>1/2</f>
        <v>0.5</v>
      </c>
      <c r="V3833" s="50">
        <v>0.31</v>
      </c>
      <c r="W3833" s="74">
        <f t="shared" ref="W3833:W3839" si="235">0.04/2</f>
        <v>0.02</v>
      </c>
      <c r="X3833" s="50">
        <v>0.28999999999999998</v>
      </c>
      <c r="Y3833" s="74">
        <f>0.013/2</f>
        <v>6.4999999999999997E-3</v>
      </c>
      <c r="Z3833" s="165">
        <v>1</v>
      </c>
      <c r="AA3833" s="271">
        <v>1</v>
      </c>
      <c r="AB3833" s="114">
        <v>5.7</v>
      </c>
      <c r="AC3833" s="50">
        <v>24</v>
      </c>
      <c r="AD3833" s="271">
        <v>0.5</v>
      </c>
      <c r="AE3833" s="50">
        <v>111.2</v>
      </c>
    </row>
    <row r="3834" spans="1:31" ht="15" customHeight="1">
      <c r="A3834" s="404" t="s">
        <v>4668</v>
      </c>
      <c r="B3834" s="402" t="s">
        <v>4931</v>
      </c>
      <c r="C3834" s="113" t="s">
        <v>6293</v>
      </c>
      <c r="D3834" s="393" t="s">
        <v>818</v>
      </c>
      <c r="E3834" s="394" t="s">
        <v>815</v>
      </c>
      <c r="F3834" s="402">
        <v>5110</v>
      </c>
      <c r="G3834" s="405" t="s">
        <v>6294</v>
      </c>
      <c r="H3834" s="74">
        <v>4151</v>
      </c>
      <c r="I3834" s="50" t="s">
        <v>2</v>
      </c>
      <c r="J3834" s="339" t="s">
        <v>249</v>
      </c>
      <c r="K3834" s="51">
        <v>41527</v>
      </c>
      <c r="L3834" s="173">
        <v>41520</v>
      </c>
      <c r="M3834" s="50">
        <f t="shared" si="230"/>
        <v>7</v>
      </c>
      <c r="N3834" s="50" t="s">
        <v>2</v>
      </c>
      <c r="O3834" s="74">
        <f t="shared" si="234"/>
        <v>2.5</v>
      </c>
      <c r="P3834" s="50">
        <v>6</v>
      </c>
      <c r="Q3834" s="74">
        <v>5.18</v>
      </c>
      <c r="R3834" s="50">
        <v>53</v>
      </c>
      <c r="S3834" s="74">
        <v>18</v>
      </c>
      <c r="T3834" s="50">
        <f>0.1/2</f>
        <v>0.05</v>
      </c>
      <c r="U3834" s="131">
        <v>1.1000000000000001</v>
      </c>
      <c r="V3834" s="50">
        <v>0.32</v>
      </c>
      <c r="W3834" s="74">
        <f t="shared" si="235"/>
        <v>0.02</v>
      </c>
      <c r="X3834" s="50">
        <v>0.14000000000000001</v>
      </c>
      <c r="Y3834" s="74">
        <f>0.013/2</f>
        <v>6.4999999999999997E-3</v>
      </c>
      <c r="Z3834" s="165"/>
    </row>
    <row r="3835" spans="1:31" ht="15" customHeight="1">
      <c r="A3835" s="404" t="s">
        <v>4668</v>
      </c>
      <c r="B3835" s="402" t="s">
        <v>4931</v>
      </c>
      <c r="C3835" s="113" t="s">
        <v>6293</v>
      </c>
      <c r="D3835" s="393" t="s">
        <v>818</v>
      </c>
      <c r="E3835" s="394" t="s">
        <v>815</v>
      </c>
      <c r="F3835" s="402">
        <v>5110</v>
      </c>
      <c r="G3835" s="405" t="s">
        <v>6294</v>
      </c>
      <c r="H3835" s="74">
        <v>4151</v>
      </c>
      <c r="I3835" s="50" t="s">
        <v>2</v>
      </c>
      <c r="J3835" s="339" t="s">
        <v>249</v>
      </c>
      <c r="K3835" s="51">
        <v>41345</v>
      </c>
      <c r="L3835" s="173">
        <v>41341</v>
      </c>
      <c r="M3835" s="50">
        <f t="shared" si="230"/>
        <v>4</v>
      </c>
      <c r="N3835" s="50" t="s">
        <v>1</v>
      </c>
      <c r="O3835" s="74">
        <f t="shared" si="234"/>
        <v>2.5</v>
      </c>
      <c r="P3835" s="50">
        <v>6.11</v>
      </c>
      <c r="Q3835" s="74">
        <v>6.05</v>
      </c>
      <c r="R3835" s="50">
        <v>110</v>
      </c>
      <c r="S3835" s="74">
        <v>130</v>
      </c>
      <c r="T3835" s="50">
        <f>0.1/2</f>
        <v>0.05</v>
      </c>
      <c r="U3835" s="131">
        <f>1/2</f>
        <v>0.5</v>
      </c>
      <c r="V3835" s="50">
        <v>0.28999999999999998</v>
      </c>
      <c r="W3835" s="74">
        <f t="shared" si="235"/>
        <v>0.02</v>
      </c>
      <c r="X3835" s="50">
        <v>0.19</v>
      </c>
      <c r="Y3835" s="74">
        <v>1.4E-2</v>
      </c>
      <c r="Z3835" s="165">
        <v>1</v>
      </c>
      <c r="AA3835" s="271">
        <v>1</v>
      </c>
      <c r="AB3835" s="114">
        <v>13</v>
      </c>
      <c r="AC3835" s="50">
        <v>191</v>
      </c>
      <c r="AD3835" s="271">
        <v>1</v>
      </c>
    </row>
    <row r="3836" spans="1:31" ht="15" customHeight="1">
      <c r="A3836" s="404" t="s">
        <v>4668</v>
      </c>
      <c r="B3836" s="402" t="s">
        <v>4931</v>
      </c>
      <c r="C3836" s="113" t="s">
        <v>6295</v>
      </c>
      <c r="D3836" s="393" t="s">
        <v>2378</v>
      </c>
      <c r="E3836" s="394" t="s">
        <v>6296</v>
      </c>
      <c r="G3836" s="405" t="s">
        <v>6297</v>
      </c>
      <c r="H3836" s="74">
        <v>4151</v>
      </c>
      <c r="I3836" s="50" t="s">
        <v>2</v>
      </c>
      <c r="J3836" s="339" t="s">
        <v>249</v>
      </c>
      <c r="K3836" s="51">
        <v>41345</v>
      </c>
      <c r="L3836" s="173">
        <v>41341</v>
      </c>
      <c r="M3836" s="50">
        <f t="shared" ref="M3836:M3894" si="236">K3836-L3836</f>
        <v>4</v>
      </c>
      <c r="N3836" s="50" t="s">
        <v>1</v>
      </c>
      <c r="O3836" s="74">
        <f t="shared" si="234"/>
        <v>2.5</v>
      </c>
      <c r="P3836" s="50">
        <v>6.55</v>
      </c>
      <c r="Q3836" s="74">
        <v>6.24</v>
      </c>
      <c r="R3836" s="50">
        <v>78</v>
      </c>
      <c r="S3836" s="74">
        <v>130</v>
      </c>
      <c r="T3836" s="50">
        <v>0.11</v>
      </c>
      <c r="U3836" s="131">
        <f>1/2</f>
        <v>0.5</v>
      </c>
      <c r="V3836" s="50">
        <v>0.26</v>
      </c>
      <c r="W3836" s="74">
        <f t="shared" si="235"/>
        <v>0.02</v>
      </c>
      <c r="X3836" s="50">
        <v>3.9E-2</v>
      </c>
      <c r="Y3836" s="74">
        <f>0.013/2</f>
        <v>6.4999999999999997E-3</v>
      </c>
      <c r="Z3836" s="165">
        <v>1</v>
      </c>
      <c r="AA3836" s="271">
        <v>1</v>
      </c>
      <c r="AB3836" s="114">
        <v>12</v>
      </c>
      <c r="AC3836" s="50">
        <v>122</v>
      </c>
      <c r="AD3836" s="271">
        <v>0.8</v>
      </c>
    </row>
    <row r="3837" spans="1:31" ht="15" customHeight="1">
      <c r="A3837" s="404" t="s">
        <v>4668</v>
      </c>
      <c r="B3837" s="402" t="s">
        <v>4931</v>
      </c>
      <c r="C3837" s="113" t="s">
        <v>6295</v>
      </c>
      <c r="D3837" s="393" t="s">
        <v>2378</v>
      </c>
      <c r="E3837" s="394" t="s">
        <v>6296</v>
      </c>
      <c r="G3837" s="405" t="s">
        <v>6297</v>
      </c>
      <c r="H3837" s="74">
        <v>4151</v>
      </c>
      <c r="I3837" s="50" t="s">
        <v>2</v>
      </c>
      <c r="J3837" s="339" t="s">
        <v>1999</v>
      </c>
      <c r="K3837" s="51">
        <v>41345</v>
      </c>
      <c r="L3837" s="173">
        <v>41341</v>
      </c>
      <c r="M3837" s="50">
        <f t="shared" si="236"/>
        <v>4</v>
      </c>
      <c r="N3837" s="50" t="s">
        <v>1</v>
      </c>
      <c r="O3837" s="74">
        <f t="shared" si="234"/>
        <v>2.5</v>
      </c>
      <c r="P3837" s="50">
        <v>6.55</v>
      </c>
      <c r="Q3837" s="74">
        <v>6.2</v>
      </c>
      <c r="R3837" s="50">
        <v>12</v>
      </c>
      <c r="S3837" s="74">
        <v>12</v>
      </c>
      <c r="T3837" s="50">
        <f>0.1/2</f>
        <v>0.05</v>
      </c>
      <c r="U3837" s="131">
        <f>1/2</f>
        <v>0.5</v>
      </c>
      <c r="V3837" s="50">
        <v>0.21</v>
      </c>
      <c r="W3837" s="74">
        <f t="shared" si="235"/>
        <v>0.02</v>
      </c>
      <c r="X3837" s="50">
        <f>0.02/2</f>
        <v>0.01</v>
      </c>
      <c r="Y3837" s="74">
        <f>0.013/2</f>
        <v>6.4999999999999997E-3</v>
      </c>
      <c r="Z3837" s="165">
        <v>1</v>
      </c>
      <c r="AA3837" s="271">
        <v>1</v>
      </c>
      <c r="AB3837" s="114">
        <v>12</v>
      </c>
      <c r="AC3837" s="50">
        <v>49</v>
      </c>
      <c r="AD3837" s="271">
        <v>1</v>
      </c>
    </row>
    <row r="3838" spans="1:31" ht="15" customHeight="1">
      <c r="A3838" s="404" t="s">
        <v>4668</v>
      </c>
      <c r="B3838" s="402" t="s">
        <v>4931</v>
      </c>
      <c r="C3838" s="113" t="s">
        <v>6295</v>
      </c>
      <c r="D3838" s="393" t="s">
        <v>2378</v>
      </c>
      <c r="E3838" s="394" t="s">
        <v>6296</v>
      </c>
      <c r="G3838" s="405" t="s">
        <v>6297</v>
      </c>
      <c r="H3838" s="74">
        <v>4151</v>
      </c>
      <c r="I3838" s="50" t="s">
        <v>2</v>
      </c>
      <c r="J3838" s="339" t="s">
        <v>1999</v>
      </c>
      <c r="K3838" s="51">
        <v>41579</v>
      </c>
      <c r="L3838" s="173">
        <v>41565</v>
      </c>
      <c r="M3838" s="50">
        <f t="shared" si="236"/>
        <v>14</v>
      </c>
      <c r="N3838" s="50" t="s">
        <v>2</v>
      </c>
      <c r="O3838" s="74">
        <f t="shared" si="234"/>
        <v>2.5</v>
      </c>
      <c r="P3838" s="50">
        <v>6.8</v>
      </c>
      <c r="Q3838" s="74">
        <v>6.29</v>
      </c>
      <c r="R3838" s="50">
        <v>150</v>
      </c>
      <c r="S3838" s="74">
        <v>50</v>
      </c>
      <c r="T3838" s="50">
        <f>0.1/2</f>
        <v>0.05</v>
      </c>
      <c r="U3838" s="131">
        <v>1.3</v>
      </c>
      <c r="V3838" s="50">
        <v>0.47</v>
      </c>
      <c r="W3838" s="74">
        <f t="shared" si="235"/>
        <v>0.02</v>
      </c>
      <c r="X3838" s="50">
        <v>0.16</v>
      </c>
      <c r="Y3838" s="74">
        <f>0.013/2</f>
        <v>6.4999999999999997E-3</v>
      </c>
      <c r="Z3838" s="165"/>
    </row>
    <row r="3839" spans="1:31" ht="15" customHeight="1">
      <c r="A3839" s="404" t="s">
        <v>4668</v>
      </c>
      <c r="B3839" s="402" t="s">
        <v>4931</v>
      </c>
      <c r="C3839" s="113" t="s">
        <v>6295</v>
      </c>
      <c r="D3839" s="393" t="s">
        <v>2378</v>
      </c>
      <c r="E3839" s="394" t="s">
        <v>6296</v>
      </c>
      <c r="G3839" s="405" t="s">
        <v>6297</v>
      </c>
      <c r="H3839" s="74">
        <v>4151</v>
      </c>
      <c r="I3839" s="50" t="s">
        <v>2</v>
      </c>
      <c r="J3839" s="339" t="s">
        <v>249</v>
      </c>
      <c r="K3839" s="51">
        <v>41579</v>
      </c>
      <c r="L3839" s="173">
        <v>41565</v>
      </c>
      <c r="M3839" s="50">
        <f t="shared" si="236"/>
        <v>14</v>
      </c>
      <c r="N3839" s="50" t="s">
        <v>2</v>
      </c>
      <c r="O3839" s="74">
        <f t="shared" si="234"/>
        <v>2.5</v>
      </c>
      <c r="P3839" s="50">
        <v>6.8</v>
      </c>
      <c r="Q3839" s="74">
        <v>6.26</v>
      </c>
      <c r="R3839" s="50">
        <v>36</v>
      </c>
      <c r="S3839" s="74">
        <v>8</v>
      </c>
      <c r="T3839" s="50">
        <f>0.1</f>
        <v>0.1</v>
      </c>
      <c r="U3839" s="131">
        <f>1/2</f>
        <v>0.5</v>
      </c>
      <c r="V3839" s="50">
        <v>0.36</v>
      </c>
      <c r="W3839" s="74">
        <f t="shared" si="235"/>
        <v>0.02</v>
      </c>
      <c r="X3839" s="50">
        <v>3.4000000000000002E-2</v>
      </c>
      <c r="Y3839" s="74">
        <f>0.013/2</f>
        <v>6.4999999999999997E-3</v>
      </c>
      <c r="Z3839" s="165"/>
    </row>
    <row r="3840" spans="1:31" ht="15" customHeight="1">
      <c r="A3840" s="404" t="s">
        <v>4668</v>
      </c>
      <c r="B3840" s="402" t="s">
        <v>4931</v>
      </c>
      <c r="C3840" s="113" t="s">
        <v>6298</v>
      </c>
      <c r="D3840" s="393" t="s">
        <v>89</v>
      </c>
      <c r="E3840" s="394" t="s">
        <v>535</v>
      </c>
      <c r="F3840" s="402">
        <v>6600</v>
      </c>
      <c r="G3840" s="405" t="s">
        <v>6299</v>
      </c>
      <c r="H3840" s="74">
        <v>4151</v>
      </c>
      <c r="I3840" s="50" t="s">
        <v>1</v>
      </c>
      <c r="J3840" s="339" t="s">
        <v>249</v>
      </c>
      <c r="K3840" s="51">
        <v>41345</v>
      </c>
      <c r="L3840" s="173">
        <v>41341</v>
      </c>
      <c r="M3840" s="50">
        <f t="shared" si="236"/>
        <v>4</v>
      </c>
      <c r="N3840" s="50" t="s">
        <v>1</v>
      </c>
      <c r="O3840" s="74">
        <f t="shared" si="234"/>
        <v>2.5</v>
      </c>
      <c r="P3840" s="50">
        <v>6.94</v>
      </c>
      <c r="Q3840" s="74">
        <v>7.37</v>
      </c>
      <c r="R3840" s="50">
        <v>190</v>
      </c>
      <c r="S3840" s="74">
        <v>300</v>
      </c>
      <c r="T3840" s="50">
        <v>0.35</v>
      </c>
      <c r="U3840" s="131">
        <f>1/2</f>
        <v>0.5</v>
      </c>
      <c r="V3840" s="50">
        <v>0.31</v>
      </c>
      <c r="W3840" s="74">
        <v>0.11</v>
      </c>
      <c r="X3840" s="50">
        <v>0.61</v>
      </c>
      <c r="Y3840" s="74">
        <v>7.6999999999999999E-2</v>
      </c>
      <c r="Z3840" s="165">
        <v>1</v>
      </c>
      <c r="AA3840" s="271">
        <v>1</v>
      </c>
      <c r="AB3840" s="114">
        <v>88</v>
      </c>
      <c r="AC3840" s="50">
        <v>80</v>
      </c>
      <c r="AD3840" s="271">
        <v>0.85</v>
      </c>
    </row>
    <row r="3841" spans="1:31" ht="15" customHeight="1">
      <c r="A3841" s="404" t="s">
        <v>4668</v>
      </c>
      <c r="B3841" s="402" t="s">
        <v>4931</v>
      </c>
      <c r="C3841" s="113" t="s">
        <v>6298</v>
      </c>
      <c r="D3841" s="393" t="s">
        <v>89</v>
      </c>
      <c r="E3841" s="394" t="s">
        <v>535</v>
      </c>
      <c r="F3841" s="402">
        <v>6600</v>
      </c>
      <c r="G3841" s="405" t="s">
        <v>6299</v>
      </c>
      <c r="H3841" s="74">
        <v>4151</v>
      </c>
      <c r="I3841" s="50" t="s">
        <v>1</v>
      </c>
      <c r="J3841" s="339" t="s">
        <v>1999</v>
      </c>
      <c r="K3841" s="51">
        <v>41345</v>
      </c>
      <c r="L3841" s="173">
        <v>41341</v>
      </c>
      <c r="M3841" s="50">
        <f t="shared" si="236"/>
        <v>4</v>
      </c>
      <c r="N3841" s="50" t="s">
        <v>1</v>
      </c>
      <c r="O3841" s="74">
        <f t="shared" si="234"/>
        <v>2.5</v>
      </c>
      <c r="P3841" s="50">
        <v>6.94</v>
      </c>
      <c r="Q3841" s="74">
        <v>7.33</v>
      </c>
      <c r="R3841" s="50">
        <v>160</v>
      </c>
      <c r="S3841" s="74">
        <v>200</v>
      </c>
      <c r="T3841" s="50">
        <v>0.22</v>
      </c>
      <c r="U3841" s="131">
        <f>1/2</f>
        <v>0.5</v>
      </c>
      <c r="V3841" s="50">
        <v>0.28000000000000003</v>
      </c>
      <c r="W3841" s="74">
        <v>0.05</v>
      </c>
      <c r="X3841" s="50">
        <v>0.28999999999999998</v>
      </c>
      <c r="Y3841" s="74">
        <v>3.1E-2</v>
      </c>
      <c r="Z3841" s="165">
        <v>1</v>
      </c>
      <c r="AA3841" s="271">
        <v>1</v>
      </c>
      <c r="AB3841" s="114">
        <v>44</v>
      </c>
      <c r="AC3841" s="50">
        <v>1004</v>
      </c>
      <c r="AD3841" s="271">
        <v>1</v>
      </c>
    </row>
    <row r="3842" spans="1:31" ht="15" customHeight="1">
      <c r="A3842" s="404" t="s">
        <v>4668</v>
      </c>
      <c r="B3842" s="402" t="s">
        <v>4931</v>
      </c>
      <c r="C3842" s="113" t="s">
        <v>6298</v>
      </c>
      <c r="D3842" s="393" t="s">
        <v>89</v>
      </c>
      <c r="E3842" s="394" t="s">
        <v>535</v>
      </c>
      <c r="F3842" s="402">
        <v>6600</v>
      </c>
      <c r="G3842" s="405" t="s">
        <v>6299</v>
      </c>
      <c r="H3842" s="74">
        <v>4151</v>
      </c>
      <c r="I3842" s="50" t="s">
        <v>1</v>
      </c>
      <c r="J3842" s="339" t="s">
        <v>445</v>
      </c>
      <c r="K3842" s="51">
        <v>41345</v>
      </c>
      <c r="L3842" s="173">
        <v>41341</v>
      </c>
      <c r="M3842" s="50">
        <f t="shared" si="236"/>
        <v>4</v>
      </c>
      <c r="N3842" s="50" t="s">
        <v>1</v>
      </c>
      <c r="O3842" s="74">
        <f t="shared" si="234"/>
        <v>2.5</v>
      </c>
      <c r="P3842" s="50">
        <v>6.94</v>
      </c>
      <c r="Q3842" s="74">
        <v>7.32</v>
      </c>
      <c r="R3842" s="50">
        <v>95</v>
      </c>
      <c r="S3842" s="74">
        <v>290</v>
      </c>
      <c r="T3842" s="50">
        <v>0.14000000000000001</v>
      </c>
      <c r="U3842" s="131">
        <f>1/2</f>
        <v>0.5</v>
      </c>
      <c r="V3842" s="50">
        <v>0.33</v>
      </c>
      <c r="W3842" s="74">
        <v>6.7000000000000004E-2</v>
      </c>
      <c r="X3842" s="50">
        <v>0.39</v>
      </c>
      <c r="Y3842" s="74">
        <v>0.04</v>
      </c>
      <c r="Z3842" s="165">
        <v>1</v>
      </c>
      <c r="AA3842" s="271">
        <v>1</v>
      </c>
      <c r="AC3842" s="50">
        <v>1092</v>
      </c>
      <c r="AD3842" s="271">
        <v>1</v>
      </c>
    </row>
    <row r="3843" spans="1:31" ht="15" customHeight="1">
      <c r="A3843" s="404" t="s">
        <v>4668</v>
      </c>
      <c r="B3843" s="402" t="s">
        <v>4931</v>
      </c>
      <c r="C3843" s="113" t="s">
        <v>6298</v>
      </c>
      <c r="D3843" s="393" t="s">
        <v>89</v>
      </c>
      <c r="E3843" s="394" t="s">
        <v>535</v>
      </c>
      <c r="F3843" s="402">
        <v>6600</v>
      </c>
      <c r="G3843" s="405" t="s">
        <v>6299</v>
      </c>
      <c r="H3843" s="74">
        <v>4151</v>
      </c>
      <c r="I3843" s="50" t="s">
        <v>1</v>
      </c>
      <c r="J3843" s="339" t="s">
        <v>249</v>
      </c>
      <c r="K3843" s="51">
        <v>41579</v>
      </c>
      <c r="L3843" s="173">
        <v>41554</v>
      </c>
      <c r="M3843" s="50">
        <f t="shared" si="236"/>
        <v>25</v>
      </c>
      <c r="N3843" s="50" t="s">
        <v>2</v>
      </c>
      <c r="O3843" s="74">
        <f t="shared" si="234"/>
        <v>2.5</v>
      </c>
      <c r="P3843" s="50">
        <v>6.53</v>
      </c>
      <c r="Q3843" s="74">
        <v>6.34</v>
      </c>
      <c r="R3843" s="50">
        <v>130</v>
      </c>
      <c r="S3843" s="74">
        <v>72</v>
      </c>
      <c r="T3843" s="50">
        <f>0.1/2</f>
        <v>0.05</v>
      </c>
      <c r="U3843" s="131">
        <f>1/2</f>
        <v>0.5</v>
      </c>
      <c r="V3843" s="50">
        <v>0.24</v>
      </c>
      <c r="W3843" s="74">
        <f>0.04/2</f>
        <v>0.02</v>
      </c>
      <c r="X3843" s="50">
        <v>0.15</v>
      </c>
      <c r="Y3843" s="74">
        <f>0.013/2</f>
        <v>6.4999999999999997E-3</v>
      </c>
      <c r="Z3843" s="165"/>
      <c r="AE3843" s="50">
        <v>496</v>
      </c>
    </row>
    <row r="3844" spans="1:31" ht="15" customHeight="1">
      <c r="A3844" s="404" t="s">
        <v>4668</v>
      </c>
      <c r="B3844" s="402" t="s">
        <v>4931</v>
      </c>
      <c r="C3844" s="113" t="s">
        <v>6298</v>
      </c>
      <c r="D3844" s="393" t="s">
        <v>89</v>
      </c>
      <c r="E3844" s="394" t="s">
        <v>535</v>
      </c>
      <c r="F3844" s="402">
        <v>6600</v>
      </c>
      <c r="G3844" s="405" t="s">
        <v>6299</v>
      </c>
      <c r="H3844" s="74">
        <v>4151</v>
      </c>
      <c r="I3844" s="50" t="s">
        <v>1</v>
      </c>
      <c r="J3844" s="339" t="s">
        <v>1999</v>
      </c>
      <c r="K3844" s="51">
        <v>41579</v>
      </c>
      <c r="L3844" s="173">
        <v>41554</v>
      </c>
      <c r="M3844" s="50">
        <f t="shared" si="236"/>
        <v>25</v>
      </c>
      <c r="N3844" s="50" t="s">
        <v>2</v>
      </c>
      <c r="O3844" s="74">
        <f t="shared" si="234"/>
        <v>2.5</v>
      </c>
      <c r="P3844" s="50">
        <v>6.53</v>
      </c>
      <c r="Q3844" s="74">
        <v>6.57</v>
      </c>
      <c r="R3844" s="50">
        <v>110</v>
      </c>
      <c r="S3844" s="74">
        <v>38</v>
      </c>
      <c r="T3844" s="50">
        <f>0.1/2</f>
        <v>0.05</v>
      </c>
      <c r="U3844" s="131">
        <v>1.2</v>
      </c>
      <c r="V3844" s="50">
        <v>0.32</v>
      </c>
      <c r="W3844" s="74">
        <f>0.04/2</f>
        <v>0.02</v>
      </c>
      <c r="X3844" s="50">
        <v>0.16</v>
      </c>
      <c r="Y3844" s="74">
        <v>1.4E-2</v>
      </c>
      <c r="Z3844" s="165"/>
      <c r="AE3844" s="50">
        <v>248</v>
      </c>
    </row>
    <row r="3845" spans="1:31" ht="15" customHeight="1">
      <c r="A3845" s="404" t="s">
        <v>4668</v>
      </c>
      <c r="B3845" s="402" t="s">
        <v>4931</v>
      </c>
      <c r="C3845" s="113" t="s">
        <v>6298</v>
      </c>
      <c r="D3845" s="393" t="s">
        <v>89</v>
      </c>
      <c r="E3845" s="394" t="s">
        <v>535</v>
      </c>
      <c r="F3845" s="402">
        <v>6600</v>
      </c>
      <c r="G3845" s="405" t="s">
        <v>6299</v>
      </c>
      <c r="H3845" s="74">
        <v>4151</v>
      </c>
      <c r="I3845" s="50" t="s">
        <v>1</v>
      </c>
      <c r="J3845" s="339" t="s">
        <v>445</v>
      </c>
      <c r="K3845" s="51">
        <v>41579</v>
      </c>
      <c r="L3845" s="173">
        <v>41554</v>
      </c>
      <c r="M3845" s="50">
        <f t="shared" si="236"/>
        <v>25</v>
      </c>
      <c r="N3845" s="50" t="s">
        <v>2</v>
      </c>
      <c r="O3845" s="74">
        <f t="shared" si="234"/>
        <v>2.5</v>
      </c>
      <c r="P3845" s="50">
        <v>6.53</v>
      </c>
      <c r="Q3845" s="74">
        <v>6.65</v>
      </c>
      <c r="R3845" s="50">
        <v>95</v>
      </c>
      <c r="S3845" s="74">
        <v>54</v>
      </c>
      <c r="T3845" s="50">
        <f>0.1/2</f>
        <v>0.05</v>
      </c>
      <c r="U3845" s="131">
        <f>1/2</f>
        <v>0.5</v>
      </c>
      <c r="V3845" s="50">
        <f>0.1/2</f>
        <v>0.05</v>
      </c>
      <c r="W3845" s="74">
        <f>0.04/2</f>
        <v>0.02</v>
      </c>
      <c r="X3845" s="50">
        <v>0.11</v>
      </c>
      <c r="Y3845" s="74">
        <f>0.013/2</f>
        <v>6.4999999999999997E-3</v>
      </c>
      <c r="Z3845" s="165"/>
      <c r="AE3845" s="50">
        <v>700</v>
      </c>
    </row>
    <row r="3846" spans="1:31" ht="15" customHeight="1">
      <c r="A3846" s="404" t="s">
        <v>4668</v>
      </c>
      <c r="B3846" s="402" t="s">
        <v>4931</v>
      </c>
      <c r="C3846" s="113" t="s">
        <v>6300</v>
      </c>
      <c r="D3846" s="393" t="s">
        <v>406</v>
      </c>
      <c r="F3846" s="402" t="s">
        <v>6301</v>
      </c>
      <c r="G3846" s="405" t="s">
        <v>6302</v>
      </c>
      <c r="H3846" s="74">
        <v>4151</v>
      </c>
      <c r="I3846" s="50" t="s">
        <v>2</v>
      </c>
      <c r="J3846" s="339" t="s">
        <v>249</v>
      </c>
      <c r="K3846" s="51">
        <v>41352</v>
      </c>
      <c r="L3846" s="173">
        <v>41347</v>
      </c>
      <c r="M3846" s="50">
        <f t="shared" si="236"/>
        <v>5</v>
      </c>
      <c r="N3846" s="50" t="s">
        <v>1</v>
      </c>
      <c r="O3846" s="74">
        <f t="shared" si="234"/>
        <v>2.5</v>
      </c>
      <c r="P3846" s="50">
        <v>6.61</v>
      </c>
      <c r="Q3846" s="74">
        <v>6.64</v>
      </c>
      <c r="R3846" s="50">
        <v>20</v>
      </c>
      <c r="S3846" s="74">
        <v>29</v>
      </c>
      <c r="T3846" s="50">
        <f>0.1/2</f>
        <v>0.05</v>
      </c>
      <c r="U3846" s="131">
        <f>1/2</f>
        <v>0.5</v>
      </c>
      <c r="V3846" s="50">
        <f>0.1/2</f>
        <v>0.05</v>
      </c>
      <c r="W3846" s="74">
        <f>0.04/2</f>
        <v>0.02</v>
      </c>
      <c r="X3846" s="50">
        <f>0.02/2</f>
        <v>0.01</v>
      </c>
      <c r="Y3846" s="74">
        <f>0.013/2</f>
        <v>6.4999999999999997E-3</v>
      </c>
      <c r="Z3846" s="165">
        <v>1</v>
      </c>
      <c r="AA3846" s="271">
        <v>1</v>
      </c>
      <c r="AB3846" s="114">
        <v>2</v>
      </c>
      <c r="AC3846" s="50">
        <v>19</v>
      </c>
      <c r="AD3846" s="271">
        <v>0.65</v>
      </c>
    </row>
    <row r="3847" spans="1:31" ht="15" customHeight="1">
      <c r="A3847" s="404" t="s">
        <v>4668</v>
      </c>
      <c r="B3847" s="402" t="s">
        <v>4931</v>
      </c>
      <c r="C3847" s="113" t="s">
        <v>6300</v>
      </c>
      <c r="D3847" s="393" t="s">
        <v>406</v>
      </c>
      <c r="F3847" s="402" t="s">
        <v>6301</v>
      </c>
      <c r="G3847" s="405" t="s">
        <v>6302</v>
      </c>
      <c r="H3847" s="74">
        <v>4151</v>
      </c>
      <c r="I3847" s="50" t="s">
        <v>2</v>
      </c>
      <c r="J3847" s="339" t="s">
        <v>1999</v>
      </c>
      <c r="K3847" s="51">
        <v>41352</v>
      </c>
      <c r="L3847" s="173">
        <v>41347</v>
      </c>
      <c r="M3847" s="50">
        <f t="shared" si="236"/>
        <v>5</v>
      </c>
      <c r="N3847" s="50" t="s">
        <v>1</v>
      </c>
      <c r="O3847" s="74">
        <f t="shared" si="234"/>
        <v>2.5</v>
      </c>
      <c r="P3847" s="50">
        <v>6.61</v>
      </c>
      <c r="Q3847" s="74">
        <v>7.2</v>
      </c>
      <c r="R3847" s="50">
        <v>220</v>
      </c>
      <c r="S3847" s="74">
        <v>830</v>
      </c>
      <c r="T3847" s="50">
        <v>0.66</v>
      </c>
      <c r="U3847" s="131">
        <f>1/2</f>
        <v>0.5</v>
      </c>
      <c r="V3847" s="50">
        <f>0.1/2</f>
        <v>0.05</v>
      </c>
      <c r="W3847" s="74">
        <v>0.09</v>
      </c>
      <c r="X3847" s="50">
        <v>0.33</v>
      </c>
      <c r="Y3847" s="74">
        <v>0.11</v>
      </c>
      <c r="Z3847" s="165">
        <v>1</v>
      </c>
      <c r="AA3847" s="271">
        <v>1</v>
      </c>
      <c r="AB3847" s="114">
        <v>60</v>
      </c>
      <c r="AC3847" s="50">
        <v>130</v>
      </c>
      <c r="AD3847" s="271">
        <v>1</v>
      </c>
    </row>
    <row r="3848" spans="1:31" ht="15" customHeight="1">
      <c r="A3848" s="404" t="s">
        <v>4668</v>
      </c>
      <c r="B3848" s="402" t="s">
        <v>4931</v>
      </c>
      <c r="C3848" s="113" t="s">
        <v>6300</v>
      </c>
      <c r="D3848" s="393" t="s">
        <v>406</v>
      </c>
      <c r="F3848" s="402" t="s">
        <v>6301</v>
      </c>
      <c r="G3848" s="405" t="s">
        <v>6302</v>
      </c>
      <c r="H3848" s="74">
        <v>4151</v>
      </c>
      <c r="I3848" s="50" t="s">
        <v>2</v>
      </c>
      <c r="J3848" s="339" t="s">
        <v>249</v>
      </c>
      <c r="K3848" s="51">
        <v>41579</v>
      </c>
      <c r="L3848" s="173">
        <v>41552</v>
      </c>
      <c r="M3848" s="50">
        <f t="shared" si="236"/>
        <v>27</v>
      </c>
      <c r="N3848" s="50" t="s">
        <v>2</v>
      </c>
      <c r="O3848" s="74">
        <f t="shared" si="234"/>
        <v>2.5</v>
      </c>
      <c r="P3848" s="50">
        <v>4.7</v>
      </c>
      <c r="Q3848" s="74">
        <v>5.03</v>
      </c>
      <c r="R3848" s="50">
        <v>83</v>
      </c>
      <c r="S3848" s="74">
        <v>11</v>
      </c>
      <c r="T3848" s="50">
        <f>0.1/2</f>
        <v>0.05</v>
      </c>
      <c r="U3848" s="131">
        <f>1/2</f>
        <v>0.5</v>
      </c>
      <c r="V3848" s="50">
        <v>0.2</v>
      </c>
      <c r="W3848" s="74">
        <f>0.04/2</f>
        <v>0.02</v>
      </c>
      <c r="X3848" s="50">
        <v>7.9000000000000001E-2</v>
      </c>
      <c r="Y3848" s="74">
        <f>0.013/2</f>
        <v>6.4999999999999997E-3</v>
      </c>
      <c r="Z3848" s="165">
        <v>1</v>
      </c>
      <c r="AA3848" s="271">
        <v>1</v>
      </c>
      <c r="AB3848" s="114">
        <v>9.3000000000000007</v>
      </c>
      <c r="AC3848" s="50">
        <v>82</v>
      </c>
      <c r="AD3848" s="271">
        <v>1</v>
      </c>
    </row>
    <row r="3849" spans="1:31" ht="15" customHeight="1">
      <c r="A3849" s="404" t="s">
        <v>4668</v>
      </c>
      <c r="B3849" s="402" t="s">
        <v>4931</v>
      </c>
      <c r="C3849" s="113" t="s">
        <v>6300</v>
      </c>
      <c r="D3849" s="393" t="s">
        <v>406</v>
      </c>
      <c r="F3849" s="402" t="s">
        <v>6301</v>
      </c>
      <c r="G3849" s="405" t="s">
        <v>6302</v>
      </c>
      <c r="H3849" s="74">
        <v>4151</v>
      </c>
      <c r="I3849" s="50" t="s">
        <v>2</v>
      </c>
      <c r="J3849" s="339" t="s">
        <v>249</v>
      </c>
      <c r="K3849" s="51">
        <v>41579</v>
      </c>
      <c r="L3849" s="173">
        <v>41552</v>
      </c>
      <c r="M3849" s="50">
        <f t="shared" si="236"/>
        <v>27</v>
      </c>
      <c r="N3849" s="50" t="s">
        <v>2</v>
      </c>
      <c r="O3849" s="74">
        <f t="shared" si="234"/>
        <v>2.5</v>
      </c>
      <c r="P3849" s="50">
        <v>4.7</v>
      </c>
      <c r="Q3849" s="74">
        <v>5.97</v>
      </c>
      <c r="R3849" s="50">
        <v>69</v>
      </c>
      <c r="S3849" s="74">
        <v>35</v>
      </c>
      <c r="T3849" s="50">
        <f>0.1/2</f>
        <v>0.05</v>
      </c>
      <c r="U3849" s="131">
        <f>1/2</f>
        <v>0.5</v>
      </c>
      <c r="V3849" s="50">
        <v>0.2</v>
      </c>
      <c r="W3849" s="74">
        <f>0.04/2</f>
        <v>0.02</v>
      </c>
      <c r="X3849" s="50">
        <v>6.9000000000000006E-2</v>
      </c>
      <c r="Y3849" s="74">
        <f>0.013/2</f>
        <v>6.4999999999999997E-3</v>
      </c>
      <c r="Z3849" s="165">
        <v>1</v>
      </c>
      <c r="AA3849" s="271">
        <v>1</v>
      </c>
      <c r="AB3849" s="114">
        <v>19</v>
      </c>
      <c r="AC3849" s="50">
        <v>72</v>
      </c>
      <c r="AD3849" s="271">
        <v>1</v>
      </c>
    </row>
    <row r="3850" spans="1:31" ht="15" customHeight="1">
      <c r="A3850" s="404" t="s">
        <v>4668</v>
      </c>
      <c r="B3850" s="402" t="s">
        <v>4931</v>
      </c>
      <c r="C3850" s="113" t="s">
        <v>6303</v>
      </c>
      <c r="D3850" s="393" t="s">
        <v>1896</v>
      </c>
      <c r="F3850" s="402" t="s">
        <v>6304</v>
      </c>
      <c r="G3850" s="405" t="s">
        <v>4934</v>
      </c>
      <c r="H3850" s="74">
        <v>4151</v>
      </c>
      <c r="I3850" s="50" t="s">
        <v>2</v>
      </c>
      <c r="J3850" s="339" t="s">
        <v>249</v>
      </c>
      <c r="K3850" s="51">
        <v>41579</v>
      </c>
      <c r="L3850" s="173">
        <v>41530</v>
      </c>
      <c r="M3850" s="50">
        <f t="shared" si="236"/>
        <v>49</v>
      </c>
      <c r="N3850" s="50" t="s">
        <v>2</v>
      </c>
      <c r="O3850" s="74">
        <f t="shared" si="234"/>
        <v>2.5</v>
      </c>
      <c r="P3850" s="50">
        <v>6.29</v>
      </c>
      <c r="Q3850" s="74">
        <v>6.22</v>
      </c>
      <c r="R3850" s="50">
        <v>81</v>
      </c>
      <c r="S3850" s="74">
        <v>79</v>
      </c>
      <c r="T3850" s="50">
        <f>0.1/2</f>
        <v>0.05</v>
      </c>
      <c r="U3850" s="131">
        <v>1.4</v>
      </c>
      <c r="V3850" s="50">
        <v>0.45</v>
      </c>
      <c r="W3850" s="74">
        <f>0.04/2</f>
        <v>0.02</v>
      </c>
      <c r="X3850" s="50">
        <v>0.13</v>
      </c>
      <c r="Y3850" s="74">
        <f>0.013/2</f>
        <v>6.4999999999999997E-3</v>
      </c>
      <c r="Z3850" s="165">
        <v>1</v>
      </c>
      <c r="AA3850" s="271">
        <v>1</v>
      </c>
      <c r="AB3850" s="114">
        <v>8</v>
      </c>
      <c r="AC3850" s="50">
        <v>28</v>
      </c>
      <c r="AD3850" s="271">
        <v>0.7</v>
      </c>
    </row>
    <row r="3851" spans="1:31" ht="15" customHeight="1">
      <c r="A3851" s="404" t="s">
        <v>4668</v>
      </c>
      <c r="B3851" s="402" t="s">
        <v>4931</v>
      </c>
      <c r="C3851" s="113" t="s">
        <v>6303</v>
      </c>
      <c r="D3851" s="393" t="s">
        <v>1896</v>
      </c>
      <c r="F3851" s="402" t="s">
        <v>6304</v>
      </c>
      <c r="G3851" s="405" t="s">
        <v>4934</v>
      </c>
      <c r="H3851" s="74">
        <v>4151</v>
      </c>
      <c r="I3851" s="50" t="s">
        <v>2</v>
      </c>
      <c r="J3851" s="339" t="s">
        <v>1999</v>
      </c>
      <c r="K3851" s="51">
        <v>41579</v>
      </c>
      <c r="L3851" s="173">
        <v>41530</v>
      </c>
      <c r="M3851" s="50">
        <f t="shared" si="236"/>
        <v>49</v>
      </c>
      <c r="N3851" s="50" t="s">
        <v>2</v>
      </c>
      <c r="O3851" s="74">
        <f t="shared" si="234"/>
        <v>2.5</v>
      </c>
      <c r="P3851" s="50">
        <v>6.29</v>
      </c>
      <c r="Q3851" s="74">
        <v>6.33</v>
      </c>
      <c r="R3851" s="50">
        <v>40</v>
      </c>
      <c r="S3851" s="74">
        <v>10</v>
      </c>
      <c r="T3851" s="50">
        <f>0.1/2</f>
        <v>0.05</v>
      </c>
      <c r="U3851" s="131">
        <v>1.3</v>
      </c>
      <c r="V3851" s="50">
        <v>0.2</v>
      </c>
      <c r="W3851" s="74">
        <f>0.04/2</f>
        <v>0.02</v>
      </c>
      <c r="X3851" s="50">
        <v>4.4999999999999998E-2</v>
      </c>
      <c r="Y3851" s="74">
        <f>0.013/2</f>
        <v>6.4999999999999997E-3</v>
      </c>
      <c r="Z3851" s="165">
        <v>1</v>
      </c>
      <c r="AA3851" s="271">
        <v>1</v>
      </c>
      <c r="AB3851" s="114">
        <v>3.8</v>
      </c>
      <c r="AC3851" s="50">
        <v>26</v>
      </c>
      <c r="AD3851" s="271">
        <v>1</v>
      </c>
    </row>
    <row r="3852" spans="1:31" ht="15" customHeight="1">
      <c r="A3852" s="404" t="s">
        <v>4668</v>
      </c>
      <c r="B3852" s="402" t="s">
        <v>4931</v>
      </c>
      <c r="C3852" s="113" t="s">
        <v>6303</v>
      </c>
      <c r="D3852" s="393" t="s">
        <v>1896</v>
      </c>
      <c r="F3852" s="402" t="s">
        <v>6304</v>
      </c>
      <c r="G3852" s="405" t="s">
        <v>4934</v>
      </c>
      <c r="H3852" s="74">
        <v>4151</v>
      </c>
      <c r="I3852" s="50" t="s">
        <v>2</v>
      </c>
      <c r="J3852" s="339" t="s">
        <v>249</v>
      </c>
      <c r="K3852" s="51">
        <v>41345</v>
      </c>
      <c r="L3852" s="173">
        <v>41341</v>
      </c>
      <c r="M3852" s="50">
        <f t="shared" si="236"/>
        <v>4</v>
      </c>
      <c r="N3852" s="50" t="s">
        <v>1</v>
      </c>
      <c r="O3852" s="74">
        <v>6.6</v>
      </c>
      <c r="P3852" s="50">
        <v>7.07</v>
      </c>
      <c r="Q3852" s="74">
        <v>7.2</v>
      </c>
      <c r="R3852" s="50">
        <v>93</v>
      </c>
      <c r="S3852" s="74">
        <v>270</v>
      </c>
      <c r="T3852" s="50">
        <v>0.24</v>
      </c>
      <c r="U3852" s="131">
        <v>3.2</v>
      </c>
      <c r="V3852" s="50">
        <v>0.32</v>
      </c>
      <c r="W3852" s="74">
        <v>4.3999999999999997E-2</v>
      </c>
      <c r="X3852" s="50">
        <v>0.24</v>
      </c>
      <c r="Y3852" s="74">
        <v>2.3E-2</v>
      </c>
      <c r="Z3852" s="165">
        <v>1</v>
      </c>
      <c r="AA3852" s="271">
        <v>1</v>
      </c>
      <c r="AB3852" s="114">
        <v>27</v>
      </c>
      <c r="AC3852" s="50">
        <v>84</v>
      </c>
      <c r="AD3852" s="271">
        <v>0.5</v>
      </c>
    </row>
    <row r="3853" spans="1:31" ht="15" customHeight="1">
      <c r="A3853" s="404" t="s">
        <v>4668</v>
      </c>
      <c r="B3853" s="402" t="s">
        <v>4931</v>
      </c>
      <c r="C3853" s="113" t="s">
        <v>6303</v>
      </c>
      <c r="D3853" s="393" t="s">
        <v>1896</v>
      </c>
      <c r="F3853" s="402" t="s">
        <v>6304</v>
      </c>
      <c r="G3853" s="405" t="s">
        <v>4934</v>
      </c>
      <c r="H3853" s="74">
        <v>4151</v>
      </c>
      <c r="I3853" s="50" t="s">
        <v>2</v>
      </c>
      <c r="J3853" s="339" t="s">
        <v>1999</v>
      </c>
      <c r="K3853" s="51">
        <v>41345</v>
      </c>
      <c r="L3853" s="173">
        <v>41341</v>
      </c>
      <c r="M3853" s="50">
        <f t="shared" si="236"/>
        <v>4</v>
      </c>
      <c r="N3853" s="50" t="s">
        <v>1</v>
      </c>
      <c r="O3853" s="74">
        <f>5/2</f>
        <v>2.5</v>
      </c>
      <c r="P3853" s="50">
        <v>7.07</v>
      </c>
      <c r="Q3853" s="74">
        <v>6.87</v>
      </c>
      <c r="R3853" s="50">
        <v>91</v>
      </c>
      <c r="S3853" s="74">
        <v>92</v>
      </c>
      <c r="T3853" s="50">
        <v>0.16</v>
      </c>
      <c r="U3853" s="131">
        <v>1.1000000000000001</v>
      </c>
      <c r="V3853" s="50">
        <v>0.36</v>
      </c>
      <c r="W3853" s="74">
        <f>0.04/2</f>
        <v>0.02</v>
      </c>
      <c r="X3853" s="50">
        <v>0.19</v>
      </c>
      <c r="Y3853" s="74">
        <f>0.013/2</f>
        <v>6.4999999999999997E-3</v>
      </c>
      <c r="Z3853" s="165">
        <v>1</v>
      </c>
      <c r="AA3853" s="271">
        <v>1</v>
      </c>
      <c r="AB3853" s="114">
        <v>22</v>
      </c>
      <c r="AC3853" s="50">
        <v>93</v>
      </c>
      <c r="AD3853" s="271">
        <v>0.8</v>
      </c>
    </row>
    <row r="3854" spans="1:31" ht="15" customHeight="1">
      <c r="A3854" s="404" t="s">
        <v>4668</v>
      </c>
      <c r="B3854" s="402" t="s">
        <v>4931</v>
      </c>
      <c r="C3854" s="113" t="s">
        <v>6305</v>
      </c>
      <c r="D3854" s="393" t="s">
        <v>71</v>
      </c>
      <c r="F3854" s="402" t="s">
        <v>6265</v>
      </c>
      <c r="G3854" s="405" t="s">
        <v>6306</v>
      </c>
      <c r="H3854" s="74">
        <v>4151</v>
      </c>
      <c r="I3854" s="50" t="s">
        <v>2</v>
      </c>
      <c r="J3854" s="339" t="s">
        <v>249</v>
      </c>
      <c r="K3854" s="51">
        <v>41403</v>
      </c>
      <c r="L3854" s="173">
        <v>41400</v>
      </c>
      <c r="M3854" s="50">
        <f t="shared" si="236"/>
        <v>3</v>
      </c>
      <c r="N3854" s="50" t="s">
        <v>2</v>
      </c>
      <c r="O3854" s="74">
        <f>5/2</f>
        <v>2.5</v>
      </c>
      <c r="P3854" s="50">
        <v>6.4</v>
      </c>
      <c r="Q3854" s="74">
        <v>6.24</v>
      </c>
      <c r="R3854" s="50">
        <v>89</v>
      </c>
      <c r="S3854" s="74">
        <v>1000</v>
      </c>
      <c r="T3854" s="50">
        <v>0.37</v>
      </c>
      <c r="U3854" s="131">
        <f>1/2</f>
        <v>0.5</v>
      </c>
      <c r="V3854" s="50">
        <f>1/2</f>
        <v>0.5</v>
      </c>
      <c r="W3854" s="74">
        <v>6.6000000000000003E-2</v>
      </c>
      <c r="X3854" s="50">
        <v>0.43</v>
      </c>
      <c r="Y3854" s="74">
        <v>4.8000000000000001E-2</v>
      </c>
      <c r="Z3854" s="165"/>
    </row>
    <row r="3855" spans="1:31" ht="15" customHeight="1">
      <c r="A3855" s="404" t="s">
        <v>4668</v>
      </c>
      <c r="B3855" s="402" t="s">
        <v>4931</v>
      </c>
      <c r="C3855" s="113" t="s">
        <v>6305</v>
      </c>
      <c r="D3855" s="393" t="s">
        <v>71</v>
      </c>
      <c r="F3855" s="402" t="s">
        <v>6265</v>
      </c>
      <c r="G3855" s="405" t="s">
        <v>6306</v>
      </c>
      <c r="H3855" s="74">
        <v>4151</v>
      </c>
      <c r="I3855" s="50" t="s">
        <v>2</v>
      </c>
      <c r="J3855" s="339" t="s">
        <v>249</v>
      </c>
      <c r="K3855" s="51">
        <v>41352</v>
      </c>
      <c r="L3855" s="173">
        <v>41347</v>
      </c>
      <c r="M3855" s="50">
        <f t="shared" si="236"/>
        <v>5</v>
      </c>
      <c r="N3855" s="50" t="s">
        <v>1</v>
      </c>
      <c r="O3855" s="74">
        <f>5/2</f>
        <v>2.5</v>
      </c>
      <c r="P3855" s="50">
        <v>7.55</v>
      </c>
      <c r="Q3855" s="74">
        <v>7.43</v>
      </c>
      <c r="R3855" s="50">
        <v>140</v>
      </c>
      <c r="S3855" s="74">
        <v>760</v>
      </c>
      <c r="T3855" s="50">
        <v>0.47</v>
      </c>
      <c r="U3855" s="131">
        <f>1/2</f>
        <v>0.5</v>
      </c>
      <c r="V3855" s="50">
        <v>0.22</v>
      </c>
      <c r="W3855" s="74">
        <f>0.04/2</f>
        <v>0.02</v>
      </c>
      <c r="X3855" s="50">
        <v>0.28000000000000003</v>
      </c>
      <c r="Y3855" s="74">
        <v>2.5999999999999999E-2</v>
      </c>
      <c r="Z3855" s="165">
        <v>1</v>
      </c>
      <c r="AA3855" s="271">
        <v>1</v>
      </c>
      <c r="AB3855" s="114">
        <v>35</v>
      </c>
      <c r="AC3855" s="50">
        <v>633</v>
      </c>
      <c r="AD3855" s="271">
        <v>0.65</v>
      </c>
    </row>
    <row r="3856" spans="1:31" ht="15" customHeight="1">
      <c r="A3856" s="404" t="s">
        <v>4668</v>
      </c>
      <c r="B3856" s="402" t="s">
        <v>4931</v>
      </c>
      <c r="C3856" s="113" t="s">
        <v>6307</v>
      </c>
      <c r="D3856" s="393" t="s">
        <v>3230</v>
      </c>
      <c r="E3856" s="394" t="s">
        <v>6308</v>
      </c>
      <c r="G3856" s="405" t="s">
        <v>6309</v>
      </c>
      <c r="H3856" s="74">
        <v>4151</v>
      </c>
      <c r="I3856" s="50" t="s">
        <v>2</v>
      </c>
      <c r="J3856" s="339" t="s">
        <v>249</v>
      </c>
      <c r="K3856" s="51">
        <v>41352</v>
      </c>
      <c r="L3856" s="173">
        <v>41345</v>
      </c>
      <c r="M3856" s="50">
        <f t="shared" si="236"/>
        <v>7</v>
      </c>
      <c r="N3856" s="50" t="s">
        <v>1</v>
      </c>
      <c r="O3856" s="74">
        <v>9.5</v>
      </c>
      <c r="P3856" s="50">
        <v>5.34</v>
      </c>
      <c r="Q3856" s="74">
        <v>6.66</v>
      </c>
      <c r="R3856" s="50">
        <v>170</v>
      </c>
      <c r="S3856" s="74">
        <v>280</v>
      </c>
      <c r="T3856" s="50">
        <v>0.24</v>
      </c>
      <c r="U3856" s="131">
        <f>1/2</f>
        <v>0.5</v>
      </c>
      <c r="V3856" s="50">
        <v>0.15</v>
      </c>
      <c r="W3856" s="74">
        <f>0.004/2</f>
        <v>2E-3</v>
      </c>
      <c r="X3856" s="50">
        <v>0.15</v>
      </c>
      <c r="Y3856" s="74">
        <f>0.013/2</f>
        <v>6.4999999999999997E-3</v>
      </c>
      <c r="Z3856" s="165">
        <v>1</v>
      </c>
      <c r="AA3856" s="271">
        <v>1</v>
      </c>
      <c r="AB3856" s="114">
        <v>18</v>
      </c>
      <c r="AC3856" s="50">
        <v>5880</v>
      </c>
      <c r="AD3856" s="271">
        <v>0.5</v>
      </c>
    </row>
    <row r="3857" spans="1:30" ht="15" customHeight="1">
      <c r="A3857" s="404" t="s">
        <v>4668</v>
      </c>
      <c r="B3857" s="402" t="s">
        <v>4931</v>
      </c>
      <c r="C3857" s="113" t="s">
        <v>6307</v>
      </c>
      <c r="D3857" s="393" t="s">
        <v>3230</v>
      </c>
      <c r="E3857" s="394" t="s">
        <v>6308</v>
      </c>
      <c r="F3857" s="402">
        <v>7300</v>
      </c>
      <c r="G3857" s="405" t="s">
        <v>6309</v>
      </c>
      <c r="H3857" s="74">
        <v>4151</v>
      </c>
      <c r="I3857" s="50" t="s">
        <v>2</v>
      </c>
      <c r="J3857" s="339" t="s">
        <v>1999</v>
      </c>
      <c r="K3857" s="51">
        <v>41352</v>
      </c>
      <c r="L3857" s="173">
        <v>41345</v>
      </c>
      <c r="M3857" s="50">
        <f t="shared" si="236"/>
        <v>7</v>
      </c>
      <c r="N3857" s="50" t="s">
        <v>1</v>
      </c>
      <c r="O3857" s="74">
        <f>5/2</f>
        <v>2.5</v>
      </c>
      <c r="P3857" s="50">
        <v>5.34</v>
      </c>
      <c r="Q3857" s="74">
        <v>6.22</v>
      </c>
      <c r="R3857" s="50">
        <v>76</v>
      </c>
      <c r="S3857" s="74">
        <v>68</v>
      </c>
      <c r="T3857" s="50">
        <f>0.1/2</f>
        <v>0.05</v>
      </c>
      <c r="U3857" s="131">
        <f>1/2</f>
        <v>0.5</v>
      </c>
      <c r="V3857" s="50">
        <v>0.14000000000000001</v>
      </c>
      <c r="W3857" s="74">
        <f>0.004/2</f>
        <v>2E-3</v>
      </c>
      <c r="X3857" s="50">
        <v>0.12</v>
      </c>
      <c r="Y3857" s="74">
        <f>0.013/2</f>
        <v>6.4999999999999997E-3</v>
      </c>
      <c r="Z3857" s="165">
        <v>1</v>
      </c>
      <c r="AA3857" s="271">
        <v>0.70699999999999996</v>
      </c>
      <c r="AB3857" s="114">
        <v>18</v>
      </c>
      <c r="AC3857" s="50">
        <v>5880</v>
      </c>
      <c r="AD3857" s="271">
        <v>0.3</v>
      </c>
    </row>
    <row r="3858" spans="1:30" ht="15" customHeight="1">
      <c r="A3858" s="404" t="s">
        <v>4668</v>
      </c>
      <c r="B3858" s="402" t="s">
        <v>4931</v>
      </c>
      <c r="C3858" s="113" t="s">
        <v>6307</v>
      </c>
      <c r="D3858" s="393" t="s">
        <v>3230</v>
      </c>
      <c r="E3858" s="394" t="s">
        <v>6308</v>
      </c>
      <c r="F3858" s="402">
        <v>7300</v>
      </c>
      <c r="G3858" s="405" t="s">
        <v>6309</v>
      </c>
      <c r="H3858" s="74">
        <v>4151</v>
      </c>
      <c r="I3858" s="50" t="s">
        <v>2</v>
      </c>
      <c r="J3858" s="339" t="s">
        <v>249</v>
      </c>
      <c r="K3858" s="51">
        <v>41538</v>
      </c>
      <c r="L3858" s="173">
        <v>41520</v>
      </c>
      <c r="M3858" s="50">
        <f t="shared" si="236"/>
        <v>18</v>
      </c>
      <c r="N3858" s="50" t="s">
        <v>2</v>
      </c>
      <c r="O3858" s="74">
        <f>5/2</f>
        <v>2.5</v>
      </c>
      <c r="P3858" s="50">
        <v>6</v>
      </c>
      <c r="Q3858" s="74">
        <v>7.08</v>
      </c>
      <c r="R3858" s="50">
        <v>110</v>
      </c>
      <c r="S3858" s="74">
        <v>45</v>
      </c>
      <c r="T3858" s="50">
        <v>0.15</v>
      </c>
      <c r="U3858" s="131">
        <f>1/2</f>
        <v>0.5</v>
      </c>
      <c r="V3858" s="50">
        <v>0.26</v>
      </c>
      <c r="W3858" s="74">
        <f>0.04/2</f>
        <v>0.02</v>
      </c>
      <c r="X3858" s="50">
        <v>0.19</v>
      </c>
      <c r="Y3858" s="74">
        <f>0.013/2</f>
        <v>6.4999999999999997E-3</v>
      </c>
      <c r="Z3858" s="165"/>
    </row>
    <row r="3859" spans="1:30" ht="15" customHeight="1">
      <c r="A3859" s="404" t="s">
        <v>4668</v>
      </c>
      <c r="B3859" s="402" t="s">
        <v>4931</v>
      </c>
      <c r="C3859" s="113" t="s">
        <v>6307</v>
      </c>
      <c r="D3859" s="393" t="s">
        <v>3230</v>
      </c>
      <c r="E3859" s="394" t="s">
        <v>6308</v>
      </c>
      <c r="F3859" s="402">
        <v>7300</v>
      </c>
      <c r="G3859" s="405" t="s">
        <v>6309</v>
      </c>
      <c r="H3859" s="74">
        <v>4151</v>
      </c>
      <c r="I3859" s="50" t="s">
        <v>2</v>
      </c>
      <c r="J3859" s="339" t="s">
        <v>1999</v>
      </c>
      <c r="K3859" s="51">
        <v>41538</v>
      </c>
      <c r="L3859" s="173">
        <v>41520</v>
      </c>
      <c r="M3859" s="50">
        <f t="shared" si="236"/>
        <v>18</v>
      </c>
      <c r="N3859" s="50" t="s">
        <v>2</v>
      </c>
      <c r="O3859" s="74">
        <f>5/2</f>
        <v>2.5</v>
      </c>
      <c r="P3859" s="50">
        <v>6</v>
      </c>
      <c r="Q3859" s="74">
        <v>6.18</v>
      </c>
      <c r="R3859" s="50">
        <v>45</v>
      </c>
      <c r="S3859" s="74">
        <v>15</v>
      </c>
      <c r="T3859" s="50">
        <f>0.1/2</f>
        <v>0.05</v>
      </c>
      <c r="U3859" s="131">
        <f>1/2</f>
        <v>0.5</v>
      </c>
      <c r="V3859" s="50">
        <v>0.24</v>
      </c>
      <c r="W3859" s="74">
        <f>0.004/2</f>
        <v>2E-3</v>
      </c>
      <c r="X3859" s="50">
        <v>4.1000000000000002E-2</v>
      </c>
      <c r="Y3859" s="74">
        <f>0.013/2</f>
        <v>6.4999999999999997E-3</v>
      </c>
      <c r="Z3859" s="165"/>
    </row>
    <row r="3860" spans="1:30" ht="15" customHeight="1">
      <c r="A3860" s="404" t="s">
        <v>4668</v>
      </c>
      <c r="B3860" s="402" t="s">
        <v>4931</v>
      </c>
      <c r="C3860" s="113" t="s">
        <v>6291</v>
      </c>
      <c r="D3860" s="393" t="s">
        <v>1484</v>
      </c>
      <c r="E3860" s="394" t="s">
        <v>235</v>
      </c>
      <c r="G3860" s="405" t="s">
        <v>6292</v>
      </c>
      <c r="H3860" s="74">
        <v>4151</v>
      </c>
      <c r="I3860" s="50" t="s">
        <v>2</v>
      </c>
      <c r="J3860" s="339" t="s">
        <v>249</v>
      </c>
      <c r="K3860" s="51">
        <v>41538</v>
      </c>
      <c r="L3860" s="173">
        <v>41529</v>
      </c>
      <c r="M3860" s="50">
        <f t="shared" si="236"/>
        <v>9</v>
      </c>
      <c r="N3860" s="50" t="s">
        <v>2</v>
      </c>
      <c r="O3860" s="74">
        <f>5/2</f>
        <v>2.5</v>
      </c>
      <c r="P3860" s="50">
        <v>6</v>
      </c>
      <c r="Q3860" s="74">
        <v>6.46</v>
      </c>
      <c r="R3860" s="50">
        <v>160</v>
      </c>
      <c r="S3860" s="74">
        <v>110</v>
      </c>
      <c r="T3860" s="50">
        <v>0.16</v>
      </c>
      <c r="U3860" s="131">
        <v>1.1000000000000001</v>
      </c>
      <c r="V3860" s="50">
        <f>0.1/2</f>
        <v>0.05</v>
      </c>
      <c r="W3860" s="74">
        <f>0.04/2</f>
        <v>0.02</v>
      </c>
      <c r="X3860" s="50">
        <v>0.2</v>
      </c>
      <c r="Y3860" s="74">
        <v>4.4999999999999998E-2</v>
      </c>
      <c r="Z3860" s="165"/>
    </row>
    <row r="3861" spans="1:30" ht="15" customHeight="1">
      <c r="A3861" s="404" t="s">
        <v>4668</v>
      </c>
      <c r="B3861" s="402" t="s">
        <v>6310</v>
      </c>
      <c r="C3861" s="113" t="s">
        <v>6310</v>
      </c>
      <c r="D3861" s="393" t="s">
        <v>379</v>
      </c>
      <c r="F3861" s="402" t="s">
        <v>6024</v>
      </c>
      <c r="G3861" s="405" t="s">
        <v>6311</v>
      </c>
      <c r="H3861" s="74">
        <v>3493</v>
      </c>
      <c r="I3861" s="50" t="s">
        <v>2</v>
      </c>
      <c r="J3861" s="339" t="s">
        <v>1061</v>
      </c>
      <c r="K3861" s="51">
        <v>41324</v>
      </c>
      <c r="L3861" s="173">
        <v>41316</v>
      </c>
      <c r="M3861" s="50">
        <f t="shared" si="236"/>
        <v>8</v>
      </c>
      <c r="N3861" s="50" t="s">
        <v>1</v>
      </c>
      <c r="O3861" s="74">
        <f>1.8/2</f>
        <v>0.9</v>
      </c>
      <c r="P3861" s="50">
        <v>7.08</v>
      </c>
      <c r="Q3861" s="74">
        <v>6.97</v>
      </c>
      <c r="R3861" s="50">
        <v>800</v>
      </c>
      <c r="S3861" s="74">
        <v>248</v>
      </c>
      <c r="T3861" s="50">
        <v>0.35899999999999999</v>
      </c>
      <c r="U3861" s="131">
        <v>4.8</v>
      </c>
      <c r="V3861" s="50">
        <v>1.01</v>
      </c>
      <c r="W3861" s="74">
        <v>6.2E-2</v>
      </c>
      <c r="X3861" s="50">
        <v>0.20599999999999999</v>
      </c>
      <c r="Y3861" s="74">
        <v>1.89E-2</v>
      </c>
      <c r="Z3861" s="165"/>
    </row>
    <row r="3862" spans="1:30" ht="15" customHeight="1">
      <c r="A3862" s="404" t="s">
        <v>4668</v>
      </c>
      <c r="B3862" s="402" t="s">
        <v>6310</v>
      </c>
      <c r="C3862" s="113" t="s">
        <v>6310</v>
      </c>
      <c r="D3862" s="393" t="s">
        <v>379</v>
      </c>
      <c r="F3862" s="402" t="s">
        <v>6024</v>
      </c>
      <c r="G3862" s="405" t="s">
        <v>6311</v>
      </c>
      <c r="H3862" s="74">
        <v>3493</v>
      </c>
      <c r="I3862" s="50" t="s">
        <v>2</v>
      </c>
      <c r="J3862" s="339" t="s">
        <v>1062</v>
      </c>
      <c r="K3862" s="51">
        <v>41324</v>
      </c>
      <c r="L3862" s="173">
        <v>41316</v>
      </c>
      <c r="M3862" s="50">
        <f t="shared" si="236"/>
        <v>8</v>
      </c>
      <c r="N3862" s="50" t="s">
        <v>1</v>
      </c>
      <c r="O3862" s="74">
        <f>1.9/2</f>
        <v>0.95</v>
      </c>
      <c r="P3862" s="50">
        <v>7.08</v>
      </c>
      <c r="Q3862" s="74">
        <v>7.54</v>
      </c>
      <c r="R3862" s="50">
        <v>10</v>
      </c>
      <c r="S3862" s="74">
        <v>10</v>
      </c>
      <c r="T3862" s="50">
        <v>0.13400000000000001</v>
      </c>
      <c r="U3862" s="131">
        <v>2.7</v>
      </c>
      <c r="V3862" s="50">
        <v>0.65</v>
      </c>
      <c r="W3862" s="74">
        <v>5.0000000000000001E-3</v>
      </c>
      <c r="X3862" s="50">
        <v>0.13500000000000001</v>
      </c>
      <c r="Y3862" s="74">
        <f>0.005/2</f>
        <v>2.5000000000000001E-3</v>
      </c>
      <c r="Z3862" s="165"/>
    </row>
    <row r="3863" spans="1:30" ht="15" customHeight="1">
      <c r="A3863" s="404" t="s">
        <v>4668</v>
      </c>
      <c r="B3863" s="402" t="s">
        <v>6310</v>
      </c>
      <c r="C3863" s="113" t="s">
        <v>6310</v>
      </c>
      <c r="D3863" s="393" t="s">
        <v>379</v>
      </c>
      <c r="F3863" s="402" t="s">
        <v>6024</v>
      </c>
      <c r="G3863" s="405" t="s">
        <v>6311</v>
      </c>
      <c r="H3863" s="74">
        <v>3493</v>
      </c>
      <c r="I3863" s="50" t="s">
        <v>2</v>
      </c>
      <c r="J3863" s="339" t="s">
        <v>1061</v>
      </c>
      <c r="K3863" s="51">
        <v>41539</v>
      </c>
      <c r="L3863" s="173">
        <v>41529</v>
      </c>
      <c r="M3863" s="50">
        <f t="shared" si="236"/>
        <v>10</v>
      </c>
      <c r="N3863" s="50" t="s">
        <v>2</v>
      </c>
      <c r="O3863" s="74">
        <f>1.8/2</f>
        <v>0.9</v>
      </c>
      <c r="P3863" s="50">
        <v>6.74</v>
      </c>
      <c r="Q3863" s="74">
        <v>6.4</v>
      </c>
      <c r="R3863" s="50">
        <v>21</v>
      </c>
      <c r="S3863" s="74">
        <v>26.2</v>
      </c>
      <c r="T3863" s="50">
        <v>6.9000000000000006E-2</v>
      </c>
      <c r="U3863" s="131">
        <v>1.6</v>
      </c>
      <c r="V3863" s="50">
        <f>0.46/2</f>
        <v>0.23</v>
      </c>
      <c r="W3863" s="74">
        <v>1.0999999999999999E-2</v>
      </c>
      <c r="X3863" s="50">
        <v>4.5999999999999999E-2</v>
      </c>
      <c r="Y3863" s="74">
        <f>0.005/2</f>
        <v>2.5000000000000001E-3</v>
      </c>
      <c r="Z3863" s="165">
        <v>1</v>
      </c>
      <c r="AA3863" s="271">
        <v>1</v>
      </c>
      <c r="AB3863" s="114">
        <v>12</v>
      </c>
      <c r="AC3863" s="50">
        <v>43</v>
      </c>
      <c r="AD3863" s="271">
        <v>1</v>
      </c>
    </row>
    <row r="3864" spans="1:30" ht="15" customHeight="1">
      <c r="A3864" s="404" t="s">
        <v>4668</v>
      </c>
      <c r="B3864" s="402" t="s">
        <v>6310</v>
      </c>
      <c r="C3864" s="113" t="s">
        <v>6310</v>
      </c>
      <c r="D3864" s="393" t="s">
        <v>379</v>
      </c>
      <c r="F3864" s="402" t="s">
        <v>6024</v>
      </c>
      <c r="G3864" s="405" t="s">
        <v>6311</v>
      </c>
      <c r="H3864" s="74">
        <v>3493</v>
      </c>
      <c r="I3864" s="50" t="s">
        <v>2</v>
      </c>
      <c r="J3864" s="339" t="s">
        <v>1062</v>
      </c>
      <c r="K3864" s="51">
        <v>41539</v>
      </c>
      <c r="L3864" s="173">
        <v>41529</v>
      </c>
      <c r="M3864" s="50">
        <f t="shared" si="236"/>
        <v>10</v>
      </c>
      <c r="N3864" s="50" t="s">
        <v>2</v>
      </c>
      <c r="O3864" s="74">
        <f>1.8/2</f>
        <v>0.9</v>
      </c>
      <c r="P3864" s="50">
        <v>6.74</v>
      </c>
      <c r="Q3864" s="74">
        <v>6.3</v>
      </c>
      <c r="R3864" s="50">
        <f>20/2</f>
        <v>10</v>
      </c>
      <c r="S3864" s="74">
        <v>6.8</v>
      </c>
      <c r="T3864" s="50">
        <v>6.4000000000000001E-2</v>
      </c>
      <c r="U3864" s="131">
        <v>1.5</v>
      </c>
      <c r="V3864" s="50">
        <v>0.57999999999999996</v>
      </c>
      <c r="W3864" s="74">
        <v>8.0000000000000002E-3</v>
      </c>
      <c r="X3864" s="50">
        <v>0.20200000000000001</v>
      </c>
      <c r="Y3864" s="74">
        <f>0.005/2</f>
        <v>2.5000000000000001E-3</v>
      </c>
      <c r="Z3864" s="165">
        <v>1</v>
      </c>
      <c r="AA3864" s="271">
        <v>0.70699999999999996</v>
      </c>
      <c r="AB3864" s="114">
        <v>6</v>
      </c>
      <c r="AC3864" s="50">
        <v>33</v>
      </c>
      <c r="AD3864" s="271">
        <v>0</v>
      </c>
    </row>
    <row r="3865" spans="1:30" ht="15" customHeight="1">
      <c r="A3865" s="404" t="s">
        <v>4668</v>
      </c>
      <c r="B3865" s="402" t="s">
        <v>6204</v>
      </c>
      <c r="C3865" s="113" t="s">
        <v>6312</v>
      </c>
      <c r="D3865" s="393" t="s">
        <v>910</v>
      </c>
      <c r="E3865" s="394" t="s">
        <v>6313</v>
      </c>
      <c r="F3865" s="402">
        <v>4000</v>
      </c>
      <c r="G3865" s="405" t="s">
        <v>6314</v>
      </c>
      <c r="H3865" s="74">
        <v>4225</v>
      </c>
      <c r="I3865" s="50" t="s">
        <v>2</v>
      </c>
      <c r="J3865" s="339" t="s">
        <v>1119</v>
      </c>
      <c r="K3865" s="51">
        <v>41579</v>
      </c>
      <c r="L3865" s="173">
        <v>41554</v>
      </c>
      <c r="M3865" s="50">
        <f t="shared" si="236"/>
        <v>25</v>
      </c>
      <c r="N3865" s="50" t="s">
        <v>2</v>
      </c>
      <c r="O3865" s="74">
        <f>5/2</f>
        <v>2.5</v>
      </c>
      <c r="P3865" s="50">
        <v>6.3</v>
      </c>
      <c r="Q3865" s="74">
        <v>6.6</v>
      </c>
      <c r="R3865" s="50">
        <v>150</v>
      </c>
      <c r="S3865" s="74">
        <v>73</v>
      </c>
      <c r="T3865" s="50">
        <v>0.26</v>
      </c>
      <c r="U3865" s="131">
        <v>1.6</v>
      </c>
      <c r="V3865" s="50">
        <v>0.34</v>
      </c>
      <c r="W3865" s="74">
        <f>0.04/2</f>
        <v>0.02</v>
      </c>
      <c r="X3865" s="50">
        <v>0.3</v>
      </c>
      <c r="Y3865" s="74">
        <v>1.7000000000000001E-2</v>
      </c>
      <c r="Z3865" s="165">
        <v>1</v>
      </c>
      <c r="AA3865" s="271">
        <v>1</v>
      </c>
      <c r="AB3865" s="114">
        <v>25</v>
      </c>
      <c r="AC3865" s="50">
        <v>61.8</v>
      </c>
      <c r="AD3865" s="271">
        <v>1</v>
      </c>
    </row>
    <row r="3866" spans="1:30" ht="15" customHeight="1">
      <c r="A3866" s="404" t="s">
        <v>4668</v>
      </c>
      <c r="B3866" s="402" t="s">
        <v>6204</v>
      </c>
      <c r="C3866" s="113" t="s">
        <v>6312</v>
      </c>
      <c r="D3866" s="393" t="s">
        <v>910</v>
      </c>
      <c r="E3866" s="394" t="s">
        <v>6313</v>
      </c>
      <c r="F3866" s="402">
        <v>4000</v>
      </c>
      <c r="G3866" s="405" t="s">
        <v>6314</v>
      </c>
      <c r="H3866" s="74">
        <v>4225</v>
      </c>
      <c r="I3866" s="50" t="s">
        <v>2</v>
      </c>
      <c r="J3866" s="339" t="s">
        <v>1119</v>
      </c>
      <c r="K3866" s="51">
        <v>41744</v>
      </c>
      <c r="L3866" s="173">
        <v>41737</v>
      </c>
      <c r="M3866" s="50">
        <f t="shared" si="236"/>
        <v>7</v>
      </c>
      <c r="N3866" s="50" t="s">
        <v>2</v>
      </c>
      <c r="O3866" s="74">
        <f>5/2</f>
        <v>2.5</v>
      </c>
      <c r="P3866" s="50">
        <v>5.2</v>
      </c>
      <c r="Q3866" s="74">
        <v>5.5</v>
      </c>
      <c r="R3866" s="50">
        <v>13</v>
      </c>
      <c r="S3866" s="74">
        <v>16</v>
      </c>
      <c r="T3866" s="50">
        <f>0.1/2</f>
        <v>0.05</v>
      </c>
      <c r="U3866" s="131">
        <f>1/2</f>
        <v>0.5</v>
      </c>
      <c r="V3866" s="50">
        <v>1.7</v>
      </c>
      <c r="W3866" s="74">
        <f>0.04/2</f>
        <v>0.02</v>
      </c>
      <c r="X3866" s="50">
        <v>3.2000000000000001E-2</v>
      </c>
      <c r="Y3866" s="74">
        <f>0.013/2</f>
        <v>6.4999999999999997E-3</v>
      </c>
      <c r="Z3866" s="165"/>
    </row>
    <row r="3867" spans="1:30" ht="15" customHeight="1">
      <c r="A3867" s="404" t="s">
        <v>4668</v>
      </c>
      <c r="B3867" s="402" t="s">
        <v>6204</v>
      </c>
      <c r="C3867" s="113" t="s">
        <v>6312</v>
      </c>
      <c r="D3867" s="393" t="s">
        <v>910</v>
      </c>
      <c r="E3867" s="394" t="s">
        <v>6313</v>
      </c>
      <c r="F3867" s="402">
        <v>4000</v>
      </c>
      <c r="G3867" s="405" t="s">
        <v>6314</v>
      </c>
      <c r="H3867" s="74">
        <v>4225</v>
      </c>
      <c r="I3867" s="50" t="s">
        <v>2</v>
      </c>
      <c r="J3867" s="339" t="s">
        <v>1119</v>
      </c>
      <c r="K3867" s="51">
        <v>41449</v>
      </c>
      <c r="L3867" s="173">
        <v>41443</v>
      </c>
      <c r="M3867" s="50">
        <f t="shared" si="236"/>
        <v>6</v>
      </c>
      <c r="N3867" s="50" t="s">
        <v>2</v>
      </c>
      <c r="O3867" s="74">
        <f>5/2</f>
        <v>2.5</v>
      </c>
      <c r="P3867" s="50">
        <v>7</v>
      </c>
      <c r="Q3867" s="74">
        <v>6.7</v>
      </c>
      <c r="R3867" s="50">
        <v>500</v>
      </c>
      <c r="S3867" s="74">
        <v>520</v>
      </c>
      <c r="T3867" s="50">
        <v>0.98</v>
      </c>
      <c r="U3867" s="131">
        <v>5</v>
      </c>
      <c r="V3867" s="50">
        <v>2.2999999999999998</v>
      </c>
      <c r="W3867" s="74">
        <v>5.3999999999999999E-2</v>
      </c>
      <c r="X3867" s="50">
        <v>0.34</v>
      </c>
      <c r="Y3867" s="74">
        <v>7.3999999999999996E-2</v>
      </c>
      <c r="Z3867" s="165">
        <v>1</v>
      </c>
      <c r="AA3867" s="271">
        <v>1</v>
      </c>
      <c r="AB3867" s="114">
        <v>46</v>
      </c>
      <c r="AC3867" s="50">
        <v>143</v>
      </c>
      <c r="AD3867" s="271">
        <v>0.95</v>
      </c>
    </row>
    <row r="3868" spans="1:30" ht="15" customHeight="1">
      <c r="A3868" s="404" t="s">
        <v>4668</v>
      </c>
      <c r="B3868" s="402" t="s">
        <v>6285</v>
      </c>
      <c r="C3868" s="113" t="s">
        <v>6286</v>
      </c>
      <c r="D3868" s="393" t="s">
        <v>56</v>
      </c>
      <c r="E3868" s="394" t="s">
        <v>95</v>
      </c>
      <c r="F3868" s="402">
        <v>5000</v>
      </c>
      <c r="G3868" s="405" t="s">
        <v>6287</v>
      </c>
      <c r="H3868" s="74">
        <v>4953</v>
      </c>
      <c r="I3868" s="50" t="s">
        <v>2</v>
      </c>
      <c r="J3868" s="48" t="s">
        <v>6288</v>
      </c>
      <c r="K3868" s="51">
        <v>41683</v>
      </c>
      <c r="L3868" s="173">
        <v>41679</v>
      </c>
      <c r="M3868" s="50">
        <f t="shared" si="236"/>
        <v>4</v>
      </c>
      <c r="N3868" s="50" t="s">
        <v>2</v>
      </c>
      <c r="O3868" s="74">
        <f>5/2</f>
        <v>2.5</v>
      </c>
      <c r="P3868" s="50">
        <v>8.06</v>
      </c>
      <c r="Q3868" s="74">
        <v>8.64</v>
      </c>
      <c r="R3868" s="50">
        <v>63</v>
      </c>
      <c r="S3868" s="74">
        <v>10</v>
      </c>
      <c r="T3868" s="50">
        <v>0.46</v>
      </c>
      <c r="U3868" s="131">
        <v>1.4</v>
      </c>
      <c r="V3868" s="50">
        <v>0.23</v>
      </c>
      <c r="W3868" s="74">
        <v>9.6000000000000002E-2</v>
      </c>
      <c r="X3868" s="50">
        <v>9.5000000000000001E-2</v>
      </c>
      <c r="Y3868" s="74">
        <f>0.013/2</f>
        <v>6.4999999999999997E-3</v>
      </c>
      <c r="Z3868" s="165"/>
    </row>
    <row r="3869" spans="1:30" ht="15" customHeight="1">
      <c r="A3869" s="404" t="s">
        <v>4668</v>
      </c>
      <c r="B3869" s="402" t="s">
        <v>6315</v>
      </c>
      <c r="C3869" s="113" t="s">
        <v>6316</v>
      </c>
      <c r="D3869" s="393" t="s">
        <v>567</v>
      </c>
      <c r="E3869" s="394" t="s">
        <v>6317</v>
      </c>
      <c r="F3869" s="402">
        <v>7409</v>
      </c>
      <c r="G3869" s="405" t="s">
        <v>6318</v>
      </c>
      <c r="H3869" s="74">
        <v>3449</v>
      </c>
      <c r="I3869" s="50" t="s">
        <v>2</v>
      </c>
      <c r="J3869" s="339" t="s">
        <v>1119</v>
      </c>
      <c r="K3869" s="51">
        <v>41554</v>
      </c>
      <c r="L3869" s="173">
        <v>41538</v>
      </c>
      <c r="M3869" s="50">
        <f t="shared" si="236"/>
        <v>16</v>
      </c>
      <c r="N3869" s="50" t="s">
        <v>2</v>
      </c>
      <c r="O3869" s="74">
        <v>6.1</v>
      </c>
      <c r="P3869" s="50">
        <v>7.2</v>
      </c>
      <c r="Q3869" s="74">
        <v>7.7</v>
      </c>
      <c r="R3869" s="50">
        <v>85</v>
      </c>
      <c r="S3869" s="74">
        <v>16</v>
      </c>
      <c r="T3869" s="50">
        <v>0.27</v>
      </c>
      <c r="U3869" s="131">
        <v>3.3</v>
      </c>
      <c r="V3869" s="50">
        <v>0.43</v>
      </c>
      <c r="W3869" s="74">
        <f>0.04/2</f>
        <v>0.02</v>
      </c>
      <c r="X3869" s="50">
        <v>0.63</v>
      </c>
      <c r="Y3869" s="74">
        <f>0.013/2</f>
        <v>6.4999999999999997E-3</v>
      </c>
      <c r="Z3869" s="165">
        <v>1</v>
      </c>
      <c r="AA3869" s="271">
        <v>0.80600000000000005</v>
      </c>
    </row>
    <row r="3870" spans="1:30" ht="15" customHeight="1">
      <c r="A3870" s="404" t="s">
        <v>4668</v>
      </c>
      <c r="B3870" s="402" t="s">
        <v>6315</v>
      </c>
      <c r="C3870" s="113" t="s">
        <v>6316</v>
      </c>
      <c r="D3870" s="393" t="s">
        <v>567</v>
      </c>
      <c r="E3870" s="394" t="s">
        <v>6317</v>
      </c>
      <c r="F3870" s="402">
        <v>7409</v>
      </c>
      <c r="G3870" s="405" t="s">
        <v>6318</v>
      </c>
      <c r="H3870" s="74">
        <v>3449</v>
      </c>
      <c r="I3870" s="50" t="s">
        <v>2</v>
      </c>
      <c r="J3870" s="339" t="s">
        <v>1119</v>
      </c>
      <c r="K3870" s="51">
        <v>41579</v>
      </c>
      <c r="L3870" s="173">
        <v>41554</v>
      </c>
      <c r="M3870" s="50">
        <f t="shared" si="236"/>
        <v>25</v>
      </c>
      <c r="N3870" s="50" t="s">
        <v>2</v>
      </c>
      <c r="O3870" s="74">
        <f>5/2</f>
        <v>2.5</v>
      </c>
      <c r="P3870" s="50">
        <v>7.2</v>
      </c>
      <c r="Q3870" s="74">
        <v>6.3</v>
      </c>
      <c r="R3870" s="50">
        <v>210</v>
      </c>
      <c r="S3870" s="74">
        <v>84</v>
      </c>
      <c r="T3870" s="50">
        <f>0.1/2</f>
        <v>0.05</v>
      </c>
      <c r="U3870" s="131">
        <v>2.9</v>
      </c>
      <c r="V3870" s="50">
        <v>0.57999999999999996</v>
      </c>
      <c r="W3870" s="74">
        <v>5.8000000000000003E-2</v>
      </c>
      <c r="X3870" s="50">
        <v>1</v>
      </c>
      <c r="Y3870" s="74">
        <v>1.2999999999999999E-2</v>
      </c>
      <c r="Z3870" s="165"/>
    </row>
    <row r="3871" spans="1:30" ht="15" customHeight="1">
      <c r="A3871" s="404" t="s">
        <v>4668</v>
      </c>
      <c r="B3871" s="402" t="s">
        <v>6319</v>
      </c>
      <c r="C3871" s="113" t="s">
        <v>6319</v>
      </c>
      <c r="D3871" s="393" t="s">
        <v>356</v>
      </c>
      <c r="E3871" s="394" t="s">
        <v>6320</v>
      </c>
      <c r="F3871" s="402" t="s">
        <v>6321</v>
      </c>
      <c r="G3871" s="405" t="s">
        <v>6322</v>
      </c>
      <c r="H3871" s="74">
        <v>3825</v>
      </c>
      <c r="I3871" s="50" t="s">
        <v>2</v>
      </c>
      <c r="J3871" s="339" t="s">
        <v>510</v>
      </c>
      <c r="K3871" s="51">
        <v>41579</v>
      </c>
      <c r="L3871" s="173">
        <v>41566</v>
      </c>
      <c r="M3871" s="50">
        <f t="shared" si="236"/>
        <v>13</v>
      </c>
      <c r="N3871" s="50" t="s">
        <v>2</v>
      </c>
      <c r="O3871" s="74">
        <f>1.4/2</f>
        <v>0.7</v>
      </c>
      <c r="P3871" s="50">
        <v>6.4</v>
      </c>
      <c r="Q3871" s="74">
        <v>5.83</v>
      </c>
      <c r="R3871" s="50">
        <v>30</v>
      </c>
      <c r="S3871" s="74">
        <f>5/2</f>
        <v>2.5</v>
      </c>
      <c r="T3871" s="50">
        <v>0.08</v>
      </c>
      <c r="U3871" s="131">
        <v>0.9</v>
      </c>
      <c r="V3871" s="50">
        <v>0.43</v>
      </c>
      <c r="W3871" s="74">
        <v>7.0000000000000001E-3</v>
      </c>
      <c r="X3871" s="50">
        <v>0.24199999999999999</v>
      </c>
      <c r="Y3871" s="74">
        <v>4.0000000000000001E-3</v>
      </c>
      <c r="Z3871" s="165">
        <v>1</v>
      </c>
      <c r="AA3871" s="271">
        <v>0.68300000000000005</v>
      </c>
      <c r="AB3871" s="114">
        <v>6</v>
      </c>
      <c r="AC3871" s="50">
        <v>28</v>
      </c>
      <c r="AD3871" s="271">
        <v>0</v>
      </c>
    </row>
    <row r="3872" spans="1:30" ht="15" customHeight="1">
      <c r="A3872" s="404" t="s">
        <v>4668</v>
      </c>
      <c r="B3872" s="402" t="s">
        <v>3070</v>
      </c>
      <c r="C3872" s="113" t="s">
        <v>4774</v>
      </c>
      <c r="D3872" s="393" t="s">
        <v>1830</v>
      </c>
      <c r="E3872" s="394" t="s">
        <v>4671</v>
      </c>
      <c r="F3872" s="402">
        <v>7106</v>
      </c>
      <c r="G3872" s="405" t="s">
        <v>4775</v>
      </c>
      <c r="H3872" s="74">
        <v>3273</v>
      </c>
      <c r="I3872" s="50" t="s">
        <v>1</v>
      </c>
      <c r="J3872" s="339" t="s">
        <v>6323</v>
      </c>
      <c r="K3872" s="51">
        <v>41554</v>
      </c>
      <c r="L3872" s="173" t="s">
        <v>5380</v>
      </c>
      <c r="N3872" s="50" t="s">
        <v>2</v>
      </c>
      <c r="O3872" s="74">
        <f>5/2</f>
        <v>2.5</v>
      </c>
      <c r="P3872" s="50">
        <v>6.82</v>
      </c>
      <c r="Q3872" s="74">
        <v>6.86</v>
      </c>
      <c r="R3872" s="50">
        <v>14</v>
      </c>
      <c r="S3872" s="74">
        <v>14</v>
      </c>
      <c r="T3872" s="50">
        <f>0.1/2</f>
        <v>0.05</v>
      </c>
      <c r="U3872" s="131">
        <f>1/2</f>
        <v>0.5</v>
      </c>
      <c r="V3872" s="50">
        <v>0.21</v>
      </c>
      <c r="W3872" s="74">
        <f>0.04/2</f>
        <v>0.02</v>
      </c>
      <c r="X3872" s="50">
        <v>3.5999999999999997E-2</v>
      </c>
      <c r="Y3872" s="74">
        <f>0.013/2</f>
        <v>6.4999999999999997E-3</v>
      </c>
      <c r="Z3872" s="165">
        <v>1</v>
      </c>
      <c r="AA3872" s="271">
        <v>1</v>
      </c>
      <c r="AB3872" s="114">
        <v>9.4</v>
      </c>
      <c r="AC3872" s="50">
        <v>33</v>
      </c>
      <c r="AD3872" s="271">
        <v>1</v>
      </c>
    </row>
    <row r="3873" spans="1:30" ht="15" customHeight="1">
      <c r="A3873" s="404" t="s">
        <v>4668</v>
      </c>
      <c r="B3873" s="402" t="s">
        <v>4891</v>
      </c>
      <c r="C3873" s="113" t="s">
        <v>3089</v>
      </c>
      <c r="D3873" s="393" t="s">
        <v>3090</v>
      </c>
      <c r="E3873" s="394" t="s">
        <v>4893</v>
      </c>
      <c r="F3873" s="402" t="s">
        <v>3091</v>
      </c>
      <c r="G3873" s="405" t="s">
        <v>3092</v>
      </c>
      <c r="H3873" s="74">
        <v>4200</v>
      </c>
      <c r="I3873" s="50" t="s">
        <v>2</v>
      </c>
      <c r="J3873" s="339" t="s">
        <v>3094</v>
      </c>
      <c r="K3873" s="51">
        <v>41345</v>
      </c>
      <c r="L3873" s="173">
        <v>41341</v>
      </c>
      <c r="M3873" s="50">
        <f t="shared" si="236"/>
        <v>4</v>
      </c>
      <c r="N3873" s="50" t="s">
        <v>2</v>
      </c>
      <c r="O3873" s="74">
        <f>5/2</f>
        <v>2.5</v>
      </c>
      <c r="P3873" s="50">
        <v>6.5</v>
      </c>
      <c r="Q3873" s="74">
        <v>8.3000000000000007</v>
      </c>
      <c r="R3873" s="50">
        <v>600</v>
      </c>
      <c r="S3873" s="74">
        <v>1100</v>
      </c>
      <c r="T3873" s="50">
        <v>3.2</v>
      </c>
      <c r="U3873" s="131">
        <v>5.4</v>
      </c>
      <c r="V3873" s="50">
        <v>0.15</v>
      </c>
      <c r="W3873" s="74">
        <v>0.17</v>
      </c>
      <c r="X3873" s="50">
        <v>1.5</v>
      </c>
      <c r="Y3873" s="74">
        <v>0.15</v>
      </c>
      <c r="Z3873" s="165">
        <v>1</v>
      </c>
      <c r="AA3873" s="271">
        <v>1</v>
      </c>
      <c r="AB3873" s="114">
        <v>24</v>
      </c>
      <c r="AC3873" s="50">
        <v>145</v>
      </c>
      <c r="AD3873" s="271">
        <v>1</v>
      </c>
    </row>
    <row r="3874" spans="1:30" ht="15" customHeight="1">
      <c r="A3874" s="404" t="s">
        <v>4668</v>
      </c>
      <c r="B3874" s="402" t="s">
        <v>4891</v>
      </c>
      <c r="C3874" s="113" t="s">
        <v>3089</v>
      </c>
      <c r="D3874" s="393" t="s">
        <v>3090</v>
      </c>
      <c r="E3874" s="394" t="s">
        <v>4893</v>
      </c>
      <c r="F3874" s="402" t="s">
        <v>3091</v>
      </c>
      <c r="G3874" s="405" t="s">
        <v>3092</v>
      </c>
      <c r="H3874" s="74">
        <v>4200</v>
      </c>
      <c r="I3874" s="50" t="s">
        <v>2</v>
      </c>
      <c r="J3874" s="339" t="s">
        <v>4894</v>
      </c>
      <c r="K3874" s="51">
        <v>41345</v>
      </c>
      <c r="L3874" s="173">
        <v>41341</v>
      </c>
      <c r="M3874" s="50">
        <f t="shared" si="236"/>
        <v>4</v>
      </c>
      <c r="N3874" s="50" t="s">
        <v>2</v>
      </c>
      <c r="O3874" s="74">
        <f>5/2</f>
        <v>2.5</v>
      </c>
      <c r="P3874" s="50">
        <v>6.5</v>
      </c>
      <c r="Q3874" s="74">
        <v>6.8</v>
      </c>
      <c r="R3874" s="50">
        <v>150</v>
      </c>
      <c r="S3874" s="74">
        <v>100</v>
      </c>
      <c r="T3874" s="50">
        <v>2.4</v>
      </c>
      <c r="U3874" s="131">
        <v>2.5</v>
      </c>
      <c r="V3874" s="50">
        <v>0.43</v>
      </c>
      <c r="W3874" s="74">
        <v>1.6E-2</v>
      </c>
      <c r="X3874" s="50">
        <v>0.14000000000000001</v>
      </c>
      <c r="Y3874" s="74">
        <v>1.0999999999999999E-2</v>
      </c>
      <c r="Z3874" s="165">
        <v>1</v>
      </c>
      <c r="AA3874" s="271">
        <v>1</v>
      </c>
      <c r="AB3874" s="114">
        <v>20</v>
      </c>
      <c r="AC3874" s="50">
        <v>360</v>
      </c>
      <c r="AD3874" s="271">
        <v>1</v>
      </c>
    </row>
    <row r="3875" spans="1:30" ht="15" customHeight="1">
      <c r="A3875" s="404" t="s">
        <v>4668</v>
      </c>
      <c r="B3875" s="402" t="s">
        <v>4891</v>
      </c>
      <c r="C3875" s="113" t="s">
        <v>3089</v>
      </c>
      <c r="D3875" s="393" t="s">
        <v>3090</v>
      </c>
      <c r="E3875" s="394" t="s">
        <v>4893</v>
      </c>
      <c r="F3875" s="402" t="s">
        <v>3091</v>
      </c>
      <c r="G3875" s="405" t="s">
        <v>3092</v>
      </c>
      <c r="H3875" s="74">
        <v>4200</v>
      </c>
      <c r="I3875" s="50" t="s">
        <v>2</v>
      </c>
      <c r="J3875" s="339" t="s">
        <v>4894</v>
      </c>
      <c r="K3875" s="51">
        <v>41596</v>
      </c>
      <c r="L3875" s="173">
        <v>41585</v>
      </c>
      <c r="M3875" s="50">
        <f t="shared" si="236"/>
        <v>11</v>
      </c>
      <c r="N3875" s="50" t="s">
        <v>2</v>
      </c>
      <c r="O3875" s="74">
        <v>2.7</v>
      </c>
      <c r="P3875" s="50">
        <v>6</v>
      </c>
      <c r="Q3875" s="74">
        <v>6.6</v>
      </c>
      <c r="R3875" s="50">
        <v>140</v>
      </c>
      <c r="S3875" s="74">
        <v>650</v>
      </c>
      <c r="T3875" s="50">
        <v>2.8</v>
      </c>
      <c r="U3875" s="131">
        <v>4.7</v>
      </c>
      <c r="V3875" s="50">
        <v>0.73</v>
      </c>
      <c r="W3875" s="74">
        <v>7.3999999999999996E-2</v>
      </c>
      <c r="X3875" s="50">
        <v>0.43</v>
      </c>
      <c r="Y3875" s="74">
        <v>4.5999999999999999E-2</v>
      </c>
      <c r="Z3875" s="165"/>
    </row>
    <row r="3876" spans="1:30" ht="15" customHeight="1">
      <c r="A3876" s="404" t="s">
        <v>4668</v>
      </c>
      <c r="B3876" s="402" t="s">
        <v>4891</v>
      </c>
      <c r="C3876" s="113" t="s">
        <v>3089</v>
      </c>
      <c r="D3876" s="393" t="s">
        <v>3090</v>
      </c>
      <c r="E3876" s="394" t="s">
        <v>4893</v>
      </c>
      <c r="F3876" s="402" t="s">
        <v>3091</v>
      </c>
      <c r="G3876" s="405" t="s">
        <v>3092</v>
      </c>
      <c r="H3876" s="74">
        <v>4200</v>
      </c>
      <c r="I3876" s="50" t="s">
        <v>2</v>
      </c>
      <c r="J3876" s="339" t="s">
        <v>3094</v>
      </c>
      <c r="K3876" s="51">
        <v>41596</v>
      </c>
      <c r="L3876" s="173">
        <v>41585</v>
      </c>
      <c r="M3876" s="50">
        <f t="shared" si="236"/>
        <v>11</v>
      </c>
      <c r="N3876" s="50" t="s">
        <v>2</v>
      </c>
      <c r="O3876" s="74">
        <v>5.0999999999999996</v>
      </c>
      <c r="P3876" s="50">
        <v>6</v>
      </c>
      <c r="Q3876" s="74">
        <v>8.3000000000000007</v>
      </c>
      <c r="R3876" s="50">
        <v>66</v>
      </c>
      <c r="S3876" s="74">
        <v>110</v>
      </c>
      <c r="T3876" s="50">
        <v>0.25</v>
      </c>
      <c r="U3876" s="131">
        <v>0.63</v>
      </c>
      <c r="V3876" s="50">
        <v>0.13</v>
      </c>
      <c r="W3876" s="74">
        <v>1.4999999999999999E-2</v>
      </c>
      <c r="X3876" s="50">
        <v>9.7000000000000003E-2</v>
      </c>
      <c r="Y3876" s="74">
        <v>1.7999999999999999E-2</v>
      </c>
      <c r="Z3876" s="165"/>
    </row>
    <row r="3877" spans="1:30" ht="15" customHeight="1">
      <c r="A3877" s="404" t="s">
        <v>4668</v>
      </c>
      <c r="B3877" s="402" t="s">
        <v>6324</v>
      </c>
      <c r="C3877" s="113" t="s">
        <v>6324</v>
      </c>
      <c r="D3877" s="393" t="s">
        <v>462</v>
      </c>
      <c r="E3877" s="394" t="s">
        <v>3290</v>
      </c>
      <c r="F3877" s="402" t="s">
        <v>6325</v>
      </c>
      <c r="G3877" s="405" t="s">
        <v>6326</v>
      </c>
      <c r="H3877" s="74">
        <v>3821</v>
      </c>
      <c r="I3877" s="50" t="s">
        <v>2</v>
      </c>
      <c r="J3877" s="339" t="s">
        <v>510</v>
      </c>
      <c r="K3877" s="51">
        <v>41585</v>
      </c>
      <c r="L3877" s="173">
        <v>41579</v>
      </c>
      <c r="M3877" s="50">
        <f t="shared" si="236"/>
        <v>6</v>
      </c>
      <c r="N3877" s="50" t="s">
        <v>2</v>
      </c>
      <c r="O3877" s="74">
        <f>1/2</f>
        <v>0.5</v>
      </c>
      <c r="P3877" s="50">
        <v>4.72</v>
      </c>
      <c r="Q3877" s="74">
        <v>6.3</v>
      </c>
      <c r="R3877" s="50">
        <v>31</v>
      </c>
      <c r="S3877" s="74">
        <f>5/2</f>
        <v>2.5</v>
      </c>
      <c r="T3877" s="50">
        <v>3.9699999999999999E-2</v>
      </c>
      <c r="U3877" s="131">
        <v>0.63</v>
      </c>
      <c r="V3877" s="50">
        <v>0.67</v>
      </c>
      <c r="W3877" s="74">
        <v>5.7000000000000002E-3</v>
      </c>
      <c r="X3877" s="50">
        <v>4.0300000000000002E-2</v>
      </c>
      <c r="Y3877" s="74">
        <f>0.0075/2</f>
        <v>3.7499999999999999E-3</v>
      </c>
      <c r="Z3877" s="165">
        <v>1</v>
      </c>
      <c r="AA3877" s="271">
        <v>1</v>
      </c>
      <c r="AB3877" s="114">
        <v>10</v>
      </c>
      <c r="AC3877" s="50">
        <v>45</v>
      </c>
      <c r="AD3877" s="271">
        <v>1</v>
      </c>
    </row>
    <row r="3878" spans="1:30" ht="15" customHeight="1">
      <c r="A3878" s="404" t="s">
        <v>4668</v>
      </c>
      <c r="B3878" s="402" t="s">
        <v>6324</v>
      </c>
      <c r="C3878" s="113" t="s">
        <v>6324</v>
      </c>
      <c r="D3878" s="393" t="s">
        <v>462</v>
      </c>
      <c r="E3878" s="394" t="s">
        <v>3290</v>
      </c>
      <c r="F3878" s="402" t="s">
        <v>6325</v>
      </c>
      <c r="G3878" s="405" t="s">
        <v>6326</v>
      </c>
      <c r="H3878" s="74">
        <v>3821</v>
      </c>
      <c r="I3878" s="50" t="s">
        <v>2</v>
      </c>
      <c r="J3878" s="339" t="s">
        <v>510</v>
      </c>
      <c r="K3878" s="51">
        <v>41402</v>
      </c>
      <c r="L3878" s="173">
        <v>41384</v>
      </c>
      <c r="M3878" s="50">
        <f t="shared" si="236"/>
        <v>18</v>
      </c>
      <c r="N3878" s="50" t="s">
        <v>2</v>
      </c>
      <c r="O3878" s="74">
        <v>26</v>
      </c>
      <c r="P3878" s="50">
        <v>5.53</v>
      </c>
      <c r="Q3878" s="74">
        <v>7.31</v>
      </c>
      <c r="R3878" s="50">
        <v>105</v>
      </c>
      <c r="S3878" s="74">
        <v>230</v>
      </c>
      <c r="T3878" s="50">
        <v>0.4</v>
      </c>
      <c r="U3878" s="131">
        <v>11.9</v>
      </c>
      <c r="V3878" s="50">
        <v>0.14000000000000001</v>
      </c>
      <c r="W3878" s="74">
        <v>2.5000000000000001E-2</v>
      </c>
      <c r="X3878" s="50">
        <v>9.8000000000000004E-2</v>
      </c>
      <c r="Y3878" s="74">
        <v>0.01</v>
      </c>
      <c r="Z3878" s="165">
        <v>1</v>
      </c>
      <c r="AA3878" s="271">
        <v>1</v>
      </c>
      <c r="AB3878" s="114">
        <v>66</v>
      </c>
      <c r="AC3878" s="50">
        <v>652</v>
      </c>
      <c r="AD3878" s="271">
        <v>1</v>
      </c>
    </row>
    <row r="3879" spans="1:30" ht="15" customHeight="1">
      <c r="A3879" s="404" t="s">
        <v>4668</v>
      </c>
      <c r="B3879" s="402" t="s">
        <v>6324</v>
      </c>
      <c r="C3879" s="113" t="s">
        <v>6324</v>
      </c>
      <c r="D3879" s="393" t="s">
        <v>462</v>
      </c>
      <c r="E3879" s="394" t="s">
        <v>3290</v>
      </c>
      <c r="F3879" s="402" t="s">
        <v>6325</v>
      </c>
      <c r="G3879" s="405" t="s">
        <v>6326</v>
      </c>
      <c r="H3879" s="74">
        <v>3821</v>
      </c>
      <c r="I3879" s="50" t="s">
        <v>2</v>
      </c>
      <c r="J3879" s="339" t="s">
        <v>510</v>
      </c>
      <c r="K3879" s="51">
        <v>41449</v>
      </c>
      <c r="L3879" s="173">
        <v>41445</v>
      </c>
      <c r="M3879" s="50">
        <f t="shared" si="236"/>
        <v>4</v>
      </c>
      <c r="N3879" s="50" t="s">
        <v>2</v>
      </c>
      <c r="O3879" s="74">
        <f>1/2</f>
        <v>0.5</v>
      </c>
      <c r="P3879" s="50">
        <v>4.4000000000000004</v>
      </c>
      <c r="Q3879" s="74">
        <v>6.85</v>
      </c>
      <c r="R3879" s="50">
        <v>22.8</v>
      </c>
      <c r="S3879" s="74">
        <v>5</v>
      </c>
      <c r="T3879" s="50">
        <v>5.5500000000000001E-2</v>
      </c>
      <c r="U3879" s="131">
        <v>0.99</v>
      </c>
      <c r="V3879" s="50">
        <v>0.11</v>
      </c>
      <c r="W3879" s="74">
        <v>8.6E-3</v>
      </c>
      <c r="X3879" s="50">
        <v>1.8100000000000002E-2</v>
      </c>
      <c r="Y3879" s="74">
        <f>0.0075/2</f>
        <v>3.7499999999999999E-3</v>
      </c>
      <c r="Z3879" s="165"/>
    </row>
    <row r="3880" spans="1:30" ht="15" customHeight="1">
      <c r="A3880" s="404" t="s">
        <v>4668</v>
      </c>
      <c r="B3880" s="402" t="s">
        <v>666</v>
      </c>
      <c r="C3880" s="113" t="s">
        <v>6327</v>
      </c>
      <c r="D3880" s="393" t="s">
        <v>213</v>
      </c>
      <c r="E3880" s="394" t="s">
        <v>2087</v>
      </c>
      <c r="F3880" s="402">
        <v>4315</v>
      </c>
      <c r="G3880" s="405" t="s">
        <v>6328</v>
      </c>
      <c r="H3880" s="74">
        <v>3724</v>
      </c>
      <c r="I3880" s="50" t="s">
        <v>1</v>
      </c>
      <c r="J3880" s="339" t="s">
        <v>510</v>
      </c>
      <c r="K3880" s="51">
        <v>41290</v>
      </c>
      <c r="L3880" s="173">
        <v>41285</v>
      </c>
      <c r="M3880" s="50">
        <f t="shared" si="236"/>
        <v>5</v>
      </c>
      <c r="N3880" s="50" t="s">
        <v>1</v>
      </c>
      <c r="O3880" s="74">
        <f>5/2</f>
        <v>2.5</v>
      </c>
      <c r="P3880" s="50">
        <v>7.25</v>
      </c>
      <c r="Q3880" s="74">
        <v>7.04</v>
      </c>
      <c r="R3880" s="50">
        <v>16</v>
      </c>
      <c r="S3880" s="74">
        <v>8</v>
      </c>
      <c r="T3880" s="50">
        <f>0.1/2</f>
        <v>0.05</v>
      </c>
      <c r="U3880" s="131">
        <f>1/2</f>
        <v>0.5</v>
      </c>
      <c r="V3880" s="50">
        <v>0.34</v>
      </c>
      <c r="W3880" s="74">
        <f>0.04/2</f>
        <v>0.02</v>
      </c>
      <c r="X3880" s="50">
        <v>2.5000000000000001E-2</v>
      </c>
      <c r="Y3880" s="74">
        <f>0.013/2</f>
        <v>6.4999999999999997E-3</v>
      </c>
      <c r="Z3880" s="165">
        <v>1</v>
      </c>
      <c r="AA3880" s="271">
        <v>1</v>
      </c>
      <c r="AB3880" s="114">
        <v>65</v>
      </c>
      <c r="AC3880" s="50">
        <v>567</v>
      </c>
      <c r="AD3880" s="271">
        <v>1</v>
      </c>
    </row>
    <row r="3881" spans="1:30" ht="15" customHeight="1">
      <c r="A3881" s="404" t="s">
        <v>4668</v>
      </c>
      <c r="B3881" s="402" t="s">
        <v>666</v>
      </c>
      <c r="C3881" s="113" t="s">
        <v>6327</v>
      </c>
      <c r="D3881" s="393" t="s">
        <v>213</v>
      </c>
      <c r="E3881" s="394" t="s">
        <v>2087</v>
      </c>
      <c r="F3881" s="402">
        <v>4315</v>
      </c>
      <c r="G3881" s="405" t="s">
        <v>6328</v>
      </c>
      <c r="H3881" s="74">
        <v>3724</v>
      </c>
      <c r="I3881" s="50" t="s">
        <v>1</v>
      </c>
      <c r="J3881" s="339" t="s">
        <v>510</v>
      </c>
      <c r="K3881" s="51">
        <v>41499</v>
      </c>
      <c r="L3881" s="173">
        <v>41495</v>
      </c>
      <c r="M3881" s="50">
        <f t="shared" si="236"/>
        <v>4</v>
      </c>
      <c r="N3881" s="50" t="s">
        <v>2</v>
      </c>
      <c r="O3881" s="74">
        <f>5/2</f>
        <v>2.5</v>
      </c>
      <c r="P3881" s="50">
        <v>6.55</v>
      </c>
      <c r="Q3881" s="74">
        <v>7.91</v>
      </c>
      <c r="R3881" s="50">
        <v>29</v>
      </c>
      <c r="S3881" s="74">
        <v>5.5</v>
      </c>
      <c r="T3881" s="50">
        <v>0.11</v>
      </c>
      <c r="U3881" s="131">
        <f>1/2</f>
        <v>0.5</v>
      </c>
      <c r="V3881" s="50">
        <v>0.57999999999999996</v>
      </c>
      <c r="W3881" s="74">
        <f>0.04/2</f>
        <v>0.02</v>
      </c>
      <c r="X3881" s="50">
        <f>0.02/2</f>
        <v>0.01</v>
      </c>
      <c r="Y3881" s="74">
        <f>0.013/2</f>
        <v>6.4999999999999997E-3</v>
      </c>
      <c r="Z3881" s="165"/>
    </row>
    <row r="3882" spans="1:30" ht="15" customHeight="1">
      <c r="A3882" s="404" t="s">
        <v>4668</v>
      </c>
      <c r="B3882" s="402" t="s">
        <v>666</v>
      </c>
      <c r="C3882" s="113" t="s">
        <v>6327</v>
      </c>
      <c r="D3882" s="393" t="s">
        <v>213</v>
      </c>
      <c r="E3882" s="394" t="s">
        <v>2087</v>
      </c>
      <c r="F3882" s="402">
        <v>4315</v>
      </c>
      <c r="G3882" s="405" t="s">
        <v>6328</v>
      </c>
      <c r="H3882" s="74">
        <v>3724</v>
      </c>
      <c r="I3882" s="50" t="s">
        <v>1</v>
      </c>
      <c r="J3882" s="339" t="s">
        <v>510</v>
      </c>
      <c r="K3882" s="51">
        <v>41710</v>
      </c>
      <c r="L3882" s="173">
        <v>41691</v>
      </c>
      <c r="M3882" s="50">
        <f t="shared" si="236"/>
        <v>19</v>
      </c>
      <c r="N3882" s="50" t="s">
        <v>3279</v>
      </c>
      <c r="O3882" s="74">
        <f>5/2</f>
        <v>2.5</v>
      </c>
      <c r="P3882" s="50">
        <v>5.96</v>
      </c>
      <c r="Q3882" s="74">
        <v>6.94</v>
      </c>
      <c r="R3882" s="50">
        <v>120</v>
      </c>
      <c r="S3882" s="74">
        <v>97</v>
      </c>
      <c r="T3882" s="50">
        <v>0.18</v>
      </c>
      <c r="U3882" s="131">
        <v>1.4</v>
      </c>
      <c r="V3882" s="50">
        <v>0.68</v>
      </c>
      <c r="W3882" s="74">
        <f>0.04/2</f>
        <v>0.02</v>
      </c>
      <c r="X3882" s="50">
        <v>8.5999999999999993E-2</v>
      </c>
      <c r="Y3882" s="74">
        <f>0.013/2</f>
        <v>6.4999999999999997E-3</v>
      </c>
      <c r="Z3882" s="165">
        <v>1</v>
      </c>
      <c r="AA3882" s="271">
        <v>1</v>
      </c>
      <c r="AB3882" s="114">
        <v>200</v>
      </c>
      <c r="AC3882" s="50">
        <v>2300</v>
      </c>
      <c r="AD3882" s="271">
        <v>1</v>
      </c>
    </row>
    <row r="3883" spans="1:30" ht="15" customHeight="1">
      <c r="A3883" s="404" t="s">
        <v>4668</v>
      </c>
      <c r="B3883" s="402" t="s">
        <v>5689</v>
      </c>
      <c r="C3883" s="113" t="s">
        <v>5689</v>
      </c>
      <c r="D3883" s="393" t="s">
        <v>338</v>
      </c>
      <c r="E3883" s="394" t="s">
        <v>4295</v>
      </c>
      <c r="F3883" s="401" t="s">
        <v>6329</v>
      </c>
      <c r="G3883" s="405" t="s">
        <v>4296</v>
      </c>
      <c r="H3883" s="74">
        <v>3469</v>
      </c>
      <c r="I3883" s="50" t="s">
        <v>2</v>
      </c>
      <c r="J3883" s="339" t="s">
        <v>1943</v>
      </c>
      <c r="K3883" s="51">
        <v>41403</v>
      </c>
      <c r="L3883" s="173">
        <v>41389</v>
      </c>
      <c r="M3883" s="50">
        <f t="shared" si="236"/>
        <v>14</v>
      </c>
      <c r="N3883" s="50" t="s">
        <v>2</v>
      </c>
      <c r="O3883" s="74">
        <f>1.4/2</f>
        <v>0.7</v>
      </c>
      <c r="P3883" s="50">
        <v>5.5</v>
      </c>
      <c r="Q3883" s="74">
        <v>6.6</v>
      </c>
      <c r="R3883" s="50">
        <v>43</v>
      </c>
      <c r="S3883" s="74">
        <v>95</v>
      </c>
      <c r="T3883" s="50">
        <f>0.062/2</f>
        <v>3.1E-2</v>
      </c>
      <c r="U3883" s="131">
        <v>1.1000000000000001</v>
      </c>
      <c r="V3883" s="50">
        <v>0.2</v>
      </c>
      <c r="W3883" s="74">
        <v>7.7999999999999996E-3</v>
      </c>
      <c r="X3883" s="50">
        <f>0.01/2</f>
        <v>5.0000000000000001E-3</v>
      </c>
      <c r="Y3883" s="74">
        <f>0.005/2</f>
        <v>2.5000000000000001E-3</v>
      </c>
      <c r="Z3883" s="165"/>
    </row>
    <row r="3884" spans="1:30" ht="15" customHeight="1">
      <c r="A3884" s="404" t="s">
        <v>4668</v>
      </c>
      <c r="B3884" s="402" t="s">
        <v>6330</v>
      </c>
      <c r="C3884" s="113" t="s">
        <v>6330</v>
      </c>
      <c r="D3884" s="393" t="s">
        <v>213</v>
      </c>
      <c r="E3884" s="394" t="s">
        <v>364</v>
      </c>
      <c r="G3884" s="405" t="s">
        <v>6331</v>
      </c>
      <c r="H3884" s="74">
        <v>5171</v>
      </c>
      <c r="I3884" s="50" t="s">
        <v>2</v>
      </c>
      <c r="J3884" s="339" t="s">
        <v>6332</v>
      </c>
      <c r="K3884" s="51">
        <v>41264</v>
      </c>
      <c r="L3884" s="173">
        <v>41261</v>
      </c>
      <c r="M3884" s="50">
        <f t="shared" si="236"/>
        <v>3</v>
      </c>
      <c r="N3884" s="50" t="s">
        <v>2</v>
      </c>
      <c r="O3884" s="74">
        <f>1.8/2</f>
        <v>0.9</v>
      </c>
      <c r="P3884" s="50">
        <v>7.2</v>
      </c>
      <c r="Q3884" s="74">
        <v>7.1</v>
      </c>
      <c r="R3884" s="50">
        <v>40</v>
      </c>
      <c r="S3884" s="74">
        <v>11.5</v>
      </c>
      <c r="T3884" s="50">
        <v>0.222</v>
      </c>
      <c r="U3884" s="131">
        <v>1.4</v>
      </c>
      <c r="V3884" s="50">
        <f>0.46/2</f>
        <v>0.23</v>
      </c>
      <c r="W3884" s="74">
        <f>0.012/2</f>
        <v>6.0000000000000001E-3</v>
      </c>
      <c r="X3884" s="50">
        <f>0.047/2</f>
        <v>2.35E-2</v>
      </c>
      <c r="Y3884" s="74">
        <f>0.005/2</f>
        <v>2.5000000000000001E-3</v>
      </c>
      <c r="Z3884" s="165"/>
    </row>
    <row r="3885" spans="1:30" ht="15" customHeight="1">
      <c r="A3885" s="404" t="s">
        <v>4668</v>
      </c>
      <c r="B3885" s="402" t="s">
        <v>6330</v>
      </c>
      <c r="C3885" s="113" t="s">
        <v>6330</v>
      </c>
      <c r="D3885" s="393" t="s">
        <v>213</v>
      </c>
      <c r="E3885" s="394" t="s">
        <v>364</v>
      </c>
      <c r="G3885" s="405" t="s">
        <v>6331</v>
      </c>
      <c r="H3885" s="74">
        <v>5171</v>
      </c>
      <c r="I3885" s="50" t="s">
        <v>2</v>
      </c>
      <c r="J3885" s="339" t="s">
        <v>6333</v>
      </c>
      <c r="K3885" s="51">
        <v>41264</v>
      </c>
      <c r="L3885" s="173">
        <v>41261</v>
      </c>
      <c r="M3885" s="50">
        <f t="shared" si="236"/>
        <v>3</v>
      </c>
      <c r="N3885" s="50" t="s">
        <v>2</v>
      </c>
      <c r="O3885" s="74">
        <f>2/2</f>
        <v>1</v>
      </c>
      <c r="P3885" s="50">
        <v>7.2</v>
      </c>
      <c r="Q3885" s="74">
        <v>7.2</v>
      </c>
      <c r="R3885" s="50">
        <v>38</v>
      </c>
      <c r="S3885" s="74">
        <v>53.6</v>
      </c>
      <c r="T3885" s="50">
        <v>0.108</v>
      </c>
      <c r="U3885" s="131">
        <v>1.4</v>
      </c>
      <c r="V3885" s="50">
        <f>0.46/2</f>
        <v>0.23</v>
      </c>
      <c r="W3885" s="74">
        <f>0.019/2</f>
        <v>9.4999999999999998E-3</v>
      </c>
      <c r="X3885" s="50">
        <f>0.072/2</f>
        <v>3.5999999999999997E-2</v>
      </c>
      <c r="Y3885" s="74">
        <f>0.005/2</f>
        <v>2.5000000000000001E-3</v>
      </c>
      <c r="Z3885" s="165"/>
    </row>
    <row r="3886" spans="1:30" ht="15" customHeight="1">
      <c r="A3886" s="404" t="s">
        <v>4668</v>
      </c>
      <c r="B3886" s="402" t="s">
        <v>6330</v>
      </c>
      <c r="C3886" s="113" t="s">
        <v>6330</v>
      </c>
      <c r="D3886" s="393" t="s">
        <v>213</v>
      </c>
      <c r="E3886" s="394" t="s">
        <v>364</v>
      </c>
      <c r="G3886" s="405" t="s">
        <v>6331</v>
      </c>
      <c r="H3886" s="74">
        <v>5171</v>
      </c>
      <c r="I3886" s="50" t="s">
        <v>2</v>
      </c>
      <c r="J3886" s="339" t="s">
        <v>6332</v>
      </c>
      <c r="K3886" s="51">
        <v>41444</v>
      </c>
      <c r="L3886" s="173">
        <v>41439</v>
      </c>
      <c r="M3886" s="50">
        <f t="shared" si="236"/>
        <v>5</v>
      </c>
      <c r="N3886" s="50" t="s">
        <v>2</v>
      </c>
      <c r="O3886" s="74">
        <f>1.7/2</f>
        <v>0.85</v>
      </c>
      <c r="P3886" s="50">
        <v>7.4</v>
      </c>
      <c r="Q3886" s="74">
        <v>6.9</v>
      </c>
      <c r="R3886" s="50">
        <v>47</v>
      </c>
      <c r="S3886" s="74">
        <v>9.8000000000000007</v>
      </c>
      <c r="T3886" s="50">
        <v>9.6000000000000002E-2</v>
      </c>
      <c r="U3886" s="131">
        <v>1.1000000000000001</v>
      </c>
      <c r="V3886" s="50">
        <v>0.87</v>
      </c>
      <c r="W3886" s="74">
        <f>0.011/2</f>
        <v>5.4999999999999997E-3</v>
      </c>
      <c r="X3886" s="50">
        <f>0.056/2</f>
        <v>2.8000000000000001E-2</v>
      </c>
      <c r="Y3886" s="74">
        <f>0.005/2</f>
        <v>2.5000000000000001E-3</v>
      </c>
      <c r="Z3886" s="165">
        <v>1</v>
      </c>
      <c r="AA3886" s="271">
        <v>1</v>
      </c>
      <c r="AB3886" s="114">
        <v>14</v>
      </c>
      <c r="AC3886" s="50">
        <v>68</v>
      </c>
      <c r="AD3886" s="271">
        <v>1</v>
      </c>
    </row>
    <row r="3887" spans="1:30" ht="15" customHeight="1">
      <c r="A3887" s="404" t="s">
        <v>4668</v>
      </c>
      <c r="B3887" s="402" t="s">
        <v>6330</v>
      </c>
      <c r="C3887" s="113" t="s">
        <v>6330</v>
      </c>
      <c r="D3887" s="393" t="s">
        <v>213</v>
      </c>
      <c r="E3887" s="394" t="s">
        <v>364</v>
      </c>
      <c r="G3887" s="405" t="s">
        <v>6331</v>
      </c>
      <c r="H3887" s="74">
        <v>5171</v>
      </c>
      <c r="I3887" s="50" t="s">
        <v>2</v>
      </c>
      <c r="J3887" s="339" t="s">
        <v>6333</v>
      </c>
      <c r="K3887" s="51">
        <v>41444</v>
      </c>
      <c r="L3887" s="173">
        <v>41439</v>
      </c>
      <c r="M3887" s="50">
        <f t="shared" si="236"/>
        <v>5</v>
      </c>
      <c r="N3887" s="50" t="s">
        <v>2</v>
      </c>
      <c r="O3887" s="74">
        <f>1.7/2</f>
        <v>0.85</v>
      </c>
      <c r="P3887" s="50">
        <v>7.4</v>
      </c>
      <c r="Q3887" s="74">
        <v>7.3</v>
      </c>
      <c r="R3887" s="50">
        <f>20/2</f>
        <v>10</v>
      </c>
      <c r="S3887" s="74">
        <v>7</v>
      </c>
      <c r="T3887" s="50">
        <v>5.2999999999999999E-2</v>
      </c>
      <c r="U3887" s="131">
        <f>1/2</f>
        <v>0.5</v>
      </c>
      <c r="V3887" s="50">
        <v>0.47</v>
      </c>
      <c r="W3887" s="74">
        <f>0.005/2</f>
        <v>2.5000000000000001E-3</v>
      </c>
      <c r="X3887" s="50">
        <f>0.016/2</f>
        <v>8.0000000000000002E-3</v>
      </c>
      <c r="Y3887" s="74">
        <f>0.005/2</f>
        <v>2.5000000000000001E-3</v>
      </c>
      <c r="Z3887" s="165">
        <v>1</v>
      </c>
      <c r="AA3887" s="271">
        <v>1</v>
      </c>
      <c r="AB3887" s="114">
        <v>18</v>
      </c>
      <c r="AC3887" s="50">
        <v>69</v>
      </c>
      <c r="AD3887" s="271">
        <v>1</v>
      </c>
    </row>
    <row r="3888" spans="1:30" ht="15" customHeight="1">
      <c r="A3888" s="404" t="s">
        <v>4668</v>
      </c>
      <c r="B3888" s="402" t="s">
        <v>4935</v>
      </c>
      <c r="C3888" s="113" t="s">
        <v>4935</v>
      </c>
      <c r="D3888" s="393" t="s">
        <v>127</v>
      </c>
      <c r="E3888" s="394" t="s">
        <v>467</v>
      </c>
      <c r="G3888" s="405" t="s">
        <v>4936</v>
      </c>
      <c r="H3888" s="74">
        <v>2759</v>
      </c>
      <c r="I3888" s="50" t="s">
        <v>2</v>
      </c>
      <c r="J3888" s="339" t="s">
        <v>4937</v>
      </c>
      <c r="K3888" s="51">
        <v>41579</v>
      </c>
      <c r="L3888" s="173">
        <v>41554</v>
      </c>
      <c r="M3888" s="50">
        <f t="shared" si="236"/>
        <v>25</v>
      </c>
      <c r="N3888" s="50" t="s">
        <v>2</v>
      </c>
      <c r="O3888" s="74">
        <f>5/2</f>
        <v>2.5</v>
      </c>
      <c r="P3888" s="50">
        <v>6.31</v>
      </c>
      <c r="Q3888" s="74">
        <v>6.64</v>
      </c>
      <c r="R3888" s="50">
        <v>43</v>
      </c>
      <c r="S3888" s="74">
        <v>21</v>
      </c>
      <c r="T3888" s="50">
        <f>0.1/2</f>
        <v>0.05</v>
      </c>
      <c r="U3888" s="131">
        <f>1/2</f>
        <v>0.5</v>
      </c>
      <c r="V3888" s="50">
        <v>0.27</v>
      </c>
      <c r="W3888" s="74">
        <f>0.04/2</f>
        <v>0.02</v>
      </c>
      <c r="X3888" s="50">
        <v>7.3999999999999996E-2</v>
      </c>
      <c r="Y3888" s="74">
        <f>0.013/2</f>
        <v>6.4999999999999997E-3</v>
      </c>
      <c r="Z3888" s="165">
        <v>1</v>
      </c>
      <c r="AA3888" s="271">
        <v>1</v>
      </c>
      <c r="AB3888" s="114">
        <v>3.9</v>
      </c>
      <c r="AC3888" s="50">
        <v>30</v>
      </c>
      <c r="AD3888" s="271">
        <v>0.95</v>
      </c>
    </row>
    <row r="3889" spans="1:79" ht="15" customHeight="1">
      <c r="A3889" s="404" t="s">
        <v>4668</v>
      </c>
      <c r="B3889" s="402" t="s">
        <v>6334</v>
      </c>
      <c r="C3889" s="113" t="s">
        <v>6334</v>
      </c>
      <c r="D3889" s="393" t="s">
        <v>1683</v>
      </c>
      <c r="E3889" s="394" t="s">
        <v>467</v>
      </c>
      <c r="F3889" s="402">
        <v>6025</v>
      </c>
      <c r="G3889" s="405" t="s">
        <v>6335</v>
      </c>
      <c r="H3889" s="74">
        <v>3613</v>
      </c>
      <c r="I3889" s="50" t="s">
        <v>2</v>
      </c>
      <c r="J3889" s="339" t="s">
        <v>194</v>
      </c>
      <c r="K3889" s="51">
        <v>41030</v>
      </c>
      <c r="L3889" s="173">
        <v>41026</v>
      </c>
      <c r="M3889" s="50">
        <f t="shared" si="236"/>
        <v>4</v>
      </c>
      <c r="N3889" s="50" t="s">
        <v>2</v>
      </c>
      <c r="O3889" s="74">
        <v>21.4</v>
      </c>
      <c r="P3889" s="50">
        <v>5.62</v>
      </c>
      <c r="Q3889" s="74">
        <v>7.52</v>
      </c>
      <c r="R3889" s="50">
        <v>560</v>
      </c>
      <c r="S3889" s="74">
        <v>295</v>
      </c>
      <c r="T3889" s="50">
        <f>0.05/2</f>
        <v>2.5000000000000001E-2</v>
      </c>
      <c r="U3889" s="131">
        <v>1.8</v>
      </c>
      <c r="V3889" s="50">
        <v>0.318</v>
      </c>
      <c r="W3889" s="74">
        <v>3.6600000000000001E-2</v>
      </c>
      <c r="X3889" s="50">
        <v>0.22800000000000001</v>
      </c>
      <c r="Y3889" s="74">
        <v>8.3099999999999993E-2</v>
      </c>
      <c r="Z3889" s="165">
        <v>1</v>
      </c>
      <c r="AA3889" s="271">
        <v>1</v>
      </c>
      <c r="AB3889" s="114">
        <v>60</v>
      </c>
      <c r="AC3889" s="50">
        <v>104</v>
      </c>
      <c r="AD3889" s="271">
        <v>1</v>
      </c>
    </row>
    <row r="3890" spans="1:79" ht="15" customHeight="1">
      <c r="A3890" s="404" t="s">
        <v>4668</v>
      </c>
      <c r="B3890" s="402" t="s">
        <v>6336</v>
      </c>
      <c r="C3890" s="113" t="s">
        <v>6336</v>
      </c>
      <c r="D3890" s="393" t="s">
        <v>1881</v>
      </c>
      <c r="E3890" s="394" t="s">
        <v>6337</v>
      </c>
      <c r="F3890" s="402">
        <v>4004</v>
      </c>
      <c r="G3890" s="405" t="s">
        <v>6338</v>
      </c>
      <c r="H3890" s="74">
        <v>3599</v>
      </c>
      <c r="I3890" s="50" t="s">
        <v>2</v>
      </c>
      <c r="J3890" s="339" t="s">
        <v>194</v>
      </c>
      <c r="K3890" s="51">
        <v>41614</v>
      </c>
      <c r="L3890" s="173">
        <v>41605</v>
      </c>
      <c r="M3890" s="50">
        <f t="shared" si="236"/>
        <v>9</v>
      </c>
      <c r="N3890" s="50" t="s">
        <v>2</v>
      </c>
      <c r="O3890" s="74">
        <v>2.9</v>
      </c>
      <c r="Q3890" s="74">
        <v>6.66</v>
      </c>
      <c r="R3890" s="50">
        <v>94</v>
      </c>
      <c r="S3890" s="74">
        <v>500</v>
      </c>
      <c r="T3890" s="50">
        <v>0.83</v>
      </c>
      <c r="U3890" s="131">
        <v>4.6900000000000004</v>
      </c>
      <c r="V3890" s="50">
        <v>0.44</v>
      </c>
      <c r="W3890" s="74">
        <v>3.3000000000000002E-2</v>
      </c>
      <c r="X3890" s="50">
        <v>0.50600000000000001</v>
      </c>
      <c r="Y3890" s="74">
        <v>2.3E-2</v>
      </c>
      <c r="Z3890" s="165">
        <v>1</v>
      </c>
      <c r="AA3890" s="271">
        <v>1</v>
      </c>
      <c r="AB3890" s="114">
        <v>42</v>
      </c>
      <c r="AC3890" s="50">
        <v>405</v>
      </c>
      <c r="AD3890" s="271">
        <v>0.95</v>
      </c>
    </row>
    <row r="3891" spans="1:79" ht="15" customHeight="1">
      <c r="A3891" s="41" t="s">
        <v>183</v>
      </c>
      <c r="B3891" s="402" t="s">
        <v>5401</v>
      </c>
      <c r="C3891" s="113" t="s">
        <v>5401</v>
      </c>
      <c r="D3891" s="393" t="s">
        <v>347</v>
      </c>
      <c r="E3891" s="394" t="s">
        <v>112</v>
      </c>
      <c r="F3891" s="402" t="s">
        <v>6339</v>
      </c>
      <c r="G3891" s="405" t="s">
        <v>6340</v>
      </c>
      <c r="H3891" s="74">
        <v>3069</v>
      </c>
      <c r="I3891" s="50" t="s">
        <v>2</v>
      </c>
      <c r="J3891" s="339" t="s">
        <v>6341</v>
      </c>
      <c r="K3891" s="51">
        <v>41579</v>
      </c>
      <c r="L3891" s="173">
        <v>41554</v>
      </c>
      <c r="M3891" s="50">
        <f t="shared" si="236"/>
        <v>25</v>
      </c>
      <c r="N3891" s="50" t="s">
        <v>2</v>
      </c>
      <c r="O3891" s="74">
        <v>16.100000000000001</v>
      </c>
      <c r="P3891" s="50">
        <v>5.6</v>
      </c>
      <c r="Q3891" s="74">
        <v>7.8</v>
      </c>
      <c r="R3891" s="50">
        <v>47</v>
      </c>
      <c r="S3891" s="74">
        <f>25/2</f>
        <v>12.5</v>
      </c>
      <c r="T3891" s="50">
        <f>0.1/2</f>
        <v>0.05</v>
      </c>
      <c r="U3891" s="131">
        <v>0.48</v>
      </c>
      <c r="V3891" s="50">
        <v>0.2</v>
      </c>
      <c r="W3891" s="74">
        <f>0.02/2</f>
        <v>0.01</v>
      </c>
      <c r="X3891" s="50">
        <f>0.05/2</f>
        <v>2.5000000000000001E-2</v>
      </c>
      <c r="Y3891" s="74">
        <v>1E-3</v>
      </c>
      <c r="Z3891" s="165">
        <v>1</v>
      </c>
      <c r="AA3891" s="271">
        <v>1</v>
      </c>
      <c r="AB3891" s="114">
        <v>22</v>
      </c>
      <c r="AC3891" s="50">
        <v>133</v>
      </c>
      <c r="AD3891" s="271">
        <v>1</v>
      </c>
    </row>
    <row r="3892" spans="1:79" ht="15" customHeight="1">
      <c r="A3892" s="41" t="s">
        <v>183</v>
      </c>
      <c r="B3892" s="402" t="s">
        <v>5401</v>
      </c>
      <c r="C3892" s="113" t="s">
        <v>5401</v>
      </c>
      <c r="D3892" s="393" t="s">
        <v>347</v>
      </c>
      <c r="E3892" s="394" t="s">
        <v>112</v>
      </c>
      <c r="F3892" s="402" t="s">
        <v>6339</v>
      </c>
      <c r="G3892" s="405" t="s">
        <v>6340</v>
      </c>
      <c r="H3892" s="74">
        <v>3069</v>
      </c>
      <c r="I3892" s="50" t="s">
        <v>2</v>
      </c>
      <c r="J3892" s="339" t="s">
        <v>6342</v>
      </c>
      <c r="K3892" s="51">
        <v>41579</v>
      </c>
      <c r="L3892" s="173">
        <v>41554</v>
      </c>
      <c r="M3892" s="50">
        <f t="shared" si="236"/>
        <v>25</v>
      </c>
      <c r="N3892" s="50" t="s">
        <v>2</v>
      </c>
      <c r="O3892" s="74">
        <v>18.899999999999999</v>
      </c>
      <c r="P3892" s="50">
        <v>5.6</v>
      </c>
      <c r="Q3892" s="74">
        <v>7.8</v>
      </c>
      <c r="R3892" s="50">
        <f>10/2</f>
        <v>5</v>
      </c>
      <c r="S3892" s="74">
        <f>25/2</f>
        <v>12.5</v>
      </c>
      <c r="T3892" s="50">
        <f>0.1/2</f>
        <v>0.05</v>
      </c>
      <c r="U3892" s="131">
        <v>0.79</v>
      </c>
      <c r="V3892" s="50">
        <v>0.33</v>
      </c>
      <c r="W3892" s="74">
        <v>2.2000000000000002</v>
      </c>
      <c r="X3892" s="50">
        <v>0.22</v>
      </c>
      <c r="Y3892" s="74">
        <v>3.0000000000000001E-3</v>
      </c>
      <c r="Z3892" s="165">
        <v>1</v>
      </c>
      <c r="AA3892" s="271">
        <v>1</v>
      </c>
      <c r="AB3892" s="114">
        <v>112</v>
      </c>
      <c r="AC3892" s="50">
        <v>287</v>
      </c>
      <c r="AD3892" s="271">
        <v>0.95</v>
      </c>
    </row>
    <row r="3893" spans="1:79" ht="15" customHeight="1">
      <c r="A3893" s="404" t="s">
        <v>4668</v>
      </c>
      <c r="B3893" s="402" t="s">
        <v>4979</v>
      </c>
      <c r="C3893" s="113" t="s">
        <v>6343</v>
      </c>
      <c r="D3893" s="393" t="s">
        <v>262</v>
      </c>
      <c r="E3893" s="394" t="s">
        <v>578</v>
      </c>
      <c r="F3893" s="402">
        <v>7000</v>
      </c>
      <c r="G3893" s="405" t="s">
        <v>6344</v>
      </c>
      <c r="H3893" s="74">
        <v>5171</v>
      </c>
      <c r="I3893" s="50" t="s">
        <v>1</v>
      </c>
      <c r="J3893" s="339" t="s">
        <v>81</v>
      </c>
      <c r="K3893" s="51">
        <v>41600</v>
      </c>
      <c r="L3893" s="173">
        <v>41596</v>
      </c>
      <c r="M3893" s="50">
        <f t="shared" si="236"/>
        <v>4</v>
      </c>
      <c r="N3893" s="50" t="s">
        <v>2</v>
      </c>
      <c r="O3893" s="74">
        <f>5/2</f>
        <v>2.5</v>
      </c>
      <c r="P3893" s="50">
        <v>6.72</v>
      </c>
      <c r="Q3893" s="74">
        <v>6.81</v>
      </c>
      <c r="R3893" s="50">
        <v>38</v>
      </c>
      <c r="S3893" s="74">
        <v>17</v>
      </c>
      <c r="T3893" s="50">
        <v>0.45</v>
      </c>
      <c r="U3893" s="131">
        <v>1.6</v>
      </c>
      <c r="V3893" s="50">
        <v>0.91</v>
      </c>
      <c r="W3893" s="74">
        <f>0.04/2</f>
        <v>0.02</v>
      </c>
      <c r="X3893" s="50">
        <v>9.4E-2</v>
      </c>
      <c r="Y3893" s="74">
        <f>0.013/2</f>
        <v>6.4999999999999997E-3</v>
      </c>
      <c r="Z3893" s="165">
        <v>1</v>
      </c>
      <c r="AA3893" s="271">
        <v>1</v>
      </c>
      <c r="AB3893" s="114">
        <v>368</v>
      </c>
      <c r="AC3893" s="50">
        <v>3860</v>
      </c>
      <c r="AD3893" s="271">
        <v>1</v>
      </c>
      <c r="AI3893" s="114">
        <v>84</v>
      </c>
      <c r="AJ3893" s="114">
        <v>166</v>
      </c>
      <c r="AQ3893" s="114">
        <f>1/2</f>
        <v>0.5</v>
      </c>
    </row>
    <row r="3894" spans="1:79" ht="15" customHeight="1">
      <c r="A3894" s="404" t="s">
        <v>4668</v>
      </c>
      <c r="B3894" s="402" t="s">
        <v>6345</v>
      </c>
      <c r="C3894" s="113" t="s">
        <v>6345</v>
      </c>
      <c r="D3894" s="393" t="s">
        <v>1896</v>
      </c>
      <c r="E3894" s="394" t="s">
        <v>6346</v>
      </c>
      <c r="F3894" s="402" t="s">
        <v>3631</v>
      </c>
      <c r="G3894" s="405" t="s">
        <v>6347</v>
      </c>
      <c r="H3894" s="74">
        <v>4493</v>
      </c>
      <c r="I3894" s="50" t="s">
        <v>1</v>
      </c>
      <c r="J3894" s="339" t="s">
        <v>510</v>
      </c>
      <c r="K3894" s="51">
        <v>41402</v>
      </c>
      <c r="L3894" s="173">
        <v>41384</v>
      </c>
      <c r="M3894" s="50">
        <f t="shared" si="236"/>
        <v>18</v>
      </c>
      <c r="N3894" s="50" t="s">
        <v>2</v>
      </c>
      <c r="O3894" s="74">
        <f>5/2</f>
        <v>2.5</v>
      </c>
      <c r="P3894" s="50">
        <v>6</v>
      </c>
      <c r="Q3894" s="74">
        <v>6.98</v>
      </c>
      <c r="R3894" s="50">
        <v>55</v>
      </c>
      <c r="S3894" s="74">
        <v>37</v>
      </c>
      <c r="T3894" s="50">
        <v>0.12</v>
      </c>
      <c r="U3894" s="131">
        <f>1/2</f>
        <v>0.5</v>
      </c>
      <c r="V3894" s="50">
        <v>0.22</v>
      </c>
      <c r="W3894" s="74">
        <v>8.7999999999999995E-2</v>
      </c>
      <c r="X3894" s="50">
        <v>0.24</v>
      </c>
      <c r="Y3894" s="74">
        <v>2.1999999999999999E-2</v>
      </c>
      <c r="Z3894" s="165">
        <v>0.5</v>
      </c>
      <c r="AA3894" s="271">
        <v>0.435</v>
      </c>
      <c r="AB3894" s="114">
        <v>10</v>
      </c>
      <c r="AC3894" s="50">
        <v>45.8</v>
      </c>
      <c r="AD3894" s="271">
        <v>0</v>
      </c>
      <c r="AN3894" s="114">
        <v>0.87</v>
      </c>
      <c r="AW3894" s="394">
        <v>0.56999999999999995</v>
      </c>
    </row>
    <row r="3895" spans="1:79" ht="15" customHeight="1">
      <c r="A3895" s="404" t="s">
        <v>4668</v>
      </c>
      <c r="B3895" s="402" t="s">
        <v>3314</v>
      </c>
      <c r="C3895" s="113" t="s">
        <v>6051</v>
      </c>
      <c r="D3895" s="393" t="s">
        <v>78</v>
      </c>
      <c r="E3895" s="394" t="s">
        <v>6052</v>
      </c>
      <c r="F3895" s="402" t="s">
        <v>6348</v>
      </c>
      <c r="G3895" s="405" t="s">
        <v>6053</v>
      </c>
      <c r="H3895" s="74"/>
      <c r="I3895" s="50" t="s">
        <v>2</v>
      </c>
      <c r="J3895" s="339" t="s">
        <v>75</v>
      </c>
      <c r="K3895" s="51">
        <v>41493</v>
      </c>
      <c r="L3895" s="173"/>
      <c r="N3895" s="50" t="s">
        <v>2</v>
      </c>
      <c r="O3895" s="74">
        <v>2.1</v>
      </c>
      <c r="Q3895" s="74">
        <v>6.8</v>
      </c>
      <c r="R3895" s="50">
        <v>26</v>
      </c>
      <c r="S3895" s="74">
        <v>16</v>
      </c>
      <c r="T3895" s="50">
        <v>0.15</v>
      </c>
      <c r="U3895" s="131">
        <v>1.1000000000000001</v>
      </c>
      <c r="V3895" s="50">
        <v>0.59</v>
      </c>
      <c r="W3895" s="74">
        <v>1.4E-2</v>
      </c>
      <c r="X3895" s="50">
        <v>4.3999999999999997E-2</v>
      </c>
      <c r="Y3895" s="74">
        <v>4.2999999999999997E-2</v>
      </c>
      <c r="Z3895" s="165">
        <v>1</v>
      </c>
      <c r="AA3895" s="271">
        <v>1</v>
      </c>
      <c r="AB3895" s="114">
        <v>4</v>
      </c>
      <c r="AC3895" s="50">
        <v>45</v>
      </c>
      <c r="AD3895" s="271">
        <v>0.75</v>
      </c>
    </row>
    <row r="3896" spans="1:79" ht="15" customHeight="1">
      <c r="A3896" s="404" t="s">
        <v>4668</v>
      </c>
      <c r="B3896" s="402" t="s">
        <v>3314</v>
      </c>
      <c r="C3896" s="113" t="s">
        <v>6051</v>
      </c>
      <c r="D3896" s="393" t="s">
        <v>78</v>
      </c>
      <c r="E3896" s="394" t="s">
        <v>6052</v>
      </c>
      <c r="F3896" s="402" t="s">
        <v>6348</v>
      </c>
      <c r="G3896" s="405" t="s">
        <v>6053</v>
      </c>
      <c r="H3896" s="74"/>
      <c r="I3896" s="50" t="s">
        <v>2</v>
      </c>
      <c r="J3896" s="339" t="s">
        <v>74</v>
      </c>
      <c r="K3896" s="51">
        <v>41493</v>
      </c>
      <c r="L3896" s="173"/>
      <c r="N3896" s="50" t="s">
        <v>2</v>
      </c>
      <c r="O3896" s="74">
        <f>2/2</f>
        <v>1</v>
      </c>
      <c r="Q3896" s="74">
        <v>6</v>
      </c>
      <c r="R3896" s="50">
        <v>12</v>
      </c>
      <c r="S3896" s="74">
        <v>57</v>
      </c>
      <c r="T3896" s="50">
        <v>0.08</v>
      </c>
      <c r="U3896" s="131">
        <v>0.61</v>
      </c>
      <c r="V3896" s="50">
        <v>0.81</v>
      </c>
      <c r="W3896" s="74">
        <v>1.4999999999999999E-2</v>
      </c>
      <c r="X3896" s="50">
        <v>0.22700000000000001</v>
      </c>
      <c r="Y3896" s="74">
        <f>0.03/2</f>
        <v>1.4999999999999999E-2</v>
      </c>
      <c r="Z3896" s="165">
        <v>1</v>
      </c>
      <c r="AA3896" s="271">
        <v>0.78400000000000003</v>
      </c>
      <c r="AB3896" s="114">
        <v>4</v>
      </c>
      <c r="AC3896" s="50">
        <v>15</v>
      </c>
      <c r="AD3896" s="271">
        <v>0.15</v>
      </c>
    </row>
    <row r="3897" spans="1:79" ht="15" customHeight="1">
      <c r="A3897" s="404" t="s">
        <v>4668</v>
      </c>
      <c r="B3897" s="402" t="s">
        <v>3314</v>
      </c>
      <c r="C3897" s="113" t="s">
        <v>6051</v>
      </c>
      <c r="D3897" s="393" t="s">
        <v>78</v>
      </c>
      <c r="E3897" s="394" t="s">
        <v>6052</v>
      </c>
      <c r="F3897" s="402" t="s">
        <v>6348</v>
      </c>
      <c r="G3897" s="405" t="s">
        <v>6053</v>
      </c>
      <c r="H3897" s="74"/>
      <c r="I3897" s="50" t="s">
        <v>2</v>
      </c>
      <c r="J3897" s="339" t="s">
        <v>74</v>
      </c>
      <c r="K3897" s="51">
        <v>41605</v>
      </c>
      <c r="L3897" s="173"/>
      <c r="N3897" s="50" t="s">
        <v>2</v>
      </c>
      <c r="O3897" s="74">
        <f>2/2</f>
        <v>1</v>
      </c>
      <c r="Q3897" s="74">
        <v>6.9</v>
      </c>
      <c r="R3897" s="50">
        <v>12</v>
      </c>
      <c r="S3897" s="74">
        <v>37</v>
      </c>
      <c r="T3897" s="50">
        <v>0.1</v>
      </c>
      <c r="U3897" s="131">
        <v>0.42</v>
      </c>
      <c r="V3897" s="50">
        <v>0.13</v>
      </c>
      <c r="W3897" s="74">
        <f>0.1/2</f>
        <v>0.05</v>
      </c>
      <c r="X3897" s="50">
        <v>7.9000000000000001E-2</v>
      </c>
      <c r="Y3897" s="74">
        <f>0.03/2</f>
        <v>1.4999999999999999E-2</v>
      </c>
      <c r="Z3897" s="165">
        <v>1</v>
      </c>
      <c r="AA3897" s="271">
        <v>1</v>
      </c>
      <c r="AB3897" s="114">
        <v>3</v>
      </c>
      <c r="AC3897" s="50">
        <v>28</v>
      </c>
      <c r="AD3897" s="271">
        <v>1</v>
      </c>
    </row>
    <row r="3898" spans="1:79" s="400" customFormat="1" ht="15" customHeight="1">
      <c r="A3898" s="41" t="s">
        <v>183</v>
      </c>
      <c r="B3898" s="402" t="s">
        <v>954</v>
      </c>
      <c r="C3898" s="113" t="s">
        <v>6349</v>
      </c>
      <c r="D3898" s="393" t="s">
        <v>98</v>
      </c>
      <c r="E3898" s="394" t="s">
        <v>1546</v>
      </c>
      <c r="F3898" s="402" t="s">
        <v>5856</v>
      </c>
      <c r="G3898" s="405" t="s">
        <v>100</v>
      </c>
      <c r="H3898" s="404">
        <v>4952</v>
      </c>
      <c r="I3898" s="402" t="s">
        <v>2</v>
      </c>
      <c r="J3898" s="406" t="s">
        <v>6350</v>
      </c>
      <c r="K3898" s="403">
        <v>41513</v>
      </c>
      <c r="L3898" s="398">
        <v>41508</v>
      </c>
      <c r="M3898" s="402">
        <f t="shared" ref="M3898:M3900" si="237">K3898-L3898</f>
        <v>5</v>
      </c>
      <c r="N3898" s="402" t="s">
        <v>2</v>
      </c>
      <c r="O3898" s="404">
        <f>1/2</f>
        <v>0.5</v>
      </c>
      <c r="P3898" s="402">
        <v>7.7</v>
      </c>
      <c r="Q3898" s="404">
        <v>6.66</v>
      </c>
      <c r="R3898" s="402">
        <f>1/2</f>
        <v>0.5</v>
      </c>
      <c r="S3898" s="404">
        <v>1</v>
      </c>
      <c r="T3898" s="402">
        <v>0.19</v>
      </c>
      <c r="U3898" s="395">
        <v>1.04</v>
      </c>
      <c r="V3898" s="402">
        <v>0.3</v>
      </c>
      <c r="W3898" s="404">
        <f>0.005/2</f>
        <v>2.5000000000000001E-3</v>
      </c>
      <c r="X3898" s="402">
        <v>0.115</v>
      </c>
      <c r="Y3898" s="404">
        <v>7.0000000000000001E-3</v>
      </c>
      <c r="Z3898" s="397"/>
      <c r="AA3898" s="399"/>
      <c r="AB3898" s="394"/>
      <c r="AC3898" s="402"/>
      <c r="AD3898" s="399"/>
      <c r="AE3898" s="402"/>
      <c r="AF3898" s="391"/>
      <c r="AG3898" s="394"/>
      <c r="AH3898" s="394"/>
      <c r="AI3898" s="394"/>
      <c r="AJ3898" s="394"/>
      <c r="AK3898" s="394"/>
      <c r="AL3898" s="394"/>
      <c r="AM3898" s="394"/>
      <c r="AN3898" s="394"/>
      <c r="AO3898" s="394"/>
      <c r="AP3898" s="394"/>
      <c r="AQ3898" s="394"/>
      <c r="AR3898" s="394"/>
      <c r="AS3898" s="402"/>
      <c r="AT3898" s="404"/>
      <c r="AU3898" s="394"/>
      <c r="AV3898" s="394"/>
      <c r="AW3898" s="394"/>
      <c r="AX3898" s="5"/>
      <c r="AY3898" s="5"/>
      <c r="AZ3898" s="5"/>
      <c r="BA3898" s="5"/>
      <c r="BB3898" s="5"/>
      <c r="BC3898" s="5"/>
      <c r="BD3898" s="5"/>
      <c r="BE3898" s="5"/>
      <c r="BF3898" s="5"/>
      <c r="BG3898" s="5"/>
      <c r="BH3898" s="5"/>
      <c r="BI3898" s="5"/>
      <c r="BJ3898" s="5"/>
      <c r="BK3898" s="5"/>
      <c r="BL3898" s="5"/>
      <c r="BM3898" s="5"/>
      <c r="BN3898" s="5"/>
      <c r="BO3898" s="5"/>
      <c r="BP3898" s="5"/>
      <c r="BQ3898" s="5"/>
      <c r="BR3898" s="5"/>
      <c r="BS3898" s="5"/>
      <c r="BT3898" s="5"/>
      <c r="BU3898" s="5"/>
      <c r="BV3898" s="5"/>
      <c r="BW3898" s="5"/>
      <c r="BX3898" s="5"/>
      <c r="BY3898" s="5"/>
      <c r="BZ3898" s="5"/>
      <c r="CA3898" s="5"/>
    </row>
    <row r="3899" spans="1:79" s="400" customFormat="1" ht="15" customHeight="1">
      <c r="A3899" s="41" t="s">
        <v>183</v>
      </c>
      <c r="B3899" s="402" t="s">
        <v>954</v>
      </c>
      <c r="C3899" s="113" t="s">
        <v>6349</v>
      </c>
      <c r="D3899" s="393" t="s">
        <v>98</v>
      </c>
      <c r="E3899" s="394" t="s">
        <v>1546</v>
      </c>
      <c r="F3899" s="402" t="s">
        <v>5856</v>
      </c>
      <c r="G3899" s="405" t="s">
        <v>100</v>
      </c>
      <c r="H3899" s="404">
        <v>4952</v>
      </c>
      <c r="I3899" s="402"/>
      <c r="J3899" s="406" t="s">
        <v>6350</v>
      </c>
      <c r="K3899" s="403">
        <v>41402</v>
      </c>
      <c r="L3899" s="398">
        <v>41387</v>
      </c>
      <c r="M3899" s="402">
        <f t="shared" si="237"/>
        <v>15</v>
      </c>
      <c r="N3899" s="402" t="s">
        <v>2</v>
      </c>
      <c r="O3899" s="404">
        <f>1/2</f>
        <v>0.5</v>
      </c>
      <c r="P3899" s="402"/>
      <c r="Q3899" s="404">
        <v>6.68</v>
      </c>
      <c r="R3899" s="402">
        <v>108.2</v>
      </c>
      <c r="S3899" s="404">
        <v>14</v>
      </c>
      <c r="T3899" s="402">
        <v>0.34</v>
      </c>
      <c r="U3899" s="395">
        <v>2.69</v>
      </c>
      <c r="V3899" s="402">
        <v>0.41</v>
      </c>
      <c r="W3899" s="404">
        <v>1.9E-2</v>
      </c>
      <c r="X3899" s="402">
        <v>0.159</v>
      </c>
      <c r="Y3899" s="404">
        <v>2.3E-2</v>
      </c>
      <c r="Z3899" s="397">
        <v>1</v>
      </c>
      <c r="AA3899" s="399">
        <v>1</v>
      </c>
      <c r="AB3899" s="394">
        <v>8.73</v>
      </c>
      <c r="AC3899" s="402">
        <v>33600</v>
      </c>
      <c r="AD3899" s="399">
        <v>1</v>
      </c>
      <c r="AE3899" s="402"/>
      <c r="AF3899" s="391"/>
      <c r="AG3899" s="394"/>
      <c r="AH3899" s="394"/>
      <c r="AI3899" s="394"/>
      <c r="AJ3899" s="394"/>
      <c r="AK3899" s="394"/>
      <c r="AL3899" s="394"/>
      <c r="AM3899" s="394"/>
      <c r="AN3899" s="394"/>
      <c r="AO3899" s="394"/>
      <c r="AP3899" s="394"/>
      <c r="AQ3899" s="394"/>
      <c r="AR3899" s="394"/>
      <c r="AS3899" s="402"/>
      <c r="AT3899" s="404"/>
      <c r="AU3899" s="394"/>
      <c r="AV3899" s="394"/>
      <c r="AW3899" s="394"/>
      <c r="AX3899" s="5"/>
      <c r="AY3899" s="5"/>
      <c r="AZ3899" s="5"/>
      <c r="BA3899" s="5"/>
      <c r="BB3899" s="5"/>
      <c r="BC3899" s="5"/>
      <c r="BD3899" s="5"/>
      <c r="BE3899" s="5"/>
      <c r="BF3899" s="5"/>
      <c r="BG3899" s="5"/>
      <c r="BH3899" s="5"/>
      <c r="BI3899" s="5"/>
      <c r="BJ3899" s="5"/>
      <c r="BK3899" s="5"/>
      <c r="BL3899" s="5"/>
      <c r="BM3899" s="5"/>
      <c r="BN3899" s="5"/>
      <c r="BO3899" s="5"/>
      <c r="BP3899" s="5"/>
      <c r="BQ3899" s="5"/>
      <c r="BR3899" s="5"/>
      <c r="BS3899" s="5"/>
      <c r="BT3899" s="5"/>
      <c r="BU3899" s="5"/>
      <c r="BV3899" s="5"/>
      <c r="BW3899" s="5"/>
      <c r="BX3899" s="5"/>
      <c r="BY3899" s="5"/>
      <c r="BZ3899" s="5"/>
      <c r="CA3899" s="5"/>
    </row>
    <row r="3900" spans="1:79" s="400" customFormat="1" ht="15" customHeight="1">
      <c r="A3900" s="41" t="s">
        <v>183</v>
      </c>
      <c r="B3900" s="402" t="s">
        <v>2208</v>
      </c>
      <c r="C3900" s="113" t="s">
        <v>2208</v>
      </c>
      <c r="D3900" s="393" t="s">
        <v>1217</v>
      </c>
      <c r="E3900" s="394" t="s">
        <v>2112</v>
      </c>
      <c r="F3900" s="402" t="s">
        <v>6480</v>
      </c>
      <c r="G3900" s="405" t="s">
        <v>2209</v>
      </c>
      <c r="H3900" s="404">
        <v>3721</v>
      </c>
      <c r="I3900" s="402" t="s">
        <v>2</v>
      </c>
      <c r="J3900" s="406" t="s">
        <v>81</v>
      </c>
      <c r="K3900" s="403">
        <v>41529</v>
      </c>
      <c r="L3900" s="398">
        <v>41519</v>
      </c>
      <c r="M3900" s="402">
        <f t="shared" si="237"/>
        <v>10</v>
      </c>
      <c r="N3900" s="402" t="s">
        <v>2</v>
      </c>
      <c r="O3900" s="404">
        <f>1.4/2</f>
        <v>0.7</v>
      </c>
      <c r="P3900" s="402">
        <v>5.81</v>
      </c>
      <c r="Q3900" s="404">
        <v>5.67</v>
      </c>
      <c r="R3900" s="402">
        <v>11</v>
      </c>
      <c r="S3900" s="404">
        <v>75</v>
      </c>
      <c r="T3900" s="402">
        <v>0.1</v>
      </c>
      <c r="U3900" s="395">
        <v>1.1499999999999999</v>
      </c>
      <c r="V3900" s="402">
        <v>0.24</v>
      </c>
      <c r="W3900" s="404">
        <f>0.005/2</f>
        <v>2.5000000000000001E-3</v>
      </c>
      <c r="X3900" s="402">
        <v>2.5999999999999999E-2</v>
      </c>
      <c r="Y3900" s="404">
        <v>4.0000000000000001E-3</v>
      </c>
      <c r="Z3900" s="397">
        <v>1</v>
      </c>
      <c r="AA3900" s="399">
        <v>1</v>
      </c>
      <c r="AB3900" s="394">
        <v>2</v>
      </c>
      <c r="AC3900" s="402">
        <v>13</v>
      </c>
      <c r="AD3900" s="399">
        <v>0.8</v>
      </c>
      <c r="AE3900" s="402"/>
      <c r="AF3900" s="391"/>
      <c r="AG3900" s="394"/>
      <c r="AH3900" s="394"/>
      <c r="AI3900" s="394"/>
      <c r="AJ3900" s="394"/>
      <c r="AK3900" s="394"/>
      <c r="AL3900" s="394"/>
      <c r="AM3900" s="394"/>
      <c r="AN3900" s="394"/>
      <c r="AO3900" s="394"/>
      <c r="AP3900" s="394"/>
      <c r="AQ3900" s="394"/>
      <c r="AR3900" s="394"/>
      <c r="AS3900" s="402"/>
      <c r="AT3900" s="404"/>
      <c r="AU3900" s="394"/>
      <c r="AV3900" s="394"/>
      <c r="AW3900" s="394"/>
      <c r="AX3900" s="5"/>
      <c r="AY3900" s="5"/>
      <c r="AZ3900" s="5"/>
      <c r="BA3900" s="5"/>
      <c r="BB3900" s="5"/>
      <c r="BC3900" s="5"/>
      <c r="BD3900" s="5"/>
      <c r="BE3900" s="5"/>
      <c r="BF3900" s="5"/>
      <c r="BG3900" s="5"/>
      <c r="BH3900" s="5"/>
      <c r="BI3900" s="5"/>
      <c r="BJ3900" s="5"/>
      <c r="BK3900" s="5"/>
      <c r="BL3900" s="5"/>
      <c r="BM3900" s="5"/>
      <c r="BN3900" s="5"/>
      <c r="BO3900" s="5"/>
      <c r="BP3900" s="5"/>
      <c r="BQ3900" s="5"/>
      <c r="BR3900" s="5"/>
      <c r="BS3900" s="5"/>
      <c r="BT3900" s="5"/>
      <c r="BU3900" s="5"/>
      <c r="BV3900" s="5"/>
      <c r="BW3900" s="5"/>
      <c r="BX3900" s="5"/>
      <c r="BY3900" s="5"/>
      <c r="BZ3900" s="5"/>
      <c r="CA3900" s="5"/>
    </row>
    <row r="3901" spans="1:79" s="400" customFormat="1" ht="15" customHeight="1">
      <c r="A3901" s="41" t="s">
        <v>183</v>
      </c>
      <c r="B3901" s="402" t="s">
        <v>4276</v>
      </c>
      <c r="C3901" s="113" t="s">
        <v>3789</v>
      </c>
      <c r="D3901" s="393" t="s">
        <v>56</v>
      </c>
      <c r="E3901" s="394" t="s">
        <v>95</v>
      </c>
      <c r="F3901" s="402"/>
      <c r="G3901" s="405" t="s">
        <v>3790</v>
      </c>
      <c r="H3901" s="404">
        <v>4111</v>
      </c>
      <c r="I3901" s="402" t="s">
        <v>1</v>
      </c>
      <c r="J3901" s="406" t="s">
        <v>5262</v>
      </c>
      <c r="K3901" s="403">
        <v>41710</v>
      </c>
      <c r="L3901" s="398">
        <v>41690</v>
      </c>
      <c r="M3901" s="402">
        <f t="shared" ref="M3901:M3944" si="238">K3901-L3901</f>
        <v>20</v>
      </c>
      <c r="N3901" s="402" t="s">
        <v>2</v>
      </c>
      <c r="O3901" s="404"/>
      <c r="P3901" s="402"/>
      <c r="Q3901" s="404"/>
      <c r="R3901" s="402">
        <v>710</v>
      </c>
      <c r="S3901" s="404">
        <v>214</v>
      </c>
      <c r="T3901" s="402">
        <v>0.59399999999999997</v>
      </c>
      <c r="U3901" s="395"/>
      <c r="V3901" s="402"/>
      <c r="W3901" s="404">
        <v>4.1000000000000002E-2</v>
      </c>
      <c r="X3901" s="402"/>
      <c r="Y3901" s="404"/>
      <c r="Z3901" s="397"/>
      <c r="AA3901" s="399"/>
      <c r="AB3901" s="394"/>
      <c r="AC3901" s="402"/>
      <c r="AD3901" s="399"/>
      <c r="AE3901" s="402"/>
      <c r="AF3901" s="391">
        <v>610</v>
      </c>
      <c r="AG3901" s="394"/>
      <c r="AH3901" s="394"/>
      <c r="AI3901" s="394"/>
      <c r="AJ3901" s="394">
        <v>60</v>
      </c>
      <c r="AK3901" s="394"/>
      <c r="AL3901" s="394"/>
      <c r="AM3901" s="394"/>
      <c r="AN3901" s="394"/>
      <c r="AO3901" s="394"/>
      <c r="AP3901" s="394"/>
      <c r="AQ3901" s="394"/>
      <c r="AR3901" s="394"/>
      <c r="AS3901" s="402"/>
      <c r="AT3901" s="404"/>
      <c r="AU3901" s="394"/>
      <c r="AV3901" s="394"/>
      <c r="AW3901" s="394"/>
      <c r="AX3901" s="5"/>
      <c r="AY3901" s="5"/>
      <c r="AZ3901" s="5"/>
      <c r="BA3901" s="5"/>
      <c r="BB3901" s="5"/>
      <c r="BC3901" s="5"/>
      <c r="BD3901" s="5"/>
      <c r="BE3901" s="5"/>
      <c r="BF3901" s="5"/>
      <c r="BG3901" s="5"/>
      <c r="BH3901" s="5"/>
      <c r="BI3901" s="5"/>
      <c r="BJ3901" s="5"/>
      <c r="BK3901" s="5"/>
      <c r="BL3901" s="5"/>
      <c r="BM3901" s="5"/>
      <c r="BN3901" s="5"/>
      <c r="BO3901" s="5"/>
      <c r="BP3901" s="5"/>
      <c r="BQ3901" s="5"/>
      <c r="BR3901" s="5"/>
      <c r="BS3901" s="5"/>
      <c r="BT3901" s="5"/>
      <c r="BU3901" s="5"/>
      <c r="BV3901" s="5"/>
      <c r="BW3901" s="5"/>
      <c r="BX3901" s="5"/>
      <c r="BY3901" s="5"/>
      <c r="BZ3901" s="5"/>
      <c r="CA3901" s="5"/>
    </row>
    <row r="3902" spans="1:79" s="400" customFormat="1" ht="15" customHeight="1">
      <c r="A3902" s="41" t="s">
        <v>183</v>
      </c>
      <c r="B3902" s="402" t="s">
        <v>4276</v>
      </c>
      <c r="C3902" s="113" t="s">
        <v>3789</v>
      </c>
      <c r="D3902" s="393" t="s">
        <v>56</v>
      </c>
      <c r="E3902" s="394" t="s">
        <v>95</v>
      </c>
      <c r="F3902" s="402"/>
      <c r="G3902" s="405" t="s">
        <v>3790</v>
      </c>
      <c r="H3902" s="404">
        <v>4111</v>
      </c>
      <c r="I3902" s="402" t="s">
        <v>1</v>
      </c>
      <c r="J3902" s="406" t="s">
        <v>5263</v>
      </c>
      <c r="K3902" s="403">
        <v>41710</v>
      </c>
      <c r="L3902" s="398">
        <v>41690</v>
      </c>
      <c r="M3902" s="402">
        <f t="shared" si="238"/>
        <v>20</v>
      </c>
      <c r="N3902" s="402" t="s">
        <v>2</v>
      </c>
      <c r="O3902" s="404"/>
      <c r="P3902" s="402"/>
      <c r="Q3902" s="404"/>
      <c r="R3902" s="402">
        <v>100</v>
      </c>
      <c r="S3902" s="404"/>
      <c r="T3902" s="402">
        <v>0.375</v>
      </c>
      <c r="U3902" s="395"/>
      <c r="V3902" s="402"/>
      <c r="W3902" s="404">
        <v>1.7999999999999999E-2</v>
      </c>
      <c r="X3902" s="402"/>
      <c r="Y3902" s="404"/>
      <c r="Z3902" s="397"/>
      <c r="AA3902" s="399"/>
      <c r="AB3902" s="394"/>
      <c r="AC3902" s="402"/>
      <c r="AD3902" s="399"/>
      <c r="AE3902" s="402"/>
      <c r="AF3902" s="391">
        <v>450</v>
      </c>
      <c r="AG3902" s="394"/>
      <c r="AH3902" s="394"/>
      <c r="AI3902" s="394"/>
      <c r="AJ3902" s="394">
        <v>40</v>
      </c>
      <c r="AK3902" s="394"/>
      <c r="AL3902" s="394"/>
      <c r="AM3902" s="394"/>
      <c r="AN3902" s="394"/>
      <c r="AO3902" s="394"/>
      <c r="AP3902" s="394"/>
      <c r="AQ3902" s="394"/>
      <c r="AR3902" s="394"/>
      <c r="AS3902" s="402"/>
      <c r="AT3902" s="404"/>
      <c r="AU3902" s="394"/>
      <c r="AV3902" s="394"/>
      <c r="AW3902" s="394"/>
      <c r="AX3902" s="5"/>
      <c r="AY3902" s="5"/>
      <c r="AZ3902" s="5"/>
      <c r="BA3902" s="5"/>
      <c r="BB3902" s="5"/>
      <c r="BC3902" s="5"/>
      <c r="BD3902" s="5"/>
      <c r="BE3902" s="5"/>
      <c r="BF3902" s="5"/>
      <c r="BG3902" s="5"/>
      <c r="BH3902" s="5"/>
      <c r="BI3902" s="5"/>
      <c r="BJ3902" s="5"/>
      <c r="BK3902" s="5"/>
      <c r="BL3902" s="5"/>
      <c r="BM3902" s="5"/>
      <c r="BN3902" s="5"/>
      <c r="BO3902" s="5"/>
      <c r="BP3902" s="5"/>
      <c r="BQ3902" s="5"/>
      <c r="BR3902" s="5"/>
      <c r="BS3902" s="5"/>
      <c r="BT3902" s="5"/>
      <c r="BU3902" s="5"/>
      <c r="BV3902" s="5"/>
      <c r="BW3902" s="5"/>
      <c r="BX3902" s="5"/>
      <c r="BY3902" s="5"/>
      <c r="BZ3902" s="5"/>
      <c r="CA3902" s="5"/>
    </row>
    <row r="3903" spans="1:79" s="400" customFormat="1" ht="15" customHeight="1">
      <c r="A3903" s="41" t="s">
        <v>183</v>
      </c>
      <c r="B3903" s="402" t="s">
        <v>4276</v>
      </c>
      <c r="C3903" s="113" t="s">
        <v>3789</v>
      </c>
      <c r="D3903" s="393" t="s">
        <v>56</v>
      </c>
      <c r="E3903" s="394" t="s">
        <v>95</v>
      </c>
      <c r="F3903" s="402"/>
      <c r="G3903" s="405" t="s">
        <v>3790</v>
      </c>
      <c r="H3903" s="404">
        <v>4111</v>
      </c>
      <c r="I3903" s="402" t="s">
        <v>1</v>
      </c>
      <c r="J3903" s="406" t="s">
        <v>5262</v>
      </c>
      <c r="K3903" s="403">
        <v>41744</v>
      </c>
      <c r="L3903" s="398">
        <v>41736</v>
      </c>
      <c r="M3903" s="402">
        <f t="shared" si="238"/>
        <v>8</v>
      </c>
      <c r="N3903" s="402" t="s">
        <v>2</v>
      </c>
      <c r="O3903" s="404"/>
      <c r="P3903" s="402">
        <v>6.19</v>
      </c>
      <c r="Q3903" s="404"/>
      <c r="R3903" s="402">
        <v>28</v>
      </c>
      <c r="S3903" s="404">
        <v>28</v>
      </c>
      <c r="T3903" s="402"/>
      <c r="U3903" s="395"/>
      <c r="V3903" s="402"/>
      <c r="W3903" s="404"/>
      <c r="X3903" s="402"/>
      <c r="Y3903" s="404"/>
      <c r="Z3903" s="397"/>
      <c r="AA3903" s="399"/>
      <c r="AB3903" s="394"/>
      <c r="AC3903" s="402"/>
      <c r="AD3903" s="399"/>
      <c r="AE3903" s="402"/>
      <c r="AF3903" s="391"/>
      <c r="AG3903" s="394"/>
      <c r="AH3903" s="394"/>
      <c r="AI3903" s="394"/>
      <c r="AJ3903" s="394"/>
      <c r="AK3903" s="394"/>
      <c r="AL3903" s="394"/>
      <c r="AM3903" s="394"/>
      <c r="AN3903" s="394"/>
      <c r="AO3903" s="394"/>
      <c r="AP3903" s="394"/>
      <c r="AQ3903" s="394"/>
      <c r="AR3903" s="394"/>
      <c r="AS3903" s="402"/>
      <c r="AT3903" s="404"/>
      <c r="AU3903" s="394"/>
      <c r="AV3903" s="394"/>
      <c r="AW3903" s="394"/>
      <c r="AX3903" s="5"/>
      <c r="AY3903" s="5"/>
      <c r="AZ3903" s="5"/>
      <c r="BA3903" s="5"/>
      <c r="BB3903" s="5"/>
      <c r="BC3903" s="5"/>
      <c r="BD3903" s="5"/>
      <c r="BE3903" s="5"/>
      <c r="BF3903" s="5"/>
      <c r="BG3903" s="5"/>
      <c r="BH3903" s="5"/>
      <c r="BI3903" s="5"/>
      <c r="BJ3903" s="5"/>
      <c r="BK3903" s="5"/>
      <c r="BL3903" s="5"/>
      <c r="BM3903" s="5"/>
      <c r="BN3903" s="5"/>
      <c r="BO3903" s="5"/>
      <c r="BP3903" s="5"/>
      <c r="BQ3903" s="5"/>
      <c r="BR3903" s="5"/>
      <c r="BS3903" s="5"/>
      <c r="BT3903" s="5"/>
      <c r="BU3903" s="5"/>
      <c r="BV3903" s="5"/>
      <c r="BW3903" s="5"/>
      <c r="BX3903" s="5"/>
      <c r="BY3903" s="5"/>
      <c r="BZ3903" s="5"/>
      <c r="CA3903" s="5"/>
    </row>
    <row r="3904" spans="1:79" s="400" customFormat="1" ht="15" customHeight="1">
      <c r="A3904" s="41" t="s">
        <v>183</v>
      </c>
      <c r="B3904" s="402" t="s">
        <v>4276</v>
      </c>
      <c r="C3904" s="113" t="s">
        <v>3789</v>
      </c>
      <c r="D3904" s="393" t="s">
        <v>56</v>
      </c>
      <c r="E3904" s="394" t="s">
        <v>95</v>
      </c>
      <c r="F3904" s="402"/>
      <c r="G3904" s="405" t="s">
        <v>3790</v>
      </c>
      <c r="H3904" s="404">
        <v>4111</v>
      </c>
      <c r="I3904" s="402" t="s">
        <v>1</v>
      </c>
      <c r="J3904" s="406" t="s">
        <v>5263</v>
      </c>
      <c r="K3904" s="403">
        <v>41744</v>
      </c>
      <c r="L3904" s="398">
        <v>41736</v>
      </c>
      <c r="M3904" s="402">
        <f t="shared" si="238"/>
        <v>8</v>
      </c>
      <c r="N3904" s="402" t="s">
        <v>2</v>
      </c>
      <c r="O3904" s="404"/>
      <c r="P3904" s="402">
        <v>6.19</v>
      </c>
      <c r="Q3904" s="404"/>
      <c r="R3904" s="402">
        <v>69</v>
      </c>
      <c r="S3904" s="404"/>
      <c r="T3904" s="402"/>
      <c r="U3904" s="395"/>
      <c r="V3904" s="402"/>
      <c r="W3904" s="404"/>
      <c r="X3904" s="402"/>
      <c r="Y3904" s="404"/>
      <c r="Z3904" s="397"/>
      <c r="AA3904" s="399"/>
      <c r="AB3904" s="394"/>
      <c r="AC3904" s="402"/>
      <c r="AD3904" s="399"/>
      <c r="AE3904" s="402"/>
      <c r="AF3904" s="391"/>
      <c r="AG3904" s="394"/>
      <c r="AH3904" s="394"/>
      <c r="AI3904" s="394"/>
      <c r="AJ3904" s="394"/>
      <c r="AK3904" s="394"/>
      <c r="AL3904" s="394"/>
      <c r="AM3904" s="394"/>
      <c r="AN3904" s="394"/>
      <c r="AO3904" s="394"/>
      <c r="AP3904" s="394"/>
      <c r="AQ3904" s="394"/>
      <c r="AR3904" s="394"/>
      <c r="AS3904" s="402"/>
      <c r="AT3904" s="404"/>
      <c r="AU3904" s="394"/>
      <c r="AV3904" s="394"/>
      <c r="AW3904" s="394"/>
      <c r="AX3904" s="5"/>
      <c r="AY3904" s="5"/>
      <c r="AZ3904" s="5"/>
      <c r="BA3904" s="5"/>
      <c r="BB3904" s="5"/>
      <c r="BC3904" s="5"/>
      <c r="BD3904" s="5"/>
      <c r="BE3904" s="5"/>
      <c r="BF3904" s="5"/>
      <c r="BG3904" s="5"/>
      <c r="BH3904" s="5"/>
      <c r="BI3904" s="5"/>
      <c r="BJ3904" s="5"/>
      <c r="BK3904" s="5"/>
      <c r="BL3904" s="5"/>
      <c r="BM3904" s="5"/>
      <c r="BN3904" s="5"/>
      <c r="BO3904" s="5"/>
      <c r="BP3904" s="5"/>
      <c r="BQ3904" s="5"/>
      <c r="BR3904" s="5"/>
      <c r="BS3904" s="5"/>
      <c r="BT3904" s="5"/>
      <c r="BU3904" s="5"/>
      <c r="BV3904" s="5"/>
      <c r="BW3904" s="5"/>
      <c r="BX3904" s="5"/>
      <c r="BY3904" s="5"/>
      <c r="BZ3904" s="5"/>
      <c r="CA3904" s="5"/>
    </row>
    <row r="3905" spans="1:79" ht="15" customHeight="1">
      <c r="A3905" s="404" t="s">
        <v>4668</v>
      </c>
      <c r="B3905" s="402" t="s">
        <v>4276</v>
      </c>
      <c r="C3905" s="113" t="s">
        <v>3782</v>
      </c>
      <c r="D3905" s="393" t="s">
        <v>1896</v>
      </c>
      <c r="E3905" s="394" t="s">
        <v>6351</v>
      </c>
      <c r="G3905" s="405" t="s">
        <v>3784</v>
      </c>
      <c r="H3905" s="74">
        <v>4111</v>
      </c>
      <c r="I3905" s="50" t="s">
        <v>1</v>
      </c>
      <c r="J3905" s="339" t="s">
        <v>5262</v>
      </c>
      <c r="K3905" s="51">
        <v>41710</v>
      </c>
      <c r="L3905" s="173">
        <v>41690</v>
      </c>
      <c r="M3905" s="50">
        <f t="shared" si="238"/>
        <v>20</v>
      </c>
      <c r="N3905" s="50" t="s">
        <v>2</v>
      </c>
      <c r="R3905" s="50">
        <v>560</v>
      </c>
      <c r="W3905" s="74">
        <v>0.03</v>
      </c>
      <c r="Z3905" s="165">
        <v>1</v>
      </c>
      <c r="AA3905" s="271">
        <v>1</v>
      </c>
      <c r="AB3905" s="114">
        <v>188</v>
      </c>
      <c r="AC3905" s="50">
        <v>1982</v>
      </c>
      <c r="AD3905" s="271">
        <v>1</v>
      </c>
    </row>
    <row r="3906" spans="1:79" ht="15" customHeight="1">
      <c r="A3906" s="404" t="s">
        <v>4668</v>
      </c>
      <c r="B3906" s="402" t="s">
        <v>4276</v>
      </c>
      <c r="C3906" s="113" t="s">
        <v>3782</v>
      </c>
      <c r="D3906" s="393" t="s">
        <v>1896</v>
      </c>
      <c r="E3906" s="394" t="s">
        <v>6351</v>
      </c>
      <c r="G3906" s="405" t="s">
        <v>3784</v>
      </c>
      <c r="H3906" s="74">
        <v>4111</v>
      </c>
      <c r="I3906" s="50" t="s">
        <v>1</v>
      </c>
      <c r="J3906" s="339" t="s">
        <v>6352</v>
      </c>
      <c r="K3906" s="51">
        <v>41710</v>
      </c>
      <c r="L3906" s="173">
        <v>41690</v>
      </c>
      <c r="M3906" s="50">
        <f t="shared" si="238"/>
        <v>20</v>
      </c>
      <c r="N3906" s="50" t="s">
        <v>2</v>
      </c>
      <c r="W3906" s="74">
        <v>0.106</v>
      </c>
      <c r="X3906" s="50">
        <v>4</v>
      </c>
      <c r="Z3906" s="165">
        <v>0.28100000000000003</v>
      </c>
      <c r="AA3906" s="271">
        <v>0.16900000000000001</v>
      </c>
      <c r="AB3906" s="114">
        <v>50</v>
      </c>
      <c r="AC3906" s="50">
        <v>778</v>
      </c>
      <c r="AD3906" s="271">
        <v>0</v>
      </c>
    </row>
    <row r="3907" spans="1:79" ht="15" customHeight="1">
      <c r="A3907" s="404" t="s">
        <v>4668</v>
      </c>
      <c r="B3907" s="402" t="s">
        <v>4276</v>
      </c>
      <c r="C3907" s="113" t="s">
        <v>3782</v>
      </c>
      <c r="D3907" s="393" t="s">
        <v>1896</v>
      </c>
      <c r="E3907" s="394" t="s">
        <v>6351</v>
      </c>
      <c r="G3907" s="405" t="s">
        <v>3784</v>
      </c>
      <c r="H3907" s="74">
        <v>4111</v>
      </c>
      <c r="I3907" s="50" t="s">
        <v>1</v>
      </c>
      <c r="J3907" s="339" t="s">
        <v>6353</v>
      </c>
      <c r="K3907" s="51">
        <v>41710</v>
      </c>
      <c r="L3907" s="173">
        <v>41690</v>
      </c>
      <c r="M3907" s="50">
        <f t="shared" si="238"/>
        <v>20</v>
      </c>
      <c r="N3907" s="50" t="s">
        <v>2</v>
      </c>
      <c r="W3907" s="74">
        <v>0.03</v>
      </c>
      <c r="Z3907" s="165"/>
    </row>
    <row r="3908" spans="1:79" ht="15" customHeight="1">
      <c r="A3908" s="404" t="s">
        <v>4668</v>
      </c>
      <c r="B3908" s="402" t="s">
        <v>4276</v>
      </c>
      <c r="C3908" s="113" t="s">
        <v>3782</v>
      </c>
      <c r="D3908" s="393" t="s">
        <v>1896</v>
      </c>
      <c r="E3908" s="394" t="s">
        <v>6351</v>
      </c>
      <c r="G3908" s="405" t="s">
        <v>3784</v>
      </c>
      <c r="H3908" s="74">
        <v>4111</v>
      </c>
      <c r="I3908" s="50" t="s">
        <v>1</v>
      </c>
      <c r="J3908" s="339" t="s">
        <v>6354</v>
      </c>
      <c r="K3908" s="51">
        <v>41710</v>
      </c>
      <c r="L3908" s="173">
        <v>41690</v>
      </c>
      <c r="M3908" s="50">
        <f t="shared" si="238"/>
        <v>20</v>
      </c>
      <c r="N3908" s="50" t="s">
        <v>2</v>
      </c>
      <c r="W3908" s="74">
        <v>0.05</v>
      </c>
      <c r="X3908" s="50">
        <v>5.23</v>
      </c>
      <c r="Z3908" s="165">
        <v>0.17699999999999999</v>
      </c>
      <c r="AA3908" s="271">
        <v>0.14399999999999999</v>
      </c>
      <c r="AB3908" s="114">
        <v>40</v>
      </c>
      <c r="AC3908" s="50">
        <v>370</v>
      </c>
      <c r="AD3908" s="271">
        <v>0</v>
      </c>
    </row>
    <row r="3909" spans="1:79" s="400" customFormat="1" ht="15" customHeight="1">
      <c r="A3909" s="41" t="s">
        <v>183</v>
      </c>
      <c r="B3909" s="402" t="s">
        <v>4276</v>
      </c>
      <c r="C3909" s="113" t="s">
        <v>3782</v>
      </c>
      <c r="D3909" s="393" t="s">
        <v>1896</v>
      </c>
      <c r="E3909" s="394" t="s">
        <v>6351</v>
      </c>
      <c r="F3909" s="402"/>
      <c r="G3909" s="405" t="s">
        <v>3784</v>
      </c>
      <c r="H3909" s="404">
        <v>4111</v>
      </c>
      <c r="I3909" s="402" t="s">
        <v>1</v>
      </c>
      <c r="J3909" s="406" t="s">
        <v>5262</v>
      </c>
      <c r="K3909" s="403">
        <v>41744</v>
      </c>
      <c r="L3909" s="398">
        <v>41736</v>
      </c>
      <c r="M3909" s="402">
        <f t="shared" si="238"/>
        <v>8</v>
      </c>
      <c r="N3909" s="402" t="s">
        <v>2</v>
      </c>
      <c r="O3909" s="404"/>
      <c r="P3909" s="402"/>
      <c r="Q3909" s="404"/>
      <c r="R3909" s="402">
        <v>64</v>
      </c>
      <c r="S3909" s="404"/>
      <c r="T3909" s="402"/>
      <c r="U3909" s="395"/>
      <c r="V3909" s="402"/>
      <c r="W3909" s="404"/>
      <c r="X3909" s="402"/>
      <c r="Y3909" s="404"/>
      <c r="Z3909" s="397"/>
      <c r="AA3909" s="399"/>
      <c r="AB3909" s="394"/>
      <c r="AC3909" s="402"/>
      <c r="AD3909" s="399"/>
      <c r="AE3909" s="402"/>
      <c r="AF3909" s="391"/>
      <c r="AG3909" s="394"/>
      <c r="AH3909" s="394"/>
      <c r="AI3909" s="394"/>
      <c r="AJ3909" s="394"/>
      <c r="AK3909" s="394"/>
      <c r="AL3909" s="394"/>
      <c r="AM3909" s="394"/>
      <c r="AN3909" s="394"/>
      <c r="AO3909" s="394"/>
      <c r="AP3909" s="394"/>
      <c r="AQ3909" s="394"/>
      <c r="AR3909" s="394"/>
      <c r="AS3909" s="402"/>
      <c r="AT3909" s="404"/>
      <c r="AU3909" s="394"/>
      <c r="AV3909" s="394"/>
      <c r="AW3909" s="394"/>
      <c r="AX3909" s="5"/>
      <c r="AY3909" s="5"/>
      <c r="AZ3909" s="5"/>
      <c r="BA3909" s="5"/>
      <c r="BB3909" s="5"/>
      <c r="BC3909" s="5"/>
      <c r="BD3909" s="5"/>
      <c r="BE3909" s="5"/>
      <c r="BF3909" s="5"/>
      <c r="BG3909" s="5"/>
      <c r="BH3909" s="5"/>
      <c r="BI3909" s="5"/>
      <c r="BJ3909" s="5"/>
      <c r="BK3909" s="5"/>
      <c r="BL3909" s="5"/>
      <c r="BM3909" s="5"/>
      <c r="BN3909" s="5"/>
      <c r="BO3909" s="5"/>
      <c r="BP3909" s="5"/>
      <c r="BQ3909" s="5"/>
      <c r="BR3909" s="5"/>
      <c r="BS3909" s="5"/>
      <c r="BT3909" s="5"/>
      <c r="BU3909" s="5"/>
      <c r="BV3909" s="5"/>
      <c r="BW3909" s="5"/>
      <c r="BX3909" s="5"/>
      <c r="BY3909" s="5"/>
      <c r="BZ3909" s="5"/>
      <c r="CA3909" s="5"/>
    </row>
    <row r="3910" spans="1:79" s="400" customFormat="1" ht="15" customHeight="1">
      <c r="A3910" s="41" t="s">
        <v>183</v>
      </c>
      <c r="B3910" s="402" t="s">
        <v>4276</v>
      </c>
      <c r="C3910" s="113" t="s">
        <v>3782</v>
      </c>
      <c r="D3910" s="393" t="s">
        <v>1896</v>
      </c>
      <c r="E3910" s="394" t="s">
        <v>6351</v>
      </c>
      <c r="F3910" s="402"/>
      <c r="G3910" s="405" t="s">
        <v>3784</v>
      </c>
      <c r="H3910" s="404">
        <v>4111</v>
      </c>
      <c r="I3910" s="402" t="s">
        <v>1</v>
      </c>
      <c r="J3910" s="406" t="s">
        <v>6352</v>
      </c>
      <c r="K3910" s="403">
        <v>41744</v>
      </c>
      <c r="L3910" s="398">
        <v>41736</v>
      </c>
      <c r="M3910" s="402">
        <f t="shared" si="238"/>
        <v>8</v>
      </c>
      <c r="N3910" s="402" t="s">
        <v>2</v>
      </c>
      <c r="O3910" s="404"/>
      <c r="P3910" s="402">
        <v>7.25</v>
      </c>
      <c r="Q3910" s="404"/>
      <c r="R3910" s="402"/>
      <c r="S3910" s="404"/>
      <c r="T3910" s="402"/>
      <c r="U3910" s="395"/>
      <c r="V3910" s="402"/>
      <c r="W3910" s="404">
        <v>2.5999999999999999E-2</v>
      </c>
      <c r="X3910" s="402">
        <v>0.70599999999999996</v>
      </c>
      <c r="Y3910" s="404"/>
      <c r="Z3910" s="397">
        <v>0.55500000000000005</v>
      </c>
      <c r="AA3910" s="399">
        <v>0.31900000000000001</v>
      </c>
      <c r="AB3910" s="394">
        <v>10</v>
      </c>
      <c r="AC3910" s="402">
        <v>65</v>
      </c>
      <c r="AD3910" s="399">
        <v>0</v>
      </c>
      <c r="AE3910" s="402"/>
      <c r="AF3910" s="391"/>
      <c r="AG3910" s="394"/>
      <c r="AH3910" s="394"/>
      <c r="AI3910" s="394"/>
      <c r="AJ3910" s="394"/>
      <c r="AK3910" s="394"/>
      <c r="AL3910" s="394"/>
      <c r="AM3910" s="394"/>
      <c r="AN3910" s="394"/>
      <c r="AO3910" s="394"/>
      <c r="AP3910" s="394"/>
      <c r="AQ3910" s="394"/>
      <c r="AR3910" s="394"/>
      <c r="AS3910" s="402"/>
      <c r="AT3910" s="404"/>
      <c r="AU3910" s="394"/>
      <c r="AV3910" s="394"/>
      <c r="AW3910" s="394"/>
      <c r="AX3910" s="5"/>
      <c r="AY3910" s="5"/>
      <c r="AZ3910" s="5"/>
      <c r="BA3910" s="5"/>
      <c r="BB3910" s="5"/>
      <c r="BC3910" s="5"/>
      <c r="BD3910" s="5"/>
      <c r="BE3910" s="5"/>
      <c r="BF3910" s="5"/>
      <c r="BG3910" s="5"/>
      <c r="BH3910" s="5"/>
      <c r="BI3910" s="5"/>
      <c r="BJ3910" s="5"/>
      <c r="BK3910" s="5"/>
      <c r="BL3910" s="5"/>
      <c r="BM3910" s="5"/>
      <c r="BN3910" s="5"/>
      <c r="BO3910" s="5"/>
      <c r="BP3910" s="5"/>
      <c r="BQ3910" s="5"/>
      <c r="BR3910" s="5"/>
      <c r="BS3910" s="5"/>
      <c r="BT3910" s="5"/>
      <c r="BU3910" s="5"/>
      <c r="BV3910" s="5"/>
      <c r="BW3910" s="5"/>
      <c r="BX3910" s="5"/>
      <c r="BY3910" s="5"/>
      <c r="BZ3910" s="5"/>
      <c r="CA3910" s="5"/>
    </row>
    <row r="3911" spans="1:79" s="400" customFormat="1" ht="15" customHeight="1">
      <c r="A3911" s="41" t="s">
        <v>183</v>
      </c>
      <c r="B3911" s="402" t="s">
        <v>4276</v>
      </c>
      <c r="C3911" s="113" t="s">
        <v>3782</v>
      </c>
      <c r="D3911" s="393" t="s">
        <v>1896</v>
      </c>
      <c r="E3911" s="394" t="s">
        <v>6351</v>
      </c>
      <c r="F3911" s="402"/>
      <c r="G3911" s="405" t="s">
        <v>3784</v>
      </c>
      <c r="H3911" s="404">
        <v>4111</v>
      </c>
      <c r="I3911" s="402" t="s">
        <v>1</v>
      </c>
      <c r="J3911" s="406" t="s">
        <v>6354</v>
      </c>
      <c r="K3911" s="403">
        <v>41744</v>
      </c>
      <c r="L3911" s="398">
        <v>41736</v>
      </c>
      <c r="M3911" s="402">
        <f t="shared" si="238"/>
        <v>8</v>
      </c>
      <c r="N3911" s="402" t="s">
        <v>2</v>
      </c>
      <c r="O3911" s="404"/>
      <c r="P3911" s="402">
        <v>7.25</v>
      </c>
      <c r="Q3911" s="404"/>
      <c r="R3911" s="402"/>
      <c r="S3911" s="404"/>
      <c r="T3911" s="402"/>
      <c r="U3911" s="395"/>
      <c r="V3911" s="402"/>
      <c r="W3911" s="404"/>
      <c r="X3911" s="402">
        <v>0.34799999999999998</v>
      </c>
      <c r="Y3911" s="404"/>
      <c r="Z3911" s="397">
        <v>1</v>
      </c>
      <c r="AA3911" s="399">
        <v>0.69799999999999995</v>
      </c>
      <c r="AB3911" s="394">
        <v>18</v>
      </c>
      <c r="AC3911" s="402">
        <v>97</v>
      </c>
      <c r="AD3911" s="399">
        <v>0.05</v>
      </c>
      <c r="AE3911" s="402"/>
      <c r="AF3911" s="391"/>
      <c r="AG3911" s="394"/>
      <c r="AH3911" s="394"/>
      <c r="AI3911" s="394"/>
      <c r="AJ3911" s="394"/>
      <c r="AK3911" s="394"/>
      <c r="AL3911" s="394"/>
      <c r="AM3911" s="394"/>
      <c r="AN3911" s="394"/>
      <c r="AO3911" s="394"/>
      <c r="AP3911" s="394"/>
      <c r="AQ3911" s="394"/>
      <c r="AR3911" s="394"/>
      <c r="AS3911" s="402"/>
      <c r="AT3911" s="404"/>
      <c r="AU3911" s="394"/>
      <c r="AV3911" s="394"/>
      <c r="AW3911" s="394"/>
      <c r="AX3911" s="5"/>
      <c r="AY3911" s="5"/>
      <c r="AZ3911" s="5"/>
      <c r="BA3911" s="5"/>
      <c r="BB3911" s="5"/>
      <c r="BC3911" s="5"/>
      <c r="BD3911" s="5"/>
      <c r="BE3911" s="5"/>
      <c r="BF3911" s="5"/>
      <c r="BG3911" s="5"/>
      <c r="BH3911" s="5"/>
      <c r="BI3911" s="5"/>
      <c r="BJ3911" s="5"/>
      <c r="BK3911" s="5"/>
      <c r="BL3911" s="5"/>
      <c r="BM3911" s="5"/>
      <c r="BN3911" s="5"/>
      <c r="BO3911" s="5"/>
      <c r="BP3911" s="5"/>
      <c r="BQ3911" s="5"/>
      <c r="BR3911" s="5"/>
      <c r="BS3911" s="5"/>
      <c r="BT3911" s="5"/>
      <c r="BU3911" s="5"/>
      <c r="BV3911" s="5"/>
      <c r="BW3911" s="5"/>
      <c r="BX3911" s="5"/>
      <c r="BY3911" s="5"/>
      <c r="BZ3911" s="5"/>
      <c r="CA3911" s="5"/>
    </row>
    <row r="3912" spans="1:79" ht="15" customHeight="1">
      <c r="A3912" s="404" t="s">
        <v>4668</v>
      </c>
      <c r="B3912" s="402" t="s">
        <v>5394</v>
      </c>
      <c r="C3912" s="113" t="s">
        <v>5394</v>
      </c>
      <c r="D3912" s="393" t="s">
        <v>548</v>
      </c>
      <c r="E3912" s="394" t="s">
        <v>5395</v>
      </c>
      <c r="F3912" s="402">
        <v>4305</v>
      </c>
      <c r="G3912" s="405" t="s">
        <v>5396</v>
      </c>
      <c r="H3912" s="74">
        <v>3599</v>
      </c>
      <c r="I3912" s="50" t="s">
        <v>1</v>
      </c>
      <c r="J3912" s="339" t="s">
        <v>5397</v>
      </c>
      <c r="K3912" s="51">
        <v>41364</v>
      </c>
      <c r="L3912" s="173">
        <v>41341</v>
      </c>
      <c r="M3912" s="50">
        <f t="shared" si="238"/>
        <v>23</v>
      </c>
      <c r="N3912" s="50" t="s">
        <v>2</v>
      </c>
      <c r="O3912" s="74">
        <v>3.5</v>
      </c>
      <c r="P3912" s="50">
        <v>6.2</v>
      </c>
      <c r="Q3912" s="74">
        <v>7.2</v>
      </c>
      <c r="R3912" s="50">
        <v>13</v>
      </c>
      <c r="S3912" s="74">
        <v>7</v>
      </c>
      <c r="T3912" s="50">
        <v>7.0000000000000007E-2</v>
      </c>
      <c r="U3912" s="131">
        <v>0.4</v>
      </c>
      <c r="V3912" s="50">
        <v>0.49</v>
      </c>
      <c r="W3912" s="74">
        <v>0.05</v>
      </c>
      <c r="X3912" s="50">
        <v>0.11</v>
      </c>
      <c r="Y3912" s="74">
        <v>4.0000000000000001E-3</v>
      </c>
      <c r="Z3912" s="165"/>
    </row>
    <row r="3913" spans="1:79" ht="15" customHeight="1">
      <c r="A3913" s="404" t="s">
        <v>4668</v>
      </c>
      <c r="B3913" s="402" t="s">
        <v>5394</v>
      </c>
      <c r="C3913" s="113" t="s">
        <v>5394</v>
      </c>
      <c r="D3913" s="393" t="s">
        <v>548</v>
      </c>
      <c r="E3913" s="394" t="s">
        <v>5395</v>
      </c>
      <c r="F3913" s="402">
        <v>4305</v>
      </c>
      <c r="G3913" s="405" t="s">
        <v>5396</v>
      </c>
      <c r="H3913" s="74">
        <v>3599</v>
      </c>
      <c r="I3913" s="50" t="s">
        <v>1</v>
      </c>
      <c r="J3913" s="339" t="s">
        <v>5397</v>
      </c>
      <c r="K3913" s="51">
        <v>41432</v>
      </c>
      <c r="L3913" s="173">
        <v>41428</v>
      </c>
      <c r="M3913" s="50">
        <f t="shared" si="238"/>
        <v>4</v>
      </c>
      <c r="N3913" s="50" t="s">
        <v>2</v>
      </c>
      <c r="O3913" s="74">
        <v>0.9</v>
      </c>
      <c r="P3913" s="50">
        <v>6.2</v>
      </c>
      <c r="Q3913" s="74">
        <v>7.3</v>
      </c>
      <c r="R3913" s="50">
        <v>11</v>
      </c>
      <c r="S3913" s="74">
        <v>5</v>
      </c>
      <c r="T3913" s="50">
        <f>0.01/2</f>
        <v>5.0000000000000001E-3</v>
      </c>
      <c r="U3913" s="131">
        <v>0.08</v>
      </c>
      <c r="V3913" s="50">
        <f>0.05/2</f>
        <v>2.5000000000000001E-2</v>
      </c>
      <c r="W3913" s="74">
        <v>0.05</v>
      </c>
      <c r="X3913" s="50">
        <f>0.01/2</f>
        <v>5.0000000000000001E-3</v>
      </c>
      <c r="Y3913" s="74">
        <f>0.001/2</f>
        <v>5.0000000000000001E-4</v>
      </c>
      <c r="Z3913" s="165"/>
    </row>
    <row r="3914" spans="1:79" ht="15" customHeight="1">
      <c r="A3914" s="404" t="s">
        <v>4668</v>
      </c>
      <c r="B3914" s="402" t="s">
        <v>5394</v>
      </c>
      <c r="C3914" s="113" t="s">
        <v>5394</v>
      </c>
      <c r="D3914" s="393" t="s">
        <v>548</v>
      </c>
      <c r="E3914" s="394" t="s">
        <v>5395</v>
      </c>
      <c r="F3914" s="402">
        <v>4305</v>
      </c>
      <c r="G3914" s="405" t="s">
        <v>5396</v>
      </c>
      <c r="H3914" s="74">
        <v>3599</v>
      </c>
      <c r="I3914" s="50" t="s">
        <v>1</v>
      </c>
      <c r="J3914" s="339" t="s">
        <v>5397</v>
      </c>
      <c r="K3914" s="51">
        <v>41554</v>
      </c>
      <c r="L3914" s="173">
        <v>41539</v>
      </c>
      <c r="M3914" s="50">
        <f t="shared" si="238"/>
        <v>15</v>
      </c>
      <c r="N3914" s="50" t="s">
        <v>2</v>
      </c>
      <c r="O3914" s="74">
        <v>0.8</v>
      </c>
      <c r="P3914" s="50">
        <v>5.5</v>
      </c>
      <c r="Q3914" s="74">
        <v>6.8</v>
      </c>
      <c r="R3914" s="50">
        <v>11</v>
      </c>
      <c r="S3914" s="74">
        <v>10.5</v>
      </c>
      <c r="T3914" s="50">
        <f>0.01</f>
        <v>0.01</v>
      </c>
      <c r="U3914" s="131">
        <v>0.52</v>
      </c>
      <c r="V3914" s="50">
        <v>0.56999999999999995</v>
      </c>
      <c r="W3914" s="74">
        <v>0.02</v>
      </c>
      <c r="X3914" s="50">
        <v>0.01</v>
      </c>
      <c r="Y3914" s="74">
        <f>0.001/2</f>
        <v>5.0000000000000001E-4</v>
      </c>
      <c r="Z3914" s="165">
        <v>1</v>
      </c>
      <c r="AA3914" s="271">
        <v>1</v>
      </c>
      <c r="AB3914" s="114">
        <v>45</v>
      </c>
      <c r="AC3914" s="50">
        <v>234</v>
      </c>
      <c r="AD3914" s="271">
        <v>0.55000000000000004</v>
      </c>
      <c r="AE3914" s="50">
        <v>1986</v>
      </c>
    </row>
    <row r="3915" spans="1:79" ht="15" customHeight="1">
      <c r="A3915" s="404" t="s">
        <v>4668</v>
      </c>
      <c r="B3915" s="402" t="s">
        <v>2277</v>
      </c>
      <c r="C3915" s="113" t="s">
        <v>2277</v>
      </c>
      <c r="D3915" s="393" t="s">
        <v>1683</v>
      </c>
      <c r="E3915" s="394" t="s">
        <v>2278</v>
      </c>
      <c r="G3915" s="405" t="s">
        <v>2279</v>
      </c>
      <c r="H3915" s="74">
        <v>3444</v>
      </c>
      <c r="I3915" s="50" t="s">
        <v>2</v>
      </c>
      <c r="J3915" s="74" t="s">
        <v>510</v>
      </c>
      <c r="K3915" s="51">
        <v>41579</v>
      </c>
      <c r="L3915" s="173">
        <v>41554</v>
      </c>
      <c r="M3915" s="50">
        <f t="shared" si="238"/>
        <v>25</v>
      </c>
      <c r="N3915" s="50" t="s">
        <v>2</v>
      </c>
      <c r="O3915" s="74">
        <f>5/2</f>
        <v>2.5</v>
      </c>
      <c r="P3915" s="50">
        <v>5.9</v>
      </c>
      <c r="Q3915" s="74">
        <v>6.85</v>
      </c>
      <c r="R3915" s="50">
        <v>34</v>
      </c>
      <c r="S3915" s="74">
        <f>5/2</f>
        <v>2.5</v>
      </c>
      <c r="T3915" s="50">
        <f>0.1/2</f>
        <v>0.05</v>
      </c>
      <c r="U3915" s="131">
        <f>1/2</f>
        <v>0.5</v>
      </c>
      <c r="V3915" s="50">
        <v>0.28000000000000003</v>
      </c>
      <c r="W3915" s="74">
        <f>0.04/2</f>
        <v>0.02</v>
      </c>
      <c r="X3915" s="50">
        <v>9.1999999999999998E-2</v>
      </c>
      <c r="Y3915" s="74">
        <v>1.4999999999999999E-2</v>
      </c>
      <c r="Z3915" s="165">
        <v>1</v>
      </c>
      <c r="AA3915" s="271">
        <v>1</v>
      </c>
      <c r="AB3915" s="114">
        <v>6.2</v>
      </c>
      <c r="AC3915" s="50">
        <v>37</v>
      </c>
      <c r="AD3915" s="271">
        <v>0.75</v>
      </c>
    </row>
    <row r="3916" spans="1:79" ht="15" customHeight="1">
      <c r="A3916" s="404" t="s">
        <v>4668</v>
      </c>
      <c r="B3916" s="402" t="s">
        <v>6355</v>
      </c>
      <c r="C3916" s="113" t="s">
        <v>6355</v>
      </c>
      <c r="D3916" s="393" t="s">
        <v>89</v>
      </c>
      <c r="E3916" s="394" t="s">
        <v>535</v>
      </c>
      <c r="F3916" s="402" t="s">
        <v>6356</v>
      </c>
      <c r="G3916" s="405" t="s">
        <v>6357</v>
      </c>
      <c r="H3916" s="74">
        <v>3353</v>
      </c>
      <c r="I3916" s="50" t="s">
        <v>2</v>
      </c>
      <c r="J3916" s="339" t="s">
        <v>6358</v>
      </c>
      <c r="K3916" s="51">
        <v>41600</v>
      </c>
      <c r="L3916" s="173">
        <v>41595</v>
      </c>
      <c r="M3916" s="50">
        <f t="shared" si="238"/>
        <v>5</v>
      </c>
      <c r="N3916" s="50" t="s">
        <v>2</v>
      </c>
      <c r="O3916" s="74">
        <f>1.4/2</f>
        <v>0.7</v>
      </c>
      <c r="P3916" s="50">
        <v>7.59</v>
      </c>
      <c r="Q3916" s="74">
        <v>7.48</v>
      </c>
      <c r="R3916" s="50">
        <v>28</v>
      </c>
      <c r="S3916" s="74">
        <v>31</v>
      </c>
      <c r="T3916" s="50">
        <v>0.19</v>
      </c>
      <c r="U3916" s="131">
        <v>0.91</v>
      </c>
      <c r="V3916" s="50">
        <v>0.46</v>
      </c>
      <c r="W3916" s="74">
        <v>0.03</v>
      </c>
      <c r="X3916" s="50">
        <v>0.187</v>
      </c>
      <c r="Y3916" s="74">
        <v>5.0000000000000001E-3</v>
      </c>
      <c r="Z3916" s="165">
        <v>1</v>
      </c>
      <c r="AA3916" s="271">
        <v>1</v>
      </c>
      <c r="AB3916" s="114">
        <v>50</v>
      </c>
      <c r="AC3916" s="50">
        <v>186</v>
      </c>
      <c r="AD3916" s="271">
        <v>1</v>
      </c>
    </row>
    <row r="3917" spans="1:79" ht="15" customHeight="1">
      <c r="A3917" s="404" t="s">
        <v>4668</v>
      </c>
      <c r="B3917" s="402" t="s">
        <v>935</v>
      </c>
      <c r="C3917" s="113" t="s">
        <v>935</v>
      </c>
      <c r="D3917" s="393" t="s">
        <v>861</v>
      </c>
      <c r="E3917" s="394" t="s">
        <v>517</v>
      </c>
      <c r="G3917" s="405" t="s">
        <v>5374</v>
      </c>
      <c r="H3917" s="74">
        <v>3569</v>
      </c>
      <c r="I3917" s="50" t="s">
        <v>2</v>
      </c>
      <c r="J3917" s="339" t="s">
        <v>81</v>
      </c>
      <c r="K3917" s="51">
        <v>41604</v>
      </c>
      <c r="L3917" s="173">
        <v>41600</v>
      </c>
      <c r="M3917" s="50">
        <f t="shared" si="238"/>
        <v>4</v>
      </c>
      <c r="N3917" s="50" t="s">
        <v>2</v>
      </c>
      <c r="O3917" s="74">
        <v>1.4</v>
      </c>
      <c r="P3917" s="50">
        <v>5.67</v>
      </c>
      <c r="Q3917" s="74">
        <v>6.42</v>
      </c>
      <c r="R3917" s="50">
        <v>1</v>
      </c>
      <c r="S3917" s="74">
        <f>1/2</f>
        <v>0.5</v>
      </c>
      <c r="T3917" s="50">
        <v>0.11</v>
      </c>
      <c r="U3917" s="131">
        <v>7.71</v>
      </c>
      <c r="V3917" s="50">
        <v>0.56000000000000005</v>
      </c>
      <c r="W3917" s="74">
        <v>0.73</v>
      </c>
      <c r="X3917" s="50">
        <v>0.36</v>
      </c>
      <c r="Y3917" s="74">
        <f>0.05/2</f>
        <v>2.5000000000000001E-2</v>
      </c>
      <c r="Z3917" s="165">
        <v>1</v>
      </c>
      <c r="AA3917" s="271">
        <v>0.79400000000000004</v>
      </c>
      <c r="AB3917" s="114">
        <v>14</v>
      </c>
      <c r="AC3917" s="50">
        <v>71</v>
      </c>
      <c r="AD3917" s="271">
        <v>0.25</v>
      </c>
    </row>
    <row r="3918" spans="1:79" ht="15" customHeight="1">
      <c r="A3918" s="404" t="s">
        <v>4668</v>
      </c>
      <c r="B3918" s="402" t="s">
        <v>935</v>
      </c>
      <c r="C3918" s="113" t="s">
        <v>935</v>
      </c>
      <c r="D3918" s="393" t="s">
        <v>861</v>
      </c>
      <c r="E3918" s="394" t="s">
        <v>517</v>
      </c>
      <c r="G3918" s="405" t="s">
        <v>5374</v>
      </c>
      <c r="H3918" s="74">
        <v>3569</v>
      </c>
      <c r="I3918" s="50" t="s">
        <v>2</v>
      </c>
      <c r="J3918" s="339" t="s">
        <v>924</v>
      </c>
      <c r="K3918" s="51">
        <v>41604</v>
      </c>
      <c r="L3918" s="173">
        <v>41600</v>
      </c>
      <c r="M3918" s="50">
        <f t="shared" si="238"/>
        <v>4</v>
      </c>
      <c r="N3918" s="50" t="s">
        <v>2</v>
      </c>
      <c r="O3918" s="74">
        <v>2</v>
      </c>
      <c r="P3918" s="50">
        <v>6.36</v>
      </c>
      <c r="Q3918" s="74">
        <v>7.16</v>
      </c>
      <c r="R3918" s="50">
        <v>12</v>
      </c>
      <c r="S3918" s="74">
        <v>4</v>
      </c>
      <c r="T3918" s="50">
        <f>0.1/2</f>
        <v>0.05</v>
      </c>
      <c r="U3918" s="131">
        <v>3.29</v>
      </c>
      <c r="V3918" s="50">
        <v>0.28999999999999998</v>
      </c>
      <c r="W3918" s="74">
        <v>0.32</v>
      </c>
      <c r="X3918" s="50">
        <v>0.12</v>
      </c>
      <c r="Y3918" s="74">
        <f>0.05/2</f>
        <v>2.5000000000000001E-2</v>
      </c>
      <c r="Z3918" s="165">
        <v>1</v>
      </c>
      <c r="AA3918" s="271">
        <v>1</v>
      </c>
      <c r="AB3918" s="114">
        <v>32</v>
      </c>
      <c r="AC3918" s="50">
        <v>213</v>
      </c>
      <c r="AD3918" s="271">
        <v>1</v>
      </c>
    </row>
    <row r="3919" spans="1:79" ht="15" customHeight="1">
      <c r="A3919" s="404" t="s">
        <v>4668</v>
      </c>
      <c r="B3919" s="402" t="s">
        <v>935</v>
      </c>
      <c r="C3919" s="113" t="s">
        <v>935</v>
      </c>
      <c r="D3919" s="393" t="s">
        <v>861</v>
      </c>
      <c r="E3919" s="394" t="s">
        <v>517</v>
      </c>
      <c r="G3919" s="405" t="s">
        <v>5374</v>
      </c>
      <c r="H3919" s="74">
        <v>3569</v>
      </c>
      <c r="I3919" s="50" t="s">
        <v>2</v>
      </c>
      <c r="J3919" s="339" t="s">
        <v>696</v>
      </c>
      <c r="K3919" s="51">
        <v>41604</v>
      </c>
      <c r="L3919" s="173">
        <v>41600</v>
      </c>
      <c r="M3919" s="50">
        <f t="shared" si="238"/>
        <v>4</v>
      </c>
      <c r="N3919" s="50" t="s">
        <v>2</v>
      </c>
      <c r="O3919" s="74">
        <v>2.1</v>
      </c>
      <c r="P3919" s="50">
        <v>6.17</v>
      </c>
      <c r="Q3919" s="74">
        <v>5.9</v>
      </c>
      <c r="R3919" s="50">
        <v>19</v>
      </c>
      <c r="S3919" s="74">
        <v>5</v>
      </c>
      <c r="T3919" s="50">
        <f>0.1/2</f>
        <v>0.05</v>
      </c>
      <c r="U3919" s="131">
        <v>4.13</v>
      </c>
      <c r="V3919" s="50">
        <v>1.07</v>
      </c>
      <c r="W3919" s="74">
        <v>0.69</v>
      </c>
      <c r="X3919" s="50">
        <v>0.91</v>
      </c>
      <c r="Y3919" s="74">
        <f>0.05/2</f>
        <v>2.5000000000000001E-2</v>
      </c>
      <c r="Z3919" s="165">
        <v>1</v>
      </c>
      <c r="AA3919" s="271">
        <v>0.57399999999999995</v>
      </c>
      <c r="AB3919" s="114">
        <v>18</v>
      </c>
      <c r="AC3919" s="50">
        <v>71</v>
      </c>
      <c r="AD3919" s="271">
        <v>0</v>
      </c>
    </row>
    <row r="3920" spans="1:79" ht="15" customHeight="1">
      <c r="A3920" s="404" t="s">
        <v>4668</v>
      </c>
      <c r="B3920" s="385" t="s">
        <v>4407</v>
      </c>
      <c r="C3920" s="18" t="s">
        <v>4407</v>
      </c>
      <c r="D3920" s="377" t="s">
        <v>56</v>
      </c>
      <c r="E3920" s="20" t="s">
        <v>95</v>
      </c>
      <c r="G3920" s="405" t="s">
        <v>4408</v>
      </c>
      <c r="H3920" s="74">
        <v>3465</v>
      </c>
      <c r="J3920" s="339" t="s">
        <v>5757</v>
      </c>
      <c r="K3920" s="51">
        <v>41585</v>
      </c>
      <c r="L3920" s="173">
        <v>41554</v>
      </c>
      <c r="M3920" s="50">
        <f t="shared" si="238"/>
        <v>31</v>
      </c>
      <c r="N3920" s="50" t="s">
        <v>2</v>
      </c>
      <c r="O3920" s="74">
        <f>1/2</f>
        <v>0.5</v>
      </c>
      <c r="P3920" s="50">
        <v>6.4</v>
      </c>
      <c r="Q3920" s="74">
        <v>4.6500000000000004</v>
      </c>
      <c r="R3920" s="50">
        <v>23.7</v>
      </c>
      <c r="S3920" s="74">
        <f>1/2</f>
        <v>0.5</v>
      </c>
      <c r="T3920" s="50">
        <v>0.09</v>
      </c>
      <c r="U3920" s="131">
        <v>0.92</v>
      </c>
      <c r="V3920" s="50">
        <v>3.2</v>
      </c>
      <c r="W3920" s="74">
        <v>0.05</v>
      </c>
      <c r="X3920" s="50">
        <v>0.22</v>
      </c>
      <c r="Y3920" s="74">
        <f>0.02/2</f>
        <v>0.01</v>
      </c>
      <c r="Z3920" s="165"/>
    </row>
    <row r="3921" spans="1:79" ht="15" customHeight="1">
      <c r="A3921" s="404" t="s">
        <v>4668</v>
      </c>
      <c r="B3921" s="385" t="s">
        <v>4407</v>
      </c>
      <c r="C3921" s="18" t="s">
        <v>4407</v>
      </c>
      <c r="D3921" s="377" t="s">
        <v>56</v>
      </c>
      <c r="E3921" s="20" t="s">
        <v>95</v>
      </c>
      <c r="G3921" s="405" t="s">
        <v>4408</v>
      </c>
      <c r="H3921" s="74">
        <v>3465</v>
      </c>
      <c r="J3921" s="339" t="s">
        <v>5757</v>
      </c>
      <c r="K3921" s="51">
        <v>41585</v>
      </c>
      <c r="L3921" s="173">
        <v>41554</v>
      </c>
      <c r="M3921" s="50">
        <f t="shared" si="238"/>
        <v>31</v>
      </c>
      <c r="N3921" s="50" t="s">
        <v>2</v>
      </c>
      <c r="O3921" s="74">
        <f>1/2</f>
        <v>0.5</v>
      </c>
      <c r="P3921" s="50">
        <v>6.4</v>
      </c>
      <c r="Q3921" s="74">
        <v>6.3</v>
      </c>
      <c r="R3921" s="50">
        <v>33</v>
      </c>
      <c r="S3921" s="74">
        <v>3</v>
      </c>
      <c r="T3921" s="50">
        <v>0.1</v>
      </c>
      <c r="U3921" s="131">
        <v>1.86</v>
      </c>
      <c r="V3921" s="50">
        <v>1.4</v>
      </c>
      <c r="W3921" s="74">
        <v>7.0000000000000007E-2</v>
      </c>
      <c r="X3921" s="50">
        <v>0.34</v>
      </c>
      <c r="Y3921" s="74">
        <f>0.02/2</f>
        <v>0.01</v>
      </c>
      <c r="Z3921" s="165"/>
    </row>
    <row r="3922" spans="1:79" ht="15" customHeight="1">
      <c r="A3922" s="404" t="s">
        <v>4668</v>
      </c>
      <c r="B3922" s="402" t="s">
        <v>4719</v>
      </c>
      <c r="C3922" s="113" t="s">
        <v>4719</v>
      </c>
      <c r="D3922" s="393" t="s">
        <v>133</v>
      </c>
      <c r="E3922" s="394" t="s">
        <v>1247</v>
      </c>
      <c r="F3922" s="402">
        <v>4005</v>
      </c>
      <c r="G3922" s="405" t="s">
        <v>4720</v>
      </c>
      <c r="H3922" s="74">
        <v>3441</v>
      </c>
      <c r="J3922" s="339" t="s">
        <v>6359</v>
      </c>
      <c r="K3922" s="51">
        <v>41585</v>
      </c>
      <c r="L3922" s="173">
        <v>41580</v>
      </c>
      <c r="M3922" s="50">
        <f t="shared" si="238"/>
        <v>5</v>
      </c>
      <c r="N3922" s="50" t="s">
        <v>2</v>
      </c>
      <c r="O3922" s="74">
        <f>2/2</f>
        <v>1</v>
      </c>
      <c r="P3922" s="50">
        <v>7</v>
      </c>
      <c r="Q3922" s="74">
        <v>7.1</v>
      </c>
      <c r="R3922" s="50">
        <v>46</v>
      </c>
      <c r="S3922" s="74">
        <v>93</v>
      </c>
      <c r="T3922" s="50">
        <v>0.15</v>
      </c>
      <c r="U3922" s="131">
        <v>1.89</v>
      </c>
      <c r="V3922" s="50">
        <v>0.39</v>
      </c>
      <c r="W3922" s="74">
        <v>2.5999999999999999E-2</v>
      </c>
      <c r="X3922" s="50">
        <v>9.4E-2</v>
      </c>
      <c r="Y3922" s="74">
        <f>0.03/2</f>
        <v>1.4999999999999999E-2</v>
      </c>
      <c r="Z3922" s="165">
        <v>1</v>
      </c>
      <c r="AA3922" s="271">
        <v>1</v>
      </c>
      <c r="AB3922" s="114">
        <v>43</v>
      </c>
      <c r="AC3922" s="50">
        <v>127</v>
      </c>
      <c r="AD3922" s="271">
        <v>0.9</v>
      </c>
    </row>
    <row r="3923" spans="1:79" ht="15" customHeight="1">
      <c r="A3923" s="404" t="s">
        <v>4668</v>
      </c>
      <c r="B3923" s="402" t="s">
        <v>5693</v>
      </c>
      <c r="C3923" s="113" t="s">
        <v>5693</v>
      </c>
      <c r="D3923" s="393" t="s">
        <v>372</v>
      </c>
      <c r="E3923" s="394" t="s">
        <v>599</v>
      </c>
      <c r="F3923" s="402">
        <v>6900</v>
      </c>
      <c r="G3923" s="405" t="s">
        <v>1319</v>
      </c>
      <c r="H3923" s="74">
        <v>3356</v>
      </c>
      <c r="J3923" s="339" t="s">
        <v>1320</v>
      </c>
      <c r="K3923" s="51">
        <v>41596</v>
      </c>
      <c r="L3923" s="173">
        <v>41585</v>
      </c>
      <c r="M3923" s="50">
        <f t="shared" si="238"/>
        <v>11</v>
      </c>
      <c r="N3923" s="50" t="s">
        <v>2</v>
      </c>
      <c r="O3923" s="74">
        <v>2.4</v>
      </c>
      <c r="P3923" s="50">
        <v>6.68</v>
      </c>
      <c r="Q3923" s="74">
        <v>4.71</v>
      </c>
      <c r="R3923" s="50">
        <v>30</v>
      </c>
      <c r="S3923" s="74">
        <v>5</v>
      </c>
      <c r="T3923" s="50">
        <v>0.08</v>
      </c>
      <c r="U3923" s="131">
        <v>0.75</v>
      </c>
      <c r="V3923" s="50">
        <v>0.31</v>
      </c>
      <c r="W3923" s="74">
        <f>0.01/2</f>
        <v>5.0000000000000001E-3</v>
      </c>
      <c r="X3923" s="50">
        <v>0.06</v>
      </c>
      <c r="Y3923" s="74">
        <f>0.02/2</f>
        <v>0.01</v>
      </c>
      <c r="Z3923" s="165">
        <v>1</v>
      </c>
      <c r="AA3923" s="271">
        <v>1</v>
      </c>
      <c r="AB3923" s="114">
        <v>1</v>
      </c>
      <c r="AC3923" s="50">
        <v>17</v>
      </c>
      <c r="AD3923" s="271">
        <v>0.75</v>
      </c>
    </row>
    <row r="3924" spans="1:79" s="400" customFormat="1" ht="15" customHeight="1">
      <c r="A3924" s="41" t="s">
        <v>183</v>
      </c>
      <c r="B3924" s="386" t="s">
        <v>633</v>
      </c>
      <c r="C3924" s="149" t="s">
        <v>633</v>
      </c>
      <c r="D3924" s="393" t="s">
        <v>314</v>
      </c>
      <c r="E3924" s="258" t="s">
        <v>634</v>
      </c>
      <c r="F3924" s="402"/>
      <c r="G3924" s="405" t="s">
        <v>5810</v>
      </c>
      <c r="H3924" s="404">
        <v>3087</v>
      </c>
      <c r="I3924" s="402"/>
      <c r="J3924" s="404" t="s">
        <v>272</v>
      </c>
      <c r="K3924" s="403">
        <v>41585</v>
      </c>
      <c r="L3924" s="398">
        <v>41579</v>
      </c>
      <c r="M3924" s="402">
        <f t="shared" si="238"/>
        <v>6</v>
      </c>
      <c r="N3924" s="402" t="s">
        <v>2</v>
      </c>
      <c r="O3924" s="404">
        <f>1.4/2</f>
        <v>0.7</v>
      </c>
      <c r="P3924" s="402"/>
      <c r="Q3924" s="404"/>
      <c r="R3924" s="402">
        <v>39</v>
      </c>
      <c r="S3924" s="404">
        <v>27</v>
      </c>
      <c r="T3924" s="402">
        <v>0.44</v>
      </c>
      <c r="U3924" s="395">
        <v>1.9</v>
      </c>
      <c r="V3924" s="402"/>
      <c r="W3924" s="404"/>
      <c r="X3924" s="402">
        <v>5.0999999999999997E-2</v>
      </c>
      <c r="Y3924" s="404"/>
      <c r="Z3924" s="397"/>
      <c r="AA3924" s="399"/>
      <c r="AB3924" s="394"/>
      <c r="AC3924" s="402"/>
      <c r="AD3924" s="399"/>
      <c r="AE3924" s="402"/>
      <c r="AF3924" s="391"/>
      <c r="AG3924" s="394"/>
      <c r="AH3924" s="394"/>
      <c r="AI3924" s="394"/>
      <c r="AJ3924" s="394"/>
      <c r="AK3924" s="394"/>
      <c r="AL3924" s="394"/>
      <c r="AM3924" s="394"/>
      <c r="AN3924" s="394"/>
      <c r="AO3924" s="394"/>
      <c r="AP3924" s="394"/>
      <c r="AQ3924" s="394"/>
      <c r="AR3924" s="394"/>
      <c r="AS3924" s="402"/>
      <c r="AT3924" s="404"/>
      <c r="AU3924" s="394"/>
      <c r="AV3924" s="394"/>
      <c r="AW3924" s="394"/>
      <c r="AX3924" s="5"/>
      <c r="AY3924" s="5"/>
      <c r="AZ3924" s="5"/>
      <c r="BA3924" s="5"/>
      <c r="BB3924" s="5"/>
      <c r="BC3924" s="5"/>
      <c r="BD3924" s="5"/>
      <c r="BE3924" s="5"/>
      <c r="BF3924" s="5"/>
      <c r="BG3924" s="5"/>
      <c r="BH3924" s="5"/>
      <c r="BI3924" s="5"/>
      <c r="BJ3924" s="5"/>
      <c r="BK3924" s="5"/>
      <c r="BL3924" s="5"/>
      <c r="BM3924" s="5"/>
      <c r="BN3924" s="5"/>
      <c r="BO3924" s="5"/>
      <c r="BP3924" s="5"/>
      <c r="BQ3924" s="5"/>
      <c r="BR3924" s="5"/>
      <c r="BS3924" s="5"/>
      <c r="BT3924" s="5"/>
      <c r="BU3924" s="5"/>
      <c r="BV3924" s="5"/>
      <c r="BW3924" s="5"/>
      <c r="BX3924" s="5"/>
      <c r="BY3924" s="5"/>
      <c r="BZ3924" s="5"/>
      <c r="CA3924" s="5"/>
    </row>
    <row r="3925" spans="1:79" s="400" customFormat="1" ht="15" customHeight="1">
      <c r="A3925" s="41" t="s">
        <v>183</v>
      </c>
      <c r="B3925" s="386" t="s">
        <v>633</v>
      </c>
      <c r="C3925" s="149" t="s">
        <v>633</v>
      </c>
      <c r="D3925" s="393" t="s">
        <v>314</v>
      </c>
      <c r="E3925" s="258" t="s">
        <v>634</v>
      </c>
      <c r="F3925" s="402"/>
      <c r="G3925" s="405" t="s">
        <v>5810</v>
      </c>
      <c r="H3925" s="404">
        <v>3087</v>
      </c>
      <c r="I3925" s="402"/>
      <c r="J3925" s="404" t="s">
        <v>270</v>
      </c>
      <c r="K3925" s="403">
        <v>41585</v>
      </c>
      <c r="L3925" s="398">
        <v>41579</v>
      </c>
      <c r="M3925" s="402">
        <v>6</v>
      </c>
      <c r="N3925" s="402" t="s">
        <v>2</v>
      </c>
      <c r="O3925" s="404"/>
      <c r="P3925" s="402"/>
      <c r="Q3925" s="404"/>
      <c r="R3925" s="402"/>
      <c r="S3925" s="404"/>
      <c r="T3925" s="402"/>
      <c r="U3925" s="395">
        <v>1.04</v>
      </c>
      <c r="V3925" s="402"/>
      <c r="W3925" s="404"/>
      <c r="X3925" s="402">
        <v>9.5000000000000001E-2</v>
      </c>
      <c r="Y3925" s="404"/>
      <c r="Z3925" s="397"/>
      <c r="AA3925" s="399"/>
      <c r="AB3925" s="394"/>
      <c r="AC3925" s="402"/>
      <c r="AD3925" s="399"/>
      <c r="AE3925" s="402"/>
      <c r="AF3925" s="391"/>
      <c r="AG3925" s="394"/>
      <c r="AH3925" s="394"/>
      <c r="AI3925" s="394"/>
      <c r="AJ3925" s="394"/>
      <c r="AK3925" s="394"/>
      <c r="AL3925" s="394"/>
      <c r="AM3925" s="394"/>
      <c r="AN3925" s="394"/>
      <c r="AO3925" s="394"/>
      <c r="AP3925" s="394"/>
      <c r="AQ3925" s="394"/>
      <c r="AR3925" s="394"/>
      <c r="AS3925" s="402"/>
      <c r="AT3925" s="404"/>
      <c r="AU3925" s="394"/>
      <c r="AV3925" s="394"/>
      <c r="AW3925" s="394"/>
      <c r="AX3925" s="5"/>
      <c r="AY3925" s="5"/>
      <c r="AZ3925" s="5"/>
      <c r="BA3925" s="5"/>
      <c r="BB3925" s="5"/>
      <c r="BC3925" s="5"/>
      <c r="BD3925" s="5"/>
      <c r="BE3925" s="5"/>
      <c r="BF3925" s="5"/>
      <c r="BG3925" s="5"/>
      <c r="BH3925" s="5"/>
      <c r="BI3925" s="5"/>
      <c r="BJ3925" s="5"/>
      <c r="BK3925" s="5"/>
      <c r="BL3925" s="5"/>
      <c r="BM3925" s="5"/>
      <c r="BN3925" s="5"/>
      <c r="BO3925" s="5"/>
      <c r="BP3925" s="5"/>
      <c r="BQ3925" s="5"/>
      <c r="BR3925" s="5"/>
      <c r="BS3925" s="5"/>
      <c r="BT3925" s="5"/>
      <c r="BU3925" s="5"/>
      <c r="BV3925" s="5"/>
      <c r="BW3925" s="5"/>
      <c r="BX3925" s="5"/>
      <c r="BY3925" s="5"/>
      <c r="BZ3925" s="5"/>
      <c r="CA3925" s="5"/>
    </row>
    <row r="3926" spans="1:79" s="400" customFormat="1" ht="15" customHeight="1">
      <c r="A3926" s="41" t="s">
        <v>183</v>
      </c>
      <c r="B3926" s="402" t="s">
        <v>212</v>
      </c>
      <c r="C3926" s="113" t="s">
        <v>212</v>
      </c>
      <c r="D3926" s="393" t="s">
        <v>213</v>
      </c>
      <c r="E3926" s="394" t="s">
        <v>214</v>
      </c>
      <c r="F3926" s="402"/>
      <c r="G3926" s="405" t="s">
        <v>215</v>
      </c>
      <c r="H3926" s="404">
        <v>3442</v>
      </c>
      <c r="I3926" s="402" t="s">
        <v>2</v>
      </c>
      <c r="J3926" s="406" t="s">
        <v>5702</v>
      </c>
      <c r="K3926" s="403">
        <v>41585</v>
      </c>
      <c r="L3926" s="398">
        <v>41580</v>
      </c>
      <c r="M3926" s="402">
        <f t="shared" si="238"/>
        <v>5</v>
      </c>
      <c r="N3926" s="402" t="s">
        <v>2</v>
      </c>
      <c r="O3926" s="404"/>
      <c r="P3926" s="402"/>
      <c r="Q3926" s="404"/>
      <c r="R3926" s="402">
        <v>120</v>
      </c>
      <c r="S3926" s="404"/>
      <c r="T3926" s="402"/>
      <c r="U3926" s="395"/>
      <c r="V3926" s="402">
        <v>0.85</v>
      </c>
      <c r="W3926" s="404"/>
      <c r="X3926" s="402"/>
      <c r="Y3926" s="404"/>
      <c r="Z3926" s="397"/>
      <c r="AA3926" s="399"/>
      <c r="AB3926" s="394"/>
      <c r="AC3926" s="402"/>
      <c r="AD3926" s="399"/>
      <c r="AE3926" s="402"/>
      <c r="AF3926" s="391"/>
      <c r="AG3926" s="394"/>
      <c r="AH3926" s="394"/>
      <c r="AI3926" s="394"/>
      <c r="AJ3926" s="394"/>
      <c r="AK3926" s="394"/>
      <c r="AL3926" s="394"/>
      <c r="AM3926" s="394"/>
      <c r="AN3926" s="394"/>
      <c r="AO3926" s="394"/>
      <c r="AP3926" s="394"/>
      <c r="AQ3926" s="394"/>
      <c r="AR3926" s="394"/>
      <c r="AS3926" s="402"/>
      <c r="AT3926" s="404"/>
      <c r="AU3926" s="394"/>
      <c r="AV3926" s="394"/>
      <c r="AW3926" s="394"/>
      <c r="AX3926" s="5"/>
      <c r="AY3926" s="5"/>
      <c r="AZ3926" s="5"/>
      <c r="BA3926" s="5"/>
      <c r="BB3926" s="5"/>
      <c r="BC3926" s="5"/>
      <c r="BD3926" s="5"/>
      <c r="BE3926" s="5"/>
      <c r="BF3926" s="5"/>
      <c r="BG3926" s="5"/>
      <c r="BH3926" s="5"/>
      <c r="BI3926" s="5"/>
      <c r="BJ3926" s="5"/>
      <c r="BK3926" s="5"/>
      <c r="BL3926" s="5"/>
      <c r="BM3926" s="5"/>
      <c r="BN3926" s="5"/>
      <c r="BO3926" s="5"/>
      <c r="BP3926" s="5"/>
      <c r="BQ3926" s="5"/>
      <c r="BR3926" s="5"/>
      <c r="BS3926" s="5"/>
      <c r="BT3926" s="5"/>
      <c r="BU3926" s="5"/>
      <c r="BV3926" s="5"/>
      <c r="BW3926" s="5"/>
      <c r="BX3926" s="5"/>
      <c r="BY3926" s="5"/>
      <c r="BZ3926" s="5"/>
      <c r="CA3926" s="5"/>
    </row>
    <row r="3927" spans="1:79" s="400" customFormat="1" ht="15" customHeight="1">
      <c r="A3927" s="41" t="s">
        <v>183</v>
      </c>
      <c r="B3927" s="402" t="s">
        <v>212</v>
      </c>
      <c r="C3927" s="113" t="s">
        <v>212</v>
      </c>
      <c r="D3927" s="393" t="s">
        <v>213</v>
      </c>
      <c r="E3927" s="394" t="s">
        <v>214</v>
      </c>
      <c r="F3927" s="402"/>
      <c r="G3927" s="405" t="s">
        <v>215</v>
      </c>
      <c r="H3927" s="404">
        <v>3442</v>
      </c>
      <c r="I3927" s="402" t="s">
        <v>2</v>
      </c>
      <c r="J3927" s="406" t="s">
        <v>5700</v>
      </c>
      <c r="K3927" s="403">
        <v>41585</v>
      </c>
      <c r="L3927" s="398">
        <v>41580</v>
      </c>
      <c r="M3927" s="402">
        <f t="shared" si="238"/>
        <v>5</v>
      </c>
      <c r="N3927" s="402" t="s">
        <v>2</v>
      </c>
      <c r="O3927" s="404"/>
      <c r="P3927" s="402"/>
      <c r="Q3927" s="404"/>
      <c r="R3927" s="402">
        <v>190</v>
      </c>
      <c r="S3927" s="404"/>
      <c r="T3927" s="402"/>
      <c r="U3927" s="395">
        <v>2.6</v>
      </c>
      <c r="V3927" s="402"/>
      <c r="W3927" s="404"/>
      <c r="X3927" s="402">
        <v>0.27</v>
      </c>
      <c r="Y3927" s="404"/>
      <c r="Z3927" s="397"/>
      <c r="AA3927" s="399"/>
      <c r="AB3927" s="394"/>
      <c r="AC3927" s="402"/>
      <c r="AD3927" s="399"/>
      <c r="AE3927" s="402"/>
      <c r="AF3927" s="391"/>
      <c r="AG3927" s="394"/>
      <c r="AH3927" s="394"/>
      <c r="AI3927" s="394"/>
      <c r="AJ3927" s="394"/>
      <c r="AK3927" s="394"/>
      <c r="AL3927" s="394"/>
      <c r="AM3927" s="394"/>
      <c r="AN3927" s="394"/>
      <c r="AO3927" s="394"/>
      <c r="AP3927" s="394"/>
      <c r="AQ3927" s="394"/>
      <c r="AR3927" s="394"/>
      <c r="AS3927" s="402"/>
      <c r="AT3927" s="404"/>
      <c r="AU3927" s="394"/>
      <c r="AV3927" s="394"/>
      <c r="AW3927" s="394"/>
      <c r="AX3927" s="5"/>
      <c r="AY3927" s="5"/>
      <c r="AZ3927" s="5"/>
      <c r="BA3927" s="5"/>
      <c r="BB3927" s="5"/>
      <c r="BC3927" s="5"/>
      <c r="BD3927" s="5"/>
      <c r="BE3927" s="5"/>
      <c r="BF3927" s="5"/>
      <c r="BG3927" s="5"/>
      <c r="BH3927" s="5"/>
      <c r="BI3927" s="5"/>
      <c r="BJ3927" s="5"/>
      <c r="BK3927" s="5"/>
      <c r="BL3927" s="5"/>
      <c r="BM3927" s="5"/>
      <c r="BN3927" s="5"/>
      <c r="BO3927" s="5"/>
      <c r="BP3927" s="5"/>
      <c r="BQ3927" s="5"/>
      <c r="BR3927" s="5"/>
      <c r="BS3927" s="5"/>
      <c r="BT3927" s="5"/>
      <c r="BU3927" s="5"/>
      <c r="BV3927" s="5"/>
      <c r="BW3927" s="5"/>
      <c r="BX3927" s="5"/>
      <c r="BY3927" s="5"/>
      <c r="BZ3927" s="5"/>
      <c r="CA3927" s="5"/>
    </row>
    <row r="3928" spans="1:79" s="400" customFormat="1" ht="15" customHeight="1">
      <c r="A3928" s="41" t="s">
        <v>183</v>
      </c>
      <c r="B3928" s="402" t="s">
        <v>212</v>
      </c>
      <c r="C3928" s="113" t="s">
        <v>212</v>
      </c>
      <c r="D3928" s="393" t="s">
        <v>213</v>
      </c>
      <c r="E3928" s="394" t="s">
        <v>214</v>
      </c>
      <c r="F3928" s="402"/>
      <c r="G3928" s="405" t="s">
        <v>215</v>
      </c>
      <c r="H3928" s="404">
        <v>3442</v>
      </c>
      <c r="I3928" s="402" t="s">
        <v>2</v>
      </c>
      <c r="J3928" s="406" t="s">
        <v>641</v>
      </c>
      <c r="K3928" s="403">
        <v>41585</v>
      </c>
      <c r="L3928" s="398">
        <v>41580</v>
      </c>
      <c r="M3928" s="402">
        <f t="shared" si="238"/>
        <v>5</v>
      </c>
      <c r="N3928" s="402" t="s">
        <v>2</v>
      </c>
      <c r="O3928" s="404"/>
      <c r="P3928" s="402"/>
      <c r="Q3928" s="404"/>
      <c r="R3928" s="402"/>
      <c r="S3928" s="404"/>
      <c r="T3928" s="402"/>
      <c r="U3928" s="395"/>
      <c r="V3928" s="402">
        <v>0.59</v>
      </c>
      <c r="W3928" s="404"/>
      <c r="X3928" s="402"/>
      <c r="Y3928" s="404"/>
      <c r="Z3928" s="397"/>
      <c r="AA3928" s="399"/>
      <c r="AB3928" s="394"/>
      <c r="AC3928" s="402"/>
      <c r="AD3928" s="399"/>
      <c r="AE3928" s="402"/>
      <c r="AF3928" s="391"/>
      <c r="AG3928" s="394"/>
      <c r="AH3928" s="394"/>
      <c r="AI3928" s="394"/>
      <c r="AJ3928" s="394"/>
      <c r="AK3928" s="394"/>
      <c r="AL3928" s="394"/>
      <c r="AM3928" s="394"/>
      <c r="AN3928" s="394"/>
      <c r="AO3928" s="394"/>
      <c r="AP3928" s="394"/>
      <c r="AQ3928" s="394"/>
      <c r="AR3928" s="394"/>
      <c r="AS3928" s="402"/>
      <c r="AT3928" s="404"/>
      <c r="AU3928" s="394"/>
      <c r="AV3928" s="394"/>
      <c r="AW3928" s="394"/>
      <c r="AX3928" s="5"/>
      <c r="AY3928" s="5"/>
      <c r="AZ3928" s="5"/>
      <c r="BA3928" s="5"/>
      <c r="BB3928" s="5"/>
      <c r="BC3928" s="5"/>
      <c r="BD3928" s="5"/>
      <c r="BE3928" s="5"/>
      <c r="BF3928" s="5"/>
      <c r="BG3928" s="5"/>
      <c r="BH3928" s="5"/>
      <c r="BI3928" s="5"/>
      <c r="BJ3928" s="5"/>
      <c r="BK3928" s="5"/>
      <c r="BL3928" s="5"/>
      <c r="BM3928" s="5"/>
      <c r="BN3928" s="5"/>
      <c r="BO3928" s="5"/>
      <c r="BP3928" s="5"/>
      <c r="BQ3928" s="5"/>
      <c r="BR3928" s="5"/>
      <c r="BS3928" s="5"/>
      <c r="BT3928" s="5"/>
      <c r="BU3928" s="5"/>
      <c r="BV3928" s="5"/>
      <c r="BW3928" s="5"/>
      <c r="BX3928" s="5"/>
      <c r="BY3928" s="5"/>
      <c r="BZ3928" s="5"/>
      <c r="CA3928" s="5"/>
    </row>
    <row r="3929" spans="1:79" s="400" customFormat="1" ht="15" customHeight="1">
      <c r="A3929" s="41" t="s">
        <v>183</v>
      </c>
      <c r="B3929" s="402" t="s">
        <v>212</v>
      </c>
      <c r="C3929" s="113" t="s">
        <v>212</v>
      </c>
      <c r="D3929" s="393" t="s">
        <v>213</v>
      </c>
      <c r="E3929" s="394" t="s">
        <v>214</v>
      </c>
      <c r="F3929" s="402"/>
      <c r="G3929" s="405" t="s">
        <v>215</v>
      </c>
      <c r="H3929" s="404">
        <v>3442</v>
      </c>
      <c r="I3929" s="402" t="s">
        <v>2</v>
      </c>
      <c r="J3929" s="406" t="s">
        <v>6360</v>
      </c>
      <c r="K3929" s="403">
        <v>41585</v>
      </c>
      <c r="L3929" s="398">
        <v>41580</v>
      </c>
      <c r="M3929" s="402">
        <f t="shared" si="238"/>
        <v>5</v>
      </c>
      <c r="N3929" s="402" t="s">
        <v>2</v>
      </c>
      <c r="O3929" s="404"/>
      <c r="P3929" s="402"/>
      <c r="Q3929" s="404">
        <v>4.9000000000000004</v>
      </c>
      <c r="R3929" s="402"/>
      <c r="S3929" s="404"/>
      <c r="T3929" s="402"/>
      <c r="U3929" s="395">
        <v>2.2999999999999998</v>
      </c>
      <c r="V3929" s="402">
        <v>0.89</v>
      </c>
      <c r="W3929" s="404"/>
      <c r="X3929" s="402">
        <v>0.40799999999999997</v>
      </c>
      <c r="Y3929" s="404"/>
      <c r="Z3929" s="397"/>
      <c r="AA3929" s="399"/>
      <c r="AB3929" s="394"/>
      <c r="AC3929" s="402"/>
      <c r="AD3929" s="399"/>
      <c r="AE3929" s="402"/>
      <c r="AF3929" s="391"/>
      <c r="AG3929" s="394"/>
      <c r="AH3929" s="394"/>
      <c r="AI3929" s="394"/>
      <c r="AJ3929" s="394"/>
      <c r="AK3929" s="394"/>
      <c r="AL3929" s="394"/>
      <c r="AM3929" s="394"/>
      <c r="AN3929" s="394"/>
      <c r="AO3929" s="394"/>
      <c r="AP3929" s="394"/>
      <c r="AQ3929" s="394"/>
      <c r="AR3929" s="394"/>
      <c r="AS3929" s="402"/>
      <c r="AT3929" s="404"/>
      <c r="AU3929" s="394"/>
      <c r="AV3929" s="394"/>
      <c r="AW3929" s="394"/>
      <c r="AX3929" s="5"/>
      <c r="AY3929" s="5"/>
      <c r="AZ3929" s="5"/>
      <c r="BA3929" s="5"/>
      <c r="BB3929" s="5"/>
      <c r="BC3929" s="5"/>
      <c r="BD3929" s="5"/>
      <c r="BE3929" s="5"/>
      <c r="BF3929" s="5"/>
      <c r="BG3929" s="5"/>
      <c r="BH3929" s="5"/>
      <c r="BI3929" s="5"/>
      <c r="BJ3929" s="5"/>
      <c r="BK3929" s="5"/>
      <c r="BL3929" s="5"/>
      <c r="BM3929" s="5"/>
      <c r="BN3929" s="5"/>
      <c r="BO3929" s="5"/>
      <c r="BP3929" s="5"/>
      <c r="BQ3929" s="5"/>
      <c r="BR3929" s="5"/>
      <c r="BS3929" s="5"/>
      <c r="BT3929" s="5"/>
      <c r="BU3929" s="5"/>
      <c r="BV3929" s="5"/>
      <c r="BW3929" s="5"/>
      <c r="BX3929" s="5"/>
      <c r="BY3929" s="5"/>
      <c r="BZ3929" s="5"/>
      <c r="CA3929" s="5"/>
    </row>
    <row r="3930" spans="1:79" s="400" customFormat="1" ht="15" customHeight="1">
      <c r="A3930" s="41" t="s">
        <v>183</v>
      </c>
      <c r="B3930" s="402" t="s">
        <v>801</v>
      </c>
      <c r="C3930" s="113" t="s">
        <v>801</v>
      </c>
      <c r="D3930" s="393" t="s">
        <v>200</v>
      </c>
      <c r="E3930" s="394" t="s">
        <v>112</v>
      </c>
      <c r="F3930" s="402">
        <v>5200</v>
      </c>
      <c r="G3930" s="405" t="s">
        <v>802</v>
      </c>
      <c r="H3930" s="404">
        <v>3272</v>
      </c>
      <c r="I3930" s="402" t="s">
        <v>2</v>
      </c>
      <c r="J3930" s="404" t="s">
        <v>4999</v>
      </c>
      <c r="K3930" s="403">
        <v>41579</v>
      </c>
      <c r="L3930" s="398" t="s">
        <v>5380</v>
      </c>
      <c r="M3930" s="402"/>
      <c r="N3930" s="402" t="s">
        <v>2</v>
      </c>
      <c r="O3930" s="404"/>
      <c r="P3930" s="402">
        <v>7.6</v>
      </c>
      <c r="Q3930" s="404">
        <v>10.7</v>
      </c>
      <c r="R3930" s="402"/>
      <c r="S3930" s="404">
        <v>158</v>
      </c>
      <c r="T3930" s="402"/>
      <c r="U3930" s="395">
        <v>0.87</v>
      </c>
      <c r="V3930" s="402"/>
      <c r="W3930" s="404"/>
      <c r="X3930" s="402"/>
      <c r="Y3930" s="404"/>
      <c r="Z3930" s="397"/>
      <c r="AA3930" s="399"/>
      <c r="AB3930" s="394"/>
      <c r="AC3930" s="402"/>
      <c r="AD3930" s="399"/>
      <c r="AE3930" s="402"/>
      <c r="AF3930" s="391"/>
      <c r="AG3930" s="394"/>
      <c r="AH3930" s="394"/>
      <c r="AI3930" s="394"/>
      <c r="AJ3930" s="394"/>
      <c r="AK3930" s="394"/>
      <c r="AL3930" s="394"/>
      <c r="AM3930" s="394"/>
      <c r="AN3930" s="394"/>
      <c r="AO3930" s="394"/>
      <c r="AP3930" s="394"/>
      <c r="AQ3930" s="394"/>
      <c r="AR3930" s="394"/>
      <c r="AS3930" s="402"/>
      <c r="AT3930" s="404"/>
      <c r="AU3930" s="394"/>
      <c r="AV3930" s="394"/>
      <c r="AW3930" s="394"/>
      <c r="AX3930" s="5"/>
      <c r="AY3930" s="5"/>
      <c r="AZ3930" s="5"/>
      <c r="BA3930" s="5"/>
      <c r="BB3930" s="5"/>
      <c r="BC3930" s="5"/>
      <c r="BD3930" s="5"/>
      <c r="BE3930" s="5"/>
      <c r="BF3930" s="5"/>
      <c r="BG3930" s="5"/>
      <c r="BH3930" s="5"/>
      <c r="BI3930" s="5"/>
      <c r="BJ3930" s="5"/>
      <c r="BK3930" s="5"/>
      <c r="BL3930" s="5"/>
      <c r="BM3930" s="5"/>
      <c r="BN3930" s="5"/>
      <c r="BO3930" s="5"/>
      <c r="BP3930" s="5"/>
      <c r="BQ3930" s="5"/>
      <c r="BR3930" s="5"/>
      <c r="BS3930" s="5"/>
      <c r="BT3930" s="5"/>
      <c r="BU3930" s="5"/>
      <c r="BV3930" s="5"/>
      <c r="BW3930" s="5"/>
      <c r="BX3930" s="5"/>
      <c r="BY3930" s="5"/>
      <c r="BZ3930" s="5"/>
      <c r="CA3930" s="5"/>
    </row>
    <row r="3931" spans="1:79" s="400" customFormat="1" ht="15" customHeight="1">
      <c r="A3931" s="41" t="s">
        <v>183</v>
      </c>
      <c r="B3931" s="402" t="s">
        <v>801</v>
      </c>
      <c r="C3931" s="113" t="s">
        <v>801</v>
      </c>
      <c r="D3931" s="393" t="s">
        <v>200</v>
      </c>
      <c r="E3931" s="394" t="s">
        <v>112</v>
      </c>
      <c r="F3931" s="402">
        <v>5200</v>
      </c>
      <c r="G3931" s="405" t="s">
        <v>802</v>
      </c>
      <c r="H3931" s="404">
        <v>3272</v>
      </c>
      <c r="I3931" s="402" t="s">
        <v>2</v>
      </c>
      <c r="J3931" s="404" t="s">
        <v>4999</v>
      </c>
      <c r="K3931" s="403">
        <v>41579</v>
      </c>
      <c r="L3931" s="398" t="s">
        <v>5380</v>
      </c>
      <c r="M3931" s="402"/>
      <c r="N3931" s="402" t="s">
        <v>2</v>
      </c>
      <c r="O3931" s="404"/>
      <c r="P3931" s="402">
        <v>7.6</v>
      </c>
      <c r="Q3931" s="404">
        <v>9</v>
      </c>
      <c r="R3931" s="402"/>
      <c r="S3931" s="404">
        <v>9</v>
      </c>
      <c r="T3931" s="402">
        <v>0.08</v>
      </c>
      <c r="U3931" s="395"/>
      <c r="V3931" s="402"/>
      <c r="W3931" s="404">
        <v>2.5000000000000001E-2</v>
      </c>
      <c r="X3931" s="402"/>
      <c r="Y3931" s="404"/>
      <c r="Z3931" s="397"/>
      <c r="AA3931" s="399"/>
      <c r="AB3931" s="394"/>
      <c r="AC3931" s="402"/>
      <c r="AD3931" s="399"/>
      <c r="AE3931" s="402"/>
      <c r="AF3931" s="391"/>
      <c r="AG3931" s="394"/>
      <c r="AH3931" s="394"/>
      <c r="AI3931" s="394"/>
      <c r="AJ3931" s="394"/>
      <c r="AK3931" s="394"/>
      <c r="AL3931" s="394"/>
      <c r="AM3931" s="394"/>
      <c r="AN3931" s="394"/>
      <c r="AO3931" s="394"/>
      <c r="AP3931" s="394"/>
      <c r="AQ3931" s="394"/>
      <c r="AR3931" s="394"/>
      <c r="AS3931" s="402"/>
      <c r="AT3931" s="404"/>
      <c r="AU3931" s="394"/>
      <c r="AV3931" s="394"/>
      <c r="AW3931" s="394"/>
      <c r="AX3931" s="5"/>
      <c r="AY3931" s="5"/>
      <c r="AZ3931" s="5"/>
      <c r="BA3931" s="5"/>
      <c r="BB3931" s="5"/>
      <c r="BC3931" s="5"/>
      <c r="BD3931" s="5"/>
      <c r="BE3931" s="5"/>
      <c r="BF3931" s="5"/>
      <c r="BG3931" s="5"/>
      <c r="BH3931" s="5"/>
      <c r="BI3931" s="5"/>
      <c r="BJ3931" s="5"/>
      <c r="BK3931" s="5"/>
      <c r="BL3931" s="5"/>
      <c r="BM3931" s="5"/>
      <c r="BN3931" s="5"/>
      <c r="BO3931" s="5"/>
      <c r="BP3931" s="5"/>
      <c r="BQ3931" s="5"/>
      <c r="BR3931" s="5"/>
      <c r="BS3931" s="5"/>
      <c r="BT3931" s="5"/>
      <c r="BU3931" s="5"/>
      <c r="BV3931" s="5"/>
      <c r="BW3931" s="5"/>
      <c r="BX3931" s="5"/>
      <c r="BY3931" s="5"/>
      <c r="BZ3931" s="5"/>
      <c r="CA3931" s="5"/>
    </row>
    <row r="3932" spans="1:79" s="400" customFormat="1" ht="15" customHeight="1">
      <c r="A3932" s="404" t="s">
        <v>5328</v>
      </c>
      <c r="B3932" s="385" t="s">
        <v>4356</v>
      </c>
      <c r="C3932" s="18" t="s">
        <v>4356</v>
      </c>
      <c r="D3932" s="377" t="s">
        <v>262</v>
      </c>
      <c r="E3932" s="20" t="s">
        <v>4357</v>
      </c>
      <c r="F3932" s="385" t="s">
        <v>4358</v>
      </c>
      <c r="G3932" s="405" t="s">
        <v>4359</v>
      </c>
      <c r="H3932" s="404" t="s">
        <v>5682</v>
      </c>
      <c r="I3932" s="402" t="s">
        <v>1</v>
      </c>
      <c r="J3932" s="406" t="s">
        <v>4360</v>
      </c>
      <c r="K3932" s="403">
        <v>41600</v>
      </c>
      <c r="L3932" s="398">
        <v>41596</v>
      </c>
      <c r="M3932" s="402">
        <f t="shared" si="238"/>
        <v>4</v>
      </c>
      <c r="N3932" s="402" t="s">
        <v>2</v>
      </c>
      <c r="O3932" s="404">
        <f>0.56/2</f>
        <v>0.28000000000000003</v>
      </c>
      <c r="P3932" s="402"/>
      <c r="Q3932" s="404"/>
      <c r="R3932" s="402"/>
      <c r="S3932" s="404"/>
      <c r="T3932" s="402"/>
      <c r="U3932" s="395"/>
      <c r="V3932" s="402"/>
      <c r="W3932" s="404"/>
      <c r="X3932" s="402"/>
      <c r="Y3932" s="404"/>
      <c r="Z3932" s="397"/>
      <c r="AA3932" s="399"/>
      <c r="AB3932" s="394"/>
      <c r="AC3932" s="402"/>
      <c r="AD3932" s="399"/>
      <c r="AE3932" s="402"/>
      <c r="AF3932" s="391"/>
      <c r="AG3932" s="394"/>
      <c r="AH3932" s="394"/>
      <c r="AI3932" s="394"/>
      <c r="AJ3932" s="394"/>
      <c r="AK3932" s="394"/>
      <c r="AL3932" s="394"/>
      <c r="AM3932" s="394"/>
      <c r="AN3932" s="394"/>
      <c r="AO3932" s="394"/>
      <c r="AP3932" s="394"/>
      <c r="AQ3932" s="394"/>
      <c r="AR3932" s="394"/>
      <c r="AS3932" s="402"/>
      <c r="AT3932" s="404"/>
      <c r="AU3932" s="394"/>
      <c r="AV3932" s="394"/>
      <c r="AW3932" s="394"/>
      <c r="AX3932" s="5"/>
      <c r="AY3932" s="5"/>
      <c r="AZ3932" s="5"/>
      <c r="BA3932" s="5"/>
      <c r="BB3932" s="5"/>
      <c r="BC3932" s="5"/>
      <c r="BD3932" s="5"/>
      <c r="BE3932" s="5"/>
      <c r="BF3932" s="5"/>
      <c r="BG3932" s="5"/>
      <c r="BH3932" s="5"/>
      <c r="BI3932" s="5"/>
      <c r="BJ3932" s="5"/>
      <c r="BK3932" s="5"/>
      <c r="BL3932" s="5"/>
      <c r="BM3932" s="5"/>
      <c r="BN3932" s="5"/>
      <c r="BO3932" s="5"/>
      <c r="BP3932" s="5"/>
      <c r="BQ3932" s="5"/>
      <c r="BR3932" s="5"/>
      <c r="BS3932" s="5"/>
      <c r="BT3932" s="5"/>
      <c r="BU3932" s="5"/>
      <c r="BV3932" s="5"/>
      <c r="BW3932" s="5"/>
      <c r="BX3932" s="5"/>
      <c r="BY3932" s="5"/>
      <c r="BZ3932" s="5"/>
      <c r="CA3932" s="5"/>
    </row>
    <row r="3933" spans="1:79" s="400" customFormat="1" ht="15" customHeight="1">
      <c r="A3933" s="41" t="s">
        <v>183</v>
      </c>
      <c r="B3933" s="402" t="s">
        <v>948</v>
      </c>
      <c r="C3933" s="113" t="s">
        <v>948</v>
      </c>
      <c r="D3933" s="393" t="s">
        <v>314</v>
      </c>
      <c r="E3933" s="394" t="s">
        <v>5859</v>
      </c>
      <c r="F3933" s="402" t="s">
        <v>5860</v>
      </c>
      <c r="G3933" s="405" t="s">
        <v>4762</v>
      </c>
      <c r="H3933" s="404">
        <v>3273</v>
      </c>
      <c r="I3933" s="402" t="s">
        <v>2</v>
      </c>
      <c r="J3933" s="406" t="s">
        <v>687</v>
      </c>
      <c r="K3933" s="403">
        <v>41605</v>
      </c>
      <c r="L3933" s="398">
        <v>41600</v>
      </c>
      <c r="M3933" s="402">
        <f t="shared" si="238"/>
        <v>5</v>
      </c>
      <c r="N3933" s="402" t="s">
        <v>2</v>
      </c>
      <c r="O3933" s="404">
        <v>1.6</v>
      </c>
      <c r="P3933" s="402">
        <v>6.84</v>
      </c>
      <c r="Q3933" s="404">
        <v>9.0299999999999994</v>
      </c>
      <c r="R3933" s="402">
        <v>15</v>
      </c>
      <c r="S3933" s="404">
        <v>850</v>
      </c>
      <c r="T3933" s="402">
        <v>1</v>
      </c>
      <c r="U3933" s="395">
        <v>1.19</v>
      </c>
      <c r="V3933" s="402">
        <f>0.01/2</f>
        <v>5.0000000000000001E-3</v>
      </c>
      <c r="W3933" s="404">
        <v>6.3E-2</v>
      </c>
      <c r="X3933" s="402">
        <v>0.156</v>
      </c>
      <c r="Y3933" s="404">
        <v>4.2999999999999997E-2</v>
      </c>
      <c r="Z3933" s="397">
        <v>1</v>
      </c>
      <c r="AA3933" s="399">
        <v>1</v>
      </c>
      <c r="AB3933" s="394">
        <v>54</v>
      </c>
      <c r="AC3933" s="402">
        <v>274</v>
      </c>
      <c r="AD3933" s="399">
        <v>1</v>
      </c>
      <c r="AE3933" s="402"/>
      <c r="AF3933" s="391"/>
      <c r="AG3933" s="394"/>
      <c r="AH3933" s="394"/>
      <c r="AI3933" s="394"/>
      <c r="AJ3933" s="394"/>
      <c r="AK3933" s="394"/>
      <c r="AL3933" s="394"/>
      <c r="AM3933" s="394"/>
      <c r="AN3933" s="394"/>
      <c r="AO3933" s="394"/>
      <c r="AP3933" s="394"/>
      <c r="AQ3933" s="394"/>
      <c r="AR3933" s="394"/>
      <c r="AS3933" s="402"/>
      <c r="AT3933" s="404"/>
      <c r="AU3933" s="394"/>
      <c r="AV3933" s="394"/>
      <c r="AW3933" s="394"/>
      <c r="AX3933" s="5"/>
      <c r="AY3933" s="5"/>
      <c r="AZ3933" s="5"/>
      <c r="BA3933" s="5"/>
      <c r="BB3933" s="5"/>
      <c r="BC3933" s="5"/>
      <c r="BD3933" s="5"/>
      <c r="BE3933" s="5"/>
      <c r="BF3933" s="5"/>
      <c r="BG3933" s="5"/>
      <c r="BH3933" s="5"/>
      <c r="BI3933" s="5"/>
      <c r="BJ3933" s="5"/>
      <c r="BK3933" s="5"/>
      <c r="BL3933" s="5"/>
      <c r="BM3933" s="5"/>
      <c r="BN3933" s="5"/>
      <c r="BO3933" s="5"/>
      <c r="BP3933" s="5"/>
      <c r="BQ3933" s="5"/>
      <c r="BR3933" s="5"/>
      <c r="BS3933" s="5"/>
      <c r="BT3933" s="5"/>
      <c r="BU3933" s="5"/>
      <c r="BV3933" s="5"/>
      <c r="BW3933" s="5"/>
      <c r="BX3933" s="5"/>
      <c r="BY3933" s="5"/>
      <c r="BZ3933" s="5"/>
      <c r="CA3933" s="5"/>
    </row>
    <row r="3934" spans="1:79" s="400" customFormat="1" ht="15" customHeight="1">
      <c r="A3934" s="41" t="s">
        <v>183</v>
      </c>
      <c r="B3934" s="402" t="s">
        <v>442</v>
      </c>
      <c r="C3934" s="113" t="s">
        <v>442</v>
      </c>
      <c r="D3934" s="393" t="s">
        <v>443</v>
      </c>
      <c r="E3934" s="394" t="s">
        <v>1852</v>
      </c>
      <c r="F3934" s="401" t="s">
        <v>6361</v>
      </c>
      <c r="G3934" s="405" t="s">
        <v>444</v>
      </c>
      <c r="H3934" s="404">
        <v>2689</v>
      </c>
      <c r="I3934" s="402" t="s">
        <v>2</v>
      </c>
      <c r="J3934" s="393" t="s">
        <v>249</v>
      </c>
      <c r="K3934" s="403">
        <v>41604</v>
      </c>
      <c r="L3934" s="398">
        <v>41595</v>
      </c>
      <c r="M3934" s="402">
        <f t="shared" si="238"/>
        <v>9</v>
      </c>
      <c r="N3934" s="402" t="s">
        <v>2</v>
      </c>
      <c r="O3934" s="404"/>
      <c r="P3934" s="402"/>
      <c r="Q3934" s="404"/>
      <c r="R3934" s="402"/>
      <c r="S3934" s="404"/>
      <c r="T3934" s="402"/>
      <c r="U3934" s="395">
        <v>0.43</v>
      </c>
      <c r="V3934" s="402"/>
      <c r="W3934" s="404"/>
      <c r="X3934" s="402"/>
      <c r="Y3934" s="404"/>
      <c r="Z3934" s="397"/>
      <c r="AA3934" s="399"/>
      <c r="AB3934" s="394"/>
      <c r="AC3934" s="402"/>
      <c r="AD3934" s="399"/>
      <c r="AE3934" s="402"/>
      <c r="AF3934" s="391"/>
      <c r="AG3934" s="394"/>
      <c r="AH3934" s="394"/>
      <c r="AI3934" s="394"/>
      <c r="AJ3934" s="394"/>
      <c r="AK3934" s="394"/>
      <c r="AL3934" s="394"/>
      <c r="AM3934" s="394"/>
      <c r="AN3934" s="394"/>
      <c r="AO3934" s="394"/>
      <c r="AP3934" s="394"/>
      <c r="AQ3934" s="394"/>
      <c r="AR3934" s="394"/>
      <c r="AS3934" s="402"/>
      <c r="AT3934" s="404"/>
      <c r="AU3934" s="394"/>
      <c r="AV3934" s="394"/>
      <c r="AW3934" s="394"/>
      <c r="AX3934" s="5"/>
      <c r="AY3934" s="5"/>
      <c r="AZ3934" s="5"/>
      <c r="BA3934" s="5"/>
      <c r="BB3934" s="5"/>
      <c r="BC3934" s="5"/>
      <c r="BD3934" s="5"/>
      <c r="BE3934" s="5"/>
      <c r="BF3934" s="5"/>
      <c r="BG3934" s="5"/>
      <c r="BH3934" s="5"/>
      <c r="BI3934" s="5"/>
      <c r="BJ3934" s="5"/>
      <c r="BK3934" s="5"/>
      <c r="BL3934" s="5"/>
      <c r="BM3934" s="5"/>
      <c r="BN3934" s="5"/>
      <c r="BO3934" s="5"/>
      <c r="BP3934" s="5"/>
      <c r="BQ3934" s="5"/>
      <c r="BR3934" s="5"/>
      <c r="BS3934" s="5"/>
      <c r="BT3934" s="5"/>
      <c r="BU3934" s="5"/>
      <c r="BV3934" s="5"/>
      <c r="BW3934" s="5"/>
      <c r="BX3934" s="5"/>
      <c r="BY3934" s="5"/>
      <c r="BZ3934" s="5"/>
      <c r="CA3934" s="5"/>
    </row>
    <row r="3935" spans="1:79" ht="15" customHeight="1">
      <c r="A3935" s="404" t="s">
        <v>4668</v>
      </c>
      <c r="B3935" s="402" t="s">
        <v>5787</v>
      </c>
      <c r="C3935" s="113" t="s">
        <v>5787</v>
      </c>
      <c r="D3935" s="393" t="s">
        <v>200</v>
      </c>
      <c r="F3935" s="402">
        <v>4315</v>
      </c>
      <c r="G3935" s="405" t="s">
        <v>3720</v>
      </c>
      <c r="H3935" s="74"/>
      <c r="I3935" s="50" t="s">
        <v>2</v>
      </c>
      <c r="J3935" s="48" t="s">
        <v>3741</v>
      </c>
      <c r="K3935" s="51">
        <v>41579</v>
      </c>
      <c r="L3935" s="173">
        <v>41554</v>
      </c>
      <c r="M3935" s="50">
        <f t="shared" si="238"/>
        <v>25</v>
      </c>
      <c r="N3935" s="50" t="s">
        <v>2</v>
      </c>
      <c r="O3935" s="74">
        <v>10.1</v>
      </c>
      <c r="P3935" s="50">
        <v>5.6</v>
      </c>
      <c r="Q3935" s="74">
        <v>6.9</v>
      </c>
      <c r="R3935" s="50">
        <v>57.6</v>
      </c>
      <c r="S3935" s="74">
        <f>25/2</f>
        <v>12.5</v>
      </c>
      <c r="T3935" s="50">
        <f>0.1/2</f>
        <v>0.05</v>
      </c>
      <c r="U3935" s="131">
        <v>0.73</v>
      </c>
      <c r="V3935" s="50">
        <f>0.05/2</f>
        <v>2.5000000000000001E-2</v>
      </c>
      <c r="W3935" s="74">
        <f>0.02/2</f>
        <v>0.01</v>
      </c>
      <c r="X3935" s="50">
        <f>0.05/2</f>
        <v>2.5000000000000001E-2</v>
      </c>
      <c r="Y3935" s="74">
        <v>8.0000000000000002E-3</v>
      </c>
      <c r="Z3935" s="165"/>
    </row>
    <row r="3936" spans="1:79" ht="15" customHeight="1">
      <c r="A3936" s="404" t="s">
        <v>4668</v>
      </c>
      <c r="B3936" s="402" t="s">
        <v>5772</v>
      </c>
      <c r="C3936" s="113" t="s">
        <v>5772</v>
      </c>
      <c r="D3936" s="393" t="s">
        <v>861</v>
      </c>
      <c r="E3936" s="394" t="s">
        <v>5773</v>
      </c>
      <c r="G3936" s="405" t="s">
        <v>5774</v>
      </c>
      <c r="H3936" s="74">
        <v>3273</v>
      </c>
      <c r="I3936" s="50" t="s">
        <v>2</v>
      </c>
      <c r="J3936" s="339" t="s">
        <v>5775</v>
      </c>
      <c r="K3936" s="51">
        <v>41579</v>
      </c>
      <c r="L3936" s="173">
        <v>41554</v>
      </c>
      <c r="M3936" s="50">
        <f t="shared" si="238"/>
        <v>25</v>
      </c>
      <c r="N3936" s="50" t="s">
        <v>2</v>
      </c>
      <c r="O3936" s="74">
        <v>31.7</v>
      </c>
      <c r="P3936" s="50">
        <v>5.6</v>
      </c>
      <c r="Q3936" s="74">
        <v>9.1</v>
      </c>
      <c r="R3936" s="50">
        <v>16.600000000000001</v>
      </c>
      <c r="S3936" s="74">
        <f>25/2</f>
        <v>12.5</v>
      </c>
      <c r="T3936" s="50">
        <f>0.01/2</f>
        <v>5.0000000000000001E-3</v>
      </c>
      <c r="U3936" s="131">
        <v>0.32</v>
      </c>
      <c r="V3936" s="50">
        <v>0.15</v>
      </c>
      <c r="W3936" s="74">
        <f>0.02/2</f>
        <v>0.01</v>
      </c>
      <c r="X3936" s="50">
        <f>0.05/2</f>
        <v>2.5000000000000001E-2</v>
      </c>
      <c r="Y3936" s="74">
        <v>1E-3</v>
      </c>
      <c r="Z3936" s="165"/>
    </row>
    <row r="3937" spans="1:79" s="400" customFormat="1" ht="15" customHeight="1">
      <c r="A3937" s="41" t="s">
        <v>183</v>
      </c>
      <c r="B3937" s="402" t="s">
        <v>461</v>
      </c>
      <c r="C3937" s="113" t="s">
        <v>461</v>
      </c>
      <c r="D3937" s="393" t="s">
        <v>462</v>
      </c>
      <c r="E3937" s="394" t="s">
        <v>1838</v>
      </c>
      <c r="F3937" s="402">
        <v>4200</v>
      </c>
      <c r="G3937" s="405" t="s">
        <v>464</v>
      </c>
      <c r="H3937" s="404">
        <v>2499</v>
      </c>
      <c r="I3937" s="402" t="s">
        <v>2</v>
      </c>
      <c r="J3937" s="404" t="s">
        <v>1376</v>
      </c>
      <c r="K3937" s="403">
        <v>41605</v>
      </c>
      <c r="L3937" s="398">
        <v>41600</v>
      </c>
      <c r="M3937" s="402">
        <f t="shared" si="238"/>
        <v>5</v>
      </c>
      <c r="N3937" s="402" t="s">
        <v>2</v>
      </c>
      <c r="O3937" s="404"/>
      <c r="P3937" s="402">
        <v>7.1</v>
      </c>
      <c r="Q3937" s="404"/>
      <c r="R3937" s="402">
        <v>28</v>
      </c>
      <c r="S3937" s="404"/>
      <c r="T3937" s="402"/>
      <c r="U3937" s="395"/>
      <c r="V3937" s="402"/>
      <c r="W3937" s="404"/>
      <c r="X3937" s="402"/>
      <c r="Y3937" s="404"/>
      <c r="Z3937" s="397"/>
      <c r="AA3937" s="399"/>
      <c r="AB3937" s="394"/>
      <c r="AC3937" s="402"/>
      <c r="AD3937" s="399"/>
      <c r="AE3937" s="402"/>
      <c r="AF3937" s="391"/>
      <c r="AG3937" s="394"/>
      <c r="AH3937" s="394"/>
      <c r="AI3937" s="394"/>
      <c r="AJ3937" s="394"/>
      <c r="AK3937" s="394"/>
      <c r="AL3937" s="394"/>
      <c r="AM3937" s="394"/>
      <c r="AN3937" s="394"/>
      <c r="AO3937" s="394"/>
      <c r="AP3937" s="394"/>
      <c r="AQ3937" s="394"/>
      <c r="AR3937" s="394"/>
      <c r="AS3937" s="402"/>
      <c r="AT3937" s="404"/>
      <c r="AU3937" s="394"/>
      <c r="AV3937" s="394"/>
      <c r="AW3937" s="394"/>
      <c r="AX3937" s="5"/>
      <c r="AY3937" s="5"/>
      <c r="AZ3937" s="5"/>
      <c r="BA3937" s="5"/>
      <c r="BB3937" s="5"/>
      <c r="BC3937" s="5"/>
      <c r="BD3937" s="5"/>
      <c r="BE3937" s="5"/>
      <c r="BF3937" s="5"/>
      <c r="BG3937" s="5"/>
      <c r="BH3937" s="5"/>
      <c r="BI3937" s="5"/>
      <c r="BJ3937" s="5"/>
      <c r="BK3937" s="5"/>
      <c r="BL3937" s="5"/>
      <c r="BM3937" s="5"/>
      <c r="BN3937" s="5"/>
      <c r="BO3937" s="5"/>
      <c r="BP3937" s="5"/>
      <c r="BQ3937" s="5"/>
      <c r="BR3937" s="5"/>
      <c r="BS3937" s="5"/>
      <c r="BT3937" s="5"/>
      <c r="BU3937" s="5"/>
      <c r="BV3937" s="5"/>
      <c r="BW3937" s="5"/>
      <c r="BX3937" s="5"/>
      <c r="BY3937" s="5"/>
      <c r="BZ3937" s="5"/>
      <c r="CA3937" s="5"/>
    </row>
    <row r="3938" spans="1:79" s="400" customFormat="1" ht="15" customHeight="1">
      <c r="A3938" s="404" t="s">
        <v>5328</v>
      </c>
      <c r="B3938" s="402" t="s">
        <v>6362</v>
      </c>
      <c r="C3938" s="113" t="s">
        <v>6362</v>
      </c>
      <c r="D3938" s="393" t="s">
        <v>56</v>
      </c>
      <c r="E3938" s="394" t="s">
        <v>95</v>
      </c>
      <c r="F3938" s="402">
        <v>5000</v>
      </c>
      <c r="G3938" s="405" t="s">
        <v>167</v>
      </c>
      <c r="H3938" s="404">
        <v>4911</v>
      </c>
      <c r="I3938" s="402" t="s">
        <v>1</v>
      </c>
      <c r="J3938" s="406" t="s">
        <v>96</v>
      </c>
      <c r="K3938" s="403">
        <v>41595</v>
      </c>
      <c r="L3938" s="398">
        <v>41585</v>
      </c>
      <c r="M3938" s="402">
        <f t="shared" si="238"/>
        <v>10</v>
      </c>
      <c r="N3938" s="402" t="s">
        <v>2</v>
      </c>
      <c r="O3938" s="404"/>
      <c r="P3938" s="402">
        <v>6.05</v>
      </c>
      <c r="Q3938" s="404"/>
      <c r="R3938" s="402"/>
      <c r="S3938" s="404"/>
      <c r="T3938" s="402"/>
      <c r="U3938" s="395"/>
      <c r="V3938" s="402"/>
      <c r="W3938" s="404"/>
      <c r="X3938" s="402">
        <v>0.36</v>
      </c>
      <c r="Y3938" s="404"/>
      <c r="Z3938" s="397"/>
      <c r="AA3938" s="399"/>
      <c r="AB3938" s="394"/>
      <c r="AC3938" s="402"/>
      <c r="AD3938" s="399"/>
      <c r="AE3938" s="402"/>
      <c r="AF3938" s="391"/>
      <c r="AG3938" s="394"/>
      <c r="AH3938" s="394"/>
      <c r="AI3938" s="394">
        <v>986</v>
      </c>
      <c r="AJ3938" s="394">
        <v>268</v>
      </c>
      <c r="AK3938" s="394"/>
      <c r="AL3938" s="394"/>
      <c r="AM3938" s="394"/>
      <c r="AN3938" s="394"/>
      <c r="AO3938" s="394"/>
      <c r="AP3938" s="394"/>
      <c r="AQ3938" s="394"/>
      <c r="AR3938" s="394"/>
      <c r="AS3938" s="402"/>
      <c r="AT3938" s="404"/>
      <c r="AU3938" s="394"/>
      <c r="AV3938" s="394"/>
      <c r="AW3938" s="394"/>
      <c r="AX3938" s="5"/>
      <c r="AY3938" s="5"/>
      <c r="AZ3938" s="5"/>
      <c r="BA3938" s="5"/>
      <c r="BB3938" s="5"/>
      <c r="BC3938" s="5"/>
      <c r="BD3938" s="5"/>
      <c r="BE3938" s="5"/>
      <c r="BF3938" s="5"/>
      <c r="BG3938" s="5"/>
      <c r="BH3938" s="5"/>
      <c r="BI3938" s="5"/>
      <c r="BJ3938" s="5"/>
      <c r="BK3938" s="5"/>
      <c r="BL3938" s="5"/>
      <c r="BM3938" s="5"/>
      <c r="BN3938" s="5"/>
      <c r="BO3938" s="5"/>
      <c r="BP3938" s="5"/>
      <c r="BQ3938" s="5"/>
      <c r="BR3938" s="5"/>
      <c r="BS3938" s="5"/>
      <c r="BT3938" s="5"/>
      <c r="BU3938" s="5"/>
      <c r="BV3938" s="5"/>
      <c r="BW3938" s="5"/>
      <c r="BX3938" s="5"/>
      <c r="BY3938" s="5"/>
      <c r="BZ3938" s="5"/>
      <c r="CA3938" s="5"/>
    </row>
    <row r="3939" spans="1:79" s="400" customFormat="1" ht="15" customHeight="1">
      <c r="A3939" s="404" t="s">
        <v>5328</v>
      </c>
      <c r="B3939" s="402" t="s">
        <v>6362</v>
      </c>
      <c r="C3939" s="113" t="s">
        <v>6362</v>
      </c>
      <c r="D3939" s="393" t="s">
        <v>56</v>
      </c>
      <c r="E3939" s="394" t="s">
        <v>95</v>
      </c>
      <c r="F3939" s="402">
        <v>5000</v>
      </c>
      <c r="G3939" s="405" t="s">
        <v>167</v>
      </c>
      <c r="H3939" s="404">
        <v>4911</v>
      </c>
      <c r="I3939" s="402" t="s">
        <v>1</v>
      </c>
      <c r="J3939" s="406" t="s">
        <v>169</v>
      </c>
      <c r="K3939" s="403">
        <v>41595</v>
      </c>
      <c r="L3939" s="398">
        <v>41585</v>
      </c>
      <c r="M3939" s="402">
        <f t="shared" si="238"/>
        <v>10</v>
      </c>
      <c r="N3939" s="402" t="s">
        <v>2</v>
      </c>
      <c r="O3939" s="404"/>
      <c r="P3939" s="402">
        <v>6.05</v>
      </c>
      <c r="Q3939" s="404"/>
      <c r="R3939" s="402"/>
      <c r="S3939" s="404"/>
      <c r="T3939" s="402"/>
      <c r="U3939" s="395"/>
      <c r="V3939" s="402"/>
      <c r="W3939" s="404"/>
      <c r="X3939" s="402"/>
      <c r="Y3939" s="404"/>
      <c r="Z3939" s="397"/>
      <c r="AA3939" s="399"/>
      <c r="AB3939" s="394"/>
      <c r="AC3939" s="402"/>
      <c r="AD3939" s="399"/>
      <c r="AE3939" s="402"/>
      <c r="AF3939" s="391"/>
      <c r="AG3939" s="394"/>
      <c r="AH3939" s="394"/>
      <c r="AI3939" s="394">
        <v>584</v>
      </c>
      <c r="AJ3939" s="394">
        <v>16</v>
      </c>
      <c r="AK3939" s="394"/>
      <c r="AL3939" s="394"/>
      <c r="AM3939" s="394"/>
      <c r="AN3939" s="394">
        <v>0.2</v>
      </c>
      <c r="AO3939" s="394"/>
      <c r="AP3939" s="394"/>
      <c r="AQ3939" s="394"/>
      <c r="AR3939" s="394"/>
      <c r="AS3939" s="402"/>
      <c r="AT3939" s="404"/>
      <c r="AU3939" s="394"/>
      <c r="AV3939" s="394"/>
      <c r="AW3939" s="394"/>
      <c r="AX3939" s="5"/>
      <c r="AY3939" s="5"/>
      <c r="AZ3939" s="5"/>
      <c r="BA3939" s="5"/>
      <c r="BB3939" s="5"/>
      <c r="BC3939" s="5"/>
      <c r="BD3939" s="5"/>
      <c r="BE3939" s="5"/>
      <c r="BF3939" s="5"/>
      <c r="BG3939" s="5"/>
      <c r="BH3939" s="5"/>
      <c r="BI3939" s="5"/>
      <c r="BJ3939" s="5"/>
      <c r="BK3939" s="5"/>
      <c r="BL3939" s="5"/>
      <c r="BM3939" s="5"/>
      <c r="BN3939" s="5"/>
      <c r="BO3939" s="5"/>
      <c r="BP3939" s="5"/>
      <c r="BQ3939" s="5"/>
      <c r="BR3939" s="5"/>
      <c r="BS3939" s="5"/>
      <c r="BT3939" s="5"/>
      <c r="BU3939" s="5"/>
      <c r="BV3939" s="5"/>
      <c r="BW3939" s="5"/>
      <c r="BX3939" s="5"/>
      <c r="BY3939" s="5"/>
      <c r="BZ3939" s="5"/>
      <c r="CA3939" s="5"/>
    </row>
    <row r="3940" spans="1:79" ht="15" customHeight="1">
      <c r="A3940" s="41" t="s">
        <v>183</v>
      </c>
      <c r="B3940" s="402" t="s">
        <v>6364</v>
      </c>
      <c r="D3940" s="393" t="s">
        <v>205</v>
      </c>
      <c r="E3940" s="394" t="s">
        <v>44</v>
      </c>
      <c r="G3940" s="405" t="s">
        <v>6363</v>
      </c>
      <c r="H3940" s="74">
        <v>3321</v>
      </c>
      <c r="I3940" s="50" t="s">
        <v>2</v>
      </c>
      <c r="J3940" s="339" t="s">
        <v>1125</v>
      </c>
      <c r="K3940" s="51">
        <v>41030</v>
      </c>
      <c r="L3940" s="173">
        <v>41022</v>
      </c>
      <c r="M3940" s="50">
        <f t="shared" si="238"/>
        <v>8</v>
      </c>
      <c r="N3940" s="50" t="s">
        <v>2</v>
      </c>
      <c r="O3940" s="74">
        <v>3.5</v>
      </c>
      <c r="P3940" s="50">
        <v>5.9</v>
      </c>
      <c r="Q3940" s="74">
        <v>7.4</v>
      </c>
      <c r="R3940" s="50">
        <v>49</v>
      </c>
      <c r="S3940" s="74">
        <v>96</v>
      </c>
      <c r="T3940" s="50">
        <v>0.21</v>
      </c>
      <c r="U3940" s="131">
        <v>2.3199999999999998</v>
      </c>
      <c r="V3940" s="50">
        <v>0.77</v>
      </c>
      <c r="W3940" s="74">
        <v>5.1999999999999998E-2</v>
      </c>
      <c r="X3940" s="50">
        <v>0.127</v>
      </c>
      <c r="Y3940" s="74">
        <f>0.03/2</f>
        <v>1.4999999999999999E-2</v>
      </c>
      <c r="Z3940" s="165">
        <v>1</v>
      </c>
      <c r="AA3940" s="271">
        <v>1</v>
      </c>
      <c r="AB3940" s="114">
        <v>23</v>
      </c>
      <c r="AC3940" s="50">
        <v>461</v>
      </c>
      <c r="AD3940" s="271">
        <v>1</v>
      </c>
    </row>
    <row r="3941" spans="1:79" ht="15" customHeight="1">
      <c r="A3941" s="41" t="s">
        <v>183</v>
      </c>
      <c r="B3941" s="402" t="s">
        <v>6364</v>
      </c>
      <c r="D3941" s="393" t="s">
        <v>205</v>
      </c>
      <c r="E3941" s="394" t="s">
        <v>44</v>
      </c>
      <c r="G3941" s="405" t="s">
        <v>6363</v>
      </c>
      <c r="H3941" s="74">
        <v>3321</v>
      </c>
      <c r="I3941" s="50" t="s">
        <v>2</v>
      </c>
      <c r="J3941" s="339" t="s">
        <v>1125</v>
      </c>
      <c r="K3941" s="51">
        <v>41170</v>
      </c>
      <c r="L3941" s="173">
        <v>41160</v>
      </c>
      <c r="M3941" s="50">
        <f t="shared" si="238"/>
        <v>10</v>
      </c>
      <c r="N3941" s="50" t="s">
        <v>2</v>
      </c>
      <c r="O3941" s="74">
        <v>2.9</v>
      </c>
      <c r="P3941" s="50">
        <v>6</v>
      </c>
      <c r="Q3941" s="74">
        <v>7.5</v>
      </c>
      <c r="R3941" s="50">
        <v>32</v>
      </c>
      <c r="S3941" s="74">
        <v>15</v>
      </c>
      <c r="T3941" s="50">
        <v>1.36</v>
      </c>
      <c r="U3941" s="131">
        <v>1.74</v>
      </c>
      <c r="V3941" s="50">
        <v>1.04</v>
      </c>
      <c r="W3941" s="74">
        <v>5.8999999999999997E-2</v>
      </c>
      <c r="X3941" s="50">
        <v>0.13100000000000001</v>
      </c>
      <c r="Y3941" s="74">
        <f>0.03/2</f>
        <v>1.4999999999999999E-2</v>
      </c>
      <c r="Z3941" s="165"/>
    </row>
    <row r="3942" spans="1:79" ht="15" customHeight="1">
      <c r="A3942" s="41" t="s">
        <v>183</v>
      </c>
      <c r="B3942" s="402" t="s">
        <v>6364</v>
      </c>
      <c r="D3942" s="393" t="s">
        <v>205</v>
      </c>
      <c r="E3942" s="394" t="s">
        <v>44</v>
      </c>
      <c r="G3942" s="405" t="s">
        <v>6363</v>
      </c>
      <c r="H3942" s="74">
        <v>3321</v>
      </c>
      <c r="I3942" s="50" t="s">
        <v>2</v>
      </c>
      <c r="J3942" s="339" t="s">
        <v>1125</v>
      </c>
      <c r="K3942" s="51">
        <v>41345</v>
      </c>
      <c r="L3942" s="173">
        <v>41332</v>
      </c>
      <c r="M3942" s="50">
        <f t="shared" si="238"/>
        <v>13</v>
      </c>
      <c r="N3942" s="50" t="s">
        <v>2</v>
      </c>
      <c r="O3942" s="74">
        <f>2/2</f>
        <v>1</v>
      </c>
      <c r="P3942" s="50">
        <v>6</v>
      </c>
      <c r="Q3942" s="74">
        <v>7.4</v>
      </c>
      <c r="R3942" s="50">
        <f>10/2</f>
        <v>5</v>
      </c>
      <c r="S3942" s="74">
        <v>3</v>
      </c>
      <c r="T3942" s="50">
        <f>0.05/2</f>
        <v>2.5000000000000001E-2</v>
      </c>
      <c r="U3942" s="131">
        <v>0.31</v>
      </c>
      <c r="V3942" s="50">
        <v>0.86</v>
      </c>
      <c r="W3942" s="74">
        <v>0.01</v>
      </c>
      <c r="X3942" s="50">
        <v>3.2000000000000001E-2</v>
      </c>
      <c r="Y3942" s="74">
        <f>0.03/2</f>
        <v>1.4999999999999999E-2</v>
      </c>
      <c r="Z3942" s="165">
        <v>1</v>
      </c>
      <c r="AA3942" s="271">
        <v>1</v>
      </c>
      <c r="AB3942" s="114">
        <v>101</v>
      </c>
      <c r="AC3942" s="50">
        <v>426</v>
      </c>
      <c r="AD3942" s="271">
        <v>1</v>
      </c>
    </row>
    <row r="3943" spans="1:79" ht="15" customHeight="1">
      <c r="A3943" s="41" t="s">
        <v>183</v>
      </c>
      <c r="B3943" s="402" t="s">
        <v>6364</v>
      </c>
      <c r="D3943" s="393" t="s">
        <v>205</v>
      </c>
      <c r="E3943" s="394" t="s">
        <v>44</v>
      </c>
      <c r="G3943" s="405" t="s">
        <v>6363</v>
      </c>
      <c r="H3943" s="74">
        <v>3321</v>
      </c>
      <c r="I3943" s="50" t="s">
        <v>2</v>
      </c>
      <c r="J3943" s="339" t="s">
        <v>1125</v>
      </c>
      <c r="K3943" s="51">
        <v>41487</v>
      </c>
      <c r="L3943" s="173">
        <v>41481</v>
      </c>
      <c r="M3943" s="50">
        <f t="shared" si="238"/>
        <v>6</v>
      </c>
      <c r="N3943" s="50" t="s">
        <v>2</v>
      </c>
      <c r="O3943" s="74">
        <f>2/2</f>
        <v>1</v>
      </c>
      <c r="P3943" s="50">
        <v>4.5999999999999996</v>
      </c>
      <c r="Q3943" s="74">
        <v>7.8</v>
      </c>
      <c r="R3943" s="50">
        <v>45</v>
      </c>
      <c r="S3943" s="74">
        <v>36</v>
      </c>
      <c r="T3943" s="50">
        <v>0.18</v>
      </c>
      <c r="U3943" s="131">
        <v>1.29</v>
      </c>
      <c r="V3943" s="50">
        <v>1.79</v>
      </c>
      <c r="W3943" s="74">
        <v>3.9E-2</v>
      </c>
      <c r="X3943" s="50">
        <v>8.5000000000000006E-2</v>
      </c>
      <c r="Y3943" s="74">
        <f>0.03/2</f>
        <v>1.4999999999999999E-2</v>
      </c>
      <c r="Z3943" s="165"/>
    </row>
    <row r="3944" spans="1:79" ht="15" customHeight="1">
      <c r="A3944" s="41" t="s">
        <v>183</v>
      </c>
      <c r="B3944" s="402" t="s">
        <v>6364</v>
      </c>
      <c r="D3944" s="393" t="s">
        <v>205</v>
      </c>
      <c r="E3944" s="394" t="s">
        <v>44</v>
      </c>
      <c r="G3944" s="405" t="s">
        <v>6363</v>
      </c>
      <c r="H3944" s="74">
        <v>3321</v>
      </c>
      <c r="I3944" s="50" t="s">
        <v>2</v>
      </c>
      <c r="J3944" s="339" t="s">
        <v>1125</v>
      </c>
      <c r="K3944" s="51">
        <v>41727</v>
      </c>
      <c r="L3944" s="173">
        <v>41718</v>
      </c>
      <c r="M3944" s="50">
        <f t="shared" si="238"/>
        <v>9</v>
      </c>
      <c r="N3944" s="50" t="s">
        <v>2</v>
      </c>
      <c r="T3944" s="50">
        <v>0.11</v>
      </c>
      <c r="V3944" s="50">
        <v>0.74</v>
      </c>
      <c r="Z3944" s="165"/>
    </row>
    <row r="3945" spans="1:79" ht="15" customHeight="1">
      <c r="A3945" s="41" t="s">
        <v>183</v>
      </c>
      <c r="B3945" s="402" t="s">
        <v>2675</v>
      </c>
      <c r="C3945" s="113" t="s">
        <v>2676</v>
      </c>
      <c r="D3945" s="393" t="s">
        <v>1759</v>
      </c>
      <c r="E3945" s="394" t="s">
        <v>95</v>
      </c>
      <c r="G3945" s="405" t="s">
        <v>2677</v>
      </c>
      <c r="H3945" s="74">
        <v>4952</v>
      </c>
      <c r="I3945" s="50" t="s">
        <v>2</v>
      </c>
      <c r="J3945" s="48" t="s">
        <v>2680</v>
      </c>
      <c r="K3945" s="51">
        <v>41795</v>
      </c>
      <c r="L3945" s="173"/>
      <c r="N3945" s="50" t="s">
        <v>2</v>
      </c>
      <c r="O3945" s="74">
        <f>5/2</f>
        <v>2.5</v>
      </c>
      <c r="P3945" s="50">
        <v>6.8</v>
      </c>
      <c r="R3945" s="50">
        <v>45</v>
      </c>
      <c r="T3945" s="50">
        <v>0.3</v>
      </c>
      <c r="U3945" s="131">
        <v>1.8</v>
      </c>
      <c r="X3945" s="50">
        <v>6.8000000000000005E-2</v>
      </c>
      <c r="Z3945" s="165"/>
      <c r="AI3945" s="114">
        <v>980</v>
      </c>
      <c r="AJ3945" s="114" t="s">
        <v>6367</v>
      </c>
    </row>
    <row r="3946" spans="1:79" ht="15" customHeight="1">
      <c r="A3946" s="41" t="s">
        <v>183</v>
      </c>
      <c r="B3946" s="402" t="s">
        <v>2675</v>
      </c>
      <c r="C3946" s="113" t="s">
        <v>2676</v>
      </c>
      <c r="D3946" s="393" t="s">
        <v>1759</v>
      </c>
      <c r="E3946" s="394" t="s">
        <v>95</v>
      </c>
      <c r="G3946" s="405" t="s">
        <v>2677</v>
      </c>
      <c r="H3946" s="74">
        <v>4952</v>
      </c>
      <c r="I3946" s="50" t="s">
        <v>2</v>
      </c>
      <c r="J3946" s="48" t="s">
        <v>2678</v>
      </c>
      <c r="K3946" s="51">
        <v>41795</v>
      </c>
      <c r="L3946" s="173"/>
      <c r="N3946" s="50" t="s">
        <v>2</v>
      </c>
      <c r="P3946" s="50">
        <v>6.8</v>
      </c>
      <c r="R3946" s="50">
        <v>91</v>
      </c>
      <c r="S3946" s="74">
        <v>37</v>
      </c>
      <c r="T3946" s="50">
        <v>0.22</v>
      </c>
      <c r="W3946" s="74">
        <f>0.04/2</f>
        <v>0.02</v>
      </c>
      <c r="X3946" s="50">
        <v>0.1</v>
      </c>
      <c r="Z3946" s="165"/>
      <c r="AI3946" s="114">
        <v>380</v>
      </c>
      <c r="AJ3946" s="114">
        <v>1842</v>
      </c>
    </row>
    <row r="3947" spans="1:79" ht="15" customHeight="1">
      <c r="A3947" s="41" t="s">
        <v>183</v>
      </c>
      <c r="B3947" s="402" t="s">
        <v>2675</v>
      </c>
      <c r="C3947" s="113" t="s">
        <v>2676</v>
      </c>
      <c r="D3947" s="393" t="s">
        <v>1759</v>
      </c>
      <c r="E3947" s="394" t="s">
        <v>95</v>
      </c>
      <c r="G3947" s="405" t="s">
        <v>2677</v>
      </c>
      <c r="H3947" s="74">
        <v>4952</v>
      </c>
      <c r="I3947" s="50" t="s">
        <v>2</v>
      </c>
      <c r="J3947" s="48" t="s">
        <v>2679</v>
      </c>
      <c r="K3947" s="51">
        <v>41795</v>
      </c>
      <c r="L3947" s="173"/>
      <c r="N3947" s="50" t="s">
        <v>2</v>
      </c>
      <c r="P3947" s="50">
        <v>6.8</v>
      </c>
      <c r="R3947" s="50">
        <v>25</v>
      </c>
      <c r="T3947" s="50">
        <v>0.24</v>
      </c>
      <c r="U3947" s="131">
        <v>1.2</v>
      </c>
      <c r="W3947" s="74">
        <f>0.04/2</f>
        <v>0.02</v>
      </c>
      <c r="X3947" s="50">
        <v>0.11</v>
      </c>
      <c r="Z3947" s="165"/>
      <c r="AI3947" s="114">
        <v>20</v>
      </c>
      <c r="AJ3947" s="114">
        <v>6131</v>
      </c>
    </row>
    <row r="3948" spans="1:79" ht="15" customHeight="1">
      <c r="A3948" s="41" t="s">
        <v>183</v>
      </c>
      <c r="B3948" s="402" t="s">
        <v>1419</v>
      </c>
      <c r="C3948" s="113" t="s">
        <v>1419</v>
      </c>
      <c r="D3948" s="393" t="s">
        <v>379</v>
      </c>
      <c r="E3948" s="394" t="s">
        <v>214</v>
      </c>
      <c r="F3948" s="402" t="s">
        <v>1420</v>
      </c>
      <c r="G3948" s="405" t="s">
        <v>1421</v>
      </c>
      <c r="H3948" s="49">
        <v>3471</v>
      </c>
      <c r="I3948" s="50" t="s">
        <v>1</v>
      </c>
      <c r="J3948" s="76" t="s">
        <v>1424</v>
      </c>
      <c r="K3948" s="51">
        <v>41710</v>
      </c>
      <c r="L3948" s="173">
        <v>41691</v>
      </c>
      <c r="M3948" s="50">
        <f>K3948-L3948</f>
        <v>19</v>
      </c>
      <c r="N3948" s="50" t="s">
        <v>2</v>
      </c>
      <c r="P3948" s="50">
        <v>6.4</v>
      </c>
      <c r="Q3948" s="74">
        <v>6.6</v>
      </c>
      <c r="R3948" s="50">
        <v>29</v>
      </c>
      <c r="T3948" s="50">
        <v>0.27</v>
      </c>
      <c r="U3948" s="131">
        <v>1.48</v>
      </c>
      <c r="V3948" s="50">
        <v>0.59</v>
      </c>
      <c r="W3948" s="74">
        <v>0.06</v>
      </c>
      <c r="X3948" s="50">
        <v>9.4E-2</v>
      </c>
      <c r="Z3948" s="165"/>
    </row>
    <row r="3949" spans="1:79" ht="15" customHeight="1">
      <c r="A3949" s="41" t="s">
        <v>183</v>
      </c>
      <c r="B3949" s="402" t="s">
        <v>1419</v>
      </c>
      <c r="C3949" s="113" t="s">
        <v>1419</v>
      </c>
      <c r="D3949" s="393" t="s">
        <v>379</v>
      </c>
      <c r="E3949" s="394" t="s">
        <v>214</v>
      </c>
      <c r="F3949" s="402" t="s">
        <v>1423</v>
      </c>
      <c r="G3949" s="405" t="s">
        <v>1421</v>
      </c>
      <c r="H3949" s="49">
        <v>3471</v>
      </c>
      <c r="I3949" s="50" t="s">
        <v>1</v>
      </c>
      <c r="J3949" s="76" t="s">
        <v>5204</v>
      </c>
      <c r="K3949" s="51">
        <v>41710</v>
      </c>
      <c r="L3949" s="173">
        <v>41691</v>
      </c>
      <c r="M3949" s="50">
        <f>K3949-L3949</f>
        <v>19</v>
      </c>
      <c r="N3949" s="50" t="s">
        <v>2</v>
      </c>
      <c r="P3949" s="50">
        <v>6.4</v>
      </c>
      <c r="Q3949" s="74">
        <v>6</v>
      </c>
      <c r="R3949" s="50">
        <v>42</v>
      </c>
      <c r="U3949" s="131">
        <v>2.06</v>
      </c>
      <c r="X3949" s="50">
        <v>2.06</v>
      </c>
      <c r="Z3949" s="165"/>
    </row>
    <row r="3950" spans="1:79" ht="15" customHeight="1">
      <c r="A3950" s="74" t="s">
        <v>4668</v>
      </c>
      <c r="B3950" s="402" t="s">
        <v>5787</v>
      </c>
      <c r="C3950" s="113" t="s">
        <v>5787</v>
      </c>
      <c r="D3950" s="393" t="s">
        <v>200</v>
      </c>
      <c r="G3950" s="405" t="s">
        <v>3720</v>
      </c>
      <c r="H3950" s="74"/>
      <c r="I3950" s="50" t="s">
        <v>2</v>
      </c>
      <c r="J3950" s="339" t="s">
        <v>3741</v>
      </c>
      <c r="K3950" s="51">
        <v>41744</v>
      </c>
      <c r="L3950" s="173">
        <v>41740</v>
      </c>
      <c r="M3950" s="50">
        <f>K3950-L3950</f>
        <v>4</v>
      </c>
      <c r="N3950" s="50" t="s">
        <v>2</v>
      </c>
      <c r="O3950" s="74">
        <v>14.7</v>
      </c>
      <c r="R3950" s="50">
        <f>5/2</f>
        <v>2.5</v>
      </c>
      <c r="W3950" s="74">
        <f>0.02/2</f>
        <v>0.01</v>
      </c>
      <c r="X3950" s="50">
        <f>0.05/2</f>
        <v>2.5000000000000001E-2</v>
      </c>
      <c r="Z3950" s="165"/>
    </row>
    <row r="3951" spans="1:79" ht="15" customHeight="1">
      <c r="A3951" s="41" t="s">
        <v>183</v>
      </c>
      <c r="B3951" s="402" t="s">
        <v>4281</v>
      </c>
      <c r="C3951" s="113" t="s">
        <v>490</v>
      </c>
      <c r="D3951" s="393" t="s">
        <v>480</v>
      </c>
      <c r="E3951" s="394" t="s">
        <v>44</v>
      </c>
      <c r="G3951" s="405" t="s">
        <v>491</v>
      </c>
      <c r="H3951" s="74">
        <v>3724</v>
      </c>
      <c r="I3951" s="50" t="s">
        <v>1</v>
      </c>
      <c r="J3951" s="339" t="s">
        <v>249</v>
      </c>
      <c r="K3951" s="51">
        <v>41744</v>
      </c>
      <c r="L3951" s="173"/>
      <c r="Z3951" s="165"/>
      <c r="AE3951" s="50">
        <v>99</v>
      </c>
    </row>
    <row r="3952" spans="1:79" ht="15" customHeight="1">
      <c r="A3952" s="41" t="s">
        <v>183</v>
      </c>
      <c r="B3952" s="402" t="s">
        <v>4281</v>
      </c>
      <c r="C3952" s="113" t="s">
        <v>490</v>
      </c>
      <c r="D3952" s="393" t="s">
        <v>480</v>
      </c>
      <c r="E3952" s="394" t="s">
        <v>44</v>
      </c>
      <c r="G3952" s="405" t="s">
        <v>491</v>
      </c>
      <c r="H3952" s="74">
        <v>3724</v>
      </c>
      <c r="I3952" s="50" t="s">
        <v>1</v>
      </c>
      <c r="J3952" s="339" t="s">
        <v>1999</v>
      </c>
      <c r="K3952" s="51">
        <v>41744</v>
      </c>
      <c r="L3952" s="173"/>
      <c r="Z3952" s="165"/>
      <c r="AE3952" s="50">
        <f>1/2</f>
        <v>0.5</v>
      </c>
    </row>
    <row r="3953" spans="1:79" ht="15" customHeight="1">
      <c r="A3953" s="41" t="s">
        <v>183</v>
      </c>
      <c r="B3953" s="402" t="s">
        <v>4281</v>
      </c>
      <c r="C3953" s="113" t="s">
        <v>490</v>
      </c>
      <c r="D3953" s="393" t="s">
        <v>480</v>
      </c>
      <c r="E3953" s="394" t="s">
        <v>44</v>
      </c>
      <c r="G3953" s="405" t="s">
        <v>491</v>
      </c>
      <c r="H3953" s="74">
        <v>3724</v>
      </c>
      <c r="I3953" s="50" t="s">
        <v>1</v>
      </c>
      <c r="J3953" s="339" t="s">
        <v>445</v>
      </c>
      <c r="K3953" s="51">
        <v>41744</v>
      </c>
      <c r="L3953" s="173"/>
      <c r="Z3953" s="165"/>
      <c r="AE3953" s="50">
        <v>21</v>
      </c>
    </row>
    <row r="3954" spans="1:79" ht="15" customHeight="1">
      <c r="A3954" s="41" t="s">
        <v>183</v>
      </c>
      <c r="B3954" s="402" t="s">
        <v>4281</v>
      </c>
      <c r="C3954" s="113" t="s">
        <v>490</v>
      </c>
      <c r="D3954" s="393" t="s">
        <v>480</v>
      </c>
      <c r="E3954" s="394" t="s">
        <v>44</v>
      </c>
      <c r="G3954" s="405" t="s">
        <v>491</v>
      </c>
      <c r="H3954" s="74">
        <v>3724</v>
      </c>
      <c r="I3954" s="50" t="s">
        <v>1</v>
      </c>
      <c r="J3954" s="339" t="s">
        <v>492</v>
      </c>
      <c r="K3954" s="51">
        <v>41744</v>
      </c>
      <c r="L3954" s="173"/>
      <c r="Z3954" s="165"/>
      <c r="AE3954" s="50">
        <v>21</v>
      </c>
    </row>
    <row r="3955" spans="1:79" ht="15" customHeight="1">
      <c r="A3955" s="41" t="s">
        <v>183</v>
      </c>
      <c r="B3955" s="402" t="s">
        <v>4281</v>
      </c>
      <c r="C3955" s="113" t="s">
        <v>490</v>
      </c>
      <c r="D3955" s="393" t="s">
        <v>480</v>
      </c>
      <c r="E3955" s="394" t="s">
        <v>44</v>
      </c>
      <c r="G3955" s="405" t="s">
        <v>491</v>
      </c>
      <c r="H3955" s="74">
        <v>3724</v>
      </c>
      <c r="I3955" s="50" t="s">
        <v>1</v>
      </c>
      <c r="J3955" s="339" t="s">
        <v>493</v>
      </c>
      <c r="K3955" s="51">
        <v>41744</v>
      </c>
      <c r="L3955" s="173"/>
      <c r="Z3955" s="165"/>
      <c r="AE3955" s="50">
        <v>260</v>
      </c>
    </row>
    <row r="3956" spans="1:79" ht="15" customHeight="1">
      <c r="A3956" s="41" t="s">
        <v>183</v>
      </c>
      <c r="B3956" s="402" t="s">
        <v>4281</v>
      </c>
      <c r="C3956" s="113" t="s">
        <v>490</v>
      </c>
      <c r="D3956" s="393" t="s">
        <v>480</v>
      </c>
      <c r="E3956" s="394" t="s">
        <v>44</v>
      </c>
      <c r="G3956" s="405" t="s">
        <v>491</v>
      </c>
      <c r="H3956" s="74">
        <v>3724</v>
      </c>
      <c r="I3956" s="50" t="s">
        <v>1</v>
      </c>
      <c r="J3956" s="339" t="s">
        <v>494</v>
      </c>
      <c r="K3956" s="51">
        <v>41744</v>
      </c>
      <c r="L3956" s="173"/>
      <c r="Z3956" s="165"/>
      <c r="AE3956" s="50">
        <v>49</v>
      </c>
    </row>
    <row r="3957" spans="1:79" ht="15" customHeight="1">
      <c r="A3957" s="41" t="s">
        <v>183</v>
      </c>
      <c r="B3957" s="402" t="s">
        <v>4281</v>
      </c>
      <c r="C3957" s="113" t="s">
        <v>490</v>
      </c>
      <c r="D3957" s="393" t="s">
        <v>480</v>
      </c>
      <c r="E3957" s="394" t="s">
        <v>44</v>
      </c>
      <c r="G3957" s="405" t="s">
        <v>491</v>
      </c>
      <c r="H3957" s="74">
        <v>3724</v>
      </c>
      <c r="I3957" s="50" t="s">
        <v>1</v>
      </c>
      <c r="J3957" s="339" t="s">
        <v>495</v>
      </c>
      <c r="K3957" s="51">
        <v>41744</v>
      </c>
      <c r="L3957" s="173"/>
      <c r="Z3957" s="165"/>
      <c r="AE3957" s="50">
        <v>23</v>
      </c>
    </row>
    <row r="3958" spans="1:79" ht="15" customHeight="1">
      <c r="A3958" s="41" t="s">
        <v>183</v>
      </c>
      <c r="B3958" s="402" t="s">
        <v>4281</v>
      </c>
      <c r="C3958" s="113" t="s">
        <v>490</v>
      </c>
      <c r="D3958" s="393" t="s">
        <v>480</v>
      </c>
      <c r="E3958" s="394" t="s">
        <v>44</v>
      </c>
      <c r="G3958" s="405" t="s">
        <v>491</v>
      </c>
      <c r="H3958" s="74">
        <v>3724</v>
      </c>
      <c r="I3958" s="50" t="s">
        <v>1</v>
      </c>
      <c r="J3958" s="339" t="s">
        <v>496</v>
      </c>
      <c r="K3958" s="51">
        <v>41744</v>
      </c>
      <c r="L3958" s="173"/>
      <c r="Z3958" s="165"/>
      <c r="AE3958" s="50">
        <v>2</v>
      </c>
    </row>
    <row r="3959" spans="1:79" ht="15" customHeight="1">
      <c r="A3959" s="41" t="s">
        <v>4668</v>
      </c>
      <c r="B3959" s="402" t="s">
        <v>5959</v>
      </c>
      <c r="C3959" s="113" t="s">
        <v>1048</v>
      </c>
      <c r="D3959" s="393" t="s">
        <v>1896</v>
      </c>
      <c r="E3959" s="394" t="s">
        <v>1538</v>
      </c>
      <c r="G3959" s="76" t="s">
        <v>1049</v>
      </c>
      <c r="H3959" s="50">
        <v>3273</v>
      </c>
      <c r="I3959" s="49" t="s">
        <v>1</v>
      </c>
      <c r="J3959" s="50" t="s">
        <v>593</v>
      </c>
      <c r="K3959" s="51">
        <v>41508</v>
      </c>
      <c r="L3959" s="115">
        <v>41499</v>
      </c>
      <c r="N3959" s="50" t="s">
        <v>2</v>
      </c>
      <c r="O3959" s="74">
        <f>5/2</f>
        <v>2.5</v>
      </c>
      <c r="P3959" s="117">
        <v>6.5</v>
      </c>
      <c r="Q3959" s="131">
        <v>11.2</v>
      </c>
      <c r="R3959" s="119">
        <v>110</v>
      </c>
      <c r="S3959" s="147">
        <v>900</v>
      </c>
      <c r="T3959" s="50">
        <v>0.64</v>
      </c>
      <c r="U3959" s="74">
        <v>1.5</v>
      </c>
      <c r="V3959" s="50">
        <v>0.61</v>
      </c>
      <c r="W3959" s="74">
        <v>7.5999999999999998E-2</v>
      </c>
      <c r="X3959" s="50">
        <v>0.8</v>
      </c>
      <c r="Y3959" s="74">
        <v>3.7999999999999999E-2</v>
      </c>
      <c r="Z3959" s="165"/>
    </row>
    <row r="3960" spans="1:79" ht="15" customHeight="1">
      <c r="A3960" s="41" t="s">
        <v>4668</v>
      </c>
      <c r="B3960" s="402" t="s">
        <v>5959</v>
      </c>
      <c r="C3960" s="113" t="s">
        <v>1048</v>
      </c>
      <c r="D3960" s="393" t="s">
        <v>1896</v>
      </c>
      <c r="E3960" s="394" t="s">
        <v>1538</v>
      </c>
      <c r="G3960" s="76" t="s">
        <v>1049</v>
      </c>
      <c r="H3960" s="50">
        <v>3273</v>
      </c>
      <c r="I3960" s="49" t="s">
        <v>1</v>
      </c>
      <c r="J3960" s="50" t="s">
        <v>477</v>
      </c>
      <c r="K3960" s="51">
        <v>41508</v>
      </c>
      <c r="L3960" s="115">
        <v>41499</v>
      </c>
      <c r="N3960" s="50" t="s">
        <v>2</v>
      </c>
      <c r="O3960" s="74">
        <f>5/2</f>
        <v>2.5</v>
      </c>
      <c r="P3960" s="117">
        <v>6.5</v>
      </c>
      <c r="Q3960" s="131">
        <v>9.3000000000000007</v>
      </c>
      <c r="R3960" s="119">
        <v>78</v>
      </c>
      <c r="S3960" s="147">
        <v>100</v>
      </c>
      <c r="T3960" s="50">
        <v>0.9</v>
      </c>
      <c r="U3960" s="74">
        <v>1.2</v>
      </c>
      <c r="V3960" s="50">
        <v>0.92</v>
      </c>
      <c r="W3960" s="74">
        <v>0.04</v>
      </c>
      <c r="X3960" s="50">
        <v>0.21</v>
      </c>
      <c r="Y3960" s="74">
        <v>1.4E-2</v>
      </c>
      <c r="Z3960" s="165"/>
    </row>
    <row r="3961" spans="1:79" ht="15" customHeight="1">
      <c r="A3961" s="404" t="s">
        <v>4668</v>
      </c>
      <c r="B3961" s="402" t="s">
        <v>1989</v>
      </c>
      <c r="C3961" s="113" t="s">
        <v>1989</v>
      </c>
      <c r="D3961" s="393" t="s">
        <v>372</v>
      </c>
      <c r="E3961" s="394" t="s">
        <v>4754</v>
      </c>
      <c r="F3961" s="402">
        <v>6911</v>
      </c>
      <c r="G3961" s="405" t="s">
        <v>1991</v>
      </c>
      <c r="H3961" s="74">
        <v>3469</v>
      </c>
      <c r="I3961" s="50" t="s">
        <v>2</v>
      </c>
      <c r="J3961" s="343" t="s">
        <v>1992</v>
      </c>
      <c r="K3961" s="51">
        <v>41499</v>
      </c>
      <c r="L3961" s="173">
        <v>41495</v>
      </c>
      <c r="M3961" s="50">
        <f t="shared" ref="M3961:M4023" si="239">K3961-L3961</f>
        <v>4</v>
      </c>
      <c r="N3961" s="50" t="s">
        <v>2</v>
      </c>
      <c r="O3961" s="74">
        <v>5.7</v>
      </c>
      <c r="P3961" s="50">
        <v>5.2</v>
      </c>
      <c r="Q3961" s="74">
        <v>7.5</v>
      </c>
      <c r="R3961" s="50">
        <v>180</v>
      </c>
      <c r="S3961" s="74">
        <v>10.6</v>
      </c>
      <c r="T3961" s="50">
        <v>7.4999999999999997E-2</v>
      </c>
      <c r="U3961" s="131">
        <v>13</v>
      </c>
      <c r="V3961" s="50">
        <v>0.67</v>
      </c>
      <c r="W3961" s="74">
        <v>2.8000000000000001E-2</v>
      </c>
      <c r="X3961" s="50">
        <v>0.11799999999999999</v>
      </c>
      <c r="Y3961" s="74">
        <f>0.005/2</f>
        <v>2.5000000000000001E-3</v>
      </c>
      <c r="Z3961" s="165">
        <v>1</v>
      </c>
      <c r="AA3961" s="271">
        <v>1</v>
      </c>
      <c r="AB3961" s="114">
        <v>70</v>
      </c>
      <c r="AC3961" s="50">
        <v>335</v>
      </c>
      <c r="AD3961" s="271">
        <v>1</v>
      </c>
    </row>
    <row r="3962" spans="1:79" s="400" customFormat="1" ht="15" customHeight="1">
      <c r="A3962" s="41" t="s">
        <v>183</v>
      </c>
      <c r="B3962" s="385" t="s">
        <v>908</v>
      </c>
      <c r="C3962" s="149" t="s">
        <v>909</v>
      </c>
      <c r="D3962" s="393" t="s">
        <v>910</v>
      </c>
      <c r="E3962" s="20" t="s">
        <v>1546</v>
      </c>
      <c r="F3962" s="402">
        <v>4000</v>
      </c>
      <c r="G3962" s="405" t="s">
        <v>911</v>
      </c>
      <c r="H3962" s="404">
        <v>5171</v>
      </c>
      <c r="I3962" s="402" t="s">
        <v>2</v>
      </c>
      <c r="J3962" s="344" t="s">
        <v>4335</v>
      </c>
      <c r="K3962" s="403">
        <v>41579</v>
      </c>
      <c r="L3962" s="398">
        <v>41554</v>
      </c>
      <c r="M3962" s="402">
        <f t="shared" si="239"/>
        <v>25</v>
      </c>
      <c r="N3962" s="402" t="s">
        <v>2</v>
      </c>
      <c r="O3962" s="404"/>
      <c r="P3962" s="402"/>
      <c r="Q3962" s="404"/>
      <c r="R3962" s="402"/>
      <c r="S3962" s="404"/>
      <c r="T3962" s="402"/>
      <c r="U3962" s="395"/>
      <c r="V3962" s="402"/>
      <c r="W3962" s="404"/>
      <c r="X3962" s="402">
        <v>0.13</v>
      </c>
      <c r="Y3962" s="404"/>
      <c r="Z3962" s="397"/>
      <c r="AA3962" s="399"/>
      <c r="AB3962" s="394"/>
      <c r="AC3962" s="402"/>
      <c r="AD3962" s="399"/>
      <c r="AE3962" s="402"/>
      <c r="AF3962" s="391"/>
      <c r="AG3962" s="394"/>
      <c r="AH3962" s="394"/>
      <c r="AI3962" s="394"/>
      <c r="AJ3962" s="394"/>
      <c r="AK3962" s="394"/>
      <c r="AL3962" s="394"/>
      <c r="AM3962" s="394"/>
      <c r="AN3962" s="394"/>
      <c r="AO3962" s="394"/>
      <c r="AP3962" s="394"/>
      <c r="AQ3962" s="394"/>
      <c r="AR3962" s="394"/>
      <c r="AS3962" s="402"/>
      <c r="AT3962" s="404"/>
      <c r="AU3962" s="394"/>
      <c r="AV3962" s="394"/>
      <c r="AW3962" s="394"/>
      <c r="AX3962" s="5"/>
      <c r="AY3962" s="5"/>
      <c r="AZ3962" s="5"/>
      <c r="BA3962" s="5"/>
      <c r="BB3962" s="5"/>
      <c r="BC3962" s="5"/>
      <c r="BD3962" s="5"/>
      <c r="BE3962" s="5"/>
      <c r="BF3962" s="5"/>
      <c r="BG3962" s="5"/>
      <c r="BH3962" s="5"/>
      <c r="BI3962" s="5"/>
      <c r="BJ3962" s="5"/>
      <c r="BK3962" s="5"/>
      <c r="BL3962" s="5"/>
      <c r="BM3962" s="5"/>
      <c r="BN3962" s="5"/>
      <c r="BO3962" s="5"/>
      <c r="BP3962" s="5"/>
      <c r="BQ3962" s="5"/>
      <c r="BR3962" s="5"/>
      <c r="BS3962" s="5"/>
      <c r="BT3962" s="5"/>
      <c r="BU3962" s="5"/>
      <c r="BV3962" s="5"/>
      <c r="BW3962" s="5"/>
      <c r="BX3962" s="5"/>
      <c r="BY3962" s="5"/>
      <c r="BZ3962" s="5"/>
      <c r="CA3962" s="5"/>
    </row>
    <row r="3963" spans="1:79" ht="15" customHeight="1">
      <c r="A3963" s="404" t="s">
        <v>4668</v>
      </c>
      <c r="B3963" s="402" t="s">
        <v>6378</v>
      </c>
      <c r="C3963" s="113" t="s">
        <v>6379</v>
      </c>
      <c r="D3963" s="393" t="s">
        <v>406</v>
      </c>
      <c r="E3963" s="394" t="s">
        <v>5344</v>
      </c>
      <c r="F3963" s="402" t="s">
        <v>6380</v>
      </c>
      <c r="G3963" s="405" t="s">
        <v>6381</v>
      </c>
      <c r="H3963" s="74">
        <v>3324</v>
      </c>
      <c r="I3963" s="50" t="s">
        <v>2</v>
      </c>
      <c r="J3963" s="339" t="s">
        <v>3648</v>
      </c>
      <c r="K3963" s="51">
        <v>41520</v>
      </c>
      <c r="L3963" s="173">
        <v>41512</v>
      </c>
      <c r="M3963" s="50">
        <f t="shared" si="239"/>
        <v>8</v>
      </c>
      <c r="N3963" s="50" t="s">
        <v>2</v>
      </c>
      <c r="O3963" s="74">
        <f>1/2</f>
        <v>0.5</v>
      </c>
      <c r="P3963" s="50">
        <v>6.39</v>
      </c>
      <c r="Q3963" s="74">
        <v>6.39</v>
      </c>
      <c r="R3963" s="50">
        <f>1/2</f>
        <v>0.5</v>
      </c>
      <c r="S3963" s="74">
        <v>8</v>
      </c>
      <c r="T3963" s="50">
        <v>0.15</v>
      </c>
      <c r="U3963" s="131">
        <v>1.38</v>
      </c>
      <c r="V3963" s="50">
        <v>1.02</v>
      </c>
      <c r="W3963" s="74">
        <v>0.01</v>
      </c>
      <c r="X3963" s="50">
        <v>7.5999999999999998E-2</v>
      </c>
      <c r="Y3963" s="74">
        <v>3.0000000000000001E-3</v>
      </c>
      <c r="Z3963" s="165">
        <v>1</v>
      </c>
      <c r="AA3963" s="271">
        <v>0.77100000000000002</v>
      </c>
      <c r="AB3963" s="114">
        <v>3.36</v>
      </c>
      <c r="AC3963" s="50">
        <v>24</v>
      </c>
      <c r="AD3963" s="271">
        <v>0.2</v>
      </c>
    </row>
    <row r="3964" spans="1:79" ht="15" customHeight="1">
      <c r="A3964" s="404" t="s">
        <v>4668</v>
      </c>
      <c r="B3964" s="402" t="s">
        <v>4994</v>
      </c>
      <c r="C3964" s="113" t="s">
        <v>1945</v>
      </c>
      <c r="D3964" s="393" t="s">
        <v>372</v>
      </c>
      <c r="E3964" s="394" t="s">
        <v>1946</v>
      </c>
      <c r="F3964" s="402">
        <v>6914</v>
      </c>
      <c r="G3964" s="405" t="s">
        <v>1947</v>
      </c>
      <c r="H3964" s="74">
        <v>3465</v>
      </c>
      <c r="J3964" s="339" t="s">
        <v>5757</v>
      </c>
      <c r="K3964" s="51">
        <v>41529</v>
      </c>
      <c r="L3964" s="173">
        <v>41520</v>
      </c>
      <c r="M3964" s="50">
        <f t="shared" si="239"/>
        <v>9</v>
      </c>
      <c r="N3964" s="50" t="s">
        <v>2</v>
      </c>
      <c r="O3964" s="74">
        <f>1.4/2</f>
        <v>0.7</v>
      </c>
      <c r="P3964" s="50">
        <v>4.5599999999999996</v>
      </c>
      <c r="Q3964" s="74">
        <v>6.08</v>
      </c>
      <c r="R3964" s="50">
        <v>36</v>
      </c>
      <c r="S3964" s="74">
        <v>16</v>
      </c>
      <c r="T3964" s="50">
        <v>0.1</v>
      </c>
      <c r="U3964" s="131">
        <v>1.68</v>
      </c>
      <c r="V3964" s="50">
        <v>1.1200000000000001</v>
      </c>
      <c r="W3964" s="74">
        <v>1.7000000000000001E-2</v>
      </c>
      <c r="X3964" s="50">
        <v>0.17299999999999999</v>
      </c>
      <c r="Y3964" s="74">
        <v>0.03</v>
      </c>
      <c r="Z3964" s="165">
        <v>1</v>
      </c>
      <c r="AA3964" s="271">
        <v>0.752</v>
      </c>
      <c r="AB3964" s="114">
        <v>4</v>
      </c>
      <c r="AC3964" s="50">
        <v>30</v>
      </c>
      <c r="AD3964" s="271">
        <v>0.15</v>
      </c>
    </row>
    <row r="3965" spans="1:79" ht="15" customHeight="1">
      <c r="A3965" s="404" t="s">
        <v>4668</v>
      </c>
      <c r="B3965" s="402" t="s">
        <v>4994</v>
      </c>
      <c r="C3965" s="113" t="s">
        <v>1945</v>
      </c>
      <c r="D3965" s="393" t="s">
        <v>372</v>
      </c>
      <c r="E3965" s="394" t="s">
        <v>1946</v>
      </c>
      <c r="F3965" s="402">
        <v>6914</v>
      </c>
      <c r="G3965" s="405" t="s">
        <v>1947</v>
      </c>
      <c r="H3965" s="74">
        <v>3465</v>
      </c>
      <c r="J3965" s="339" t="s">
        <v>1434</v>
      </c>
      <c r="K3965" s="51">
        <v>41529</v>
      </c>
      <c r="L3965" s="173">
        <v>41520</v>
      </c>
      <c r="M3965" s="50">
        <f t="shared" si="239"/>
        <v>9</v>
      </c>
      <c r="N3965" s="50" t="s">
        <v>2</v>
      </c>
      <c r="O3965" s="74">
        <f>1.4/2</f>
        <v>0.7</v>
      </c>
      <c r="P3965" s="50">
        <v>4.5599999999999996</v>
      </c>
      <c r="Q3965" s="74">
        <v>5.51</v>
      </c>
      <c r="R3965" s="50">
        <v>58</v>
      </c>
      <c r="S3965" s="74">
        <f>5/2</f>
        <v>2.5</v>
      </c>
      <c r="T3965" s="50">
        <v>0.08</v>
      </c>
      <c r="U3965" s="131">
        <v>2.82</v>
      </c>
      <c r="V3965" s="50">
        <v>1.1200000000000001</v>
      </c>
      <c r="W3965" s="74">
        <v>1.6E-2</v>
      </c>
      <c r="X3965" s="50">
        <v>0.61899999999999999</v>
      </c>
      <c r="Y3965" s="74">
        <v>3.0000000000000001E-3</v>
      </c>
      <c r="Z3965" s="165">
        <v>0.68</v>
      </c>
      <c r="AA3965" s="271">
        <v>0.40799999999999997</v>
      </c>
      <c r="AB3965" s="114">
        <v>6</v>
      </c>
      <c r="AC3965" s="50">
        <v>36</v>
      </c>
      <c r="AD3965" s="271">
        <v>0</v>
      </c>
    </row>
    <row r="3966" spans="1:79" ht="15" customHeight="1">
      <c r="A3966" s="404" t="s">
        <v>4668</v>
      </c>
      <c r="B3966" s="402" t="s">
        <v>1985</v>
      </c>
      <c r="C3966" s="113" t="s">
        <v>1986</v>
      </c>
      <c r="D3966" s="393" t="s">
        <v>257</v>
      </c>
      <c r="E3966" s="394" t="s">
        <v>252</v>
      </c>
      <c r="F3966" s="402">
        <v>4402</v>
      </c>
      <c r="G3966" s="405" t="s">
        <v>1987</v>
      </c>
      <c r="H3966" s="74">
        <v>3423</v>
      </c>
      <c r="I3966" s="50" t="s">
        <v>1</v>
      </c>
      <c r="J3966" s="339" t="s">
        <v>669</v>
      </c>
      <c r="K3966" s="51">
        <v>41529</v>
      </c>
      <c r="L3966" s="173">
        <v>41512</v>
      </c>
      <c r="M3966" s="50">
        <f t="shared" si="239"/>
        <v>17</v>
      </c>
      <c r="N3966" s="50" t="s">
        <v>2</v>
      </c>
      <c r="O3966" s="74">
        <f>1.8/2</f>
        <v>0.9</v>
      </c>
      <c r="P3966" s="50">
        <v>4.8</v>
      </c>
      <c r="Q3966" s="74">
        <v>6.3</v>
      </c>
      <c r="R3966" s="50">
        <v>91</v>
      </c>
      <c r="S3966" s="74">
        <v>95.3</v>
      </c>
      <c r="T3966" s="50">
        <v>0.18099999999999999</v>
      </c>
      <c r="U3966" s="131">
        <v>2.8</v>
      </c>
      <c r="V3966" s="50">
        <v>0.71</v>
      </c>
      <c r="W3966" s="74">
        <v>4.1000000000000002E-2</v>
      </c>
      <c r="X3966" s="50">
        <v>0.308</v>
      </c>
      <c r="Y3966" s="74">
        <v>2.7799999999999998E-2</v>
      </c>
      <c r="Z3966" s="165">
        <v>1</v>
      </c>
      <c r="AA3966" s="271">
        <v>1</v>
      </c>
      <c r="AB3966" s="114">
        <v>8</v>
      </c>
      <c r="AC3966" s="50">
        <v>22</v>
      </c>
      <c r="AD3966" s="271">
        <v>0.25</v>
      </c>
      <c r="AE3966" s="50">
        <v>250</v>
      </c>
    </row>
    <row r="3967" spans="1:79" ht="15" customHeight="1">
      <c r="A3967" s="404" t="s">
        <v>4668</v>
      </c>
      <c r="B3967" s="402" t="s">
        <v>1985</v>
      </c>
      <c r="C3967" s="113" t="s">
        <v>1986</v>
      </c>
      <c r="D3967" s="393" t="s">
        <v>257</v>
      </c>
      <c r="E3967" s="394" t="s">
        <v>252</v>
      </c>
      <c r="F3967" s="402">
        <v>4402</v>
      </c>
      <c r="G3967" s="405" t="s">
        <v>1987</v>
      </c>
      <c r="H3967" s="74">
        <v>3423</v>
      </c>
      <c r="I3967" s="50" t="s">
        <v>1</v>
      </c>
      <c r="J3967" s="339" t="s">
        <v>1988</v>
      </c>
      <c r="K3967" s="51">
        <v>41529</v>
      </c>
      <c r="L3967" s="173">
        <v>41512</v>
      </c>
      <c r="M3967" s="50">
        <f t="shared" si="239"/>
        <v>17</v>
      </c>
      <c r="N3967" s="50" t="s">
        <v>2</v>
      </c>
      <c r="O3967" s="74">
        <f>1.8/2</f>
        <v>0.9</v>
      </c>
      <c r="P3967" s="50">
        <v>4.8</v>
      </c>
      <c r="Q3967" s="74">
        <v>6.1</v>
      </c>
      <c r="R3967" s="50">
        <v>82</v>
      </c>
      <c r="S3967" s="74">
        <v>115</v>
      </c>
      <c r="T3967" s="50">
        <v>0.2</v>
      </c>
      <c r="U3967" s="131">
        <v>2.8</v>
      </c>
      <c r="V3967" s="50">
        <v>1</v>
      </c>
      <c r="W3967" s="74">
        <v>2.1000000000000001E-2</v>
      </c>
      <c r="X3967" s="50">
        <v>0.18</v>
      </c>
      <c r="Y3967" s="74">
        <v>6.2300000000000001E-2</v>
      </c>
      <c r="Z3967" s="165">
        <v>1</v>
      </c>
      <c r="AA3967" s="271">
        <v>1</v>
      </c>
      <c r="AB3967" s="114">
        <v>6</v>
      </c>
      <c r="AC3967" s="50">
        <v>38</v>
      </c>
      <c r="AD3967" s="271">
        <v>1</v>
      </c>
      <c r="AE3967" s="50">
        <v>730</v>
      </c>
    </row>
    <row r="3968" spans="1:79" ht="15" customHeight="1">
      <c r="A3968" s="404" t="s">
        <v>4668</v>
      </c>
      <c r="B3968" s="402" t="s">
        <v>1252</v>
      </c>
      <c r="C3968" s="113" t="s">
        <v>1253</v>
      </c>
      <c r="D3968" s="393" t="s">
        <v>192</v>
      </c>
      <c r="E3968" s="394" t="s">
        <v>1254</v>
      </c>
      <c r="F3968" s="402">
        <v>4000</v>
      </c>
      <c r="G3968" s="405" t="s">
        <v>1255</v>
      </c>
      <c r="H3968" s="74">
        <v>2621</v>
      </c>
      <c r="I3968" s="50" t="s">
        <v>1</v>
      </c>
      <c r="J3968" s="339" t="s">
        <v>1259</v>
      </c>
      <c r="K3968" s="51">
        <v>41529</v>
      </c>
      <c r="L3968" s="173">
        <v>41519</v>
      </c>
      <c r="M3968" s="50">
        <f t="shared" si="239"/>
        <v>10</v>
      </c>
      <c r="N3968" s="50" t="s">
        <v>2</v>
      </c>
      <c r="O3968" s="74">
        <f>1.4/2</f>
        <v>0.7</v>
      </c>
      <c r="P3968" s="50">
        <v>4.54</v>
      </c>
      <c r="Q3968" s="74">
        <v>6.47</v>
      </c>
      <c r="R3968" s="50">
        <v>45</v>
      </c>
      <c r="S3968" s="74">
        <v>57</v>
      </c>
      <c r="T3968" s="50">
        <v>0.19</v>
      </c>
      <c r="U3968" s="131">
        <v>3.06</v>
      </c>
      <c r="V3968" s="50">
        <v>1.08</v>
      </c>
      <c r="W3968" s="74">
        <v>4.4999999999999998E-2</v>
      </c>
      <c r="X3968" s="50">
        <v>0.502</v>
      </c>
      <c r="Y3968" s="74">
        <v>1.7999999999999999E-2</v>
      </c>
      <c r="Z3968" s="165">
        <v>1</v>
      </c>
      <c r="AA3968" s="271">
        <v>1</v>
      </c>
      <c r="AB3968" s="114">
        <v>20</v>
      </c>
      <c r="AC3968" s="50">
        <v>146</v>
      </c>
      <c r="AD3968" s="271">
        <v>1</v>
      </c>
    </row>
    <row r="3969" spans="1:79" ht="15" customHeight="1">
      <c r="A3969" s="404" t="s">
        <v>4668</v>
      </c>
      <c r="B3969" s="402" t="s">
        <v>1252</v>
      </c>
      <c r="C3969" s="113" t="s">
        <v>1253</v>
      </c>
      <c r="D3969" s="393" t="s">
        <v>192</v>
      </c>
      <c r="E3969" s="394" t="s">
        <v>1254</v>
      </c>
      <c r="F3969" s="402">
        <v>4000</v>
      </c>
      <c r="G3969" s="405" t="s">
        <v>1255</v>
      </c>
      <c r="H3969" s="74">
        <v>2621</v>
      </c>
      <c r="I3969" s="50" t="s">
        <v>1</v>
      </c>
      <c r="J3969" s="339" t="s">
        <v>1263</v>
      </c>
      <c r="K3969" s="51">
        <v>41529</v>
      </c>
      <c r="L3969" s="173">
        <v>41519</v>
      </c>
      <c r="M3969" s="50">
        <f t="shared" si="239"/>
        <v>10</v>
      </c>
      <c r="N3969" s="50" t="s">
        <v>2</v>
      </c>
      <c r="O3969" s="74">
        <f>1.4/2</f>
        <v>0.7</v>
      </c>
      <c r="P3969" s="50">
        <v>4.54</v>
      </c>
      <c r="Q3969" s="74">
        <v>4.76</v>
      </c>
      <c r="R3969" s="50">
        <f>10/2</f>
        <v>5</v>
      </c>
      <c r="S3969" s="74">
        <v>6</v>
      </c>
      <c r="T3969" s="50">
        <v>0.06</v>
      </c>
      <c r="U3969" s="131">
        <v>1.99</v>
      </c>
      <c r="V3969" s="50">
        <v>2.33</v>
      </c>
      <c r="W3969" s="74">
        <v>0.14899999999999999</v>
      </c>
      <c r="X3969" s="50">
        <v>0.20200000000000001</v>
      </c>
      <c r="Y3969" s="74">
        <v>0.02</v>
      </c>
      <c r="Z3969" s="165">
        <v>6.25E-2</v>
      </c>
      <c r="AA3969" s="271">
        <v>6.25E-2</v>
      </c>
      <c r="AB3969" s="114">
        <v>4</v>
      </c>
      <c r="AC3969" s="50">
        <v>30</v>
      </c>
      <c r="AD3969" s="271">
        <v>0</v>
      </c>
    </row>
    <row r="3970" spans="1:79" ht="15" customHeight="1">
      <c r="A3970" s="404" t="s">
        <v>4668</v>
      </c>
      <c r="B3970" s="402" t="s">
        <v>1252</v>
      </c>
      <c r="C3970" s="113" t="s">
        <v>1253</v>
      </c>
      <c r="D3970" s="393" t="s">
        <v>192</v>
      </c>
      <c r="E3970" s="394" t="s">
        <v>1254</v>
      </c>
      <c r="F3970" s="402">
        <v>4000</v>
      </c>
      <c r="G3970" s="405" t="s">
        <v>1255</v>
      </c>
      <c r="H3970" s="74">
        <v>2621</v>
      </c>
      <c r="I3970" s="50" t="s">
        <v>1</v>
      </c>
      <c r="J3970" s="339" t="s">
        <v>1260</v>
      </c>
      <c r="K3970" s="51">
        <v>41529</v>
      </c>
      <c r="L3970" s="173">
        <v>41519</v>
      </c>
      <c r="M3970" s="50">
        <f t="shared" si="239"/>
        <v>10</v>
      </c>
      <c r="N3970" s="50" t="s">
        <v>2</v>
      </c>
      <c r="O3970" s="74">
        <f>1.4/2</f>
        <v>0.7</v>
      </c>
      <c r="P3970" s="50">
        <v>4.54</v>
      </c>
      <c r="Q3970" s="74">
        <v>7.06</v>
      </c>
      <c r="R3970" s="50">
        <v>30</v>
      </c>
      <c r="S3970" s="74">
        <v>9</v>
      </c>
      <c r="T3970" s="50">
        <v>0.12</v>
      </c>
      <c r="U3970" s="131">
        <v>6.5</v>
      </c>
      <c r="V3970" s="50">
        <v>1.31</v>
      </c>
      <c r="W3970" s="74">
        <v>5.5E-2</v>
      </c>
      <c r="X3970" s="50">
        <v>0.32400000000000001</v>
      </c>
      <c r="Y3970" s="74">
        <v>3.0000000000000001E-3</v>
      </c>
      <c r="Z3970" s="165">
        <v>1</v>
      </c>
      <c r="AA3970" s="271">
        <v>1</v>
      </c>
      <c r="AB3970" s="114">
        <v>40</v>
      </c>
      <c r="AC3970" s="50">
        <v>1521</v>
      </c>
      <c r="AD3970" s="271">
        <v>1</v>
      </c>
    </row>
    <row r="3971" spans="1:79" ht="15" customHeight="1">
      <c r="A3971" s="404" t="s">
        <v>4668</v>
      </c>
      <c r="B3971" s="402" t="s">
        <v>1252</v>
      </c>
      <c r="C3971" s="113" t="s">
        <v>1253</v>
      </c>
      <c r="D3971" s="393" t="s">
        <v>192</v>
      </c>
      <c r="E3971" s="394" t="s">
        <v>1254</v>
      </c>
      <c r="F3971" s="402">
        <v>4000</v>
      </c>
      <c r="G3971" s="405" t="s">
        <v>1255</v>
      </c>
      <c r="H3971" s="74">
        <v>2621</v>
      </c>
      <c r="I3971" s="50" t="s">
        <v>1</v>
      </c>
      <c r="J3971" s="339" t="s">
        <v>1256</v>
      </c>
      <c r="K3971" s="51">
        <v>41529</v>
      </c>
      <c r="L3971" s="173">
        <v>41519</v>
      </c>
      <c r="M3971" s="50">
        <f t="shared" si="239"/>
        <v>10</v>
      </c>
      <c r="N3971" s="50" t="s">
        <v>2</v>
      </c>
      <c r="O3971" s="74">
        <f>1.4/2</f>
        <v>0.7</v>
      </c>
      <c r="P3971" s="50">
        <v>4.54</v>
      </c>
      <c r="Q3971" s="74">
        <v>6.89</v>
      </c>
      <c r="R3971" s="50">
        <v>56</v>
      </c>
      <c r="S3971" s="74">
        <v>29</v>
      </c>
      <c r="T3971" s="50">
        <v>0.86</v>
      </c>
      <c r="U3971" s="131">
        <v>5.48</v>
      </c>
      <c r="V3971" s="50">
        <v>1.38</v>
      </c>
      <c r="W3971" s="74">
        <v>0.04</v>
      </c>
      <c r="X3971" s="50">
        <v>0.23499999999999999</v>
      </c>
      <c r="Y3971" s="74">
        <v>3.0000000000000001E-3</v>
      </c>
      <c r="Z3971" s="165">
        <v>1</v>
      </c>
      <c r="AA3971" s="271">
        <v>1</v>
      </c>
      <c r="AB3971" s="114">
        <v>16</v>
      </c>
      <c r="AC3971" s="50">
        <v>146</v>
      </c>
      <c r="AD3971" s="271">
        <v>1</v>
      </c>
    </row>
    <row r="3972" spans="1:79" ht="15" customHeight="1">
      <c r="A3972" s="404" t="s">
        <v>4668</v>
      </c>
      <c r="B3972" s="402" t="s">
        <v>1252</v>
      </c>
      <c r="C3972" s="113" t="s">
        <v>1253</v>
      </c>
      <c r="D3972" s="393" t="s">
        <v>192</v>
      </c>
      <c r="E3972" s="394" t="s">
        <v>1254</v>
      </c>
      <c r="F3972" s="402">
        <v>4000</v>
      </c>
      <c r="G3972" s="405" t="s">
        <v>1255</v>
      </c>
      <c r="H3972" s="74">
        <v>2621</v>
      </c>
      <c r="I3972" s="50" t="s">
        <v>1</v>
      </c>
      <c r="J3972" s="339" t="s">
        <v>1262</v>
      </c>
      <c r="K3972" s="51">
        <v>41529</v>
      </c>
      <c r="L3972" s="173">
        <v>41519</v>
      </c>
      <c r="M3972" s="50">
        <f t="shared" si="239"/>
        <v>10</v>
      </c>
      <c r="N3972" s="50" t="s">
        <v>2</v>
      </c>
      <c r="O3972" s="74">
        <v>5.0999999999999996</v>
      </c>
      <c r="P3972" s="50">
        <v>4.5599999999999996</v>
      </c>
      <c r="Q3972" s="74">
        <v>7.28</v>
      </c>
      <c r="R3972" s="50">
        <f>10/2</f>
        <v>5</v>
      </c>
      <c r="S3972" s="74">
        <v>5.5</v>
      </c>
      <c r="T3972" s="50">
        <v>7.0000000000000007E-2</v>
      </c>
      <c r="U3972" s="131">
        <v>0.83</v>
      </c>
      <c r="V3972" s="50">
        <v>1.94</v>
      </c>
      <c r="W3972" s="74">
        <v>6.8000000000000005E-2</v>
      </c>
      <c r="X3972" s="50">
        <v>0.216</v>
      </c>
      <c r="Y3972" s="74">
        <f>0.002/2</f>
        <v>1E-3</v>
      </c>
      <c r="Z3972" s="165">
        <v>1</v>
      </c>
      <c r="AA3972" s="271">
        <v>1</v>
      </c>
      <c r="AB3972" s="114">
        <v>38</v>
      </c>
      <c r="AC3972" s="50">
        <v>219</v>
      </c>
      <c r="AD3972" s="271">
        <v>1</v>
      </c>
    </row>
    <row r="3973" spans="1:79" ht="15" customHeight="1">
      <c r="A3973" s="404" t="s">
        <v>4668</v>
      </c>
      <c r="B3973" s="402" t="s">
        <v>1252</v>
      </c>
      <c r="C3973" s="113" t="s">
        <v>1253</v>
      </c>
      <c r="D3973" s="393" t="s">
        <v>192</v>
      </c>
      <c r="E3973" s="394" t="s">
        <v>1254</v>
      </c>
      <c r="F3973" s="402">
        <v>4000</v>
      </c>
      <c r="G3973" s="405" t="s">
        <v>1255</v>
      </c>
      <c r="H3973" s="74">
        <v>2621</v>
      </c>
      <c r="I3973" s="50" t="s">
        <v>1</v>
      </c>
      <c r="J3973" s="339" t="s">
        <v>1257</v>
      </c>
      <c r="K3973" s="51">
        <v>41529</v>
      </c>
      <c r="L3973" s="173">
        <v>41519</v>
      </c>
      <c r="M3973" s="50">
        <f t="shared" si="239"/>
        <v>10</v>
      </c>
      <c r="N3973" s="50" t="s">
        <v>2</v>
      </c>
      <c r="O3973" s="74">
        <f>1.4/2</f>
        <v>0.7</v>
      </c>
      <c r="P3973" s="50">
        <v>4.54</v>
      </c>
      <c r="Q3973" s="74">
        <v>7.19</v>
      </c>
      <c r="R3973" s="50">
        <v>77</v>
      </c>
      <c r="S3973" s="74">
        <v>100</v>
      </c>
      <c r="T3973" s="50">
        <v>0.24</v>
      </c>
      <c r="U3973" s="131">
        <v>2.66</v>
      </c>
      <c r="V3973" s="50">
        <v>1</v>
      </c>
      <c r="W3973" s="74">
        <v>3.5000000000000003E-2</v>
      </c>
      <c r="X3973" s="50">
        <v>0.55600000000000005</v>
      </c>
      <c r="Y3973" s="74">
        <v>1.7999999999999999E-2</v>
      </c>
      <c r="Z3973" s="165">
        <v>1</v>
      </c>
      <c r="AA3973" s="271">
        <v>1</v>
      </c>
      <c r="AB3973" s="114">
        <v>18</v>
      </c>
      <c r="AC3973" s="50">
        <v>244</v>
      </c>
      <c r="AD3973" s="271">
        <v>1</v>
      </c>
    </row>
    <row r="3974" spans="1:79" ht="15" customHeight="1">
      <c r="A3974" s="404" t="s">
        <v>4668</v>
      </c>
      <c r="B3974" s="402" t="s">
        <v>1252</v>
      </c>
      <c r="C3974" s="113" t="s">
        <v>1253</v>
      </c>
      <c r="D3974" s="393" t="s">
        <v>192</v>
      </c>
      <c r="E3974" s="394" t="s">
        <v>1254</v>
      </c>
      <c r="F3974" s="402">
        <v>4000</v>
      </c>
      <c r="G3974" s="405" t="s">
        <v>1255</v>
      </c>
      <c r="H3974" s="74">
        <v>2621</v>
      </c>
      <c r="I3974" s="50" t="s">
        <v>1</v>
      </c>
      <c r="J3974" s="339" t="s">
        <v>1258</v>
      </c>
      <c r="K3974" s="51">
        <v>41529</v>
      </c>
      <c r="L3974" s="173">
        <v>41519</v>
      </c>
      <c r="M3974" s="50">
        <f t="shared" si="239"/>
        <v>10</v>
      </c>
      <c r="N3974" s="50" t="s">
        <v>2</v>
      </c>
      <c r="O3974" s="74">
        <v>1.6</v>
      </c>
      <c r="P3974" s="50">
        <v>4.54</v>
      </c>
      <c r="Q3974" s="74">
        <v>6.76</v>
      </c>
      <c r="R3974" s="50">
        <v>73</v>
      </c>
      <c r="S3974" s="74">
        <v>42</v>
      </c>
      <c r="T3974" s="50">
        <v>0.12</v>
      </c>
      <c r="U3974" s="131">
        <v>1.85</v>
      </c>
      <c r="V3974" s="50">
        <v>1.1299999999999999</v>
      </c>
      <c r="W3974" s="74">
        <v>2.4E-2</v>
      </c>
      <c r="X3974" s="50">
        <v>9.6000000000000002E-2</v>
      </c>
      <c r="Y3974" s="74">
        <v>1.2E-2</v>
      </c>
      <c r="Z3974" s="165">
        <v>1</v>
      </c>
      <c r="AA3974" s="271">
        <v>1</v>
      </c>
      <c r="AB3974" s="114">
        <v>12</v>
      </c>
      <c r="AC3974" s="50">
        <v>67</v>
      </c>
      <c r="AD3974" s="271">
        <v>1</v>
      </c>
    </row>
    <row r="3975" spans="1:79" ht="15" customHeight="1">
      <c r="A3975" s="404" t="s">
        <v>4668</v>
      </c>
      <c r="B3975" s="402" t="s">
        <v>1252</v>
      </c>
      <c r="C3975" s="113" t="s">
        <v>1253</v>
      </c>
      <c r="D3975" s="393" t="s">
        <v>192</v>
      </c>
      <c r="E3975" s="394" t="s">
        <v>1254</v>
      </c>
      <c r="F3975" s="402">
        <v>4000</v>
      </c>
      <c r="G3975" s="405" t="s">
        <v>1255</v>
      </c>
      <c r="H3975" s="74">
        <v>2621</v>
      </c>
      <c r="I3975" s="50" t="s">
        <v>1</v>
      </c>
      <c r="J3975" s="339" t="s">
        <v>1261</v>
      </c>
      <c r="K3975" s="51">
        <v>41529</v>
      </c>
      <c r="L3975" s="173">
        <v>41519</v>
      </c>
      <c r="M3975" s="50">
        <f t="shared" si="239"/>
        <v>10</v>
      </c>
      <c r="N3975" s="50" t="s">
        <v>2</v>
      </c>
      <c r="O3975" s="74">
        <v>2.2999999999999998</v>
      </c>
      <c r="P3975" s="50">
        <v>4.54</v>
      </c>
      <c r="Q3975" s="74">
        <v>6.64</v>
      </c>
      <c r="R3975" s="50">
        <v>67</v>
      </c>
      <c r="S3975" s="74">
        <v>290</v>
      </c>
      <c r="T3975" s="50">
        <v>0.25</v>
      </c>
      <c r="U3975" s="131">
        <v>4.32</v>
      </c>
      <c r="V3975" s="50">
        <v>1.91</v>
      </c>
      <c r="W3975" s="74">
        <v>3.5999999999999997E-2</v>
      </c>
      <c r="X3975" s="50">
        <v>1.2</v>
      </c>
      <c r="Y3975" s="74">
        <v>2.3E-2</v>
      </c>
      <c r="Z3975" s="165">
        <v>1</v>
      </c>
      <c r="AA3975" s="271">
        <v>0.45100000000000001</v>
      </c>
      <c r="AB3975" s="114">
        <v>20</v>
      </c>
      <c r="AC3975" s="50">
        <v>138</v>
      </c>
      <c r="AD3975" s="271">
        <v>0</v>
      </c>
    </row>
    <row r="3976" spans="1:79" ht="15" customHeight="1">
      <c r="A3976" s="404" t="s">
        <v>4668</v>
      </c>
      <c r="B3976" s="402" t="s">
        <v>2488</v>
      </c>
      <c r="C3976" s="113" t="s">
        <v>2488</v>
      </c>
      <c r="D3976" s="393" t="s">
        <v>338</v>
      </c>
      <c r="E3976" s="394" t="s">
        <v>1670</v>
      </c>
      <c r="F3976" s="402" t="s">
        <v>6382</v>
      </c>
      <c r="G3976" s="405" t="s">
        <v>1671</v>
      </c>
      <c r="H3976" s="113">
        <v>3471</v>
      </c>
      <c r="I3976" s="49" t="s">
        <v>1</v>
      </c>
      <c r="J3976" s="48" t="s">
        <v>272</v>
      </c>
      <c r="K3976" s="51">
        <v>41527</v>
      </c>
      <c r="L3976" s="173">
        <v>41518</v>
      </c>
      <c r="M3976" s="50">
        <f t="shared" si="239"/>
        <v>9</v>
      </c>
      <c r="N3976" s="50" t="s">
        <v>2</v>
      </c>
      <c r="O3976" s="74">
        <f>1/2</f>
        <v>0.5</v>
      </c>
      <c r="P3976" s="50">
        <v>6.38</v>
      </c>
      <c r="Q3976" s="74">
        <v>6.21</v>
      </c>
      <c r="R3976" s="50">
        <v>35</v>
      </c>
      <c r="S3976" s="74">
        <v>20</v>
      </c>
      <c r="T3976" s="50">
        <v>0.38</v>
      </c>
      <c r="U3976" s="131">
        <v>5.0599999999999996</v>
      </c>
      <c r="V3976" s="50">
        <v>0.97</v>
      </c>
      <c r="W3976" s="74">
        <v>7.0000000000000007E-2</v>
      </c>
      <c r="X3976" s="50">
        <v>0.12</v>
      </c>
      <c r="Y3976" s="74">
        <f>0.05/2</f>
        <v>2.5000000000000001E-2</v>
      </c>
      <c r="Z3976" s="165">
        <v>1</v>
      </c>
      <c r="AA3976" s="271">
        <v>1</v>
      </c>
      <c r="AB3976" s="114">
        <v>50</v>
      </c>
      <c r="AC3976" s="50">
        <v>281</v>
      </c>
      <c r="AD3976" s="271">
        <v>1</v>
      </c>
      <c r="AE3976" s="50">
        <v>381</v>
      </c>
      <c r="AN3976" s="114">
        <v>1.02</v>
      </c>
    </row>
    <row r="3977" spans="1:79" ht="15" customHeight="1">
      <c r="A3977" s="404" t="s">
        <v>4668</v>
      </c>
      <c r="B3977" s="402" t="s">
        <v>2488</v>
      </c>
      <c r="C3977" s="113" t="s">
        <v>2488</v>
      </c>
      <c r="D3977" s="393" t="s">
        <v>338</v>
      </c>
      <c r="E3977" s="394" t="s">
        <v>1670</v>
      </c>
      <c r="F3977" s="402" t="s">
        <v>6382</v>
      </c>
      <c r="G3977" s="405" t="s">
        <v>1671</v>
      </c>
      <c r="H3977" s="113">
        <v>3471</v>
      </c>
      <c r="I3977" s="49" t="s">
        <v>1</v>
      </c>
      <c r="J3977" s="48" t="s">
        <v>271</v>
      </c>
      <c r="K3977" s="51">
        <v>41527</v>
      </c>
      <c r="L3977" s="173">
        <v>41518</v>
      </c>
      <c r="M3977" s="50">
        <f t="shared" si="239"/>
        <v>9</v>
      </c>
      <c r="N3977" s="50" t="s">
        <v>2</v>
      </c>
      <c r="O3977" s="74">
        <f>1/2</f>
        <v>0.5</v>
      </c>
      <c r="P3977" s="50">
        <v>6.8</v>
      </c>
      <c r="Q3977" s="74">
        <v>6.5</v>
      </c>
      <c r="R3977" s="50">
        <v>62</v>
      </c>
      <c r="S3977" s="74">
        <v>9</v>
      </c>
      <c r="T3977" s="50">
        <v>0.45</v>
      </c>
      <c r="U3977" s="131">
        <v>3.78</v>
      </c>
      <c r="V3977" s="50">
        <v>0.85</v>
      </c>
      <c r="W3977" s="74">
        <v>0.06</v>
      </c>
      <c r="X3977" s="50">
        <v>0.19</v>
      </c>
      <c r="Y3977" s="74">
        <f>0.05/2</f>
        <v>2.5000000000000001E-2</v>
      </c>
      <c r="Z3977" s="165">
        <v>1</v>
      </c>
      <c r="AA3977" s="271">
        <v>1</v>
      </c>
      <c r="AB3977" s="114">
        <v>89</v>
      </c>
      <c r="AC3977" s="50">
        <v>54</v>
      </c>
      <c r="AD3977" s="271">
        <v>1</v>
      </c>
      <c r="AE3977" s="50">
        <v>550</v>
      </c>
      <c r="AN3977" s="114">
        <v>0.32</v>
      </c>
    </row>
    <row r="3978" spans="1:79" ht="15" customHeight="1">
      <c r="A3978" s="404" t="s">
        <v>4668</v>
      </c>
      <c r="B3978" s="402" t="s">
        <v>3955</v>
      </c>
      <c r="C3978" s="113" t="s">
        <v>3956</v>
      </c>
      <c r="D3978" s="393" t="s">
        <v>684</v>
      </c>
      <c r="E3978" s="394" t="s">
        <v>322</v>
      </c>
      <c r="F3978" s="402" t="s">
        <v>6383</v>
      </c>
      <c r="G3978" s="405" t="s">
        <v>3954</v>
      </c>
      <c r="H3978" s="74">
        <v>3691</v>
      </c>
      <c r="I3978" s="50" t="s">
        <v>2</v>
      </c>
      <c r="J3978" s="339" t="s">
        <v>3957</v>
      </c>
      <c r="K3978" s="51">
        <v>41402</v>
      </c>
      <c r="L3978" s="173"/>
      <c r="N3978" s="50" t="s">
        <v>2</v>
      </c>
      <c r="O3978" s="74">
        <f>5/2</f>
        <v>2.5</v>
      </c>
      <c r="P3978" s="50">
        <v>4.91</v>
      </c>
      <c r="Q3978" s="74">
        <v>5.44</v>
      </c>
      <c r="R3978" s="50">
        <v>336</v>
      </c>
      <c r="S3978" s="74">
        <v>314</v>
      </c>
      <c r="T3978" s="50">
        <v>0.52</v>
      </c>
      <c r="U3978" s="131">
        <v>3.68</v>
      </c>
      <c r="V3978" s="50">
        <v>0.97</v>
      </c>
      <c r="W3978" s="74">
        <v>2.5999999999999999E-2</v>
      </c>
      <c r="X3978" s="50">
        <v>0.15</v>
      </c>
      <c r="Y3978" s="74">
        <v>4.2000000000000003E-2</v>
      </c>
      <c r="Z3978" s="165">
        <v>1</v>
      </c>
      <c r="AA3978" s="271">
        <v>1</v>
      </c>
      <c r="AB3978" s="114">
        <v>9.07</v>
      </c>
      <c r="AC3978" s="50">
        <v>50</v>
      </c>
      <c r="AD3978" s="271">
        <v>0.7</v>
      </c>
    </row>
    <row r="3979" spans="1:79" ht="15" customHeight="1">
      <c r="A3979" s="404" t="s">
        <v>4668</v>
      </c>
      <c r="B3979" s="402" t="s">
        <v>4028</v>
      </c>
      <c r="C3979" s="113" t="s">
        <v>4028</v>
      </c>
      <c r="D3979" s="377" t="s">
        <v>84</v>
      </c>
      <c r="E3979" s="394" t="s">
        <v>535</v>
      </c>
      <c r="G3979" s="405" t="s">
        <v>4029</v>
      </c>
      <c r="H3979" s="74">
        <v>2653</v>
      </c>
      <c r="J3979" s="339" t="s">
        <v>5785</v>
      </c>
      <c r="K3979" s="51">
        <v>41495</v>
      </c>
      <c r="L3979" s="173">
        <v>41490</v>
      </c>
      <c r="M3979" s="50">
        <f t="shared" si="239"/>
        <v>5</v>
      </c>
      <c r="N3979" s="50" t="s">
        <v>2</v>
      </c>
      <c r="O3979" s="74">
        <v>1.6</v>
      </c>
      <c r="P3979" s="50">
        <v>6.99</v>
      </c>
      <c r="Q3979" s="74">
        <v>7.1</v>
      </c>
      <c r="R3979" s="50">
        <v>26.9</v>
      </c>
      <c r="S3979" s="74">
        <v>25</v>
      </c>
      <c r="T3979" s="50">
        <v>0.12</v>
      </c>
      <c r="U3979" s="131">
        <v>1.02</v>
      </c>
      <c r="V3979" s="50">
        <v>0.76</v>
      </c>
      <c r="W3979" s="74">
        <f>0.01/2</f>
        <v>5.0000000000000001E-3</v>
      </c>
      <c r="X3979" s="50">
        <v>0.04</v>
      </c>
      <c r="Y3979" s="74">
        <f>0.02/2</f>
        <v>0.01</v>
      </c>
      <c r="Z3979" s="165"/>
    </row>
    <row r="3980" spans="1:79" ht="15" customHeight="1">
      <c r="A3980" s="404" t="s">
        <v>4668</v>
      </c>
      <c r="B3980" s="402" t="s">
        <v>1296</v>
      </c>
      <c r="C3980" s="113" t="s">
        <v>1296</v>
      </c>
      <c r="D3980" s="393" t="s">
        <v>89</v>
      </c>
      <c r="E3980" s="394" t="s">
        <v>535</v>
      </c>
      <c r="G3980" s="405" t="s">
        <v>5751</v>
      </c>
      <c r="H3980" s="74">
        <v>3562</v>
      </c>
      <c r="J3980" s="339"/>
      <c r="K3980" s="51">
        <v>41529</v>
      </c>
      <c r="L3980" s="173">
        <v>41512</v>
      </c>
      <c r="M3980" s="50">
        <f t="shared" si="239"/>
        <v>17</v>
      </c>
      <c r="N3980" s="50" t="s">
        <v>2</v>
      </c>
      <c r="O3980" s="74">
        <f>1.7/2</f>
        <v>0.85</v>
      </c>
      <c r="P3980" s="50">
        <v>4.8</v>
      </c>
      <c r="Q3980" s="74">
        <v>6.2</v>
      </c>
      <c r="R3980" s="50">
        <f>20/2</f>
        <v>10</v>
      </c>
      <c r="S3980" s="74">
        <v>5.8</v>
      </c>
      <c r="T3980" s="50">
        <v>3.5000000000000003E-2</v>
      </c>
      <c r="U3980" s="131">
        <v>1.4</v>
      </c>
      <c r="V3980" s="50">
        <f>0.46</f>
        <v>0.46</v>
      </c>
      <c r="W3980" s="74">
        <f>0.005/2</f>
        <v>2.5000000000000001E-3</v>
      </c>
      <c r="X3980" s="50">
        <v>3.3000000000000002E-2</v>
      </c>
      <c r="Y3980" s="74">
        <f>0.005/2</f>
        <v>2.5000000000000001E-3</v>
      </c>
      <c r="Z3980" s="165">
        <v>1</v>
      </c>
      <c r="AA3980" s="271">
        <v>1</v>
      </c>
      <c r="AB3980" s="114">
        <f>2/2</f>
        <v>1</v>
      </c>
      <c r="AC3980" s="50">
        <v>10</v>
      </c>
      <c r="AD3980" s="271">
        <v>0.95</v>
      </c>
    </row>
    <row r="3981" spans="1:79" ht="15" customHeight="1">
      <c r="A3981" s="404" t="s">
        <v>4668</v>
      </c>
      <c r="B3981" s="402" t="s">
        <v>3211</v>
      </c>
      <c r="C3981" s="113" t="s">
        <v>3211</v>
      </c>
      <c r="D3981" s="393" t="s">
        <v>234</v>
      </c>
      <c r="E3981" s="394" t="s">
        <v>235</v>
      </c>
      <c r="F3981" s="402">
        <v>6900</v>
      </c>
      <c r="G3981" s="405" t="s">
        <v>3212</v>
      </c>
      <c r="H3981" s="74">
        <v>3356</v>
      </c>
      <c r="J3981" s="339" t="s">
        <v>6384</v>
      </c>
      <c r="K3981" s="51">
        <v>41402</v>
      </c>
      <c r="L3981" s="173">
        <v>41387</v>
      </c>
      <c r="M3981" s="50">
        <f t="shared" si="239"/>
        <v>15</v>
      </c>
      <c r="N3981" s="50" t="s">
        <v>2</v>
      </c>
      <c r="O3981" s="74">
        <v>1.5</v>
      </c>
      <c r="P3981" s="50">
        <v>6.78</v>
      </c>
      <c r="Q3981" s="74">
        <v>6.88</v>
      </c>
      <c r="R3981" s="50">
        <v>124.8</v>
      </c>
      <c r="S3981" s="74">
        <v>110.5</v>
      </c>
      <c r="T3981" s="50">
        <v>0.51</v>
      </c>
      <c r="U3981" s="131">
        <v>8.44</v>
      </c>
      <c r="V3981" s="50">
        <v>0.48</v>
      </c>
      <c r="W3981" s="74">
        <v>0.15</v>
      </c>
      <c r="X3981" s="50">
        <v>0.46</v>
      </c>
      <c r="Y3981" s="74">
        <f>0.02/2</f>
        <v>0.01</v>
      </c>
      <c r="Z3981" s="165"/>
    </row>
    <row r="3982" spans="1:79" ht="15" customHeight="1">
      <c r="A3982" s="404" t="s">
        <v>4668</v>
      </c>
      <c r="B3982" s="402" t="s">
        <v>3211</v>
      </c>
      <c r="C3982" s="113" t="s">
        <v>3211</v>
      </c>
      <c r="D3982" s="393" t="s">
        <v>234</v>
      </c>
      <c r="E3982" s="394" t="s">
        <v>235</v>
      </c>
      <c r="F3982" s="402">
        <v>6900</v>
      </c>
      <c r="G3982" s="405" t="s">
        <v>3212</v>
      </c>
      <c r="H3982" s="74">
        <v>3356</v>
      </c>
      <c r="J3982" s="339" t="s">
        <v>6384</v>
      </c>
      <c r="K3982" s="51">
        <v>41432</v>
      </c>
      <c r="L3982" s="173">
        <v>41419</v>
      </c>
      <c r="M3982" s="50">
        <f t="shared" si="239"/>
        <v>13</v>
      </c>
      <c r="N3982" s="50" t="s">
        <v>2</v>
      </c>
      <c r="O3982" s="74">
        <f>1/2</f>
        <v>0.5</v>
      </c>
      <c r="P3982" s="50">
        <v>5.62</v>
      </c>
      <c r="Q3982" s="74">
        <v>4.92</v>
      </c>
      <c r="R3982" s="50">
        <v>17.2</v>
      </c>
      <c r="S3982" s="74">
        <f>1/2</f>
        <v>0.5</v>
      </c>
      <c r="T3982" s="50">
        <f>0.05/2</f>
        <v>2.5000000000000001E-2</v>
      </c>
      <c r="U3982" s="131">
        <v>0.36</v>
      </c>
      <c r="V3982" s="50">
        <f>0.2/2</f>
        <v>0.1</v>
      </c>
      <c r="W3982" s="74">
        <v>0.03</v>
      </c>
      <c r="X3982" s="50">
        <f>0.01/2</f>
        <v>5.0000000000000001E-3</v>
      </c>
      <c r="Y3982" s="74">
        <f>0.02/2</f>
        <v>0.01</v>
      </c>
      <c r="Z3982" s="165"/>
    </row>
    <row r="3983" spans="1:79" s="400" customFormat="1" ht="15" customHeight="1">
      <c r="A3983" s="41" t="s">
        <v>183</v>
      </c>
      <c r="B3983" s="402" t="s">
        <v>1381</v>
      </c>
      <c r="C3983" s="113" t="s">
        <v>1382</v>
      </c>
      <c r="D3983" s="393" t="s">
        <v>200</v>
      </c>
      <c r="E3983" s="394" t="s">
        <v>4782</v>
      </c>
      <c r="F3983" s="402">
        <v>5200</v>
      </c>
      <c r="G3983" s="405" t="s">
        <v>1384</v>
      </c>
      <c r="H3983" s="404">
        <v>3199</v>
      </c>
      <c r="I3983" s="402" t="s">
        <v>2</v>
      </c>
      <c r="J3983" s="406" t="s">
        <v>4783</v>
      </c>
      <c r="K3983" s="403">
        <v>41717</v>
      </c>
      <c r="L3983" s="398">
        <v>41710</v>
      </c>
      <c r="M3983" s="402">
        <f t="shared" si="239"/>
        <v>7</v>
      </c>
      <c r="N3983" s="402" t="s">
        <v>2</v>
      </c>
      <c r="O3983" s="404"/>
      <c r="P3983" s="402"/>
      <c r="Q3983" s="404"/>
      <c r="R3983" s="402"/>
      <c r="S3983" s="404"/>
      <c r="T3983" s="402"/>
      <c r="U3983" s="395"/>
      <c r="V3983" s="402">
        <v>1.76</v>
      </c>
      <c r="W3983" s="404"/>
      <c r="X3983" s="402"/>
      <c r="Y3983" s="404"/>
      <c r="Z3983" s="397"/>
      <c r="AA3983" s="399"/>
      <c r="AB3983" s="394"/>
      <c r="AC3983" s="402"/>
      <c r="AD3983" s="399"/>
      <c r="AE3983" s="402"/>
      <c r="AF3983" s="391"/>
      <c r="AG3983" s="394"/>
      <c r="AH3983" s="394"/>
      <c r="AI3983" s="394"/>
      <c r="AJ3983" s="394"/>
      <c r="AK3983" s="394"/>
      <c r="AL3983" s="394"/>
      <c r="AM3983" s="394"/>
      <c r="AN3983" s="394"/>
      <c r="AO3983" s="394"/>
      <c r="AP3983" s="394"/>
      <c r="AQ3983" s="394"/>
      <c r="AR3983" s="394"/>
      <c r="AS3983" s="402"/>
      <c r="AT3983" s="404"/>
      <c r="AU3983" s="394"/>
      <c r="AV3983" s="394"/>
      <c r="AW3983" s="394"/>
      <c r="AX3983" s="5"/>
      <c r="AY3983" s="5"/>
      <c r="AZ3983" s="5"/>
      <c r="BA3983" s="5"/>
      <c r="BB3983" s="5"/>
      <c r="BC3983" s="5"/>
      <c r="BD3983" s="5"/>
      <c r="BE3983" s="5"/>
      <c r="BF3983" s="5"/>
      <c r="BG3983" s="5"/>
      <c r="BH3983" s="5"/>
      <c r="BI3983" s="5"/>
      <c r="BJ3983" s="5"/>
      <c r="BK3983" s="5"/>
      <c r="BL3983" s="5"/>
      <c r="BM3983" s="5"/>
      <c r="BN3983" s="5"/>
      <c r="BO3983" s="5"/>
      <c r="BP3983" s="5"/>
      <c r="BQ3983" s="5"/>
      <c r="BR3983" s="5"/>
      <c r="BS3983" s="5"/>
      <c r="BT3983" s="5"/>
      <c r="BU3983" s="5"/>
      <c r="BV3983" s="5"/>
      <c r="BW3983" s="5"/>
      <c r="BX3983" s="5"/>
      <c r="BY3983" s="5"/>
      <c r="BZ3983" s="5"/>
      <c r="CA3983" s="5"/>
    </row>
    <row r="3984" spans="1:79" ht="15" customHeight="1">
      <c r="A3984" s="404" t="s">
        <v>4668</v>
      </c>
      <c r="B3984" s="385" t="s">
        <v>4410</v>
      </c>
      <c r="C3984" s="18" t="s">
        <v>4411</v>
      </c>
      <c r="D3984" s="377" t="s">
        <v>56</v>
      </c>
      <c r="E3984" s="20" t="s">
        <v>4412</v>
      </c>
      <c r="F3984" s="385"/>
      <c r="G3984" s="405" t="s">
        <v>4413</v>
      </c>
      <c r="H3984" s="74">
        <v>4173</v>
      </c>
      <c r="I3984" s="50" t="s">
        <v>2</v>
      </c>
      <c r="J3984" s="339" t="s">
        <v>5794</v>
      </c>
      <c r="K3984" s="51">
        <v>41729</v>
      </c>
      <c r="L3984" s="173">
        <v>41728</v>
      </c>
      <c r="M3984" s="50">
        <f t="shared" si="239"/>
        <v>1</v>
      </c>
      <c r="N3984" s="50" t="s">
        <v>2</v>
      </c>
      <c r="P3984" s="50">
        <v>6.47</v>
      </c>
      <c r="Q3984" s="74">
        <v>6.49</v>
      </c>
      <c r="X3984" s="50">
        <v>8.2000000000000003E-2</v>
      </c>
      <c r="Z3984" s="165">
        <v>1</v>
      </c>
      <c r="AA3984" s="271">
        <v>1</v>
      </c>
      <c r="AB3984" s="114">
        <v>1.7</v>
      </c>
      <c r="AC3984" s="50">
        <v>10</v>
      </c>
      <c r="AD3984" s="271">
        <v>0.65</v>
      </c>
    </row>
    <row r="3985" spans="1:31" ht="15" customHeight="1">
      <c r="A3985" s="404" t="s">
        <v>4668</v>
      </c>
      <c r="B3985" s="402" t="s">
        <v>5371</v>
      </c>
      <c r="C3985" s="113" t="s">
        <v>5371</v>
      </c>
      <c r="D3985" s="393" t="s">
        <v>234</v>
      </c>
      <c r="E3985" s="394" t="s">
        <v>235</v>
      </c>
      <c r="F3985" s="402">
        <v>6900</v>
      </c>
      <c r="G3985" s="405" t="s">
        <v>5372</v>
      </c>
      <c r="H3985" s="74">
        <v>3469</v>
      </c>
      <c r="I3985" s="50" t="s">
        <v>1</v>
      </c>
      <c r="J3985" s="339" t="s">
        <v>81</v>
      </c>
      <c r="K3985" s="51">
        <v>41579</v>
      </c>
      <c r="L3985" s="173">
        <v>41566</v>
      </c>
      <c r="M3985" s="50">
        <f t="shared" si="239"/>
        <v>13</v>
      </c>
      <c r="N3985" s="50" t="s">
        <v>2</v>
      </c>
      <c r="O3985" s="74">
        <v>1.6</v>
      </c>
      <c r="Q3985" s="74">
        <v>5.88</v>
      </c>
      <c r="R3985" s="50">
        <v>35.299999999999997</v>
      </c>
      <c r="S3985" s="74">
        <v>33</v>
      </c>
      <c r="T3985" s="50">
        <v>0.23</v>
      </c>
      <c r="U3985" s="131">
        <v>1.92</v>
      </c>
      <c r="V3985" s="50">
        <v>0.31</v>
      </c>
      <c r="W3985" s="74">
        <f>0.005/2</f>
        <v>2.5000000000000001E-3</v>
      </c>
      <c r="X3985" s="50">
        <v>3.3000000000000002E-2</v>
      </c>
      <c r="Y3985" s="74">
        <v>3.0000000000000001E-3</v>
      </c>
      <c r="Z3985" s="165"/>
    </row>
    <row r="3986" spans="1:31" ht="15" customHeight="1">
      <c r="A3986" s="404" t="s">
        <v>4668</v>
      </c>
      <c r="B3986" s="402" t="s">
        <v>5334</v>
      </c>
      <c r="C3986" s="113" t="s">
        <v>5334</v>
      </c>
      <c r="D3986" s="393" t="s">
        <v>213</v>
      </c>
      <c r="E3986" s="394" t="s">
        <v>5335</v>
      </c>
      <c r="F3986" s="402">
        <v>4315</v>
      </c>
      <c r="G3986" s="405" t="s">
        <v>5336</v>
      </c>
      <c r="H3986" s="74">
        <v>3564</v>
      </c>
      <c r="J3986" s="339" t="s">
        <v>6385</v>
      </c>
      <c r="K3986" s="51">
        <v>41044</v>
      </c>
      <c r="L3986" s="173">
        <v>41039</v>
      </c>
      <c r="M3986" s="50">
        <f t="shared" si="239"/>
        <v>5</v>
      </c>
      <c r="N3986" s="50" t="s">
        <v>2</v>
      </c>
      <c r="O3986" s="74">
        <v>1.8</v>
      </c>
      <c r="P3986" s="50">
        <v>5.91</v>
      </c>
      <c r="Q3986" s="74">
        <v>6.15</v>
      </c>
      <c r="R3986" s="50">
        <v>10.3</v>
      </c>
      <c r="S3986" s="74">
        <f>1/2</f>
        <v>0.5</v>
      </c>
      <c r="T3986" s="50">
        <v>0.18</v>
      </c>
      <c r="U3986" s="131">
        <v>1.53</v>
      </c>
      <c r="V3986" s="50">
        <v>1.1000000000000001</v>
      </c>
      <c r="W3986" s="74">
        <f>0.01/2</f>
        <v>5.0000000000000001E-3</v>
      </c>
      <c r="X3986" s="50">
        <v>1.1200000000000001</v>
      </c>
      <c r="Y3986" s="74">
        <f>0.02/2</f>
        <v>0.01</v>
      </c>
      <c r="Z3986" s="165">
        <v>0.64300000000000002</v>
      </c>
      <c r="AA3986" s="271">
        <v>0.14799999999999999</v>
      </c>
      <c r="AB3986" s="114">
        <f>1/2</f>
        <v>0.5</v>
      </c>
      <c r="AC3986" s="50">
        <v>15.5</v>
      </c>
      <c r="AD3986" s="271">
        <v>0</v>
      </c>
    </row>
    <row r="3987" spans="1:31" ht="15" customHeight="1">
      <c r="A3987" s="404" t="s">
        <v>4668</v>
      </c>
      <c r="B3987" s="402" t="s">
        <v>5334</v>
      </c>
      <c r="C3987" s="113" t="s">
        <v>5334</v>
      </c>
      <c r="D3987" s="393" t="s">
        <v>213</v>
      </c>
      <c r="E3987" s="394" t="s">
        <v>5335</v>
      </c>
      <c r="F3987" s="402">
        <v>4315</v>
      </c>
      <c r="G3987" s="405" t="s">
        <v>5336</v>
      </c>
      <c r="H3987" s="74">
        <v>3564</v>
      </c>
      <c r="J3987" s="339" t="s">
        <v>255</v>
      </c>
      <c r="K3987" s="51">
        <v>41578</v>
      </c>
      <c r="L3987" s="173">
        <v>41554</v>
      </c>
      <c r="M3987" s="50">
        <f t="shared" si="239"/>
        <v>24</v>
      </c>
      <c r="N3987" s="50" t="s">
        <v>2</v>
      </c>
      <c r="O3987" s="74">
        <v>1</v>
      </c>
      <c r="P3987" s="50">
        <v>5.56</v>
      </c>
      <c r="Q3987" s="74">
        <v>5.52</v>
      </c>
      <c r="R3987" s="50">
        <v>13.8</v>
      </c>
      <c r="S3987" s="74">
        <v>3.5</v>
      </c>
      <c r="T3987" s="50">
        <v>0.13</v>
      </c>
      <c r="U3987" s="131">
        <v>0.48</v>
      </c>
      <c r="V3987" s="50">
        <f>0.2/2</f>
        <v>0.1</v>
      </c>
      <c r="W3987" s="74">
        <f>0.01/2</f>
        <v>5.0000000000000001E-3</v>
      </c>
      <c r="X3987" s="50">
        <v>0.33</v>
      </c>
      <c r="Y3987" s="74">
        <f>0.02/2</f>
        <v>0.01</v>
      </c>
      <c r="Z3987" s="165"/>
    </row>
    <row r="3988" spans="1:31" ht="15" customHeight="1">
      <c r="A3988" s="404" t="s">
        <v>4668</v>
      </c>
      <c r="B3988" s="402" t="s">
        <v>5334</v>
      </c>
      <c r="C3988" s="113" t="s">
        <v>5334</v>
      </c>
      <c r="D3988" s="393" t="s">
        <v>213</v>
      </c>
      <c r="E3988" s="394" t="s">
        <v>5335</v>
      </c>
      <c r="F3988" s="402">
        <v>4315</v>
      </c>
      <c r="G3988" s="405" t="s">
        <v>5336</v>
      </c>
      <c r="H3988" s="74">
        <v>3564</v>
      </c>
      <c r="J3988" s="339" t="s">
        <v>255</v>
      </c>
      <c r="K3988" s="51">
        <v>41171</v>
      </c>
      <c r="L3988" s="173">
        <v>41160</v>
      </c>
      <c r="M3988" s="50">
        <f t="shared" si="239"/>
        <v>11</v>
      </c>
      <c r="N3988" s="50" t="s">
        <v>2</v>
      </c>
      <c r="O3988" s="74">
        <v>2.4</v>
      </c>
      <c r="P3988" s="50">
        <v>6</v>
      </c>
      <c r="Q3988" s="74">
        <v>5.36</v>
      </c>
      <c r="R3988" s="50">
        <v>6.75</v>
      </c>
      <c r="S3988" s="74">
        <f>1/2</f>
        <v>0.5</v>
      </c>
      <c r="T3988" s="50">
        <f>0.05/2</f>
        <v>2.5000000000000001E-2</v>
      </c>
      <c r="U3988" s="131">
        <v>0.63</v>
      </c>
      <c r="V3988" s="50">
        <v>0.46</v>
      </c>
      <c r="W3988" s="74">
        <f>0.01/2</f>
        <v>5.0000000000000001E-3</v>
      </c>
      <c r="X3988" s="50">
        <v>0.51</v>
      </c>
      <c r="Y3988" s="74">
        <f>0.02/2</f>
        <v>0.01</v>
      </c>
      <c r="Z3988" s="165">
        <v>1</v>
      </c>
      <c r="AA3988" s="271">
        <v>0.33300000000000002</v>
      </c>
      <c r="AB3988" s="114">
        <v>1.9</v>
      </c>
      <c r="AC3988" s="50">
        <v>25</v>
      </c>
      <c r="AD3988" s="271">
        <v>0</v>
      </c>
    </row>
    <row r="3989" spans="1:31" ht="15" customHeight="1">
      <c r="A3989" s="404" t="s">
        <v>4668</v>
      </c>
      <c r="B3989" s="402" t="s">
        <v>4213</v>
      </c>
      <c r="C3989" s="113" t="s">
        <v>4214</v>
      </c>
      <c r="E3989" s="394" t="s">
        <v>44</v>
      </c>
      <c r="F3989" s="402" t="s">
        <v>3336</v>
      </c>
      <c r="G3989" s="405" t="s">
        <v>4215</v>
      </c>
      <c r="H3989" s="74">
        <v>4212</v>
      </c>
      <c r="I3989" s="50" t="s">
        <v>2</v>
      </c>
      <c r="J3989" s="339" t="s">
        <v>255</v>
      </c>
      <c r="K3989" s="51">
        <v>41051</v>
      </c>
      <c r="L3989" s="173">
        <v>41044</v>
      </c>
      <c r="M3989" s="50">
        <f t="shared" si="239"/>
        <v>7</v>
      </c>
      <c r="N3989" s="7" t="s">
        <v>2</v>
      </c>
      <c r="O3989" s="74">
        <v>3.3</v>
      </c>
      <c r="P3989" s="50">
        <v>6.5</v>
      </c>
      <c r="Q3989" s="74">
        <v>7.03</v>
      </c>
      <c r="R3989" s="50">
        <v>487</v>
      </c>
      <c r="S3989" s="74">
        <v>75</v>
      </c>
      <c r="T3989" s="50">
        <v>0.17</v>
      </c>
      <c r="U3989" s="131">
        <v>0.91</v>
      </c>
      <c r="V3989" s="50">
        <v>0.19</v>
      </c>
      <c r="W3989" s="74">
        <v>1.4999999999999999E-2</v>
      </c>
      <c r="X3989" s="50">
        <v>0.159</v>
      </c>
      <c r="Y3989" s="74">
        <v>3.1E-2</v>
      </c>
      <c r="Z3989" s="165"/>
    </row>
    <row r="3990" spans="1:31" ht="15" customHeight="1">
      <c r="A3990" s="404" t="s">
        <v>4668</v>
      </c>
      <c r="B3990" s="402" t="s">
        <v>4213</v>
      </c>
      <c r="C3990" s="113" t="s">
        <v>4214</v>
      </c>
      <c r="E3990" s="394" t="s">
        <v>44</v>
      </c>
      <c r="F3990" s="402" t="s">
        <v>3336</v>
      </c>
      <c r="G3990" s="405" t="s">
        <v>4215</v>
      </c>
      <c r="H3990" s="74">
        <v>4212</v>
      </c>
      <c r="I3990" s="50" t="s">
        <v>2</v>
      </c>
      <c r="J3990" s="339" t="s">
        <v>255</v>
      </c>
      <c r="K3990" s="51">
        <v>40920</v>
      </c>
      <c r="L3990" s="173">
        <v>40909</v>
      </c>
      <c r="M3990" s="50">
        <f t="shared" si="239"/>
        <v>11</v>
      </c>
      <c r="O3990" s="74">
        <v>1.8</v>
      </c>
      <c r="P3990" s="50">
        <v>7.53</v>
      </c>
      <c r="Q3990" s="74">
        <v>7.82</v>
      </c>
      <c r="R3990" s="50">
        <v>19</v>
      </c>
      <c r="S3990" s="74">
        <v>34</v>
      </c>
      <c r="T3990" s="50">
        <v>0.1</v>
      </c>
      <c r="U3990" s="131">
        <v>0.64</v>
      </c>
      <c r="V3990" s="50">
        <v>7.0000000000000007E-2</v>
      </c>
      <c r="W3990" s="74">
        <v>1.2E-2</v>
      </c>
      <c r="X3990" s="50">
        <v>0.107</v>
      </c>
      <c r="Y3990" s="74">
        <v>1.7999999999999999E-2</v>
      </c>
      <c r="Z3990" s="165">
        <v>1</v>
      </c>
      <c r="AA3990" s="271">
        <v>1</v>
      </c>
      <c r="AB3990" s="114">
        <v>6</v>
      </c>
      <c r="AC3990" s="50">
        <v>58</v>
      </c>
      <c r="AD3990" s="271">
        <v>0.95</v>
      </c>
    </row>
    <row r="3991" spans="1:31" ht="15" customHeight="1">
      <c r="A3991" s="404" t="s">
        <v>4668</v>
      </c>
      <c r="B3991" s="386" t="s">
        <v>850</v>
      </c>
      <c r="C3991" s="149" t="s">
        <v>850</v>
      </c>
      <c r="D3991" s="392" t="s">
        <v>262</v>
      </c>
      <c r="E3991" s="258" t="s">
        <v>851</v>
      </c>
      <c r="F3991" s="386">
        <v>7000</v>
      </c>
      <c r="G3991" s="405" t="s">
        <v>852</v>
      </c>
      <c r="H3991" s="74">
        <v>5171</v>
      </c>
      <c r="J3991" s="61" t="s">
        <v>853</v>
      </c>
      <c r="K3991" s="51">
        <v>41170</v>
      </c>
      <c r="L3991" s="173">
        <v>41160</v>
      </c>
      <c r="M3991" s="50">
        <f t="shared" si="239"/>
        <v>10</v>
      </c>
      <c r="N3991" s="50" t="s">
        <v>2</v>
      </c>
      <c r="O3991" s="74">
        <v>11.7</v>
      </c>
      <c r="P3991" s="50">
        <v>5.57</v>
      </c>
      <c r="Q3991" s="74">
        <v>6.35</v>
      </c>
      <c r="R3991" s="50">
        <v>47</v>
      </c>
      <c r="S3991" s="74">
        <v>25</v>
      </c>
      <c r="T3991" s="50">
        <v>0.13</v>
      </c>
      <c r="U3991" s="131">
        <v>1.55</v>
      </c>
      <c r="V3991" s="50">
        <f>0.2/2</f>
        <v>0.1</v>
      </c>
      <c r="W3991" s="74">
        <f>0.01/2</f>
        <v>5.0000000000000001E-3</v>
      </c>
      <c r="X3991" s="50">
        <v>7.0000000000000007E-2</v>
      </c>
      <c r="Y3991" s="74">
        <v>0.03</v>
      </c>
      <c r="Z3991" s="165"/>
    </row>
    <row r="3992" spans="1:31" ht="15" customHeight="1">
      <c r="A3992" s="404" t="s">
        <v>4668</v>
      </c>
      <c r="B3992" s="386" t="s">
        <v>537</v>
      </c>
      <c r="C3992" s="149" t="s">
        <v>538</v>
      </c>
      <c r="D3992" s="392" t="s">
        <v>89</v>
      </c>
      <c r="E3992" s="258" t="s">
        <v>116</v>
      </c>
      <c r="G3992" s="405" t="s">
        <v>539</v>
      </c>
      <c r="H3992" s="74">
        <v>3451</v>
      </c>
      <c r="I3992" s="50" t="s">
        <v>1</v>
      </c>
      <c r="J3992" s="61" t="s">
        <v>249</v>
      </c>
      <c r="K3992" s="51">
        <v>41072</v>
      </c>
      <c r="L3992" s="173">
        <v>41062</v>
      </c>
      <c r="M3992" s="50">
        <f t="shared" si="239"/>
        <v>10</v>
      </c>
      <c r="N3992" s="50" t="s">
        <v>2</v>
      </c>
      <c r="O3992" s="74">
        <f>5/2</f>
        <v>2.5</v>
      </c>
      <c r="P3992" s="50">
        <v>5.9</v>
      </c>
      <c r="Q3992" s="74">
        <v>7.4</v>
      </c>
      <c r="R3992" s="50">
        <v>35</v>
      </c>
      <c r="S3992" s="74">
        <v>12</v>
      </c>
      <c r="T3992" s="50">
        <f>0.1/2</f>
        <v>0.05</v>
      </c>
      <c r="U3992" s="131">
        <f>1/2</f>
        <v>0.5</v>
      </c>
      <c r="V3992" s="50">
        <v>0.87</v>
      </c>
      <c r="W3992" s="74">
        <v>0.05</v>
      </c>
      <c r="X3992" s="50">
        <v>5.7000000000000002E-2</v>
      </c>
      <c r="Y3992" s="74">
        <v>2.5999999999999999E-2</v>
      </c>
      <c r="Z3992" s="165"/>
    </row>
    <row r="3993" spans="1:31" ht="15" customHeight="1">
      <c r="A3993" s="404" t="s">
        <v>4668</v>
      </c>
      <c r="B3993" s="402" t="s">
        <v>6386</v>
      </c>
      <c r="C3993" s="113" t="s">
        <v>6386</v>
      </c>
      <c r="D3993" s="393" t="s">
        <v>89</v>
      </c>
      <c r="E3993" s="394" t="s">
        <v>6387</v>
      </c>
      <c r="F3993" s="402">
        <v>6600</v>
      </c>
      <c r="G3993" s="405" t="s">
        <v>6388</v>
      </c>
      <c r="H3993" s="74"/>
      <c r="I3993" s="50" t="s">
        <v>1</v>
      </c>
      <c r="J3993" s="339" t="s">
        <v>5397</v>
      </c>
      <c r="K3993" s="51">
        <v>41201</v>
      </c>
      <c r="L3993" s="173">
        <v>41197</v>
      </c>
      <c r="M3993" s="50">
        <f t="shared" si="239"/>
        <v>4</v>
      </c>
      <c r="N3993" s="50" t="s">
        <v>2</v>
      </c>
      <c r="O3993" s="74">
        <v>1.4</v>
      </c>
      <c r="P3993" s="50">
        <v>5.98</v>
      </c>
      <c r="Q3993" s="74">
        <v>6.8</v>
      </c>
      <c r="R3993" s="50">
        <v>5</v>
      </c>
      <c r="S3993" s="74">
        <v>10</v>
      </c>
      <c r="T3993" s="50">
        <v>1.2999999999999999E-2</v>
      </c>
      <c r="U3993" s="131">
        <f>0.05/2</f>
        <v>2.5000000000000001E-2</v>
      </c>
      <c r="V3993" s="50">
        <f>0.05/2</f>
        <v>2.5000000000000001E-2</v>
      </c>
      <c r="W3993" s="74">
        <f>0.005/2</f>
        <v>2.5000000000000001E-3</v>
      </c>
      <c r="X3993" s="50">
        <f>0.01/2</f>
        <v>5.0000000000000001E-3</v>
      </c>
      <c r="Y3993" s="74">
        <f>0.005/2</f>
        <v>2.5000000000000001E-3</v>
      </c>
      <c r="Z3993" s="165">
        <v>1</v>
      </c>
      <c r="AA3993" s="271">
        <v>1</v>
      </c>
      <c r="AB3993" s="114">
        <v>11</v>
      </c>
      <c r="AC3993" s="50">
        <v>36</v>
      </c>
      <c r="AD3993" s="271">
        <v>0.95</v>
      </c>
      <c r="AE3993" s="50">
        <v>19</v>
      </c>
    </row>
    <row r="3994" spans="1:31" ht="15" customHeight="1">
      <c r="A3994" s="404" t="s">
        <v>4668</v>
      </c>
      <c r="B3994" s="402" t="s">
        <v>1278</v>
      </c>
      <c r="C3994" s="113" t="s">
        <v>1279</v>
      </c>
      <c r="D3994" s="393" t="s">
        <v>268</v>
      </c>
      <c r="E3994" s="394" t="s">
        <v>252</v>
      </c>
      <c r="F3994" s="402">
        <v>4402</v>
      </c>
      <c r="G3994" s="405" t="s">
        <v>1280</v>
      </c>
      <c r="H3994" s="74">
        <v>3562</v>
      </c>
      <c r="I3994" s="50" t="s">
        <v>2</v>
      </c>
      <c r="J3994" s="76" t="s">
        <v>81</v>
      </c>
      <c r="K3994" s="51">
        <v>41136</v>
      </c>
      <c r="L3994" s="173">
        <v>41133</v>
      </c>
      <c r="M3994" s="50">
        <f t="shared" si="239"/>
        <v>3</v>
      </c>
      <c r="N3994" s="50" t="s">
        <v>2</v>
      </c>
      <c r="O3994" s="74">
        <f>1.8/2</f>
        <v>0.9</v>
      </c>
      <c r="P3994" s="50">
        <v>6</v>
      </c>
      <c r="Q3994" s="74">
        <v>6.7</v>
      </c>
      <c r="R3994" s="50">
        <v>23</v>
      </c>
      <c r="S3994" s="74">
        <v>13</v>
      </c>
      <c r="T3994" s="50">
        <v>0.16200000000000001</v>
      </c>
      <c r="U3994" s="131">
        <v>1.6</v>
      </c>
      <c r="V3994" s="50">
        <v>0.5</v>
      </c>
      <c r="W3994" s="74">
        <v>1.9E-2</v>
      </c>
      <c r="X3994" s="50">
        <v>6.4000000000000001E-2</v>
      </c>
      <c r="Y3994" s="74">
        <f>0.005/2</f>
        <v>2.5000000000000001E-3</v>
      </c>
      <c r="Z3994" s="165"/>
    </row>
    <row r="3995" spans="1:31" ht="15" customHeight="1">
      <c r="A3995" s="404" t="s">
        <v>4668</v>
      </c>
      <c r="B3995" s="402" t="s">
        <v>6389</v>
      </c>
      <c r="C3995" s="113" t="s">
        <v>6389</v>
      </c>
      <c r="D3995" s="393" t="s">
        <v>41</v>
      </c>
      <c r="F3995" s="402">
        <v>4404</v>
      </c>
      <c r="G3995" s="405" t="s">
        <v>5483</v>
      </c>
      <c r="H3995" s="74" t="s">
        <v>6390</v>
      </c>
      <c r="I3995" s="50" t="s">
        <v>2</v>
      </c>
      <c r="J3995" s="339" t="s">
        <v>194</v>
      </c>
      <c r="K3995" s="51">
        <v>40835</v>
      </c>
      <c r="L3995" s="173">
        <v>40830</v>
      </c>
      <c r="M3995" s="50">
        <f t="shared" si="239"/>
        <v>5</v>
      </c>
      <c r="N3995" s="50" t="s">
        <v>2</v>
      </c>
      <c r="O3995" s="74">
        <f>1.4/2</f>
        <v>0.7</v>
      </c>
      <c r="P3995" s="50">
        <v>5.9</v>
      </c>
      <c r="Q3995" s="74">
        <v>7.41</v>
      </c>
      <c r="R3995" s="50">
        <v>33</v>
      </c>
      <c r="S3995" s="74">
        <v>8</v>
      </c>
      <c r="T3995" s="50">
        <v>0.1</v>
      </c>
      <c r="U3995" s="131">
        <v>0.99</v>
      </c>
      <c r="V3995" s="50">
        <v>0.8</v>
      </c>
      <c r="W3995" s="74">
        <v>2.4E-2</v>
      </c>
      <c r="X3995" s="50">
        <v>6.4000000000000001E-2</v>
      </c>
      <c r="Y3995" s="74">
        <v>4.0000000000000001E-3</v>
      </c>
      <c r="Z3995" s="165">
        <v>1</v>
      </c>
      <c r="AA3995" s="271">
        <v>1</v>
      </c>
      <c r="AB3995" s="114">
        <v>298</v>
      </c>
      <c r="AC3995" s="50">
        <v>1693</v>
      </c>
      <c r="AD3995" s="271">
        <v>1</v>
      </c>
    </row>
    <row r="3996" spans="1:31" ht="15" customHeight="1">
      <c r="A3996" s="404" t="s">
        <v>4668</v>
      </c>
      <c r="B3996" s="402" t="s">
        <v>1393</v>
      </c>
      <c r="C3996" s="113" t="s">
        <v>1394</v>
      </c>
      <c r="D3996" s="393" t="s">
        <v>372</v>
      </c>
      <c r="E3996" s="394" t="s">
        <v>235</v>
      </c>
      <c r="F3996" s="402">
        <v>6900</v>
      </c>
      <c r="G3996" s="405" t="s">
        <v>1395</v>
      </c>
      <c r="H3996" s="74">
        <v>4311</v>
      </c>
      <c r="J3996" s="76" t="s">
        <v>255</v>
      </c>
      <c r="K3996" s="51">
        <v>41170</v>
      </c>
      <c r="L3996" s="173">
        <v>41160</v>
      </c>
      <c r="M3996" s="50">
        <f t="shared" si="239"/>
        <v>10</v>
      </c>
      <c r="N3996" s="50" t="s">
        <v>2</v>
      </c>
      <c r="O3996" s="74">
        <v>1.8</v>
      </c>
      <c r="P3996" s="50">
        <v>6.2</v>
      </c>
      <c r="Q3996" s="74">
        <v>5.29</v>
      </c>
      <c r="R3996" s="50">
        <v>130</v>
      </c>
      <c r="S3996" s="74">
        <v>32</v>
      </c>
      <c r="T3996" s="50">
        <v>0.18</v>
      </c>
      <c r="U3996" s="131">
        <v>2.35</v>
      </c>
      <c r="V3996" s="50">
        <v>1.59</v>
      </c>
      <c r="W3996" s="74">
        <v>4.4999999999999998E-2</v>
      </c>
      <c r="X3996" s="50">
        <v>0.53700000000000003</v>
      </c>
      <c r="Y3996" s="74">
        <v>0.21</v>
      </c>
      <c r="Z3996" s="165"/>
    </row>
    <row r="3997" spans="1:31" ht="15" customHeight="1">
      <c r="A3997" s="404" t="s">
        <v>4668</v>
      </c>
      <c r="B3997" s="402" t="s">
        <v>1393</v>
      </c>
      <c r="C3997" s="113" t="s">
        <v>1394</v>
      </c>
      <c r="D3997" s="393" t="s">
        <v>372</v>
      </c>
      <c r="E3997" s="394" t="s">
        <v>235</v>
      </c>
      <c r="F3997" s="402">
        <v>6900</v>
      </c>
      <c r="G3997" s="405" t="s">
        <v>1395</v>
      </c>
      <c r="H3997" s="74">
        <v>4311</v>
      </c>
      <c r="J3997" s="76" t="s">
        <v>96</v>
      </c>
      <c r="K3997" s="51">
        <v>41170</v>
      </c>
      <c r="L3997" s="173">
        <v>41160</v>
      </c>
      <c r="M3997" s="50">
        <f t="shared" si="239"/>
        <v>10</v>
      </c>
      <c r="N3997" s="50" t="s">
        <v>2</v>
      </c>
      <c r="O3997" s="74">
        <f>1.4/2</f>
        <v>0.7</v>
      </c>
      <c r="P3997" s="50">
        <v>6.8</v>
      </c>
      <c r="Q3997" s="74">
        <v>7.95</v>
      </c>
      <c r="R3997" s="50">
        <v>43</v>
      </c>
      <c r="S3997" s="74">
        <v>130</v>
      </c>
      <c r="T3997" s="50">
        <v>0.31</v>
      </c>
      <c r="U3997" s="131">
        <v>1.22</v>
      </c>
      <c r="V3997" s="50">
        <v>0.21</v>
      </c>
      <c r="W3997" s="74">
        <v>0.05</v>
      </c>
      <c r="X3997" s="50">
        <v>0.41199999999999998</v>
      </c>
      <c r="Y3997" s="74">
        <v>7.0000000000000007E-2</v>
      </c>
      <c r="Z3997" s="165"/>
    </row>
    <row r="3998" spans="1:31" ht="15" customHeight="1">
      <c r="A3998" s="404" t="s">
        <v>4668</v>
      </c>
      <c r="B3998" s="402" t="s">
        <v>246</v>
      </c>
      <c r="C3998" s="113" t="s">
        <v>246</v>
      </c>
      <c r="D3998" s="393" t="s">
        <v>247</v>
      </c>
      <c r="E3998" s="394" t="s">
        <v>49</v>
      </c>
      <c r="G3998" s="405" t="s">
        <v>248</v>
      </c>
      <c r="H3998" s="74">
        <v>2033</v>
      </c>
      <c r="I3998" s="50" t="s">
        <v>2</v>
      </c>
      <c r="J3998" s="339" t="s">
        <v>249</v>
      </c>
      <c r="K3998" s="51">
        <v>41170</v>
      </c>
      <c r="L3998" s="173" t="s">
        <v>3434</v>
      </c>
      <c r="N3998" s="50" t="s">
        <v>2</v>
      </c>
      <c r="O3998" s="74">
        <f>1.4/2</f>
        <v>0.7</v>
      </c>
      <c r="P3998" s="50">
        <v>6.07</v>
      </c>
      <c r="Q3998" s="74">
        <v>7.2</v>
      </c>
      <c r="R3998" s="50">
        <v>34</v>
      </c>
      <c r="S3998" s="74">
        <v>22</v>
      </c>
      <c r="T3998" s="50">
        <v>0.15</v>
      </c>
      <c r="U3998" s="131">
        <v>1.25</v>
      </c>
      <c r="V3998" s="50">
        <f>0.01/2</f>
        <v>5.0000000000000001E-3</v>
      </c>
      <c r="W3998" s="74">
        <f>0.005/2</f>
        <v>2.5000000000000001E-3</v>
      </c>
      <c r="X3998" s="50">
        <v>1.7999999999999999E-2</v>
      </c>
      <c r="Y3998" s="74">
        <v>3.0000000000000001E-3</v>
      </c>
      <c r="Z3998" s="165">
        <v>1</v>
      </c>
      <c r="AA3998" s="271">
        <v>1</v>
      </c>
      <c r="AB3998" s="114">
        <v>12</v>
      </c>
      <c r="AC3998" s="50">
        <v>46</v>
      </c>
      <c r="AD3998" s="271">
        <v>1</v>
      </c>
    </row>
    <row r="3999" spans="1:31" ht="15" customHeight="1">
      <c r="A3999" s="404" t="s">
        <v>4668</v>
      </c>
      <c r="B3999" s="402" t="s">
        <v>6391</v>
      </c>
      <c r="C3999" s="113" t="s">
        <v>6391</v>
      </c>
      <c r="D3999" s="393" t="s">
        <v>2372</v>
      </c>
      <c r="E3999" s="394" t="s">
        <v>1293</v>
      </c>
      <c r="G3999" s="405" t="s">
        <v>6392</v>
      </c>
      <c r="H3999" s="74">
        <v>3086</v>
      </c>
      <c r="I3999" s="50" t="s">
        <v>2</v>
      </c>
      <c r="J3999" s="339" t="s">
        <v>6393</v>
      </c>
      <c r="K3999" s="51">
        <v>41030</v>
      </c>
      <c r="L3999" s="173">
        <v>41025</v>
      </c>
      <c r="M3999" s="50">
        <f t="shared" si="239"/>
        <v>5</v>
      </c>
      <c r="N3999" s="50" t="s">
        <v>2</v>
      </c>
      <c r="O3999" s="74">
        <f>2/2</f>
        <v>1</v>
      </c>
      <c r="P3999" s="50">
        <v>6.9</v>
      </c>
      <c r="Q3999" s="74">
        <v>6.8</v>
      </c>
      <c r="R3999" s="50">
        <v>26</v>
      </c>
      <c r="S3999" s="74">
        <v>50</v>
      </c>
      <c r="T3999" s="50">
        <v>0.11</v>
      </c>
      <c r="U3999" s="131">
        <v>0.8</v>
      </c>
      <c r="V3999" s="50">
        <v>0.37</v>
      </c>
      <c r="W3999" s="74">
        <v>1.6E-2</v>
      </c>
      <c r="X3999" s="50">
        <v>6.8000000000000005E-2</v>
      </c>
      <c r="Y3999" s="74">
        <f>0.03/2</f>
        <v>1.4999999999999999E-2</v>
      </c>
      <c r="Z3999" s="165">
        <v>1</v>
      </c>
      <c r="AA3999" s="271">
        <v>1</v>
      </c>
      <c r="AB3999" s="114">
        <v>11</v>
      </c>
      <c r="AC3999" s="50">
        <v>67</v>
      </c>
      <c r="AD3999" s="271">
        <v>1</v>
      </c>
    </row>
    <row r="4000" spans="1:31" ht="15" customHeight="1">
      <c r="A4000" s="404" t="s">
        <v>4668</v>
      </c>
      <c r="B4000" s="402" t="s">
        <v>6386</v>
      </c>
      <c r="C4000" s="113" t="s">
        <v>6386</v>
      </c>
      <c r="D4000" s="393" t="s">
        <v>89</v>
      </c>
      <c r="E4000" s="394" t="s">
        <v>6387</v>
      </c>
      <c r="F4000" s="402">
        <v>6600</v>
      </c>
      <c r="G4000" s="405" t="s">
        <v>6388</v>
      </c>
      <c r="H4000" s="74"/>
      <c r="I4000" s="50" t="s">
        <v>1</v>
      </c>
      <c r="J4000" s="339" t="s">
        <v>5397</v>
      </c>
      <c r="K4000" s="51">
        <v>41149</v>
      </c>
      <c r="L4000" s="173">
        <v>41139</v>
      </c>
      <c r="M4000" s="50">
        <f t="shared" si="239"/>
        <v>10</v>
      </c>
      <c r="N4000" s="50" t="s">
        <v>2</v>
      </c>
      <c r="O4000" s="74">
        <v>1.5</v>
      </c>
      <c r="P4000" s="50">
        <v>5.2</v>
      </c>
      <c r="Q4000" s="74">
        <v>7.3</v>
      </c>
      <c r="R4000" s="50">
        <v>8</v>
      </c>
      <c r="S4000" s="74">
        <v>6</v>
      </c>
      <c r="T4000" s="50">
        <v>2.7E-2</v>
      </c>
      <c r="U4000" s="131">
        <v>0.18</v>
      </c>
      <c r="V4000" s="50">
        <v>0.21</v>
      </c>
      <c r="W4000" s="74">
        <f>0.005/2</f>
        <v>2.5000000000000001E-3</v>
      </c>
      <c r="X4000" s="50">
        <v>0.03</v>
      </c>
      <c r="Y4000" s="74">
        <f>0.005/2</f>
        <v>2.5000000000000001E-3</v>
      </c>
      <c r="Z4000" s="165"/>
    </row>
    <row r="4001" spans="1:79" ht="15" customHeight="1">
      <c r="A4001" s="404" t="s">
        <v>4668</v>
      </c>
      <c r="B4001" s="402" t="s">
        <v>5406</v>
      </c>
      <c r="C4001" s="113" t="s">
        <v>5406</v>
      </c>
      <c r="D4001" s="393" t="s">
        <v>684</v>
      </c>
      <c r="E4001" s="394" t="s">
        <v>112</v>
      </c>
      <c r="F4001" s="402">
        <v>5200</v>
      </c>
      <c r="G4001" s="405" t="s">
        <v>4747</v>
      </c>
      <c r="H4001" s="74">
        <v>3279</v>
      </c>
      <c r="I4001" s="50" t="s">
        <v>2</v>
      </c>
      <c r="J4001" s="339" t="s">
        <v>510</v>
      </c>
      <c r="K4001" s="51">
        <v>41600</v>
      </c>
      <c r="L4001" s="173">
        <v>41595</v>
      </c>
      <c r="M4001" s="50">
        <f t="shared" si="239"/>
        <v>5</v>
      </c>
      <c r="N4001" s="50" t="s">
        <v>2</v>
      </c>
      <c r="O4001" s="74">
        <f>2/2</f>
        <v>1</v>
      </c>
      <c r="P4001" s="50">
        <v>5.7</v>
      </c>
      <c r="Q4001" s="74">
        <v>6.9</v>
      </c>
      <c r="R4001" s="50">
        <v>28</v>
      </c>
      <c r="S4001" s="74">
        <v>13</v>
      </c>
      <c r="T4001" s="50">
        <v>0.1</v>
      </c>
      <c r="U4001" s="131">
        <v>0.8</v>
      </c>
      <c r="V4001" s="50">
        <v>0.38</v>
      </c>
      <c r="W4001" s="74">
        <f>0.01/2</f>
        <v>5.0000000000000001E-3</v>
      </c>
      <c r="X4001" s="50">
        <f>0.03/2</f>
        <v>1.4999999999999999E-2</v>
      </c>
      <c r="Y4001" s="74">
        <f>0.03/2</f>
        <v>1.4999999999999999E-2</v>
      </c>
      <c r="Z4001" s="165">
        <v>1</v>
      </c>
      <c r="AA4001" s="271">
        <v>1</v>
      </c>
      <c r="AB4001" s="114">
        <v>62</v>
      </c>
      <c r="AC4001" s="50">
        <v>466</v>
      </c>
      <c r="AD4001" s="271">
        <v>1</v>
      </c>
    </row>
    <row r="4002" spans="1:79" s="400" customFormat="1" ht="15" customHeight="1">
      <c r="A4002" s="41" t="s">
        <v>183</v>
      </c>
      <c r="B4002" s="402" t="s">
        <v>3213</v>
      </c>
      <c r="C4002" s="113" t="s">
        <v>3213</v>
      </c>
      <c r="D4002" s="393" t="s">
        <v>2691</v>
      </c>
      <c r="E4002" s="394" t="s">
        <v>4233</v>
      </c>
      <c r="F4002" s="402">
        <v>4707</v>
      </c>
      <c r="G4002" s="405" t="s">
        <v>3215</v>
      </c>
      <c r="H4002" s="404">
        <v>4142</v>
      </c>
      <c r="I4002" s="402" t="s">
        <v>2</v>
      </c>
      <c r="J4002" s="406" t="s">
        <v>81</v>
      </c>
      <c r="K4002" s="403">
        <v>41604</v>
      </c>
      <c r="L4002" s="398">
        <v>41600</v>
      </c>
      <c r="M4002" s="402">
        <f t="shared" si="239"/>
        <v>4</v>
      </c>
      <c r="N4002" s="402" t="s">
        <v>2</v>
      </c>
      <c r="O4002" s="404"/>
      <c r="P4002" s="402"/>
      <c r="Q4002" s="404"/>
      <c r="R4002" s="402"/>
      <c r="S4002" s="404"/>
      <c r="T4002" s="402"/>
      <c r="U4002" s="395"/>
      <c r="V4002" s="402"/>
      <c r="W4002" s="404">
        <v>3.5000000000000003E-2</v>
      </c>
      <c r="X4002" s="402"/>
      <c r="Y4002" s="404"/>
      <c r="Z4002" s="397"/>
      <c r="AA4002" s="399"/>
      <c r="AB4002" s="394"/>
      <c r="AC4002" s="402"/>
      <c r="AD4002" s="399"/>
      <c r="AE4002" s="402"/>
      <c r="AF4002" s="391"/>
      <c r="AG4002" s="394"/>
      <c r="AH4002" s="394"/>
      <c r="AI4002" s="394"/>
      <c r="AJ4002" s="394"/>
      <c r="AK4002" s="394"/>
      <c r="AL4002" s="394"/>
      <c r="AM4002" s="394"/>
      <c r="AN4002" s="394"/>
      <c r="AO4002" s="394"/>
      <c r="AP4002" s="394"/>
      <c r="AQ4002" s="394"/>
      <c r="AR4002" s="394"/>
      <c r="AS4002" s="402"/>
      <c r="AT4002" s="404"/>
      <c r="AU4002" s="394"/>
      <c r="AV4002" s="394"/>
      <c r="AW4002" s="394"/>
      <c r="AX4002" s="5"/>
      <c r="AY4002" s="5"/>
      <c r="AZ4002" s="5"/>
      <c r="BA4002" s="5"/>
      <c r="BB4002" s="5"/>
      <c r="BC4002" s="5"/>
      <c r="BD4002" s="5"/>
      <c r="BE4002" s="5"/>
      <c r="BF4002" s="5"/>
      <c r="BG4002" s="5"/>
      <c r="BH4002" s="5"/>
      <c r="BI4002" s="5"/>
      <c r="BJ4002" s="5"/>
      <c r="BK4002" s="5"/>
      <c r="BL4002" s="5"/>
      <c r="BM4002" s="5"/>
      <c r="BN4002" s="5"/>
      <c r="BO4002" s="5"/>
      <c r="BP4002" s="5"/>
      <c r="BQ4002" s="5"/>
      <c r="BR4002" s="5"/>
      <c r="BS4002" s="5"/>
      <c r="BT4002" s="5"/>
      <c r="BU4002" s="5"/>
      <c r="BV4002" s="5"/>
      <c r="BW4002" s="5"/>
      <c r="BX4002" s="5"/>
      <c r="BY4002" s="5"/>
      <c r="BZ4002" s="5"/>
      <c r="CA4002" s="5"/>
    </row>
    <row r="4003" spans="1:79" ht="15" customHeight="1">
      <c r="A4003" s="41" t="s">
        <v>183</v>
      </c>
      <c r="B4003" s="402" t="s">
        <v>4453</v>
      </c>
      <c r="C4003" s="113" t="s">
        <v>4453</v>
      </c>
      <c r="D4003" s="393" t="s">
        <v>1683</v>
      </c>
      <c r="E4003" s="394" t="s">
        <v>304</v>
      </c>
      <c r="F4003" s="402">
        <v>6000</v>
      </c>
      <c r="G4003" s="405" t="s">
        <v>4454</v>
      </c>
      <c r="H4003" s="74">
        <v>3069</v>
      </c>
      <c r="J4003" s="339" t="s">
        <v>74</v>
      </c>
      <c r="K4003" s="51">
        <v>41585</v>
      </c>
      <c r="L4003" s="173" t="s">
        <v>5380</v>
      </c>
      <c r="N4003" s="50" t="s">
        <v>2</v>
      </c>
      <c r="Z4003" s="165"/>
      <c r="AI4003" s="114">
        <v>100</v>
      </c>
      <c r="CA4003" s="5">
        <f>2/2</f>
        <v>1</v>
      </c>
    </row>
    <row r="4004" spans="1:79" ht="15" customHeight="1">
      <c r="A4004" s="41" t="s">
        <v>183</v>
      </c>
      <c r="B4004" s="402" t="s">
        <v>4453</v>
      </c>
      <c r="C4004" s="113" t="s">
        <v>4453</v>
      </c>
      <c r="D4004" s="393" t="s">
        <v>1683</v>
      </c>
      <c r="E4004" s="394" t="s">
        <v>304</v>
      </c>
      <c r="F4004" s="402">
        <v>6000</v>
      </c>
      <c r="G4004" s="405" t="s">
        <v>4454</v>
      </c>
      <c r="H4004" s="74">
        <v>3069</v>
      </c>
      <c r="J4004" s="339" t="s">
        <v>75</v>
      </c>
      <c r="K4004" s="51">
        <v>41585</v>
      </c>
      <c r="L4004" s="173" t="s">
        <v>5380</v>
      </c>
      <c r="N4004" s="50" t="s">
        <v>2</v>
      </c>
      <c r="Z4004" s="165"/>
      <c r="AI4004" s="114">
        <v>1300</v>
      </c>
      <c r="CA4004" s="5">
        <f>2/2</f>
        <v>1</v>
      </c>
    </row>
    <row r="4005" spans="1:79" s="400" customFormat="1" ht="15" customHeight="1">
      <c r="A4005" s="41" t="s">
        <v>183</v>
      </c>
      <c r="B4005" s="402" t="s">
        <v>4780</v>
      </c>
      <c r="C4005" s="113" t="s">
        <v>4780</v>
      </c>
      <c r="D4005" s="393" t="s">
        <v>636</v>
      </c>
      <c r="E4005" s="394" t="s">
        <v>4781</v>
      </c>
      <c r="F4005" s="402" t="s">
        <v>4916</v>
      </c>
      <c r="G4005" s="405" t="s">
        <v>2046</v>
      </c>
      <c r="H4005" s="404">
        <v>2653</v>
      </c>
      <c r="I4005" s="402" t="s">
        <v>2</v>
      </c>
      <c r="J4005" s="406" t="s">
        <v>194</v>
      </c>
      <c r="K4005" s="403">
        <v>41600</v>
      </c>
      <c r="L4005" s="398">
        <v>41595</v>
      </c>
      <c r="M4005" s="402">
        <f>K4005-L4005</f>
        <v>5</v>
      </c>
      <c r="N4005" s="402" t="s">
        <v>2</v>
      </c>
      <c r="O4005" s="404"/>
      <c r="P4005" s="402"/>
      <c r="Q4005" s="404"/>
      <c r="R4005" s="402"/>
      <c r="S4005" s="404"/>
      <c r="T4005" s="402"/>
      <c r="U4005" s="395"/>
      <c r="V4005" s="402"/>
      <c r="W4005" s="404"/>
      <c r="X4005" s="402">
        <v>0.158</v>
      </c>
      <c r="Y4005" s="404"/>
      <c r="Z4005" s="397"/>
      <c r="AA4005" s="399"/>
      <c r="AB4005" s="394"/>
      <c r="AC4005" s="402"/>
      <c r="AD4005" s="399"/>
      <c r="AE4005" s="402"/>
      <c r="AF4005" s="391"/>
      <c r="AG4005" s="394"/>
      <c r="AH4005" s="394"/>
      <c r="AI4005" s="394"/>
      <c r="AJ4005" s="394"/>
      <c r="AK4005" s="394"/>
      <c r="AL4005" s="394"/>
      <c r="AM4005" s="394"/>
      <c r="AN4005" s="394"/>
      <c r="AO4005" s="394"/>
      <c r="AP4005" s="394"/>
      <c r="AQ4005" s="394"/>
      <c r="AR4005" s="394"/>
      <c r="AS4005" s="402"/>
      <c r="AT4005" s="404"/>
      <c r="AU4005" s="394"/>
      <c r="AV4005" s="394"/>
      <c r="AW4005" s="394"/>
      <c r="AX4005" s="5"/>
      <c r="AY4005" s="5"/>
      <c r="AZ4005" s="5"/>
      <c r="BA4005" s="5"/>
      <c r="BB4005" s="5"/>
      <c r="BC4005" s="5"/>
      <c r="BD4005" s="5"/>
      <c r="BE4005" s="5"/>
      <c r="BF4005" s="5"/>
      <c r="BG4005" s="5"/>
      <c r="BH4005" s="5"/>
      <c r="BI4005" s="5"/>
      <c r="BJ4005" s="5"/>
      <c r="BK4005" s="5"/>
      <c r="BL4005" s="5"/>
      <c r="BM4005" s="5"/>
      <c r="BN4005" s="5"/>
      <c r="BO4005" s="5"/>
      <c r="BP4005" s="5"/>
      <c r="BQ4005" s="5"/>
      <c r="BR4005" s="5"/>
      <c r="BS4005" s="5"/>
      <c r="BT4005" s="5"/>
      <c r="BU4005" s="5"/>
      <c r="BV4005" s="5"/>
      <c r="BW4005" s="5"/>
      <c r="BX4005" s="5"/>
      <c r="BY4005" s="5"/>
      <c r="BZ4005" s="5"/>
      <c r="CA4005" s="5"/>
    </row>
    <row r="4006" spans="1:79" s="400" customFormat="1" ht="15" customHeight="1">
      <c r="A4006" s="41" t="s">
        <v>183</v>
      </c>
      <c r="B4006" s="402" t="s">
        <v>4780</v>
      </c>
      <c r="C4006" s="113" t="s">
        <v>4780</v>
      </c>
      <c r="D4006" s="393" t="s">
        <v>636</v>
      </c>
      <c r="E4006" s="394" t="s">
        <v>4781</v>
      </c>
      <c r="F4006" s="402" t="s">
        <v>4916</v>
      </c>
      <c r="G4006" s="405" t="s">
        <v>2046</v>
      </c>
      <c r="H4006" s="404">
        <v>2653</v>
      </c>
      <c r="I4006" s="402" t="s">
        <v>2</v>
      </c>
      <c r="J4006" s="406" t="s">
        <v>586</v>
      </c>
      <c r="K4006" s="403">
        <v>41600</v>
      </c>
      <c r="L4006" s="398">
        <v>41595</v>
      </c>
      <c r="M4006" s="402">
        <f>K4006-L4006</f>
        <v>5</v>
      </c>
      <c r="N4006" s="402" t="s">
        <v>2</v>
      </c>
      <c r="O4006" s="404"/>
      <c r="P4006" s="402"/>
      <c r="Q4006" s="404"/>
      <c r="R4006" s="402">
        <v>32</v>
      </c>
      <c r="S4006" s="404">
        <v>12</v>
      </c>
      <c r="T4006" s="402"/>
      <c r="U4006" s="395">
        <v>0.67</v>
      </c>
      <c r="V4006" s="402"/>
      <c r="W4006" s="404"/>
      <c r="X4006" s="402"/>
      <c r="Y4006" s="404"/>
      <c r="Z4006" s="397"/>
      <c r="AA4006" s="399"/>
      <c r="AB4006" s="394"/>
      <c r="AC4006" s="402"/>
      <c r="AD4006" s="399"/>
      <c r="AE4006" s="402"/>
      <c r="AF4006" s="391"/>
      <c r="AG4006" s="394"/>
      <c r="AH4006" s="394"/>
      <c r="AI4006" s="394"/>
      <c r="AJ4006" s="394"/>
      <c r="AK4006" s="394"/>
      <c r="AL4006" s="394"/>
      <c r="AM4006" s="394"/>
      <c r="AN4006" s="394"/>
      <c r="AO4006" s="394"/>
      <c r="AP4006" s="394"/>
      <c r="AQ4006" s="394"/>
      <c r="AR4006" s="394"/>
      <c r="AS4006" s="402"/>
      <c r="AT4006" s="404"/>
      <c r="AU4006" s="394"/>
      <c r="AV4006" s="394"/>
      <c r="AW4006" s="394"/>
      <c r="AX4006" s="5"/>
      <c r="AY4006" s="5"/>
      <c r="AZ4006" s="5"/>
      <c r="BA4006" s="5"/>
      <c r="BB4006" s="5"/>
      <c r="BC4006" s="5"/>
      <c r="BD4006" s="5"/>
      <c r="BE4006" s="5"/>
      <c r="BF4006" s="5"/>
      <c r="BG4006" s="5"/>
      <c r="BH4006" s="5"/>
      <c r="BI4006" s="5"/>
      <c r="BJ4006" s="5"/>
      <c r="BK4006" s="5"/>
      <c r="BL4006" s="5"/>
      <c r="BM4006" s="5"/>
      <c r="BN4006" s="5"/>
      <c r="BO4006" s="5"/>
      <c r="BP4006" s="5"/>
      <c r="BQ4006" s="5"/>
      <c r="BR4006" s="5"/>
      <c r="BS4006" s="5"/>
      <c r="BT4006" s="5"/>
      <c r="BU4006" s="5"/>
      <c r="BV4006" s="5"/>
      <c r="BW4006" s="5"/>
      <c r="BX4006" s="5"/>
      <c r="BY4006" s="5"/>
      <c r="BZ4006" s="5"/>
      <c r="CA4006" s="5"/>
    </row>
    <row r="4007" spans="1:79" ht="15" customHeight="1">
      <c r="A4007" s="404" t="s">
        <v>4668</v>
      </c>
      <c r="B4007" s="402" t="s">
        <v>5670</v>
      </c>
      <c r="C4007" s="113" t="s">
        <v>5670</v>
      </c>
      <c r="D4007" s="393" t="s">
        <v>347</v>
      </c>
      <c r="E4007" s="394" t="s">
        <v>5671</v>
      </c>
      <c r="F4007" s="402" t="s">
        <v>6394</v>
      </c>
      <c r="G4007" s="405" t="s">
        <v>5672</v>
      </c>
      <c r="H4007" s="74"/>
      <c r="I4007" s="50" t="s">
        <v>2</v>
      </c>
      <c r="J4007" s="339" t="s">
        <v>6395</v>
      </c>
      <c r="L4007" s="173"/>
      <c r="M4007" s="50">
        <f t="shared" si="239"/>
        <v>0</v>
      </c>
      <c r="N4007" s="50" t="s">
        <v>2</v>
      </c>
      <c r="O4007" s="74">
        <v>2.1</v>
      </c>
      <c r="Q4007" s="74">
        <v>6.5</v>
      </c>
      <c r="R4007" s="50">
        <v>90</v>
      </c>
      <c r="S4007" s="74">
        <v>287</v>
      </c>
      <c r="T4007" s="50">
        <v>0.42</v>
      </c>
      <c r="U4007" s="131">
        <v>2.2400000000000002</v>
      </c>
      <c r="V4007" s="50">
        <v>0.57999999999999996</v>
      </c>
      <c r="W4007" s="74">
        <v>0.126</v>
      </c>
      <c r="X4007" s="50">
        <v>0.216</v>
      </c>
      <c r="Y4007" s="74">
        <f>0.03/2</f>
        <v>1.4999999999999999E-2</v>
      </c>
      <c r="Z4007" s="165">
        <v>1</v>
      </c>
      <c r="AA4007" s="271">
        <v>1</v>
      </c>
      <c r="AB4007" s="114">
        <v>13</v>
      </c>
      <c r="AC4007" s="50">
        <v>30</v>
      </c>
      <c r="AD4007" s="271">
        <v>1</v>
      </c>
    </row>
    <row r="4008" spans="1:79" ht="15" customHeight="1">
      <c r="A4008" s="404" t="s">
        <v>4668</v>
      </c>
      <c r="B4008" s="402" t="s">
        <v>5390</v>
      </c>
      <c r="C4008" s="113" t="s">
        <v>5391</v>
      </c>
      <c r="D4008" s="393" t="s">
        <v>290</v>
      </c>
      <c r="E4008" s="394" t="s">
        <v>112</v>
      </c>
      <c r="F4008" s="402">
        <v>5201</v>
      </c>
      <c r="G4008" s="405" t="s">
        <v>5392</v>
      </c>
      <c r="H4008" s="74">
        <v>3495</v>
      </c>
      <c r="I4008" s="50" t="s">
        <v>2</v>
      </c>
      <c r="J4008" s="339" t="s">
        <v>81</v>
      </c>
      <c r="K4008" s="51">
        <v>41579</v>
      </c>
      <c r="L4008" s="173">
        <v>41554</v>
      </c>
      <c r="M4008" s="50">
        <f t="shared" si="239"/>
        <v>25</v>
      </c>
      <c r="N4008" s="50" t="s">
        <v>2</v>
      </c>
      <c r="O4008" s="74">
        <v>2.2999999999999998</v>
      </c>
      <c r="P4008" s="50">
        <v>6.8</v>
      </c>
      <c r="Q4008" s="74">
        <v>5.8</v>
      </c>
      <c r="R4008" s="50">
        <v>38</v>
      </c>
      <c r="S4008" s="74">
        <v>7</v>
      </c>
      <c r="T4008" s="50">
        <v>0.09</v>
      </c>
      <c r="U4008" s="131">
        <v>0.92</v>
      </c>
      <c r="V4008" s="50">
        <v>0.3</v>
      </c>
      <c r="W4008" s="74">
        <v>1.4999999999999999E-2</v>
      </c>
      <c r="X4008" s="50">
        <v>3.5999999999999997E-2</v>
      </c>
      <c r="Y4008" s="74">
        <f>0.03/2</f>
        <v>1.4999999999999999E-2</v>
      </c>
      <c r="Z4008" s="165"/>
    </row>
    <row r="4009" spans="1:79" ht="15" customHeight="1">
      <c r="A4009" s="404" t="s">
        <v>4668</v>
      </c>
      <c r="B4009" s="402" t="s">
        <v>4873</v>
      </c>
      <c r="C4009" s="113" t="s">
        <v>4874</v>
      </c>
      <c r="D4009" s="393" t="s">
        <v>379</v>
      </c>
      <c r="E4009" s="394" t="s">
        <v>3859</v>
      </c>
      <c r="G4009" s="405" t="s">
        <v>4726</v>
      </c>
      <c r="H4009" s="74">
        <v>3444</v>
      </c>
      <c r="I4009" s="50" t="s">
        <v>2</v>
      </c>
      <c r="J4009" s="339" t="s">
        <v>74</v>
      </c>
      <c r="K4009" s="51">
        <v>41600</v>
      </c>
      <c r="L4009" s="173">
        <v>41596</v>
      </c>
      <c r="M4009" s="50">
        <f t="shared" si="239"/>
        <v>4</v>
      </c>
      <c r="N4009" s="50" t="s">
        <v>2</v>
      </c>
      <c r="X4009" s="50">
        <v>5.7000000000000002E-2</v>
      </c>
      <c r="Z4009" s="165"/>
    </row>
    <row r="4010" spans="1:79" ht="15" customHeight="1">
      <c r="A4010" s="404" t="s">
        <v>4668</v>
      </c>
      <c r="B4010" s="402" t="s">
        <v>2197</v>
      </c>
      <c r="C4010" s="113" t="s">
        <v>2197</v>
      </c>
      <c r="D4010" s="393" t="s">
        <v>56</v>
      </c>
      <c r="E4010" s="394" t="s">
        <v>467</v>
      </c>
      <c r="F4010" s="402">
        <v>5200</v>
      </c>
      <c r="G4010" s="405" t="s">
        <v>2198</v>
      </c>
      <c r="H4010" s="74">
        <v>325188</v>
      </c>
      <c r="I4010" s="50" t="s">
        <v>2</v>
      </c>
      <c r="J4010" s="339" t="s">
        <v>6396</v>
      </c>
      <c r="K4010" s="51">
        <v>41585</v>
      </c>
      <c r="L4010" s="173">
        <v>41579</v>
      </c>
      <c r="M4010" s="50">
        <f t="shared" si="239"/>
        <v>6</v>
      </c>
      <c r="N4010" s="50" t="s">
        <v>2</v>
      </c>
      <c r="O4010" s="74">
        <f>2/2</f>
        <v>1</v>
      </c>
      <c r="P4010" s="50">
        <v>7.4</v>
      </c>
      <c r="Q4010" s="74">
        <v>5.2</v>
      </c>
      <c r="R4010" s="50">
        <v>41</v>
      </c>
      <c r="S4010" s="74">
        <v>16</v>
      </c>
      <c r="T4010" s="50">
        <f>0.05/2</f>
        <v>2.5000000000000001E-2</v>
      </c>
      <c r="U4010" s="131">
        <v>1.94</v>
      </c>
      <c r="V4010" s="50">
        <v>0.76</v>
      </c>
      <c r="W4010" s="74">
        <v>0.02</v>
      </c>
      <c r="X4010" s="50">
        <v>0.125</v>
      </c>
      <c r="Y4010" s="74">
        <v>0.03</v>
      </c>
      <c r="Z4010" s="165"/>
    </row>
    <row r="4011" spans="1:79" ht="15" customHeight="1">
      <c r="A4011" s="404" t="s">
        <v>4668</v>
      </c>
      <c r="B4011" s="402" t="s">
        <v>2197</v>
      </c>
      <c r="C4011" s="113" t="s">
        <v>2197</v>
      </c>
      <c r="D4011" s="393" t="s">
        <v>56</v>
      </c>
      <c r="E4011" s="394" t="s">
        <v>467</v>
      </c>
      <c r="F4011" s="402">
        <v>5200</v>
      </c>
      <c r="G4011" s="405" t="s">
        <v>2198</v>
      </c>
      <c r="H4011" s="74">
        <v>325188</v>
      </c>
      <c r="I4011" s="50" t="s">
        <v>2</v>
      </c>
      <c r="J4011" s="339" t="s">
        <v>6397</v>
      </c>
      <c r="K4011" s="51">
        <v>41585</v>
      </c>
      <c r="L4011" s="173">
        <v>41579</v>
      </c>
      <c r="M4011" s="50">
        <f t="shared" si="239"/>
        <v>6</v>
      </c>
      <c r="N4011" s="50" t="s">
        <v>2</v>
      </c>
      <c r="O4011" s="74">
        <f>2/2</f>
        <v>1</v>
      </c>
      <c r="P4011" s="50">
        <v>7.4</v>
      </c>
      <c r="Q4011" s="74">
        <v>5.3</v>
      </c>
      <c r="R4011" s="50">
        <f>10/2</f>
        <v>5</v>
      </c>
      <c r="S4011" s="74">
        <f>1/2</f>
        <v>0.5</v>
      </c>
      <c r="T4011" s="50">
        <f>0.05/2</f>
        <v>2.5000000000000001E-2</v>
      </c>
      <c r="U4011" s="131">
        <v>0.49</v>
      </c>
      <c r="V4011" s="50">
        <v>0.17</v>
      </c>
      <c r="W4011" s="74">
        <f>0.01/2</f>
        <v>5.0000000000000001E-3</v>
      </c>
      <c r="X4011" s="50">
        <f>0.03/2</f>
        <v>1.4999999999999999E-2</v>
      </c>
      <c r="Y4011" s="74">
        <f>0.03/2</f>
        <v>1.4999999999999999E-2</v>
      </c>
      <c r="Z4011" s="165"/>
    </row>
    <row r="4012" spans="1:79" ht="15" customHeight="1">
      <c r="A4012" s="404" t="s">
        <v>4668</v>
      </c>
      <c r="B4012" s="402" t="s">
        <v>2197</v>
      </c>
      <c r="C4012" s="113" t="s">
        <v>2197</v>
      </c>
      <c r="D4012" s="393" t="s">
        <v>56</v>
      </c>
      <c r="E4012" s="394" t="s">
        <v>467</v>
      </c>
      <c r="F4012" s="402">
        <v>5200</v>
      </c>
      <c r="G4012" s="405" t="s">
        <v>2198</v>
      </c>
      <c r="H4012" s="74">
        <v>325188</v>
      </c>
      <c r="I4012" s="50" t="s">
        <v>2</v>
      </c>
      <c r="J4012" s="339" t="s">
        <v>5656</v>
      </c>
      <c r="K4012" s="51">
        <v>41585</v>
      </c>
      <c r="L4012" s="173">
        <v>41579</v>
      </c>
      <c r="M4012" s="50">
        <f t="shared" si="239"/>
        <v>6</v>
      </c>
      <c r="N4012" s="50" t="s">
        <v>2</v>
      </c>
      <c r="O4012" s="74">
        <v>1</v>
      </c>
      <c r="P4012" s="50">
        <v>7.4</v>
      </c>
      <c r="Q4012" s="74">
        <v>6.8</v>
      </c>
      <c r="R4012" s="50">
        <v>36</v>
      </c>
      <c r="S4012" s="74">
        <v>15</v>
      </c>
      <c r="T4012" s="50">
        <v>0.06</v>
      </c>
      <c r="U4012" s="131">
        <v>1.1499999999999999</v>
      </c>
      <c r="V4012" s="50">
        <v>0.28999999999999998</v>
      </c>
      <c r="W4012" s="74">
        <v>1.2999999999999999E-2</v>
      </c>
      <c r="X4012" s="50">
        <v>0.18</v>
      </c>
      <c r="Y4012" s="74">
        <v>1.4999999999999999E-2</v>
      </c>
      <c r="Z4012" s="165"/>
    </row>
    <row r="4013" spans="1:79" ht="15" customHeight="1">
      <c r="A4013" s="404" t="s">
        <v>4668</v>
      </c>
      <c r="B4013" s="402" t="s">
        <v>2197</v>
      </c>
      <c r="C4013" s="113" t="s">
        <v>2197</v>
      </c>
      <c r="D4013" s="393" t="s">
        <v>56</v>
      </c>
      <c r="E4013" s="394" t="s">
        <v>467</v>
      </c>
      <c r="F4013" s="402">
        <v>5200</v>
      </c>
      <c r="G4013" s="405" t="s">
        <v>2198</v>
      </c>
      <c r="H4013" s="74">
        <v>325188</v>
      </c>
      <c r="I4013" s="50" t="s">
        <v>2</v>
      </c>
      <c r="J4013" s="339" t="s">
        <v>5654</v>
      </c>
      <c r="K4013" s="51">
        <v>41585</v>
      </c>
      <c r="L4013" s="173">
        <v>41579</v>
      </c>
      <c r="M4013" s="50">
        <f t="shared" si="239"/>
        <v>6</v>
      </c>
      <c r="N4013" s="50" t="s">
        <v>2</v>
      </c>
      <c r="O4013" s="74">
        <f>2/2</f>
        <v>1</v>
      </c>
      <c r="P4013" s="50">
        <v>7.4</v>
      </c>
      <c r="Q4013" s="74">
        <v>8.3000000000000007</v>
      </c>
      <c r="R4013" s="50">
        <v>31</v>
      </c>
      <c r="S4013" s="74">
        <v>57</v>
      </c>
      <c r="T4013" s="50">
        <v>0.18</v>
      </c>
      <c r="U4013" s="131">
        <v>0.94</v>
      </c>
      <c r="V4013" s="50">
        <v>0.28000000000000003</v>
      </c>
      <c r="W4013" s="74">
        <v>1.9E-2</v>
      </c>
      <c r="X4013" s="50">
        <v>0.217</v>
      </c>
      <c r="Y4013" s="74">
        <f>0.03/2</f>
        <v>1.4999999999999999E-2</v>
      </c>
      <c r="Z4013" s="165"/>
    </row>
    <row r="4014" spans="1:79" s="400" customFormat="1" ht="15" customHeight="1">
      <c r="A4014" s="41" t="s">
        <v>183</v>
      </c>
      <c r="B4014" s="402" t="s">
        <v>438</v>
      </c>
      <c r="C4014" s="113" t="s">
        <v>4863</v>
      </c>
      <c r="D4014" s="393" t="s">
        <v>251</v>
      </c>
      <c r="E4014" s="394" t="s">
        <v>4864</v>
      </c>
      <c r="F4014" s="402">
        <v>4402</v>
      </c>
      <c r="G4014" s="405" t="s">
        <v>440</v>
      </c>
      <c r="H4014" s="404">
        <v>3471</v>
      </c>
      <c r="I4014" s="402" t="s">
        <v>2</v>
      </c>
      <c r="J4014" s="406" t="s">
        <v>4865</v>
      </c>
      <c r="K4014" s="403">
        <v>41578</v>
      </c>
      <c r="L4014" s="398">
        <v>41569</v>
      </c>
      <c r="M4014" s="402">
        <f t="shared" si="239"/>
        <v>9</v>
      </c>
      <c r="N4014" s="402" t="s">
        <v>2</v>
      </c>
      <c r="O4014" s="404"/>
      <c r="P4014" s="402"/>
      <c r="Q4014" s="404"/>
      <c r="R4014" s="402"/>
      <c r="S4014" s="404"/>
      <c r="T4014" s="402"/>
      <c r="U4014" s="395"/>
      <c r="V4014" s="402"/>
      <c r="W4014" s="404">
        <v>0.18099999999999999</v>
      </c>
      <c r="X4014" s="402">
        <v>9.0999999999999998E-2</v>
      </c>
      <c r="Y4014" s="404"/>
      <c r="Z4014" s="397"/>
      <c r="AA4014" s="399"/>
      <c r="AB4014" s="394"/>
      <c r="AC4014" s="402"/>
      <c r="AD4014" s="399"/>
      <c r="AE4014" s="402"/>
      <c r="AF4014" s="391"/>
      <c r="AG4014" s="394"/>
      <c r="AH4014" s="394"/>
      <c r="AI4014" s="394"/>
      <c r="AJ4014" s="394"/>
      <c r="AK4014" s="394"/>
      <c r="AL4014" s="394"/>
      <c r="AM4014" s="394"/>
      <c r="AN4014" s="394"/>
      <c r="AO4014" s="394"/>
      <c r="AP4014" s="394"/>
      <c r="AQ4014" s="394"/>
      <c r="AR4014" s="394"/>
      <c r="AS4014" s="402"/>
      <c r="AT4014" s="404"/>
      <c r="AU4014" s="394"/>
      <c r="AV4014" s="394"/>
      <c r="AW4014" s="394"/>
      <c r="AX4014" s="5"/>
      <c r="AY4014" s="5"/>
      <c r="AZ4014" s="5"/>
      <c r="BA4014" s="5"/>
      <c r="BB4014" s="5"/>
      <c r="BC4014" s="5"/>
      <c r="BD4014" s="5"/>
      <c r="BE4014" s="5"/>
      <c r="BF4014" s="5"/>
      <c r="BG4014" s="5"/>
      <c r="BH4014" s="5"/>
      <c r="BI4014" s="5"/>
      <c r="BJ4014" s="5"/>
      <c r="BK4014" s="5"/>
      <c r="BL4014" s="5"/>
      <c r="BM4014" s="5"/>
      <c r="BN4014" s="5"/>
      <c r="BO4014" s="5"/>
      <c r="BP4014" s="5"/>
      <c r="BQ4014" s="5"/>
      <c r="BR4014" s="5"/>
      <c r="BS4014" s="5"/>
      <c r="BT4014" s="5"/>
      <c r="BU4014" s="5"/>
      <c r="BV4014" s="5"/>
      <c r="BW4014" s="5"/>
      <c r="BX4014" s="5"/>
      <c r="BY4014" s="5"/>
      <c r="BZ4014" s="5"/>
      <c r="CA4014" s="5"/>
    </row>
    <row r="4015" spans="1:79" s="400" customFormat="1" ht="15" customHeight="1">
      <c r="A4015" s="404" t="s">
        <v>4668</v>
      </c>
      <c r="B4015" s="402" t="s">
        <v>3070</v>
      </c>
      <c r="C4015" s="113" t="s">
        <v>3071</v>
      </c>
      <c r="D4015" s="393" t="s">
        <v>1830</v>
      </c>
      <c r="E4015" s="394" t="s">
        <v>4671</v>
      </c>
      <c r="F4015" s="402">
        <v>7106</v>
      </c>
      <c r="G4015" s="405" t="s">
        <v>3072</v>
      </c>
      <c r="H4015" s="404">
        <v>3273</v>
      </c>
      <c r="I4015" s="402" t="s">
        <v>1</v>
      </c>
      <c r="J4015" s="406" t="s">
        <v>6138</v>
      </c>
      <c r="K4015" s="403">
        <v>41554</v>
      </c>
      <c r="L4015" s="398" t="s">
        <v>6199</v>
      </c>
      <c r="M4015" s="402"/>
      <c r="N4015" s="402" t="s">
        <v>2</v>
      </c>
      <c r="O4015" s="404">
        <f>5/2</f>
        <v>2.5</v>
      </c>
      <c r="P4015" s="402">
        <v>6.97</v>
      </c>
      <c r="Q4015" s="404">
        <v>7.42</v>
      </c>
      <c r="R4015" s="402">
        <v>34</v>
      </c>
      <c r="S4015" s="404">
        <v>50</v>
      </c>
      <c r="T4015" s="402">
        <v>0.27</v>
      </c>
      <c r="U4015" s="395">
        <f>1/2</f>
        <v>0.5</v>
      </c>
      <c r="V4015" s="402">
        <v>0.2</v>
      </c>
      <c r="W4015" s="404">
        <f>0.04/2</f>
        <v>0.02</v>
      </c>
      <c r="X4015" s="402">
        <v>0.08</v>
      </c>
      <c r="Y4015" s="404">
        <f>0.013/2</f>
        <v>6.4999999999999997E-3</v>
      </c>
      <c r="Z4015" s="397">
        <v>1</v>
      </c>
      <c r="AA4015" s="399">
        <v>1</v>
      </c>
      <c r="AB4015" s="394">
        <v>19</v>
      </c>
      <c r="AC4015" s="402">
        <v>47</v>
      </c>
      <c r="AD4015" s="399">
        <v>1</v>
      </c>
      <c r="AE4015" s="402"/>
      <c r="AF4015" s="391"/>
      <c r="AG4015" s="394"/>
      <c r="AH4015" s="394"/>
      <c r="AI4015" s="394"/>
      <c r="AJ4015" s="394"/>
      <c r="AK4015" s="394"/>
      <c r="AL4015" s="394"/>
      <c r="AM4015" s="394"/>
      <c r="AN4015" s="394"/>
      <c r="AO4015" s="394"/>
      <c r="AP4015" s="394"/>
      <c r="AQ4015" s="394"/>
      <c r="AR4015" s="394"/>
      <c r="AS4015" s="402"/>
      <c r="AT4015" s="404"/>
      <c r="AU4015" s="394"/>
      <c r="AV4015" s="394"/>
      <c r="AW4015" s="394"/>
      <c r="AX4015" s="5"/>
      <c r="AY4015" s="5"/>
      <c r="AZ4015" s="5"/>
      <c r="BA4015" s="5"/>
      <c r="BB4015" s="5"/>
      <c r="BC4015" s="5"/>
      <c r="BD4015" s="5"/>
      <c r="BE4015" s="5"/>
      <c r="BF4015" s="5"/>
      <c r="BG4015" s="5"/>
      <c r="BH4015" s="5"/>
      <c r="BI4015" s="5"/>
      <c r="BJ4015" s="5"/>
      <c r="BK4015" s="5"/>
      <c r="BL4015" s="5"/>
      <c r="BM4015" s="5"/>
      <c r="BN4015" s="5"/>
      <c r="BO4015" s="5"/>
      <c r="BP4015" s="5"/>
      <c r="BQ4015" s="5"/>
      <c r="BR4015" s="5"/>
      <c r="BS4015" s="5"/>
      <c r="BT4015" s="5"/>
      <c r="BU4015" s="5"/>
      <c r="BV4015" s="5"/>
      <c r="BW4015" s="5"/>
      <c r="BX4015" s="5"/>
      <c r="BY4015" s="5"/>
      <c r="BZ4015" s="5"/>
      <c r="CA4015" s="5"/>
    </row>
    <row r="4016" spans="1:79" s="400" customFormat="1" ht="15" customHeight="1">
      <c r="A4016" s="41" t="s">
        <v>183</v>
      </c>
      <c r="B4016" s="402" t="s">
        <v>4866</v>
      </c>
      <c r="C4016" s="113" t="s">
        <v>4866</v>
      </c>
      <c r="D4016" s="393" t="s">
        <v>1484</v>
      </c>
      <c r="E4016" s="394" t="s">
        <v>235</v>
      </c>
      <c r="F4016" s="402">
        <v>6900</v>
      </c>
      <c r="G4016" s="405" t="s">
        <v>3683</v>
      </c>
      <c r="H4016" s="404">
        <v>3231</v>
      </c>
      <c r="I4016" s="402" t="s">
        <v>1</v>
      </c>
      <c r="J4016" s="406" t="s">
        <v>4867</v>
      </c>
      <c r="K4016" s="403">
        <v>41604</v>
      </c>
      <c r="L4016" s="398">
        <v>41596</v>
      </c>
      <c r="M4016" s="402">
        <f t="shared" si="239"/>
        <v>8</v>
      </c>
      <c r="N4016" s="402" t="s">
        <v>2</v>
      </c>
      <c r="O4016" s="404"/>
      <c r="P4016" s="402"/>
      <c r="Q4016" s="404"/>
      <c r="R4016" s="402"/>
      <c r="S4016" s="404">
        <v>5</v>
      </c>
      <c r="T4016" s="402"/>
      <c r="U4016" s="395"/>
      <c r="V4016" s="402"/>
      <c r="W4016" s="404"/>
      <c r="X4016" s="402"/>
      <c r="Y4016" s="404"/>
      <c r="Z4016" s="397"/>
      <c r="AA4016" s="399"/>
      <c r="AB4016" s="394"/>
      <c r="AC4016" s="402"/>
      <c r="AD4016" s="399"/>
      <c r="AE4016" s="402"/>
      <c r="AF4016" s="391"/>
      <c r="AG4016" s="394"/>
      <c r="AH4016" s="394"/>
      <c r="AI4016" s="394"/>
      <c r="AJ4016" s="394"/>
      <c r="AK4016" s="394"/>
      <c r="AL4016" s="394"/>
      <c r="AM4016" s="394"/>
      <c r="AN4016" s="394"/>
      <c r="AO4016" s="394"/>
      <c r="AP4016" s="394"/>
      <c r="AQ4016" s="394"/>
      <c r="AR4016" s="394"/>
      <c r="AS4016" s="402"/>
      <c r="AT4016" s="404"/>
      <c r="AU4016" s="394"/>
      <c r="AV4016" s="394"/>
      <c r="AW4016" s="394"/>
      <c r="AX4016" s="5"/>
      <c r="AY4016" s="5"/>
      <c r="AZ4016" s="5"/>
      <c r="BA4016" s="5"/>
      <c r="BB4016" s="5"/>
      <c r="BC4016" s="5"/>
      <c r="BD4016" s="5"/>
      <c r="BE4016" s="5"/>
      <c r="BF4016" s="5"/>
      <c r="BG4016" s="5"/>
      <c r="BH4016" s="5"/>
      <c r="BI4016" s="5"/>
      <c r="BJ4016" s="5"/>
      <c r="BK4016" s="5"/>
      <c r="BL4016" s="5"/>
      <c r="BM4016" s="5"/>
      <c r="BN4016" s="5"/>
      <c r="BO4016" s="5"/>
      <c r="BP4016" s="5"/>
      <c r="BQ4016" s="5"/>
      <c r="BR4016" s="5"/>
      <c r="BS4016" s="5"/>
      <c r="BT4016" s="5"/>
      <c r="BU4016" s="5"/>
      <c r="BV4016" s="5"/>
      <c r="BW4016" s="5"/>
      <c r="BX4016" s="5"/>
      <c r="BY4016" s="5"/>
      <c r="BZ4016" s="5"/>
      <c r="CA4016" s="5"/>
    </row>
    <row r="4017" spans="1:79" ht="15" customHeight="1">
      <c r="A4017" s="404" t="s">
        <v>4668</v>
      </c>
      <c r="B4017" s="402" t="s">
        <v>5047</v>
      </c>
      <c r="C4017" s="113" t="s">
        <v>5047</v>
      </c>
      <c r="D4017" s="393" t="s">
        <v>195</v>
      </c>
      <c r="F4017" s="402">
        <v>5302</v>
      </c>
      <c r="G4017" s="405" t="s">
        <v>5048</v>
      </c>
      <c r="H4017" s="74"/>
      <c r="I4017" s="50" t="s">
        <v>2</v>
      </c>
      <c r="J4017" s="74" t="s">
        <v>5049</v>
      </c>
      <c r="K4017" s="51">
        <v>41579</v>
      </c>
      <c r="L4017" s="173">
        <v>41554</v>
      </c>
      <c r="M4017" s="50">
        <f t="shared" si="239"/>
        <v>25</v>
      </c>
      <c r="N4017" s="50" t="s">
        <v>2</v>
      </c>
      <c r="O4017" s="74">
        <v>9.1</v>
      </c>
      <c r="P4017" s="50">
        <v>5.6</v>
      </c>
      <c r="Q4017" s="74">
        <v>6.5</v>
      </c>
      <c r="R4017" s="50">
        <v>457</v>
      </c>
      <c r="S4017" s="74">
        <f>50/2</f>
        <v>25</v>
      </c>
      <c r="T4017" s="50">
        <f>0.1/2</f>
        <v>0.05</v>
      </c>
      <c r="U4017" s="131">
        <v>3.98</v>
      </c>
      <c r="V4017" s="50">
        <f>0.05/2</f>
        <v>2.5000000000000001E-2</v>
      </c>
      <c r="W4017" s="74">
        <v>1.3</v>
      </c>
      <c r="X4017" s="50">
        <v>0.33</v>
      </c>
      <c r="Y4017" s="74">
        <v>1.4999999999999999E-2</v>
      </c>
      <c r="Z4017" s="165"/>
    </row>
    <row r="4018" spans="1:79" ht="15" customHeight="1">
      <c r="A4018" s="404" t="s">
        <v>4668</v>
      </c>
      <c r="B4018" s="402" t="s">
        <v>5384</v>
      </c>
      <c r="C4018" s="113" t="s">
        <v>5385</v>
      </c>
      <c r="D4018" s="393" t="s">
        <v>127</v>
      </c>
      <c r="E4018" s="394" t="s">
        <v>5386</v>
      </c>
      <c r="F4018" s="402">
        <v>6026</v>
      </c>
      <c r="G4018" s="405" t="s">
        <v>5387</v>
      </c>
      <c r="H4018" s="74">
        <v>2844</v>
      </c>
      <c r="I4018" s="50" t="s">
        <v>2</v>
      </c>
      <c r="J4018" s="339" t="s">
        <v>551</v>
      </c>
      <c r="K4018" s="51">
        <v>41197</v>
      </c>
      <c r="L4018" s="173">
        <v>41192</v>
      </c>
      <c r="M4018" s="50">
        <f t="shared" si="239"/>
        <v>5</v>
      </c>
      <c r="N4018" s="50" t="s">
        <v>2</v>
      </c>
      <c r="O4018" s="74">
        <v>2.4</v>
      </c>
      <c r="P4018" s="50">
        <v>5.4</v>
      </c>
      <c r="Q4018" s="74">
        <v>5.7</v>
      </c>
      <c r="R4018" s="50">
        <v>11.3</v>
      </c>
      <c r="S4018" s="74">
        <v>9</v>
      </c>
      <c r="T4018" s="50">
        <v>0.51</v>
      </c>
      <c r="U4018" s="131">
        <v>1.1299999999999999</v>
      </c>
      <c r="V4018" s="50">
        <v>0.21</v>
      </c>
      <c r="W4018" s="74">
        <v>0.01</v>
      </c>
      <c r="X4018" s="50">
        <v>8.3000000000000004E-2</v>
      </c>
      <c r="Y4018" s="74">
        <v>1.4E-2</v>
      </c>
      <c r="Z4018" s="165">
        <v>1</v>
      </c>
      <c r="AA4018" s="271">
        <v>1</v>
      </c>
      <c r="AB4018" s="114">
        <v>9.77</v>
      </c>
      <c r="AC4018" s="50">
        <v>48</v>
      </c>
      <c r="AD4018" s="271">
        <v>0.7</v>
      </c>
    </row>
    <row r="4019" spans="1:79" ht="15" customHeight="1">
      <c r="A4019" s="404" t="s">
        <v>4668</v>
      </c>
      <c r="B4019" s="402" t="s">
        <v>5384</v>
      </c>
      <c r="C4019" s="113" t="s">
        <v>5385</v>
      </c>
      <c r="D4019" s="393" t="s">
        <v>127</v>
      </c>
      <c r="E4019" s="394" t="s">
        <v>5386</v>
      </c>
      <c r="F4019" s="402">
        <v>6026</v>
      </c>
      <c r="G4019" s="405" t="s">
        <v>5387</v>
      </c>
      <c r="H4019" s="74">
        <v>2844</v>
      </c>
      <c r="I4019" s="50" t="s">
        <v>2</v>
      </c>
      <c r="J4019" s="339" t="s">
        <v>5388</v>
      </c>
      <c r="K4019" s="51">
        <v>41197</v>
      </c>
      <c r="L4019" s="173">
        <v>41192</v>
      </c>
      <c r="M4019" s="50">
        <f t="shared" si="239"/>
        <v>5</v>
      </c>
      <c r="N4019" s="50" t="s">
        <v>2</v>
      </c>
      <c r="O4019" s="74">
        <v>2</v>
      </c>
      <c r="P4019" s="50">
        <v>5.4</v>
      </c>
      <c r="Q4019" s="74">
        <v>6.2</v>
      </c>
      <c r="R4019" s="50">
        <v>22.2</v>
      </c>
      <c r="S4019" s="74">
        <v>14</v>
      </c>
      <c r="T4019" s="50">
        <v>0.09</v>
      </c>
      <c r="U4019" s="131">
        <v>2.25</v>
      </c>
      <c r="V4019" s="50">
        <v>0.44</v>
      </c>
      <c r="W4019" s="74">
        <v>1.0999999999999999E-2</v>
      </c>
      <c r="X4019" s="50">
        <v>0.32500000000000001</v>
      </c>
      <c r="Y4019" s="74">
        <f>0.002/2</f>
        <v>1E-3</v>
      </c>
      <c r="Z4019" s="165">
        <v>1</v>
      </c>
      <c r="AA4019" s="271">
        <v>0.75900000000000001</v>
      </c>
      <c r="AB4019" s="114">
        <v>11.38</v>
      </c>
      <c r="AC4019" s="50">
        <v>48</v>
      </c>
      <c r="AD4019" s="271">
        <v>0.35</v>
      </c>
    </row>
    <row r="4020" spans="1:79" ht="15" customHeight="1">
      <c r="A4020" s="404" t="s">
        <v>4668</v>
      </c>
      <c r="B4020" s="402" t="s">
        <v>5384</v>
      </c>
      <c r="C4020" s="113" t="s">
        <v>5385</v>
      </c>
      <c r="D4020" s="393" t="s">
        <v>127</v>
      </c>
      <c r="E4020" s="394" t="s">
        <v>5386</v>
      </c>
      <c r="F4020" s="402">
        <v>6026</v>
      </c>
      <c r="G4020" s="405" t="s">
        <v>5387</v>
      </c>
      <c r="H4020" s="74">
        <v>2844</v>
      </c>
      <c r="I4020" s="50" t="s">
        <v>2</v>
      </c>
      <c r="J4020" s="339" t="s">
        <v>5389</v>
      </c>
      <c r="K4020" s="51">
        <v>41197</v>
      </c>
      <c r="L4020" s="173">
        <v>41192</v>
      </c>
      <c r="M4020" s="50">
        <f t="shared" si="239"/>
        <v>5</v>
      </c>
      <c r="N4020" s="50" t="s">
        <v>2</v>
      </c>
      <c r="O4020" s="74">
        <v>2</v>
      </c>
      <c r="P4020" s="50">
        <v>5.4</v>
      </c>
      <c r="Q4020" s="74">
        <v>7</v>
      </c>
      <c r="R4020" s="50">
        <v>18.7</v>
      </c>
      <c r="S4020" s="74">
        <v>14</v>
      </c>
      <c r="T4020" s="50">
        <v>0.08</v>
      </c>
      <c r="U4020" s="131">
        <v>1.29</v>
      </c>
      <c r="V4020" s="50">
        <f>0.1/2</f>
        <v>0.05</v>
      </c>
      <c r="W4020" s="74">
        <v>5.0000000000000001E-3</v>
      </c>
      <c r="X4020" s="50">
        <v>2.5000000000000001E-2</v>
      </c>
      <c r="Y4020" s="74">
        <f>0.002/2</f>
        <v>1E-3</v>
      </c>
      <c r="Z4020" s="165">
        <v>1</v>
      </c>
      <c r="AA4020" s="271">
        <v>1</v>
      </c>
      <c r="AB4020" s="114">
        <v>115</v>
      </c>
      <c r="AC4020" s="50">
        <v>1191</v>
      </c>
      <c r="AD4020" s="271">
        <v>1</v>
      </c>
    </row>
    <row r="4021" spans="1:79" ht="15" customHeight="1">
      <c r="A4021" s="404" t="s">
        <v>4668</v>
      </c>
      <c r="B4021" s="402" t="s">
        <v>5384</v>
      </c>
      <c r="C4021" s="113" t="s">
        <v>5385</v>
      </c>
      <c r="D4021" s="393" t="s">
        <v>127</v>
      </c>
      <c r="E4021" s="394" t="s">
        <v>5386</v>
      </c>
      <c r="F4021" s="402">
        <v>6026</v>
      </c>
      <c r="G4021" s="405" t="s">
        <v>5387</v>
      </c>
      <c r="H4021" s="74">
        <v>2844</v>
      </c>
      <c r="I4021" s="50" t="s">
        <v>2</v>
      </c>
      <c r="J4021" s="339" t="s">
        <v>551</v>
      </c>
      <c r="K4021" s="51">
        <v>41539</v>
      </c>
      <c r="L4021" s="173">
        <v>41529</v>
      </c>
      <c r="M4021" s="50">
        <f t="shared" si="239"/>
        <v>10</v>
      </c>
      <c r="N4021" s="50" t="s">
        <v>2</v>
      </c>
      <c r="O4021" s="74">
        <f>5/2</f>
        <v>2.5</v>
      </c>
      <c r="P4021" s="50">
        <v>4.8</v>
      </c>
      <c r="Q4021" s="74">
        <v>6.3</v>
      </c>
      <c r="R4021" s="50">
        <v>9.6999999999999993</v>
      </c>
      <c r="S4021" s="74">
        <v>7</v>
      </c>
      <c r="T4021" s="50">
        <f>0.1/2</f>
        <v>0.05</v>
      </c>
      <c r="U4021" s="131">
        <f>1/2</f>
        <v>0.5</v>
      </c>
      <c r="V4021" s="50">
        <v>0.21</v>
      </c>
      <c r="W4021" s="74">
        <f>0.04/2</f>
        <v>0.02</v>
      </c>
      <c r="X4021" s="50">
        <v>8.7999999999999995E-2</v>
      </c>
      <c r="Y4021" s="74">
        <f>0.013/2</f>
        <v>6.4999999999999997E-3</v>
      </c>
      <c r="Z4021" s="165"/>
    </row>
    <row r="4022" spans="1:79" ht="15" customHeight="1">
      <c r="A4022" s="404" t="s">
        <v>4668</v>
      </c>
      <c r="B4022" s="402" t="s">
        <v>5384</v>
      </c>
      <c r="C4022" s="113" t="s">
        <v>5385</v>
      </c>
      <c r="D4022" s="393" t="s">
        <v>127</v>
      </c>
      <c r="E4022" s="394" t="s">
        <v>5386</v>
      </c>
      <c r="F4022" s="402">
        <v>6026</v>
      </c>
      <c r="G4022" s="405" t="s">
        <v>5387</v>
      </c>
      <c r="H4022" s="74">
        <v>2844</v>
      </c>
      <c r="I4022" s="50" t="s">
        <v>2</v>
      </c>
      <c r="J4022" s="339" t="s">
        <v>5388</v>
      </c>
      <c r="K4022" s="51">
        <v>41539</v>
      </c>
      <c r="L4022" s="173">
        <v>41529</v>
      </c>
      <c r="M4022" s="50">
        <f t="shared" si="239"/>
        <v>10</v>
      </c>
      <c r="N4022" s="50" t="s">
        <v>2</v>
      </c>
      <c r="O4022" s="74">
        <f>5/2</f>
        <v>2.5</v>
      </c>
      <c r="P4022" s="50">
        <v>4.8</v>
      </c>
      <c r="Q4022" s="74">
        <v>6.4</v>
      </c>
      <c r="R4022" s="50">
        <v>18</v>
      </c>
      <c r="S4022" s="74">
        <v>12</v>
      </c>
      <c r="T4022" s="50">
        <f>0.1/2</f>
        <v>0.05</v>
      </c>
      <c r="U4022" s="131">
        <f>1/2</f>
        <v>0.5</v>
      </c>
      <c r="V4022" s="50">
        <f>0.1/2</f>
        <v>0.05</v>
      </c>
      <c r="W4022" s="74">
        <f>0.04/2</f>
        <v>0.02</v>
      </c>
      <c r="X4022" s="50">
        <v>0.46</v>
      </c>
      <c r="Y4022" s="74">
        <f>0.013/2</f>
        <v>6.4999999999999997E-3</v>
      </c>
      <c r="Z4022" s="165"/>
    </row>
    <row r="4023" spans="1:79" ht="15" customHeight="1">
      <c r="A4023" s="404" t="s">
        <v>4668</v>
      </c>
      <c r="B4023" s="402" t="s">
        <v>5384</v>
      </c>
      <c r="C4023" s="113" t="s">
        <v>5385</v>
      </c>
      <c r="D4023" s="393" t="s">
        <v>127</v>
      </c>
      <c r="E4023" s="394" t="s">
        <v>5386</v>
      </c>
      <c r="F4023" s="402">
        <v>6026</v>
      </c>
      <c r="G4023" s="405" t="s">
        <v>5387</v>
      </c>
      <c r="H4023" s="74">
        <v>2844</v>
      </c>
      <c r="I4023" s="50" t="s">
        <v>2</v>
      </c>
      <c r="J4023" s="339" t="s">
        <v>5389</v>
      </c>
      <c r="K4023" s="51">
        <v>41539</v>
      </c>
      <c r="L4023" s="173">
        <v>41529</v>
      </c>
      <c r="M4023" s="50">
        <f t="shared" si="239"/>
        <v>10</v>
      </c>
      <c r="N4023" s="50" t="s">
        <v>2</v>
      </c>
      <c r="O4023" s="74">
        <f>5/2</f>
        <v>2.5</v>
      </c>
      <c r="P4023" s="50">
        <v>4.8</v>
      </c>
      <c r="Q4023" s="74">
        <v>6.6</v>
      </c>
      <c r="R4023" s="50">
        <v>23</v>
      </c>
      <c r="S4023" s="74">
        <v>8</v>
      </c>
      <c r="T4023" s="50">
        <f>0.1/2</f>
        <v>0.05</v>
      </c>
      <c r="U4023" s="131">
        <f>1/2</f>
        <v>0.5</v>
      </c>
      <c r="V4023" s="50">
        <v>0.25</v>
      </c>
      <c r="W4023" s="74">
        <f>0.04/2</f>
        <v>0.02</v>
      </c>
      <c r="X4023" s="50">
        <v>2.8000000000000001E-2</v>
      </c>
      <c r="Y4023" s="74">
        <f>0.013/2</f>
        <v>6.4999999999999997E-3</v>
      </c>
      <c r="Z4023" s="165"/>
    </row>
    <row r="4024" spans="1:79" ht="15" customHeight="1">
      <c r="A4024" s="404" t="s">
        <v>4668</v>
      </c>
      <c r="B4024" s="402" t="s">
        <v>5735</v>
      </c>
      <c r="C4024" s="113" t="s">
        <v>5736</v>
      </c>
      <c r="D4024" s="393" t="s">
        <v>1484</v>
      </c>
      <c r="E4024" s="394" t="s">
        <v>235</v>
      </c>
      <c r="F4024" s="402" t="s">
        <v>6223</v>
      </c>
      <c r="G4024" s="405" t="s">
        <v>5737</v>
      </c>
      <c r="H4024" s="74">
        <v>8731</v>
      </c>
      <c r="I4024" s="50" t="s">
        <v>1</v>
      </c>
      <c r="J4024" s="339" t="s">
        <v>5738</v>
      </c>
      <c r="K4024" s="51">
        <v>41554</v>
      </c>
      <c r="L4024" s="173" t="s">
        <v>5380</v>
      </c>
      <c r="N4024" s="50" t="s">
        <v>2</v>
      </c>
      <c r="O4024" s="74">
        <f>0.541/2</f>
        <v>0.27050000000000002</v>
      </c>
      <c r="P4024" s="50">
        <v>5.5</v>
      </c>
      <c r="Q4024" s="74">
        <v>5.8</v>
      </c>
      <c r="R4024" s="50">
        <v>38</v>
      </c>
      <c r="S4024" s="74">
        <v>4</v>
      </c>
      <c r="T4024" s="50">
        <v>0.995</v>
      </c>
      <c r="U4024" s="131">
        <v>0.98599999999999999</v>
      </c>
      <c r="V4024" s="50">
        <v>0.33100000000000002</v>
      </c>
      <c r="W4024" s="74">
        <v>1.24E-2</v>
      </c>
      <c r="X4024" s="50">
        <v>5.3900000000000003E-2</v>
      </c>
      <c r="Y4024" s="74">
        <f>0.0013/2</f>
        <v>6.4999999999999997E-4</v>
      </c>
      <c r="Z4024" s="165"/>
    </row>
    <row r="4025" spans="1:79" ht="15" customHeight="1">
      <c r="A4025" s="404" t="s">
        <v>4668</v>
      </c>
      <c r="B4025" s="402" t="s">
        <v>5735</v>
      </c>
      <c r="C4025" s="113" t="s">
        <v>5736</v>
      </c>
      <c r="D4025" s="393" t="s">
        <v>1484</v>
      </c>
      <c r="E4025" s="394" t="s">
        <v>235</v>
      </c>
      <c r="F4025" s="402" t="s">
        <v>6223</v>
      </c>
      <c r="G4025" s="405" t="s">
        <v>5737</v>
      </c>
      <c r="H4025" s="74">
        <v>8731</v>
      </c>
      <c r="I4025" s="50" t="s">
        <v>1</v>
      </c>
      <c r="J4025" s="339" t="s">
        <v>569</v>
      </c>
      <c r="K4025" s="51">
        <v>41554</v>
      </c>
      <c r="L4025" s="173" t="s">
        <v>5380</v>
      </c>
      <c r="N4025" s="50" t="s">
        <v>2</v>
      </c>
      <c r="O4025" s="74">
        <f>0.541/2</f>
        <v>0.27050000000000002</v>
      </c>
      <c r="P4025" s="50">
        <v>5.5</v>
      </c>
      <c r="Q4025" s="74">
        <v>5.6</v>
      </c>
      <c r="R4025" s="50">
        <v>26</v>
      </c>
      <c r="S4025" s="74">
        <v>12</v>
      </c>
      <c r="T4025" s="50">
        <v>0.63200000000000001</v>
      </c>
      <c r="U4025" s="131">
        <v>0.71</v>
      </c>
      <c r="V4025" s="50">
        <v>0.438</v>
      </c>
      <c r="W4025" s="74">
        <v>1.09E-2</v>
      </c>
      <c r="X4025" s="50">
        <v>4.7399999999999998E-2</v>
      </c>
      <c r="Y4025" s="74">
        <v>1.2699999999999999E-2</v>
      </c>
      <c r="Z4025" s="165"/>
    </row>
    <row r="4026" spans="1:79" ht="15" customHeight="1">
      <c r="A4026" s="404" t="s">
        <v>4668</v>
      </c>
      <c r="B4026" s="402" t="s">
        <v>5735</v>
      </c>
      <c r="C4026" s="113" t="s">
        <v>5736</v>
      </c>
      <c r="D4026" s="393" t="s">
        <v>1484</v>
      </c>
      <c r="E4026" s="394" t="s">
        <v>235</v>
      </c>
      <c r="F4026" s="402" t="s">
        <v>6223</v>
      </c>
      <c r="G4026" s="405" t="s">
        <v>5737</v>
      </c>
      <c r="H4026" s="74">
        <v>8731</v>
      </c>
      <c r="I4026" s="50" t="s">
        <v>1</v>
      </c>
      <c r="J4026" s="339" t="s">
        <v>5739</v>
      </c>
      <c r="K4026" s="51">
        <v>41554</v>
      </c>
      <c r="L4026" s="173" t="s">
        <v>5380</v>
      </c>
      <c r="N4026" s="50" t="s">
        <v>2</v>
      </c>
      <c r="O4026" s="74">
        <f>0.541</f>
        <v>0.54100000000000004</v>
      </c>
      <c r="P4026" s="50">
        <v>5.5</v>
      </c>
      <c r="Q4026" s="74">
        <v>5.9</v>
      </c>
      <c r="R4026" s="50">
        <v>43</v>
      </c>
      <c r="S4026" s="74">
        <f>4/2</f>
        <v>2</v>
      </c>
      <c r="T4026" s="50">
        <v>0.191</v>
      </c>
      <c r="U4026" s="131">
        <v>0.86799999999999999</v>
      </c>
      <c r="V4026" s="50">
        <v>0.54200000000000004</v>
      </c>
      <c r="W4026" s="74">
        <v>8.4499999999999992E-3</v>
      </c>
      <c r="X4026" s="50">
        <v>0.13100000000000001</v>
      </c>
      <c r="Y4026" s="74">
        <v>3.7499999999999999E-3</v>
      </c>
      <c r="Z4026" s="165"/>
    </row>
    <row r="4027" spans="1:79" s="400" customFormat="1" ht="15" customHeight="1">
      <c r="A4027" s="404" t="s">
        <v>4668</v>
      </c>
      <c r="B4027" s="386" t="s">
        <v>666</v>
      </c>
      <c r="C4027" s="149" t="s">
        <v>673</v>
      </c>
      <c r="D4027" s="392" t="s">
        <v>213</v>
      </c>
      <c r="E4027" s="258" t="s">
        <v>674</v>
      </c>
      <c r="F4027" s="402" t="s">
        <v>3258</v>
      </c>
      <c r="G4027" s="405" t="s">
        <v>675</v>
      </c>
      <c r="H4027" s="404">
        <v>3724</v>
      </c>
      <c r="I4027" s="402" t="s">
        <v>2</v>
      </c>
      <c r="J4027" s="406" t="s">
        <v>669</v>
      </c>
      <c r="K4027" s="403">
        <v>41579</v>
      </c>
      <c r="L4027" s="398">
        <v>41554</v>
      </c>
      <c r="M4027" s="402">
        <f t="shared" ref="M4027:M4029" si="240">K4027-L4027</f>
        <v>25</v>
      </c>
      <c r="N4027" s="402" t="s">
        <v>2</v>
      </c>
      <c r="O4027" s="404">
        <f>1.4/2</f>
        <v>0.7</v>
      </c>
      <c r="P4027" s="402">
        <v>4.6500000000000004</v>
      </c>
      <c r="Q4027" s="404">
        <v>4.5599999999999996</v>
      </c>
      <c r="R4027" s="402">
        <v>74</v>
      </c>
      <c r="S4027" s="404">
        <v>25</v>
      </c>
      <c r="T4027" s="402">
        <v>0.17</v>
      </c>
      <c r="U4027" s="395">
        <v>0.75</v>
      </c>
      <c r="V4027" s="402">
        <v>0.17</v>
      </c>
      <c r="W4027" s="404">
        <v>0.01</v>
      </c>
      <c r="X4027" s="402">
        <v>9.5000000000000001E-2</v>
      </c>
      <c r="Y4027" s="404">
        <f>0.002/2</f>
        <v>1E-3</v>
      </c>
      <c r="Z4027" s="397"/>
      <c r="AA4027" s="399"/>
      <c r="AB4027" s="394"/>
      <c r="AC4027" s="402"/>
      <c r="AD4027" s="399"/>
      <c r="AE4027" s="402"/>
      <c r="AF4027" s="391"/>
      <c r="AG4027" s="394"/>
      <c r="AH4027" s="394"/>
      <c r="AI4027" s="394"/>
      <c r="AJ4027" s="394"/>
      <c r="AK4027" s="394"/>
      <c r="AL4027" s="394"/>
      <c r="AM4027" s="394"/>
      <c r="AN4027" s="394"/>
      <c r="AO4027" s="394"/>
      <c r="AP4027" s="394"/>
      <c r="AQ4027" s="394"/>
      <c r="AR4027" s="394"/>
      <c r="AS4027" s="402"/>
      <c r="AT4027" s="404"/>
      <c r="AU4027" s="394"/>
      <c r="AV4027" s="394"/>
      <c r="AW4027" s="394"/>
      <c r="AX4027" s="5"/>
      <c r="AY4027" s="5"/>
      <c r="AZ4027" s="5"/>
      <c r="BA4027" s="5"/>
      <c r="BB4027" s="5"/>
      <c r="BC4027" s="5"/>
      <c r="BD4027" s="5"/>
      <c r="BE4027" s="5"/>
      <c r="BF4027" s="5"/>
      <c r="BG4027" s="5"/>
      <c r="BH4027" s="5"/>
      <c r="BI4027" s="5"/>
      <c r="BJ4027" s="5"/>
      <c r="BK4027" s="5"/>
      <c r="BL4027" s="5"/>
      <c r="BM4027" s="5"/>
      <c r="BN4027" s="5"/>
      <c r="BO4027" s="5"/>
      <c r="BP4027" s="5"/>
      <c r="BQ4027" s="5"/>
      <c r="BR4027" s="5"/>
      <c r="BS4027" s="5"/>
      <c r="BT4027" s="5"/>
      <c r="BU4027" s="5"/>
      <c r="BV4027" s="5"/>
      <c r="BW4027" s="5"/>
      <c r="BX4027" s="5"/>
      <c r="BY4027" s="5"/>
      <c r="BZ4027" s="5"/>
      <c r="CA4027" s="5"/>
    </row>
    <row r="4028" spans="1:79" s="400" customFormat="1" ht="15" customHeight="1">
      <c r="A4028" s="404" t="s">
        <v>4668</v>
      </c>
      <c r="B4028" s="386" t="s">
        <v>666</v>
      </c>
      <c r="C4028" s="149" t="s">
        <v>673</v>
      </c>
      <c r="D4028" s="392" t="s">
        <v>213</v>
      </c>
      <c r="E4028" s="258" t="s">
        <v>674</v>
      </c>
      <c r="F4028" s="402" t="s">
        <v>3258</v>
      </c>
      <c r="G4028" s="405" t="s">
        <v>675</v>
      </c>
      <c r="H4028" s="404">
        <v>3724</v>
      </c>
      <c r="I4028" s="402" t="s">
        <v>2</v>
      </c>
      <c r="J4028" s="406" t="s">
        <v>676</v>
      </c>
      <c r="K4028" s="403">
        <v>41579</v>
      </c>
      <c r="L4028" s="398">
        <v>41554</v>
      </c>
      <c r="M4028" s="402">
        <f t="shared" si="240"/>
        <v>25</v>
      </c>
      <c r="N4028" s="402" t="s">
        <v>2</v>
      </c>
      <c r="O4028" s="404">
        <f>1.4/2</f>
        <v>0.7</v>
      </c>
      <c r="P4028" s="402">
        <v>4.6500000000000004</v>
      </c>
      <c r="Q4028" s="404">
        <v>4.53</v>
      </c>
      <c r="R4028" s="402">
        <v>43</v>
      </c>
      <c r="S4028" s="404">
        <f>5/2</f>
        <v>2.5</v>
      </c>
      <c r="T4028" s="402">
        <v>0.06</v>
      </c>
      <c r="U4028" s="395">
        <v>0.79</v>
      </c>
      <c r="V4028" s="402">
        <v>0.23</v>
      </c>
      <c r="W4028" s="404">
        <v>1.4E-2</v>
      </c>
      <c r="X4028" s="402">
        <v>0.10100000000000001</v>
      </c>
      <c r="Y4028" s="404">
        <f>0.002/2</f>
        <v>1E-3</v>
      </c>
      <c r="Z4028" s="397">
        <v>1</v>
      </c>
      <c r="AA4028" s="399">
        <v>1</v>
      </c>
      <c r="AB4028" s="394"/>
      <c r="AC4028" s="402"/>
      <c r="AD4028" s="399"/>
      <c r="AE4028" s="402"/>
      <c r="AF4028" s="391"/>
      <c r="AG4028" s="394"/>
      <c r="AH4028" s="394"/>
      <c r="AI4028" s="394"/>
      <c r="AJ4028" s="394"/>
      <c r="AK4028" s="394"/>
      <c r="AL4028" s="394"/>
      <c r="AM4028" s="394"/>
      <c r="AN4028" s="394"/>
      <c r="AO4028" s="394"/>
      <c r="AP4028" s="394"/>
      <c r="AQ4028" s="394"/>
      <c r="AR4028" s="394"/>
      <c r="AS4028" s="402"/>
      <c r="AT4028" s="404"/>
      <c r="AU4028" s="394"/>
      <c r="AV4028" s="394"/>
      <c r="AW4028" s="394"/>
      <c r="AX4028" s="5"/>
      <c r="AY4028" s="5"/>
      <c r="AZ4028" s="5"/>
      <c r="BA4028" s="5"/>
      <c r="BB4028" s="5"/>
      <c r="BC4028" s="5"/>
      <c r="BD4028" s="5"/>
      <c r="BE4028" s="5"/>
      <c r="BF4028" s="5"/>
      <c r="BG4028" s="5"/>
      <c r="BH4028" s="5"/>
      <c r="BI4028" s="5"/>
      <c r="BJ4028" s="5"/>
      <c r="BK4028" s="5"/>
      <c r="BL4028" s="5"/>
      <c r="BM4028" s="5"/>
      <c r="BN4028" s="5"/>
      <c r="BO4028" s="5"/>
      <c r="BP4028" s="5"/>
      <c r="BQ4028" s="5"/>
      <c r="BR4028" s="5"/>
      <c r="BS4028" s="5"/>
      <c r="BT4028" s="5"/>
      <c r="BU4028" s="5"/>
      <c r="BV4028" s="5"/>
      <c r="BW4028" s="5"/>
      <c r="BX4028" s="5"/>
      <c r="BY4028" s="5"/>
      <c r="BZ4028" s="5"/>
      <c r="CA4028" s="5"/>
    </row>
    <row r="4029" spans="1:79" s="400" customFormat="1" ht="15" customHeight="1">
      <c r="A4029" s="41" t="s">
        <v>183</v>
      </c>
      <c r="B4029" s="402" t="s">
        <v>1647</v>
      </c>
      <c r="C4029" s="113" t="s">
        <v>6398</v>
      </c>
      <c r="D4029" s="393" t="s">
        <v>434</v>
      </c>
      <c r="E4029" s="394" t="s">
        <v>1648</v>
      </c>
      <c r="F4029" s="402"/>
      <c r="G4029" s="405" t="s">
        <v>1649</v>
      </c>
      <c r="H4029" s="404">
        <v>2869</v>
      </c>
      <c r="I4029" s="402" t="s">
        <v>2</v>
      </c>
      <c r="J4029" s="406" t="s">
        <v>1647</v>
      </c>
      <c r="K4029" s="403">
        <v>41585</v>
      </c>
      <c r="L4029" s="398">
        <v>41579</v>
      </c>
      <c r="M4029" s="402">
        <f t="shared" si="240"/>
        <v>6</v>
      </c>
      <c r="N4029" s="402" t="s">
        <v>2</v>
      </c>
      <c r="O4029" s="404">
        <f>1/2</f>
        <v>0.5</v>
      </c>
      <c r="P4029" s="402">
        <v>5.97</v>
      </c>
      <c r="Q4029" s="404">
        <v>6.14</v>
      </c>
      <c r="R4029" s="402">
        <v>105</v>
      </c>
      <c r="S4029" s="404">
        <v>8</v>
      </c>
      <c r="T4029" s="402">
        <f>0.1/2</f>
        <v>0.05</v>
      </c>
      <c r="U4029" s="395">
        <v>3.64</v>
      </c>
      <c r="V4029" s="402">
        <v>1</v>
      </c>
      <c r="W4029" s="404">
        <v>0.08</v>
      </c>
      <c r="X4029" s="402">
        <v>3.52</v>
      </c>
      <c r="Y4029" s="404">
        <f>0.05/2</f>
        <v>2.5000000000000001E-2</v>
      </c>
      <c r="Z4029" s="397">
        <v>0.871</v>
      </c>
      <c r="AA4029" s="399">
        <v>0.14000000000000001</v>
      </c>
      <c r="AB4029" s="394">
        <v>36</v>
      </c>
      <c r="AC4029" s="402">
        <v>154</v>
      </c>
      <c r="AD4029" s="399">
        <v>0</v>
      </c>
      <c r="AE4029" s="402"/>
      <c r="AF4029" s="391"/>
      <c r="AG4029" s="394"/>
      <c r="AH4029" s="394"/>
      <c r="AI4029" s="394"/>
      <c r="AJ4029" s="394"/>
      <c r="AK4029" s="394"/>
      <c r="AL4029" s="394"/>
      <c r="AM4029" s="394"/>
      <c r="AN4029" s="394"/>
      <c r="AO4029" s="394"/>
      <c r="AP4029" s="394"/>
      <c r="AQ4029" s="394"/>
      <c r="AR4029" s="394"/>
      <c r="AS4029" s="402"/>
      <c r="AT4029" s="404"/>
      <c r="AU4029" s="394"/>
      <c r="AV4029" s="394"/>
      <c r="AW4029" s="394"/>
      <c r="AX4029" s="5"/>
      <c r="AY4029" s="5"/>
      <c r="AZ4029" s="5"/>
      <c r="BA4029" s="5"/>
      <c r="BB4029" s="5"/>
      <c r="BC4029" s="5"/>
      <c r="BD4029" s="5"/>
      <c r="BE4029" s="5"/>
      <c r="BF4029" s="5"/>
      <c r="BG4029" s="5"/>
      <c r="BH4029" s="5"/>
      <c r="BI4029" s="5"/>
      <c r="BJ4029" s="5"/>
      <c r="BK4029" s="5"/>
      <c r="BL4029" s="5"/>
      <c r="BM4029" s="5"/>
      <c r="BN4029" s="5"/>
      <c r="BO4029" s="5"/>
      <c r="BP4029" s="5"/>
      <c r="BQ4029" s="5"/>
      <c r="BR4029" s="5"/>
      <c r="BS4029" s="5"/>
      <c r="BT4029" s="5"/>
      <c r="BU4029" s="5"/>
      <c r="BV4029" s="5"/>
      <c r="BW4029" s="5"/>
      <c r="BX4029" s="5"/>
      <c r="BY4029" s="5"/>
      <c r="BZ4029" s="5"/>
      <c r="CA4029" s="5"/>
    </row>
    <row r="4030" spans="1:79" ht="15" customHeight="1">
      <c r="A4030" s="404" t="s">
        <v>4668</v>
      </c>
      <c r="B4030" s="402" t="s">
        <v>1068</v>
      </c>
      <c r="C4030" s="113" t="s">
        <v>1068</v>
      </c>
      <c r="D4030" s="393" t="s">
        <v>111</v>
      </c>
      <c r="E4030" s="394" t="s">
        <v>5373</v>
      </c>
      <c r="F4030" s="402" t="s">
        <v>1069</v>
      </c>
      <c r="G4030" s="405" t="s">
        <v>1070</v>
      </c>
      <c r="H4030" s="74">
        <v>3357</v>
      </c>
      <c r="I4030" s="50" t="s">
        <v>2</v>
      </c>
      <c r="J4030" s="339" t="s">
        <v>700</v>
      </c>
      <c r="K4030" s="51">
        <v>41600</v>
      </c>
      <c r="L4030" s="173">
        <v>41596</v>
      </c>
      <c r="M4030" s="50">
        <f t="shared" ref="M4030:M4090" si="241">K4030-L4030</f>
        <v>4</v>
      </c>
      <c r="N4030" s="50" t="s">
        <v>2</v>
      </c>
      <c r="T4030" s="50">
        <v>0.125</v>
      </c>
      <c r="U4030" s="131">
        <v>2.1</v>
      </c>
      <c r="V4030" s="50">
        <v>0.86</v>
      </c>
      <c r="X4030" s="50">
        <v>0.152</v>
      </c>
      <c r="Z4030" s="165"/>
    </row>
    <row r="4031" spans="1:79" ht="15" customHeight="1">
      <c r="A4031" s="404" t="s">
        <v>4668</v>
      </c>
      <c r="B4031" s="402" t="s">
        <v>5286</v>
      </c>
      <c r="C4031" s="113" t="s">
        <v>5287</v>
      </c>
      <c r="D4031" s="393" t="s">
        <v>2913</v>
      </c>
      <c r="E4031" s="394" t="s">
        <v>535</v>
      </c>
      <c r="F4031" s="402" t="s">
        <v>3841</v>
      </c>
      <c r="G4031" s="405" t="s">
        <v>5285</v>
      </c>
      <c r="H4031" s="74">
        <v>3499</v>
      </c>
      <c r="I4031" s="50" t="s">
        <v>1</v>
      </c>
      <c r="J4031" s="339" t="s">
        <v>5289</v>
      </c>
      <c r="K4031" s="51">
        <v>41600</v>
      </c>
      <c r="L4031" s="173">
        <v>41595</v>
      </c>
      <c r="M4031" s="50">
        <f t="shared" si="241"/>
        <v>5</v>
      </c>
      <c r="N4031" s="50" t="s">
        <v>2</v>
      </c>
      <c r="O4031" s="74">
        <f>1/2</f>
        <v>0.5</v>
      </c>
      <c r="P4031" s="50">
        <v>6.2</v>
      </c>
      <c r="Q4031" s="74">
        <v>5.77</v>
      </c>
      <c r="R4031" s="50">
        <v>7.88</v>
      </c>
      <c r="S4031" s="74">
        <v>57</v>
      </c>
      <c r="T4031" s="50">
        <v>0.11700000000000001</v>
      </c>
      <c r="U4031" s="131">
        <v>0.56000000000000005</v>
      </c>
      <c r="V4031" s="50">
        <v>0.20499999999999999</v>
      </c>
      <c r="W4031" s="74">
        <f>0.01/2</f>
        <v>5.0000000000000001E-3</v>
      </c>
      <c r="X4031" s="50">
        <v>9.6600000000000005E-2</v>
      </c>
      <c r="Y4031" s="74">
        <f>0.015/2</f>
        <v>7.4999999999999997E-3</v>
      </c>
      <c r="Z4031" s="165">
        <v>1</v>
      </c>
      <c r="AA4031" s="271">
        <v>1</v>
      </c>
      <c r="AB4031" s="114">
        <v>2</v>
      </c>
      <c r="AC4031" s="50">
        <v>8</v>
      </c>
      <c r="AD4031" s="271">
        <v>1</v>
      </c>
      <c r="AE4031" s="50">
        <v>10</v>
      </c>
    </row>
    <row r="4032" spans="1:79" ht="15" customHeight="1">
      <c r="A4032" s="404" t="s">
        <v>4668</v>
      </c>
      <c r="B4032" s="402" t="s">
        <v>5404</v>
      </c>
      <c r="C4032" s="113" t="s">
        <v>5404</v>
      </c>
      <c r="D4032" s="393" t="s">
        <v>205</v>
      </c>
      <c r="E4032" s="394" t="s">
        <v>1056</v>
      </c>
      <c r="F4032" s="402" t="s">
        <v>6399</v>
      </c>
      <c r="G4032" s="405" t="s">
        <v>5405</v>
      </c>
      <c r="H4032" s="74">
        <v>3564</v>
      </c>
      <c r="I4032" s="50" t="s">
        <v>2</v>
      </c>
      <c r="J4032" s="339" t="s">
        <v>641</v>
      </c>
      <c r="K4032" s="51">
        <v>41600</v>
      </c>
      <c r="L4032" s="173">
        <v>41596</v>
      </c>
      <c r="M4032" s="50">
        <f t="shared" si="241"/>
        <v>4</v>
      </c>
      <c r="N4032" s="50" t="s">
        <v>2</v>
      </c>
      <c r="X4032" s="50">
        <v>0.06</v>
      </c>
      <c r="Z4032" s="165"/>
    </row>
    <row r="4033" spans="1:79" ht="15" customHeight="1">
      <c r="A4033" s="404" t="s">
        <v>4668</v>
      </c>
      <c r="B4033" s="385" t="s">
        <v>4376</v>
      </c>
      <c r="C4033" s="18" t="s">
        <v>4376</v>
      </c>
      <c r="D4033" s="377" t="s">
        <v>156</v>
      </c>
      <c r="E4033" s="394" t="s">
        <v>1305</v>
      </c>
      <c r="F4033" s="402" t="s">
        <v>6400</v>
      </c>
      <c r="G4033" s="405" t="s">
        <v>4377</v>
      </c>
      <c r="H4033" s="74"/>
      <c r="I4033" s="50" t="s">
        <v>2</v>
      </c>
      <c r="J4033" s="344" t="s">
        <v>4378</v>
      </c>
      <c r="K4033" s="51">
        <v>41585</v>
      </c>
      <c r="L4033" s="173">
        <v>41579</v>
      </c>
      <c r="M4033" s="50">
        <f t="shared" si="241"/>
        <v>6</v>
      </c>
      <c r="N4033" s="50" t="s">
        <v>2</v>
      </c>
      <c r="O4033" s="74">
        <v>39.5</v>
      </c>
      <c r="P4033" s="50">
        <v>5.5</v>
      </c>
      <c r="Q4033" s="74">
        <v>7</v>
      </c>
      <c r="R4033" s="50">
        <v>19.899999999999999</v>
      </c>
      <c r="S4033" s="74">
        <v>26</v>
      </c>
      <c r="T4033" s="50">
        <f>0.1/2</f>
        <v>0.05</v>
      </c>
      <c r="U4033" s="131">
        <v>0.51</v>
      </c>
      <c r="V4033" s="50">
        <v>0.16</v>
      </c>
      <c r="W4033" s="74">
        <f>0.02/2</f>
        <v>0.01</v>
      </c>
      <c r="X4033" s="50">
        <f>0.05/2</f>
        <v>2.5000000000000001E-2</v>
      </c>
      <c r="Y4033" s="74">
        <f>0.001/2</f>
        <v>5.0000000000000001E-4</v>
      </c>
      <c r="Z4033" s="165"/>
    </row>
    <row r="4034" spans="1:79" s="400" customFormat="1" ht="15" customHeight="1">
      <c r="A4034" s="41" t="s">
        <v>183</v>
      </c>
      <c r="B4034" s="402" t="s">
        <v>3225</v>
      </c>
      <c r="C4034" s="113" t="s">
        <v>3226</v>
      </c>
      <c r="D4034" s="393" t="s">
        <v>818</v>
      </c>
      <c r="E4034" s="394" t="s">
        <v>5732</v>
      </c>
      <c r="F4034" s="402" t="s">
        <v>6401</v>
      </c>
      <c r="G4034" s="405" t="s">
        <v>3227</v>
      </c>
      <c r="H4034" s="404" t="s">
        <v>5733</v>
      </c>
      <c r="I4034" s="402" t="s">
        <v>2</v>
      </c>
      <c r="J4034" s="401" t="s">
        <v>3228</v>
      </c>
      <c r="K4034" s="403">
        <v>41614</v>
      </c>
      <c r="L4034" s="398">
        <v>41605</v>
      </c>
      <c r="M4034" s="402">
        <f t="shared" si="241"/>
        <v>9</v>
      </c>
      <c r="N4034" s="402" t="s">
        <v>2</v>
      </c>
      <c r="O4034" s="404"/>
      <c r="P4034" s="402"/>
      <c r="Q4034" s="404"/>
      <c r="R4034" s="402">
        <v>51</v>
      </c>
      <c r="S4034" s="404"/>
      <c r="T4034" s="402"/>
      <c r="U4034" s="395"/>
      <c r="V4034" s="402">
        <v>0.2</v>
      </c>
      <c r="W4034" s="404">
        <f>0.04/2</f>
        <v>0.02</v>
      </c>
      <c r="X4034" s="402">
        <v>8.2000000000000003E-2</v>
      </c>
      <c r="Y4034" s="404"/>
      <c r="Z4034" s="397"/>
      <c r="AA4034" s="399"/>
      <c r="AB4034" s="394"/>
      <c r="AC4034" s="402"/>
      <c r="AD4034" s="399"/>
      <c r="AE4034" s="402"/>
      <c r="AF4034" s="391"/>
      <c r="AG4034" s="394"/>
      <c r="AH4034" s="394"/>
      <c r="AI4034" s="394"/>
      <c r="AJ4034" s="394"/>
      <c r="AK4034" s="394"/>
      <c r="AL4034" s="394"/>
      <c r="AM4034" s="394"/>
      <c r="AN4034" s="394"/>
      <c r="AO4034" s="394"/>
      <c r="AP4034" s="394"/>
      <c r="AQ4034" s="394"/>
      <c r="AR4034" s="394"/>
      <c r="AS4034" s="402"/>
      <c r="AT4034" s="404"/>
      <c r="AU4034" s="394"/>
      <c r="AV4034" s="394"/>
      <c r="AW4034" s="394"/>
      <c r="AX4034" s="5"/>
      <c r="AY4034" s="5"/>
      <c r="AZ4034" s="5"/>
      <c r="BA4034" s="5"/>
      <c r="BB4034" s="5"/>
      <c r="BC4034" s="5"/>
      <c r="BD4034" s="5"/>
      <c r="BE4034" s="5"/>
      <c r="BF4034" s="5"/>
      <c r="BG4034" s="5"/>
      <c r="BH4034" s="5"/>
      <c r="BI4034" s="5"/>
      <c r="BJ4034" s="5"/>
      <c r="BK4034" s="5"/>
      <c r="BL4034" s="5"/>
      <c r="BM4034" s="5"/>
      <c r="BN4034" s="5"/>
      <c r="BO4034" s="5"/>
      <c r="BP4034" s="5"/>
      <c r="BQ4034" s="5"/>
      <c r="BR4034" s="5"/>
      <c r="BS4034" s="5"/>
      <c r="BT4034" s="5"/>
      <c r="BU4034" s="5"/>
      <c r="BV4034" s="5"/>
      <c r="BW4034" s="5"/>
      <c r="BX4034" s="5"/>
      <c r="BY4034" s="5"/>
      <c r="BZ4034" s="5"/>
      <c r="CA4034" s="5"/>
    </row>
    <row r="4035" spans="1:79" s="400" customFormat="1" ht="15" customHeight="1">
      <c r="A4035" s="404" t="s">
        <v>5328</v>
      </c>
      <c r="B4035" s="402" t="s">
        <v>6402</v>
      </c>
      <c r="C4035" s="113" t="s">
        <v>6402</v>
      </c>
      <c r="D4035" s="393" t="s">
        <v>41</v>
      </c>
      <c r="E4035" s="394" t="s">
        <v>6403</v>
      </c>
      <c r="F4035" s="402"/>
      <c r="G4035" s="405" t="s">
        <v>4928</v>
      </c>
      <c r="H4035" s="404">
        <v>336399</v>
      </c>
      <c r="I4035" s="402" t="s">
        <v>1</v>
      </c>
      <c r="J4035" s="406" t="s">
        <v>81</v>
      </c>
      <c r="K4035" s="403">
        <v>41585</v>
      </c>
      <c r="L4035" s="398">
        <v>41579</v>
      </c>
      <c r="M4035" s="402">
        <f t="shared" si="241"/>
        <v>6</v>
      </c>
      <c r="N4035" s="402" t="s">
        <v>2</v>
      </c>
      <c r="O4035" s="404"/>
      <c r="P4035" s="402">
        <v>5.31</v>
      </c>
      <c r="Q4035" s="404"/>
      <c r="R4035" s="402">
        <v>94</v>
      </c>
      <c r="S4035" s="404">
        <v>9</v>
      </c>
      <c r="T4035" s="402"/>
      <c r="U4035" s="395">
        <v>5.29</v>
      </c>
      <c r="V4035" s="402"/>
      <c r="W4035" s="404"/>
      <c r="X4035" s="402"/>
      <c r="Y4035" s="404"/>
      <c r="Z4035" s="397"/>
      <c r="AA4035" s="399"/>
      <c r="AB4035" s="394"/>
      <c r="AC4035" s="402"/>
      <c r="AD4035" s="399"/>
      <c r="AE4035" s="402"/>
      <c r="AF4035" s="391"/>
      <c r="AG4035" s="394"/>
      <c r="AH4035" s="394"/>
      <c r="AI4035" s="394"/>
      <c r="AJ4035" s="394"/>
      <c r="AK4035" s="394"/>
      <c r="AL4035" s="394"/>
      <c r="AM4035" s="394"/>
      <c r="AN4035" s="394"/>
      <c r="AO4035" s="394"/>
      <c r="AP4035" s="394"/>
      <c r="AQ4035" s="394"/>
      <c r="AR4035" s="394"/>
      <c r="AS4035" s="402"/>
      <c r="AT4035" s="404"/>
      <c r="AU4035" s="394"/>
      <c r="AV4035" s="394"/>
      <c r="AW4035" s="394"/>
      <c r="AX4035" s="5"/>
      <c r="AY4035" s="5"/>
      <c r="AZ4035" s="5"/>
      <c r="BA4035" s="5"/>
      <c r="BB4035" s="5"/>
      <c r="BC4035" s="5"/>
      <c r="BD4035" s="5"/>
      <c r="BE4035" s="5"/>
      <c r="BF4035" s="5"/>
      <c r="BG4035" s="5"/>
      <c r="BH4035" s="5"/>
      <c r="BI4035" s="5"/>
      <c r="BJ4035" s="5"/>
      <c r="BK4035" s="5"/>
      <c r="BL4035" s="5"/>
      <c r="BM4035" s="5"/>
      <c r="BN4035" s="5"/>
      <c r="BO4035" s="5"/>
      <c r="BP4035" s="5"/>
      <c r="BQ4035" s="5"/>
      <c r="BR4035" s="5"/>
      <c r="BS4035" s="5"/>
      <c r="BT4035" s="5"/>
      <c r="BU4035" s="5"/>
      <c r="BV4035" s="5"/>
      <c r="BW4035" s="5"/>
      <c r="BX4035" s="5"/>
      <c r="BY4035" s="5"/>
      <c r="BZ4035" s="5"/>
      <c r="CA4035" s="5"/>
    </row>
    <row r="4036" spans="1:79" s="400" customFormat="1" ht="15" customHeight="1">
      <c r="A4036" s="404" t="s">
        <v>5328</v>
      </c>
      <c r="B4036" s="402" t="s">
        <v>6402</v>
      </c>
      <c r="C4036" s="113" t="s">
        <v>6402</v>
      </c>
      <c r="D4036" s="393" t="s">
        <v>41</v>
      </c>
      <c r="E4036" s="394" t="s">
        <v>6403</v>
      </c>
      <c r="F4036" s="402"/>
      <c r="G4036" s="405" t="s">
        <v>4928</v>
      </c>
      <c r="H4036" s="404">
        <v>336399</v>
      </c>
      <c r="I4036" s="402" t="s">
        <v>1</v>
      </c>
      <c r="J4036" s="406" t="s">
        <v>114</v>
      </c>
      <c r="K4036" s="403">
        <v>41585</v>
      </c>
      <c r="L4036" s="398">
        <v>41579</v>
      </c>
      <c r="M4036" s="402">
        <f t="shared" si="241"/>
        <v>6</v>
      </c>
      <c r="N4036" s="402" t="s">
        <v>2</v>
      </c>
      <c r="O4036" s="404"/>
      <c r="P4036" s="402">
        <v>5.31</v>
      </c>
      <c r="Q4036" s="404"/>
      <c r="R4036" s="402"/>
      <c r="S4036" s="404"/>
      <c r="T4036" s="402"/>
      <c r="U4036" s="395">
        <v>3.23</v>
      </c>
      <c r="V4036" s="402"/>
      <c r="W4036" s="404"/>
      <c r="X4036" s="402"/>
      <c r="Y4036" s="404"/>
      <c r="Z4036" s="397"/>
      <c r="AA4036" s="399"/>
      <c r="AB4036" s="394"/>
      <c r="AC4036" s="402"/>
      <c r="AD4036" s="399"/>
      <c r="AE4036" s="402"/>
      <c r="AF4036" s="391"/>
      <c r="AG4036" s="394"/>
      <c r="AH4036" s="394"/>
      <c r="AI4036" s="394"/>
      <c r="AJ4036" s="394"/>
      <c r="AK4036" s="394"/>
      <c r="AL4036" s="394"/>
      <c r="AM4036" s="394"/>
      <c r="AN4036" s="394"/>
      <c r="AO4036" s="394"/>
      <c r="AP4036" s="394"/>
      <c r="AQ4036" s="394"/>
      <c r="AR4036" s="394"/>
      <c r="AS4036" s="402"/>
      <c r="AT4036" s="404"/>
      <c r="AU4036" s="394"/>
      <c r="AV4036" s="394"/>
      <c r="AW4036" s="394"/>
      <c r="AX4036" s="5"/>
      <c r="AY4036" s="5"/>
      <c r="AZ4036" s="5"/>
      <c r="BA4036" s="5"/>
      <c r="BB4036" s="5"/>
      <c r="BC4036" s="5"/>
      <c r="BD4036" s="5"/>
      <c r="BE4036" s="5"/>
      <c r="BF4036" s="5"/>
      <c r="BG4036" s="5"/>
      <c r="BH4036" s="5"/>
      <c r="BI4036" s="5"/>
      <c r="BJ4036" s="5"/>
      <c r="BK4036" s="5"/>
      <c r="BL4036" s="5"/>
      <c r="BM4036" s="5"/>
      <c r="BN4036" s="5"/>
      <c r="BO4036" s="5"/>
      <c r="BP4036" s="5"/>
      <c r="BQ4036" s="5"/>
      <c r="BR4036" s="5"/>
      <c r="BS4036" s="5"/>
      <c r="BT4036" s="5"/>
      <c r="BU4036" s="5"/>
      <c r="BV4036" s="5"/>
      <c r="BW4036" s="5"/>
      <c r="BX4036" s="5"/>
      <c r="BY4036" s="5"/>
      <c r="BZ4036" s="5"/>
      <c r="CA4036" s="5"/>
    </row>
    <row r="4037" spans="1:79" s="400" customFormat="1" ht="15" customHeight="1">
      <c r="A4037" s="404" t="s">
        <v>5328</v>
      </c>
      <c r="B4037" s="402" t="s">
        <v>6402</v>
      </c>
      <c r="C4037" s="113" t="s">
        <v>6402</v>
      </c>
      <c r="D4037" s="393" t="s">
        <v>41</v>
      </c>
      <c r="E4037" s="394" t="s">
        <v>6403</v>
      </c>
      <c r="F4037" s="402"/>
      <c r="G4037" s="405" t="s">
        <v>4928</v>
      </c>
      <c r="H4037" s="404">
        <v>336399</v>
      </c>
      <c r="I4037" s="402" t="s">
        <v>1</v>
      </c>
      <c r="J4037" s="406" t="s">
        <v>115</v>
      </c>
      <c r="K4037" s="403">
        <v>41585</v>
      </c>
      <c r="L4037" s="398">
        <v>41579</v>
      </c>
      <c r="M4037" s="402">
        <f t="shared" si="241"/>
        <v>6</v>
      </c>
      <c r="N4037" s="402" t="s">
        <v>2</v>
      </c>
      <c r="O4037" s="404"/>
      <c r="P4037" s="402">
        <v>5.31</v>
      </c>
      <c r="Q4037" s="404"/>
      <c r="R4037" s="402"/>
      <c r="S4037" s="404">
        <v>49</v>
      </c>
      <c r="T4037" s="402"/>
      <c r="U4037" s="395"/>
      <c r="V4037" s="402"/>
      <c r="W4037" s="404"/>
      <c r="X4037" s="402">
        <v>7.4999999999999997E-2</v>
      </c>
      <c r="Y4037" s="404"/>
      <c r="Z4037" s="397"/>
      <c r="AA4037" s="399"/>
      <c r="AB4037" s="394"/>
      <c r="AC4037" s="402"/>
      <c r="AD4037" s="399"/>
      <c r="AE4037" s="402"/>
      <c r="AF4037" s="391"/>
      <c r="AG4037" s="394"/>
      <c r="AH4037" s="394"/>
      <c r="AI4037" s="394"/>
      <c r="AJ4037" s="394"/>
      <c r="AK4037" s="394"/>
      <c r="AL4037" s="394"/>
      <c r="AM4037" s="394"/>
      <c r="AN4037" s="394"/>
      <c r="AO4037" s="394"/>
      <c r="AP4037" s="394"/>
      <c r="AQ4037" s="394"/>
      <c r="AR4037" s="394"/>
      <c r="AS4037" s="402"/>
      <c r="AT4037" s="404"/>
      <c r="AU4037" s="394"/>
      <c r="AV4037" s="394"/>
      <c r="AW4037" s="394"/>
      <c r="AX4037" s="5"/>
      <c r="AY4037" s="5"/>
      <c r="AZ4037" s="5"/>
      <c r="BA4037" s="5"/>
      <c r="BB4037" s="5"/>
      <c r="BC4037" s="5"/>
      <c r="BD4037" s="5"/>
      <c r="BE4037" s="5"/>
      <c r="BF4037" s="5"/>
      <c r="BG4037" s="5"/>
      <c r="BH4037" s="5"/>
      <c r="BI4037" s="5"/>
      <c r="BJ4037" s="5"/>
      <c r="BK4037" s="5"/>
      <c r="BL4037" s="5"/>
      <c r="BM4037" s="5"/>
      <c r="BN4037" s="5"/>
      <c r="BO4037" s="5"/>
      <c r="BP4037" s="5"/>
      <c r="BQ4037" s="5"/>
      <c r="BR4037" s="5"/>
      <c r="BS4037" s="5"/>
      <c r="BT4037" s="5"/>
      <c r="BU4037" s="5"/>
      <c r="BV4037" s="5"/>
      <c r="BW4037" s="5"/>
      <c r="BX4037" s="5"/>
      <c r="BY4037" s="5"/>
      <c r="BZ4037" s="5"/>
      <c r="CA4037" s="5"/>
    </row>
    <row r="4038" spans="1:79" ht="15" customHeight="1">
      <c r="A4038" s="404" t="s">
        <v>4668</v>
      </c>
      <c r="B4038" s="402" t="s">
        <v>6391</v>
      </c>
      <c r="C4038" s="113" t="s">
        <v>6391</v>
      </c>
      <c r="D4038" s="393" t="s">
        <v>2372</v>
      </c>
      <c r="E4038" s="394" t="s">
        <v>1293</v>
      </c>
      <c r="G4038" s="405" t="s">
        <v>6392</v>
      </c>
      <c r="H4038" s="74">
        <v>3086</v>
      </c>
      <c r="I4038" s="50" t="s">
        <v>2</v>
      </c>
      <c r="J4038" s="339" t="s">
        <v>6393</v>
      </c>
      <c r="K4038" s="51">
        <v>41579</v>
      </c>
      <c r="L4038" s="173">
        <v>41554</v>
      </c>
      <c r="M4038" s="50">
        <f t="shared" si="241"/>
        <v>25</v>
      </c>
      <c r="N4038" s="50" t="s">
        <v>2</v>
      </c>
      <c r="O4038" s="74">
        <v>2</v>
      </c>
      <c r="P4038" s="50">
        <v>7.6</v>
      </c>
      <c r="Q4038" s="74">
        <v>6.9</v>
      </c>
      <c r="R4038" s="50">
        <f>10/2</f>
        <v>5</v>
      </c>
      <c r="S4038" s="74">
        <v>15</v>
      </c>
      <c r="T4038" s="50">
        <v>0.05</v>
      </c>
      <c r="U4038" s="131">
        <v>1.1399999999999999</v>
      </c>
      <c r="V4038" s="50">
        <v>4.6500000000000004</v>
      </c>
      <c r="W4038" s="74">
        <v>9.0999999999999998E-2</v>
      </c>
      <c r="X4038" s="50">
        <v>0.35399999999999998</v>
      </c>
      <c r="Y4038" s="74">
        <f>0.03/2</f>
        <v>1.4999999999999999E-2</v>
      </c>
      <c r="Z4038" s="165">
        <v>0.41099999999999998</v>
      </c>
      <c r="AA4038" s="271">
        <v>0.19500000000000001</v>
      </c>
      <c r="AB4038" s="114">
        <v>15</v>
      </c>
      <c r="AC4038" s="50">
        <v>67</v>
      </c>
      <c r="AD4038" s="271">
        <v>0</v>
      </c>
    </row>
    <row r="4039" spans="1:79" s="400" customFormat="1" ht="15" customHeight="1">
      <c r="A4039" s="41" t="s">
        <v>183</v>
      </c>
      <c r="B4039" s="402" t="s">
        <v>1974</v>
      </c>
      <c r="C4039" s="113" t="s">
        <v>1975</v>
      </c>
      <c r="D4039" s="393" t="s">
        <v>262</v>
      </c>
      <c r="E4039" s="394" t="s">
        <v>1976</v>
      </c>
      <c r="F4039" s="402">
        <v>7000</v>
      </c>
      <c r="G4039" s="405" t="s">
        <v>1977</v>
      </c>
      <c r="H4039" s="113">
        <v>3728</v>
      </c>
      <c r="I4039" s="391" t="s">
        <v>1</v>
      </c>
      <c r="J4039" s="401" t="s">
        <v>1978</v>
      </c>
      <c r="K4039" s="403">
        <v>41604</v>
      </c>
      <c r="L4039" s="398">
        <v>41600</v>
      </c>
      <c r="M4039" s="402">
        <f t="shared" si="241"/>
        <v>4</v>
      </c>
      <c r="N4039" s="402" t="s">
        <v>2</v>
      </c>
      <c r="O4039" s="404"/>
      <c r="P4039" s="402"/>
      <c r="Q4039" s="404"/>
      <c r="R4039" s="402">
        <v>73</v>
      </c>
      <c r="S4039" s="404"/>
      <c r="T4039" s="402"/>
      <c r="U4039" s="395"/>
      <c r="V4039" s="402"/>
      <c r="W4039" s="404"/>
      <c r="X4039" s="402">
        <v>0.14000000000000001</v>
      </c>
      <c r="Y4039" s="404"/>
      <c r="Z4039" s="397"/>
      <c r="AA4039" s="399"/>
      <c r="AB4039" s="394"/>
      <c r="AC4039" s="402"/>
      <c r="AD4039" s="399"/>
      <c r="AE4039" s="402"/>
      <c r="AF4039" s="391"/>
      <c r="AG4039" s="394"/>
      <c r="AH4039" s="394"/>
      <c r="AI4039" s="394"/>
      <c r="AJ4039" s="394">
        <v>20</v>
      </c>
      <c r="AK4039" s="394"/>
      <c r="AL4039" s="394"/>
      <c r="AM4039" s="394"/>
      <c r="AN4039" s="394"/>
      <c r="AO4039" s="394"/>
      <c r="AP4039" s="394"/>
      <c r="AQ4039" s="394"/>
      <c r="AR4039" s="394"/>
      <c r="AS4039" s="402"/>
      <c r="AT4039" s="404"/>
      <c r="AU4039" s="394"/>
      <c r="AV4039" s="394"/>
      <c r="AW4039" s="394"/>
      <c r="AX4039" s="5"/>
      <c r="AY4039" s="5">
        <f t="shared" ref="AY4039:AZ4041" si="242">1/2</f>
        <v>0.5</v>
      </c>
      <c r="AZ4039" s="5">
        <f t="shared" si="242"/>
        <v>0.5</v>
      </c>
      <c r="BA4039" s="5">
        <f>0.3/2</f>
        <v>0.15</v>
      </c>
      <c r="BB4039" s="5">
        <f t="shared" ref="BB4039:BC4041" si="243">1/2</f>
        <v>0.5</v>
      </c>
      <c r="BC4039" s="5">
        <f t="shared" si="243"/>
        <v>0.5</v>
      </c>
      <c r="BD4039" s="5">
        <v>1.2</v>
      </c>
      <c r="BE4039" s="5">
        <f>1/2</f>
        <v>0.5</v>
      </c>
      <c r="BF4039" s="5">
        <v>2.6</v>
      </c>
      <c r="BG4039" s="5">
        <v>2</v>
      </c>
      <c r="BH4039" s="5">
        <v>1.1000000000000001</v>
      </c>
      <c r="BI4039" s="5">
        <v>1.4</v>
      </c>
      <c r="BJ4039" s="5">
        <v>2.2000000000000002</v>
      </c>
      <c r="BK4039" s="5">
        <v>0.51</v>
      </c>
      <c r="BL4039" s="5">
        <v>1.3</v>
      </c>
      <c r="BM4039" s="5">
        <v>1.6</v>
      </c>
      <c r="BN4039" s="5">
        <v>0.37</v>
      </c>
      <c r="BO4039" s="5">
        <v>1.3</v>
      </c>
      <c r="BP4039" s="5"/>
      <c r="BQ4039" s="5"/>
      <c r="BR4039" s="5"/>
      <c r="BS4039" s="5"/>
      <c r="BT4039" s="5"/>
      <c r="BU4039" s="5"/>
      <c r="BV4039" s="5"/>
      <c r="BW4039" s="5"/>
      <c r="BX4039" s="5"/>
      <c r="BY4039" s="5"/>
      <c r="BZ4039" s="5"/>
      <c r="CA4039" s="5"/>
    </row>
    <row r="4040" spans="1:79" s="400" customFormat="1" ht="15" customHeight="1">
      <c r="A4040" s="41" t="s">
        <v>183</v>
      </c>
      <c r="B4040" s="402" t="s">
        <v>1974</v>
      </c>
      <c r="C4040" s="113" t="s">
        <v>1975</v>
      </c>
      <c r="D4040" s="393" t="s">
        <v>262</v>
      </c>
      <c r="E4040" s="394" t="s">
        <v>1976</v>
      </c>
      <c r="F4040" s="402">
        <v>7000</v>
      </c>
      <c r="G4040" s="405" t="s">
        <v>1977</v>
      </c>
      <c r="H4040" s="113">
        <v>3728</v>
      </c>
      <c r="I4040" s="391" t="s">
        <v>1</v>
      </c>
      <c r="J4040" s="401" t="s">
        <v>1979</v>
      </c>
      <c r="K4040" s="403">
        <v>41604</v>
      </c>
      <c r="L4040" s="398">
        <v>41600</v>
      </c>
      <c r="M4040" s="402">
        <f t="shared" si="241"/>
        <v>4</v>
      </c>
      <c r="N4040" s="402" t="s">
        <v>2</v>
      </c>
      <c r="O4040" s="404"/>
      <c r="P4040" s="402"/>
      <c r="Q4040" s="404"/>
      <c r="R4040" s="402">
        <v>53</v>
      </c>
      <c r="S4040" s="404"/>
      <c r="T4040" s="402"/>
      <c r="U4040" s="395"/>
      <c r="V4040" s="402"/>
      <c r="W4040" s="404"/>
      <c r="X4040" s="402">
        <v>0.14000000000000001</v>
      </c>
      <c r="Y4040" s="404"/>
      <c r="Z4040" s="397"/>
      <c r="AA4040" s="399"/>
      <c r="AB4040" s="394"/>
      <c r="AC4040" s="402"/>
      <c r="AD4040" s="399"/>
      <c r="AE4040" s="402"/>
      <c r="AF4040" s="391"/>
      <c r="AG4040" s="394"/>
      <c r="AH4040" s="394"/>
      <c r="AI4040" s="394"/>
      <c r="AJ4040" s="394">
        <v>10</v>
      </c>
      <c r="AK4040" s="394"/>
      <c r="AL4040" s="394"/>
      <c r="AM4040" s="394"/>
      <c r="AN4040" s="394"/>
      <c r="AO4040" s="394"/>
      <c r="AP4040" s="394"/>
      <c r="AQ4040" s="394"/>
      <c r="AR4040" s="394"/>
      <c r="AS4040" s="402"/>
      <c r="AT4040" s="404"/>
      <c r="AU4040" s="394"/>
      <c r="AV4040" s="394"/>
      <c r="AW4040" s="394"/>
      <c r="AX4040" s="5"/>
      <c r="AY4040" s="5">
        <f t="shared" si="242"/>
        <v>0.5</v>
      </c>
      <c r="AZ4040" s="5">
        <f t="shared" si="242"/>
        <v>0.5</v>
      </c>
      <c r="BA4040" s="5">
        <f>0.3/2</f>
        <v>0.15</v>
      </c>
      <c r="BB4040" s="5">
        <f t="shared" si="243"/>
        <v>0.5</v>
      </c>
      <c r="BC4040" s="5">
        <f t="shared" si="243"/>
        <v>0.5</v>
      </c>
      <c r="BD4040" s="5">
        <f>0.077/2</f>
        <v>3.85E-2</v>
      </c>
      <c r="BE4040" s="5">
        <f>1/2</f>
        <v>0.5</v>
      </c>
      <c r="BF4040" s="5">
        <f>1/2</f>
        <v>0.5</v>
      </c>
      <c r="BG4040" s="5">
        <f>1/2</f>
        <v>0.5</v>
      </c>
      <c r="BH4040" s="5">
        <f>0.06/2</f>
        <v>0.03</v>
      </c>
      <c r="BI4040" s="5">
        <f>1/2</f>
        <v>0.5</v>
      </c>
      <c r="BJ4040" s="5">
        <f>0.08/2</f>
        <v>0.04</v>
      </c>
      <c r="BK4040" s="5">
        <f>0.3/2</f>
        <v>0.15</v>
      </c>
      <c r="BL4040" s="5">
        <f t="shared" ref="BL4040:BN4041" si="244">0.2/2</f>
        <v>0.1</v>
      </c>
      <c r="BM4040" s="5">
        <f t="shared" si="244"/>
        <v>0.1</v>
      </c>
      <c r="BN4040" s="5">
        <f t="shared" si="244"/>
        <v>0.1</v>
      </c>
      <c r="BO4040" s="5">
        <f>1/2</f>
        <v>0.5</v>
      </c>
      <c r="BP4040" s="5"/>
      <c r="BQ4040" s="5"/>
      <c r="BR4040" s="5"/>
      <c r="BS4040" s="5"/>
      <c r="BT4040" s="5"/>
      <c r="BU4040" s="5"/>
      <c r="BV4040" s="5"/>
      <c r="BW4040" s="5"/>
      <c r="BX4040" s="5"/>
      <c r="BY4040" s="5"/>
      <c r="BZ4040" s="5"/>
      <c r="CA4040" s="5"/>
    </row>
    <row r="4041" spans="1:79" s="400" customFormat="1" ht="15" customHeight="1">
      <c r="A4041" s="41" t="s">
        <v>183</v>
      </c>
      <c r="B4041" s="402" t="s">
        <v>1974</v>
      </c>
      <c r="C4041" s="113" t="s">
        <v>1975</v>
      </c>
      <c r="D4041" s="393" t="s">
        <v>262</v>
      </c>
      <c r="E4041" s="394" t="s">
        <v>1976</v>
      </c>
      <c r="F4041" s="402">
        <v>7000</v>
      </c>
      <c r="G4041" s="405" t="s">
        <v>1977</v>
      </c>
      <c r="H4041" s="113">
        <v>3728</v>
      </c>
      <c r="I4041" s="391" t="s">
        <v>1</v>
      </c>
      <c r="J4041" s="401" t="s">
        <v>1980</v>
      </c>
      <c r="K4041" s="403">
        <v>41604</v>
      </c>
      <c r="L4041" s="398">
        <v>41600</v>
      </c>
      <c r="M4041" s="402">
        <f t="shared" si="241"/>
        <v>4</v>
      </c>
      <c r="N4041" s="402" t="s">
        <v>2</v>
      </c>
      <c r="O4041" s="404"/>
      <c r="P4041" s="402"/>
      <c r="Q4041" s="404"/>
      <c r="R4041" s="402"/>
      <c r="S4041" s="404"/>
      <c r="T4041" s="402"/>
      <c r="U4041" s="395"/>
      <c r="V4041" s="402">
        <v>6.5</v>
      </c>
      <c r="W4041" s="404"/>
      <c r="X4041" s="402"/>
      <c r="Y4041" s="404"/>
      <c r="Z4041" s="397"/>
      <c r="AA4041" s="399"/>
      <c r="AB4041" s="394"/>
      <c r="AC4041" s="402"/>
      <c r="AD4041" s="399"/>
      <c r="AE4041" s="402"/>
      <c r="AF4041" s="391"/>
      <c r="AG4041" s="394"/>
      <c r="AH4041" s="394"/>
      <c r="AI4041" s="394"/>
      <c r="AJ4041" s="394">
        <f>10/2</f>
        <v>5</v>
      </c>
      <c r="AK4041" s="394"/>
      <c r="AL4041" s="394"/>
      <c r="AM4041" s="394"/>
      <c r="AN4041" s="394"/>
      <c r="AO4041" s="394"/>
      <c r="AP4041" s="394"/>
      <c r="AQ4041" s="394"/>
      <c r="AR4041" s="394"/>
      <c r="AS4041" s="402"/>
      <c r="AT4041" s="404"/>
      <c r="AU4041" s="394"/>
      <c r="AV4041" s="394"/>
      <c r="AW4041" s="394"/>
      <c r="AX4041" s="5"/>
      <c r="AY4041" s="5">
        <f t="shared" si="242"/>
        <v>0.5</v>
      </c>
      <c r="AZ4041" s="5">
        <f t="shared" si="242"/>
        <v>0.5</v>
      </c>
      <c r="BA4041" s="5">
        <f>0.3/2</f>
        <v>0.15</v>
      </c>
      <c r="BB4041" s="5">
        <f t="shared" si="243"/>
        <v>0.5</v>
      </c>
      <c r="BC4041" s="5">
        <f t="shared" si="243"/>
        <v>0.5</v>
      </c>
      <c r="BD4041" s="5">
        <f>0.077/2</f>
        <v>3.85E-2</v>
      </c>
      <c r="BE4041" s="5">
        <f>1/2</f>
        <v>0.5</v>
      </c>
      <c r="BF4041" s="5">
        <f>1/2</f>
        <v>0.5</v>
      </c>
      <c r="BG4041" s="5">
        <f>1/2</f>
        <v>0.5</v>
      </c>
      <c r="BH4041" s="5">
        <f>0.06/2</f>
        <v>0.03</v>
      </c>
      <c r="BI4041" s="5">
        <f>1/2</f>
        <v>0.5</v>
      </c>
      <c r="BJ4041" s="5">
        <f>0.08/2</f>
        <v>0.04</v>
      </c>
      <c r="BK4041" s="5">
        <f>0.3/2</f>
        <v>0.15</v>
      </c>
      <c r="BL4041" s="5">
        <f t="shared" si="244"/>
        <v>0.1</v>
      </c>
      <c r="BM4041" s="5">
        <f t="shared" si="244"/>
        <v>0.1</v>
      </c>
      <c r="BN4041" s="5">
        <f t="shared" si="244"/>
        <v>0.1</v>
      </c>
      <c r="BO4041" s="5">
        <f>1/2</f>
        <v>0.5</v>
      </c>
      <c r="BP4041" s="5"/>
      <c r="BQ4041" s="5"/>
      <c r="BR4041" s="5"/>
      <c r="BS4041" s="5"/>
      <c r="BT4041" s="5"/>
      <c r="BU4041" s="5"/>
      <c r="BV4041" s="5"/>
      <c r="BW4041" s="5"/>
      <c r="BX4041" s="5"/>
      <c r="BY4041" s="5"/>
      <c r="BZ4041" s="5"/>
      <c r="CA4041" s="5"/>
    </row>
    <row r="4042" spans="1:79" ht="15" customHeight="1">
      <c r="A4042" s="404" t="s">
        <v>4668</v>
      </c>
      <c r="B4042" s="385" t="s">
        <v>4287</v>
      </c>
      <c r="C4042" s="18" t="s">
        <v>4287</v>
      </c>
      <c r="D4042" s="377" t="s">
        <v>564</v>
      </c>
      <c r="E4042" s="20" t="s">
        <v>4288</v>
      </c>
      <c r="G4042" s="405" t="s">
        <v>4289</v>
      </c>
      <c r="H4042" s="74">
        <v>3089</v>
      </c>
      <c r="I4042" s="50" t="s">
        <v>2</v>
      </c>
      <c r="J4042" s="344" t="s">
        <v>4290</v>
      </c>
      <c r="K4042" s="51">
        <v>41600</v>
      </c>
      <c r="L4042" s="173" t="s">
        <v>5699</v>
      </c>
      <c r="N4042" s="50" t="s">
        <v>2</v>
      </c>
      <c r="O4042" s="74">
        <f>2/2</f>
        <v>1</v>
      </c>
      <c r="P4042" s="50">
        <v>6.6</v>
      </c>
      <c r="Q4042" s="74">
        <v>6.7</v>
      </c>
      <c r="R4042" s="50">
        <v>40</v>
      </c>
      <c r="S4042" s="74">
        <v>3</v>
      </c>
      <c r="T4042" s="50">
        <f>0.05/2</f>
        <v>2.5000000000000001E-2</v>
      </c>
      <c r="U4042" s="131">
        <v>0.45</v>
      </c>
      <c r="V4042" s="50">
        <v>0.56999999999999995</v>
      </c>
      <c r="W4042" s="74">
        <f>0.01/2</f>
        <v>5.0000000000000001E-3</v>
      </c>
      <c r="X4042" s="50">
        <v>2.56</v>
      </c>
      <c r="Y4042" s="74">
        <f>0.03/2</f>
        <v>1.4999999999999999E-2</v>
      </c>
      <c r="Z4042" s="165">
        <v>0.70699999999999996</v>
      </c>
      <c r="AA4042" s="271">
        <v>0.20300000000000001</v>
      </c>
      <c r="AB4042" s="114">
        <v>2</v>
      </c>
      <c r="AC4042" s="50">
        <v>26</v>
      </c>
      <c r="AD4042" s="271">
        <v>0</v>
      </c>
    </row>
    <row r="4043" spans="1:79" s="400" customFormat="1" ht="15" customHeight="1">
      <c r="A4043" s="41" t="s">
        <v>183</v>
      </c>
      <c r="B4043" s="402" t="s">
        <v>325</v>
      </c>
      <c r="C4043" s="113" t="s">
        <v>5037</v>
      </c>
      <c r="D4043" s="393" t="s">
        <v>56</v>
      </c>
      <c r="E4043" s="394" t="s">
        <v>95</v>
      </c>
      <c r="F4043" s="402"/>
      <c r="G4043" s="405" t="s">
        <v>995</v>
      </c>
      <c r="H4043" s="404">
        <v>5157</v>
      </c>
      <c r="I4043" s="402"/>
      <c r="J4043" s="404" t="s">
        <v>5078</v>
      </c>
      <c r="K4043" s="403">
        <v>41631</v>
      </c>
      <c r="L4043" s="398">
        <v>41625</v>
      </c>
      <c r="M4043" s="402">
        <f>K4043-L4043</f>
        <v>6</v>
      </c>
      <c r="N4043" s="402" t="s">
        <v>1</v>
      </c>
      <c r="O4043" s="404"/>
      <c r="P4043" s="402"/>
      <c r="Q4043" s="404"/>
      <c r="R4043" s="402"/>
      <c r="S4043" s="404">
        <v>200</v>
      </c>
      <c r="T4043" s="402">
        <v>0.62</v>
      </c>
      <c r="U4043" s="395"/>
      <c r="V4043" s="402"/>
      <c r="W4043" s="404"/>
      <c r="X4043" s="402">
        <v>0.56999999999999995</v>
      </c>
      <c r="Y4043" s="404">
        <v>0.12</v>
      </c>
      <c r="Z4043" s="397"/>
      <c r="AA4043" s="399"/>
      <c r="AB4043" s="394"/>
      <c r="AC4043" s="402"/>
      <c r="AD4043" s="399"/>
      <c r="AE4043" s="402"/>
      <c r="AF4043" s="391"/>
      <c r="AG4043" s="394"/>
      <c r="AH4043" s="394"/>
      <c r="AI4043" s="394"/>
      <c r="AJ4043" s="394"/>
      <c r="AK4043" s="394"/>
      <c r="AL4043" s="394"/>
      <c r="AM4043" s="394"/>
      <c r="AN4043" s="394"/>
      <c r="AO4043" s="394"/>
      <c r="AP4043" s="394"/>
      <c r="AQ4043" s="394"/>
      <c r="AR4043" s="394"/>
      <c r="AS4043" s="402"/>
      <c r="AT4043" s="404"/>
      <c r="AU4043" s="394"/>
      <c r="AV4043" s="394"/>
      <c r="AW4043" s="394"/>
      <c r="AX4043" s="5"/>
      <c r="AY4043" s="5"/>
      <c r="AZ4043" s="5"/>
      <c r="BA4043" s="5"/>
      <c r="BB4043" s="5"/>
      <c r="BC4043" s="5"/>
      <c r="BD4043" s="5"/>
      <c r="BE4043" s="5"/>
      <c r="BF4043" s="5"/>
      <c r="BG4043" s="5"/>
      <c r="BH4043" s="5"/>
      <c r="BI4043" s="5"/>
      <c r="BJ4043" s="5"/>
      <c r="BK4043" s="5"/>
      <c r="BL4043" s="5"/>
      <c r="BM4043" s="5"/>
      <c r="BN4043" s="5"/>
      <c r="BO4043" s="5"/>
      <c r="BP4043" s="5"/>
      <c r="BQ4043" s="5"/>
      <c r="BR4043" s="5"/>
      <c r="BS4043" s="5"/>
      <c r="BT4043" s="5"/>
      <c r="BU4043" s="5"/>
      <c r="BV4043" s="5"/>
      <c r="BW4043" s="5"/>
      <c r="BX4043" s="5"/>
      <c r="BY4043" s="5"/>
      <c r="BZ4043" s="5"/>
      <c r="CA4043" s="5"/>
    </row>
    <row r="4044" spans="1:79" ht="15" customHeight="1">
      <c r="A4044" s="404" t="s">
        <v>4668</v>
      </c>
      <c r="B4044" s="402" t="s">
        <v>4977</v>
      </c>
      <c r="C4044" s="113" t="s">
        <v>4977</v>
      </c>
      <c r="D4044" s="393" t="s">
        <v>192</v>
      </c>
      <c r="E4044" s="394" t="s">
        <v>922</v>
      </c>
      <c r="G4044" s="405" t="s">
        <v>923</v>
      </c>
      <c r="H4044" s="74">
        <v>3728</v>
      </c>
      <c r="I4044" s="50" t="s">
        <v>1</v>
      </c>
      <c r="J4044" s="339" t="s">
        <v>595</v>
      </c>
      <c r="K4044" s="51">
        <v>41585</v>
      </c>
      <c r="L4044" s="173">
        <v>41579</v>
      </c>
      <c r="M4044" s="50">
        <f t="shared" si="241"/>
        <v>6</v>
      </c>
      <c r="N4044" s="50" t="s">
        <v>2</v>
      </c>
      <c r="R4044" s="50">
        <v>65</v>
      </c>
      <c r="V4044" s="50">
        <v>1.17</v>
      </c>
      <c r="Z4044" s="165"/>
    </row>
    <row r="4045" spans="1:79" ht="15" customHeight="1">
      <c r="A4045" s="404" t="s">
        <v>4668</v>
      </c>
      <c r="B4045" s="402" t="s">
        <v>4977</v>
      </c>
      <c r="C4045" s="113" t="s">
        <v>4977</v>
      </c>
      <c r="D4045" s="393" t="s">
        <v>192</v>
      </c>
      <c r="E4045" s="394" t="s">
        <v>922</v>
      </c>
      <c r="G4045" s="405" t="s">
        <v>923</v>
      </c>
      <c r="H4045" s="74">
        <v>3728</v>
      </c>
      <c r="I4045" s="50" t="s">
        <v>1</v>
      </c>
      <c r="J4045" s="339" t="s">
        <v>2525</v>
      </c>
      <c r="K4045" s="51">
        <v>41585</v>
      </c>
      <c r="L4045" s="173">
        <v>41579</v>
      </c>
      <c r="M4045" s="50">
        <f t="shared" si="241"/>
        <v>6</v>
      </c>
      <c r="N4045" s="50" t="s">
        <v>2</v>
      </c>
      <c r="U4045" s="131">
        <v>2.35</v>
      </c>
      <c r="Z4045" s="165"/>
    </row>
    <row r="4046" spans="1:79" ht="15" customHeight="1">
      <c r="A4046" s="404" t="s">
        <v>4668</v>
      </c>
      <c r="B4046" s="402" t="s">
        <v>5007</v>
      </c>
      <c r="C4046" s="113" t="s">
        <v>1338</v>
      </c>
      <c r="D4046" s="393" t="s">
        <v>213</v>
      </c>
      <c r="E4046" s="394" t="s">
        <v>1339</v>
      </c>
      <c r="G4046" s="405" t="s">
        <v>1340</v>
      </c>
      <c r="H4046" s="74">
        <v>3724</v>
      </c>
      <c r="I4046" s="50" t="s">
        <v>2</v>
      </c>
      <c r="J4046" s="339" t="s">
        <v>425</v>
      </c>
      <c r="K4046" s="51">
        <v>41631</v>
      </c>
      <c r="L4046" s="173">
        <v>41614</v>
      </c>
      <c r="M4046" s="50">
        <f t="shared" si="241"/>
        <v>17</v>
      </c>
      <c r="N4046" s="50" t="s">
        <v>1</v>
      </c>
      <c r="P4046" s="50">
        <v>5.8</v>
      </c>
      <c r="Q4046" s="74">
        <v>5.5</v>
      </c>
      <c r="X4046" s="50">
        <v>0.106</v>
      </c>
      <c r="Z4046" s="165"/>
    </row>
    <row r="4047" spans="1:79" ht="15" customHeight="1">
      <c r="A4047" s="404" t="s">
        <v>4668</v>
      </c>
      <c r="B4047" s="402" t="s">
        <v>6404</v>
      </c>
      <c r="C4047" s="113" t="s">
        <v>6404</v>
      </c>
      <c r="D4047" s="393" t="s">
        <v>2374</v>
      </c>
      <c r="E4047" s="394" t="s">
        <v>6405</v>
      </c>
      <c r="G4047" s="405" t="s">
        <v>6406</v>
      </c>
      <c r="H4047" s="74">
        <v>3499</v>
      </c>
      <c r="I4047" s="50" t="s">
        <v>2</v>
      </c>
      <c r="J4047" s="339" t="s">
        <v>194</v>
      </c>
      <c r="K4047" s="51">
        <v>41579</v>
      </c>
      <c r="L4047" s="173">
        <v>41539</v>
      </c>
      <c r="M4047" s="50">
        <f t="shared" si="241"/>
        <v>40</v>
      </c>
      <c r="N4047" s="50" t="s">
        <v>2</v>
      </c>
      <c r="O4047" s="74">
        <f>5/2</f>
        <v>2.5</v>
      </c>
      <c r="P4047" s="50">
        <v>5</v>
      </c>
      <c r="Q4047" s="74">
        <v>6.2</v>
      </c>
      <c r="R4047" s="50">
        <v>77</v>
      </c>
      <c r="S4047" s="74">
        <v>36</v>
      </c>
      <c r="T4047" s="50">
        <v>0.16</v>
      </c>
      <c r="U4047" s="131">
        <v>1.32</v>
      </c>
      <c r="V4047" s="50">
        <v>0.87</v>
      </c>
      <c r="W4047" s="74">
        <v>0.49</v>
      </c>
      <c r="X4047" s="50">
        <v>0.19</v>
      </c>
      <c r="Y4047" s="74">
        <v>6.0000000000000001E-3</v>
      </c>
      <c r="Z4047" s="165">
        <v>0.33</v>
      </c>
      <c r="AA4047" s="271">
        <v>0.14799999999999999</v>
      </c>
      <c r="AB4047" s="114">
        <v>5.8</v>
      </c>
      <c r="AC4047" s="50">
        <v>64</v>
      </c>
      <c r="AD4047" s="271">
        <v>0</v>
      </c>
    </row>
    <row r="4048" spans="1:79" ht="15" customHeight="1">
      <c r="A4048" s="404" t="s">
        <v>4668</v>
      </c>
      <c r="B4048" s="402" t="s">
        <v>6404</v>
      </c>
      <c r="C4048" s="113" t="s">
        <v>6404</v>
      </c>
      <c r="D4048" s="393" t="s">
        <v>2374</v>
      </c>
      <c r="E4048" s="394" t="s">
        <v>6405</v>
      </c>
      <c r="G4048" s="405" t="s">
        <v>6406</v>
      </c>
      <c r="H4048" s="74">
        <v>3499</v>
      </c>
      <c r="I4048" s="50" t="s">
        <v>2</v>
      </c>
      <c r="J4048" s="339" t="s">
        <v>569</v>
      </c>
      <c r="K4048" s="51">
        <v>41579</v>
      </c>
      <c r="L4048" s="173">
        <v>41539</v>
      </c>
      <c r="M4048" s="50">
        <f t="shared" si="241"/>
        <v>40</v>
      </c>
      <c r="N4048" s="50" t="s">
        <v>2</v>
      </c>
      <c r="O4048" s="74">
        <f>5/2</f>
        <v>2.5</v>
      </c>
      <c r="P4048" s="50">
        <v>5</v>
      </c>
      <c r="Q4048" s="74">
        <v>5.7</v>
      </c>
      <c r="R4048" s="50">
        <v>421</v>
      </c>
      <c r="S4048" s="74">
        <v>468</v>
      </c>
      <c r="T4048" s="50">
        <v>0.26</v>
      </c>
      <c r="U4048" s="131">
        <v>3.82</v>
      </c>
      <c r="V4048" s="50">
        <v>0.56000000000000005</v>
      </c>
      <c r="W4048" s="74">
        <v>0.27</v>
      </c>
      <c r="X4048" s="50">
        <v>0.26</v>
      </c>
      <c r="Y4048" s="74">
        <v>1.2E-2</v>
      </c>
      <c r="Z4048" s="165">
        <v>0.59</v>
      </c>
      <c r="AA4048" s="271">
        <v>0.39</v>
      </c>
      <c r="AB4048" s="114">
        <v>10.6</v>
      </c>
      <c r="AC4048" s="50">
        <v>59</v>
      </c>
      <c r="AD4048" s="271">
        <v>0</v>
      </c>
    </row>
    <row r="4049" spans="1:79" ht="15" customHeight="1">
      <c r="A4049" s="404" t="s">
        <v>4668</v>
      </c>
      <c r="B4049" s="402" t="s">
        <v>6404</v>
      </c>
      <c r="C4049" s="113" t="s">
        <v>6404</v>
      </c>
      <c r="D4049" s="393" t="s">
        <v>2374</v>
      </c>
      <c r="E4049" s="394" t="s">
        <v>6405</v>
      </c>
      <c r="G4049" s="405" t="s">
        <v>6406</v>
      </c>
      <c r="H4049" s="74">
        <v>3499</v>
      </c>
      <c r="I4049" s="50" t="s">
        <v>2</v>
      </c>
      <c r="J4049" s="339" t="s">
        <v>586</v>
      </c>
      <c r="K4049" s="51">
        <v>41579</v>
      </c>
      <c r="L4049" s="173">
        <v>41539</v>
      </c>
      <c r="M4049" s="50">
        <f t="shared" si="241"/>
        <v>40</v>
      </c>
      <c r="N4049" s="50" t="s">
        <v>2</v>
      </c>
      <c r="O4049" s="74">
        <f>5/2</f>
        <v>2.5</v>
      </c>
      <c r="P4049" s="50">
        <v>5</v>
      </c>
      <c r="Q4049" s="74">
        <v>5.3</v>
      </c>
      <c r="R4049" s="50">
        <v>38</v>
      </c>
      <c r="S4049" s="74">
        <v>32</v>
      </c>
      <c r="T4049" s="50">
        <v>0.14000000000000001</v>
      </c>
      <c r="U4049" s="131">
        <f>0.5/2</f>
        <v>0.25</v>
      </c>
      <c r="V4049" s="50">
        <f>0.76</f>
        <v>0.76</v>
      </c>
      <c r="W4049" s="74">
        <v>1.08</v>
      </c>
      <c r="X4049" s="50">
        <v>0.21</v>
      </c>
      <c r="Y4049" s="74">
        <v>8.0000000000000002E-3</v>
      </c>
      <c r="Z4049" s="165">
        <v>6.25E-2</v>
      </c>
      <c r="AA4049" s="271">
        <v>6.25E-2</v>
      </c>
      <c r="AB4049" s="114">
        <v>1.84</v>
      </c>
      <c r="AC4049" s="50">
        <v>36</v>
      </c>
      <c r="AD4049" s="271">
        <v>0</v>
      </c>
    </row>
    <row r="4050" spans="1:79" ht="15" customHeight="1">
      <c r="A4050" s="404" t="s">
        <v>4668</v>
      </c>
      <c r="B4050" s="402" t="s">
        <v>5381</v>
      </c>
      <c r="C4050" s="113" t="s">
        <v>5381</v>
      </c>
      <c r="D4050" s="393" t="s">
        <v>372</v>
      </c>
      <c r="E4050" s="394" t="s">
        <v>1250</v>
      </c>
      <c r="F4050" s="402" t="s">
        <v>6223</v>
      </c>
      <c r="G4050" s="405" t="s">
        <v>5382</v>
      </c>
      <c r="H4050" s="74">
        <v>3469</v>
      </c>
      <c r="I4050" s="50" t="s">
        <v>2</v>
      </c>
      <c r="J4050" s="339" t="s">
        <v>5383</v>
      </c>
      <c r="K4050" s="51">
        <v>41653</v>
      </c>
      <c r="L4050" s="173">
        <v>41650</v>
      </c>
      <c r="M4050" s="50">
        <f t="shared" si="241"/>
        <v>3</v>
      </c>
      <c r="O4050" s="74">
        <v>2.6</v>
      </c>
      <c r="P4050" s="50">
        <v>4.6500000000000004</v>
      </c>
      <c r="Q4050" s="74">
        <v>6.98</v>
      </c>
      <c r="R4050" s="50">
        <v>57.3</v>
      </c>
      <c r="S4050" s="74">
        <v>109</v>
      </c>
      <c r="T4050" s="50">
        <v>0.4</v>
      </c>
      <c r="U4050" s="131">
        <v>4.12</v>
      </c>
      <c r="V4050" s="50">
        <f>0.2/2</f>
        <v>0.1</v>
      </c>
      <c r="W4050" s="74">
        <f>0.01/2</f>
        <v>5.0000000000000001E-3</v>
      </c>
      <c r="X4050" s="50">
        <v>0.11</v>
      </c>
      <c r="Y4050" s="74">
        <f>0.02/2</f>
        <v>0.01</v>
      </c>
      <c r="Z4050" s="165">
        <v>1</v>
      </c>
      <c r="AA4050" s="271">
        <v>1</v>
      </c>
      <c r="AB4050" s="114">
        <v>15.8</v>
      </c>
      <c r="AC4050" s="50">
        <v>71.2</v>
      </c>
      <c r="AD4050" s="271">
        <v>1</v>
      </c>
    </row>
    <row r="4051" spans="1:79" s="400" customFormat="1" ht="15" customHeight="1">
      <c r="A4051" s="41" t="s">
        <v>183</v>
      </c>
      <c r="B4051" s="386" t="s">
        <v>597</v>
      </c>
      <c r="C4051" s="149" t="s">
        <v>598</v>
      </c>
      <c r="D4051" s="392" t="s">
        <v>372</v>
      </c>
      <c r="E4051" s="258" t="s">
        <v>599</v>
      </c>
      <c r="F4051" s="402"/>
      <c r="G4051" s="405" t="s">
        <v>600</v>
      </c>
      <c r="H4051" s="404">
        <v>3273</v>
      </c>
      <c r="I4051" s="402" t="s">
        <v>1</v>
      </c>
      <c r="J4051" s="260" t="s">
        <v>366</v>
      </c>
      <c r="K4051" s="403">
        <v>41345</v>
      </c>
      <c r="L4051" s="398">
        <v>41341</v>
      </c>
      <c r="M4051" s="402">
        <f t="shared" si="241"/>
        <v>4</v>
      </c>
      <c r="N4051" s="402" t="s">
        <v>2</v>
      </c>
      <c r="O4051" s="404">
        <f>1.4/2</f>
        <v>0.7</v>
      </c>
      <c r="P4051" s="402">
        <v>5.6</v>
      </c>
      <c r="Q4051" s="404">
        <v>6.21</v>
      </c>
      <c r="R4051" s="402">
        <f>10/2</f>
        <v>5</v>
      </c>
      <c r="S4051" s="404">
        <v>6.5</v>
      </c>
      <c r="T4051" s="402">
        <f>0.02/2</f>
        <v>0.01</v>
      </c>
      <c r="U4051" s="395">
        <v>0.17</v>
      </c>
      <c r="V4051" s="402">
        <v>0.03</v>
      </c>
      <c r="W4051" s="404">
        <f>0.005/2</f>
        <v>2.5000000000000001E-3</v>
      </c>
      <c r="X4051" s="402">
        <v>0.01</v>
      </c>
      <c r="Y4051" s="404">
        <f>0.002/2</f>
        <v>1E-3</v>
      </c>
      <c r="Z4051" s="397">
        <v>1</v>
      </c>
      <c r="AA4051" s="399">
        <v>1</v>
      </c>
      <c r="AB4051" s="394">
        <v>2</v>
      </c>
      <c r="AC4051" s="402">
        <v>58</v>
      </c>
      <c r="AD4051" s="399">
        <v>0.9</v>
      </c>
      <c r="AE4051" s="402">
        <v>20</v>
      </c>
      <c r="AF4051" s="391"/>
      <c r="AG4051" s="394"/>
      <c r="AH4051" s="394"/>
      <c r="AI4051" s="394"/>
      <c r="AJ4051" s="394"/>
      <c r="AK4051" s="394"/>
      <c r="AL4051" s="394"/>
      <c r="AM4051" s="394"/>
      <c r="AN4051" s="394"/>
      <c r="AO4051" s="394"/>
      <c r="AP4051" s="394"/>
      <c r="AQ4051" s="394"/>
      <c r="AR4051" s="394"/>
      <c r="AS4051" s="402"/>
      <c r="AT4051" s="404"/>
      <c r="AU4051" s="394"/>
      <c r="AV4051" s="394"/>
      <c r="AW4051" s="394"/>
      <c r="AX4051" s="5"/>
      <c r="AY4051" s="5"/>
      <c r="AZ4051" s="5"/>
      <c r="BA4051" s="5"/>
      <c r="BB4051" s="5"/>
      <c r="BC4051" s="5"/>
      <c r="BD4051" s="5"/>
      <c r="BE4051" s="5"/>
      <c r="BF4051" s="5"/>
      <c r="BG4051" s="5"/>
      <c r="BH4051" s="5"/>
      <c r="BI4051" s="5"/>
      <c r="BJ4051" s="5"/>
      <c r="BK4051" s="5"/>
      <c r="BL4051" s="5"/>
      <c r="BM4051" s="5"/>
      <c r="BN4051" s="5"/>
      <c r="BO4051" s="5"/>
      <c r="BP4051" s="5"/>
      <c r="BQ4051" s="5"/>
      <c r="BR4051" s="5"/>
      <c r="BS4051" s="5"/>
      <c r="BT4051" s="5"/>
      <c r="BU4051" s="5"/>
      <c r="BV4051" s="5"/>
      <c r="BW4051" s="5"/>
      <c r="BX4051" s="5"/>
      <c r="BY4051" s="5"/>
      <c r="BZ4051" s="5"/>
      <c r="CA4051" s="5"/>
    </row>
    <row r="4052" spans="1:79" ht="15" customHeight="1">
      <c r="A4052" s="404" t="s">
        <v>4668</v>
      </c>
      <c r="B4052" s="402" t="s">
        <v>3248</v>
      </c>
      <c r="C4052" s="113" t="s">
        <v>3248</v>
      </c>
      <c r="D4052" s="393" t="s">
        <v>347</v>
      </c>
      <c r="E4052" s="394" t="s">
        <v>3249</v>
      </c>
      <c r="G4052" s="405" t="s">
        <v>3250</v>
      </c>
      <c r="H4052" s="74">
        <v>5171</v>
      </c>
      <c r="I4052" s="50" t="s">
        <v>1</v>
      </c>
      <c r="J4052" s="48" t="s">
        <v>3251</v>
      </c>
      <c r="K4052" s="51">
        <v>41579</v>
      </c>
      <c r="L4052" s="173">
        <v>41554</v>
      </c>
      <c r="M4052" s="50">
        <f t="shared" si="241"/>
        <v>25</v>
      </c>
      <c r="N4052" s="50" t="s">
        <v>2</v>
      </c>
      <c r="O4052" s="74">
        <f>2/2</f>
        <v>1</v>
      </c>
      <c r="P4052" s="50">
        <v>6.9</v>
      </c>
      <c r="Q4052" s="74">
        <v>7.1</v>
      </c>
      <c r="R4052" s="50">
        <v>57</v>
      </c>
      <c r="S4052" s="74">
        <v>20</v>
      </c>
      <c r="T4052" s="50">
        <v>0.3</v>
      </c>
      <c r="U4052" s="131">
        <v>1.41</v>
      </c>
      <c r="V4052" s="50">
        <v>0.34</v>
      </c>
      <c r="W4052" s="74">
        <v>2.5000000000000001E-2</v>
      </c>
      <c r="X4052" s="50">
        <v>5.8999999999999997E-2</v>
      </c>
      <c r="Y4052" s="74">
        <f>0.03/2</f>
        <v>1.4999999999999999E-2</v>
      </c>
      <c r="Z4052" s="165">
        <v>1</v>
      </c>
      <c r="AA4052" s="271">
        <v>1</v>
      </c>
      <c r="AB4052" s="114">
        <v>21</v>
      </c>
      <c r="AC4052" s="50">
        <v>74</v>
      </c>
      <c r="AD4052" s="271">
        <v>1</v>
      </c>
    </row>
    <row r="4053" spans="1:79" ht="15" customHeight="1">
      <c r="A4053" s="404" t="s">
        <v>4668</v>
      </c>
      <c r="B4053" s="385" t="s">
        <v>6407</v>
      </c>
      <c r="C4053" s="18" t="s">
        <v>6407</v>
      </c>
      <c r="D4053" s="377" t="s">
        <v>1524</v>
      </c>
      <c r="E4053" s="20" t="s">
        <v>686</v>
      </c>
      <c r="F4053" s="402" t="s">
        <v>5422</v>
      </c>
      <c r="G4053" s="405" t="s">
        <v>4384</v>
      </c>
      <c r="H4053" s="74">
        <v>2671</v>
      </c>
      <c r="I4053" s="50" t="s">
        <v>2</v>
      </c>
      <c r="J4053" s="339" t="s">
        <v>5423</v>
      </c>
      <c r="K4053" s="51">
        <v>41590</v>
      </c>
      <c r="L4053" s="173">
        <v>41589</v>
      </c>
      <c r="M4053" s="50">
        <f t="shared" si="241"/>
        <v>1</v>
      </c>
      <c r="N4053" s="50" t="s">
        <v>2</v>
      </c>
      <c r="O4053" s="74">
        <v>2.4</v>
      </c>
      <c r="P4053" s="50">
        <v>5.7</v>
      </c>
      <c r="Q4053" s="74">
        <v>6.6</v>
      </c>
      <c r="R4053" s="50">
        <v>35</v>
      </c>
      <c r="S4053" s="74">
        <v>6.6</v>
      </c>
      <c r="T4053" s="50">
        <v>4.2999999999999997E-2</v>
      </c>
      <c r="U4053" s="131">
        <v>2.2999999999999998</v>
      </c>
      <c r="V4053" s="50">
        <v>1.3</v>
      </c>
      <c r="W4053" s="74">
        <v>6.1999999999999998E-3</v>
      </c>
      <c r="X4053" s="50">
        <v>0.22</v>
      </c>
      <c r="Y4053" s="74">
        <f>0.002/2</f>
        <v>1E-3</v>
      </c>
      <c r="Z4053" s="165">
        <v>1</v>
      </c>
      <c r="AA4053" s="271">
        <v>0.72</v>
      </c>
      <c r="AB4053" s="114">
        <v>8</v>
      </c>
      <c r="AC4053" s="50">
        <v>41</v>
      </c>
      <c r="AD4053" s="271">
        <v>0.05</v>
      </c>
    </row>
    <row r="4054" spans="1:79" ht="15" customHeight="1">
      <c r="A4054" s="404" t="s">
        <v>4668</v>
      </c>
      <c r="B4054" s="402" t="s">
        <v>4784</v>
      </c>
      <c r="C4054" s="113" t="s">
        <v>4784</v>
      </c>
      <c r="D4054" s="393" t="s">
        <v>350</v>
      </c>
      <c r="E4054" s="394" t="s">
        <v>4785</v>
      </c>
      <c r="G4054" s="405" t="s">
        <v>4917</v>
      </c>
      <c r="H4054" s="74">
        <v>3629</v>
      </c>
      <c r="I4054" s="50" t="s">
        <v>2</v>
      </c>
      <c r="J4054" s="339" t="s">
        <v>510</v>
      </c>
      <c r="K4054" s="51">
        <v>41585</v>
      </c>
      <c r="L4054" s="173">
        <v>41579</v>
      </c>
      <c r="M4054" s="50">
        <f t="shared" si="241"/>
        <v>6</v>
      </c>
      <c r="N4054" s="50" t="s">
        <v>2</v>
      </c>
      <c r="V4054" s="50">
        <f>0.01/2</f>
        <v>5.0000000000000001E-3</v>
      </c>
      <c r="Z4054" s="165"/>
    </row>
    <row r="4055" spans="1:79" ht="15" customHeight="1">
      <c r="A4055" s="404" t="s">
        <v>4668</v>
      </c>
      <c r="B4055" s="402" t="s">
        <v>4784</v>
      </c>
      <c r="C4055" s="113" t="s">
        <v>4784</v>
      </c>
      <c r="D4055" s="393" t="s">
        <v>350</v>
      </c>
      <c r="E4055" s="394" t="s">
        <v>4785</v>
      </c>
      <c r="G4055" s="405" t="s">
        <v>4917</v>
      </c>
      <c r="H4055" s="74">
        <v>3629</v>
      </c>
      <c r="I4055" s="50" t="s">
        <v>2</v>
      </c>
      <c r="J4055" s="339" t="s">
        <v>357</v>
      </c>
      <c r="K4055" s="51">
        <v>41585</v>
      </c>
      <c r="L4055" s="173">
        <v>41579</v>
      </c>
      <c r="M4055" s="50">
        <f t="shared" si="241"/>
        <v>6</v>
      </c>
      <c r="N4055" s="50" t="s">
        <v>2</v>
      </c>
      <c r="U4055" s="131">
        <v>0.88</v>
      </c>
      <c r="X4055" s="50">
        <v>0.11799999999999999</v>
      </c>
      <c r="Z4055" s="165"/>
    </row>
    <row r="4056" spans="1:79" ht="15" customHeight="1">
      <c r="A4056" s="404" t="s">
        <v>4668</v>
      </c>
      <c r="B4056" s="402" t="s">
        <v>5723</v>
      </c>
      <c r="C4056" s="113" t="s">
        <v>5723</v>
      </c>
      <c r="D4056" s="393" t="s">
        <v>534</v>
      </c>
      <c r="E4056" s="394" t="s">
        <v>304</v>
      </c>
      <c r="G4056" s="405" t="s">
        <v>5724</v>
      </c>
      <c r="H4056" s="74"/>
      <c r="I4056" s="50" t="s">
        <v>1</v>
      </c>
      <c r="J4056" s="339" t="s">
        <v>5397</v>
      </c>
      <c r="K4056" s="51">
        <v>41332</v>
      </c>
      <c r="L4056" s="173">
        <v>41324</v>
      </c>
      <c r="M4056" s="50">
        <f t="shared" si="241"/>
        <v>8</v>
      </c>
      <c r="N4056" s="50" t="s">
        <v>1</v>
      </c>
      <c r="O4056" s="74">
        <f>5/2</f>
        <v>2.5</v>
      </c>
      <c r="P4056" s="50">
        <v>6.52</v>
      </c>
      <c r="Q4056" s="74">
        <v>8</v>
      </c>
      <c r="R4056" s="50">
        <v>11</v>
      </c>
      <c r="S4056" s="74">
        <v>3</v>
      </c>
      <c r="T4056" s="50">
        <f>0.01/2</f>
        <v>5.0000000000000001E-3</v>
      </c>
      <c r="U4056" s="131">
        <f>0.05/2</f>
        <v>2.5000000000000001E-2</v>
      </c>
      <c r="V4056" s="50">
        <v>2.5099999999999998</v>
      </c>
      <c r="W4056" s="74">
        <v>0.01</v>
      </c>
      <c r="X4056" s="50">
        <v>0.04</v>
      </c>
      <c r="Y4056" s="74">
        <f>0.001/2</f>
        <v>5.0000000000000001E-4</v>
      </c>
      <c r="Z4056" s="165">
        <v>1</v>
      </c>
      <c r="AA4056" s="271">
        <v>1</v>
      </c>
      <c r="AB4056" s="114">
        <v>180</v>
      </c>
      <c r="AC4056" s="50">
        <v>923</v>
      </c>
      <c r="AD4056" s="271">
        <v>1</v>
      </c>
    </row>
    <row r="4057" spans="1:79" ht="15" customHeight="1">
      <c r="A4057" s="404" t="s">
        <v>4668</v>
      </c>
      <c r="B4057" s="402" t="s">
        <v>5723</v>
      </c>
      <c r="C4057" s="113" t="s">
        <v>5723</v>
      </c>
      <c r="D4057" s="393" t="s">
        <v>534</v>
      </c>
      <c r="E4057" s="394" t="s">
        <v>304</v>
      </c>
      <c r="G4057" s="405" t="s">
        <v>5724</v>
      </c>
      <c r="H4057" s="74"/>
      <c r="I4057" s="50" t="s">
        <v>1</v>
      </c>
      <c r="J4057" s="339" t="s">
        <v>5397</v>
      </c>
      <c r="K4057" s="51">
        <v>41579</v>
      </c>
      <c r="L4057" s="173">
        <v>41554</v>
      </c>
      <c r="M4057" s="50">
        <f t="shared" si="241"/>
        <v>25</v>
      </c>
      <c r="N4057" s="50" t="s">
        <v>2</v>
      </c>
      <c r="O4057" s="74">
        <v>0.6</v>
      </c>
      <c r="P4057" s="50">
        <v>6.4</v>
      </c>
      <c r="Q4057" s="74">
        <v>8</v>
      </c>
      <c r="R4057" s="50">
        <v>5</v>
      </c>
      <c r="S4057" s="74">
        <v>2</v>
      </c>
      <c r="T4057" s="50">
        <v>0.02</v>
      </c>
      <c r="U4057" s="131">
        <f>0.05/2</f>
        <v>2.5000000000000001E-2</v>
      </c>
      <c r="V4057" s="50">
        <v>0.28999999999999998</v>
      </c>
      <c r="W4057" s="74">
        <v>0.03</v>
      </c>
      <c r="X4057" s="50">
        <v>0.02</v>
      </c>
      <c r="Y4057" s="74">
        <f>0.001/2</f>
        <v>5.0000000000000001E-4</v>
      </c>
      <c r="Z4057" s="165"/>
    </row>
    <row r="4058" spans="1:79" s="400" customFormat="1" ht="15" customHeight="1">
      <c r="A4058" s="41" t="s">
        <v>183</v>
      </c>
      <c r="B4058" s="402" t="s">
        <v>2022</v>
      </c>
      <c r="C4058" s="113" t="s">
        <v>2022</v>
      </c>
      <c r="D4058" s="393" t="s">
        <v>636</v>
      </c>
      <c r="E4058" s="394" t="s">
        <v>1859</v>
      </c>
      <c r="F4058" s="402">
        <v>3700</v>
      </c>
      <c r="G4058" s="405" t="s">
        <v>2023</v>
      </c>
      <c r="H4058" s="404">
        <v>3965</v>
      </c>
      <c r="I4058" s="402" t="s">
        <v>2</v>
      </c>
      <c r="J4058" s="406" t="s">
        <v>6408</v>
      </c>
      <c r="K4058" s="403">
        <v>41649</v>
      </c>
      <c r="L4058" s="398">
        <v>41645</v>
      </c>
      <c r="M4058" s="402">
        <f t="shared" si="241"/>
        <v>4</v>
      </c>
      <c r="N4058" s="402" t="s">
        <v>1</v>
      </c>
      <c r="O4058" s="404"/>
      <c r="P4058" s="402"/>
      <c r="Q4058" s="404"/>
      <c r="R4058" s="402"/>
      <c r="S4058" s="404"/>
      <c r="T4058" s="402"/>
      <c r="U4058" s="395">
        <v>0.76</v>
      </c>
      <c r="V4058" s="402"/>
      <c r="W4058" s="404"/>
      <c r="X4058" s="402"/>
      <c r="Y4058" s="404"/>
      <c r="Z4058" s="397"/>
      <c r="AA4058" s="399"/>
      <c r="AB4058" s="394"/>
      <c r="AC4058" s="402"/>
      <c r="AD4058" s="399"/>
      <c r="AE4058" s="402"/>
      <c r="AF4058" s="391"/>
      <c r="AG4058" s="394"/>
      <c r="AH4058" s="394"/>
      <c r="AI4058" s="394"/>
      <c r="AJ4058" s="394"/>
      <c r="AK4058" s="394"/>
      <c r="AL4058" s="394"/>
      <c r="AM4058" s="394"/>
      <c r="AN4058" s="394"/>
      <c r="AO4058" s="394"/>
      <c r="AP4058" s="394"/>
      <c r="AQ4058" s="394"/>
      <c r="AR4058" s="394"/>
      <c r="AS4058" s="402"/>
      <c r="AT4058" s="404"/>
      <c r="AU4058" s="394"/>
      <c r="AV4058" s="394"/>
      <c r="AW4058" s="394"/>
      <c r="AX4058" s="5"/>
      <c r="AY4058" s="5"/>
      <c r="AZ4058" s="5"/>
      <c r="BA4058" s="5"/>
      <c r="BB4058" s="5"/>
      <c r="BC4058" s="5"/>
      <c r="BD4058" s="5"/>
      <c r="BE4058" s="5"/>
      <c r="BF4058" s="5"/>
      <c r="BG4058" s="5"/>
      <c r="BH4058" s="5"/>
      <c r="BI4058" s="5"/>
      <c r="BJ4058" s="5"/>
      <c r="BK4058" s="5"/>
      <c r="BL4058" s="5"/>
      <c r="BM4058" s="5"/>
      <c r="BN4058" s="5"/>
      <c r="BO4058" s="5"/>
      <c r="BP4058" s="5"/>
      <c r="BQ4058" s="5"/>
      <c r="BR4058" s="5"/>
      <c r="BS4058" s="5"/>
      <c r="BT4058" s="5"/>
      <c r="BU4058" s="5"/>
      <c r="BV4058" s="5"/>
      <c r="BW4058" s="5"/>
      <c r="BX4058" s="5"/>
      <c r="BY4058" s="5"/>
      <c r="BZ4058" s="5"/>
      <c r="CA4058" s="5"/>
    </row>
    <row r="4059" spans="1:79" ht="15" customHeight="1">
      <c r="A4059" s="404" t="s">
        <v>4668</v>
      </c>
      <c r="B4059" s="402" t="s">
        <v>5752</v>
      </c>
      <c r="C4059" s="113" t="s">
        <v>5752</v>
      </c>
      <c r="D4059" s="393" t="s">
        <v>156</v>
      </c>
      <c r="E4059" s="394" t="s">
        <v>5753</v>
      </c>
      <c r="F4059" s="402">
        <v>4600</v>
      </c>
      <c r="G4059" s="405" t="s">
        <v>5754</v>
      </c>
      <c r="H4059" s="74" t="s">
        <v>5755</v>
      </c>
      <c r="I4059" s="50" t="s">
        <v>1</v>
      </c>
      <c r="J4059" s="339" t="s">
        <v>255</v>
      </c>
      <c r="K4059" s="51">
        <v>41585</v>
      </c>
      <c r="L4059" s="173">
        <v>41554</v>
      </c>
      <c r="M4059" s="50">
        <f t="shared" si="241"/>
        <v>31</v>
      </c>
      <c r="N4059" s="50" t="s">
        <v>2</v>
      </c>
      <c r="O4059" s="74">
        <f>1.4/2</f>
        <v>0.7</v>
      </c>
      <c r="P4059" s="50">
        <v>7.3</v>
      </c>
      <c r="Q4059" s="74">
        <v>7.86</v>
      </c>
      <c r="R4059" s="50">
        <v>19</v>
      </c>
      <c r="S4059" s="74">
        <f>5/2</f>
        <v>2.5</v>
      </c>
      <c r="T4059" s="50">
        <v>0.08</v>
      </c>
      <c r="U4059" s="131">
        <v>1.07</v>
      </c>
      <c r="V4059" s="50">
        <v>0.52</v>
      </c>
      <c r="W4059" s="74">
        <v>1.4E-2</v>
      </c>
      <c r="X4059" s="50">
        <v>2.7E-2</v>
      </c>
      <c r="Y4059" s="74">
        <f>0.002/2</f>
        <v>1E-3</v>
      </c>
      <c r="Z4059" s="165">
        <v>1</v>
      </c>
      <c r="AA4059" s="271">
        <v>1</v>
      </c>
      <c r="AB4059" s="114">
        <v>58</v>
      </c>
      <c r="AC4059" s="50">
        <v>177</v>
      </c>
      <c r="AD4059" s="271">
        <v>1</v>
      </c>
    </row>
    <row r="4060" spans="1:79" ht="15" customHeight="1">
      <c r="A4060" s="404" t="s">
        <v>4668</v>
      </c>
      <c r="B4060" s="402" t="s">
        <v>5752</v>
      </c>
      <c r="C4060" s="113" t="s">
        <v>5752</v>
      </c>
      <c r="D4060" s="393" t="s">
        <v>156</v>
      </c>
      <c r="E4060" s="394" t="s">
        <v>5753</v>
      </c>
      <c r="F4060" s="402">
        <v>4600</v>
      </c>
      <c r="G4060" s="405" t="s">
        <v>5754</v>
      </c>
      <c r="H4060" s="74" t="s">
        <v>5755</v>
      </c>
      <c r="I4060" s="50" t="s">
        <v>1</v>
      </c>
      <c r="J4060" s="339" t="s">
        <v>690</v>
      </c>
      <c r="K4060" s="51">
        <v>41585</v>
      </c>
      <c r="L4060" s="173">
        <v>41554</v>
      </c>
      <c r="M4060" s="50">
        <f t="shared" si="241"/>
        <v>31</v>
      </c>
      <c r="N4060" s="50" t="s">
        <v>2</v>
      </c>
      <c r="O4060" s="74">
        <f>1.4/2</f>
        <v>0.7</v>
      </c>
      <c r="P4060" s="50">
        <v>7.3</v>
      </c>
      <c r="Q4060" s="74">
        <v>7.86</v>
      </c>
      <c r="R4060" s="50">
        <v>19</v>
      </c>
      <c r="S4060" s="74">
        <v>270</v>
      </c>
      <c r="T4060" s="50">
        <v>0.54</v>
      </c>
      <c r="U4060" s="131">
        <v>1.4</v>
      </c>
      <c r="V4060" s="50">
        <v>0.93</v>
      </c>
      <c r="W4060" s="74">
        <v>0.58799999999999997</v>
      </c>
      <c r="X4060" s="50">
        <v>0.46</v>
      </c>
      <c r="Y4060" s="74">
        <v>9.6000000000000002E-2</v>
      </c>
      <c r="Z4060" s="165">
        <v>1</v>
      </c>
      <c r="AA4060" s="271">
        <v>1</v>
      </c>
      <c r="AB4060" s="114">
        <v>58</v>
      </c>
      <c r="AC4060" s="50">
        <v>177</v>
      </c>
      <c r="AD4060" s="271">
        <v>1</v>
      </c>
    </row>
    <row r="4061" spans="1:79" s="400" customFormat="1" ht="15" customHeight="1">
      <c r="A4061" s="41" t="s">
        <v>183</v>
      </c>
      <c r="B4061" s="386" t="s">
        <v>523</v>
      </c>
      <c r="C4061" s="149" t="s">
        <v>523</v>
      </c>
      <c r="D4061" s="392" t="s">
        <v>350</v>
      </c>
      <c r="E4061" s="258" t="s">
        <v>986</v>
      </c>
      <c r="F4061" s="402"/>
      <c r="G4061" s="405" t="s">
        <v>524</v>
      </c>
      <c r="H4061" s="404">
        <v>8734</v>
      </c>
      <c r="I4061" s="402" t="s">
        <v>2</v>
      </c>
      <c r="J4061" s="401" t="s">
        <v>1999</v>
      </c>
      <c r="K4061" s="403">
        <v>41604</v>
      </c>
      <c r="L4061" s="398">
        <v>41596</v>
      </c>
      <c r="M4061" s="402">
        <f t="shared" si="241"/>
        <v>8</v>
      </c>
      <c r="N4061" s="402" t="s">
        <v>2</v>
      </c>
      <c r="O4061" s="404">
        <f>2.5/2</f>
        <v>1.25</v>
      </c>
      <c r="P4061" s="402">
        <v>6.01</v>
      </c>
      <c r="Q4061" s="404">
        <v>6.25</v>
      </c>
      <c r="R4061" s="402">
        <v>47</v>
      </c>
      <c r="S4061" s="404">
        <v>10</v>
      </c>
      <c r="T4061" s="402">
        <f>0.1/2</f>
        <v>0.05</v>
      </c>
      <c r="U4061" s="395">
        <f>1/2</f>
        <v>0.5</v>
      </c>
      <c r="V4061" s="402">
        <v>0.63</v>
      </c>
      <c r="W4061" s="404">
        <f>0.04/2</f>
        <v>0.02</v>
      </c>
      <c r="X4061" s="402">
        <v>8.4000000000000005E-2</v>
      </c>
      <c r="Y4061" s="404">
        <f>0.013/2</f>
        <v>6.4999999999999997E-3</v>
      </c>
      <c r="Z4061" s="397"/>
      <c r="AA4061" s="399"/>
      <c r="AB4061" s="394"/>
      <c r="AC4061" s="402"/>
      <c r="AD4061" s="399"/>
      <c r="AE4061" s="402"/>
      <c r="AF4061" s="391"/>
      <c r="AG4061" s="394"/>
      <c r="AH4061" s="394"/>
      <c r="AI4061" s="394"/>
      <c r="AJ4061" s="394"/>
      <c r="AK4061" s="394"/>
      <c r="AL4061" s="394"/>
      <c r="AM4061" s="394"/>
      <c r="AN4061" s="394"/>
      <c r="AO4061" s="394"/>
      <c r="AP4061" s="394"/>
      <c r="AQ4061" s="394"/>
      <c r="AR4061" s="394"/>
      <c r="AS4061" s="402"/>
      <c r="AT4061" s="404"/>
      <c r="AU4061" s="394"/>
      <c r="AV4061" s="394"/>
      <c r="AW4061" s="394"/>
      <c r="AX4061" s="5"/>
      <c r="AY4061" s="5"/>
      <c r="AZ4061" s="5"/>
      <c r="BA4061" s="5"/>
      <c r="BB4061" s="5"/>
      <c r="BC4061" s="5"/>
      <c r="BD4061" s="5"/>
      <c r="BE4061" s="5"/>
      <c r="BF4061" s="5"/>
      <c r="BG4061" s="5"/>
      <c r="BH4061" s="5"/>
      <c r="BI4061" s="5"/>
      <c r="BJ4061" s="5"/>
      <c r="BK4061" s="5"/>
      <c r="BL4061" s="5"/>
      <c r="BM4061" s="5"/>
      <c r="BN4061" s="5"/>
      <c r="BO4061" s="5"/>
      <c r="BP4061" s="5"/>
      <c r="BQ4061" s="5"/>
      <c r="BR4061" s="5"/>
      <c r="BS4061" s="5"/>
      <c r="BT4061" s="5"/>
      <c r="BU4061" s="5"/>
      <c r="BV4061" s="5"/>
      <c r="BW4061" s="5"/>
      <c r="BX4061" s="5"/>
      <c r="BY4061" s="5"/>
      <c r="BZ4061" s="5"/>
      <c r="CA4061" s="5"/>
    </row>
    <row r="4062" spans="1:79" s="400" customFormat="1" ht="15" customHeight="1">
      <c r="A4062" s="41" t="s">
        <v>183</v>
      </c>
      <c r="B4062" s="386" t="s">
        <v>523</v>
      </c>
      <c r="C4062" s="149" t="s">
        <v>523</v>
      </c>
      <c r="D4062" s="392" t="s">
        <v>350</v>
      </c>
      <c r="E4062" s="258" t="s">
        <v>986</v>
      </c>
      <c r="F4062" s="402"/>
      <c r="G4062" s="405" t="s">
        <v>524</v>
      </c>
      <c r="H4062" s="404">
        <v>8734</v>
      </c>
      <c r="I4062" s="402" t="s">
        <v>2</v>
      </c>
      <c r="J4062" s="401" t="s">
        <v>249</v>
      </c>
      <c r="K4062" s="403">
        <v>41604</v>
      </c>
      <c r="L4062" s="398">
        <v>41596</v>
      </c>
      <c r="M4062" s="402">
        <f t="shared" si="241"/>
        <v>8</v>
      </c>
      <c r="N4062" s="402" t="s">
        <v>2</v>
      </c>
      <c r="O4062" s="404"/>
      <c r="P4062" s="402"/>
      <c r="Q4062" s="404"/>
      <c r="R4062" s="402"/>
      <c r="S4062" s="404"/>
      <c r="T4062" s="402"/>
      <c r="U4062" s="395"/>
      <c r="V4062" s="402"/>
      <c r="W4062" s="404"/>
      <c r="X4062" s="402">
        <v>0.33</v>
      </c>
      <c r="Y4062" s="404"/>
      <c r="Z4062" s="397"/>
      <c r="AA4062" s="399"/>
      <c r="AB4062" s="394"/>
      <c r="AC4062" s="402"/>
      <c r="AD4062" s="399"/>
      <c r="AE4062" s="402"/>
      <c r="AF4062" s="391"/>
      <c r="AG4062" s="394"/>
      <c r="AH4062" s="394"/>
      <c r="AI4062" s="394"/>
      <c r="AJ4062" s="394"/>
      <c r="AK4062" s="394"/>
      <c r="AL4062" s="394"/>
      <c r="AM4062" s="394"/>
      <c r="AN4062" s="394"/>
      <c r="AO4062" s="394"/>
      <c r="AP4062" s="394"/>
      <c r="AQ4062" s="394"/>
      <c r="AR4062" s="394"/>
      <c r="AS4062" s="402"/>
      <c r="AT4062" s="404"/>
      <c r="AU4062" s="394"/>
      <c r="AV4062" s="394"/>
      <c r="AW4062" s="394"/>
      <c r="AX4062" s="5"/>
      <c r="AY4062" s="5"/>
      <c r="AZ4062" s="5"/>
      <c r="BA4062" s="5"/>
      <c r="BB4062" s="5"/>
      <c r="BC4062" s="5"/>
      <c r="BD4062" s="5"/>
      <c r="BE4062" s="5"/>
      <c r="BF4062" s="5"/>
      <c r="BG4062" s="5"/>
      <c r="BH4062" s="5"/>
      <c r="BI4062" s="5"/>
      <c r="BJ4062" s="5"/>
      <c r="BK4062" s="5"/>
      <c r="BL4062" s="5"/>
      <c r="BM4062" s="5"/>
      <c r="BN4062" s="5"/>
      <c r="BO4062" s="5"/>
      <c r="BP4062" s="5"/>
      <c r="BQ4062" s="5"/>
      <c r="BR4062" s="5"/>
      <c r="BS4062" s="5"/>
      <c r="BT4062" s="5"/>
      <c r="BU4062" s="5"/>
      <c r="BV4062" s="5"/>
      <c r="BW4062" s="5"/>
      <c r="BX4062" s="5"/>
      <c r="BY4062" s="5"/>
      <c r="BZ4062" s="5"/>
      <c r="CA4062" s="5"/>
    </row>
    <row r="4063" spans="1:79" s="400" customFormat="1" ht="15" customHeight="1">
      <c r="A4063" s="41" t="s">
        <v>183</v>
      </c>
      <c r="B4063" s="402" t="s">
        <v>5236</v>
      </c>
      <c r="C4063" s="113" t="s">
        <v>5236</v>
      </c>
      <c r="D4063" s="393" t="s">
        <v>268</v>
      </c>
      <c r="E4063" s="394" t="s">
        <v>5237</v>
      </c>
      <c r="F4063" s="402"/>
      <c r="G4063" s="405" t="s">
        <v>5238</v>
      </c>
      <c r="H4063" s="404">
        <v>3471</v>
      </c>
      <c r="I4063" s="402" t="s">
        <v>2</v>
      </c>
      <c r="J4063" s="406" t="s">
        <v>249</v>
      </c>
      <c r="K4063" s="403">
        <v>41645</v>
      </c>
      <c r="L4063" s="398">
        <v>41637</v>
      </c>
      <c r="M4063" s="402">
        <f t="shared" si="241"/>
        <v>8</v>
      </c>
      <c r="N4063" s="402" t="s">
        <v>1</v>
      </c>
      <c r="O4063" s="404"/>
      <c r="P4063" s="402"/>
      <c r="Q4063" s="404"/>
      <c r="R4063" s="402"/>
      <c r="S4063" s="404"/>
      <c r="T4063" s="402">
        <v>0.443</v>
      </c>
      <c r="U4063" s="395">
        <v>2.4</v>
      </c>
      <c r="V4063" s="402">
        <f>0.46/2</f>
        <v>0.23</v>
      </c>
      <c r="W4063" s="404"/>
      <c r="X4063" s="402">
        <v>5.8999999999999997E-2</v>
      </c>
      <c r="Y4063" s="404"/>
      <c r="Z4063" s="397">
        <v>0.48299999999999998</v>
      </c>
      <c r="AA4063" s="399">
        <v>0.46700000000000003</v>
      </c>
      <c r="AB4063" s="394">
        <v>6</v>
      </c>
      <c r="AC4063" s="402">
        <v>16</v>
      </c>
      <c r="AD4063" s="399">
        <v>0</v>
      </c>
      <c r="AE4063" s="402"/>
      <c r="AF4063" s="391"/>
      <c r="AG4063" s="394"/>
      <c r="AH4063" s="394"/>
      <c r="AI4063" s="394"/>
      <c r="AJ4063" s="394"/>
      <c r="AK4063" s="394"/>
      <c r="AL4063" s="394"/>
      <c r="AM4063" s="394"/>
      <c r="AN4063" s="394"/>
      <c r="AO4063" s="394"/>
      <c r="AP4063" s="394"/>
      <c r="AQ4063" s="394"/>
      <c r="AR4063" s="394"/>
      <c r="AS4063" s="402"/>
      <c r="AT4063" s="404"/>
      <c r="AU4063" s="394"/>
      <c r="AV4063" s="394"/>
      <c r="AW4063" s="394"/>
      <c r="AX4063" s="5"/>
      <c r="AY4063" s="5"/>
      <c r="AZ4063" s="5"/>
      <c r="BA4063" s="5"/>
      <c r="BB4063" s="5"/>
      <c r="BC4063" s="5"/>
      <c r="BD4063" s="5"/>
      <c r="BE4063" s="5"/>
      <c r="BF4063" s="5"/>
      <c r="BG4063" s="5"/>
      <c r="BH4063" s="5"/>
      <c r="BI4063" s="5"/>
      <c r="BJ4063" s="5"/>
      <c r="BK4063" s="5"/>
      <c r="BL4063" s="5"/>
      <c r="BM4063" s="5"/>
      <c r="BN4063" s="5"/>
      <c r="BO4063" s="5"/>
      <c r="BP4063" s="5"/>
      <c r="BQ4063" s="5"/>
      <c r="BR4063" s="5"/>
      <c r="BS4063" s="5"/>
      <c r="BT4063" s="5"/>
      <c r="BU4063" s="5"/>
      <c r="BV4063" s="5"/>
      <c r="BW4063" s="5"/>
      <c r="BX4063" s="5"/>
      <c r="BY4063" s="5"/>
      <c r="BZ4063" s="5"/>
      <c r="CA4063" s="5"/>
    </row>
    <row r="4064" spans="1:79" ht="15" customHeight="1">
      <c r="A4064" s="404" t="s">
        <v>4668</v>
      </c>
      <c r="B4064" s="402" t="s">
        <v>4845</v>
      </c>
      <c r="C4064" s="113" t="s">
        <v>4846</v>
      </c>
      <c r="D4064" s="393" t="s">
        <v>290</v>
      </c>
      <c r="E4064" s="394" t="s">
        <v>112</v>
      </c>
      <c r="G4064" s="405" t="s">
        <v>4847</v>
      </c>
      <c r="H4064" s="74"/>
      <c r="I4064" s="50" t="s">
        <v>2</v>
      </c>
      <c r="J4064" s="339" t="s">
        <v>4848</v>
      </c>
      <c r="K4064" s="51">
        <v>41650</v>
      </c>
      <c r="L4064" s="173">
        <v>41645</v>
      </c>
      <c r="M4064" s="50">
        <f t="shared" si="241"/>
        <v>5</v>
      </c>
      <c r="N4064" s="50" t="s">
        <v>1</v>
      </c>
      <c r="O4064" s="74">
        <f>1/2</f>
        <v>0.5</v>
      </c>
      <c r="P4064" s="50">
        <v>6.18</v>
      </c>
      <c r="Q4064" s="74">
        <v>5.82</v>
      </c>
      <c r="R4064" s="50">
        <v>15</v>
      </c>
      <c r="S4064" s="74">
        <v>13</v>
      </c>
      <c r="T4064" s="50">
        <f>0.05/2</f>
        <v>2.5000000000000001E-2</v>
      </c>
      <c r="U4064" s="131">
        <v>1.82</v>
      </c>
      <c r="V4064" s="50">
        <v>0.93</v>
      </c>
      <c r="W4064" s="74">
        <v>7.0000000000000001E-3</v>
      </c>
      <c r="X4064" s="50">
        <v>7.1999999999999995E-2</v>
      </c>
      <c r="Y4064" s="74">
        <v>5.0000000000000001E-3</v>
      </c>
      <c r="Z4064" s="165"/>
    </row>
    <row r="4065" spans="1:36" ht="15" customHeight="1">
      <c r="A4065" s="404" t="s">
        <v>4668</v>
      </c>
      <c r="B4065" s="402" t="s">
        <v>4845</v>
      </c>
      <c r="C4065" s="113" t="s">
        <v>4846</v>
      </c>
      <c r="D4065" s="393" t="s">
        <v>290</v>
      </c>
      <c r="E4065" s="394" t="s">
        <v>112</v>
      </c>
      <c r="G4065" s="405" t="s">
        <v>4847</v>
      </c>
      <c r="H4065" s="74"/>
      <c r="I4065" s="50" t="s">
        <v>2</v>
      </c>
      <c r="J4065" s="406" t="s">
        <v>4849</v>
      </c>
      <c r="K4065" s="51">
        <v>41650</v>
      </c>
      <c r="L4065" s="173">
        <v>41645</v>
      </c>
      <c r="M4065" s="50">
        <f t="shared" si="241"/>
        <v>5</v>
      </c>
      <c r="N4065" s="50" t="s">
        <v>1</v>
      </c>
      <c r="O4065" s="74">
        <f>1/2</f>
        <v>0.5</v>
      </c>
      <c r="P4065" s="50">
        <v>6.18</v>
      </c>
      <c r="Q4065" s="74">
        <v>6.37</v>
      </c>
      <c r="R4065" s="50">
        <v>18.7</v>
      </c>
      <c r="S4065" s="74">
        <v>23</v>
      </c>
      <c r="T4065" s="50">
        <v>0.05</v>
      </c>
      <c r="U4065" s="131">
        <v>3.4</v>
      </c>
      <c r="V4065" s="50">
        <v>0.36</v>
      </c>
      <c r="W4065" s="74">
        <v>1.2E-2</v>
      </c>
      <c r="X4065" s="50">
        <v>0.13400000000000001</v>
      </c>
      <c r="Y4065" s="74">
        <v>6.0000000000000001E-3</v>
      </c>
      <c r="Z4065" s="165"/>
    </row>
    <row r="4066" spans="1:36" ht="15" customHeight="1">
      <c r="A4066" s="404" t="s">
        <v>4668</v>
      </c>
      <c r="B4066" s="402" t="s">
        <v>4845</v>
      </c>
      <c r="C4066" s="113" t="s">
        <v>4846</v>
      </c>
      <c r="D4066" s="393" t="s">
        <v>290</v>
      </c>
      <c r="E4066" s="394" t="s">
        <v>112</v>
      </c>
      <c r="G4066" s="405" t="s">
        <v>4847</v>
      </c>
      <c r="H4066" s="74"/>
      <c r="I4066" s="50" t="s">
        <v>2</v>
      </c>
      <c r="J4066" s="406" t="s">
        <v>4850</v>
      </c>
      <c r="K4066" s="51">
        <v>41650</v>
      </c>
      <c r="L4066" s="173">
        <v>41645</v>
      </c>
      <c r="M4066" s="50">
        <f t="shared" si="241"/>
        <v>5</v>
      </c>
      <c r="N4066" s="50" t="s">
        <v>1</v>
      </c>
      <c r="O4066" s="74">
        <f>1/2</f>
        <v>0.5</v>
      </c>
      <c r="P4066" s="50">
        <v>6.18</v>
      </c>
      <c r="Q4066" s="74">
        <v>6.34</v>
      </c>
      <c r="R4066" s="50">
        <v>25.6</v>
      </c>
      <c r="S4066" s="74">
        <v>33</v>
      </c>
      <c r="T4066" s="50">
        <v>0.1</v>
      </c>
      <c r="U4066" s="131">
        <v>0.92</v>
      </c>
      <c r="V4066" s="50">
        <v>0.35</v>
      </c>
      <c r="W4066" s="74">
        <v>1.2E-2</v>
      </c>
      <c r="X4066" s="50">
        <v>0.13300000000000001</v>
      </c>
      <c r="Y4066" s="74">
        <v>5.0000000000000001E-3</v>
      </c>
      <c r="Z4066" s="165"/>
    </row>
    <row r="4067" spans="1:36" ht="15" customHeight="1">
      <c r="A4067" s="404" t="s">
        <v>4668</v>
      </c>
      <c r="B4067" s="402" t="s">
        <v>4868</v>
      </c>
      <c r="C4067" s="113" t="s">
        <v>4869</v>
      </c>
      <c r="D4067" s="393" t="s">
        <v>333</v>
      </c>
      <c r="E4067" s="394" t="s">
        <v>2163</v>
      </c>
      <c r="G4067" s="405" t="s">
        <v>3621</v>
      </c>
      <c r="H4067" s="74">
        <v>4226</v>
      </c>
      <c r="I4067" s="50" t="s">
        <v>2</v>
      </c>
      <c r="J4067" s="401" t="s">
        <v>2165</v>
      </c>
      <c r="K4067" s="51">
        <v>41605</v>
      </c>
      <c r="L4067" s="173">
        <v>41596</v>
      </c>
      <c r="M4067" s="50">
        <f t="shared" si="241"/>
        <v>9</v>
      </c>
      <c r="N4067" s="50" t="s">
        <v>2</v>
      </c>
      <c r="P4067" s="50">
        <v>6.7</v>
      </c>
      <c r="Q4067" s="74">
        <v>5.3</v>
      </c>
      <c r="R4067" s="50">
        <v>79</v>
      </c>
      <c r="S4067" s="74">
        <v>85</v>
      </c>
      <c r="U4067" s="131">
        <v>6.9</v>
      </c>
      <c r="V4067" s="50">
        <v>1.2</v>
      </c>
      <c r="Z4067" s="165"/>
    </row>
    <row r="4068" spans="1:36" ht="15" customHeight="1">
      <c r="A4068" s="404" t="s">
        <v>4668</v>
      </c>
      <c r="B4068" s="402" t="s">
        <v>4868</v>
      </c>
      <c r="C4068" s="113" t="s">
        <v>4869</v>
      </c>
      <c r="D4068" s="393" t="s">
        <v>333</v>
      </c>
      <c r="E4068" s="394" t="s">
        <v>2163</v>
      </c>
      <c r="G4068" s="405" t="s">
        <v>3621</v>
      </c>
      <c r="H4068" s="74">
        <v>4226</v>
      </c>
      <c r="I4068" s="50" t="s">
        <v>2</v>
      </c>
      <c r="J4068" s="401" t="s">
        <v>2166</v>
      </c>
      <c r="K4068" s="51">
        <v>41605</v>
      </c>
      <c r="L4068" s="173">
        <v>41596</v>
      </c>
      <c r="M4068" s="50">
        <f t="shared" si="241"/>
        <v>9</v>
      </c>
      <c r="N4068" s="50" t="s">
        <v>2</v>
      </c>
      <c r="P4068" s="50">
        <v>6.7</v>
      </c>
      <c r="S4068" s="74">
        <v>110</v>
      </c>
      <c r="T4068" s="50">
        <v>0.46</v>
      </c>
      <c r="Y4068" s="74">
        <v>5.8999999999999997E-2</v>
      </c>
      <c r="Z4068" s="165"/>
    </row>
    <row r="4069" spans="1:36" ht="15" customHeight="1">
      <c r="A4069" s="404" t="s">
        <v>4668</v>
      </c>
      <c r="B4069" s="402" t="s">
        <v>4868</v>
      </c>
      <c r="C4069" s="113" t="s">
        <v>4869</v>
      </c>
      <c r="D4069" s="393" t="s">
        <v>1565</v>
      </c>
      <c r="E4069" s="394" t="s">
        <v>2163</v>
      </c>
      <c r="G4069" s="405" t="s">
        <v>3621</v>
      </c>
      <c r="H4069" s="74">
        <v>4226</v>
      </c>
      <c r="I4069" s="50" t="s">
        <v>2</v>
      </c>
      <c r="J4069" s="401" t="s">
        <v>2167</v>
      </c>
      <c r="K4069" s="51">
        <v>41605</v>
      </c>
      <c r="L4069" s="173">
        <v>41596</v>
      </c>
      <c r="M4069" s="50">
        <f t="shared" si="241"/>
        <v>9</v>
      </c>
      <c r="N4069" s="50" t="s">
        <v>2</v>
      </c>
      <c r="P4069" s="50">
        <v>6.7</v>
      </c>
      <c r="S4069" s="74">
        <v>21</v>
      </c>
      <c r="Z4069" s="165"/>
    </row>
    <row r="4070" spans="1:36" ht="15" customHeight="1">
      <c r="A4070" s="404" t="s">
        <v>4668</v>
      </c>
      <c r="B4070" s="402" t="s">
        <v>4868</v>
      </c>
      <c r="C4070" s="113" t="s">
        <v>5745</v>
      </c>
      <c r="D4070" s="393" t="s">
        <v>56</v>
      </c>
      <c r="E4070" s="394" t="s">
        <v>95</v>
      </c>
      <c r="G4070" s="405" t="s">
        <v>3622</v>
      </c>
      <c r="H4070" s="74">
        <v>4426</v>
      </c>
      <c r="I4070" s="50" t="s">
        <v>1</v>
      </c>
      <c r="J4070" s="339" t="s">
        <v>4872</v>
      </c>
      <c r="K4070" s="51">
        <v>41605</v>
      </c>
      <c r="L4070" s="173">
        <v>41596</v>
      </c>
      <c r="M4070" s="50">
        <f t="shared" si="241"/>
        <v>9</v>
      </c>
      <c r="N4070" s="50" t="s">
        <v>2</v>
      </c>
      <c r="S4070" s="74">
        <v>180</v>
      </c>
      <c r="X4070" s="50">
        <v>0.13</v>
      </c>
      <c r="Y4070" s="74">
        <v>0.03</v>
      </c>
      <c r="Z4070" s="165"/>
      <c r="AI4070" s="114">
        <v>1164</v>
      </c>
      <c r="AJ4070" s="114">
        <v>24196</v>
      </c>
    </row>
    <row r="4071" spans="1:36" ht="15" customHeight="1">
      <c r="A4071" s="404" t="s">
        <v>4668</v>
      </c>
      <c r="B4071" s="402" t="s">
        <v>4734</v>
      </c>
      <c r="C4071" s="113" t="s">
        <v>4734</v>
      </c>
      <c r="D4071" s="393" t="s">
        <v>397</v>
      </c>
      <c r="E4071" s="394" t="s">
        <v>398</v>
      </c>
      <c r="G4071" s="405" t="s">
        <v>4735</v>
      </c>
      <c r="H4071" s="74">
        <v>2631</v>
      </c>
      <c r="I4071" s="50" t="s">
        <v>1</v>
      </c>
      <c r="J4071" s="339" t="s">
        <v>460</v>
      </c>
      <c r="K4071" s="51">
        <v>41600</v>
      </c>
      <c r="L4071" s="173">
        <v>41595</v>
      </c>
      <c r="M4071" s="50">
        <f t="shared" si="241"/>
        <v>5</v>
      </c>
      <c r="N4071" s="50" t="s">
        <v>2</v>
      </c>
      <c r="O4071" s="74">
        <f>1.4/2</f>
        <v>0.7</v>
      </c>
      <c r="P4071" s="50">
        <v>6.5</v>
      </c>
      <c r="Q4071" s="74">
        <v>7.66</v>
      </c>
      <c r="R4071" s="50">
        <v>22</v>
      </c>
      <c r="S4071" s="74">
        <v>26</v>
      </c>
      <c r="T4071" s="50">
        <v>0.14000000000000001</v>
      </c>
      <c r="U4071" s="131">
        <v>1.59</v>
      </c>
      <c r="V4071" s="50">
        <v>0.44</v>
      </c>
      <c r="W4071" s="74">
        <v>4.0000000000000001E-3</v>
      </c>
      <c r="X4071" s="50">
        <v>3.2000000000000001E-2</v>
      </c>
      <c r="Y4071" s="74">
        <f>0.002/2</f>
        <v>1E-3</v>
      </c>
      <c r="Z4071" s="165">
        <v>1</v>
      </c>
      <c r="AA4071" s="271">
        <v>1</v>
      </c>
      <c r="AB4071" s="114">
        <v>16</v>
      </c>
      <c r="AC4071" s="50">
        <v>73</v>
      </c>
      <c r="AD4071" s="271">
        <v>1</v>
      </c>
      <c r="AJ4071" s="114">
        <v>190</v>
      </c>
    </row>
    <row r="4072" spans="1:36" ht="15" customHeight="1">
      <c r="A4072" s="404" t="s">
        <v>4668</v>
      </c>
      <c r="B4072" s="402" t="s">
        <v>590</v>
      </c>
      <c r="C4072" s="113" t="s">
        <v>604</v>
      </c>
      <c r="D4072" s="393" t="s">
        <v>308</v>
      </c>
      <c r="E4072" s="394" t="s">
        <v>235</v>
      </c>
      <c r="G4072" s="405" t="s">
        <v>605</v>
      </c>
      <c r="H4072" s="74">
        <v>7538</v>
      </c>
      <c r="I4072" s="50" t="s">
        <v>2</v>
      </c>
      <c r="J4072" s="339" t="s">
        <v>474</v>
      </c>
      <c r="K4072" s="51">
        <v>41585</v>
      </c>
      <c r="L4072" s="173">
        <v>41579</v>
      </c>
      <c r="M4072" s="50">
        <f t="shared" si="241"/>
        <v>6</v>
      </c>
      <c r="N4072" s="50" t="s">
        <v>2</v>
      </c>
      <c r="O4072" s="74">
        <v>1.96</v>
      </c>
      <c r="P4072" s="50">
        <v>5</v>
      </c>
      <c r="Q4072" s="74">
        <v>7.2</v>
      </c>
      <c r="R4072" s="50">
        <v>108</v>
      </c>
      <c r="S4072" s="74">
        <v>6</v>
      </c>
      <c r="T4072" s="50">
        <v>0.11</v>
      </c>
      <c r="U4072" s="131">
        <v>1.6</v>
      </c>
      <c r="V4072" s="50">
        <v>1.22</v>
      </c>
      <c r="W4072" s="74">
        <v>0.19</v>
      </c>
      <c r="X4072" s="50">
        <v>0.22</v>
      </c>
      <c r="Y4072" s="74">
        <v>1.2999999999999999E-2</v>
      </c>
      <c r="Z4072" s="165"/>
    </row>
    <row r="4073" spans="1:36" ht="15" customHeight="1">
      <c r="A4073" s="404" t="s">
        <v>4668</v>
      </c>
      <c r="B4073" s="402" t="s">
        <v>4734</v>
      </c>
      <c r="C4073" s="113" t="s">
        <v>4734</v>
      </c>
      <c r="D4073" s="393" t="s">
        <v>397</v>
      </c>
      <c r="E4073" s="394" t="s">
        <v>398</v>
      </c>
      <c r="G4073" s="405" t="s">
        <v>4735</v>
      </c>
      <c r="H4073" s="74">
        <v>2631</v>
      </c>
      <c r="I4073" s="50" t="s">
        <v>1</v>
      </c>
      <c r="J4073" s="339" t="s">
        <v>460</v>
      </c>
      <c r="K4073" s="51">
        <v>41495</v>
      </c>
      <c r="L4073" s="173"/>
      <c r="N4073" s="50" t="s">
        <v>2</v>
      </c>
      <c r="O4073" s="74">
        <f>1.4/2</f>
        <v>0.7</v>
      </c>
      <c r="P4073" s="50">
        <v>4.4000000000000004</v>
      </c>
      <c r="Q4073" s="74">
        <v>6.86</v>
      </c>
      <c r="R4073" s="50">
        <v>82</v>
      </c>
      <c r="S4073" s="74">
        <v>84</v>
      </c>
      <c r="T4073" s="50">
        <v>0.18</v>
      </c>
      <c r="U4073" s="131">
        <v>1.17</v>
      </c>
      <c r="V4073" s="50">
        <v>0.33</v>
      </c>
      <c r="W4073" s="74">
        <v>1.7000000000000001E-2</v>
      </c>
      <c r="X4073" s="50">
        <v>0.21199999999999999</v>
      </c>
      <c r="Y4073" s="74">
        <v>1.7000000000000001E-2</v>
      </c>
      <c r="Z4073" s="165"/>
    </row>
    <row r="4074" spans="1:36" ht="15" customHeight="1">
      <c r="A4074" s="404" t="s">
        <v>4668</v>
      </c>
      <c r="B4074" s="402" t="s">
        <v>4554</v>
      </c>
      <c r="C4074" s="113" t="s">
        <v>4554</v>
      </c>
      <c r="D4074" s="393" t="s">
        <v>4742</v>
      </c>
      <c r="E4074" s="394" t="s">
        <v>4555</v>
      </c>
      <c r="G4074" s="405" t="s">
        <v>4556</v>
      </c>
      <c r="H4074" s="74">
        <v>5983</v>
      </c>
      <c r="I4074" s="50" t="s">
        <v>2</v>
      </c>
      <c r="J4074" s="339" t="s">
        <v>115</v>
      </c>
      <c r="K4074" s="51">
        <v>41631</v>
      </c>
      <c r="L4074" s="173">
        <v>41628</v>
      </c>
      <c r="M4074" s="50">
        <f t="shared" si="241"/>
        <v>3</v>
      </c>
      <c r="N4074" s="50" t="s">
        <v>2</v>
      </c>
      <c r="O4074" s="74">
        <v>2.2000000000000002</v>
      </c>
      <c r="P4074" s="50">
        <v>6.8</v>
      </c>
      <c r="Q4074" s="74">
        <v>6.6</v>
      </c>
      <c r="R4074" s="50">
        <v>26</v>
      </c>
      <c r="S4074" s="74">
        <v>190</v>
      </c>
      <c r="T4074" s="50">
        <v>0.35</v>
      </c>
      <c r="U4074" s="131">
        <v>0.88</v>
      </c>
      <c r="V4074" s="50">
        <v>0.13</v>
      </c>
      <c r="W4074" s="74">
        <v>0.03</v>
      </c>
      <c r="X4074" s="50">
        <v>5.2999999999999999E-2</v>
      </c>
      <c r="Y4074" s="74">
        <f>0.03/2</f>
        <v>1.4999999999999999E-2</v>
      </c>
      <c r="Z4074" s="165">
        <v>0.70699999999999996</v>
      </c>
      <c r="AA4074" s="271">
        <v>0.45600000000000002</v>
      </c>
      <c r="AB4074" s="114">
        <v>18</v>
      </c>
      <c r="AC4074" s="50">
        <v>66</v>
      </c>
      <c r="AD4074" s="271">
        <v>0</v>
      </c>
    </row>
    <row r="4075" spans="1:36" ht="15" customHeight="1">
      <c r="A4075" s="404" t="s">
        <v>4668</v>
      </c>
      <c r="B4075" s="402" t="s">
        <v>1267</v>
      </c>
      <c r="C4075" s="113" t="s">
        <v>1268</v>
      </c>
      <c r="D4075" s="393" t="s">
        <v>205</v>
      </c>
      <c r="E4075" s="394" t="s">
        <v>1269</v>
      </c>
      <c r="G4075" s="405" t="s">
        <v>1270</v>
      </c>
      <c r="H4075" s="74">
        <v>3724</v>
      </c>
      <c r="I4075" s="50" t="s">
        <v>2</v>
      </c>
      <c r="J4075" s="339" t="s">
        <v>1062</v>
      </c>
      <c r="K4075" s="51">
        <v>41585</v>
      </c>
      <c r="L4075" s="173">
        <v>41579</v>
      </c>
      <c r="M4075" s="50">
        <f t="shared" si="241"/>
        <v>6</v>
      </c>
      <c r="N4075" s="50" t="s">
        <v>2</v>
      </c>
      <c r="O4075" s="74">
        <f>2/2</f>
        <v>1</v>
      </c>
      <c r="P4075" s="50">
        <v>5.91</v>
      </c>
      <c r="Q4075" s="74">
        <v>6.2</v>
      </c>
      <c r="R4075" s="50">
        <v>38</v>
      </c>
      <c r="S4075" s="74">
        <v>4.4000000000000004</v>
      </c>
      <c r="T4075" s="50">
        <v>9.0999999999999998E-2</v>
      </c>
      <c r="U4075" s="131">
        <v>1.4</v>
      </c>
      <c r="V4075" s="50">
        <v>0.62</v>
      </c>
      <c r="W4075" s="74">
        <v>1.2E-2</v>
      </c>
      <c r="X4075" s="50">
        <v>6.4000000000000001E-2</v>
      </c>
      <c r="Y4075" s="74">
        <f>0.005/2</f>
        <v>2.5000000000000001E-3</v>
      </c>
      <c r="Z4075" s="165"/>
    </row>
    <row r="4076" spans="1:36" ht="15" customHeight="1">
      <c r="A4076" s="404" t="s">
        <v>4668</v>
      </c>
      <c r="B4076" s="402" t="s">
        <v>1267</v>
      </c>
      <c r="C4076" s="113" t="s">
        <v>1268</v>
      </c>
      <c r="D4076" s="393" t="s">
        <v>205</v>
      </c>
      <c r="E4076" s="394" t="s">
        <v>1269</v>
      </c>
      <c r="G4076" s="405" t="s">
        <v>1270</v>
      </c>
      <c r="H4076" s="74">
        <v>3724</v>
      </c>
      <c r="I4076" s="50" t="s">
        <v>2</v>
      </c>
      <c r="J4076" s="339" t="s">
        <v>6409</v>
      </c>
      <c r="K4076" s="51">
        <v>41585</v>
      </c>
      <c r="L4076" s="173">
        <v>41579</v>
      </c>
      <c r="M4076" s="50">
        <f t="shared" si="241"/>
        <v>6</v>
      </c>
      <c r="N4076" s="50" t="s">
        <v>2</v>
      </c>
      <c r="O4076" s="74">
        <f>2/2</f>
        <v>1</v>
      </c>
      <c r="P4076" s="50">
        <v>5.91</v>
      </c>
      <c r="Q4076" s="74">
        <v>6.1</v>
      </c>
      <c r="R4076" s="50">
        <v>100</v>
      </c>
      <c r="S4076" s="74">
        <v>29</v>
      </c>
      <c r="T4076" s="50">
        <v>0.72499999999999998</v>
      </c>
      <c r="U4076" s="131">
        <v>1.2</v>
      </c>
      <c r="V4076" s="50">
        <f>0.46/2</f>
        <v>0.23</v>
      </c>
      <c r="W4076" s="74">
        <v>7.0000000000000001E-3</v>
      </c>
      <c r="X4076" s="50">
        <v>5.3999999999999999E-2</v>
      </c>
      <c r="Y4076" s="74">
        <f>0.005/2</f>
        <v>2.5000000000000001E-3</v>
      </c>
      <c r="Z4076" s="165"/>
    </row>
    <row r="4077" spans="1:36" ht="15" customHeight="1">
      <c r="A4077" s="404" t="s">
        <v>4668</v>
      </c>
      <c r="B4077" s="402" t="s">
        <v>4297</v>
      </c>
      <c r="C4077" s="113" t="s">
        <v>4310</v>
      </c>
      <c r="D4077" s="393" t="s">
        <v>406</v>
      </c>
      <c r="G4077" s="405" t="s">
        <v>4311</v>
      </c>
      <c r="H4077" s="74"/>
      <c r="I4077" s="50" t="s">
        <v>2</v>
      </c>
      <c r="J4077" s="339" t="s">
        <v>4477</v>
      </c>
      <c r="K4077" s="51">
        <v>41605</v>
      </c>
      <c r="L4077" s="173"/>
      <c r="N4077" s="50" t="s">
        <v>2</v>
      </c>
      <c r="O4077" s="74">
        <v>2.7</v>
      </c>
      <c r="P4077" s="50">
        <v>6.26</v>
      </c>
      <c r="Q4077" s="74">
        <v>6.33</v>
      </c>
      <c r="R4077" s="50">
        <f>10/2</f>
        <v>5</v>
      </c>
      <c r="S4077" s="74">
        <v>84</v>
      </c>
      <c r="T4077" s="50">
        <v>0.05</v>
      </c>
      <c r="U4077" s="131">
        <v>0.37</v>
      </c>
      <c r="V4077" s="50">
        <v>7.0000000000000007E-2</v>
      </c>
      <c r="W4077" s="74">
        <v>6.4000000000000001E-2</v>
      </c>
      <c r="X4077" s="50">
        <v>0.19500000000000001</v>
      </c>
      <c r="Y4077" s="74">
        <v>3.4000000000000002E-2</v>
      </c>
      <c r="Z4077" s="165">
        <v>1</v>
      </c>
      <c r="AA4077" s="271">
        <v>0.70699999999999996</v>
      </c>
      <c r="AB4077" s="114">
        <v>8</v>
      </c>
      <c r="AC4077" s="50">
        <v>60</v>
      </c>
      <c r="AD4077" s="271">
        <v>0</v>
      </c>
    </row>
    <row r="4078" spans="1:36" ht="15" customHeight="1">
      <c r="A4078" s="404" t="s">
        <v>4668</v>
      </c>
      <c r="B4078" s="402" t="s">
        <v>4297</v>
      </c>
      <c r="C4078" s="113" t="s">
        <v>4308</v>
      </c>
      <c r="D4078" s="393" t="s">
        <v>192</v>
      </c>
      <c r="G4078" s="405" t="s">
        <v>4309</v>
      </c>
      <c r="H4078" s="74"/>
      <c r="I4078" s="50" t="s">
        <v>2</v>
      </c>
      <c r="J4078" s="339" t="s">
        <v>1392</v>
      </c>
      <c r="K4078" s="398">
        <v>41495</v>
      </c>
      <c r="L4078" s="173"/>
      <c r="N4078" s="50" t="s">
        <v>2</v>
      </c>
      <c r="O4078" s="74">
        <f>1.4/2</f>
        <v>0.7</v>
      </c>
      <c r="P4078" s="50">
        <v>6.77</v>
      </c>
      <c r="Q4078" s="74">
        <v>6.83</v>
      </c>
      <c r="R4078" s="50">
        <v>78</v>
      </c>
      <c r="S4078" s="74">
        <v>12</v>
      </c>
      <c r="T4078" s="50">
        <v>0.71</v>
      </c>
      <c r="U4078" s="131">
        <v>3.35</v>
      </c>
      <c r="V4078" s="50">
        <v>0.02</v>
      </c>
      <c r="W4078" s="74">
        <v>7.0000000000000001E-3</v>
      </c>
      <c r="X4078" s="50">
        <v>2.9000000000000001E-2</v>
      </c>
      <c r="Y4078" s="74">
        <v>4.0000000000000001E-3</v>
      </c>
      <c r="Z4078" s="165">
        <v>1</v>
      </c>
      <c r="AA4078" s="271">
        <v>1</v>
      </c>
      <c r="AB4078" s="114">
        <v>50</v>
      </c>
      <c r="AC4078" s="50">
        <v>434</v>
      </c>
      <c r="AD4078" s="271">
        <v>1</v>
      </c>
    </row>
    <row r="4079" spans="1:36" ht="15" customHeight="1">
      <c r="A4079" s="404" t="s">
        <v>4668</v>
      </c>
      <c r="B4079" s="402" t="s">
        <v>4297</v>
      </c>
      <c r="C4079" s="113" t="s">
        <v>4308</v>
      </c>
      <c r="D4079" s="393" t="s">
        <v>192</v>
      </c>
      <c r="G4079" s="405" t="s">
        <v>4309</v>
      </c>
      <c r="H4079" s="74"/>
      <c r="I4079" s="50" t="s">
        <v>2</v>
      </c>
      <c r="J4079" s="339" t="s">
        <v>4303</v>
      </c>
      <c r="K4079" s="51">
        <v>41495</v>
      </c>
      <c r="L4079" s="173"/>
      <c r="N4079" s="50" t="s">
        <v>2</v>
      </c>
      <c r="O4079" s="74">
        <f>1.4/2</f>
        <v>0.7</v>
      </c>
      <c r="P4079" s="50">
        <v>6.95</v>
      </c>
      <c r="Q4079" s="74">
        <v>7.06</v>
      </c>
      <c r="R4079" s="50">
        <v>39</v>
      </c>
      <c r="S4079" s="74">
        <v>160</v>
      </c>
      <c r="T4079" s="50">
        <v>0.25</v>
      </c>
      <c r="U4079" s="131">
        <v>1.39</v>
      </c>
      <c r="V4079" s="50">
        <v>0.1</v>
      </c>
      <c r="W4079" s="74">
        <v>4.3999999999999997E-2</v>
      </c>
      <c r="X4079" s="50">
        <v>0.57899999999999996</v>
      </c>
      <c r="Y4079" s="74">
        <v>3.4000000000000002E-2</v>
      </c>
      <c r="Z4079" s="165">
        <v>1</v>
      </c>
      <c r="AA4079" s="271">
        <v>1</v>
      </c>
      <c r="AB4079" s="114">
        <v>30</v>
      </c>
      <c r="AC4079" s="50">
        <v>89</v>
      </c>
      <c r="AD4079" s="271">
        <v>1</v>
      </c>
    </row>
    <row r="4080" spans="1:36" ht="15" customHeight="1">
      <c r="A4080" s="404" t="s">
        <v>4668</v>
      </c>
      <c r="B4080" s="402" t="s">
        <v>4297</v>
      </c>
      <c r="C4080" s="113" t="s">
        <v>4300</v>
      </c>
      <c r="D4080" s="393" t="s">
        <v>133</v>
      </c>
      <c r="G4080" s="405" t="s">
        <v>4301</v>
      </c>
      <c r="H4080" s="74"/>
      <c r="I4080" s="50" t="s">
        <v>2</v>
      </c>
      <c r="J4080" s="339" t="s">
        <v>1392</v>
      </c>
      <c r="K4080" s="51">
        <v>41605</v>
      </c>
      <c r="L4080" s="173"/>
      <c r="N4080" s="50" t="s">
        <v>2</v>
      </c>
      <c r="O4080" s="74">
        <f>1.4/2</f>
        <v>0.7</v>
      </c>
      <c r="P4080" s="50">
        <v>6.95</v>
      </c>
      <c r="Q4080" s="74">
        <v>7.1</v>
      </c>
      <c r="R4080" s="50">
        <f>10/2</f>
        <v>5</v>
      </c>
      <c r="S4080" s="74">
        <v>5</v>
      </c>
      <c r="T4080" s="50">
        <v>0.05</v>
      </c>
      <c r="U4080" s="131">
        <v>0.33</v>
      </c>
      <c r="V4080" s="50">
        <v>7.0000000000000007E-2</v>
      </c>
      <c r="W4080" s="74">
        <f>0.005/2</f>
        <v>2.5000000000000001E-3</v>
      </c>
      <c r="X4080" s="50">
        <v>0.02</v>
      </c>
      <c r="Y4080" s="74">
        <f>0.002/2</f>
        <v>1E-3</v>
      </c>
      <c r="Z4080" s="165">
        <v>1</v>
      </c>
      <c r="AA4080" s="271">
        <v>1</v>
      </c>
      <c r="AB4080" s="114">
        <v>4</v>
      </c>
      <c r="AC4080" s="50">
        <v>28</v>
      </c>
      <c r="AD4080" s="271">
        <v>0.95</v>
      </c>
    </row>
    <row r="4081" spans="1:79" ht="15" customHeight="1">
      <c r="A4081" s="404" t="s">
        <v>4668</v>
      </c>
      <c r="B4081" s="402" t="s">
        <v>4297</v>
      </c>
      <c r="C4081" s="113" t="s">
        <v>4298</v>
      </c>
      <c r="D4081" s="393" t="s">
        <v>133</v>
      </c>
      <c r="F4081" s="402">
        <v>4400</v>
      </c>
      <c r="G4081" s="405" t="s">
        <v>4299</v>
      </c>
      <c r="H4081" s="74"/>
      <c r="I4081" s="50" t="s">
        <v>2</v>
      </c>
      <c r="J4081" s="339" t="s">
        <v>1392</v>
      </c>
      <c r="K4081" s="51">
        <v>41487</v>
      </c>
      <c r="L4081" s="173"/>
      <c r="N4081" s="50" t="s">
        <v>2</v>
      </c>
      <c r="O4081" s="74">
        <v>1.9</v>
      </c>
      <c r="P4081" s="50">
        <v>6.99</v>
      </c>
      <c r="Q4081" s="74">
        <v>6.95</v>
      </c>
      <c r="R4081" s="50">
        <v>43</v>
      </c>
      <c r="S4081" s="74">
        <v>42</v>
      </c>
      <c r="T4081" s="50">
        <v>0.16</v>
      </c>
      <c r="U4081" s="131">
        <v>1.45</v>
      </c>
      <c r="V4081" s="50">
        <v>1.34</v>
      </c>
      <c r="W4081" s="74">
        <v>1.0999999999999999E-2</v>
      </c>
      <c r="X4081" s="50">
        <v>0.09</v>
      </c>
      <c r="Y4081" s="74">
        <v>1.0999999999999999E-2</v>
      </c>
      <c r="Z4081" s="165">
        <v>1</v>
      </c>
      <c r="AA4081" s="271">
        <v>1</v>
      </c>
      <c r="AB4081" s="114">
        <v>14</v>
      </c>
      <c r="AC4081" s="50">
        <v>84</v>
      </c>
      <c r="AD4081" s="271">
        <v>0.95</v>
      </c>
    </row>
    <row r="4082" spans="1:79" ht="15" customHeight="1">
      <c r="A4082" s="404" t="s">
        <v>4668</v>
      </c>
      <c r="B4082" s="402" t="s">
        <v>4297</v>
      </c>
      <c r="C4082" s="113" t="s">
        <v>4302</v>
      </c>
      <c r="D4082" s="393" t="s">
        <v>192</v>
      </c>
      <c r="G4082" s="405" t="s">
        <v>229</v>
      </c>
      <c r="H4082" s="74"/>
      <c r="I4082" s="50" t="s">
        <v>2</v>
      </c>
      <c r="J4082" s="339" t="s">
        <v>1392</v>
      </c>
      <c r="K4082" s="51">
        <v>41487</v>
      </c>
      <c r="L4082" s="173"/>
      <c r="N4082" s="50" t="s">
        <v>2</v>
      </c>
      <c r="O4082" s="74">
        <f>1.4/2</f>
        <v>0.7</v>
      </c>
      <c r="P4082" s="50">
        <v>7.54</v>
      </c>
      <c r="Q4082" s="74">
        <v>7.4</v>
      </c>
      <c r="R4082" s="50">
        <v>30</v>
      </c>
      <c r="S4082" s="74">
        <v>27</v>
      </c>
      <c r="T4082" s="50">
        <v>0.16</v>
      </c>
      <c r="U4082" s="131">
        <v>0.78</v>
      </c>
      <c r="V4082" s="50">
        <v>0.73</v>
      </c>
      <c r="W4082" s="74">
        <v>2.7E-2</v>
      </c>
      <c r="X4082" s="50">
        <v>7.2999999999999995E-2</v>
      </c>
      <c r="Y4082" s="74">
        <v>4.0000000000000001E-3</v>
      </c>
      <c r="Z4082" s="165">
        <v>1</v>
      </c>
      <c r="AA4082" s="271">
        <v>1</v>
      </c>
      <c r="AB4082" s="114">
        <v>32</v>
      </c>
      <c r="AC4082" s="50">
        <v>86</v>
      </c>
      <c r="AD4082" s="271">
        <v>1</v>
      </c>
    </row>
    <row r="4083" spans="1:79" ht="15" customHeight="1">
      <c r="A4083" s="404" t="s">
        <v>4668</v>
      </c>
      <c r="B4083" s="402" t="s">
        <v>4297</v>
      </c>
      <c r="C4083" s="113" t="s">
        <v>4302</v>
      </c>
      <c r="D4083" s="393" t="s">
        <v>192</v>
      </c>
      <c r="G4083" s="405" t="s">
        <v>229</v>
      </c>
      <c r="H4083" s="74"/>
      <c r="I4083" s="50" t="s">
        <v>2</v>
      </c>
      <c r="J4083" s="339" t="s">
        <v>4303</v>
      </c>
      <c r="K4083" s="51">
        <v>41487</v>
      </c>
      <c r="L4083" s="173"/>
      <c r="N4083" s="50" t="s">
        <v>2</v>
      </c>
      <c r="O4083" s="74">
        <f>1.4/2</f>
        <v>0.7</v>
      </c>
      <c r="P4083" s="50">
        <v>7.63</v>
      </c>
      <c r="Q4083" s="74">
        <v>7.6</v>
      </c>
      <c r="R4083" s="50">
        <v>28</v>
      </c>
      <c r="S4083" s="74">
        <v>20</v>
      </c>
      <c r="T4083" s="50">
        <v>0.1</v>
      </c>
      <c r="U4083" s="131">
        <v>0.88</v>
      </c>
      <c r="V4083" s="50">
        <v>0.86</v>
      </c>
      <c r="W4083" s="74">
        <v>2.5000000000000001E-2</v>
      </c>
      <c r="X4083" s="50">
        <v>7.2999999999999995E-2</v>
      </c>
      <c r="Y4083" s="74">
        <v>3.0000000000000001E-3</v>
      </c>
      <c r="Z4083" s="165">
        <v>1</v>
      </c>
      <c r="AA4083" s="271">
        <v>1</v>
      </c>
      <c r="AB4083" s="114">
        <v>48</v>
      </c>
      <c r="AC4083" s="50">
        <v>118</v>
      </c>
      <c r="AD4083" s="271">
        <v>1</v>
      </c>
    </row>
    <row r="4084" spans="1:79" ht="15" customHeight="1">
      <c r="A4084" s="404" t="s">
        <v>4668</v>
      </c>
      <c r="B4084" s="402" t="s">
        <v>4297</v>
      </c>
      <c r="C4084" s="113" t="s">
        <v>4306</v>
      </c>
      <c r="D4084" s="393" t="s">
        <v>290</v>
      </c>
      <c r="G4084" s="405" t="s">
        <v>4307</v>
      </c>
      <c r="H4084" s="74"/>
      <c r="I4084" s="50" t="s">
        <v>2</v>
      </c>
      <c r="J4084" s="339" t="s">
        <v>1392</v>
      </c>
      <c r="K4084" s="51">
        <v>41499</v>
      </c>
      <c r="L4084" s="173"/>
      <c r="N4084" s="50" t="s">
        <v>2</v>
      </c>
      <c r="O4084" s="74">
        <f>1.4/2</f>
        <v>0.7</v>
      </c>
      <c r="P4084" s="50">
        <v>6.49</v>
      </c>
      <c r="Q4084" s="74">
        <v>6.53</v>
      </c>
      <c r="R4084" s="50">
        <v>34</v>
      </c>
      <c r="S4084" s="74">
        <v>7</v>
      </c>
      <c r="T4084" s="50">
        <v>0.52</v>
      </c>
      <c r="U4084" s="131">
        <v>2.31</v>
      </c>
      <c r="V4084" s="50">
        <v>1.01</v>
      </c>
      <c r="W4084" s="74">
        <v>6.6000000000000003E-2</v>
      </c>
      <c r="X4084" s="50">
        <v>1.66</v>
      </c>
      <c r="Y4084" s="74">
        <v>8.8999999999999996E-2</v>
      </c>
      <c r="Z4084" s="165">
        <v>0.60899999999999999</v>
      </c>
      <c r="AA4084" s="271">
        <v>0.28699999999999998</v>
      </c>
      <c r="AB4084" s="114">
        <v>10</v>
      </c>
      <c r="AC4084" s="50">
        <v>32</v>
      </c>
      <c r="AD4084" s="271">
        <v>0</v>
      </c>
    </row>
    <row r="4085" spans="1:79" ht="15" customHeight="1">
      <c r="A4085" s="404" t="s">
        <v>4668</v>
      </c>
      <c r="B4085" s="402" t="s">
        <v>4297</v>
      </c>
      <c r="C4085" s="113" t="s">
        <v>4304</v>
      </c>
      <c r="D4085" s="393" t="s">
        <v>78</v>
      </c>
      <c r="G4085" s="405" t="s">
        <v>4305</v>
      </c>
      <c r="H4085" s="74"/>
      <c r="I4085" s="50" t="s">
        <v>2</v>
      </c>
      <c r="J4085" s="339" t="s">
        <v>1392</v>
      </c>
      <c r="K4085" s="51">
        <v>41499</v>
      </c>
      <c r="L4085" s="173"/>
      <c r="N4085" s="50" t="s">
        <v>2</v>
      </c>
      <c r="O4085" s="74">
        <f>1.4/2</f>
        <v>0.7</v>
      </c>
      <c r="Q4085" s="74">
        <v>6.15</v>
      </c>
      <c r="R4085" s="50">
        <v>45</v>
      </c>
      <c r="S4085" s="74">
        <f>5/2</f>
        <v>2.5</v>
      </c>
      <c r="T4085" s="50">
        <v>7.0000000000000007E-2</v>
      </c>
      <c r="U4085" s="131">
        <v>0.94</v>
      </c>
      <c r="V4085" s="50">
        <v>1.06</v>
      </c>
      <c r="W4085" s="74">
        <v>1.9E-2</v>
      </c>
      <c r="X4085" s="50">
        <v>4.2000000000000003E-2</v>
      </c>
      <c r="Y4085" s="74">
        <f>0.002/2</f>
        <v>1E-3</v>
      </c>
      <c r="Z4085" s="165">
        <v>1</v>
      </c>
      <c r="AA4085" s="271">
        <v>1</v>
      </c>
      <c r="AB4085" s="114">
        <v>8</v>
      </c>
      <c r="AC4085" s="50">
        <v>35</v>
      </c>
      <c r="AD4085" s="271">
        <v>0.7</v>
      </c>
    </row>
    <row r="4086" spans="1:79" s="400" customFormat="1" ht="15" customHeight="1">
      <c r="A4086" s="41" t="s">
        <v>183</v>
      </c>
      <c r="B4086" s="402" t="s">
        <v>1953</v>
      </c>
      <c r="C4086" s="113" t="s">
        <v>3760</v>
      </c>
      <c r="D4086" s="393" t="s">
        <v>1484</v>
      </c>
      <c r="E4086" s="394" t="s">
        <v>1954</v>
      </c>
      <c r="F4086" s="402"/>
      <c r="G4086" s="405" t="s">
        <v>4757</v>
      </c>
      <c r="H4086" s="404">
        <v>3471</v>
      </c>
      <c r="I4086" s="402" t="s">
        <v>2</v>
      </c>
      <c r="J4086" s="406" t="s">
        <v>4755</v>
      </c>
      <c r="K4086" s="403">
        <v>41717</v>
      </c>
      <c r="L4086" s="398">
        <v>41713</v>
      </c>
      <c r="M4086" s="402">
        <f t="shared" si="241"/>
        <v>4</v>
      </c>
      <c r="N4086" s="402" t="s">
        <v>2</v>
      </c>
      <c r="O4086" s="404"/>
      <c r="P4086" s="402"/>
      <c r="Q4086" s="404"/>
      <c r="R4086" s="402"/>
      <c r="S4086" s="404"/>
      <c r="T4086" s="402"/>
      <c r="U4086" s="395"/>
      <c r="V4086" s="402"/>
      <c r="W4086" s="404">
        <v>3.9E-2</v>
      </c>
      <c r="X4086" s="402">
        <v>0.31900000000000001</v>
      </c>
      <c r="Y4086" s="404"/>
      <c r="Z4086" s="397"/>
      <c r="AA4086" s="399"/>
      <c r="AB4086" s="394"/>
      <c r="AC4086" s="402"/>
      <c r="AD4086" s="399"/>
      <c r="AE4086" s="402"/>
      <c r="AF4086" s="391"/>
      <c r="AG4086" s="394"/>
      <c r="AH4086" s="394"/>
      <c r="AI4086" s="394"/>
      <c r="AJ4086" s="394"/>
      <c r="AK4086" s="394"/>
      <c r="AL4086" s="394"/>
      <c r="AM4086" s="394"/>
      <c r="AN4086" s="394"/>
      <c r="AO4086" s="394"/>
      <c r="AP4086" s="394"/>
      <c r="AQ4086" s="394"/>
      <c r="AR4086" s="394"/>
      <c r="AS4086" s="402"/>
      <c r="AT4086" s="404"/>
      <c r="AU4086" s="394"/>
      <c r="AV4086" s="394"/>
      <c r="AW4086" s="394"/>
      <c r="AX4086" s="5"/>
      <c r="AY4086" s="5"/>
      <c r="AZ4086" s="5"/>
      <c r="BA4086" s="5"/>
      <c r="BB4086" s="5"/>
      <c r="BC4086" s="5"/>
      <c r="BD4086" s="5"/>
      <c r="BE4086" s="5"/>
      <c r="BF4086" s="5"/>
      <c r="BG4086" s="5"/>
      <c r="BH4086" s="5"/>
      <c r="BI4086" s="5"/>
      <c r="BJ4086" s="5"/>
      <c r="BK4086" s="5"/>
      <c r="BL4086" s="5"/>
      <c r="BM4086" s="5"/>
      <c r="BN4086" s="5"/>
      <c r="BO4086" s="5"/>
      <c r="BP4086" s="5"/>
      <c r="BQ4086" s="5"/>
      <c r="BR4086" s="5"/>
      <c r="BS4086" s="5"/>
      <c r="BT4086" s="5"/>
      <c r="BU4086" s="5"/>
      <c r="BV4086" s="5"/>
      <c r="BW4086" s="5"/>
      <c r="BX4086" s="5"/>
      <c r="BY4086" s="5"/>
      <c r="BZ4086" s="5"/>
      <c r="CA4086" s="5"/>
    </row>
    <row r="4087" spans="1:79" ht="15" customHeight="1">
      <c r="A4087" s="404" t="s">
        <v>4668</v>
      </c>
      <c r="B4087" s="402" t="s">
        <v>5257</v>
      </c>
      <c r="C4087" s="113" t="s">
        <v>5258</v>
      </c>
      <c r="D4087" s="393" t="s">
        <v>89</v>
      </c>
      <c r="E4087" s="394" t="s">
        <v>5259</v>
      </c>
      <c r="G4087" s="405" t="s">
        <v>5260</v>
      </c>
      <c r="H4087" s="74">
        <v>4953</v>
      </c>
      <c r="I4087" s="50" t="s">
        <v>2</v>
      </c>
      <c r="J4087" s="339" t="s">
        <v>130</v>
      </c>
      <c r="K4087" s="51">
        <v>41717</v>
      </c>
      <c r="L4087" s="173">
        <v>41710</v>
      </c>
      <c r="M4087" s="50">
        <f t="shared" si="241"/>
        <v>7</v>
      </c>
      <c r="N4087" s="50" t="s">
        <v>2</v>
      </c>
      <c r="O4087" s="74">
        <v>1.4</v>
      </c>
      <c r="P4087" s="50">
        <v>6.89</v>
      </c>
      <c r="Q4087" s="74">
        <v>7.88</v>
      </c>
      <c r="R4087" s="50">
        <v>19</v>
      </c>
      <c r="S4087" s="74">
        <v>70</v>
      </c>
      <c r="T4087" s="50">
        <v>0.24</v>
      </c>
      <c r="U4087" s="131">
        <v>1.59</v>
      </c>
      <c r="V4087" s="50">
        <v>1.24</v>
      </c>
      <c r="W4087" s="74">
        <v>3.9E-2</v>
      </c>
      <c r="X4087" s="50">
        <v>5.8000000000000003E-2</v>
      </c>
      <c r="Y4087" s="74">
        <v>7.0000000000000001E-3</v>
      </c>
      <c r="Z4087" s="165">
        <v>1</v>
      </c>
      <c r="AA4087" s="271">
        <v>1</v>
      </c>
      <c r="AB4087" s="114">
        <v>100</v>
      </c>
      <c r="AC4087" s="50">
        <v>874</v>
      </c>
      <c r="AD4087" s="271">
        <v>1</v>
      </c>
    </row>
    <row r="4088" spans="1:79" ht="15" customHeight="1">
      <c r="A4088" s="404" t="s">
        <v>4668</v>
      </c>
      <c r="B4088" s="402" t="s">
        <v>5257</v>
      </c>
      <c r="C4088" s="113" t="s">
        <v>5258</v>
      </c>
      <c r="D4088" s="393" t="s">
        <v>89</v>
      </c>
      <c r="E4088" s="394" t="s">
        <v>5259</v>
      </c>
      <c r="G4088" s="405" t="s">
        <v>5260</v>
      </c>
      <c r="H4088" s="74">
        <v>4953</v>
      </c>
      <c r="I4088" s="50" t="s">
        <v>2</v>
      </c>
      <c r="J4088" s="339" t="s">
        <v>456</v>
      </c>
      <c r="K4088" s="51">
        <v>41717</v>
      </c>
      <c r="L4088" s="173">
        <v>41710</v>
      </c>
      <c r="M4088" s="50">
        <f t="shared" si="241"/>
        <v>7</v>
      </c>
      <c r="N4088" s="50" t="s">
        <v>2</v>
      </c>
      <c r="O4088" s="74">
        <v>1.7</v>
      </c>
      <c r="P4088" s="50">
        <v>6.89</v>
      </c>
      <c r="Q4088" s="74">
        <v>7.76</v>
      </c>
      <c r="R4088" s="50">
        <v>36</v>
      </c>
      <c r="S4088" s="74">
        <v>110</v>
      </c>
      <c r="T4088" s="50">
        <v>0.37</v>
      </c>
      <c r="U4088" s="131">
        <v>2.0299999999999998</v>
      </c>
      <c r="V4088" s="50">
        <v>1.2</v>
      </c>
      <c r="W4088" s="74">
        <v>4.1000000000000002E-2</v>
      </c>
      <c r="X4088" s="50">
        <v>8.7999999999999995E-2</v>
      </c>
      <c r="Y4088" s="74">
        <v>7.0000000000000001E-3</v>
      </c>
      <c r="Z4088" s="165">
        <v>1</v>
      </c>
      <c r="AA4088" s="271">
        <v>1</v>
      </c>
      <c r="AB4088" s="114">
        <v>90</v>
      </c>
      <c r="AC4088" s="50">
        <v>3140</v>
      </c>
      <c r="AD4088" s="271">
        <v>1</v>
      </c>
    </row>
    <row r="4089" spans="1:79" ht="15" customHeight="1">
      <c r="A4089" s="404" t="s">
        <v>4668</v>
      </c>
      <c r="B4089" s="402" t="s">
        <v>5257</v>
      </c>
      <c r="C4089" s="113" t="s">
        <v>5258</v>
      </c>
      <c r="D4089" s="393" t="s">
        <v>89</v>
      </c>
      <c r="E4089" s="394" t="s">
        <v>5259</v>
      </c>
      <c r="G4089" s="405" t="s">
        <v>5260</v>
      </c>
      <c r="H4089" s="74">
        <v>4953</v>
      </c>
      <c r="I4089" s="50" t="s">
        <v>2</v>
      </c>
      <c r="J4089" s="339" t="s">
        <v>5261</v>
      </c>
      <c r="K4089" s="51">
        <v>41717</v>
      </c>
      <c r="L4089" s="173">
        <v>41710</v>
      </c>
      <c r="M4089" s="50">
        <f t="shared" si="241"/>
        <v>7</v>
      </c>
      <c r="N4089" s="50" t="s">
        <v>2</v>
      </c>
      <c r="O4089" s="74">
        <v>4.5</v>
      </c>
      <c r="P4089" s="50">
        <v>6.89</v>
      </c>
      <c r="Q4089" s="74">
        <v>7.53</v>
      </c>
      <c r="R4089" s="50">
        <v>73</v>
      </c>
      <c r="S4089" s="74">
        <v>220</v>
      </c>
      <c r="T4089" s="50">
        <v>0.41</v>
      </c>
      <c r="U4089" s="131">
        <v>2.2999999999999998</v>
      </c>
      <c r="V4089" s="50">
        <v>0.99</v>
      </c>
      <c r="W4089" s="74">
        <v>6.6000000000000003E-2</v>
      </c>
      <c r="X4089" s="50">
        <v>0.14099999999999999</v>
      </c>
      <c r="Y4089" s="74">
        <v>8.0000000000000002E-3</v>
      </c>
      <c r="Z4089" s="165">
        <v>1</v>
      </c>
      <c r="AA4089" s="271">
        <v>0.77100000000000002</v>
      </c>
      <c r="AB4089" s="114">
        <v>88</v>
      </c>
      <c r="AC4089" s="50">
        <v>6560</v>
      </c>
      <c r="AD4089" s="271">
        <v>0.2</v>
      </c>
    </row>
    <row r="4090" spans="1:79" ht="15" customHeight="1">
      <c r="A4090" s="404" t="s">
        <v>4668</v>
      </c>
      <c r="B4090" s="402" t="s">
        <v>5257</v>
      </c>
      <c r="C4090" s="113" t="s">
        <v>5258</v>
      </c>
      <c r="D4090" s="393" t="s">
        <v>89</v>
      </c>
      <c r="E4090" s="394" t="s">
        <v>5259</v>
      </c>
      <c r="G4090" s="405" t="s">
        <v>5260</v>
      </c>
      <c r="H4090" s="74">
        <v>4953</v>
      </c>
      <c r="I4090" s="50" t="s">
        <v>2</v>
      </c>
      <c r="J4090" s="339" t="s">
        <v>1277</v>
      </c>
      <c r="K4090" s="51">
        <v>41717</v>
      </c>
      <c r="L4090" s="173">
        <v>41710</v>
      </c>
      <c r="M4090" s="50">
        <f t="shared" si="241"/>
        <v>7</v>
      </c>
      <c r="N4090" s="50" t="s">
        <v>2</v>
      </c>
      <c r="O4090" s="74">
        <v>6.4</v>
      </c>
      <c r="P4090" s="50">
        <v>6.89</v>
      </c>
      <c r="Q4090" s="74">
        <v>7.52</v>
      </c>
      <c r="R4090" s="50">
        <v>150</v>
      </c>
      <c r="S4090" s="74">
        <v>350</v>
      </c>
      <c r="T4090" s="50">
        <v>0.52</v>
      </c>
      <c r="U4090" s="131">
        <v>2.4700000000000002</v>
      </c>
      <c r="V4090" s="50">
        <v>1.28</v>
      </c>
      <c r="W4090" s="74">
        <v>9.5000000000000001E-2</v>
      </c>
      <c r="X4090" s="50">
        <v>0.23899999999999999</v>
      </c>
      <c r="Y4090" s="74">
        <v>1.4999999999999999E-2</v>
      </c>
      <c r="Z4090" s="165">
        <v>0.70699999999999996</v>
      </c>
      <c r="AA4090" s="271">
        <v>0.70699999999999996</v>
      </c>
      <c r="AB4090" s="114">
        <v>146</v>
      </c>
      <c r="AC4090" s="50">
        <v>9920</v>
      </c>
      <c r="AD4090" s="271">
        <v>0</v>
      </c>
    </row>
    <row r="4091" spans="1:79" ht="15" customHeight="1">
      <c r="A4091" s="404" t="s">
        <v>4668</v>
      </c>
      <c r="B4091" s="402" t="s">
        <v>1910</v>
      </c>
      <c r="C4091" s="113" t="s">
        <v>1110</v>
      </c>
      <c r="D4091" s="393" t="s">
        <v>262</v>
      </c>
      <c r="E4091" s="394" t="s">
        <v>128</v>
      </c>
      <c r="F4091" s="402">
        <v>7105</v>
      </c>
      <c r="G4091" s="405" t="s">
        <v>1876</v>
      </c>
      <c r="H4091" s="74">
        <v>4151</v>
      </c>
      <c r="I4091" s="50" t="s">
        <v>2</v>
      </c>
      <c r="J4091" s="339" t="s">
        <v>1030</v>
      </c>
      <c r="K4091" s="51">
        <v>41727</v>
      </c>
      <c r="L4091" s="173">
        <v>41718</v>
      </c>
      <c r="M4091" s="50">
        <f t="shared" ref="M4091:M4152" si="245">K4091-L4091</f>
        <v>9</v>
      </c>
      <c r="N4091" s="50" t="s">
        <v>2</v>
      </c>
      <c r="O4091" s="74">
        <v>4.9000000000000004</v>
      </c>
      <c r="P4091" s="50">
        <v>6.6</v>
      </c>
      <c r="Q4091" s="74">
        <v>6.79</v>
      </c>
      <c r="R4091" s="50">
        <v>60</v>
      </c>
      <c r="S4091" s="74">
        <v>90</v>
      </c>
      <c r="T4091" s="50">
        <v>0.14000000000000001</v>
      </c>
      <c r="U4091" s="131">
        <v>0.64</v>
      </c>
      <c r="V4091" s="50">
        <v>0.08</v>
      </c>
      <c r="W4091" s="74">
        <v>2.1000000000000001E-2</v>
      </c>
      <c r="X4091" s="50">
        <v>0.155</v>
      </c>
      <c r="Y4091" s="74">
        <v>1.2E-2</v>
      </c>
      <c r="Z4091" s="165"/>
    </row>
    <row r="4092" spans="1:79" ht="15" customHeight="1">
      <c r="A4092" s="404" t="s">
        <v>4668</v>
      </c>
      <c r="B4092" s="402" t="s">
        <v>1910</v>
      </c>
      <c r="C4092" s="113" t="s">
        <v>1110</v>
      </c>
      <c r="D4092" s="393" t="s">
        <v>262</v>
      </c>
      <c r="E4092" s="394" t="s">
        <v>128</v>
      </c>
      <c r="F4092" s="402">
        <v>7105</v>
      </c>
      <c r="G4092" s="405" t="s">
        <v>1876</v>
      </c>
      <c r="H4092" s="74">
        <v>4151</v>
      </c>
      <c r="I4092" s="50" t="s">
        <v>2</v>
      </c>
      <c r="J4092" s="339" t="s">
        <v>1031</v>
      </c>
      <c r="K4092" s="51">
        <v>41727</v>
      </c>
      <c r="L4092" s="173">
        <v>41718</v>
      </c>
      <c r="M4092" s="50">
        <f t="shared" si="245"/>
        <v>9</v>
      </c>
      <c r="N4092" s="50" t="s">
        <v>2</v>
      </c>
      <c r="O4092" s="74">
        <v>3.1</v>
      </c>
      <c r="P4092" s="50">
        <v>6.6</v>
      </c>
      <c r="Q4092" s="74">
        <v>7.16</v>
      </c>
      <c r="R4092" s="50">
        <v>60</v>
      </c>
      <c r="S4092" s="74">
        <v>69</v>
      </c>
      <c r="T4092" s="50">
        <v>0.14000000000000001</v>
      </c>
      <c r="U4092" s="131">
        <v>0.65</v>
      </c>
      <c r="V4092" s="50">
        <v>0.11</v>
      </c>
      <c r="W4092" s="74">
        <v>2.1000000000000001E-2</v>
      </c>
      <c r="X4092" s="50">
        <v>0.108</v>
      </c>
      <c r="Y4092" s="74">
        <v>0.01</v>
      </c>
      <c r="Z4092" s="165"/>
    </row>
    <row r="4093" spans="1:79" ht="15" customHeight="1">
      <c r="A4093" s="404" t="s">
        <v>4668</v>
      </c>
      <c r="B4093" s="402" t="s">
        <v>1381</v>
      </c>
      <c r="C4093" s="113" t="s">
        <v>2000</v>
      </c>
      <c r="D4093" s="393" t="s">
        <v>200</v>
      </c>
      <c r="E4093" s="394" t="s">
        <v>214</v>
      </c>
      <c r="G4093" s="405" t="s">
        <v>2840</v>
      </c>
      <c r="H4093" s="74">
        <v>4952</v>
      </c>
      <c r="I4093" s="50" t="s">
        <v>1</v>
      </c>
      <c r="J4093" s="339" t="s">
        <v>2841</v>
      </c>
      <c r="K4093" s="51">
        <v>41717</v>
      </c>
      <c r="L4093" s="173">
        <v>41710</v>
      </c>
      <c r="M4093" s="50">
        <f t="shared" si="245"/>
        <v>7</v>
      </c>
      <c r="N4093" s="50" t="s">
        <v>1</v>
      </c>
      <c r="O4093" s="74">
        <f>1.4/2</f>
        <v>0.7</v>
      </c>
      <c r="P4093" s="50">
        <v>5.59</v>
      </c>
      <c r="Q4093" s="74">
        <v>7.06</v>
      </c>
      <c r="R4093" s="50">
        <v>12</v>
      </c>
      <c r="S4093" s="74">
        <v>10</v>
      </c>
      <c r="T4093" s="50">
        <v>0.08</v>
      </c>
      <c r="U4093" s="131">
        <v>0.75</v>
      </c>
      <c r="V4093" s="50">
        <f>0.01/2</f>
        <v>5.0000000000000001E-3</v>
      </c>
      <c r="W4093" s="74">
        <f>0.005/2</f>
        <v>2.5000000000000001E-3</v>
      </c>
      <c r="X4093" s="50">
        <v>2.5999999999999999E-2</v>
      </c>
      <c r="Y4093" s="74">
        <v>5.0000000000000001E-3</v>
      </c>
      <c r="Z4093" s="165"/>
    </row>
    <row r="4094" spans="1:79" ht="15" customHeight="1">
      <c r="A4094" s="404" t="s">
        <v>4668</v>
      </c>
      <c r="B4094" s="402" t="s">
        <v>1381</v>
      </c>
      <c r="C4094" s="113" t="s">
        <v>2000</v>
      </c>
      <c r="D4094" s="393" t="s">
        <v>200</v>
      </c>
      <c r="E4094" s="394" t="s">
        <v>214</v>
      </c>
      <c r="G4094" s="405" t="s">
        <v>2840</v>
      </c>
      <c r="H4094" s="74">
        <v>4952</v>
      </c>
      <c r="I4094" s="50" t="s">
        <v>1</v>
      </c>
      <c r="J4094" s="339" t="s">
        <v>2842</v>
      </c>
      <c r="K4094" s="51">
        <v>41717</v>
      </c>
      <c r="L4094" s="173">
        <v>41710</v>
      </c>
      <c r="M4094" s="50">
        <f t="shared" si="245"/>
        <v>7</v>
      </c>
      <c r="N4094" s="50" t="s">
        <v>1</v>
      </c>
      <c r="O4094" s="74">
        <f>1.4/2</f>
        <v>0.7</v>
      </c>
      <c r="P4094" s="50">
        <v>5.59</v>
      </c>
      <c r="Q4094" s="74">
        <v>7.49</v>
      </c>
      <c r="R4094" s="50">
        <v>14</v>
      </c>
      <c r="S4094" s="74">
        <v>61</v>
      </c>
      <c r="T4094" s="50">
        <v>2.5</v>
      </c>
      <c r="U4094" s="131">
        <v>8.18</v>
      </c>
      <c r="V4094" s="50">
        <v>3</v>
      </c>
      <c r="W4094" s="74">
        <v>4.2000000000000003E-2</v>
      </c>
      <c r="X4094" s="50">
        <v>4.4999999999999998E-2</v>
      </c>
      <c r="Y4094" s="74">
        <v>6.0000000000000001E-3</v>
      </c>
      <c r="Z4094" s="165"/>
    </row>
    <row r="4095" spans="1:79" ht="15" customHeight="1">
      <c r="A4095" s="404" t="s">
        <v>4668</v>
      </c>
      <c r="B4095" s="402" t="s">
        <v>1381</v>
      </c>
      <c r="C4095" s="113" t="s">
        <v>2000</v>
      </c>
      <c r="D4095" s="393" t="s">
        <v>200</v>
      </c>
      <c r="E4095" s="394" t="s">
        <v>214</v>
      </c>
      <c r="G4095" s="405" t="s">
        <v>2840</v>
      </c>
      <c r="H4095" s="74">
        <v>4952</v>
      </c>
      <c r="I4095" s="50" t="s">
        <v>1</v>
      </c>
      <c r="J4095" s="339" t="s">
        <v>2843</v>
      </c>
      <c r="K4095" s="51">
        <v>41717</v>
      </c>
      <c r="L4095" s="173">
        <v>41710</v>
      </c>
      <c r="M4095" s="50">
        <f t="shared" si="245"/>
        <v>7</v>
      </c>
      <c r="N4095" s="50" t="s">
        <v>1</v>
      </c>
      <c r="O4095" s="74">
        <f>1.4/2</f>
        <v>0.7</v>
      </c>
      <c r="P4095" s="50">
        <v>5.59</v>
      </c>
      <c r="Q4095" s="74">
        <v>7.8</v>
      </c>
      <c r="R4095" s="50">
        <v>10</v>
      </c>
      <c r="S4095" s="74">
        <v>5.5</v>
      </c>
      <c r="T4095" s="50">
        <v>7.0000000000000007E-2</v>
      </c>
      <c r="U4095" s="131">
        <v>2.54</v>
      </c>
      <c r="V4095" s="50">
        <v>0.23</v>
      </c>
      <c r="W4095" s="74">
        <f>0.005/2</f>
        <v>2.5000000000000001E-3</v>
      </c>
      <c r="X4095" s="50">
        <v>6.0000000000000001E-3</v>
      </c>
      <c r="Y4095" s="74">
        <v>5.0000000000000001E-3</v>
      </c>
      <c r="Z4095" s="165"/>
    </row>
    <row r="4096" spans="1:79" ht="15" customHeight="1">
      <c r="A4096" s="404" t="s">
        <v>4668</v>
      </c>
      <c r="B4096" s="402" t="s">
        <v>1381</v>
      </c>
      <c r="C4096" s="113" t="s">
        <v>2000</v>
      </c>
      <c r="D4096" s="393" t="s">
        <v>200</v>
      </c>
      <c r="E4096" s="394" t="s">
        <v>214</v>
      </c>
      <c r="G4096" s="405" t="s">
        <v>2840</v>
      </c>
      <c r="H4096" s="74">
        <v>4952</v>
      </c>
      <c r="I4096" s="50" t="s">
        <v>1</v>
      </c>
      <c r="J4096" s="339" t="s">
        <v>2844</v>
      </c>
      <c r="K4096" s="51">
        <v>41717</v>
      </c>
      <c r="L4096" s="173">
        <v>41710</v>
      </c>
      <c r="M4096" s="50">
        <f t="shared" si="245"/>
        <v>7</v>
      </c>
      <c r="N4096" s="50" t="s">
        <v>1</v>
      </c>
      <c r="O4096" s="74">
        <f>1.4/2</f>
        <v>0.7</v>
      </c>
      <c r="P4096" s="50">
        <v>5.59</v>
      </c>
      <c r="Q4096" s="74">
        <v>7.77</v>
      </c>
      <c r="R4096" s="50">
        <f>10/2</f>
        <v>5</v>
      </c>
      <c r="S4096" s="74">
        <v>8</v>
      </c>
      <c r="T4096" s="50">
        <v>0.05</v>
      </c>
      <c r="U4096" s="131">
        <v>0.47</v>
      </c>
      <c r="V4096" s="50">
        <v>0.28000000000000003</v>
      </c>
      <c r="W4096" s="74">
        <f>0.005/2</f>
        <v>2.5000000000000001E-3</v>
      </c>
      <c r="X4096" s="50">
        <v>6.0000000000000001E-3</v>
      </c>
      <c r="Y4096" s="74">
        <v>4.0000000000000001E-3</v>
      </c>
      <c r="Z4096" s="165"/>
    </row>
    <row r="4097" spans="1:79" s="400" customFormat="1" ht="15" customHeight="1">
      <c r="A4097" s="41" t="s">
        <v>183</v>
      </c>
      <c r="B4097" s="402" t="s">
        <v>1287</v>
      </c>
      <c r="C4097" s="113" t="s">
        <v>1287</v>
      </c>
      <c r="D4097" s="393" t="s">
        <v>434</v>
      </c>
      <c r="E4097" s="394" t="s">
        <v>1289</v>
      </c>
      <c r="F4097" s="402" t="s">
        <v>6410</v>
      </c>
      <c r="G4097" s="405" t="s">
        <v>1290</v>
      </c>
      <c r="H4097" s="404">
        <v>3728</v>
      </c>
      <c r="I4097" s="402" t="s">
        <v>2</v>
      </c>
      <c r="J4097" s="406" t="s">
        <v>4661</v>
      </c>
      <c r="K4097" s="403">
        <v>41710</v>
      </c>
      <c r="L4097" s="398">
        <v>41691</v>
      </c>
      <c r="M4097" s="402">
        <f t="shared" si="245"/>
        <v>19</v>
      </c>
      <c r="N4097" s="402" t="s">
        <v>1</v>
      </c>
      <c r="O4097" s="404"/>
      <c r="P4097" s="402"/>
      <c r="Q4097" s="404"/>
      <c r="R4097" s="402"/>
      <c r="S4097" s="404"/>
      <c r="T4097" s="402"/>
      <c r="U4097" s="395"/>
      <c r="V4097" s="402">
        <v>2.8</v>
      </c>
      <c r="W4097" s="404"/>
      <c r="X4097" s="402">
        <v>9.4E-2</v>
      </c>
      <c r="Y4097" s="404"/>
      <c r="Z4097" s="397"/>
      <c r="AA4097" s="399"/>
      <c r="AB4097" s="394"/>
      <c r="AC4097" s="402"/>
      <c r="AD4097" s="399"/>
      <c r="AE4097" s="402"/>
      <c r="AF4097" s="391"/>
      <c r="AG4097" s="394"/>
      <c r="AH4097" s="394"/>
      <c r="AI4097" s="394"/>
      <c r="AJ4097" s="394"/>
      <c r="AK4097" s="394"/>
      <c r="AL4097" s="394"/>
      <c r="AM4097" s="394"/>
      <c r="AN4097" s="394"/>
      <c r="AO4097" s="394"/>
      <c r="AP4097" s="394"/>
      <c r="AQ4097" s="394"/>
      <c r="AR4097" s="394"/>
      <c r="AS4097" s="402"/>
      <c r="AT4097" s="404"/>
      <c r="AU4097" s="394"/>
      <c r="AV4097" s="394"/>
      <c r="AW4097" s="394"/>
      <c r="AX4097" s="5"/>
      <c r="AY4097" s="5"/>
      <c r="AZ4097" s="5"/>
      <c r="BA4097" s="5"/>
      <c r="BB4097" s="5"/>
      <c r="BC4097" s="5"/>
      <c r="BD4097" s="5"/>
      <c r="BE4097" s="5"/>
      <c r="BF4097" s="5"/>
      <c r="BG4097" s="5"/>
      <c r="BH4097" s="5"/>
      <c r="BI4097" s="5"/>
      <c r="BJ4097" s="5"/>
      <c r="BK4097" s="5"/>
      <c r="BL4097" s="5"/>
      <c r="BM4097" s="5"/>
      <c r="BN4097" s="5"/>
      <c r="BO4097" s="5"/>
      <c r="BP4097" s="5"/>
      <c r="BQ4097" s="5"/>
      <c r="BR4097" s="5"/>
      <c r="BS4097" s="5"/>
      <c r="BT4097" s="5"/>
      <c r="BU4097" s="5"/>
      <c r="BV4097" s="5"/>
      <c r="BW4097" s="5"/>
      <c r="BX4097" s="5"/>
      <c r="BY4097" s="5"/>
      <c r="BZ4097" s="5"/>
      <c r="CA4097" s="5"/>
    </row>
    <row r="4098" spans="1:79" s="400" customFormat="1" ht="15" customHeight="1">
      <c r="A4098" s="41" t="s">
        <v>183</v>
      </c>
      <c r="B4098" s="402" t="s">
        <v>1287</v>
      </c>
      <c r="C4098" s="113" t="s">
        <v>1287</v>
      </c>
      <c r="D4098" s="393" t="s">
        <v>434</v>
      </c>
      <c r="E4098" s="394" t="s">
        <v>1289</v>
      </c>
      <c r="F4098" s="402" t="s">
        <v>6410</v>
      </c>
      <c r="G4098" s="405" t="s">
        <v>1290</v>
      </c>
      <c r="H4098" s="404">
        <v>3728</v>
      </c>
      <c r="I4098" s="402" t="s">
        <v>2</v>
      </c>
      <c r="J4098" s="406" t="s">
        <v>4662</v>
      </c>
      <c r="K4098" s="403">
        <v>41710</v>
      </c>
      <c r="L4098" s="398">
        <v>41691</v>
      </c>
      <c r="M4098" s="402">
        <f t="shared" si="245"/>
        <v>19</v>
      </c>
      <c r="N4098" s="402" t="s">
        <v>1</v>
      </c>
      <c r="O4098" s="404"/>
      <c r="P4098" s="402"/>
      <c r="Q4098" s="404"/>
      <c r="R4098" s="402">
        <v>280</v>
      </c>
      <c r="S4098" s="404">
        <v>540</v>
      </c>
      <c r="T4098" s="402"/>
      <c r="U4098" s="395"/>
      <c r="V4098" s="402">
        <v>1.6</v>
      </c>
      <c r="W4098" s="404"/>
      <c r="X4098" s="402">
        <v>0.28999999999999998</v>
      </c>
      <c r="Y4098" s="404"/>
      <c r="Z4098" s="397"/>
      <c r="AA4098" s="399"/>
      <c r="AB4098" s="394"/>
      <c r="AC4098" s="402"/>
      <c r="AD4098" s="399"/>
      <c r="AE4098" s="402"/>
      <c r="AF4098" s="391"/>
      <c r="AG4098" s="394"/>
      <c r="AH4098" s="394"/>
      <c r="AI4098" s="394"/>
      <c r="AJ4098" s="394"/>
      <c r="AK4098" s="394"/>
      <c r="AL4098" s="394"/>
      <c r="AM4098" s="394"/>
      <c r="AN4098" s="394"/>
      <c r="AO4098" s="394"/>
      <c r="AP4098" s="394"/>
      <c r="AQ4098" s="394"/>
      <c r="AR4098" s="394"/>
      <c r="AS4098" s="402"/>
      <c r="AT4098" s="404"/>
      <c r="AU4098" s="394"/>
      <c r="AV4098" s="394"/>
      <c r="AW4098" s="394"/>
      <c r="AX4098" s="5"/>
      <c r="AY4098" s="5"/>
      <c r="AZ4098" s="5"/>
      <c r="BA4098" s="5"/>
      <c r="BB4098" s="5"/>
      <c r="BC4098" s="5"/>
      <c r="BD4098" s="5"/>
      <c r="BE4098" s="5"/>
      <c r="BF4098" s="5"/>
      <c r="BG4098" s="5"/>
      <c r="BH4098" s="5"/>
      <c r="BI4098" s="5"/>
      <c r="BJ4098" s="5"/>
      <c r="BK4098" s="5"/>
      <c r="BL4098" s="5"/>
      <c r="BM4098" s="5"/>
      <c r="BN4098" s="5"/>
      <c r="BO4098" s="5"/>
      <c r="BP4098" s="5"/>
      <c r="BQ4098" s="5"/>
      <c r="BR4098" s="5"/>
      <c r="BS4098" s="5"/>
      <c r="BT4098" s="5"/>
      <c r="BU4098" s="5"/>
      <c r="BV4098" s="5"/>
      <c r="BW4098" s="5"/>
      <c r="BX4098" s="5"/>
      <c r="BY4098" s="5"/>
      <c r="BZ4098" s="5"/>
      <c r="CA4098" s="5"/>
    </row>
    <row r="4099" spans="1:79" s="400" customFormat="1" ht="15" customHeight="1">
      <c r="A4099" s="41" t="s">
        <v>183</v>
      </c>
      <c r="B4099" s="402" t="s">
        <v>1287</v>
      </c>
      <c r="C4099" s="113" t="s">
        <v>1287</v>
      </c>
      <c r="D4099" s="393" t="s">
        <v>434</v>
      </c>
      <c r="E4099" s="394" t="s">
        <v>1289</v>
      </c>
      <c r="F4099" s="402" t="s">
        <v>6410</v>
      </c>
      <c r="G4099" s="405" t="s">
        <v>1290</v>
      </c>
      <c r="H4099" s="404">
        <v>3728</v>
      </c>
      <c r="I4099" s="402" t="s">
        <v>2</v>
      </c>
      <c r="J4099" s="406" t="s">
        <v>4663</v>
      </c>
      <c r="K4099" s="403">
        <v>41710</v>
      </c>
      <c r="L4099" s="398">
        <v>41691</v>
      </c>
      <c r="M4099" s="402">
        <f t="shared" si="245"/>
        <v>19</v>
      </c>
      <c r="N4099" s="402" t="s">
        <v>1</v>
      </c>
      <c r="O4099" s="404"/>
      <c r="P4099" s="402"/>
      <c r="Q4099" s="404"/>
      <c r="R4099" s="402">
        <v>79</v>
      </c>
      <c r="S4099" s="404">
        <v>90</v>
      </c>
      <c r="T4099" s="402"/>
      <c r="U4099" s="395"/>
      <c r="V4099" s="402"/>
      <c r="W4099" s="404"/>
      <c r="X4099" s="402"/>
      <c r="Y4099" s="404"/>
      <c r="Z4099" s="397"/>
      <c r="AA4099" s="399"/>
      <c r="AB4099" s="394"/>
      <c r="AC4099" s="402"/>
      <c r="AD4099" s="399"/>
      <c r="AE4099" s="402"/>
      <c r="AF4099" s="391"/>
      <c r="AG4099" s="394"/>
      <c r="AH4099" s="394"/>
      <c r="AI4099" s="394"/>
      <c r="AJ4099" s="394"/>
      <c r="AK4099" s="394"/>
      <c r="AL4099" s="394"/>
      <c r="AM4099" s="394"/>
      <c r="AN4099" s="394"/>
      <c r="AO4099" s="394"/>
      <c r="AP4099" s="394"/>
      <c r="AQ4099" s="394"/>
      <c r="AR4099" s="394"/>
      <c r="AS4099" s="402"/>
      <c r="AT4099" s="404"/>
      <c r="AU4099" s="394"/>
      <c r="AV4099" s="394"/>
      <c r="AW4099" s="394"/>
      <c r="AX4099" s="5"/>
      <c r="AY4099" s="5"/>
      <c r="AZ4099" s="5"/>
      <c r="BA4099" s="5"/>
      <c r="BB4099" s="5"/>
      <c r="BC4099" s="5"/>
      <c r="BD4099" s="5"/>
      <c r="BE4099" s="5"/>
      <c r="BF4099" s="5"/>
      <c r="BG4099" s="5"/>
      <c r="BH4099" s="5"/>
      <c r="BI4099" s="5"/>
      <c r="BJ4099" s="5"/>
      <c r="BK4099" s="5"/>
      <c r="BL4099" s="5"/>
      <c r="BM4099" s="5"/>
      <c r="BN4099" s="5"/>
      <c r="BO4099" s="5"/>
      <c r="BP4099" s="5"/>
      <c r="BQ4099" s="5"/>
      <c r="BR4099" s="5"/>
      <c r="BS4099" s="5"/>
      <c r="BT4099" s="5"/>
      <c r="BU4099" s="5"/>
      <c r="BV4099" s="5"/>
      <c r="BW4099" s="5"/>
      <c r="BX4099" s="5"/>
      <c r="BY4099" s="5"/>
      <c r="BZ4099" s="5"/>
      <c r="CA4099" s="5"/>
    </row>
    <row r="4100" spans="1:79" s="400" customFormat="1" ht="15" customHeight="1">
      <c r="A4100" s="41" t="s">
        <v>183</v>
      </c>
      <c r="B4100" s="402" t="s">
        <v>1287</v>
      </c>
      <c r="C4100" s="113" t="s">
        <v>1287</v>
      </c>
      <c r="D4100" s="393" t="s">
        <v>434</v>
      </c>
      <c r="E4100" s="394" t="s">
        <v>1289</v>
      </c>
      <c r="F4100" s="402" t="s">
        <v>6410</v>
      </c>
      <c r="G4100" s="405" t="s">
        <v>1290</v>
      </c>
      <c r="H4100" s="404">
        <v>3728</v>
      </c>
      <c r="I4100" s="402" t="s">
        <v>2</v>
      </c>
      <c r="J4100" s="406" t="s">
        <v>4664</v>
      </c>
      <c r="K4100" s="403">
        <v>41710</v>
      </c>
      <c r="L4100" s="398">
        <v>41691</v>
      </c>
      <c r="M4100" s="402">
        <f t="shared" si="245"/>
        <v>19</v>
      </c>
      <c r="N4100" s="402" t="s">
        <v>1</v>
      </c>
      <c r="O4100" s="404"/>
      <c r="P4100" s="402">
        <v>6.53</v>
      </c>
      <c r="Q4100" s="404">
        <v>8.68</v>
      </c>
      <c r="R4100" s="402">
        <v>260</v>
      </c>
      <c r="S4100" s="404"/>
      <c r="T4100" s="402"/>
      <c r="U4100" s="395">
        <v>8.6</v>
      </c>
      <c r="V4100" s="402">
        <v>3.2</v>
      </c>
      <c r="W4100" s="404"/>
      <c r="X4100" s="402"/>
      <c r="Y4100" s="404">
        <v>2.7E-2</v>
      </c>
      <c r="Z4100" s="397"/>
      <c r="AA4100" s="399"/>
      <c r="AB4100" s="394"/>
      <c r="AC4100" s="402"/>
      <c r="AD4100" s="399"/>
      <c r="AE4100" s="402"/>
      <c r="AF4100" s="391"/>
      <c r="AG4100" s="394"/>
      <c r="AH4100" s="394"/>
      <c r="AI4100" s="394"/>
      <c r="AJ4100" s="394"/>
      <c r="AK4100" s="394"/>
      <c r="AL4100" s="394"/>
      <c r="AM4100" s="394"/>
      <c r="AN4100" s="394"/>
      <c r="AO4100" s="394"/>
      <c r="AP4100" s="394"/>
      <c r="AQ4100" s="394"/>
      <c r="AR4100" s="394"/>
      <c r="AS4100" s="402"/>
      <c r="AT4100" s="404"/>
      <c r="AU4100" s="394"/>
      <c r="AV4100" s="394"/>
      <c r="AW4100" s="394"/>
      <c r="AX4100" s="5"/>
      <c r="AY4100" s="5"/>
      <c r="AZ4100" s="5"/>
      <c r="BA4100" s="5"/>
      <c r="BB4100" s="5"/>
      <c r="BC4100" s="5"/>
      <c r="BD4100" s="5"/>
      <c r="BE4100" s="5"/>
      <c r="BF4100" s="5"/>
      <c r="BG4100" s="5"/>
      <c r="BH4100" s="5"/>
      <c r="BI4100" s="5"/>
      <c r="BJ4100" s="5"/>
      <c r="BK4100" s="5"/>
      <c r="BL4100" s="5"/>
      <c r="BM4100" s="5"/>
      <c r="BN4100" s="5"/>
      <c r="BO4100" s="5"/>
      <c r="BP4100" s="5"/>
      <c r="BQ4100" s="5"/>
      <c r="BR4100" s="5"/>
      <c r="BS4100" s="5"/>
      <c r="BT4100" s="5"/>
      <c r="BU4100" s="5"/>
      <c r="BV4100" s="5"/>
      <c r="BW4100" s="5"/>
      <c r="BX4100" s="5"/>
      <c r="BY4100" s="5"/>
      <c r="BZ4100" s="5"/>
      <c r="CA4100" s="5"/>
    </row>
    <row r="4101" spans="1:79" s="400" customFormat="1" ht="15" customHeight="1">
      <c r="A4101" s="41" t="s">
        <v>183</v>
      </c>
      <c r="B4101" s="402" t="s">
        <v>1287</v>
      </c>
      <c r="C4101" s="113" t="s">
        <v>1287</v>
      </c>
      <c r="D4101" s="393" t="s">
        <v>434</v>
      </c>
      <c r="E4101" s="394" t="s">
        <v>1289</v>
      </c>
      <c r="F4101" s="402" t="s">
        <v>6410</v>
      </c>
      <c r="G4101" s="405" t="s">
        <v>1290</v>
      </c>
      <c r="H4101" s="404">
        <v>3728</v>
      </c>
      <c r="I4101" s="402" t="s">
        <v>2</v>
      </c>
      <c r="J4101" s="406" t="s">
        <v>4665</v>
      </c>
      <c r="K4101" s="403">
        <v>41710</v>
      </c>
      <c r="L4101" s="398">
        <v>41691</v>
      </c>
      <c r="M4101" s="402">
        <f t="shared" si="245"/>
        <v>19</v>
      </c>
      <c r="N4101" s="402" t="s">
        <v>1</v>
      </c>
      <c r="O4101" s="404"/>
      <c r="P4101" s="402"/>
      <c r="Q4101" s="404"/>
      <c r="R4101" s="402">
        <v>160</v>
      </c>
      <c r="S4101" s="404">
        <v>220</v>
      </c>
      <c r="T4101" s="402"/>
      <c r="U4101" s="395"/>
      <c r="V4101" s="402"/>
      <c r="W4101" s="404"/>
      <c r="X4101" s="402"/>
      <c r="Y4101" s="404"/>
      <c r="Z4101" s="397"/>
      <c r="AA4101" s="399"/>
      <c r="AB4101" s="394"/>
      <c r="AC4101" s="402"/>
      <c r="AD4101" s="399"/>
      <c r="AE4101" s="402"/>
      <c r="AF4101" s="391"/>
      <c r="AG4101" s="394"/>
      <c r="AH4101" s="394"/>
      <c r="AI4101" s="394"/>
      <c r="AJ4101" s="394"/>
      <c r="AK4101" s="394"/>
      <c r="AL4101" s="394"/>
      <c r="AM4101" s="394"/>
      <c r="AN4101" s="394"/>
      <c r="AO4101" s="394"/>
      <c r="AP4101" s="394"/>
      <c r="AQ4101" s="394"/>
      <c r="AR4101" s="394"/>
      <c r="AS4101" s="402"/>
      <c r="AT4101" s="404"/>
      <c r="AU4101" s="394"/>
      <c r="AV4101" s="394"/>
      <c r="AW4101" s="394"/>
      <c r="AX4101" s="5"/>
      <c r="AY4101" s="5"/>
      <c r="AZ4101" s="5"/>
      <c r="BA4101" s="5"/>
      <c r="BB4101" s="5"/>
      <c r="BC4101" s="5"/>
      <c r="BD4101" s="5"/>
      <c r="BE4101" s="5"/>
      <c r="BF4101" s="5"/>
      <c r="BG4101" s="5"/>
      <c r="BH4101" s="5"/>
      <c r="BI4101" s="5"/>
      <c r="BJ4101" s="5"/>
      <c r="BK4101" s="5"/>
      <c r="BL4101" s="5"/>
      <c r="BM4101" s="5"/>
      <c r="BN4101" s="5"/>
      <c r="BO4101" s="5"/>
      <c r="BP4101" s="5"/>
      <c r="BQ4101" s="5"/>
      <c r="BR4101" s="5"/>
      <c r="BS4101" s="5"/>
      <c r="BT4101" s="5"/>
      <c r="BU4101" s="5"/>
      <c r="BV4101" s="5"/>
      <c r="BW4101" s="5"/>
      <c r="BX4101" s="5"/>
      <c r="BY4101" s="5"/>
      <c r="BZ4101" s="5"/>
      <c r="CA4101" s="5"/>
    </row>
    <row r="4102" spans="1:79" ht="15" customHeight="1">
      <c r="A4102" s="404" t="s">
        <v>4668</v>
      </c>
      <c r="B4102" s="386" t="s">
        <v>882</v>
      </c>
      <c r="C4102" s="149" t="s">
        <v>883</v>
      </c>
      <c r="D4102" s="393" t="s">
        <v>884</v>
      </c>
      <c r="E4102" s="258" t="s">
        <v>235</v>
      </c>
      <c r="F4102" s="402">
        <v>6900</v>
      </c>
      <c r="G4102" s="405" t="s">
        <v>885</v>
      </c>
      <c r="H4102" s="74"/>
      <c r="J4102" s="61" t="s">
        <v>886</v>
      </c>
      <c r="K4102" s="51">
        <v>41726</v>
      </c>
      <c r="L4102" s="173"/>
      <c r="N4102" s="54" t="s">
        <v>1</v>
      </c>
      <c r="O4102" s="74">
        <v>1.4</v>
      </c>
      <c r="P4102" s="50">
        <v>7.76</v>
      </c>
      <c r="Q4102" s="74">
        <v>7.72</v>
      </c>
      <c r="R4102" s="50">
        <v>230</v>
      </c>
      <c r="S4102" s="74">
        <v>81</v>
      </c>
      <c r="T4102" s="50">
        <v>0.28000000000000003</v>
      </c>
      <c r="U4102" s="131">
        <v>7.35</v>
      </c>
      <c r="V4102" s="50">
        <f>0.05/2</f>
        <v>2.5000000000000001E-2</v>
      </c>
      <c r="W4102" s="74">
        <v>8.9999999999999993E-3</v>
      </c>
      <c r="X4102" s="50">
        <v>3.4000000000000002E-2</v>
      </c>
      <c r="Y4102" s="74">
        <v>5.0000000000000001E-3</v>
      </c>
      <c r="Z4102" s="165">
        <v>1</v>
      </c>
      <c r="AA4102" s="271">
        <v>1</v>
      </c>
      <c r="AB4102" s="114">
        <v>274</v>
      </c>
      <c r="AC4102" s="50">
        <v>988</v>
      </c>
      <c r="AD4102" s="271">
        <v>1</v>
      </c>
    </row>
    <row r="4103" spans="1:79" ht="15" customHeight="1">
      <c r="A4103" s="404" t="s">
        <v>4668</v>
      </c>
      <c r="B4103" s="402" t="s">
        <v>4526</v>
      </c>
      <c r="C4103" s="113" t="s">
        <v>1332</v>
      </c>
      <c r="D4103" s="393" t="s">
        <v>1569</v>
      </c>
      <c r="E4103" s="394" t="s">
        <v>1579</v>
      </c>
      <c r="F4103" s="402">
        <v>1000</v>
      </c>
      <c r="G4103" s="405" t="s">
        <v>2650</v>
      </c>
      <c r="H4103" s="74">
        <v>4952</v>
      </c>
      <c r="I4103" s="50" t="s">
        <v>1</v>
      </c>
      <c r="J4103" s="339" t="s">
        <v>4918</v>
      </c>
      <c r="K4103" s="51">
        <v>41718</v>
      </c>
      <c r="L4103" s="173">
        <v>41710</v>
      </c>
      <c r="M4103" s="50">
        <f t="shared" si="245"/>
        <v>8</v>
      </c>
      <c r="N4103" s="50" t="s">
        <v>2</v>
      </c>
      <c r="O4103" s="74">
        <f>1.4/2</f>
        <v>0.7</v>
      </c>
      <c r="P4103" s="50">
        <v>5</v>
      </c>
      <c r="Q4103" s="74">
        <v>4.28</v>
      </c>
      <c r="R4103" s="50">
        <v>34</v>
      </c>
      <c r="S4103" s="74">
        <v>23</v>
      </c>
      <c r="T4103" s="50">
        <v>0.08</v>
      </c>
      <c r="U4103" s="131">
        <v>1.3</v>
      </c>
      <c r="V4103" s="50">
        <v>1.22</v>
      </c>
      <c r="W4103" s="74">
        <v>0.78700000000000003</v>
      </c>
      <c r="X4103" s="50">
        <v>0.215</v>
      </c>
      <c r="Y4103" s="74">
        <v>2.1000000000000001E-2</v>
      </c>
      <c r="Z4103" s="165"/>
      <c r="AI4103" s="114">
        <v>30</v>
      </c>
    </row>
    <row r="4104" spans="1:79" ht="15" customHeight="1">
      <c r="A4104" s="404" t="s">
        <v>4668</v>
      </c>
      <c r="B4104" s="402" t="s">
        <v>3098</v>
      </c>
      <c r="C4104" s="113" t="s">
        <v>3098</v>
      </c>
      <c r="D4104" s="393" t="s">
        <v>2501</v>
      </c>
      <c r="E4104" s="394" t="s">
        <v>3099</v>
      </c>
      <c r="F4104" s="402">
        <v>3708</v>
      </c>
      <c r="G4104" s="405" t="s">
        <v>3100</v>
      </c>
      <c r="H4104" s="338" t="s">
        <v>5256</v>
      </c>
      <c r="I4104" s="50" t="s">
        <v>2</v>
      </c>
      <c r="J4104" s="339" t="s">
        <v>5726</v>
      </c>
      <c r="K4104" s="51">
        <v>41710</v>
      </c>
      <c r="L4104" s="173">
        <v>41707</v>
      </c>
      <c r="M4104" s="50">
        <f t="shared" si="245"/>
        <v>3</v>
      </c>
      <c r="N4104" s="50" t="s">
        <v>2</v>
      </c>
      <c r="O4104" s="74">
        <f>10/2</f>
        <v>5</v>
      </c>
      <c r="P4104" s="50">
        <v>5</v>
      </c>
      <c r="Q4104" s="74">
        <v>6.2</v>
      </c>
      <c r="R4104" s="50">
        <v>110</v>
      </c>
      <c r="S4104" s="74">
        <v>160</v>
      </c>
      <c r="T4104" s="50">
        <v>0.57999999999999996</v>
      </c>
      <c r="U4104" s="131">
        <v>2.1</v>
      </c>
      <c r="V4104" s="50">
        <v>0.74</v>
      </c>
      <c r="W4104" s="74">
        <v>0.02</v>
      </c>
      <c r="X4104" s="50">
        <v>1.7</v>
      </c>
      <c r="Y4104" s="74">
        <v>0.01</v>
      </c>
      <c r="Z4104" s="165">
        <v>1</v>
      </c>
      <c r="AA4104" s="271">
        <v>0.497</v>
      </c>
      <c r="AB4104" s="114">
        <v>24</v>
      </c>
      <c r="AC4104" s="50">
        <v>1024</v>
      </c>
      <c r="AD4104" s="271">
        <v>0.05</v>
      </c>
    </row>
    <row r="4105" spans="1:79" ht="15" customHeight="1">
      <c r="A4105" s="404" t="s">
        <v>4668</v>
      </c>
      <c r="B4105" s="402" t="s">
        <v>1832</v>
      </c>
      <c r="C4105" s="113" t="s">
        <v>1914</v>
      </c>
      <c r="D4105" s="393" t="s">
        <v>111</v>
      </c>
      <c r="E4105" s="394" t="s">
        <v>382</v>
      </c>
      <c r="F4105" s="402" t="s">
        <v>1915</v>
      </c>
      <c r="G4105" s="405" t="s">
        <v>1809</v>
      </c>
      <c r="H4105" s="49">
        <v>3272</v>
      </c>
      <c r="I4105" s="50" t="s">
        <v>2</v>
      </c>
      <c r="J4105" s="260" t="s">
        <v>74</v>
      </c>
      <c r="K4105" s="51">
        <v>41727</v>
      </c>
      <c r="L4105" s="173"/>
      <c r="N4105" s="50" t="s">
        <v>2</v>
      </c>
      <c r="O4105" s="74">
        <v>1.6</v>
      </c>
      <c r="Q4105" s="74">
        <v>6.19</v>
      </c>
      <c r="R4105" s="50">
        <f>38/2</f>
        <v>19</v>
      </c>
      <c r="S4105" s="74">
        <v>33</v>
      </c>
      <c r="T4105" s="50">
        <v>0.14000000000000001</v>
      </c>
      <c r="U4105" s="131">
        <v>0.38</v>
      </c>
      <c r="V4105" s="50">
        <v>1.59</v>
      </c>
      <c r="W4105" s="74">
        <v>1.4E-2</v>
      </c>
      <c r="X4105" s="50">
        <v>2.1999999999999999E-2</v>
      </c>
      <c r="Y4105" s="74">
        <f>0.038/2</f>
        <v>1.9E-2</v>
      </c>
      <c r="Z4105" s="165"/>
    </row>
    <row r="4106" spans="1:79" ht="15" customHeight="1">
      <c r="A4106" s="404" t="s">
        <v>4668</v>
      </c>
      <c r="B4106" s="402" t="s">
        <v>1832</v>
      </c>
      <c r="C4106" s="113" t="s">
        <v>1833</v>
      </c>
      <c r="D4106" s="393" t="s">
        <v>111</v>
      </c>
      <c r="F4106" s="402" t="s">
        <v>1915</v>
      </c>
      <c r="G4106" s="405" t="s">
        <v>1801</v>
      </c>
      <c r="H4106" s="49">
        <v>3272</v>
      </c>
      <c r="I4106" s="50" t="s">
        <v>2</v>
      </c>
      <c r="J4106" s="260" t="s">
        <v>74</v>
      </c>
      <c r="K4106" s="51">
        <v>41727</v>
      </c>
      <c r="L4106" s="173"/>
      <c r="N4106" s="50" t="s">
        <v>2</v>
      </c>
      <c r="Q4106" s="74">
        <v>5.36</v>
      </c>
      <c r="S4106" s="74">
        <v>8</v>
      </c>
      <c r="T4106" s="50">
        <v>0.14000000000000001</v>
      </c>
      <c r="U4106" s="131">
        <v>0.46</v>
      </c>
      <c r="W4106" s="74">
        <v>5.0000000000000001E-3</v>
      </c>
      <c r="X4106" s="50">
        <v>4.3999999999999997E-2</v>
      </c>
      <c r="Y4106" s="74">
        <v>2E-3</v>
      </c>
      <c r="Z4106" s="165"/>
    </row>
    <row r="4107" spans="1:79" ht="15" customHeight="1">
      <c r="A4107" s="404" t="s">
        <v>4668</v>
      </c>
      <c r="B4107" s="402" t="s">
        <v>1296</v>
      </c>
      <c r="C4107" s="113" t="s">
        <v>1296</v>
      </c>
      <c r="D4107" s="393" t="s">
        <v>89</v>
      </c>
      <c r="E4107" s="394" t="s">
        <v>535</v>
      </c>
      <c r="G4107" s="405" t="s">
        <v>1298</v>
      </c>
      <c r="H4107" s="74">
        <v>3562</v>
      </c>
      <c r="I4107" s="50" t="s">
        <v>2</v>
      </c>
      <c r="J4107" s="339" t="s">
        <v>6411</v>
      </c>
      <c r="K4107" s="51">
        <v>41710</v>
      </c>
      <c r="L4107" s="173">
        <v>41691</v>
      </c>
      <c r="M4107" s="50">
        <f t="shared" si="245"/>
        <v>19</v>
      </c>
      <c r="O4107" s="74">
        <v>2.5</v>
      </c>
      <c r="P4107" s="50">
        <v>8.41</v>
      </c>
      <c r="Q4107" s="74">
        <v>6.9</v>
      </c>
      <c r="R4107" s="50">
        <v>65</v>
      </c>
      <c r="S4107" s="74">
        <v>20</v>
      </c>
      <c r="T4107" s="50">
        <v>0.13</v>
      </c>
      <c r="U4107" s="131">
        <v>0.5</v>
      </c>
      <c r="V4107" s="50">
        <v>0.46</v>
      </c>
      <c r="W4107" s="74">
        <v>0.02</v>
      </c>
      <c r="X4107" s="50">
        <v>6.8000000000000005E-2</v>
      </c>
      <c r="Y4107" s="74">
        <v>6.4999999999999997E-3</v>
      </c>
      <c r="Z4107" s="165">
        <v>1</v>
      </c>
      <c r="AA4107" s="271">
        <v>1</v>
      </c>
      <c r="AB4107" s="114">
        <v>280</v>
      </c>
      <c r="AC4107" s="50">
        <v>2280</v>
      </c>
      <c r="AD4107" s="271">
        <v>1</v>
      </c>
    </row>
    <row r="4108" spans="1:79" s="400" customFormat="1" ht="15" customHeight="1">
      <c r="A4108" s="41" t="s">
        <v>183</v>
      </c>
      <c r="B4108" s="402" t="s">
        <v>6412</v>
      </c>
      <c r="C4108" s="113" t="s">
        <v>2156</v>
      </c>
      <c r="D4108" s="393" t="s">
        <v>71</v>
      </c>
      <c r="E4108" s="394" t="s">
        <v>6413</v>
      </c>
      <c r="F4108" s="402"/>
      <c r="G4108" s="405" t="s">
        <v>3620</v>
      </c>
      <c r="H4108" s="404">
        <v>2821</v>
      </c>
      <c r="I4108" s="402" t="s">
        <v>1</v>
      </c>
      <c r="J4108" s="401" t="s">
        <v>96</v>
      </c>
      <c r="K4108" s="403">
        <v>41710</v>
      </c>
      <c r="L4108" s="398">
        <v>41691</v>
      </c>
      <c r="M4108" s="402">
        <f t="shared" si="245"/>
        <v>19</v>
      </c>
      <c r="N4108" s="402" t="s">
        <v>1</v>
      </c>
      <c r="O4108" s="404"/>
      <c r="P4108" s="402">
        <v>4.4800000000000004</v>
      </c>
      <c r="Q4108" s="404"/>
      <c r="R4108" s="402"/>
      <c r="S4108" s="404"/>
      <c r="T4108" s="402"/>
      <c r="U4108" s="395"/>
      <c r="V4108" s="402"/>
      <c r="W4108" s="404"/>
      <c r="X4108" s="402">
        <v>0.12</v>
      </c>
      <c r="Y4108" s="404"/>
      <c r="Z4108" s="397"/>
      <c r="AA4108" s="399"/>
      <c r="AB4108" s="394"/>
      <c r="AC4108" s="402"/>
      <c r="AD4108" s="399"/>
      <c r="AE4108" s="402"/>
      <c r="AF4108" s="391"/>
      <c r="AG4108" s="394"/>
      <c r="AH4108" s="394"/>
      <c r="AI4108" s="394"/>
      <c r="AJ4108" s="394"/>
      <c r="AK4108" s="394"/>
      <c r="AL4108" s="394"/>
      <c r="AM4108" s="394"/>
      <c r="AN4108" s="394"/>
      <c r="AO4108" s="394"/>
      <c r="AP4108" s="394"/>
      <c r="AQ4108" s="394"/>
      <c r="AR4108" s="394"/>
      <c r="AS4108" s="402"/>
      <c r="AT4108" s="404"/>
      <c r="AU4108" s="394"/>
      <c r="AV4108" s="394"/>
      <c r="AW4108" s="394"/>
      <c r="AX4108" s="5"/>
      <c r="AY4108" s="5"/>
      <c r="AZ4108" s="5"/>
      <c r="BA4108" s="5"/>
      <c r="BB4108" s="5"/>
      <c r="BC4108" s="5"/>
      <c r="BD4108" s="5"/>
      <c r="BE4108" s="5"/>
      <c r="BF4108" s="5"/>
      <c r="BG4108" s="5"/>
      <c r="BH4108" s="5"/>
      <c r="BI4108" s="5"/>
      <c r="BJ4108" s="5"/>
      <c r="BK4108" s="5"/>
      <c r="BL4108" s="5"/>
      <c r="BM4108" s="5"/>
      <c r="BN4108" s="5"/>
      <c r="BO4108" s="5"/>
      <c r="BP4108" s="5"/>
      <c r="BQ4108" s="5"/>
      <c r="BR4108" s="5"/>
      <c r="BS4108" s="5"/>
      <c r="BT4108" s="5"/>
      <c r="BU4108" s="5"/>
      <c r="BV4108" s="5"/>
      <c r="BW4108" s="5"/>
      <c r="BX4108" s="5"/>
      <c r="BY4108" s="5"/>
      <c r="BZ4108" s="5"/>
      <c r="CA4108" s="5"/>
    </row>
    <row r="4109" spans="1:79" s="400" customFormat="1" ht="15" customHeight="1">
      <c r="A4109" s="41" t="s">
        <v>183</v>
      </c>
      <c r="B4109" s="402" t="s">
        <v>6412</v>
      </c>
      <c r="C4109" s="113" t="s">
        <v>2156</v>
      </c>
      <c r="D4109" s="393" t="s">
        <v>71</v>
      </c>
      <c r="E4109" s="394" t="s">
        <v>6413</v>
      </c>
      <c r="F4109" s="402"/>
      <c r="G4109" s="405" t="s">
        <v>3620</v>
      </c>
      <c r="H4109" s="404">
        <v>2821</v>
      </c>
      <c r="I4109" s="402" t="s">
        <v>1</v>
      </c>
      <c r="J4109" s="401" t="s">
        <v>169</v>
      </c>
      <c r="K4109" s="403">
        <v>41710</v>
      </c>
      <c r="L4109" s="398">
        <v>41691</v>
      </c>
      <c r="M4109" s="402">
        <f t="shared" si="245"/>
        <v>19</v>
      </c>
      <c r="N4109" s="402" t="s">
        <v>1</v>
      </c>
      <c r="O4109" s="404"/>
      <c r="P4109" s="402">
        <v>4.4800000000000004</v>
      </c>
      <c r="Q4109" s="404"/>
      <c r="R4109" s="402"/>
      <c r="S4109" s="404"/>
      <c r="T4109" s="402"/>
      <c r="U4109" s="395"/>
      <c r="V4109" s="402"/>
      <c r="W4109" s="404"/>
      <c r="X4109" s="402">
        <v>0.23</v>
      </c>
      <c r="Y4109" s="404"/>
      <c r="Z4109" s="397"/>
      <c r="AA4109" s="399"/>
      <c r="AB4109" s="394"/>
      <c r="AC4109" s="402"/>
      <c r="AD4109" s="399"/>
      <c r="AE4109" s="402"/>
      <c r="AF4109" s="391"/>
      <c r="AG4109" s="394"/>
      <c r="AH4109" s="394"/>
      <c r="AI4109" s="394"/>
      <c r="AJ4109" s="394"/>
      <c r="AK4109" s="394"/>
      <c r="AL4109" s="394"/>
      <c r="AM4109" s="394"/>
      <c r="AN4109" s="394"/>
      <c r="AO4109" s="394"/>
      <c r="AP4109" s="394"/>
      <c r="AQ4109" s="394"/>
      <c r="AR4109" s="394"/>
      <c r="AS4109" s="402"/>
      <c r="AT4109" s="404"/>
      <c r="AU4109" s="394"/>
      <c r="AV4109" s="394"/>
      <c r="AW4109" s="394"/>
      <c r="AX4109" s="5"/>
      <c r="AY4109" s="5"/>
      <c r="AZ4109" s="5"/>
      <c r="BA4109" s="5"/>
      <c r="BB4109" s="5"/>
      <c r="BC4109" s="5"/>
      <c r="BD4109" s="5"/>
      <c r="BE4109" s="5"/>
      <c r="BF4109" s="5"/>
      <c r="BG4109" s="5"/>
      <c r="BH4109" s="5"/>
      <c r="BI4109" s="5"/>
      <c r="BJ4109" s="5"/>
      <c r="BK4109" s="5"/>
      <c r="BL4109" s="5"/>
      <c r="BM4109" s="5"/>
      <c r="BN4109" s="5"/>
      <c r="BO4109" s="5"/>
      <c r="BP4109" s="5"/>
      <c r="BQ4109" s="5"/>
      <c r="BR4109" s="5"/>
      <c r="BS4109" s="5"/>
      <c r="BT4109" s="5"/>
      <c r="BU4109" s="5"/>
      <c r="BV4109" s="5"/>
      <c r="BW4109" s="5"/>
      <c r="BX4109" s="5"/>
      <c r="BY4109" s="5"/>
      <c r="BZ4109" s="5"/>
      <c r="CA4109" s="5"/>
    </row>
    <row r="4110" spans="1:79" s="400" customFormat="1" ht="15" customHeight="1">
      <c r="A4110" s="41" t="s">
        <v>183</v>
      </c>
      <c r="B4110" s="402" t="s">
        <v>6412</v>
      </c>
      <c r="C4110" s="113" t="s">
        <v>2156</v>
      </c>
      <c r="D4110" s="393" t="s">
        <v>71</v>
      </c>
      <c r="E4110" s="394" t="s">
        <v>6413</v>
      </c>
      <c r="F4110" s="402"/>
      <c r="G4110" s="405" t="s">
        <v>3620</v>
      </c>
      <c r="H4110" s="404">
        <v>2821</v>
      </c>
      <c r="I4110" s="402" t="s">
        <v>1</v>
      </c>
      <c r="J4110" s="401" t="s">
        <v>2160</v>
      </c>
      <c r="K4110" s="403">
        <v>41710</v>
      </c>
      <c r="L4110" s="398">
        <v>41691</v>
      </c>
      <c r="M4110" s="402">
        <f t="shared" si="245"/>
        <v>19</v>
      </c>
      <c r="N4110" s="402" t="s">
        <v>1</v>
      </c>
      <c r="O4110" s="404"/>
      <c r="P4110" s="402">
        <v>4.4800000000000004</v>
      </c>
      <c r="Q4110" s="404"/>
      <c r="R4110" s="402">
        <v>50</v>
      </c>
      <c r="S4110" s="404">
        <v>36</v>
      </c>
      <c r="T4110" s="402"/>
      <c r="U4110" s="395"/>
      <c r="V4110" s="402"/>
      <c r="W4110" s="404"/>
      <c r="X4110" s="402"/>
      <c r="Y4110" s="404"/>
      <c r="Z4110" s="397"/>
      <c r="AA4110" s="399"/>
      <c r="AB4110" s="394"/>
      <c r="AC4110" s="402"/>
      <c r="AD4110" s="399"/>
      <c r="AE4110" s="402"/>
      <c r="AF4110" s="391"/>
      <c r="AG4110" s="394"/>
      <c r="AH4110" s="394"/>
      <c r="AI4110" s="394"/>
      <c r="AJ4110" s="394"/>
      <c r="AK4110" s="394"/>
      <c r="AL4110" s="394"/>
      <c r="AM4110" s="394"/>
      <c r="AN4110" s="394"/>
      <c r="AO4110" s="394"/>
      <c r="AP4110" s="394"/>
      <c r="AQ4110" s="394"/>
      <c r="AR4110" s="394"/>
      <c r="AS4110" s="402"/>
      <c r="AT4110" s="404"/>
      <c r="AU4110" s="394"/>
      <c r="AV4110" s="394"/>
      <c r="AW4110" s="394"/>
      <c r="AX4110" s="5"/>
      <c r="AY4110" s="5"/>
      <c r="AZ4110" s="5"/>
      <c r="BA4110" s="5"/>
      <c r="BB4110" s="5"/>
      <c r="BC4110" s="5"/>
      <c r="BD4110" s="5"/>
      <c r="BE4110" s="5"/>
      <c r="BF4110" s="5"/>
      <c r="BG4110" s="5"/>
      <c r="BH4110" s="5"/>
      <c r="BI4110" s="5"/>
      <c r="BJ4110" s="5"/>
      <c r="BK4110" s="5"/>
      <c r="BL4110" s="5"/>
      <c r="BM4110" s="5"/>
      <c r="BN4110" s="5"/>
      <c r="BO4110" s="5"/>
      <c r="BP4110" s="5"/>
      <c r="BQ4110" s="5"/>
      <c r="BR4110" s="5"/>
      <c r="BS4110" s="5"/>
      <c r="BT4110" s="5"/>
      <c r="BU4110" s="5"/>
      <c r="BV4110" s="5"/>
      <c r="BW4110" s="5"/>
      <c r="BX4110" s="5"/>
      <c r="BY4110" s="5"/>
      <c r="BZ4110" s="5"/>
      <c r="CA4110" s="5"/>
    </row>
    <row r="4111" spans="1:79" s="400" customFormat="1" ht="15" customHeight="1">
      <c r="A4111" s="41" t="s">
        <v>183</v>
      </c>
      <c r="B4111" s="402" t="s">
        <v>693</v>
      </c>
      <c r="C4111" s="113" t="s">
        <v>1894</v>
      </c>
      <c r="D4111" s="393" t="s">
        <v>262</v>
      </c>
      <c r="E4111" s="394" t="s">
        <v>694</v>
      </c>
      <c r="F4111" s="402" t="s">
        <v>6414</v>
      </c>
      <c r="G4111" s="405" t="s">
        <v>695</v>
      </c>
      <c r="H4111" s="404">
        <v>3471</v>
      </c>
      <c r="I4111" s="402" t="s">
        <v>2</v>
      </c>
      <c r="J4111" s="406" t="s">
        <v>696</v>
      </c>
      <c r="K4111" s="403">
        <v>41710</v>
      </c>
      <c r="L4111" s="398">
        <v>41708</v>
      </c>
      <c r="M4111" s="402">
        <f t="shared" si="245"/>
        <v>2</v>
      </c>
      <c r="N4111" s="402" t="s">
        <v>1</v>
      </c>
      <c r="O4111" s="404"/>
      <c r="P4111" s="402"/>
      <c r="Q4111" s="404"/>
      <c r="R4111" s="402"/>
      <c r="S4111" s="404"/>
      <c r="T4111" s="402"/>
      <c r="U4111" s="395"/>
      <c r="V4111" s="402">
        <v>1.38</v>
      </c>
      <c r="W4111" s="404">
        <v>0.22</v>
      </c>
      <c r="X4111" s="402"/>
      <c r="Y4111" s="404"/>
      <c r="Z4111" s="397"/>
      <c r="AA4111" s="399"/>
      <c r="AB4111" s="394"/>
      <c r="AC4111" s="402"/>
      <c r="AD4111" s="399"/>
      <c r="AE4111" s="402"/>
      <c r="AF4111" s="391"/>
      <c r="AG4111" s="394"/>
      <c r="AH4111" s="394"/>
      <c r="AI4111" s="394"/>
      <c r="AJ4111" s="394"/>
      <c r="AK4111" s="394"/>
      <c r="AL4111" s="394"/>
      <c r="AM4111" s="394"/>
      <c r="AN4111" s="394"/>
      <c r="AO4111" s="394"/>
      <c r="AP4111" s="394"/>
      <c r="AQ4111" s="394"/>
      <c r="AR4111" s="394"/>
      <c r="AS4111" s="402"/>
      <c r="AT4111" s="404"/>
      <c r="AU4111" s="394"/>
      <c r="AV4111" s="394"/>
      <c r="AW4111" s="394"/>
      <c r="AX4111" s="5"/>
      <c r="AY4111" s="5"/>
      <c r="AZ4111" s="5"/>
      <c r="BA4111" s="5"/>
      <c r="BB4111" s="5"/>
      <c r="BC4111" s="5"/>
      <c r="BD4111" s="5"/>
      <c r="BE4111" s="5"/>
      <c r="BF4111" s="5"/>
      <c r="BG4111" s="5"/>
      <c r="BH4111" s="5"/>
      <c r="BI4111" s="5"/>
      <c r="BJ4111" s="5"/>
      <c r="BK4111" s="5"/>
      <c r="BL4111" s="5"/>
      <c r="BM4111" s="5"/>
      <c r="BN4111" s="5"/>
      <c r="BO4111" s="5"/>
      <c r="BP4111" s="5"/>
      <c r="BQ4111" s="5"/>
      <c r="BR4111" s="5"/>
      <c r="BS4111" s="5"/>
      <c r="BT4111" s="5"/>
      <c r="BU4111" s="5"/>
      <c r="BV4111" s="5"/>
      <c r="BW4111" s="5"/>
      <c r="BX4111" s="5"/>
      <c r="BY4111" s="5"/>
      <c r="BZ4111" s="5"/>
      <c r="CA4111" s="5"/>
    </row>
    <row r="4112" spans="1:79" ht="15" customHeight="1">
      <c r="A4112" s="404" t="s">
        <v>4668</v>
      </c>
      <c r="B4112" s="402" t="s">
        <v>3077</v>
      </c>
      <c r="C4112" s="113" t="s">
        <v>3078</v>
      </c>
      <c r="D4112" s="393" t="s">
        <v>192</v>
      </c>
      <c r="E4112" s="394" t="s">
        <v>1546</v>
      </c>
      <c r="F4112" s="86" t="s">
        <v>3079</v>
      </c>
      <c r="G4112" s="405" t="s">
        <v>3080</v>
      </c>
      <c r="H4112" s="74">
        <v>4931</v>
      </c>
      <c r="I4112" s="50" t="s">
        <v>1</v>
      </c>
      <c r="J4112" s="48" t="s">
        <v>840</v>
      </c>
      <c r="K4112" s="51">
        <v>41710</v>
      </c>
      <c r="L4112" s="173">
        <v>41691</v>
      </c>
      <c r="M4112" s="50">
        <f t="shared" si="245"/>
        <v>19</v>
      </c>
      <c r="N4112" s="50" t="s">
        <v>1</v>
      </c>
      <c r="O4112" s="74">
        <v>260</v>
      </c>
      <c r="P4112" s="50">
        <v>7.79</v>
      </c>
      <c r="Q4112" s="74">
        <v>10.54</v>
      </c>
      <c r="R4112" s="50">
        <v>29</v>
      </c>
      <c r="S4112" s="74">
        <v>100</v>
      </c>
      <c r="T4112" s="50">
        <v>0.24</v>
      </c>
      <c r="U4112" s="131">
        <v>1.55</v>
      </c>
      <c r="V4112" s="50">
        <v>0.35</v>
      </c>
      <c r="W4112" s="74">
        <v>4.4999999999999998E-2</v>
      </c>
      <c r="X4112" s="50">
        <v>0.24299999999999999</v>
      </c>
      <c r="Y4112" s="74">
        <v>1.4999999999999999E-2</v>
      </c>
      <c r="Z4112" s="165"/>
    </row>
    <row r="4113" spans="1:79" s="400" customFormat="1" ht="15" customHeight="1">
      <c r="A4113" s="41" t="s">
        <v>183</v>
      </c>
      <c r="B4113" s="386" t="s">
        <v>820</v>
      </c>
      <c r="C4113" s="149" t="s">
        <v>820</v>
      </c>
      <c r="D4113" s="392" t="s">
        <v>818</v>
      </c>
      <c r="E4113" s="394"/>
      <c r="F4113" s="64" t="s">
        <v>984</v>
      </c>
      <c r="G4113" s="405" t="s">
        <v>819</v>
      </c>
      <c r="H4113" s="387">
        <v>2759</v>
      </c>
      <c r="I4113" s="386" t="s">
        <v>2</v>
      </c>
      <c r="J4113" s="392" t="s">
        <v>700</v>
      </c>
      <c r="K4113" s="403">
        <v>41710</v>
      </c>
      <c r="L4113" s="398">
        <v>41691</v>
      </c>
      <c r="M4113" s="402">
        <f t="shared" si="245"/>
        <v>19</v>
      </c>
      <c r="N4113" s="402" t="s">
        <v>2</v>
      </c>
      <c r="O4113" s="404"/>
      <c r="P4113" s="402"/>
      <c r="Q4113" s="404"/>
      <c r="R4113" s="402"/>
      <c r="S4113" s="404"/>
      <c r="T4113" s="402"/>
      <c r="U4113" s="395"/>
      <c r="V4113" s="402">
        <v>2.82</v>
      </c>
      <c r="W4113" s="404"/>
      <c r="X4113" s="402"/>
      <c r="Y4113" s="404"/>
      <c r="Z4113" s="397"/>
      <c r="AA4113" s="399"/>
      <c r="AB4113" s="394"/>
      <c r="AC4113" s="402"/>
      <c r="AD4113" s="399"/>
      <c r="AE4113" s="402"/>
      <c r="AF4113" s="391"/>
      <c r="AG4113" s="394"/>
      <c r="AH4113" s="394"/>
      <c r="AI4113" s="394"/>
      <c r="AJ4113" s="394"/>
      <c r="AK4113" s="394"/>
      <c r="AL4113" s="394"/>
      <c r="AM4113" s="394"/>
      <c r="AN4113" s="394"/>
      <c r="AO4113" s="394"/>
      <c r="AP4113" s="394"/>
      <c r="AQ4113" s="394"/>
      <c r="AR4113" s="394"/>
      <c r="AS4113" s="402"/>
      <c r="AT4113" s="404"/>
      <c r="AU4113" s="394"/>
      <c r="AV4113" s="394"/>
      <c r="AW4113" s="394"/>
      <c r="AX4113" s="5"/>
      <c r="AY4113" s="5"/>
      <c r="AZ4113" s="5"/>
      <c r="BA4113" s="5"/>
      <c r="BB4113" s="5"/>
      <c r="BC4113" s="5"/>
      <c r="BD4113" s="5"/>
      <c r="BE4113" s="5"/>
      <c r="BF4113" s="5"/>
      <c r="BG4113" s="5"/>
      <c r="BH4113" s="5"/>
      <c r="BI4113" s="5"/>
      <c r="BJ4113" s="5"/>
      <c r="BK4113" s="5"/>
      <c r="BL4113" s="5"/>
      <c r="BM4113" s="5"/>
      <c r="BN4113" s="5"/>
      <c r="BO4113" s="5"/>
      <c r="BP4113" s="5"/>
      <c r="BQ4113" s="5"/>
      <c r="BR4113" s="5"/>
      <c r="BS4113" s="5"/>
      <c r="BT4113" s="5"/>
      <c r="BU4113" s="5"/>
      <c r="BV4113" s="5"/>
      <c r="BW4113" s="5"/>
      <c r="BX4113" s="5"/>
      <c r="BY4113" s="5"/>
      <c r="BZ4113" s="5"/>
      <c r="CA4113" s="5"/>
    </row>
    <row r="4114" spans="1:79" s="400" customFormat="1" ht="15" customHeight="1">
      <c r="A4114" s="41" t="s">
        <v>183</v>
      </c>
      <c r="B4114" s="386" t="s">
        <v>820</v>
      </c>
      <c r="C4114" s="149" t="s">
        <v>820</v>
      </c>
      <c r="D4114" s="392" t="s">
        <v>756</v>
      </c>
      <c r="E4114" s="394"/>
      <c r="F4114" s="64" t="s">
        <v>984</v>
      </c>
      <c r="G4114" s="405" t="s">
        <v>821</v>
      </c>
      <c r="H4114" s="404">
        <v>2759</v>
      </c>
      <c r="I4114" s="402" t="s">
        <v>2</v>
      </c>
      <c r="J4114" s="392" t="s">
        <v>700</v>
      </c>
      <c r="K4114" s="403">
        <v>41710</v>
      </c>
      <c r="L4114" s="398">
        <v>41691</v>
      </c>
      <c r="M4114" s="402">
        <f t="shared" si="245"/>
        <v>19</v>
      </c>
      <c r="N4114" s="402" t="s">
        <v>1</v>
      </c>
      <c r="O4114" s="404"/>
      <c r="P4114" s="402"/>
      <c r="Q4114" s="404"/>
      <c r="R4114" s="402"/>
      <c r="S4114" s="404"/>
      <c r="T4114" s="402"/>
      <c r="U4114" s="395">
        <v>2.7</v>
      </c>
      <c r="V4114" s="402"/>
      <c r="W4114" s="404"/>
      <c r="X4114" s="402"/>
      <c r="Y4114" s="404"/>
      <c r="Z4114" s="397"/>
      <c r="AA4114" s="399"/>
      <c r="AB4114" s="394"/>
      <c r="AC4114" s="402"/>
      <c r="AD4114" s="399"/>
      <c r="AE4114" s="402"/>
      <c r="AF4114" s="391"/>
      <c r="AG4114" s="394"/>
      <c r="AH4114" s="394"/>
      <c r="AI4114" s="394"/>
      <c r="AJ4114" s="394"/>
      <c r="AK4114" s="394"/>
      <c r="AL4114" s="394"/>
      <c r="AM4114" s="394"/>
      <c r="AN4114" s="394"/>
      <c r="AO4114" s="394"/>
      <c r="AP4114" s="394"/>
      <c r="AQ4114" s="394"/>
      <c r="AR4114" s="394"/>
      <c r="AS4114" s="402"/>
      <c r="AT4114" s="404"/>
      <c r="AU4114" s="394"/>
      <c r="AV4114" s="394"/>
      <c r="AW4114" s="394"/>
      <c r="AX4114" s="5"/>
      <c r="AY4114" s="5"/>
      <c r="AZ4114" s="5"/>
      <c r="BA4114" s="5"/>
      <c r="BB4114" s="5"/>
      <c r="BC4114" s="5"/>
      <c r="BD4114" s="5"/>
      <c r="BE4114" s="5"/>
      <c r="BF4114" s="5"/>
      <c r="BG4114" s="5"/>
      <c r="BH4114" s="5"/>
      <c r="BI4114" s="5"/>
      <c r="BJ4114" s="5"/>
      <c r="BK4114" s="5"/>
      <c r="BL4114" s="5"/>
      <c r="BM4114" s="5"/>
      <c r="BN4114" s="5"/>
      <c r="BO4114" s="5"/>
      <c r="BP4114" s="5"/>
      <c r="BQ4114" s="5"/>
      <c r="BR4114" s="5"/>
      <c r="BS4114" s="5"/>
      <c r="BT4114" s="5"/>
      <c r="BU4114" s="5"/>
      <c r="BV4114" s="5"/>
      <c r="BW4114" s="5"/>
      <c r="BX4114" s="5"/>
      <c r="BY4114" s="5"/>
      <c r="BZ4114" s="5"/>
      <c r="CA4114" s="5"/>
    </row>
    <row r="4115" spans="1:79" ht="15" customHeight="1">
      <c r="A4115" s="404" t="s">
        <v>4668</v>
      </c>
      <c r="B4115" s="402" t="s">
        <v>5779</v>
      </c>
      <c r="C4115" s="113" t="s">
        <v>5779</v>
      </c>
      <c r="D4115" s="393" t="s">
        <v>5780</v>
      </c>
      <c r="E4115" s="394" t="s">
        <v>4247</v>
      </c>
      <c r="F4115" s="402">
        <v>7102</v>
      </c>
      <c r="G4115" s="405" t="s">
        <v>5782</v>
      </c>
      <c r="H4115" s="74"/>
      <c r="I4115" s="50" t="s">
        <v>2</v>
      </c>
      <c r="J4115" s="339" t="s">
        <v>74</v>
      </c>
      <c r="K4115" s="51">
        <v>41726</v>
      </c>
      <c r="L4115" s="173">
        <v>41720</v>
      </c>
      <c r="M4115" s="50">
        <f t="shared" si="245"/>
        <v>6</v>
      </c>
      <c r="N4115" s="50" t="s">
        <v>1</v>
      </c>
      <c r="O4115" s="74">
        <f>2/2</f>
        <v>1</v>
      </c>
      <c r="P4115" s="50">
        <v>6.3</v>
      </c>
      <c r="Q4115" s="74">
        <v>6.7</v>
      </c>
      <c r="R4115" s="50">
        <f>10/2</f>
        <v>5</v>
      </c>
      <c r="S4115" s="74">
        <v>18</v>
      </c>
      <c r="T4115" s="50">
        <v>0.09</v>
      </c>
      <c r="U4115" s="131">
        <v>0.82</v>
      </c>
      <c r="V4115" s="50">
        <v>1.91</v>
      </c>
      <c r="W4115" s="74">
        <f>0.01/2</f>
        <v>5.0000000000000001E-3</v>
      </c>
      <c r="X4115" s="50">
        <f>0.03/2</f>
        <v>1.4999999999999999E-2</v>
      </c>
      <c r="Y4115" s="74">
        <f>0.03/2</f>
        <v>1.4999999999999999E-2</v>
      </c>
      <c r="Z4115" s="165"/>
    </row>
    <row r="4116" spans="1:79" s="400" customFormat="1" ht="15" customHeight="1">
      <c r="A4116" s="41" t="s">
        <v>183</v>
      </c>
      <c r="B4116" s="385" t="s">
        <v>4336</v>
      </c>
      <c r="C4116" s="18" t="s">
        <v>4336</v>
      </c>
      <c r="D4116" s="377" t="s">
        <v>213</v>
      </c>
      <c r="E4116" s="20" t="s">
        <v>4340</v>
      </c>
      <c r="F4116" s="385"/>
      <c r="G4116" s="405" t="s">
        <v>4338</v>
      </c>
      <c r="H4116" s="404">
        <v>3541</v>
      </c>
      <c r="I4116" s="402" t="s">
        <v>2</v>
      </c>
      <c r="J4116" s="406" t="s">
        <v>255</v>
      </c>
      <c r="K4116" s="403">
        <v>41710</v>
      </c>
      <c r="L4116" s="398">
        <v>41691</v>
      </c>
      <c r="M4116" s="402">
        <f t="shared" si="245"/>
        <v>19</v>
      </c>
      <c r="N4116" s="402" t="s">
        <v>2</v>
      </c>
      <c r="O4116" s="404"/>
      <c r="P4116" s="402">
        <v>6.6</v>
      </c>
      <c r="Q4116" s="404"/>
      <c r="R4116" s="402">
        <v>130</v>
      </c>
      <c r="S4116" s="404"/>
      <c r="T4116" s="402"/>
      <c r="U4116" s="395">
        <f>1.6/2</f>
        <v>0.8</v>
      </c>
      <c r="V4116" s="402"/>
      <c r="W4116" s="404"/>
      <c r="X4116" s="402">
        <v>0.183</v>
      </c>
      <c r="Y4116" s="404"/>
      <c r="Z4116" s="397"/>
      <c r="AA4116" s="399"/>
      <c r="AB4116" s="394"/>
      <c r="AC4116" s="402"/>
      <c r="AD4116" s="399"/>
      <c r="AE4116" s="402"/>
      <c r="AF4116" s="391"/>
      <c r="AG4116" s="394"/>
      <c r="AH4116" s="394"/>
      <c r="AI4116" s="394"/>
      <c r="AJ4116" s="394"/>
      <c r="AK4116" s="394"/>
      <c r="AL4116" s="394"/>
      <c r="AM4116" s="394"/>
      <c r="AN4116" s="394"/>
      <c r="AO4116" s="394"/>
      <c r="AP4116" s="394"/>
      <c r="AQ4116" s="394"/>
      <c r="AR4116" s="394"/>
      <c r="AS4116" s="402"/>
      <c r="AT4116" s="404"/>
      <c r="AU4116" s="394"/>
      <c r="AV4116" s="394"/>
      <c r="AW4116" s="394"/>
      <c r="AX4116" s="5"/>
      <c r="AY4116" s="5"/>
      <c r="AZ4116" s="5"/>
      <c r="BA4116" s="5"/>
      <c r="BB4116" s="5"/>
      <c r="BC4116" s="5"/>
      <c r="BD4116" s="5"/>
      <c r="BE4116" s="5"/>
      <c r="BF4116" s="5"/>
      <c r="BG4116" s="5"/>
      <c r="BH4116" s="5"/>
      <c r="BI4116" s="5"/>
      <c r="BJ4116" s="5"/>
      <c r="BK4116" s="5"/>
      <c r="BL4116" s="5"/>
      <c r="BM4116" s="5"/>
      <c r="BN4116" s="5"/>
      <c r="BO4116" s="5"/>
      <c r="BP4116" s="5"/>
      <c r="BQ4116" s="5"/>
      <c r="BR4116" s="5"/>
      <c r="BS4116" s="5"/>
      <c r="BT4116" s="5"/>
      <c r="BU4116" s="5"/>
      <c r="BV4116" s="5"/>
      <c r="BW4116" s="5"/>
      <c r="BX4116" s="5"/>
      <c r="BY4116" s="5"/>
      <c r="BZ4116" s="5"/>
      <c r="CA4116" s="5"/>
    </row>
    <row r="4117" spans="1:79" s="400" customFormat="1" ht="15" customHeight="1">
      <c r="A4117" s="41" t="s">
        <v>183</v>
      </c>
      <c r="B4117" s="385" t="s">
        <v>4336</v>
      </c>
      <c r="C4117" s="18" t="s">
        <v>4336</v>
      </c>
      <c r="D4117" s="377" t="s">
        <v>213</v>
      </c>
      <c r="E4117" s="394" t="s">
        <v>5409</v>
      </c>
      <c r="F4117" s="402"/>
      <c r="G4117" s="405" t="s">
        <v>4565</v>
      </c>
      <c r="H4117" s="404">
        <v>3541</v>
      </c>
      <c r="I4117" s="402" t="s">
        <v>2</v>
      </c>
      <c r="J4117" s="406" t="s">
        <v>1867</v>
      </c>
      <c r="K4117" s="403">
        <v>41710</v>
      </c>
      <c r="L4117" s="398">
        <v>41691</v>
      </c>
      <c r="M4117" s="402">
        <f t="shared" si="245"/>
        <v>19</v>
      </c>
      <c r="N4117" s="402" t="s">
        <v>2</v>
      </c>
      <c r="O4117" s="404"/>
      <c r="P4117" s="402">
        <v>6.6</v>
      </c>
      <c r="Q4117" s="404"/>
      <c r="R4117" s="402"/>
      <c r="S4117" s="404"/>
      <c r="T4117" s="402"/>
      <c r="U4117" s="395"/>
      <c r="V4117" s="402"/>
      <c r="W4117" s="404"/>
      <c r="X4117" s="402">
        <v>0.13100000000000001</v>
      </c>
      <c r="Y4117" s="404"/>
      <c r="Z4117" s="397"/>
      <c r="AA4117" s="399"/>
      <c r="AB4117" s="394"/>
      <c r="AC4117" s="402"/>
      <c r="AD4117" s="399"/>
      <c r="AE4117" s="402"/>
      <c r="AF4117" s="391"/>
      <c r="AG4117" s="394"/>
      <c r="AH4117" s="394"/>
      <c r="AI4117" s="394"/>
      <c r="AJ4117" s="394"/>
      <c r="AK4117" s="394"/>
      <c r="AL4117" s="394"/>
      <c r="AM4117" s="394"/>
      <c r="AN4117" s="394"/>
      <c r="AO4117" s="394"/>
      <c r="AP4117" s="394"/>
      <c r="AQ4117" s="394"/>
      <c r="AR4117" s="394"/>
      <c r="AS4117" s="402"/>
      <c r="AT4117" s="404"/>
      <c r="AU4117" s="394"/>
      <c r="AV4117" s="394"/>
      <c r="AW4117" s="394"/>
      <c r="AX4117" s="5"/>
      <c r="AY4117" s="5"/>
      <c r="AZ4117" s="5"/>
      <c r="BA4117" s="5"/>
      <c r="BB4117" s="5"/>
      <c r="BC4117" s="5"/>
      <c r="BD4117" s="5"/>
      <c r="BE4117" s="5"/>
      <c r="BF4117" s="5"/>
      <c r="BG4117" s="5"/>
      <c r="BH4117" s="5"/>
      <c r="BI4117" s="5"/>
      <c r="BJ4117" s="5"/>
      <c r="BK4117" s="5"/>
      <c r="BL4117" s="5"/>
      <c r="BM4117" s="5"/>
      <c r="BN4117" s="5"/>
      <c r="BO4117" s="5"/>
      <c r="BP4117" s="5"/>
      <c r="BQ4117" s="5"/>
      <c r="BR4117" s="5"/>
      <c r="BS4117" s="5"/>
      <c r="BT4117" s="5"/>
      <c r="BU4117" s="5"/>
      <c r="BV4117" s="5"/>
      <c r="BW4117" s="5"/>
      <c r="BX4117" s="5"/>
      <c r="BY4117" s="5"/>
      <c r="BZ4117" s="5"/>
      <c r="CA4117" s="5"/>
    </row>
    <row r="4118" spans="1:79" s="400" customFormat="1" ht="15" customHeight="1">
      <c r="A4118" s="41" t="s">
        <v>183</v>
      </c>
      <c r="B4118" s="385" t="s">
        <v>4336</v>
      </c>
      <c r="C4118" s="18" t="s">
        <v>4336</v>
      </c>
      <c r="D4118" s="377" t="s">
        <v>213</v>
      </c>
      <c r="E4118" s="20" t="s">
        <v>4342</v>
      </c>
      <c r="F4118" s="385"/>
      <c r="G4118" s="405" t="s">
        <v>4338</v>
      </c>
      <c r="H4118" s="404">
        <v>3541</v>
      </c>
      <c r="I4118" s="402" t="s">
        <v>2</v>
      </c>
      <c r="J4118" s="406" t="s">
        <v>1291</v>
      </c>
      <c r="K4118" s="403">
        <v>41710</v>
      </c>
      <c r="L4118" s="398">
        <v>41691</v>
      </c>
      <c r="M4118" s="402">
        <f t="shared" si="245"/>
        <v>19</v>
      </c>
      <c r="N4118" s="402" t="s">
        <v>2</v>
      </c>
      <c r="O4118" s="404"/>
      <c r="P4118" s="402">
        <v>6.6</v>
      </c>
      <c r="Q4118" s="404"/>
      <c r="R4118" s="402"/>
      <c r="S4118" s="404"/>
      <c r="T4118" s="402"/>
      <c r="U4118" s="395">
        <v>1.8</v>
      </c>
      <c r="V4118" s="402"/>
      <c r="W4118" s="404"/>
      <c r="X4118" s="402"/>
      <c r="Y4118" s="404"/>
      <c r="Z4118" s="397"/>
      <c r="AA4118" s="399"/>
      <c r="AB4118" s="394"/>
      <c r="AC4118" s="402"/>
      <c r="AD4118" s="399"/>
      <c r="AE4118" s="402"/>
      <c r="AF4118" s="391"/>
      <c r="AG4118" s="394"/>
      <c r="AH4118" s="394"/>
      <c r="AI4118" s="394"/>
      <c r="AJ4118" s="394"/>
      <c r="AK4118" s="394"/>
      <c r="AL4118" s="394"/>
      <c r="AM4118" s="394"/>
      <c r="AN4118" s="394"/>
      <c r="AO4118" s="394"/>
      <c r="AP4118" s="394"/>
      <c r="AQ4118" s="394"/>
      <c r="AR4118" s="394"/>
      <c r="AS4118" s="402"/>
      <c r="AT4118" s="404"/>
      <c r="AU4118" s="394"/>
      <c r="AV4118" s="394"/>
      <c r="AW4118" s="394"/>
      <c r="AX4118" s="5"/>
      <c r="AY4118" s="5"/>
      <c r="AZ4118" s="5"/>
      <c r="BA4118" s="5"/>
      <c r="BB4118" s="5"/>
      <c r="BC4118" s="5"/>
      <c r="BD4118" s="5"/>
      <c r="BE4118" s="5"/>
      <c r="BF4118" s="5"/>
      <c r="BG4118" s="5"/>
      <c r="BH4118" s="5"/>
      <c r="BI4118" s="5"/>
      <c r="BJ4118" s="5"/>
      <c r="BK4118" s="5"/>
      <c r="BL4118" s="5"/>
      <c r="BM4118" s="5"/>
      <c r="BN4118" s="5"/>
      <c r="BO4118" s="5"/>
      <c r="BP4118" s="5"/>
      <c r="BQ4118" s="5"/>
      <c r="BR4118" s="5"/>
      <c r="BS4118" s="5"/>
      <c r="BT4118" s="5"/>
      <c r="BU4118" s="5"/>
      <c r="BV4118" s="5"/>
      <c r="BW4118" s="5"/>
      <c r="BX4118" s="5"/>
      <c r="BY4118" s="5"/>
      <c r="BZ4118" s="5"/>
      <c r="CA4118" s="5"/>
    </row>
    <row r="4119" spans="1:79" s="400" customFormat="1" ht="15" customHeight="1">
      <c r="A4119" s="41" t="s">
        <v>183</v>
      </c>
      <c r="B4119" s="385" t="s">
        <v>4336</v>
      </c>
      <c r="C4119" s="18" t="s">
        <v>4336</v>
      </c>
      <c r="D4119" s="377" t="s">
        <v>213</v>
      </c>
      <c r="E4119" s="394" t="s">
        <v>3083</v>
      </c>
      <c r="F4119" s="402"/>
      <c r="G4119" s="405" t="s">
        <v>4338</v>
      </c>
      <c r="H4119" s="404">
        <v>3541</v>
      </c>
      <c r="I4119" s="402" t="s">
        <v>2</v>
      </c>
      <c r="J4119" s="406" t="s">
        <v>5411</v>
      </c>
      <c r="K4119" s="403">
        <v>41710</v>
      </c>
      <c r="L4119" s="398">
        <v>41691</v>
      </c>
      <c r="M4119" s="402">
        <f t="shared" si="245"/>
        <v>19</v>
      </c>
      <c r="N4119" s="402" t="s">
        <v>2</v>
      </c>
      <c r="O4119" s="404"/>
      <c r="P4119" s="402">
        <v>6.6</v>
      </c>
      <c r="Q4119" s="404"/>
      <c r="R4119" s="402">
        <f>20/2</f>
        <v>10</v>
      </c>
      <c r="S4119" s="404"/>
      <c r="T4119" s="402"/>
      <c r="U4119" s="395"/>
      <c r="V4119" s="402"/>
      <c r="W4119" s="404"/>
      <c r="X4119" s="402">
        <v>0.17</v>
      </c>
      <c r="Y4119" s="404"/>
      <c r="Z4119" s="397"/>
      <c r="AA4119" s="399"/>
      <c r="AB4119" s="394"/>
      <c r="AC4119" s="402"/>
      <c r="AD4119" s="399"/>
      <c r="AE4119" s="402"/>
      <c r="AF4119" s="391"/>
      <c r="AG4119" s="394"/>
      <c r="AH4119" s="394"/>
      <c r="AI4119" s="394"/>
      <c r="AJ4119" s="394"/>
      <c r="AK4119" s="394"/>
      <c r="AL4119" s="394"/>
      <c r="AM4119" s="394"/>
      <c r="AN4119" s="394"/>
      <c r="AO4119" s="394"/>
      <c r="AP4119" s="394"/>
      <c r="AQ4119" s="394"/>
      <c r="AR4119" s="394"/>
      <c r="AS4119" s="402"/>
      <c r="AT4119" s="404"/>
      <c r="AU4119" s="394"/>
      <c r="AV4119" s="394"/>
      <c r="AW4119" s="394"/>
      <c r="AX4119" s="5"/>
      <c r="AY4119" s="5"/>
      <c r="AZ4119" s="5"/>
      <c r="BA4119" s="5"/>
      <c r="BB4119" s="5"/>
      <c r="BC4119" s="5"/>
      <c r="BD4119" s="5"/>
      <c r="BE4119" s="5"/>
      <c r="BF4119" s="5"/>
      <c r="BG4119" s="5"/>
      <c r="BH4119" s="5"/>
      <c r="BI4119" s="5"/>
      <c r="BJ4119" s="5"/>
      <c r="BK4119" s="5"/>
      <c r="BL4119" s="5"/>
      <c r="BM4119" s="5"/>
      <c r="BN4119" s="5"/>
      <c r="BO4119" s="5"/>
      <c r="BP4119" s="5"/>
      <c r="BQ4119" s="5"/>
      <c r="BR4119" s="5"/>
      <c r="BS4119" s="5"/>
      <c r="BT4119" s="5"/>
      <c r="BU4119" s="5"/>
      <c r="BV4119" s="5"/>
      <c r="BW4119" s="5"/>
      <c r="BX4119" s="5"/>
      <c r="BY4119" s="5"/>
      <c r="BZ4119" s="5"/>
      <c r="CA4119" s="5"/>
    </row>
    <row r="4120" spans="1:79" ht="15" customHeight="1">
      <c r="A4120" s="404" t="s">
        <v>4668</v>
      </c>
      <c r="B4120" s="402" t="s">
        <v>1885</v>
      </c>
      <c r="C4120" s="113" t="s">
        <v>1886</v>
      </c>
      <c r="D4120" s="393" t="s">
        <v>41</v>
      </c>
      <c r="E4120" s="394" t="s">
        <v>364</v>
      </c>
      <c r="G4120" s="405" t="s">
        <v>1887</v>
      </c>
      <c r="H4120" s="74">
        <v>3724</v>
      </c>
      <c r="I4120" s="50" t="s">
        <v>2</v>
      </c>
      <c r="J4120" s="339" t="s">
        <v>1888</v>
      </c>
      <c r="K4120" s="51">
        <v>41728</v>
      </c>
      <c r="L4120" s="173">
        <v>41718</v>
      </c>
      <c r="M4120" s="50">
        <f t="shared" si="245"/>
        <v>10</v>
      </c>
      <c r="N4120" s="50" t="s">
        <v>2</v>
      </c>
      <c r="O4120" s="74">
        <v>1.5</v>
      </c>
      <c r="Q4120" s="74">
        <v>6.65</v>
      </c>
      <c r="S4120" s="74">
        <v>20</v>
      </c>
      <c r="T4120" s="50">
        <v>0.24</v>
      </c>
      <c r="U4120" s="131">
        <v>1.62</v>
      </c>
      <c r="V4120" s="50">
        <v>0.15</v>
      </c>
      <c r="W4120" s="74">
        <v>5.0000000000000001E-3</v>
      </c>
      <c r="X4120" s="50">
        <v>0.06</v>
      </c>
      <c r="Y4120" s="74">
        <v>2E-3</v>
      </c>
      <c r="Z4120" s="165"/>
    </row>
    <row r="4121" spans="1:79" ht="15" customHeight="1">
      <c r="A4121" s="404" t="s">
        <v>4668</v>
      </c>
      <c r="B4121" s="386" t="s">
        <v>5103</v>
      </c>
      <c r="C4121" s="149" t="s">
        <v>5103</v>
      </c>
      <c r="D4121" s="393" t="s">
        <v>103</v>
      </c>
      <c r="G4121" s="405" t="s">
        <v>5102</v>
      </c>
      <c r="H4121" s="74">
        <v>3423</v>
      </c>
      <c r="J4121" s="339" t="s">
        <v>2118</v>
      </c>
      <c r="K4121" s="51">
        <v>41718</v>
      </c>
      <c r="L4121" s="173" t="s">
        <v>5380</v>
      </c>
      <c r="N4121" s="50" t="s">
        <v>2</v>
      </c>
      <c r="O4121" s="74">
        <f>1.5/2</f>
        <v>0.75</v>
      </c>
      <c r="P4121" s="50">
        <v>7.58</v>
      </c>
      <c r="Q4121" s="74">
        <v>7.67</v>
      </c>
      <c r="R4121" s="50">
        <v>25</v>
      </c>
      <c r="S4121" s="74">
        <f>5/2</f>
        <v>2.5</v>
      </c>
      <c r="T4121" s="50">
        <v>0.11</v>
      </c>
      <c r="U4121" s="131">
        <v>0.91</v>
      </c>
      <c r="V4121" s="50">
        <v>1.79</v>
      </c>
      <c r="W4121" s="74">
        <v>0.01</v>
      </c>
      <c r="X4121" s="50">
        <v>0.02</v>
      </c>
      <c r="Y4121" s="74">
        <v>2E-3</v>
      </c>
      <c r="Z4121" s="165">
        <v>1</v>
      </c>
      <c r="AA4121" s="271">
        <v>1</v>
      </c>
      <c r="AB4121" s="114">
        <v>54</v>
      </c>
      <c r="AC4121" s="50">
        <v>286</v>
      </c>
      <c r="AD4121" s="271">
        <v>0.95</v>
      </c>
    </row>
    <row r="4122" spans="1:79" ht="15" customHeight="1">
      <c r="A4122" s="404" t="s">
        <v>4668</v>
      </c>
      <c r="B4122" s="402" t="s">
        <v>1811</v>
      </c>
      <c r="C4122" s="113" t="s">
        <v>1811</v>
      </c>
      <c r="D4122" s="393" t="s">
        <v>41</v>
      </c>
      <c r="E4122" s="394" t="s">
        <v>1812</v>
      </c>
      <c r="G4122" s="405" t="s">
        <v>1909</v>
      </c>
      <c r="H4122" s="74">
        <v>3728</v>
      </c>
      <c r="I4122" s="50" t="s">
        <v>2</v>
      </c>
      <c r="J4122" s="339" t="s">
        <v>249</v>
      </c>
      <c r="K4122" s="51">
        <v>41717</v>
      </c>
      <c r="L4122" s="173">
        <v>41713</v>
      </c>
      <c r="M4122" s="50">
        <f t="shared" si="245"/>
        <v>4</v>
      </c>
      <c r="N4122" s="50" t="s">
        <v>2</v>
      </c>
      <c r="O4122" s="74">
        <v>1.8</v>
      </c>
      <c r="P4122" s="50">
        <v>7.07</v>
      </c>
      <c r="Q4122" s="74">
        <v>7.08</v>
      </c>
      <c r="R4122" s="50">
        <v>21</v>
      </c>
      <c r="S4122" s="74">
        <v>90</v>
      </c>
      <c r="T4122" s="50">
        <v>0.2</v>
      </c>
      <c r="U4122" s="131">
        <v>0.82</v>
      </c>
      <c r="V4122" s="50">
        <v>0.17</v>
      </c>
      <c r="W4122" s="74">
        <v>1.0999999999999999E-2</v>
      </c>
      <c r="X4122" s="50">
        <v>0.05</v>
      </c>
      <c r="Y4122" s="74">
        <v>5.0000000000000001E-3</v>
      </c>
      <c r="Z4122" s="165"/>
    </row>
    <row r="4123" spans="1:79" s="400" customFormat="1" ht="15" customHeight="1">
      <c r="A4123" s="41" t="s">
        <v>183</v>
      </c>
      <c r="B4123" s="402" t="s">
        <v>2273</v>
      </c>
      <c r="C4123" s="113" t="s">
        <v>2000</v>
      </c>
      <c r="D4123" s="393" t="s">
        <v>2274</v>
      </c>
      <c r="E4123" s="394" t="s">
        <v>2275</v>
      </c>
      <c r="F4123" s="402"/>
      <c r="G4123" s="405" t="s">
        <v>2276</v>
      </c>
      <c r="H4123" s="404">
        <v>9511</v>
      </c>
      <c r="I4123" s="402" t="s">
        <v>1</v>
      </c>
      <c r="J4123" s="406" t="s">
        <v>510</v>
      </c>
      <c r="K4123" s="403">
        <v>41710</v>
      </c>
      <c r="L4123" s="398">
        <v>41691</v>
      </c>
      <c r="M4123" s="402">
        <f t="shared" si="245"/>
        <v>19</v>
      </c>
      <c r="N4123" s="402" t="s">
        <v>2</v>
      </c>
      <c r="O4123" s="404"/>
      <c r="P4123" s="402"/>
      <c r="Q4123" s="404"/>
      <c r="R4123" s="402"/>
      <c r="S4123" s="404"/>
      <c r="T4123" s="402"/>
      <c r="U4123" s="395"/>
      <c r="V4123" s="402">
        <v>3.6</v>
      </c>
      <c r="W4123" s="404"/>
      <c r="X4123" s="402"/>
      <c r="Y4123" s="404"/>
      <c r="Z4123" s="397"/>
      <c r="AA4123" s="399"/>
      <c r="AB4123" s="394"/>
      <c r="AC4123" s="402"/>
      <c r="AD4123" s="399"/>
      <c r="AE4123" s="402">
        <v>3.1</v>
      </c>
      <c r="AF4123" s="391"/>
      <c r="AG4123" s="394"/>
      <c r="AH4123" s="394"/>
      <c r="AI4123" s="394"/>
      <c r="AJ4123" s="394"/>
      <c r="AK4123" s="394"/>
      <c r="AL4123" s="394"/>
      <c r="AM4123" s="394"/>
      <c r="AN4123" s="394"/>
      <c r="AO4123" s="394"/>
      <c r="AP4123" s="394"/>
      <c r="AQ4123" s="394"/>
      <c r="AR4123" s="394"/>
      <c r="AS4123" s="402"/>
      <c r="AT4123" s="404"/>
      <c r="AU4123" s="394"/>
      <c r="AV4123" s="394"/>
      <c r="AW4123" s="394"/>
      <c r="AX4123" s="5"/>
      <c r="AY4123" s="5"/>
      <c r="AZ4123" s="5"/>
      <c r="BA4123" s="5"/>
      <c r="BB4123" s="5"/>
      <c r="BC4123" s="5"/>
      <c r="BD4123" s="5"/>
      <c r="BE4123" s="5"/>
      <c r="BF4123" s="5"/>
      <c r="BG4123" s="5"/>
      <c r="BH4123" s="5"/>
      <c r="BI4123" s="5"/>
      <c r="BJ4123" s="5"/>
      <c r="BK4123" s="5"/>
      <c r="BL4123" s="5"/>
      <c r="BM4123" s="5"/>
      <c r="BN4123" s="5"/>
      <c r="BO4123" s="5"/>
      <c r="BP4123" s="5"/>
      <c r="BQ4123" s="5"/>
      <c r="BR4123" s="5"/>
      <c r="BS4123" s="5"/>
      <c r="BT4123" s="5"/>
      <c r="BU4123" s="5"/>
      <c r="BV4123" s="5"/>
      <c r="BW4123" s="5"/>
      <c r="BX4123" s="5"/>
      <c r="BY4123" s="5"/>
      <c r="BZ4123" s="5"/>
      <c r="CA4123" s="5"/>
    </row>
    <row r="4124" spans="1:79" ht="15" customHeight="1">
      <c r="A4124" s="404" t="s">
        <v>4668</v>
      </c>
      <c r="B4124" s="402" t="s">
        <v>2054</v>
      </c>
      <c r="C4124" s="113" t="s">
        <v>2054</v>
      </c>
      <c r="D4124" s="393" t="s">
        <v>209</v>
      </c>
      <c r="E4124" s="394" t="s">
        <v>2055</v>
      </c>
      <c r="G4124" s="405" t="s">
        <v>2056</v>
      </c>
      <c r="H4124" s="74">
        <v>2024</v>
      </c>
      <c r="I4124" s="50" t="s">
        <v>2</v>
      </c>
      <c r="J4124" s="339" t="s">
        <v>1392</v>
      </c>
      <c r="K4124" s="51">
        <v>41710</v>
      </c>
      <c r="L4124" s="173">
        <v>41691</v>
      </c>
      <c r="M4124" s="50">
        <f t="shared" si="245"/>
        <v>19</v>
      </c>
      <c r="N4124" s="50" t="s">
        <v>1</v>
      </c>
      <c r="O4124" s="74">
        <v>2.8</v>
      </c>
      <c r="P4124" s="50">
        <v>7</v>
      </c>
      <c r="Q4124" s="74">
        <v>6.9</v>
      </c>
      <c r="R4124" s="50">
        <v>50</v>
      </c>
      <c r="S4124" s="74">
        <v>60</v>
      </c>
      <c r="T4124" s="50">
        <v>0.14000000000000001</v>
      </c>
      <c r="U4124" s="131">
        <v>2.63</v>
      </c>
      <c r="V4124" s="50">
        <v>1.43</v>
      </c>
      <c r="W4124" s="74">
        <v>4.2999999999999997E-2</v>
      </c>
      <c r="X4124" s="50">
        <v>0.42599999999999999</v>
      </c>
      <c r="Y4124" s="74">
        <f>0.03/2</f>
        <v>1.4999999999999999E-2</v>
      </c>
      <c r="Z4124" s="165"/>
    </row>
    <row r="4125" spans="1:79" ht="15" customHeight="1">
      <c r="A4125" s="404" t="s">
        <v>4668</v>
      </c>
      <c r="B4125" s="385" t="s">
        <v>3740</v>
      </c>
      <c r="C4125" s="18" t="s">
        <v>3740</v>
      </c>
      <c r="D4125" s="377" t="s">
        <v>806</v>
      </c>
      <c r="E4125" s="20" t="s">
        <v>535</v>
      </c>
      <c r="F4125" s="402">
        <v>6600</v>
      </c>
      <c r="G4125" s="405" t="s">
        <v>3718</v>
      </c>
      <c r="H4125" s="6">
        <v>3679</v>
      </c>
      <c r="I4125" s="50" t="s">
        <v>1</v>
      </c>
      <c r="J4125" s="344" t="s">
        <v>3251</v>
      </c>
      <c r="K4125" s="51">
        <v>41726</v>
      </c>
      <c r="L4125" s="173">
        <v>41717</v>
      </c>
      <c r="M4125" s="50">
        <f t="shared" si="245"/>
        <v>9</v>
      </c>
      <c r="N4125" s="50" t="s">
        <v>1</v>
      </c>
      <c r="O4125" s="74">
        <v>1.4</v>
      </c>
      <c r="P4125" s="50">
        <v>4.9800000000000004</v>
      </c>
      <c r="Q4125" s="74">
        <v>7.96</v>
      </c>
      <c r="R4125" s="50">
        <v>42</v>
      </c>
      <c r="S4125" s="74">
        <v>73</v>
      </c>
      <c r="T4125" s="50">
        <v>0.23</v>
      </c>
      <c r="U4125" s="131">
        <v>1.59</v>
      </c>
      <c r="V4125" s="50">
        <v>0.33</v>
      </c>
      <c r="W4125" s="74">
        <v>8.1000000000000003E-2</v>
      </c>
      <c r="X4125" s="50">
        <v>4.4999999999999998E-2</v>
      </c>
      <c r="Y4125" s="74">
        <v>8.0000000000000002E-3</v>
      </c>
      <c r="Z4125" s="165"/>
      <c r="AE4125" s="50">
        <f>10/2</f>
        <v>5</v>
      </c>
      <c r="AT4125" s="74">
        <f>0.0002/2</f>
        <v>1E-4</v>
      </c>
    </row>
    <row r="4126" spans="1:79" ht="15" customHeight="1">
      <c r="A4126" s="404" t="s">
        <v>4668</v>
      </c>
      <c r="B4126" s="385" t="s">
        <v>3740</v>
      </c>
      <c r="C4126" s="18" t="s">
        <v>3740</v>
      </c>
      <c r="D4126" s="377" t="s">
        <v>806</v>
      </c>
      <c r="E4126" s="20" t="s">
        <v>535</v>
      </c>
      <c r="F4126" s="402">
        <v>6600</v>
      </c>
      <c r="G4126" s="405" t="s">
        <v>3718</v>
      </c>
      <c r="H4126" s="6">
        <v>3679</v>
      </c>
      <c r="I4126" s="50" t="s">
        <v>1</v>
      </c>
      <c r="J4126" s="344" t="s">
        <v>6415</v>
      </c>
      <c r="K4126" s="51">
        <v>41726</v>
      </c>
      <c r="L4126" s="173">
        <v>41717</v>
      </c>
      <c r="M4126" s="50">
        <f t="shared" si="245"/>
        <v>9</v>
      </c>
      <c r="N4126" s="50" t="s">
        <v>1</v>
      </c>
      <c r="O4126" s="74">
        <v>5.2</v>
      </c>
      <c r="P4126" s="50">
        <v>4.9800000000000004</v>
      </c>
      <c r="Q4126" s="74">
        <v>7.18</v>
      </c>
      <c r="R4126" s="50">
        <v>70</v>
      </c>
      <c r="S4126" s="74">
        <v>19</v>
      </c>
      <c r="T4126" s="50">
        <v>0.32</v>
      </c>
      <c r="U4126" s="131">
        <v>2.14</v>
      </c>
      <c r="V4126" s="50">
        <v>0.59</v>
      </c>
      <c r="W4126" s="74">
        <v>3.2000000000000001E-2</v>
      </c>
      <c r="X4126" s="50">
        <v>3.7999999999999999E-2</v>
      </c>
      <c r="Y4126" s="74">
        <v>1.0999999999999999E-2</v>
      </c>
      <c r="Z4126" s="165"/>
      <c r="AE4126" s="50">
        <v>20</v>
      </c>
      <c r="AT4126" s="74">
        <f>0.0002/2</f>
        <v>1E-4</v>
      </c>
    </row>
    <row r="4127" spans="1:79" ht="15" customHeight="1">
      <c r="A4127" s="404" t="s">
        <v>4668</v>
      </c>
      <c r="B4127" s="402" t="s">
        <v>5673</v>
      </c>
      <c r="C4127" s="113" t="s">
        <v>5674</v>
      </c>
      <c r="E4127" s="394" t="s">
        <v>112</v>
      </c>
      <c r="F4127" s="402" t="s">
        <v>6339</v>
      </c>
      <c r="G4127" s="405" t="s">
        <v>5675</v>
      </c>
      <c r="H4127" s="74" t="s">
        <v>5676</v>
      </c>
      <c r="I4127" s="50" t="s">
        <v>2</v>
      </c>
      <c r="J4127" s="339" t="s">
        <v>5677</v>
      </c>
      <c r="K4127" s="51">
        <v>41718</v>
      </c>
      <c r="L4127" s="173">
        <v>41710</v>
      </c>
      <c r="M4127" s="50">
        <f t="shared" si="245"/>
        <v>8</v>
      </c>
      <c r="N4127" s="50" t="s">
        <v>2</v>
      </c>
      <c r="O4127" s="74">
        <f>1/2</f>
        <v>0.5</v>
      </c>
      <c r="P4127" s="50">
        <v>5.72</v>
      </c>
      <c r="Q4127" s="74">
        <v>5.87</v>
      </c>
      <c r="R4127" s="50">
        <v>11.3</v>
      </c>
      <c r="S4127" s="74">
        <v>23</v>
      </c>
      <c r="T4127" s="50">
        <f>0.05/2</f>
        <v>2.5000000000000001E-2</v>
      </c>
      <c r="U4127" s="131">
        <v>0.34</v>
      </c>
      <c r="V4127" s="50">
        <f>0.1/2</f>
        <v>0.05</v>
      </c>
      <c r="W4127" s="74">
        <v>8.0000000000000002E-3</v>
      </c>
      <c r="X4127" s="50">
        <v>2.8000000000000001E-2</v>
      </c>
      <c r="Y4127" s="74">
        <v>4.0000000000000001E-3</v>
      </c>
      <c r="Z4127" s="165"/>
    </row>
    <row r="4128" spans="1:79" ht="15" customHeight="1">
      <c r="A4128" s="404" t="s">
        <v>4668</v>
      </c>
      <c r="B4128" s="402" t="s">
        <v>954</v>
      </c>
      <c r="C4128" s="113" t="s">
        <v>6349</v>
      </c>
      <c r="D4128" s="393" t="s">
        <v>98</v>
      </c>
      <c r="E4128" s="394" t="s">
        <v>1546</v>
      </c>
      <c r="F4128" s="402" t="s">
        <v>5856</v>
      </c>
      <c r="G4128" s="405" t="s">
        <v>100</v>
      </c>
      <c r="H4128" s="74">
        <v>4952</v>
      </c>
      <c r="J4128" s="339" t="s">
        <v>2000</v>
      </c>
      <c r="K4128" s="51">
        <v>41710</v>
      </c>
      <c r="L4128" s="173">
        <v>41706</v>
      </c>
      <c r="M4128" s="50">
        <f t="shared" si="245"/>
        <v>4</v>
      </c>
      <c r="N4128" s="50" t="s">
        <v>2</v>
      </c>
      <c r="O4128" s="74">
        <f>1/2</f>
        <v>0.5</v>
      </c>
      <c r="P4128" s="50">
        <v>6.93</v>
      </c>
      <c r="Q4128" s="74">
        <v>7.02</v>
      </c>
      <c r="R4128" s="50">
        <f>1/2</f>
        <v>0.5</v>
      </c>
      <c r="S4128" s="74">
        <v>18</v>
      </c>
      <c r="T4128" s="50">
        <v>0.06</v>
      </c>
      <c r="U4128" s="131">
        <v>1.1599999999999999</v>
      </c>
      <c r="V4128" s="50">
        <v>0.27</v>
      </c>
      <c r="W4128" s="74">
        <v>8.9999999999999993E-3</v>
      </c>
      <c r="X4128" s="50">
        <v>0.05</v>
      </c>
      <c r="Y4128" s="74">
        <v>7.0000000000000001E-3</v>
      </c>
      <c r="Z4128" s="165"/>
    </row>
    <row r="4129" spans="1:79" ht="15" customHeight="1">
      <c r="A4129" s="404" t="s">
        <v>4668</v>
      </c>
      <c r="B4129" s="402" t="s">
        <v>2065</v>
      </c>
      <c r="C4129" s="113" t="s">
        <v>6416</v>
      </c>
      <c r="D4129" s="393" t="s">
        <v>314</v>
      </c>
      <c r="G4129" s="405" t="s">
        <v>3590</v>
      </c>
      <c r="H4129" s="74">
        <v>3724</v>
      </c>
      <c r="I4129" s="50" t="s">
        <v>2</v>
      </c>
      <c r="J4129" s="48" t="s">
        <v>81</v>
      </c>
      <c r="K4129" s="51">
        <v>41710</v>
      </c>
      <c r="L4129" s="173">
        <v>41690</v>
      </c>
      <c r="M4129" s="50">
        <f t="shared" si="245"/>
        <v>20</v>
      </c>
      <c r="N4129" s="50" t="s">
        <v>1</v>
      </c>
      <c r="O4129" s="74">
        <f>3.3/2</f>
        <v>1.65</v>
      </c>
      <c r="P4129" s="50">
        <v>6.5</v>
      </c>
      <c r="Q4129" s="74">
        <v>7.4</v>
      </c>
      <c r="R4129" s="50">
        <v>56</v>
      </c>
      <c r="S4129" s="74">
        <v>120</v>
      </c>
      <c r="T4129" s="50">
        <v>0.38</v>
      </c>
      <c r="U4129" s="131">
        <v>0.65</v>
      </c>
      <c r="V4129" s="50">
        <v>0.22</v>
      </c>
      <c r="W4129" s="74">
        <v>3.1E-2</v>
      </c>
      <c r="X4129" s="50">
        <v>4.9000000000000002E-2</v>
      </c>
      <c r="Y4129" s="74">
        <v>0.01</v>
      </c>
      <c r="Z4129" s="165"/>
    </row>
    <row r="4130" spans="1:79" ht="15" customHeight="1">
      <c r="A4130" s="404" t="s">
        <v>4668</v>
      </c>
      <c r="B4130" s="402" t="s">
        <v>2065</v>
      </c>
      <c r="C4130" s="113" t="s">
        <v>6417</v>
      </c>
      <c r="D4130" s="393" t="s">
        <v>314</v>
      </c>
      <c r="E4130" s="394" t="s">
        <v>49</v>
      </c>
      <c r="G4130" s="405" t="s">
        <v>3592</v>
      </c>
      <c r="H4130" s="74">
        <v>3724</v>
      </c>
      <c r="I4130" s="50" t="s">
        <v>2</v>
      </c>
      <c r="J4130" s="339" t="s">
        <v>81</v>
      </c>
      <c r="K4130" s="51">
        <v>41710</v>
      </c>
      <c r="L4130" s="173">
        <v>41690</v>
      </c>
      <c r="M4130" s="50">
        <f t="shared" si="245"/>
        <v>20</v>
      </c>
      <c r="N4130" s="50" t="s">
        <v>2</v>
      </c>
      <c r="O4130" s="74">
        <f>3.3/2</f>
        <v>1.65</v>
      </c>
      <c r="P4130" s="50">
        <v>6.5</v>
      </c>
      <c r="Q4130" s="74">
        <v>8.3000000000000007</v>
      </c>
      <c r="R4130" s="50">
        <v>44</v>
      </c>
      <c r="S4130" s="74">
        <v>40</v>
      </c>
      <c r="T4130" s="50">
        <v>0.21</v>
      </c>
      <c r="U4130" s="131">
        <v>0.97</v>
      </c>
      <c r="V4130" s="50">
        <v>0.33</v>
      </c>
      <c r="W4130" s="74">
        <v>1.6E-2</v>
      </c>
      <c r="X4130" s="50">
        <v>4.5999999999999999E-2</v>
      </c>
      <c r="Y4130" s="74">
        <v>7.3000000000000001E-3</v>
      </c>
      <c r="Z4130" s="165"/>
    </row>
    <row r="4131" spans="1:79" ht="15" customHeight="1">
      <c r="A4131" s="404" t="s">
        <v>4668</v>
      </c>
      <c r="B4131" s="402" t="s">
        <v>2065</v>
      </c>
      <c r="C4131" s="113" t="s">
        <v>6417</v>
      </c>
      <c r="D4131" s="393" t="s">
        <v>314</v>
      </c>
      <c r="E4131" s="394" t="s">
        <v>49</v>
      </c>
      <c r="G4131" s="405" t="s">
        <v>3592</v>
      </c>
      <c r="H4131" s="74">
        <v>3724</v>
      </c>
      <c r="I4131" s="50" t="s">
        <v>2</v>
      </c>
      <c r="J4131" s="339" t="s">
        <v>114</v>
      </c>
      <c r="K4131" s="51">
        <v>41710</v>
      </c>
      <c r="L4131" s="173">
        <v>41690</v>
      </c>
      <c r="M4131" s="50">
        <f t="shared" si="245"/>
        <v>20</v>
      </c>
      <c r="N4131" s="50" t="s">
        <v>2</v>
      </c>
      <c r="O4131" s="74">
        <f>3.3/2</f>
        <v>1.65</v>
      </c>
      <c r="P4131" s="50">
        <v>6.5</v>
      </c>
      <c r="Q4131" s="74">
        <v>7.7</v>
      </c>
      <c r="R4131" s="50">
        <v>62</v>
      </c>
      <c r="S4131" s="74">
        <v>85</v>
      </c>
      <c r="T4131" s="50">
        <v>0.16</v>
      </c>
      <c r="U4131" s="131">
        <v>1.4</v>
      </c>
      <c r="V4131" s="50">
        <v>0.45</v>
      </c>
      <c r="W4131" s="74">
        <v>1.6E-2</v>
      </c>
      <c r="X4131" s="50">
        <v>0.12</v>
      </c>
      <c r="Y4131" s="74">
        <v>4.8999999999999998E-3</v>
      </c>
      <c r="Z4131" s="165"/>
    </row>
    <row r="4132" spans="1:79" ht="15" customHeight="1">
      <c r="A4132" s="404" t="s">
        <v>4668</v>
      </c>
      <c r="B4132" s="402" t="s">
        <v>1834</v>
      </c>
      <c r="C4132" s="113" t="s">
        <v>1834</v>
      </c>
      <c r="D4132" s="393" t="s">
        <v>379</v>
      </c>
      <c r="E4132" s="394" t="s">
        <v>1835</v>
      </c>
      <c r="F4132" s="402">
        <v>4315</v>
      </c>
      <c r="G4132" s="405" t="s">
        <v>1802</v>
      </c>
      <c r="H4132" s="74">
        <v>3441</v>
      </c>
      <c r="I4132" s="50" t="s">
        <v>2</v>
      </c>
      <c r="J4132" s="260" t="s">
        <v>1803</v>
      </c>
      <c r="K4132" s="51">
        <v>41710</v>
      </c>
      <c r="L4132" s="173"/>
      <c r="N4132" s="50" t="s">
        <v>2</v>
      </c>
      <c r="O4132" s="74">
        <f>1.8/2</f>
        <v>0.9</v>
      </c>
      <c r="Q4132" s="74">
        <v>6.8</v>
      </c>
      <c r="R4132" s="50">
        <f>20/2</f>
        <v>10</v>
      </c>
      <c r="S4132" s="74">
        <v>2.6</v>
      </c>
      <c r="U4132" s="131">
        <f>1.6/2</f>
        <v>0.8</v>
      </c>
      <c r="W4132" s="74">
        <v>1.0999999999999999E-2</v>
      </c>
      <c r="X4132" s="50">
        <v>8.7999999999999995E-2</v>
      </c>
      <c r="Y4132" s="74">
        <f>0.005/2</f>
        <v>2.5000000000000001E-3</v>
      </c>
      <c r="Z4132" s="165">
        <v>1</v>
      </c>
      <c r="AA4132" s="271">
        <v>1</v>
      </c>
      <c r="AB4132" s="114">
        <v>26</v>
      </c>
      <c r="AC4132" s="50">
        <v>109</v>
      </c>
      <c r="AD4132" s="271">
        <v>1</v>
      </c>
    </row>
    <row r="4133" spans="1:79" s="400" customFormat="1" ht="15" customHeight="1">
      <c r="A4133" s="41" t="s">
        <v>183</v>
      </c>
      <c r="B4133" s="402" t="s">
        <v>2605</v>
      </c>
      <c r="C4133" s="113" t="s">
        <v>2605</v>
      </c>
      <c r="D4133" s="393" t="s">
        <v>1565</v>
      </c>
      <c r="E4133" s="394" t="s">
        <v>2606</v>
      </c>
      <c r="F4133" s="402">
        <v>2205</v>
      </c>
      <c r="G4133" s="405" t="s">
        <v>2607</v>
      </c>
      <c r="H4133" s="404">
        <v>3429</v>
      </c>
      <c r="I4133" s="402" t="s">
        <v>2</v>
      </c>
      <c r="J4133" s="404" t="s">
        <v>2608</v>
      </c>
      <c r="K4133" s="403">
        <v>41710</v>
      </c>
      <c r="L4133" s="398">
        <v>41691</v>
      </c>
      <c r="M4133" s="402">
        <f t="shared" ref="M4133" si="246">K4133-L4133</f>
        <v>19</v>
      </c>
      <c r="N4133" s="402" t="s">
        <v>1</v>
      </c>
      <c r="O4133" s="404"/>
      <c r="P4133" s="402"/>
      <c r="Q4133" s="404"/>
      <c r="R4133" s="402"/>
      <c r="S4133" s="404"/>
      <c r="T4133" s="402"/>
      <c r="U4133" s="395"/>
      <c r="V4133" s="402"/>
      <c r="W4133" s="404"/>
      <c r="X4133" s="402">
        <v>6.5000000000000002E-2</v>
      </c>
      <c r="Y4133" s="404"/>
      <c r="Z4133" s="397"/>
      <c r="AA4133" s="399"/>
      <c r="AB4133" s="394"/>
      <c r="AC4133" s="402"/>
      <c r="AD4133" s="399"/>
      <c r="AE4133" s="402"/>
      <c r="AF4133" s="391"/>
      <c r="AG4133" s="394"/>
      <c r="AH4133" s="394"/>
      <c r="AI4133" s="394"/>
      <c r="AJ4133" s="394"/>
      <c r="AK4133" s="394"/>
      <c r="AL4133" s="394"/>
      <c r="AM4133" s="394"/>
      <c r="AN4133" s="394"/>
      <c r="AO4133" s="394"/>
      <c r="AP4133" s="394"/>
      <c r="AQ4133" s="394"/>
      <c r="AR4133" s="394"/>
      <c r="AS4133" s="402"/>
      <c r="AT4133" s="404"/>
      <c r="AU4133" s="394"/>
      <c r="AV4133" s="394"/>
      <c r="AW4133" s="394"/>
      <c r="AX4133" s="5"/>
      <c r="AY4133" s="5"/>
      <c r="AZ4133" s="5"/>
      <c r="BA4133" s="5"/>
      <c r="BB4133" s="5"/>
      <c r="BC4133" s="5"/>
      <c r="BD4133" s="5"/>
      <c r="BE4133" s="5"/>
      <c r="BF4133" s="5"/>
      <c r="BG4133" s="5"/>
      <c r="BH4133" s="5"/>
      <c r="BI4133" s="5"/>
      <c r="BJ4133" s="5"/>
      <c r="BK4133" s="5"/>
      <c r="BL4133" s="5"/>
      <c r="BM4133" s="5"/>
      <c r="BN4133" s="5"/>
      <c r="BO4133" s="5"/>
      <c r="BP4133" s="5"/>
      <c r="BQ4133" s="5"/>
      <c r="BR4133" s="5"/>
      <c r="BS4133" s="5"/>
      <c r="BT4133" s="5"/>
      <c r="BU4133" s="5"/>
      <c r="BV4133" s="5"/>
      <c r="BW4133" s="5"/>
      <c r="BX4133" s="5"/>
      <c r="BY4133" s="5"/>
      <c r="BZ4133" s="5"/>
      <c r="CA4133" s="5"/>
    </row>
    <row r="4134" spans="1:79" ht="15" customHeight="1">
      <c r="A4134" s="404" t="s">
        <v>4668</v>
      </c>
      <c r="B4134" s="402" t="s">
        <v>5282</v>
      </c>
      <c r="C4134" s="113" t="s">
        <v>5282</v>
      </c>
      <c r="D4134" s="393" t="s">
        <v>1490</v>
      </c>
      <c r="E4134" s="394" t="s">
        <v>5174</v>
      </c>
      <c r="G4134" s="405" t="s">
        <v>5283</v>
      </c>
      <c r="H4134" s="74">
        <v>3272</v>
      </c>
      <c r="J4134" s="339" t="s">
        <v>6418</v>
      </c>
      <c r="K4134" s="51">
        <v>41727</v>
      </c>
      <c r="L4134" s="173"/>
      <c r="N4134" s="50" t="s">
        <v>2</v>
      </c>
      <c r="O4134" s="74">
        <v>1.3</v>
      </c>
      <c r="P4134" s="50">
        <v>6</v>
      </c>
      <c r="Q4134" s="74">
        <v>6.4</v>
      </c>
      <c r="R4134" s="50">
        <v>16</v>
      </c>
      <c r="S4134" s="74">
        <f>2/2</f>
        <v>1</v>
      </c>
      <c r="T4134" s="50">
        <v>3.1E-2</v>
      </c>
      <c r="U4134" s="131">
        <v>0.61</v>
      </c>
      <c r="V4134" s="50">
        <v>1.3</v>
      </c>
      <c r="W4134" s="74">
        <f>0.002/2</f>
        <v>1E-3</v>
      </c>
      <c r="X4134" s="50">
        <v>3.0999999999999999E-3</v>
      </c>
      <c r="Y4134" s="74">
        <f>0.002/2</f>
        <v>1E-3</v>
      </c>
      <c r="Z4134" s="165"/>
    </row>
    <row r="4135" spans="1:79" s="400" customFormat="1" ht="15" customHeight="1">
      <c r="A4135" s="41" t="s">
        <v>183</v>
      </c>
      <c r="B4135" s="402" t="s">
        <v>2088</v>
      </c>
      <c r="C4135" s="113" t="s">
        <v>2090</v>
      </c>
      <c r="D4135" s="393" t="s">
        <v>1484</v>
      </c>
      <c r="E4135" s="394" t="s">
        <v>2091</v>
      </c>
      <c r="F4135" s="402"/>
      <c r="G4135" s="405" t="s">
        <v>3598</v>
      </c>
      <c r="H4135" s="404">
        <v>4213</v>
      </c>
      <c r="I4135" s="402" t="s">
        <v>2</v>
      </c>
      <c r="J4135" s="406" t="s">
        <v>1119</v>
      </c>
      <c r="K4135" s="403">
        <v>41717</v>
      </c>
      <c r="L4135" s="398">
        <v>41710</v>
      </c>
      <c r="M4135" s="402">
        <f t="shared" ref="M4135:M4138" si="247">K4135-L4135</f>
        <v>7</v>
      </c>
      <c r="N4135" s="402" t="s">
        <v>1</v>
      </c>
      <c r="O4135" s="404"/>
      <c r="P4135" s="402"/>
      <c r="Q4135" s="404"/>
      <c r="R4135" s="402"/>
      <c r="S4135" s="404"/>
      <c r="T4135" s="402"/>
      <c r="U4135" s="395"/>
      <c r="V4135" s="402"/>
      <c r="W4135" s="404"/>
      <c r="X4135" s="402">
        <v>0.77</v>
      </c>
      <c r="Y4135" s="404"/>
      <c r="Z4135" s="397"/>
      <c r="AA4135" s="399"/>
      <c r="AB4135" s="394"/>
      <c r="AC4135" s="402"/>
      <c r="AD4135" s="399"/>
      <c r="AE4135" s="402"/>
      <c r="AF4135" s="391"/>
      <c r="AG4135" s="394"/>
      <c r="AH4135" s="394"/>
      <c r="AI4135" s="394"/>
      <c r="AJ4135" s="394"/>
      <c r="AK4135" s="394"/>
      <c r="AL4135" s="394"/>
      <c r="AM4135" s="394"/>
      <c r="AN4135" s="394"/>
      <c r="AO4135" s="394"/>
      <c r="AP4135" s="394"/>
      <c r="AQ4135" s="394"/>
      <c r="AR4135" s="394"/>
      <c r="AS4135" s="402"/>
      <c r="AT4135" s="404"/>
      <c r="AU4135" s="394"/>
      <c r="AV4135" s="394"/>
      <c r="AW4135" s="394"/>
      <c r="AX4135" s="5"/>
      <c r="AY4135" s="5"/>
      <c r="AZ4135" s="5"/>
      <c r="BA4135" s="5"/>
      <c r="BB4135" s="5"/>
      <c r="BC4135" s="5"/>
      <c r="BD4135" s="5"/>
      <c r="BE4135" s="5"/>
      <c r="BF4135" s="5"/>
      <c r="BG4135" s="5"/>
      <c r="BH4135" s="5"/>
      <c r="BI4135" s="5"/>
      <c r="BJ4135" s="5"/>
      <c r="BK4135" s="5"/>
      <c r="BL4135" s="5"/>
      <c r="BM4135" s="5"/>
      <c r="BN4135" s="5"/>
      <c r="BO4135" s="5"/>
      <c r="BP4135" s="5"/>
      <c r="BQ4135" s="5"/>
      <c r="BR4135" s="5"/>
      <c r="BS4135" s="5"/>
      <c r="BT4135" s="5"/>
      <c r="BU4135" s="5"/>
      <c r="BV4135" s="5"/>
      <c r="BW4135" s="5"/>
      <c r="BX4135" s="5"/>
      <c r="BY4135" s="5"/>
      <c r="BZ4135" s="5"/>
      <c r="CA4135" s="5"/>
    </row>
    <row r="4136" spans="1:79" s="400" customFormat="1" ht="15" customHeight="1">
      <c r="A4136" s="41" t="s">
        <v>183</v>
      </c>
      <c r="B4136" s="402" t="s">
        <v>4439</v>
      </c>
      <c r="C4136" s="113" t="s">
        <v>4439</v>
      </c>
      <c r="D4136" s="393" t="s">
        <v>251</v>
      </c>
      <c r="E4136" s="394" t="s">
        <v>4440</v>
      </c>
      <c r="F4136" s="402">
        <v>4402</v>
      </c>
      <c r="G4136" s="405" t="s">
        <v>4441</v>
      </c>
      <c r="H4136" s="404">
        <v>3724</v>
      </c>
      <c r="I4136" s="402" t="s">
        <v>1</v>
      </c>
      <c r="J4136" s="406" t="s">
        <v>115</v>
      </c>
      <c r="K4136" s="403">
        <v>41717</v>
      </c>
      <c r="L4136" s="398">
        <v>41713</v>
      </c>
      <c r="M4136" s="402">
        <f t="shared" si="247"/>
        <v>4</v>
      </c>
      <c r="N4136" s="402" t="s">
        <v>2</v>
      </c>
      <c r="O4136" s="404"/>
      <c r="P4136" s="402"/>
      <c r="Q4136" s="404"/>
      <c r="R4136" s="402"/>
      <c r="S4136" s="404"/>
      <c r="T4136" s="402"/>
      <c r="U4136" s="395"/>
      <c r="V4136" s="402">
        <v>0.14000000000000001</v>
      </c>
      <c r="W4136" s="404"/>
      <c r="X4136" s="402"/>
      <c r="Y4136" s="404"/>
      <c r="Z4136" s="397"/>
      <c r="AA4136" s="399"/>
      <c r="AB4136" s="394"/>
      <c r="AC4136" s="402"/>
      <c r="AD4136" s="399"/>
      <c r="AE4136" s="402"/>
      <c r="AF4136" s="391"/>
      <c r="AG4136" s="394"/>
      <c r="AH4136" s="394"/>
      <c r="AI4136" s="394"/>
      <c r="AJ4136" s="394"/>
      <c r="AK4136" s="394"/>
      <c r="AL4136" s="394"/>
      <c r="AM4136" s="394"/>
      <c r="AN4136" s="394"/>
      <c r="AO4136" s="394"/>
      <c r="AP4136" s="394"/>
      <c r="AQ4136" s="394"/>
      <c r="AR4136" s="394"/>
      <c r="AS4136" s="402"/>
      <c r="AT4136" s="404"/>
      <c r="AU4136" s="394"/>
      <c r="AV4136" s="394"/>
      <c r="AW4136" s="394"/>
      <c r="AX4136" s="5"/>
      <c r="AY4136" s="5"/>
      <c r="AZ4136" s="5"/>
      <c r="BA4136" s="5"/>
      <c r="BB4136" s="5"/>
      <c r="BC4136" s="5"/>
      <c r="BD4136" s="5"/>
      <c r="BE4136" s="5"/>
      <c r="BF4136" s="5"/>
      <c r="BG4136" s="5"/>
      <c r="BH4136" s="5"/>
      <c r="BI4136" s="5"/>
      <c r="BJ4136" s="5"/>
      <c r="BK4136" s="5"/>
      <c r="BL4136" s="5"/>
      <c r="BM4136" s="5"/>
      <c r="BN4136" s="5"/>
      <c r="BO4136" s="5"/>
      <c r="BP4136" s="5"/>
      <c r="BQ4136" s="5"/>
      <c r="BR4136" s="5"/>
      <c r="BS4136" s="5"/>
      <c r="BT4136" s="5"/>
      <c r="BU4136" s="5"/>
      <c r="BV4136" s="5"/>
      <c r="BW4136" s="5"/>
      <c r="BX4136" s="5"/>
      <c r="BY4136" s="5"/>
      <c r="BZ4136" s="5"/>
      <c r="CA4136" s="5"/>
    </row>
    <row r="4137" spans="1:79" s="400" customFormat="1" ht="15" customHeight="1">
      <c r="A4137" s="41" t="s">
        <v>183</v>
      </c>
      <c r="B4137" s="402" t="s">
        <v>2111</v>
      </c>
      <c r="C4137" s="113" t="s">
        <v>2111</v>
      </c>
      <c r="D4137" s="393" t="s">
        <v>1217</v>
      </c>
      <c r="E4137" s="394" t="s">
        <v>2112</v>
      </c>
      <c r="F4137" s="402" t="s">
        <v>1051</v>
      </c>
      <c r="G4137" s="405" t="s">
        <v>3606</v>
      </c>
      <c r="H4137" s="404">
        <v>3562</v>
      </c>
      <c r="I4137" s="402" t="s">
        <v>2</v>
      </c>
      <c r="J4137" s="401" t="s">
        <v>2102</v>
      </c>
      <c r="K4137" s="403">
        <v>41710</v>
      </c>
      <c r="L4137" s="398">
        <v>41700</v>
      </c>
      <c r="M4137" s="402">
        <f t="shared" si="247"/>
        <v>10</v>
      </c>
      <c r="N4137" s="402" t="s">
        <v>2</v>
      </c>
      <c r="O4137" s="404"/>
      <c r="P4137" s="402">
        <v>6.7</v>
      </c>
      <c r="Q4137" s="404"/>
      <c r="R4137" s="402"/>
      <c r="S4137" s="404"/>
      <c r="T4137" s="402"/>
      <c r="U4137" s="395"/>
      <c r="V4137" s="402">
        <v>1.46</v>
      </c>
      <c r="W4137" s="404"/>
      <c r="X4137" s="402"/>
      <c r="Y4137" s="404"/>
      <c r="Z4137" s="397"/>
      <c r="AA4137" s="399"/>
      <c r="AB4137" s="394"/>
      <c r="AC4137" s="402"/>
      <c r="AD4137" s="399"/>
      <c r="AE4137" s="402"/>
      <c r="AF4137" s="391"/>
      <c r="AG4137" s="394"/>
      <c r="AH4137" s="394"/>
      <c r="AI4137" s="394"/>
      <c r="AJ4137" s="394"/>
      <c r="AK4137" s="394"/>
      <c r="AL4137" s="394"/>
      <c r="AM4137" s="394"/>
      <c r="AN4137" s="394"/>
      <c r="AO4137" s="394"/>
      <c r="AP4137" s="394"/>
      <c r="AQ4137" s="394"/>
      <c r="AR4137" s="394"/>
      <c r="AS4137" s="402"/>
      <c r="AT4137" s="404"/>
      <c r="AU4137" s="394"/>
      <c r="AV4137" s="394"/>
      <c r="AW4137" s="394"/>
      <c r="AX4137" s="5"/>
      <c r="AY4137" s="5"/>
      <c r="AZ4137" s="5"/>
      <c r="BA4137" s="5"/>
      <c r="BB4137" s="5"/>
      <c r="BC4137" s="5"/>
      <c r="BD4137" s="5"/>
      <c r="BE4137" s="5"/>
      <c r="BF4137" s="5"/>
      <c r="BG4137" s="5"/>
      <c r="BH4137" s="5"/>
      <c r="BI4137" s="5"/>
      <c r="BJ4137" s="5"/>
      <c r="BK4137" s="5"/>
      <c r="BL4137" s="5"/>
      <c r="BM4137" s="5"/>
      <c r="BN4137" s="5"/>
      <c r="BO4137" s="5"/>
      <c r="BP4137" s="5"/>
      <c r="BQ4137" s="5"/>
      <c r="BR4137" s="5"/>
      <c r="BS4137" s="5"/>
      <c r="BT4137" s="5"/>
      <c r="BU4137" s="5"/>
      <c r="BV4137" s="5"/>
      <c r="BW4137" s="5"/>
      <c r="BX4137" s="5"/>
      <c r="BY4137" s="5"/>
      <c r="BZ4137" s="5"/>
      <c r="CA4137" s="5"/>
    </row>
    <row r="4138" spans="1:79" s="400" customFormat="1" ht="15" customHeight="1">
      <c r="A4138" s="41" t="s">
        <v>183</v>
      </c>
      <c r="B4138" s="385" t="s">
        <v>4198</v>
      </c>
      <c r="C4138" s="18" t="s">
        <v>4203</v>
      </c>
      <c r="D4138" s="377" t="s">
        <v>56</v>
      </c>
      <c r="E4138" s="20" t="s">
        <v>4204</v>
      </c>
      <c r="F4138" s="402" t="s">
        <v>6419</v>
      </c>
      <c r="G4138" s="405" t="s">
        <v>4205</v>
      </c>
      <c r="H4138" s="404">
        <v>4011</v>
      </c>
      <c r="I4138" s="402" t="s">
        <v>2</v>
      </c>
      <c r="J4138" s="344" t="s">
        <v>4206</v>
      </c>
      <c r="K4138" s="403">
        <v>41706</v>
      </c>
      <c r="L4138" s="398">
        <v>41689</v>
      </c>
      <c r="M4138" s="402">
        <f t="shared" si="247"/>
        <v>17</v>
      </c>
      <c r="N4138" s="402" t="s">
        <v>1</v>
      </c>
      <c r="O4138" s="404"/>
      <c r="P4138" s="402"/>
      <c r="Q4138" s="404"/>
      <c r="R4138" s="402"/>
      <c r="S4138" s="404"/>
      <c r="T4138" s="402"/>
      <c r="U4138" s="395"/>
      <c r="V4138" s="402"/>
      <c r="W4138" s="404"/>
      <c r="X4138" s="402">
        <v>0.13900000000000001</v>
      </c>
      <c r="Y4138" s="404"/>
      <c r="Z4138" s="397"/>
      <c r="AA4138" s="399"/>
      <c r="AB4138" s="394"/>
      <c r="AC4138" s="402"/>
      <c r="AD4138" s="399"/>
      <c r="AE4138" s="402"/>
      <c r="AF4138" s="391"/>
      <c r="AG4138" s="394"/>
      <c r="AH4138" s="394"/>
      <c r="AI4138" s="394"/>
      <c r="AJ4138" s="394"/>
      <c r="AK4138" s="394"/>
      <c r="AL4138" s="394"/>
      <c r="AM4138" s="394"/>
      <c r="AN4138" s="394"/>
      <c r="AO4138" s="394"/>
      <c r="AP4138" s="394"/>
      <c r="AQ4138" s="394"/>
      <c r="AR4138" s="394"/>
      <c r="AS4138" s="402"/>
      <c r="AT4138" s="404"/>
      <c r="AU4138" s="394"/>
      <c r="AV4138" s="394"/>
      <c r="AW4138" s="394"/>
      <c r="AX4138" s="5"/>
      <c r="AY4138" s="5"/>
      <c r="AZ4138" s="5"/>
      <c r="BA4138" s="5"/>
      <c r="BB4138" s="5"/>
      <c r="BC4138" s="5"/>
      <c r="BD4138" s="5"/>
      <c r="BE4138" s="5"/>
      <c r="BF4138" s="5"/>
      <c r="BG4138" s="5"/>
      <c r="BH4138" s="5"/>
      <c r="BI4138" s="5"/>
      <c r="BJ4138" s="5"/>
      <c r="BK4138" s="5"/>
      <c r="BL4138" s="5"/>
      <c r="BM4138" s="5"/>
      <c r="BN4138" s="5"/>
      <c r="BO4138" s="5"/>
      <c r="BP4138" s="5"/>
      <c r="BQ4138" s="5"/>
      <c r="BR4138" s="5"/>
      <c r="BS4138" s="5"/>
      <c r="BT4138" s="5"/>
      <c r="BU4138" s="5"/>
      <c r="BV4138" s="5"/>
      <c r="BW4138" s="5"/>
      <c r="BX4138" s="5"/>
      <c r="BY4138" s="5"/>
      <c r="BZ4138" s="5"/>
      <c r="CA4138" s="5"/>
    </row>
    <row r="4139" spans="1:79" ht="15" customHeight="1">
      <c r="A4139" s="41" t="s">
        <v>183</v>
      </c>
      <c r="B4139" s="402" t="s">
        <v>5800</v>
      </c>
      <c r="C4139" s="113" t="s">
        <v>164</v>
      </c>
      <c r="D4139" s="393" t="s">
        <v>165</v>
      </c>
      <c r="E4139" s="394" t="s">
        <v>5801</v>
      </c>
      <c r="G4139" s="405" t="s">
        <v>168</v>
      </c>
      <c r="H4139" s="74">
        <v>4911</v>
      </c>
      <c r="I4139" s="50" t="s">
        <v>1</v>
      </c>
      <c r="J4139" s="339" t="s">
        <v>171</v>
      </c>
      <c r="K4139" s="51">
        <v>41683</v>
      </c>
      <c r="L4139" s="173">
        <v>41675</v>
      </c>
      <c r="M4139" s="50">
        <f t="shared" si="245"/>
        <v>8</v>
      </c>
      <c r="N4139" s="50" t="s">
        <v>1</v>
      </c>
      <c r="Z4139" s="165"/>
      <c r="AN4139" s="114">
        <v>6.01</v>
      </c>
    </row>
    <row r="4140" spans="1:79" ht="15" customHeight="1">
      <c r="A4140" s="41" t="s">
        <v>183</v>
      </c>
      <c r="B4140" s="402" t="s">
        <v>5800</v>
      </c>
      <c r="C4140" s="113" t="s">
        <v>164</v>
      </c>
      <c r="D4140" s="393" t="s">
        <v>165</v>
      </c>
      <c r="E4140" s="394" t="s">
        <v>5801</v>
      </c>
      <c r="G4140" s="405" t="s">
        <v>168</v>
      </c>
      <c r="H4140" s="74">
        <v>4911</v>
      </c>
      <c r="I4140" s="50" t="s">
        <v>1</v>
      </c>
      <c r="J4140" s="339" t="s">
        <v>173</v>
      </c>
      <c r="K4140" s="51">
        <v>41688</v>
      </c>
      <c r="L4140" s="173">
        <v>41685</v>
      </c>
      <c r="M4140" s="50">
        <f t="shared" si="245"/>
        <v>3</v>
      </c>
      <c r="N4140" s="50" t="s">
        <v>1</v>
      </c>
      <c r="Z4140" s="165"/>
      <c r="AN4140" s="114">
        <v>4.2300000000000004</v>
      </c>
    </row>
    <row r="4141" spans="1:79" ht="15" customHeight="1">
      <c r="A4141" s="41" t="s">
        <v>183</v>
      </c>
      <c r="B4141" s="402" t="s">
        <v>5800</v>
      </c>
      <c r="C4141" s="113" t="s">
        <v>164</v>
      </c>
      <c r="D4141" s="393" t="s">
        <v>165</v>
      </c>
      <c r="E4141" s="394" t="s">
        <v>5801</v>
      </c>
      <c r="G4141" s="405" t="s">
        <v>168</v>
      </c>
      <c r="H4141" s="74">
        <v>4911</v>
      </c>
      <c r="I4141" s="50" t="s">
        <v>1</v>
      </c>
      <c r="J4141" s="339" t="s">
        <v>179</v>
      </c>
      <c r="K4141" s="51">
        <v>41683</v>
      </c>
      <c r="L4141" s="173">
        <v>41675</v>
      </c>
      <c r="M4141" s="50">
        <f t="shared" si="245"/>
        <v>8</v>
      </c>
      <c r="N4141" s="50" t="s">
        <v>1</v>
      </c>
      <c r="Z4141" s="165"/>
      <c r="AN4141" s="114">
        <v>11.7</v>
      </c>
    </row>
    <row r="4142" spans="1:79" ht="15" customHeight="1">
      <c r="A4142" s="404" t="s">
        <v>4668</v>
      </c>
      <c r="B4142" s="402" t="s">
        <v>2491</v>
      </c>
      <c r="C4142" s="113" t="s">
        <v>5239</v>
      </c>
      <c r="D4142" s="393" t="s">
        <v>262</v>
      </c>
      <c r="E4142" s="394" t="s">
        <v>874</v>
      </c>
      <c r="F4142" s="402" t="s">
        <v>6221</v>
      </c>
      <c r="G4142" s="405" t="s">
        <v>5240</v>
      </c>
      <c r="H4142" s="74">
        <v>5171</v>
      </c>
      <c r="I4142" s="50" t="s">
        <v>1</v>
      </c>
      <c r="J4142" s="339" t="s">
        <v>3251</v>
      </c>
      <c r="K4142" s="51">
        <v>41710</v>
      </c>
      <c r="L4142" s="173">
        <v>41691</v>
      </c>
      <c r="M4142" s="50">
        <f t="shared" si="245"/>
        <v>19</v>
      </c>
      <c r="N4142" s="50" t="s">
        <v>2</v>
      </c>
      <c r="O4142" s="74">
        <v>3.5</v>
      </c>
      <c r="P4142" s="50">
        <v>5</v>
      </c>
      <c r="Q4142" s="74">
        <v>6.37</v>
      </c>
      <c r="R4142" s="50">
        <v>19</v>
      </c>
      <c r="S4142" s="74">
        <v>100</v>
      </c>
      <c r="T4142" s="50">
        <v>0.16</v>
      </c>
      <c r="U4142" s="131">
        <v>0.94</v>
      </c>
      <c r="V4142" s="50">
        <v>0.28000000000000003</v>
      </c>
      <c r="W4142" s="74">
        <v>2.4E-2</v>
      </c>
      <c r="X4142" s="50">
        <v>0.14299999999999999</v>
      </c>
      <c r="Y4142" s="74">
        <v>2.1000000000000001E-2</v>
      </c>
      <c r="Z4142" s="165"/>
    </row>
    <row r="4143" spans="1:79" ht="15" customHeight="1">
      <c r="A4143" s="404" t="s">
        <v>4668</v>
      </c>
      <c r="B4143" s="402" t="s">
        <v>2491</v>
      </c>
      <c r="C4143" s="113" t="s">
        <v>2492</v>
      </c>
      <c r="D4143" s="393" t="s">
        <v>98</v>
      </c>
      <c r="E4143" s="394" t="s">
        <v>1546</v>
      </c>
      <c r="G4143" s="405" t="s">
        <v>2493</v>
      </c>
      <c r="H4143" s="113">
        <v>5171</v>
      </c>
      <c r="I4143" s="49" t="s">
        <v>1</v>
      </c>
      <c r="J4143" s="48" t="s">
        <v>2494</v>
      </c>
      <c r="K4143" s="51">
        <v>41711</v>
      </c>
      <c r="L4143" s="173">
        <v>41691</v>
      </c>
      <c r="M4143" s="50">
        <f t="shared" si="245"/>
        <v>20</v>
      </c>
      <c r="N4143" s="50" t="s">
        <v>2</v>
      </c>
      <c r="O4143" s="74">
        <v>1.8</v>
      </c>
      <c r="P4143" s="50">
        <v>5</v>
      </c>
      <c r="Q4143" s="74">
        <v>8.5</v>
      </c>
      <c r="R4143" s="50">
        <v>64</v>
      </c>
      <c r="S4143" s="74">
        <v>160</v>
      </c>
      <c r="T4143" s="50">
        <v>0.27</v>
      </c>
      <c r="U4143" s="131">
        <v>1.49</v>
      </c>
      <c r="V4143" s="50">
        <v>0.28000000000000003</v>
      </c>
      <c r="W4143" s="74">
        <v>2.4E-2</v>
      </c>
      <c r="X4143" s="50">
        <v>0.11799999999999999</v>
      </c>
      <c r="Y4143" s="74">
        <v>1.7000000000000001E-2</v>
      </c>
      <c r="Z4143" s="165"/>
    </row>
    <row r="4144" spans="1:79" ht="15" customHeight="1">
      <c r="A4144" s="404" t="s">
        <v>4668</v>
      </c>
      <c r="B4144" s="402" t="s">
        <v>6278</v>
      </c>
      <c r="C4144" s="113" t="s">
        <v>6278</v>
      </c>
      <c r="D4144" s="393" t="s">
        <v>636</v>
      </c>
      <c r="E4144" s="394" t="s">
        <v>6279</v>
      </c>
      <c r="F4144" s="402">
        <v>3700</v>
      </c>
      <c r="G4144" s="405" t="s">
        <v>6280</v>
      </c>
      <c r="H4144" s="74">
        <v>265301</v>
      </c>
      <c r="I4144" s="50" t="s">
        <v>2</v>
      </c>
      <c r="J4144" s="339" t="s">
        <v>255</v>
      </c>
      <c r="K4144" s="51">
        <v>41710</v>
      </c>
      <c r="L4144" s="173">
        <v>41691</v>
      </c>
      <c r="M4144" s="50">
        <f t="shared" si="245"/>
        <v>19</v>
      </c>
      <c r="N4144" s="50" t="s">
        <v>2</v>
      </c>
      <c r="O4144" s="74">
        <f>2/2</f>
        <v>1</v>
      </c>
      <c r="P4144" s="50">
        <v>5.3</v>
      </c>
      <c r="Q4144" s="74">
        <v>7.1</v>
      </c>
      <c r="R4144" s="50">
        <f>10/2</f>
        <v>5</v>
      </c>
      <c r="S4144" s="74">
        <v>7</v>
      </c>
      <c r="T4144" s="50">
        <v>0.1</v>
      </c>
      <c r="U4144" s="131">
        <v>1.86</v>
      </c>
      <c r="V4144" s="50">
        <v>2.0299999999999998</v>
      </c>
      <c r="W4144" s="74">
        <v>1.2999999999999999E-2</v>
      </c>
      <c r="X4144" s="50">
        <v>6.3E-2</v>
      </c>
      <c r="Y4144" s="74">
        <f>0.03/2</f>
        <v>1.4999999999999999E-2</v>
      </c>
      <c r="Z4144" s="165">
        <v>1</v>
      </c>
      <c r="AA4144" s="271">
        <v>1</v>
      </c>
      <c r="AB4144" s="114">
        <v>20</v>
      </c>
      <c r="AC4144" s="50">
        <v>351</v>
      </c>
      <c r="AD4144" s="271">
        <v>1</v>
      </c>
    </row>
    <row r="4145" spans="1:79" ht="15" customHeight="1">
      <c r="A4145" s="404" t="s">
        <v>4668</v>
      </c>
      <c r="B4145" s="385" t="s">
        <v>4407</v>
      </c>
      <c r="C4145" s="18" t="s">
        <v>4407</v>
      </c>
      <c r="D4145" s="377" t="s">
        <v>56</v>
      </c>
      <c r="E4145" s="20" t="s">
        <v>95</v>
      </c>
      <c r="G4145" s="405" t="s">
        <v>4408</v>
      </c>
      <c r="H4145" s="74">
        <v>3465</v>
      </c>
      <c r="J4145" s="339" t="s">
        <v>5746</v>
      </c>
      <c r="K4145" s="51">
        <v>41710</v>
      </c>
      <c r="L4145" s="173">
        <v>41706</v>
      </c>
      <c r="M4145" s="50">
        <f t="shared" si="245"/>
        <v>4</v>
      </c>
      <c r="N4145" s="50" t="s">
        <v>1</v>
      </c>
      <c r="O4145" s="74">
        <v>1.2</v>
      </c>
      <c r="P4145" s="50">
        <v>6.7</v>
      </c>
      <c r="Q4145" s="74">
        <v>5.61</v>
      </c>
      <c r="R4145" s="50">
        <v>30</v>
      </c>
      <c r="S4145" s="74">
        <v>1</v>
      </c>
      <c r="T4145" s="50">
        <v>0.06</v>
      </c>
      <c r="U4145" s="131">
        <v>1.35</v>
      </c>
      <c r="V4145" s="50">
        <v>0.77</v>
      </c>
      <c r="W4145" s="74">
        <v>0.04</v>
      </c>
      <c r="X4145" s="50">
        <v>0.38</v>
      </c>
      <c r="Y4145" s="74">
        <f>0.02/2</f>
        <v>0.01</v>
      </c>
      <c r="Z4145" s="165">
        <v>0.42899999999999999</v>
      </c>
      <c r="AA4145" s="271">
        <v>0.29499999999999998</v>
      </c>
      <c r="AB4145" s="114">
        <v>10.8</v>
      </c>
      <c r="AC4145" s="50">
        <v>35.200000000000003</v>
      </c>
      <c r="AD4145" s="271">
        <v>0</v>
      </c>
    </row>
    <row r="4146" spans="1:79" ht="15" customHeight="1">
      <c r="A4146" s="404" t="s">
        <v>4668</v>
      </c>
      <c r="B4146" s="385" t="s">
        <v>4407</v>
      </c>
      <c r="C4146" s="18" t="s">
        <v>4407</v>
      </c>
      <c r="D4146" s="377" t="s">
        <v>56</v>
      </c>
      <c r="E4146" s="20" t="s">
        <v>95</v>
      </c>
      <c r="G4146" s="405" t="s">
        <v>4408</v>
      </c>
      <c r="H4146" s="74">
        <v>3465</v>
      </c>
      <c r="J4146" s="339" t="s">
        <v>5757</v>
      </c>
      <c r="K4146" s="51">
        <v>41710</v>
      </c>
      <c r="L4146" s="173">
        <v>41706</v>
      </c>
      <c r="M4146" s="50">
        <f t="shared" si="245"/>
        <v>4</v>
      </c>
      <c r="N4146" s="50" t="s">
        <v>1</v>
      </c>
      <c r="O4146" s="74">
        <v>2</v>
      </c>
      <c r="P4146" s="50">
        <v>6.7</v>
      </c>
      <c r="Q4146" s="74">
        <v>4.1500000000000004</v>
      </c>
      <c r="R4146" s="50">
        <v>33</v>
      </c>
      <c r="S4146" s="74">
        <f>1/2</f>
        <v>0.5</v>
      </c>
      <c r="T4146" s="50">
        <v>0.06</v>
      </c>
      <c r="U4146" s="131">
        <v>1.39</v>
      </c>
      <c r="V4146" s="50">
        <v>1.2</v>
      </c>
      <c r="W4146" s="74">
        <v>0.04</v>
      </c>
      <c r="X4146" s="50">
        <v>0.39</v>
      </c>
      <c r="Y4146" s="74">
        <f>0.02/2</f>
        <v>0.01</v>
      </c>
      <c r="Z4146" s="165">
        <v>0.46899999999999997</v>
      </c>
      <c r="AA4146" s="271">
        <v>0.36499999999999999</v>
      </c>
      <c r="AB4146" s="114">
        <v>11</v>
      </c>
      <c r="AC4146" s="50">
        <v>48.1</v>
      </c>
      <c r="AD4146" s="271">
        <v>0</v>
      </c>
    </row>
    <row r="4147" spans="1:79" s="400" customFormat="1" ht="15" customHeight="1">
      <c r="A4147" s="41" t="s">
        <v>183</v>
      </c>
      <c r="B4147" s="402" t="s">
        <v>519</v>
      </c>
      <c r="C4147" s="113" t="s">
        <v>1332</v>
      </c>
      <c r="D4147" s="393" t="s">
        <v>499</v>
      </c>
      <c r="E4147" s="394" t="s">
        <v>49</v>
      </c>
      <c r="F4147" s="402"/>
      <c r="G4147" s="405" t="s">
        <v>1333</v>
      </c>
      <c r="H4147" s="404">
        <v>4952</v>
      </c>
      <c r="I4147" s="402" t="s">
        <v>2</v>
      </c>
      <c r="J4147" s="401" t="s">
        <v>81</v>
      </c>
      <c r="K4147" s="403">
        <v>41710</v>
      </c>
      <c r="L4147" s="398">
        <v>41691</v>
      </c>
      <c r="M4147" s="402">
        <f t="shared" si="245"/>
        <v>19</v>
      </c>
      <c r="N4147" s="402" t="s">
        <v>1</v>
      </c>
      <c r="O4147" s="404"/>
      <c r="P4147" s="402"/>
      <c r="Q4147" s="404"/>
      <c r="R4147" s="402">
        <v>86</v>
      </c>
      <c r="S4147" s="404">
        <v>390</v>
      </c>
      <c r="T4147" s="402">
        <v>0.96</v>
      </c>
      <c r="U4147" s="395"/>
      <c r="V4147" s="402"/>
      <c r="W4147" s="404"/>
      <c r="X4147" s="402"/>
      <c r="Y4147" s="404"/>
      <c r="Z4147" s="397"/>
      <c r="AA4147" s="399"/>
      <c r="AB4147" s="394"/>
      <c r="AC4147" s="402"/>
      <c r="AD4147" s="399"/>
      <c r="AE4147" s="402"/>
      <c r="AF4147" s="391"/>
      <c r="AG4147" s="394"/>
      <c r="AH4147" s="394"/>
      <c r="AI4147" s="394"/>
      <c r="AJ4147" s="394"/>
      <c r="AK4147" s="394"/>
      <c r="AL4147" s="394"/>
      <c r="AM4147" s="394"/>
      <c r="AN4147" s="394"/>
      <c r="AO4147" s="394"/>
      <c r="AP4147" s="394"/>
      <c r="AQ4147" s="394"/>
      <c r="AR4147" s="394"/>
      <c r="AS4147" s="402"/>
      <c r="AT4147" s="404"/>
      <c r="AU4147" s="394"/>
      <c r="AV4147" s="394"/>
      <c r="AW4147" s="394"/>
      <c r="AX4147" s="5"/>
      <c r="AY4147" s="5"/>
      <c r="AZ4147" s="5"/>
      <c r="BA4147" s="5"/>
      <c r="BB4147" s="5"/>
      <c r="BC4147" s="5"/>
      <c r="BD4147" s="5"/>
      <c r="BE4147" s="5"/>
      <c r="BF4147" s="5"/>
      <c r="BG4147" s="5"/>
      <c r="BH4147" s="5"/>
      <c r="BI4147" s="5"/>
      <c r="BJ4147" s="5"/>
      <c r="BK4147" s="5"/>
      <c r="BL4147" s="5"/>
      <c r="BM4147" s="5"/>
      <c r="BN4147" s="5"/>
      <c r="BO4147" s="5"/>
      <c r="BP4147" s="5"/>
      <c r="BQ4147" s="5"/>
      <c r="BR4147" s="5"/>
      <c r="BS4147" s="5"/>
      <c r="BT4147" s="5"/>
      <c r="BU4147" s="5"/>
      <c r="BV4147" s="5"/>
      <c r="BW4147" s="5"/>
      <c r="BX4147" s="5"/>
      <c r="BY4147" s="5"/>
      <c r="BZ4147" s="5"/>
      <c r="CA4147" s="5"/>
    </row>
    <row r="4148" spans="1:79" s="400" customFormat="1" ht="15" customHeight="1">
      <c r="A4148" s="41" t="s">
        <v>183</v>
      </c>
      <c r="B4148" s="402" t="s">
        <v>1402</v>
      </c>
      <c r="C4148" s="113" t="s">
        <v>1403</v>
      </c>
      <c r="D4148" s="393" t="s">
        <v>308</v>
      </c>
      <c r="E4148" s="394" t="s">
        <v>535</v>
      </c>
      <c r="F4148" s="402">
        <v>4303</v>
      </c>
      <c r="G4148" s="405" t="s">
        <v>1404</v>
      </c>
      <c r="H4148" s="404">
        <v>3562</v>
      </c>
      <c r="I4148" s="402" t="s">
        <v>1</v>
      </c>
      <c r="J4148" s="393" t="s">
        <v>1355</v>
      </c>
      <c r="K4148" s="403">
        <v>41710</v>
      </c>
      <c r="L4148" s="398">
        <v>41691</v>
      </c>
      <c r="M4148" s="402">
        <f t="shared" si="245"/>
        <v>19</v>
      </c>
      <c r="N4148" s="402" t="s">
        <v>1</v>
      </c>
      <c r="O4148" s="404"/>
      <c r="P4148" s="402"/>
      <c r="Q4148" s="404"/>
      <c r="R4148" s="402"/>
      <c r="S4148" s="404"/>
      <c r="T4148" s="402"/>
      <c r="U4148" s="395"/>
      <c r="V4148" s="402"/>
      <c r="W4148" s="404"/>
      <c r="X4148" s="402">
        <v>6.4000000000000001E-2</v>
      </c>
      <c r="Y4148" s="404"/>
      <c r="Z4148" s="397"/>
      <c r="AA4148" s="399"/>
      <c r="AB4148" s="394"/>
      <c r="AC4148" s="402"/>
      <c r="AD4148" s="399"/>
      <c r="AE4148" s="402"/>
      <c r="AF4148" s="391"/>
      <c r="AG4148" s="394"/>
      <c r="AH4148" s="394"/>
      <c r="AI4148" s="394"/>
      <c r="AJ4148" s="394"/>
      <c r="AK4148" s="394"/>
      <c r="AL4148" s="394"/>
      <c r="AM4148" s="394"/>
      <c r="AN4148" s="394"/>
      <c r="AO4148" s="394"/>
      <c r="AP4148" s="394"/>
      <c r="AQ4148" s="394"/>
      <c r="AR4148" s="394"/>
      <c r="AS4148" s="402"/>
      <c r="AT4148" s="404"/>
      <c r="AU4148" s="394"/>
      <c r="AV4148" s="394"/>
      <c r="AW4148" s="394"/>
      <c r="AX4148" s="5"/>
      <c r="AY4148" s="5"/>
      <c r="AZ4148" s="5"/>
      <c r="BA4148" s="5"/>
      <c r="BB4148" s="5"/>
      <c r="BC4148" s="5"/>
      <c r="BD4148" s="5"/>
      <c r="BE4148" s="5"/>
      <c r="BF4148" s="5"/>
      <c r="BG4148" s="5"/>
      <c r="BH4148" s="5"/>
      <c r="BI4148" s="5"/>
      <c r="BJ4148" s="5"/>
      <c r="BK4148" s="5"/>
      <c r="BL4148" s="5"/>
      <c r="BM4148" s="5"/>
      <c r="BN4148" s="5"/>
      <c r="BO4148" s="5"/>
      <c r="BP4148" s="5"/>
      <c r="BQ4148" s="5"/>
      <c r="BR4148" s="5"/>
      <c r="BS4148" s="5"/>
      <c r="BT4148" s="5"/>
      <c r="BU4148" s="5"/>
      <c r="BV4148" s="5"/>
      <c r="BW4148" s="5"/>
      <c r="BX4148" s="5"/>
      <c r="BY4148" s="5"/>
      <c r="BZ4148" s="5"/>
      <c r="CA4148" s="5"/>
    </row>
    <row r="4149" spans="1:79" s="400" customFormat="1" ht="15" customHeight="1">
      <c r="A4149" s="41" t="s">
        <v>183</v>
      </c>
      <c r="B4149" s="402" t="s">
        <v>1402</v>
      </c>
      <c r="C4149" s="113" t="s">
        <v>1403</v>
      </c>
      <c r="D4149" s="393" t="s">
        <v>308</v>
      </c>
      <c r="E4149" s="394" t="s">
        <v>535</v>
      </c>
      <c r="F4149" s="402">
        <v>4303</v>
      </c>
      <c r="G4149" s="405" t="s">
        <v>1404</v>
      </c>
      <c r="H4149" s="404">
        <v>3562</v>
      </c>
      <c r="I4149" s="402" t="s">
        <v>1</v>
      </c>
      <c r="J4149" s="393" t="s">
        <v>1356</v>
      </c>
      <c r="K4149" s="403">
        <v>41710</v>
      </c>
      <c r="L4149" s="398">
        <v>41691</v>
      </c>
      <c r="M4149" s="402">
        <f t="shared" si="245"/>
        <v>19</v>
      </c>
      <c r="N4149" s="402" t="s">
        <v>1</v>
      </c>
      <c r="O4149" s="404"/>
      <c r="P4149" s="402"/>
      <c r="Q4149" s="404"/>
      <c r="R4149" s="402"/>
      <c r="S4149" s="404"/>
      <c r="T4149" s="402"/>
      <c r="U4149" s="395"/>
      <c r="V4149" s="402"/>
      <c r="W4149" s="404"/>
      <c r="X4149" s="402">
        <v>0.06</v>
      </c>
      <c r="Y4149" s="404"/>
      <c r="Z4149" s="397"/>
      <c r="AA4149" s="399"/>
      <c r="AB4149" s="394"/>
      <c r="AC4149" s="402"/>
      <c r="AD4149" s="399"/>
      <c r="AE4149" s="402"/>
      <c r="AF4149" s="391"/>
      <c r="AG4149" s="394"/>
      <c r="AH4149" s="394"/>
      <c r="AI4149" s="394"/>
      <c r="AJ4149" s="394"/>
      <c r="AK4149" s="394"/>
      <c r="AL4149" s="394"/>
      <c r="AM4149" s="394"/>
      <c r="AN4149" s="394"/>
      <c r="AO4149" s="394"/>
      <c r="AP4149" s="394"/>
      <c r="AQ4149" s="394"/>
      <c r="AR4149" s="394"/>
      <c r="AS4149" s="402"/>
      <c r="AT4149" s="404"/>
      <c r="AU4149" s="394"/>
      <c r="AV4149" s="394"/>
      <c r="AW4149" s="394"/>
      <c r="AX4149" s="5"/>
      <c r="AY4149" s="5"/>
      <c r="AZ4149" s="5"/>
      <c r="BA4149" s="5"/>
      <c r="BB4149" s="5"/>
      <c r="BC4149" s="5"/>
      <c r="BD4149" s="5"/>
      <c r="BE4149" s="5"/>
      <c r="BF4149" s="5"/>
      <c r="BG4149" s="5"/>
      <c r="BH4149" s="5"/>
      <c r="BI4149" s="5"/>
      <c r="BJ4149" s="5"/>
      <c r="BK4149" s="5"/>
      <c r="BL4149" s="5"/>
      <c r="BM4149" s="5"/>
      <c r="BN4149" s="5"/>
      <c r="BO4149" s="5"/>
      <c r="BP4149" s="5"/>
      <c r="BQ4149" s="5"/>
      <c r="BR4149" s="5"/>
      <c r="BS4149" s="5"/>
      <c r="BT4149" s="5"/>
      <c r="BU4149" s="5"/>
      <c r="BV4149" s="5"/>
      <c r="BW4149" s="5"/>
      <c r="BX4149" s="5"/>
      <c r="BY4149" s="5"/>
      <c r="BZ4149" s="5"/>
      <c r="CA4149" s="5"/>
    </row>
    <row r="4150" spans="1:79" ht="15" customHeight="1">
      <c r="A4150" s="404" t="s">
        <v>4668</v>
      </c>
      <c r="B4150" s="402" t="s">
        <v>3062</v>
      </c>
      <c r="C4150" s="113" t="s">
        <v>3063</v>
      </c>
      <c r="D4150" s="393" t="s">
        <v>735</v>
      </c>
      <c r="E4150" s="394" t="s">
        <v>1293</v>
      </c>
      <c r="F4150" s="86" t="s">
        <v>6420</v>
      </c>
      <c r="G4150" s="405" t="s">
        <v>3064</v>
      </c>
      <c r="H4150" s="74">
        <v>4952</v>
      </c>
      <c r="I4150" s="50" t="s">
        <v>2</v>
      </c>
      <c r="J4150" s="48" t="s">
        <v>3066</v>
      </c>
      <c r="K4150" s="51">
        <v>41675</v>
      </c>
      <c r="L4150" s="173"/>
      <c r="N4150" s="50" t="s">
        <v>2</v>
      </c>
      <c r="O4150" s="74">
        <f>5/2</f>
        <v>2.5</v>
      </c>
      <c r="Q4150" s="74">
        <v>6.3</v>
      </c>
      <c r="R4150" s="50">
        <v>24</v>
      </c>
      <c r="S4150" s="74">
        <v>19</v>
      </c>
      <c r="T4150" s="50">
        <v>0.36</v>
      </c>
      <c r="U4150" s="131">
        <v>1.4</v>
      </c>
      <c r="V4150" s="50">
        <v>0.66</v>
      </c>
      <c r="W4150" s="74">
        <v>0.1</v>
      </c>
      <c r="X4150" s="50">
        <v>0.14000000000000001</v>
      </c>
      <c r="Y4150" s="74">
        <v>6.4000000000000001E-2</v>
      </c>
      <c r="Z4150" s="165">
        <v>1</v>
      </c>
      <c r="AA4150" s="271">
        <v>0.66</v>
      </c>
      <c r="AB4150" s="114">
        <v>8.57</v>
      </c>
      <c r="AC4150" s="50">
        <v>21</v>
      </c>
      <c r="AD4150" s="271">
        <v>0</v>
      </c>
    </row>
    <row r="4151" spans="1:79" ht="15" customHeight="1">
      <c r="A4151" s="404" t="s">
        <v>4668</v>
      </c>
      <c r="B4151" s="402" t="s">
        <v>3062</v>
      </c>
      <c r="C4151" s="113" t="s">
        <v>3063</v>
      </c>
      <c r="D4151" s="393" t="s">
        <v>735</v>
      </c>
      <c r="E4151" s="394" t="s">
        <v>1293</v>
      </c>
      <c r="F4151" s="86" t="s">
        <v>6420</v>
      </c>
      <c r="G4151" s="405" t="s">
        <v>3064</v>
      </c>
      <c r="H4151" s="74">
        <v>4952</v>
      </c>
      <c r="I4151" s="50" t="s">
        <v>2</v>
      </c>
      <c r="J4151" s="48" t="s">
        <v>3066</v>
      </c>
      <c r="K4151" s="51">
        <v>41675</v>
      </c>
      <c r="L4151" s="173"/>
      <c r="N4151" s="50" t="s">
        <v>2</v>
      </c>
      <c r="O4151" s="74">
        <f>5/2</f>
        <v>2.5</v>
      </c>
      <c r="Q4151" s="74">
        <v>6.2</v>
      </c>
      <c r="R4151" s="50">
        <v>10</v>
      </c>
      <c r="S4151" s="74">
        <f>1/2</f>
        <v>0.5</v>
      </c>
      <c r="T4151" s="50">
        <v>7.0000000000000007E-2</v>
      </c>
      <c r="U4151" s="131">
        <v>0.98</v>
      </c>
      <c r="V4151" s="50">
        <v>0.64</v>
      </c>
      <c r="W4151" s="74">
        <v>6.0000000000000001E-3</v>
      </c>
      <c r="X4151" s="50">
        <v>0.09</v>
      </c>
      <c r="Y4151" s="74">
        <v>3.0000000000000001E-3</v>
      </c>
      <c r="Z4151" s="165">
        <v>0.72199999999999998</v>
      </c>
      <c r="AA4151" s="271">
        <v>0.51800000000000002</v>
      </c>
      <c r="AB4151" s="114">
        <v>4.22</v>
      </c>
      <c r="AC4151" s="50">
        <v>33</v>
      </c>
      <c r="AD4151" s="271">
        <v>0</v>
      </c>
    </row>
    <row r="4152" spans="1:79" ht="15" customHeight="1">
      <c r="A4152" s="404" t="s">
        <v>4668</v>
      </c>
      <c r="B4152" s="402" t="s">
        <v>5012</v>
      </c>
      <c r="C4152" s="113" t="s">
        <v>5012</v>
      </c>
      <c r="D4152" s="393" t="s">
        <v>303</v>
      </c>
      <c r="F4152" s="402" t="s">
        <v>6421</v>
      </c>
      <c r="G4152" s="405" t="s">
        <v>5198</v>
      </c>
      <c r="H4152" s="74"/>
      <c r="I4152" s="50" t="s">
        <v>2</v>
      </c>
      <c r="J4152" s="74" t="s">
        <v>5014</v>
      </c>
      <c r="K4152" s="51">
        <v>41710</v>
      </c>
      <c r="L4152" s="173">
        <v>41686</v>
      </c>
      <c r="M4152" s="50">
        <f t="shared" si="245"/>
        <v>24</v>
      </c>
      <c r="N4152" s="50" t="s">
        <v>1</v>
      </c>
      <c r="O4152" s="74">
        <f>1/2</f>
        <v>0.5</v>
      </c>
      <c r="P4152" s="50">
        <v>5.15</v>
      </c>
      <c r="Q4152" s="74">
        <v>6.71</v>
      </c>
      <c r="R4152" s="50">
        <v>118</v>
      </c>
      <c r="S4152" s="74">
        <v>57</v>
      </c>
      <c r="T4152" s="50">
        <v>0.28999999999999998</v>
      </c>
      <c r="U4152" s="131">
        <v>0.55000000000000004</v>
      </c>
      <c r="V4152" s="50">
        <v>0.94</v>
      </c>
      <c r="W4152" s="74">
        <v>0.08</v>
      </c>
      <c r="X4152" s="50">
        <v>0.23</v>
      </c>
      <c r="Y4152" s="74">
        <f>0.05/2</f>
        <v>2.5000000000000001E-2</v>
      </c>
      <c r="Z4152" s="165">
        <v>1</v>
      </c>
      <c r="AA4152" s="271">
        <v>1</v>
      </c>
      <c r="AB4152" s="114">
        <v>31</v>
      </c>
      <c r="AC4152" s="50">
        <v>111</v>
      </c>
      <c r="AD4152" s="271">
        <v>1</v>
      </c>
    </row>
    <row r="4153" spans="1:79" ht="15" customHeight="1">
      <c r="A4153" s="404" t="s">
        <v>4668</v>
      </c>
      <c r="B4153" s="402" t="s">
        <v>3707</v>
      </c>
      <c r="C4153" s="113" t="s">
        <v>3707</v>
      </c>
      <c r="D4153" s="393" t="s">
        <v>150</v>
      </c>
      <c r="E4153" s="394" t="s">
        <v>686</v>
      </c>
      <c r="F4153" s="402" t="s">
        <v>6422</v>
      </c>
      <c r="G4153" s="405" t="s">
        <v>3709</v>
      </c>
      <c r="H4153" s="74">
        <v>3272</v>
      </c>
      <c r="I4153" s="50" t="s">
        <v>2</v>
      </c>
      <c r="J4153" s="48" t="s">
        <v>3144</v>
      </c>
      <c r="K4153" s="51">
        <v>41717</v>
      </c>
      <c r="L4153" s="173" t="s">
        <v>3434</v>
      </c>
      <c r="N4153" s="50" t="s">
        <v>1</v>
      </c>
      <c r="O4153" s="74">
        <v>2.1</v>
      </c>
      <c r="P4153" s="50">
        <v>7.27</v>
      </c>
      <c r="Q4153" s="74">
        <v>6.93</v>
      </c>
      <c r="R4153" s="50">
        <v>8.2200000000000006</v>
      </c>
      <c r="S4153" s="74">
        <f>5/2</f>
        <v>2.5</v>
      </c>
      <c r="T4153" s="50">
        <v>0.14000000000000001</v>
      </c>
      <c r="U4153" s="131">
        <v>0.26</v>
      </c>
      <c r="V4153" s="50">
        <v>0.69</v>
      </c>
      <c r="W4153" s="74">
        <v>0.06</v>
      </c>
      <c r="X4153" s="50">
        <v>0.08</v>
      </c>
      <c r="Y4153" s="74">
        <f>0.004/2</f>
        <v>2E-3</v>
      </c>
      <c r="Z4153" s="165"/>
    </row>
    <row r="4154" spans="1:79" s="400" customFormat="1" ht="15" customHeight="1">
      <c r="A4154" s="41" t="s">
        <v>183</v>
      </c>
      <c r="B4154" s="402" t="s">
        <v>5363</v>
      </c>
      <c r="C4154" s="113" t="s">
        <v>5363</v>
      </c>
      <c r="D4154" s="393" t="s">
        <v>41</v>
      </c>
      <c r="E4154" s="20" t="s">
        <v>4388</v>
      </c>
      <c r="F4154" s="402">
        <v>4404</v>
      </c>
      <c r="G4154" s="405" t="s">
        <v>4389</v>
      </c>
      <c r="H4154" s="404">
        <v>3724</v>
      </c>
      <c r="I4154" s="402" t="s">
        <v>2</v>
      </c>
      <c r="J4154" s="406" t="s">
        <v>3630</v>
      </c>
      <c r="K4154" s="403">
        <v>41717</v>
      </c>
      <c r="L4154" s="398">
        <v>41710</v>
      </c>
      <c r="M4154" s="402">
        <f t="shared" ref="M4154:M4155" si="248">K4154-L4154</f>
        <v>7</v>
      </c>
      <c r="N4154" s="402" t="s">
        <v>2</v>
      </c>
      <c r="O4154" s="404"/>
      <c r="P4154" s="402"/>
      <c r="Q4154" s="404"/>
      <c r="R4154" s="402"/>
      <c r="S4154" s="404"/>
      <c r="T4154" s="402"/>
      <c r="U4154" s="395">
        <v>3.73</v>
      </c>
      <c r="V4154" s="402"/>
      <c r="W4154" s="404"/>
      <c r="X4154" s="402">
        <v>0.23100000000000001</v>
      </c>
      <c r="Y4154" s="404"/>
      <c r="Z4154" s="397"/>
      <c r="AA4154" s="399"/>
      <c r="AB4154" s="394"/>
      <c r="AC4154" s="402"/>
      <c r="AD4154" s="399"/>
      <c r="AE4154" s="402"/>
      <c r="AF4154" s="391"/>
      <c r="AG4154" s="394"/>
      <c r="AH4154" s="394"/>
      <c r="AI4154" s="394"/>
      <c r="AJ4154" s="394"/>
      <c r="AK4154" s="394"/>
      <c r="AL4154" s="394"/>
      <c r="AM4154" s="394"/>
      <c r="AN4154" s="394"/>
      <c r="AO4154" s="394"/>
      <c r="AP4154" s="394"/>
      <c r="AQ4154" s="394"/>
      <c r="AR4154" s="394"/>
      <c r="AS4154" s="402"/>
      <c r="AT4154" s="404"/>
      <c r="AU4154" s="394"/>
      <c r="AV4154" s="394"/>
      <c r="AW4154" s="394"/>
      <c r="AX4154" s="5"/>
      <c r="AY4154" s="5"/>
      <c r="AZ4154" s="5"/>
      <c r="BA4154" s="5"/>
      <c r="BB4154" s="5"/>
      <c r="BC4154" s="5"/>
      <c r="BD4154" s="5"/>
      <c r="BE4154" s="5"/>
      <c r="BF4154" s="5"/>
      <c r="BG4154" s="5"/>
      <c r="BH4154" s="5"/>
      <c r="BI4154" s="5"/>
      <c r="BJ4154" s="5"/>
      <c r="BK4154" s="5"/>
      <c r="BL4154" s="5"/>
      <c r="BM4154" s="5"/>
      <c r="BN4154" s="5"/>
      <c r="BO4154" s="5"/>
      <c r="BP4154" s="5"/>
      <c r="BQ4154" s="5"/>
      <c r="BR4154" s="5"/>
      <c r="BS4154" s="5"/>
      <c r="BT4154" s="5"/>
      <c r="BU4154" s="5"/>
      <c r="BV4154" s="5"/>
      <c r="BW4154" s="5"/>
      <c r="BX4154" s="5"/>
      <c r="BY4154" s="5"/>
      <c r="BZ4154" s="5"/>
      <c r="CA4154" s="5"/>
    </row>
    <row r="4155" spans="1:79" s="400" customFormat="1" ht="15" customHeight="1">
      <c r="A4155" s="41" t="s">
        <v>183</v>
      </c>
      <c r="B4155" s="402" t="s">
        <v>5363</v>
      </c>
      <c r="C4155" s="113" t="s">
        <v>5363</v>
      </c>
      <c r="D4155" s="393" t="s">
        <v>41</v>
      </c>
      <c r="E4155" s="20" t="s">
        <v>4388</v>
      </c>
      <c r="F4155" s="402">
        <v>4404</v>
      </c>
      <c r="G4155" s="405" t="s">
        <v>4389</v>
      </c>
      <c r="H4155" s="404">
        <v>3724</v>
      </c>
      <c r="I4155" s="402" t="s">
        <v>2</v>
      </c>
      <c r="J4155" s="406" t="s">
        <v>357</v>
      </c>
      <c r="K4155" s="403">
        <v>41717</v>
      </c>
      <c r="L4155" s="398">
        <v>41710</v>
      </c>
      <c r="M4155" s="402">
        <f t="shared" si="248"/>
        <v>7</v>
      </c>
      <c r="N4155" s="402" t="s">
        <v>2</v>
      </c>
      <c r="O4155" s="404"/>
      <c r="P4155" s="402"/>
      <c r="Q4155" s="404"/>
      <c r="R4155" s="402">
        <v>100</v>
      </c>
      <c r="S4155" s="404">
        <v>15</v>
      </c>
      <c r="T4155" s="402"/>
      <c r="U4155" s="395">
        <v>6.36</v>
      </c>
      <c r="V4155" s="402"/>
      <c r="W4155" s="404"/>
      <c r="X4155" s="402">
        <v>0.121</v>
      </c>
      <c r="Y4155" s="404"/>
      <c r="Z4155" s="397"/>
      <c r="AA4155" s="399"/>
      <c r="AB4155" s="394"/>
      <c r="AC4155" s="402"/>
      <c r="AD4155" s="399"/>
      <c r="AE4155" s="402"/>
      <c r="AF4155" s="391"/>
      <c r="AG4155" s="394"/>
      <c r="AH4155" s="394"/>
      <c r="AI4155" s="394"/>
      <c r="AJ4155" s="394"/>
      <c r="AK4155" s="394"/>
      <c r="AL4155" s="394"/>
      <c r="AM4155" s="394"/>
      <c r="AN4155" s="394"/>
      <c r="AO4155" s="394"/>
      <c r="AP4155" s="394"/>
      <c r="AQ4155" s="394"/>
      <c r="AR4155" s="394"/>
      <c r="AS4155" s="402"/>
      <c r="AT4155" s="404"/>
      <c r="AU4155" s="394"/>
      <c r="AV4155" s="394"/>
      <c r="AW4155" s="394"/>
      <c r="AX4155" s="5"/>
      <c r="AY4155" s="5"/>
      <c r="AZ4155" s="5"/>
      <c r="BA4155" s="5"/>
      <c r="BB4155" s="5"/>
      <c r="BC4155" s="5"/>
      <c r="BD4155" s="5"/>
      <c r="BE4155" s="5"/>
      <c r="BF4155" s="5"/>
      <c r="BG4155" s="5"/>
      <c r="BH4155" s="5"/>
      <c r="BI4155" s="5"/>
      <c r="BJ4155" s="5"/>
      <c r="BK4155" s="5"/>
      <c r="BL4155" s="5"/>
      <c r="BM4155" s="5"/>
      <c r="BN4155" s="5"/>
      <c r="BO4155" s="5"/>
      <c r="BP4155" s="5"/>
      <c r="BQ4155" s="5"/>
      <c r="BR4155" s="5"/>
      <c r="BS4155" s="5"/>
      <c r="BT4155" s="5"/>
      <c r="BU4155" s="5"/>
      <c r="BV4155" s="5"/>
      <c r="BW4155" s="5"/>
      <c r="BX4155" s="5"/>
      <c r="BY4155" s="5"/>
      <c r="BZ4155" s="5"/>
      <c r="CA4155" s="5"/>
    </row>
    <row r="4156" spans="1:79" ht="15" customHeight="1">
      <c r="A4156" s="41" t="s">
        <v>183</v>
      </c>
      <c r="B4156" s="385" t="s">
        <v>1843</v>
      </c>
      <c r="C4156" s="18" t="s">
        <v>4286</v>
      </c>
      <c r="D4156" s="377" t="s">
        <v>836</v>
      </c>
      <c r="E4156" s="20" t="s">
        <v>364</v>
      </c>
      <c r="G4156" s="405" t="s">
        <v>1878</v>
      </c>
      <c r="H4156" s="6">
        <v>4151</v>
      </c>
      <c r="I4156" s="7" t="s">
        <v>2</v>
      </c>
      <c r="J4156" s="344" t="s">
        <v>641</v>
      </c>
      <c r="K4156" s="51">
        <v>41726</v>
      </c>
      <c r="L4156" s="173">
        <v>41718</v>
      </c>
      <c r="M4156" s="50">
        <f t="shared" ref="M4156:M4214" si="249">K4156-L4156</f>
        <v>8</v>
      </c>
      <c r="N4156" s="50" t="s">
        <v>1</v>
      </c>
      <c r="P4156" s="50">
        <v>5.46</v>
      </c>
      <c r="R4156" s="50">
        <v>150</v>
      </c>
      <c r="Z4156" s="165"/>
    </row>
    <row r="4157" spans="1:79" ht="15" customHeight="1">
      <c r="A4157" s="404" t="s">
        <v>4668</v>
      </c>
      <c r="B4157" s="402" t="s">
        <v>4856</v>
      </c>
      <c r="C4157" s="113" t="s">
        <v>4856</v>
      </c>
      <c r="D4157" s="393" t="s">
        <v>41</v>
      </c>
      <c r="E4157" s="394" t="s">
        <v>4857</v>
      </c>
      <c r="F4157" s="402" t="s">
        <v>6399</v>
      </c>
      <c r="G4157" s="405" t="s">
        <v>4858</v>
      </c>
      <c r="H4157" s="74">
        <v>3471</v>
      </c>
      <c r="I4157" s="50" t="s">
        <v>2</v>
      </c>
      <c r="J4157" s="339" t="s">
        <v>4859</v>
      </c>
      <c r="K4157" s="51">
        <v>41710</v>
      </c>
      <c r="L4157" s="173" t="s">
        <v>3434</v>
      </c>
      <c r="N4157" s="50" t="s">
        <v>1</v>
      </c>
      <c r="O4157" s="74">
        <v>5.2</v>
      </c>
      <c r="P4157" s="50">
        <v>5.2</v>
      </c>
      <c r="Q4157" s="74">
        <v>7.08</v>
      </c>
      <c r="R4157" s="50">
        <v>150</v>
      </c>
      <c r="S4157" s="74">
        <v>220</v>
      </c>
      <c r="T4157" s="50">
        <v>0.19</v>
      </c>
      <c r="U4157" s="131">
        <v>6.7</v>
      </c>
      <c r="V4157" s="50">
        <v>1.5</v>
      </c>
      <c r="W4157" s="74">
        <v>6.4000000000000001E-2</v>
      </c>
      <c r="X4157" s="50">
        <v>0.51</v>
      </c>
      <c r="Y4157" s="74">
        <v>1.7999999999999999E-2</v>
      </c>
      <c r="Z4157" s="165"/>
    </row>
    <row r="4158" spans="1:79" s="400" customFormat="1" ht="15" customHeight="1">
      <c r="A4158" s="41" t="s">
        <v>183</v>
      </c>
      <c r="B4158" s="402" t="s">
        <v>2317</v>
      </c>
      <c r="C4158" s="113" t="s">
        <v>2317</v>
      </c>
      <c r="D4158" s="393" t="s">
        <v>268</v>
      </c>
      <c r="E4158" s="394" t="s">
        <v>269</v>
      </c>
      <c r="F4158" s="402">
        <v>4403</v>
      </c>
      <c r="G4158" s="405" t="s">
        <v>2318</v>
      </c>
      <c r="H4158" s="404">
        <v>3471</v>
      </c>
      <c r="I4158" s="402" t="s">
        <v>2</v>
      </c>
      <c r="J4158" s="406" t="s">
        <v>249</v>
      </c>
      <c r="K4158" s="403">
        <v>41710</v>
      </c>
      <c r="L4158" s="398">
        <v>41691</v>
      </c>
      <c r="M4158" s="402">
        <f t="shared" ref="M4158:M4159" si="250">K4158-L4158</f>
        <v>19</v>
      </c>
      <c r="N4158" s="402" t="s">
        <v>1</v>
      </c>
      <c r="O4158" s="404"/>
      <c r="P4158" s="402"/>
      <c r="Q4158" s="404"/>
      <c r="R4158" s="402"/>
      <c r="S4158" s="404"/>
      <c r="T4158" s="402"/>
      <c r="U4158" s="395"/>
      <c r="V4158" s="402">
        <v>3.53</v>
      </c>
      <c r="W4158" s="404"/>
      <c r="X4158" s="402">
        <v>0.255</v>
      </c>
      <c r="Y4158" s="404"/>
      <c r="Z4158" s="397"/>
      <c r="AA4158" s="399"/>
      <c r="AB4158" s="394"/>
      <c r="AC4158" s="402"/>
      <c r="AD4158" s="399"/>
      <c r="AE4158" s="402"/>
      <c r="AF4158" s="391"/>
      <c r="AG4158" s="394"/>
      <c r="AH4158" s="394"/>
      <c r="AI4158" s="394"/>
      <c r="AJ4158" s="394"/>
      <c r="AK4158" s="394"/>
      <c r="AL4158" s="394"/>
      <c r="AM4158" s="394"/>
      <c r="AN4158" s="394"/>
      <c r="AO4158" s="394"/>
      <c r="AP4158" s="394"/>
      <c r="AQ4158" s="394"/>
      <c r="AR4158" s="394"/>
      <c r="AS4158" s="402"/>
      <c r="AT4158" s="404"/>
      <c r="AU4158" s="394"/>
      <c r="AV4158" s="394"/>
      <c r="AW4158" s="394"/>
      <c r="AX4158" s="5"/>
      <c r="AY4158" s="5"/>
      <c r="AZ4158" s="5"/>
      <c r="BA4158" s="5"/>
      <c r="BB4158" s="5"/>
      <c r="BC4158" s="5"/>
      <c r="BD4158" s="5"/>
      <c r="BE4158" s="5"/>
      <c r="BF4158" s="5"/>
      <c r="BG4158" s="5"/>
      <c r="BH4158" s="5"/>
      <c r="BI4158" s="5"/>
      <c r="BJ4158" s="5"/>
      <c r="BK4158" s="5"/>
      <c r="BL4158" s="5"/>
      <c r="BM4158" s="5"/>
      <c r="BN4158" s="5"/>
      <c r="BO4158" s="5"/>
      <c r="BP4158" s="5"/>
      <c r="BQ4158" s="5"/>
      <c r="BR4158" s="5"/>
      <c r="BS4158" s="5"/>
      <c r="BT4158" s="5"/>
      <c r="BU4158" s="5"/>
      <c r="BV4158" s="5"/>
      <c r="BW4158" s="5"/>
      <c r="BX4158" s="5"/>
      <c r="BY4158" s="5"/>
      <c r="BZ4158" s="5"/>
      <c r="CA4158" s="5"/>
    </row>
    <row r="4159" spans="1:79" s="400" customFormat="1" ht="15" customHeight="1">
      <c r="A4159" s="41" t="s">
        <v>183</v>
      </c>
      <c r="B4159" s="402" t="s">
        <v>2317</v>
      </c>
      <c r="C4159" s="113" t="s">
        <v>2317</v>
      </c>
      <c r="D4159" s="393" t="s">
        <v>268</v>
      </c>
      <c r="E4159" s="394" t="s">
        <v>269</v>
      </c>
      <c r="F4159" s="402">
        <v>4403</v>
      </c>
      <c r="G4159" s="405" t="s">
        <v>2318</v>
      </c>
      <c r="H4159" s="404">
        <v>3471</v>
      </c>
      <c r="I4159" s="402" t="s">
        <v>2</v>
      </c>
      <c r="J4159" s="406" t="s">
        <v>1999</v>
      </c>
      <c r="K4159" s="403">
        <v>41710</v>
      </c>
      <c r="L4159" s="398">
        <v>41691</v>
      </c>
      <c r="M4159" s="402">
        <f t="shared" si="250"/>
        <v>19</v>
      </c>
      <c r="N4159" s="402" t="s">
        <v>1</v>
      </c>
      <c r="O4159" s="404"/>
      <c r="P4159" s="402"/>
      <c r="Q4159" s="404"/>
      <c r="R4159" s="402"/>
      <c r="S4159" s="404"/>
      <c r="T4159" s="402"/>
      <c r="U4159" s="395"/>
      <c r="V4159" s="402">
        <v>3.36</v>
      </c>
      <c r="W4159" s="404"/>
      <c r="X4159" s="402">
        <v>0.39700000000000002</v>
      </c>
      <c r="Y4159" s="404"/>
      <c r="Z4159" s="397"/>
      <c r="AA4159" s="399"/>
      <c r="AB4159" s="394"/>
      <c r="AC4159" s="402"/>
      <c r="AD4159" s="399"/>
      <c r="AE4159" s="402"/>
      <c r="AF4159" s="391"/>
      <c r="AG4159" s="394"/>
      <c r="AH4159" s="394"/>
      <c r="AI4159" s="394"/>
      <c r="AJ4159" s="394"/>
      <c r="AK4159" s="394"/>
      <c r="AL4159" s="394"/>
      <c r="AM4159" s="394"/>
      <c r="AN4159" s="394"/>
      <c r="AO4159" s="394"/>
      <c r="AP4159" s="394"/>
      <c r="AQ4159" s="394"/>
      <c r="AR4159" s="394"/>
      <c r="AS4159" s="402"/>
      <c r="AT4159" s="404"/>
      <c r="AU4159" s="394"/>
      <c r="AV4159" s="394"/>
      <c r="AW4159" s="394"/>
      <c r="AX4159" s="5"/>
      <c r="AY4159" s="5"/>
      <c r="AZ4159" s="5"/>
      <c r="BA4159" s="5"/>
      <c r="BB4159" s="5"/>
      <c r="BC4159" s="5"/>
      <c r="BD4159" s="5"/>
      <c r="BE4159" s="5"/>
      <c r="BF4159" s="5"/>
      <c r="BG4159" s="5"/>
      <c r="BH4159" s="5"/>
      <c r="BI4159" s="5"/>
      <c r="BJ4159" s="5"/>
      <c r="BK4159" s="5"/>
      <c r="BL4159" s="5"/>
      <c r="BM4159" s="5"/>
      <c r="BN4159" s="5"/>
      <c r="BO4159" s="5"/>
      <c r="BP4159" s="5"/>
      <c r="BQ4159" s="5"/>
      <c r="BR4159" s="5"/>
      <c r="BS4159" s="5"/>
      <c r="BT4159" s="5"/>
      <c r="BU4159" s="5"/>
      <c r="BV4159" s="5"/>
      <c r="BW4159" s="5"/>
      <c r="BX4159" s="5"/>
      <c r="BY4159" s="5"/>
      <c r="BZ4159" s="5"/>
      <c r="CA4159" s="5"/>
    </row>
    <row r="4160" spans="1:79" ht="15" customHeight="1">
      <c r="A4160" s="404" t="s">
        <v>4668</v>
      </c>
      <c r="B4160" s="402" t="s">
        <v>3927</v>
      </c>
      <c r="C4160" s="113" t="s">
        <v>4753</v>
      </c>
      <c r="D4160" s="393" t="s">
        <v>56</v>
      </c>
      <c r="E4160" s="394" t="s">
        <v>95</v>
      </c>
      <c r="F4160" s="402" t="s">
        <v>5872</v>
      </c>
      <c r="G4160" s="405" t="s">
        <v>3928</v>
      </c>
      <c r="H4160" s="74">
        <v>4952</v>
      </c>
      <c r="I4160" s="50" t="s">
        <v>1</v>
      </c>
      <c r="J4160" s="74" t="s">
        <v>5087</v>
      </c>
      <c r="K4160" s="51">
        <v>41717</v>
      </c>
      <c r="L4160" s="173">
        <v>41713</v>
      </c>
      <c r="M4160" s="50">
        <f t="shared" si="249"/>
        <v>4</v>
      </c>
      <c r="N4160" s="50" t="s">
        <v>2</v>
      </c>
      <c r="O4160" s="74">
        <f>5/2</f>
        <v>2.5</v>
      </c>
      <c r="P4160" s="50">
        <v>6.5</v>
      </c>
      <c r="Q4160" s="74">
        <v>6.9</v>
      </c>
      <c r="R4160" s="50">
        <v>476</v>
      </c>
      <c r="S4160" s="74">
        <v>707</v>
      </c>
      <c r="T4160" s="50">
        <v>1.69</v>
      </c>
      <c r="U4160" s="131">
        <v>3.51</v>
      </c>
      <c r="V4160" s="50">
        <v>0.69</v>
      </c>
      <c r="W4160" s="74">
        <v>7.0999999999999994E-2</v>
      </c>
      <c r="X4160" s="50">
        <v>0.52</v>
      </c>
      <c r="Y4160" s="74">
        <v>6.3E-2</v>
      </c>
      <c r="Z4160" s="165">
        <v>1</v>
      </c>
      <c r="AA4160" s="271">
        <v>1</v>
      </c>
      <c r="AB4160" s="114">
        <v>58.2</v>
      </c>
      <c r="AC4160" s="50">
        <v>148</v>
      </c>
      <c r="AD4160" s="271">
        <v>0.9</v>
      </c>
    </row>
    <row r="4161" spans="1:79" ht="15" customHeight="1">
      <c r="A4161" s="404" t="s">
        <v>4668</v>
      </c>
      <c r="B4161" s="402" t="s">
        <v>3927</v>
      </c>
      <c r="C4161" s="113" t="s">
        <v>4753</v>
      </c>
      <c r="D4161" s="393" t="s">
        <v>56</v>
      </c>
      <c r="E4161" s="394" t="s">
        <v>95</v>
      </c>
      <c r="F4161" s="402" t="s">
        <v>5872</v>
      </c>
      <c r="G4161" s="405" t="s">
        <v>3928</v>
      </c>
      <c r="H4161" s="74">
        <v>4952</v>
      </c>
      <c r="I4161" s="50" t="s">
        <v>1</v>
      </c>
      <c r="J4161" s="74" t="s">
        <v>6423</v>
      </c>
      <c r="K4161" s="51">
        <v>41717</v>
      </c>
      <c r="L4161" s="173">
        <v>41713</v>
      </c>
      <c r="M4161" s="50">
        <f t="shared" si="249"/>
        <v>4</v>
      </c>
      <c r="N4161" s="50" t="s">
        <v>2</v>
      </c>
      <c r="O4161" s="74">
        <f>5/2</f>
        <v>2.5</v>
      </c>
      <c r="P4161" s="50">
        <v>6.5</v>
      </c>
      <c r="Q4161" s="74">
        <v>4.5</v>
      </c>
      <c r="R4161" s="50">
        <v>347</v>
      </c>
      <c r="S4161" s="74">
        <v>337</v>
      </c>
      <c r="T4161" s="50">
        <v>0.68</v>
      </c>
      <c r="U4161" s="131">
        <v>2.39</v>
      </c>
      <c r="V4161" s="50">
        <v>0.79</v>
      </c>
      <c r="W4161" s="74">
        <v>3.4000000000000002E-2</v>
      </c>
      <c r="X4161" s="50">
        <v>0.2</v>
      </c>
      <c r="Y4161" s="74">
        <v>5.8999999999999997E-2</v>
      </c>
      <c r="Z4161" s="165">
        <v>1</v>
      </c>
      <c r="AA4161" s="271">
        <v>1</v>
      </c>
      <c r="AB4161" s="114">
        <v>24.3</v>
      </c>
      <c r="AC4161" s="50">
        <v>98</v>
      </c>
      <c r="AD4161" s="271">
        <v>1</v>
      </c>
    </row>
    <row r="4162" spans="1:79" ht="15" customHeight="1">
      <c r="A4162" s="404" t="s">
        <v>4668</v>
      </c>
      <c r="B4162" s="402" t="s">
        <v>1910</v>
      </c>
      <c r="C4162" s="113" t="s">
        <v>6424</v>
      </c>
      <c r="D4162" s="393" t="s">
        <v>350</v>
      </c>
      <c r="E4162" s="394" t="s">
        <v>4974</v>
      </c>
      <c r="G4162" s="405" t="s">
        <v>6425</v>
      </c>
      <c r="H4162" s="74">
        <v>4151</v>
      </c>
      <c r="I4162" s="50" t="s">
        <v>2</v>
      </c>
      <c r="J4162" s="339" t="s">
        <v>3144</v>
      </c>
      <c r="K4162" s="51">
        <v>41718</v>
      </c>
      <c r="L4162" s="173">
        <v>41710</v>
      </c>
      <c r="M4162" s="50">
        <f t="shared" si="249"/>
        <v>8</v>
      </c>
      <c r="N4162" s="50" t="s">
        <v>1</v>
      </c>
      <c r="O4162" s="74">
        <f>1.4/2</f>
        <v>0.7</v>
      </c>
      <c r="P4162" s="50">
        <v>5.48</v>
      </c>
      <c r="Q4162" s="74">
        <v>6.89</v>
      </c>
      <c r="R4162" s="50">
        <v>23</v>
      </c>
      <c r="S4162" s="74">
        <f>5/2</f>
        <v>2.5</v>
      </c>
      <c r="T4162" s="50">
        <v>0.03</v>
      </c>
      <c r="U4162" s="131">
        <v>0.43</v>
      </c>
      <c r="V4162" s="50">
        <v>1.07</v>
      </c>
      <c r="W4162" s="74">
        <v>6.0000000000000001E-3</v>
      </c>
      <c r="X4162" s="50">
        <v>1.35</v>
      </c>
      <c r="Y4162" s="74">
        <f>0.002/2</f>
        <v>1E-3</v>
      </c>
      <c r="Z4162" s="165"/>
    </row>
    <row r="4163" spans="1:79" ht="15" customHeight="1">
      <c r="A4163" s="404" t="s">
        <v>4668</v>
      </c>
      <c r="B4163" s="402" t="s">
        <v>1910</v>
      </c>
      <c r="C4163" s="113" t="s">
        <v>6426</v>
      </c>
      <c r="D4163" s="393" t="s">
        <v>192</v>
      </c>
      <c r="E4163" s="394" t="s">
        <v>4972</v>
      </c>
      <c r="G4163" s="405" t="s">
        <v>4975</v>
      </c>
      <c r="H4163" s="74">
        <v>4151</v>
      </c>
      <c r="I4163" s="50" t="s">
        <v>2</v>
      </c>
      <c r="J4163" s="339" t="s">
        <v>641</v>
      </c>
      <c r="K4163" s="51">
        <v>41726</v>
      </c>
      <c r="L4163" s="173">
        <v>41718</v>
      </c>
      <c r="M4163" s="50">
        <f t="shared" si="249"/>
        <v>8</v>
      </c>
      <c r="N4163" s="50" t="s">
        <v>1</v>
      </c>
      <c r="O4163" s="74">
        <v>5.3</v>
      </c>
      <c r="P4163" s="50">
        <v>6.21</v>
      </c>
      <c r="Q4163" s="74">
        <v>7.38</v>
      </c>
      <c r="R4163" s="50">
        <v>34</v>
      </c>
      <c r="S4163" s="74">
        <v>130</v>
      </c>
      <c r="T4163" s="50">
        <v>0.28000000000000003</v>
      </c>
      <c r="U4163" s="131">
        <v>2.34</v>
      </c>
      <c r="V4163" s="50">
        <v>0.83</v>
      </c>
      <c r="W4163" s="74">
        <v>3.3000000000000002E-2</v>
      </c>
      <c r="X4163" s="50">
        <v>0.309</v>
      </c>
      <c r="Y4163" s="74">
        <v>0.01</v>
      </c>
      <c r="Z4163" s="165"/>
    </row>
    <row r="4164" spans="1:79" s="400" customFormat="1" ht="15" customHeight="1">
      <c r="A4164" s="41" t="s">
        <v>183</v>
      </c>
      <c r="B4164" s="402" t="s">
        <v>102</v>
      </c>
      <c r="C4164" s="113" t="s">
        <v>102</v>
      </c>
      <c r="D4164" s="393" t="s">
        <v>103</v>
      </c>
      <c r="E4164" s="394" t="s">
        <v>104</v>
      </c>
      <c r="F4164" s="402"/>
      <c r="G4164" s="405" t="s">
        <v>105</v>
      </c>
      <c r="H4164" s="404">
        <v>4952</v>
      </c>
      <c r="I4164" s="402" t="s">
        <v>2</v>
      </c>
      <c r="J4164" s="401" t="s">
        <v>2012</v>
      </c>
      <c r="K4164" s="403">
        <v>41710</v>
      </c>
      <c r="L4164" s="398">
        <v>41691</v>
      </c>
      <c r="M4164" s="402">
        <f t="shared" si="249"/>
        <v>19</v>
      </c>
      <c r="N4164" s="402" t="s">
        <v>2</v>
      </c>
      <c r="O4164" s="404"/>
      <c r="P4164" s="402"/>
      <c r="Q4164" s="404"/>
      <c r="R4164" s="402"/>
      <c r="S4164" s="404">
        <v>4</v>
      </c>
      <c r="T4164" s="402"/>
      <c r="U4164" s="395"/>
      <c r="V4164" s="402"/>
      <c r="W4164" s="404">
        <f>0.01/2</f>
        <v>5.0000000000000001E-3</v>
      </c>
      <c r="X4164" s="402"/>
      <c r="Y4164" s="404"/>
      <c r="Z4164" s="397"/>
      <c r="AA4164" s="399"/>
      <c r="AB4164" s="394"/>
      <c r="AC4164" s="402"/>
      <c r="AD4164" s="399"/>
      <c r="AE4164" s="402"/>
      <c r="AF4164" s="391"/>
      <c r="AG4164" s="394"/>
      <c r="AH4164" s="394"/>
      <c r="AI4164" s="394"/>
      <c r="AJ4164" s="394"/>
      <c r="AK4164" s="394"/>
      <c r="AL4164" s="394"/>
      <c r="AM4164" s="394"/>
      <c r="AN4164" s="394"/>
      <c r="AO4164" s="394"/>
      <c r="AP4164" s="394"/>
      <c r="AQ4164" s="394"/>
      <c r="AR4164" s="394"/>
      <c r="AS4164" s="402"/>
      <c r="AT4164" s="404"/>
      <c r="AU4164" s="394"/>
      <c r="AV4164" s="394"/>
      <c r="AW4164" s="394"/>
      <c r="AX4164" s="5"/>
      <c r="AY4164" s="5"/>
      <c r="AZ4164" s="5"/>
      <c r="BA4164" s="5"/>
      <c r="BB4164" s="5"/>
      <c r="BC4164" s="5"/>
      <c r="BD4164" s="5"/>
      <c r="BE4164" s="5"/>
      <c r="BF4164" s="5"/>
      <c r="BG4164" s="5"/>
      <c r="BH4164" s="5"/>
      <c r="BI4164" s="5"/>
      <c r="BJ4164" s="5"/>
      <c r="BK4164" s="5"/>
      <c r="BL4164" s="5"/>
      <c r="BM4164" s="5"/>
      <c r="BN4164" s="5"/>
      <c r="BO4164" s="5"/>
      <c r="BP4164" s="5"/>
      <c r="BQ4164" s="5"/>
      <c r="BR4164" s="5"/>
      <c r="BS4164" s="5"/>
      <c r="BT4164" s="5"/>
      <c r="BU4164" s="5"/>
      <c r="BV4164" s="5"/>
      <c r="BW4164" s="5"/>
      <c r="BX4164" s="5"/>
      <c r="BY4164" s="5"/>
      <c r="BZ4164" s="5"/>
      <c r="CA4164" s="5"/>
    </row>
    <row r="4165" spans="1:79" s="400" customFormat="1" ht="15" customHeight="1">
      <c r="A4165" s="41" t="s">
        <v>183</v>
      </c>
      <c r="B4165" s="402" t="s">
        <v>102</v>
      </c>
      <c r="C4165" s="113" t="s">
        <v>102</v>
      </c>
      <c r="D4165" s="393" t="s">
        <v>103</v>
      </c>
      <c r="E4165" s="394" t="s">
        <v>104</v>
      </c>
      <c r="F4165" s="402"/>
      <c r="G4165" s="405" t="s">
        <v>105</v>
      </c>
      <c r="H4165" s="404">
        <v>4952</v>
      </c>
      <c r="I4165" s="402" t="s">
        <v>2</v>
      </c>
      <c r="J4165" s="401" t="s">
        <v>5842</v>
      </c>
      <c r="K4165" s="403">
        <v>41710</v>
      </c>
      <c r="L4165" s="398">
        <v>41691</v>
      </c>
      <c r="M4165" s="402">
        <f t="shared" si="249"/>
        <v>19</v>
      </c>
      <c r="N4165" s="402" t="s">
        <v>2</v>
      </c>
      <c r="O4165" s="404"/>
      <c r="P4165" s="402"/>
      <c r="Q4165" s="404"/>
      <c r="R4165" s="402"/>
      <c r="S4165" s="404">
        <v>179</v>
      </c>
      <c r="T4165" s="402"/>
      <c r="U4165" s="395"/>
      <c r="V4165" s="402"/>
      <c r="W4165" s="404"/>
      <c r="X4165" s="402"/>
      <c r="Y4165" s="404"/>
      <c r="Z4165" s="397"/>
      <c r="AA4165" s="399"/>
      <c r="AB4165" s="394"/>
      <c r="AC4165" s="402"/>
      <c r="AD4165" s="399"/>
      <c r="AE4165" s="402"/>
      <c r="AF4165" s="391"/>
      <c r="AG4165" s="394"/>
      <c r="AH4165" s="394"/>
      <c r="AI4165" s="394"/>
      <c r="AJ4165" s="394"/>
      <c r="AK4165" s="394"/>
      <c r="AL4165" s="394"/>
      <c r="AM4165" s="394"/>
      <c r="AN4165" s="394"/>
      <c r="AO4165" s="394"/>
      <c r="AP4165" s="394"/>
      <c r="AQ4165" s="394"/>
      <c r="AR4165" s="394"/>
      <c r="AS4165" s="402"/>
      <c r="AT4165" s="404"/>
      <c r="AU4165" s="394"/>
      <c r="AV4165" s="394"/>
      <c r="AW4165" s="394"/>
      <c r="AX4165" s="5"/>
      <c r="AY4165" s="5"/>
      <c r="AZ4165" s="5"/>
      <c r="BA4165" s="5"/>
      <c r="BB4165" s="5"/>
      <c r="BC4165" s="5"/>
      <c r="BD4165" s="5"/>
      <c r="BE4165" s="5"/>
      <c r="BF4165" s="5"/>
      <c r="BG4165" s="5"/>
      <c r="BH4165" s="5"/>
      <c r="BI4165" s="5"/>
      <c r="BJ4165" s="5"/>
      <c r="BK4165" s="5"/>
      <c r="BL4165" s="5"/>
      <c r="BM4165" s="5"/>
      <c r="BN4165" s="5"/>
      <c r="BO4165" s="5"/>
      <c r="BP4165" s="5"/>
      <c r="BQ4165" s="5"/>
      <c r="BR4165" s="5"/>
      <c r="BS4165" s="5"/>
      <c r="BT4165" s="5"/>
      <c r="BU4165" s="5"/>
      <c r="BV4165" s="5"/>
      <c r="BW4165" s="5"/>
      <c r="BX4165" s="5"/>
      <c r="BY4165" s="5"/>
      <c r="BZ4165" s="5"/>
      <c r="CA4165" s="5"/>
    </row>
    <row r="4166" spans="1:79" s="400" customFormat="1" ht="15" customHeight="1">
      <c r="A4166" s="41" t="s">
        <v>183</v>
      </c>
      <c r="B4166" s="402" t="s">
        <v>2153</v>
      </c>
      <c r="C4166" s="113" t="s">
        <v>2154</v>
      </c>
      <c r="D4166" s="393" t="s">
        <v>350</v>
      </c>
      <c r="E4166" s="394" t="s">
        <v>5678</v>
      </c>
      <c r="F4166" s="402"/>
      <c r="G4166" s="405" t="s">
        <v>3619</v>
      </c>
      <c r="H4166" s="404">
        <v>3251</v>
      </c>
      <c r="I4166" s="402"/>
      <c r="J4166" s="406" t="s">
        <v>96</v>
      </c>
      <c r="K4166" s="403">
        <v>41710</v>
      </c>
      <c r="L4166" s="398">
        <v>41707</v>
      </c>
      <c r="M4166" s="402">
        <f t="shared" si="249"/>
        <v>3</v>
      </c>
      <c r="N4166" s="402" t="s">
        <v>1</v>
      </c>
      <c r="O4166" s="404"/>
      <c r="P4166" s="402"/>
      <c r="Q4166" s="404"/>
      <c r="R4166" s="402"/>
      <c r="S4166" s="404">
        <v>40</v>
      </c>
      <c r="T4166" s="402"/>
      <c r="U4166" s="395"/>
      <c r="V4166" s="402"/>
      <c r="W4166" s="404"/>
      <c r="X4166" s="402"/>
      <c r="Y4166" s="404"/>
      <c r="Z4166" s="397"/>
      <c r="AA4166" s="399"/>
      <c r="AB4166" s="394"/>
      <c r="AC4166" s="402"/>
      <c r="AD4166" s="399"/>
      <c r="AE4166" s="402"/>
      <c r="AF4166" s="391"/>
      <c r="AG4166" s="394"/>
      <c r="AH4166" s="394"/>
      <c r="AI4166" s="394"/>
      <c r="AJ4166" s="394"/>
      <c r="AK4166" s="394"/>
      <c r="AL4166" s="394"/>
      <c r="AM4166" s="394"/>
      <c r="AN4166" s="394"/>
      <c r="AO4166" s="394"/>
      <c r="AP4166" s="394"/>
      <c r="AQ4166" s="394"/>
      <c r="AR4166" s="394"/>
      <c r="AS4166" s="402"/>
      <c r="AT4166" s="404"/>
      <c r="AU4166" s="394"/>
      <c r="AV4166" s="394"/>
      <c r="AW4166" s="394"/>
      <c r="AX4166" s="5"/>
      <c r="AY4166" s="5"/>
      <c r="AZ4166" s="5"/>
      <c r="BA4166" s="5"/>
      <c r="BB4166" s="5"/>
      <c r="BC4166" s="5"/>
      <c r="BD4166" s="5"/>
      <c r="BE4166" s="5"/>
      <c r="BF4166" s="5"/>
      <c r="BG4166" s="5"/>
      <c r="BH4166" s="5"/>
      <c r="BI4166" s="5"/>
      <c r="BJ4166" s="5"/>
      <c r="BK4166" s="5"/>
      <c r="BL4166" s="5"/>
      <c r="BM4166" s="5"/>
      <c r="BN4166" s="5"/>
      <c r="BO4166" s="5"/>
      <c r="BP4166" s="5"/>
      <c r="BQ4166" s="5"/>
      <c r="BR4166" s="5"/>
      <c r="BS4166" s="5"/>
      <c r="BT4166" s="5"/>
      <c r="BU4166" s="5"/>
      <c r="BV4166" s="5"/>
      <c r="BW4166" s="5"/>
      <c r="BX4166" s="5"/>
      <c r="BY4166" s="5"/>
      <c r="BZ4166" s="5"/>
      <c r="CA4166" s="5"/>
    </row>
    <row r="4167" spans="1:79" ht="15" customHeight="1">
      <c r="A4167" s="404" t="s">
        <v>4668</v>
      </c>
      <c r="B4167" s="402" t="s">
        <v>4843</v>
      </c>
      <c r="C4167" s="113" t="s">
        <v>4843</v>
      </c>
      <c r="D4167" s="393" t="s">
        <v>111</v>
      </c>
      <c r="E4167" s="394" t="s">
        <v>429</v>
      </c>
      <c r="F4167" s="402" t="s">
        <v>6193</v>
      </c>
      <c r="G4167" s="405" t="s">
        <v>3614</v>
      </c>
      <c r="H4167" s="74">
        <v>3312</v>
      </c>
      <c r="I4167" s="50" t="s">
        <v>1</v>
      </c>
      <c r="J4167" s="48" t="s">
        <v>2141</v>
      </c>
      <c r="K4167" s="51">
        <v>41710</v>
      </c>
      <c r="L4167" s="173">
        <v>41689</v>
      </c>
      <c r="M4167" s="50">
        <f t="shared" si="249"/>
        <v>21</v>
      </c>
      <c r="N4167" s="50" t="s">
        <v>2</v>
      </c>
      <c r="O4167" s="74">
        <f>1/2</f>
        <v>0.5</v>
      </c>
      <c r="P4167" s="50">
        <v>6.23</v>
      </c>
      <c r="Q4167" s="74">
        <v>6.97</v>
      </c>
      <c r="R4167" s="50">
        <v>7.5</v>
      </c>
      <c r="S4167" s="74">
        <v>1890</v>
      </c>
      <c r="T4167" s="50">
        <v>0.48</v>
      </c>
      <c r="U4167" s="131">
        <v>1.22</v>
      </c>
      <c r="V4167" s="50">
        <v>6.1</v>
      </c>
      <c r="W4167" s="74">
        <v>0.13</v>
      </c>
      <c r="X4167" s="50">
        <v>0.30299999999999999</v>
      </c>
      <c r="Y4167" s="74">
        <v>4.2999999999999997E-2</v>
      </c>
      <c r="Z4167" s="165">
        <v>1</v>
      </c>
      <c r="AA4167" s="271">
        <v>1</v>
      </c>
      <c r="AB4167" s="114">
        <v>200</v>
      </c>
      <c r="AC4167" s="50">
        <v>523</v>
      </c>
      <c r="AD4167" s="271">
        <v>0.9</v>
      </c>
    </row>
    <row r="4168" spans="1:79" ht="15" customHeight="1">
      <c r="A4168" s="404" t="s">
        <v>4668</v>
      </c>
      <c r="B4168" s="402" t="s">
        <v>4843</v>
      </c>
      <c r="C4168" s="113" t="s">
        <v>4843</v>
      </c>
      <c r="D4168" s="393" t="s">
        <v>111</v>
      </c>
      <c r="E4168" s="394" t="s">
        <v>429</v>
      </c>
      <c r="F4168" s="402" t="s">
        <v>6193</v>
      </c>
      <c r="G4168" s="405" t="s">
        <v>3614</v>
      </c>
      <c r="H4168" s="74">
        <v>3312</v>
      </c>
      <c r="I4168" s="50" t="s">
        <v>1</v>
      </c>
      <c r="J4168" s="48" t="s">
        <v>2140</v>
      </c>
      <c r="K4168" s="51">
        <v>41710</v>
      </c>
      <c r="L4168" s="173">
        <v>41689</v>
      </c>
      <c r="M4168" s="50">
        <f t="shared" si="249"/>
        <v>21</v>
      </c>
      <c r="N4168" s="50" t="s">
        <v>2</v>
      </c>
      <c r="O4168" s="74">
        <v>0.5</v>
      </c>
      <c r="P4168" s="50">
        <v>6.23</v>
      </c>
      <c r="Q4168" s="74">
        <v>7.27</v>
      </c>
      <c r="R4168" s="50">
        <v>25</v>
      </c>
      <c r="S4168" s="74">
        <v>265</v>
      </c>
      <c r="T4168" s="50">
        <v>0.36</v>
      </c>
      <c r="U4168" s="131">
        <v>1.24</v>
      </c>
      <c r="V4168" s="50">
        <v>3.1</v>
      </c>
      <c r="W4168" s="74">
        <v>0.06</v>
      </c>
      <c r="X4168" s="50">
        <v>0.435</v>
      </c>
      <c r="Y4168" s="74">
        <v>1.0999999999999999E-2</v>
      </c>
      <c r="Z4168" s="165">
        <v>1</v>
      </c>
      <c r="AA4168" s="271">
        <v>1</v>
      </c>
      <c r="AB4168" s="114">
        <v>240</v>
      </c>
      <c r="AC4168" s="50">
        <v>965</v>
      </c>
      <c r="AD4168" s="271">
        <v>1</v>
      </c>
    </row>
    <row r="4169" spans="1:79" ht="15" customHeight="1">
      <c r="A4169" s="404" t="s">
        <v>4668</v>
      </c>
      <c r="B4169" s="402" t="s">
        <v>3102</v>
      </c>
      <c r="C4169" s="113" t="s">
        <v>3103</v>
      </c>
      <c r="D4169" s="393" t="s">
        <v>262</v>
      </c>
      <c r="E4169" s="394" t="s">
        <v>3104</v>
      </c>
      <c r="G4169" s="405" t="s">
        <v>2373</v>
      </c>
      <c r="H4169" s="74">
        <v>3316</v>
      </c>
      <c r="J4169" s="48" t="s">
        <v>81</v>
      </c>
      <c r="K4169" s="51">
        <v>41711</v>
      </c>
      <c r="L4169" s="173">
        <v>41703</v>
      </c>
      <c r="M4169" s="50">
        <f t="shared" si="249"/>
        <v>8</v>
      </c>
      <c r="N4169" s="50" t="s">
        <v>2</v>
      </c>
      <c r="O4169" s="74">
        <f>1/2</f>
        <v>0.5</v>
      </c>
      <c r="P4169" s="50">
        <v>6</v>
      </c>
      <c r="Q4169" s="74">
        <v>7.11</v>
      </c>
      <c r="R4169" s="50">
        <v>34</v>
      </c>
      <c r="S4169" s="74">
        <v>18</v>
      </c>
      <c r="T4169" s="50">
        <v>0.17</v>
      </c>
      <c r="U4169" s="131">
        <f>1/2</f>
        <v>0.5</v>
      </c>
      <c r="V4169" s="50">
        <v>1.8</v>
      </c>
      <c r="W4169" s="74">
        <f>0.04/2</f>
        <v>0.02</v>
      </c>
      <c r="X4169" s="50">
        <v>0.06</v>
      </c>
      <c r="Y4169" s="74">
        <f>0.013/2</f>
        <v>6.4999999999999997E-3</v>
      </c>
      <c r="Z4169" s="165">
        <v>1</v>
      </c>
      <c r="AA4169" s="271">
        <v>1</v>
      </c>
      <c r="AB4169" s="114">
        <v>92</v>
      </c>
      <c r="AC4169" s="50">
        <v>989</v>
      </c>
      <c r="AD4169" s="271">
        <v>1</v>
      </c>
    </row>
    <row r="4170" spans="1:79" s="400" customFormat="1" ht="15" customHeight="1">
      <c r="A4170" s="41" t="s">
        <v>183</v>
      </c>
      <c r="B4170" s="386" t="s">
        <v>5619</v>
      </c>
      <c r="C4170" s="149" t="s">
        <v>77</v>
      </c>
      <c r="D4170" s="393" t="s">
        <v>78</v>
      </c>
      <c r="E4170" s="258" t="s">
        <v>79</v>
      </c>
      <c r="F4170" s="402"/>
      <c r="G4170" s="405" t="s">
        <v>80</v>
      </c>
      <c r="H4170" s="404">
        <v>3479</v>
      </c>
      <c r="I4170" s="402" t="s">
        <v>2</v>
      </c>
      <c r="J4170" s="392" t="s">
        <v>81</v>
      </c>
      <c r="K4170" s="403">
        <v>41710</v>
      </c>
      <c r="L4170" s="398">
        <v>41691</v>
      </c>
      <c r="M4170" s="402">
        <f t="shared" si="249"/>
        <v>19</v>
      </c>
      <c r="N4170" s="402" t="s">
        <v>1</v>
      </c>
      <c r="O4170" s="404"/>
      <c r="P4170" s="402"/>
      <c r="Q4170" s="404"/>
      <c r="R4170" s="402"/>
      <c r="S4170" s="404"/>
      <c r="T4170" s="402"/>
      <c r="U4170" s="395"/>
      <c r="V4170" s="402"/>
      <c r="W4170" s="404"/>
      <c r="X4170" s="402">
        <v>0.41599999999999998</v>
      </c>
      <c r="Y4170" s="404"/>
      <c r="Z4170" s="397"/>
      <c r="AA4170" s="399"/>
      <c r="AB4170" s="394"/>
      <c r="AC4170" s="402"/>
      <c r="AD4170" s="399"/>
      <c r="AE4170" s="402"/>
      <c r="AF4170" s="391"/>
      <c r="AG4170" s="394"/>
      <c r="AH4170" s="394"/>
      <c r="AI4170" s="394"/>
      <c r="AJ4170" s="394"/>
      <c r="AK4170" s="394"/>
      <c r="AL4170" s="394"/>
      <c r="AM4170" s="394"/>
      <c r="AN4170" s="394"/>
      <c r="AO4170" s="394"/>
      <c r="AP4170" s="394"/>
      <c r="AQ4170" s="394"/>
      <c r="AR4170" s="394"/>
      <c r="AS4170" s="402"/>
      <c r="AT4170" s="404"/>
      <c r="AU4170" s="394"/>
      <c r="AV4170" s="394"/>
      <c r="AW4170" s="394"/>
      <c r="AX4170" s="5"/>
      <c r="AY4170" s="5"/>
      <c r="AZ4170" s="5"/>
      <c r="BA4170" s="5"/>
      <c r="BB4170" s="5"/>
      <c r="BC4170" s="5"/>
      <c r="BD4170" s="5"/>
      <c r="BE4170" s="5"/>
      <c r="BF4170" s="5"/>
      <c r="BG4170" s="5"/>
      <c r="BH4170" s="5"/>
      <c r="BI4170" s="5"/>
      <c r="BJ4170" s="5"/>
      <c r="BK4170" s="5"/>
      <c r="BL4170" s="5"/>
      <c r="BM4170" s="5"/>
      <c r="BN4170" s="5"/>
      <c r="BO4170" s="5"/>
      <c r="BP4170" s="5"/>
      <c r="BQ4170" s="5"/>
      <c r="BR4170" s="5"/>
      <c r="BS4170" s="5"/>
      <c r="BT4170" s="5"/>
      <c r="BU4170" s="5"/>
      <c r="BV4170" s="5"/>
      <c r="BW4170" s="5"/>
      <c r="BX4170" s="5"/>
      <c r="BY4170" s="5"/>
      <c r="BZ4170" s="5"/>
      <c r="CA4170" s="5"/>
    </row>
    <row r="4171" spans="1:79" ht="15" customHeight="1">
      <c r="A4171" s="404" t="s">
        <v>4668</v>
      </c>
      <c r="B4171" s="402" t="s">
        <v>466</v>
      </c>
      <c r="C4171" s="113" t="s">
        <v>466</v>
      </c>
      <c r="D4171" s="393" t="s">
        <v>268</v>
      </c>
      <c r="E4171" s="258" t="s">
        <v>467</v>
      </c>
      <c r="F4171" s="402">
        <v>4402</v>
      </c>
      <c r="G4171" s="405" t="s">
        <v>468</v>
      </c>
      <c r="H4171" s="74">
        <v>3724</v>
      </c>
      <c r="I4171" s="50" t="s">
        <v>2</v>
      </c>
      <c r="J4171" s="61" t="s">
        <v>469</v>
      </c>
      <c r="K4171" s="51">
        <v>41710</v>
      </c>
      <c r="L4171" s="173">
        <v>41691</v>
      </c>
      <c r="M4171" s="50">
        <f t="shared" si="249"/>
        <v>19</v>
      </c>
      <c r="N4171" s="50" t="s">
        <v>2</v>
      </c>
      <c r="O4171" s="74">
        <f>5/2</f>
        <v>2.5</v>
      </c>
      <c r="P4171" s="50">
        <v>4.97</v>
      </c>
      <c r="Q4171" s="74">
        <v>7.13</v>
      </c>
      <c r="R4171" s="50">
        <v>18</v>
      </c>
      <c r="S4171" s="74">
        <v>12</v>
      </c>
      <c r="T4171" s="50">
        <f>0.1/2</f>
        <v>0.05</v>
      </c>
      <c r="U4171" s="131">
        <f>1/2</f>
        <v>0.5</v>
      </c>
      <c r="V4171" s="50">
        <v>0.62</v>
      </c>
      <c r="W4171" s="74">
        <f>0.04/2</f>
        <v>0.02</v>
      </c>
      <c r="X4171" s="50">
        <v>5.7000000000000002E-2</v>
      </c>
      <c r="Y4171" s="74">
        <f>0.013/2</f>
        <v>6.4999999999999997E-3</v>
      </c>
      <c r="Z4171" s="165">
        <v>1</v>
      </c>
      <c r="AA4171" s="271">
        <v>1</v>
      </c>
      <c r="AB4171" s="114">
        <v>23</v>
      </c>
      <c r="AC4171" s="50">
        <v>225</v>
      </c>
      <c r="AD4171" s="271">
        <v>1</v>
      </c>
    </row>
    <row r="4172" spans="1:79" ht="15" customHeight="1">
      <c r="A4172" s="404" t="s">
        <v>4668</v>
      </c>
      <c r="B4172" s="402" t="s">
        <v>5796</v>
      </c>
      <c r="C4172" s="113" t="s">
        <v>5796</v>
      </c>
      <c r="D4172" s="393" t="s">
        <v>1537</v>
      </c>
      <c r="F4172" s="402">
        <v>7000</v>
      </c>
      <c r="G4172" s="405" t="s">
        <v>5797</v>
      </c>
      <c r="H4172" s="74"/>
      <c r="J4172" s="339" t="s">
        <v>6427</v>
      </c>
      <c r="K4172" s="51">
        <v>41717</v>
      </c>
      <c r="L4172" s="173"/>
      <c r="N4172" s="50" t="s">
        <v>2</v>
      </c>
      <c r="Z4172" s="165">
        <v>0.70699999999999996</v>
      </c>
      <c r="AA4172" s="271">
        <v>0.61599999999999999</v>
      </c>
      <c r="AB4172" s="114">
        <v>72</v>
      </c>
      <c r="AC4172" s="50">
        <v>564</v>
      </c>
      <c r="AD4172" s="271">
        <v>0</v>
      </c>
    </row>
    <row r="4173" spans="1:79" s="400" customFormat="1" ht="15" customHeight="1">
      <c r="A4173" s="41" t="s">
        <v>183</v>
      </c>
      <c r="B4173" s="402" t="s">
        <v>4669</v>
      </c>
      <c r="C4173" s="113" t="s">
        <v>4670</v>
      </c>
      <c r="D4173" s="393" t="s">
        <v>1830</v>
      </c>
      <c r="E4173" s="394" t="s">
        <v>4671</v>
      </c>
      <c r="F4173" s="402"/>
      <c r="G4173" s="405" t="s">
        <v>4672</v>
      </c>
      <c r="H4173" s="404">
        <v>3390</v>
      </c>
      <c r="I4173" s="402" t="s">
        <v>2</v>
      </c>
      <c r="J4173" s="406" t="s">
        <v>510</v>
      </c>
      <c r="K4173" s="403">
        <v>41710</v>
      </c>
      <c r="L4173" s="398">
        <v>41691</v>
      </c>
      <c r="M4173" s="402">
        <f t="shared" ref="M4173" si="251">K4173-L4173</f>
        <v>19</v>
      </c>
      <c r="N4173" s="402" t="s">
        <v>2</v>
      </c>
      <c r="O4173" s="404"/>
      <c r="P4173" s="402"/>
      <c r="Q4173" s="404"/>
      <c r="R4173" s="402"/>
      <c r="S4173" s="404"/>
      <c r="T4173" s="402"/>
      <c r="U4173" s="395">
        <f>1/2</f>
        <v>0.5</v>
      </c>
      <c r="V4173" s="402">
        <v>0.79</v>
      </c>
      <c r="W4173" s="404"/>
      <c r="X4173" s="402"/>
      <c r="Y4173" s="404"/>
      <c r="Z4173" s="397"/>
      <c r="AA4173" s="399"/>
      <c r="AB4173" s="394"/>
      <c r="AC4173" s="402"/>
      <c r="AD4173" s="399"/>
      <c r="AE4173" s="402"/>
      <c r="AF4173" s="391"/>
      <c r="AG4173" s="394"/>
      <c r="AH4173" s="394"/>
      <c r="AI4173" s="394"/>
      <c r="AJ4173" s="394"/>
      <c r="AK4173" s="394"/>
      <c r="AL4173" s="394"/>
      <c r="AM4173" s="394"/>
      <c r="AN4173" s="394"/>
      <c r="AO4173" s="394"/>
      <c r="AP4173" s="394"/>
      <c r="AQ4173" s="394"/>
      <c r="AR4173" s="394"/>
      <c r="AS4173" s="402"/>
      <c r="AT4173" s="404"/>
      <c r="AU4173" s="394"/>
      <c r="AV4173" s="394"/>
      <c r="AW4173" s="394"/>
      <c r="AX4173" s="5"/>
      <c r="AY4173" s="5"/>
      <c r="AZ4173" s="5"/>
      <c r="BA4173" s="5"/>
      <c r="BB4173" s="5"/>
      <c r="BC4173" s="5"/>
      <c r="BD4173" s="5"/>
      <c r="BE4173" s="5"/>
      <c r="BF4173" s="5"/>
      <c r="BG4173" s="5"/>
      <c r="BH4173" s="5"/>
      <c r="BI4173" s="5"/>
      <c r="BJ4173" s="5"/>
      <c r="BK4173" s="5"/>
      <c r="BL4173" s="5"/>
      <c r="BM4173" s="5"/>
      <c r="BN4173" s="5"/>
      <c r="BO4173" s="5"/>
      <c r="BP4173" s="5"/>
      <c r="BQ4173" s="5"/>
      <c r="BR4173" s="5"/>
      <c r="BS4173" s="5"/>
      <c r="BT4173" s="5"/>
      <c r="BU4173" s="5"/>
      <c r="BV4173" s="5"/>
      <c r="BW4173" s="5"/>
      <c r="BX4173" s="5"/>
      <c r="BY4173" s="5"/>
      <c r="BZ4173" s="5"/>
      <c r="CA4173" s="5"/>
    </row>
    <row r="4174" spans="1:79" ht="15" customHeight="1">
      <c r="A4174" s="404" t="s">
        <v>4668</v>
      </c>
      <c r="B4174" s="402" t="s">
        <v>4028</v>
      </c>
      <c r="C4174" s="113" t="s">
        <v>4028</v>
      </c>
      <c r="D4174" s="377" t="s">
        <v>84</v>
      </c>
      <c r="E4174" s="394" t="s">
        <v>535</v>
      </c>
      <c r="G4174" s="405" t="s">
        <v>4029</v>
      </c>
      <c r="H4174" s="74">
        <v>2653</v>
      </c>
      <c r="J4174" s="339" t="s">
        <v>5785</v>
      </c>
      <c r="K4174" s="51">
        <v>41729</v>
      </c>
      <c r="L4174" s="173">
        <v>41717</v>
      </c>
      <c r="M4174" s="50">
        <f t="shared" si="249"/>
        <v>12</v>
      </c>
      <c r="N4174" s="50" t="s">
        <v>2</v>
      </c>
      <c r="O4174" s="74">
        <v>3.2</v>
      </c>
      <c r="P4174" s="50">
        <v>5.84</v>
      </c>
      <c r="Q4174" s="74">
        <v>7.13</v>
      </c>
      <c r="R4174" s="50">
        <v>62.3</v>
      </c>
      <c r="S4174" s="74">
        <v>184</v>
      </c>
      <c r="T4174" s="50">
        <v>0.25</v>
      </c>
      <c r="U4174" s="131">
        <v>1.25</v>
      </c>
      <c r="V4174" s="50">
        <f>0.2/2</f>
        <v>0.1</v>
      </c>
      <c r="W4174" s="74">
        <v>0.02</v>
      </c>
      <c r="X4174" s="50">
        <v>0.1</v>
      </c>
      <c r="Y4174" s="74">
        <f>0.02/2</f>
        <v>0.01</v>
      </c>
      <c r="Z4174" s="165"/>
    </row>
    <row r="4175" spans="1:79" ht="15" customHeight="1">
      <c r="A4175" s="404" t="s">
        <v>4668</v>
      </c>
      <c r="B4175" s="402" t="s">
        <v>1074</v>
      </c>
      <c r="C4175" s="113" t="s">
        <v>1074</v>
      </c>
      <c r="D4175" s="393" t="s">
        <v>2375</v>
      </c>
      <c r="E4175" s="394" t="s">
        <v>128</v>
      </c>
      <c r="F4175" s="402">
        <v>7105</v>
      </c>
      <c r="G4175" s="405" t="s">
        <v>1075</v>
      </c>
      <c r="H4175" s="74">
        <v>3479</v>
      </c>
      <c r="I4175" s="50" t="s">
        <v>2</v>
      </c>
      <c r="J4175" s="74" t="s">
        <v>1076</v>
      </c>
      <c r="K4175" s="51">
        <v>41710</v>
      </c>
      <c r="L4175" s="173">
        <v>41707</v>
      </c>
      <c r="M4175" s="50">
        <f t="shared" si="249"/>
        <v>3</v>
      </c>
      <c r="N4175" s="50" t="s">
        <v>1</v>
      </c>
      <c r="O4175" s="74">
        <f>1.8/2</f>
        <v>0.9</v>
      </c>
      <c r="P4175" s="50">
        <v>6.9</v>
      </c>
      <c r="Q4175" s="74">
        <v>6.7</v>
      </c>
      <c r="R4175" s="50">
        <v>36</v>
      </c>
      <c r="S4175" s="74">
        <v>31</v>
      </c>
      <c r="T4175" s="50">
        <v>0.19400000000000001</v>
      </c>
      <c r="U4175" s="131">
        <f>1.6/2</f>
        <v>0.8</v>
      </c>
      <c r="V4175" s="50">
        <v>0.48</v>
      </c>
      <c r="W4175" s="74">
        <v>0.03</v>
      </c>
      <c r="X4175" s="50">
        <v>0.23499999999999999</v>
      </c>
      <c r="Y4175" s="74">
        <f>0.005/2</f>
        <v>2.5000000000000001E-3</v>
      </c>
      <c r="Z4175" s="165">
        <v>1</v>
      </c>
      <c r="AA4175" s="271">
        <v>1</v>
      </c>
      <c r="AB4175" s="114">
        <v>16</v>
      </c>
      <c r="AC4175" s="50">
        <v>506</v>
      </c>
      <c r="AD4175" s="271">
        <v>1</v>
      </c>
    </row>
    <row r="4176" spans="1:79" s="400" customFormat="1" ht="15" customHeight="1">
      <c r="A4176" s="41" t="s">
        <v>183</v>
      </c>
      <c r="B4176" s="386" t="s">
        <v>537</v>
      </c>
      <c r="C4176" s="149" t="s">
        <v>538</v>
      </c>
      <c r="D4176" s="392" t="s">
        <v>89</v>
      </c>
      <c r="E4176" s="258" t="s">
        <v>116</v>
      </c>
      <c r="F4176" s="402"/>
      <c r="G4176" s="405" t="s">
        <v>539</v>
      </c>
      <c r="H4176" s="404">
        <v>3451</v>
      </c>
      <c r="I4176" s="402" t="s">
        <v>1</v>
      </c>
      <c r="J4176" s="392" t="s">
        <v>249</v>
      </c>
      <c r="K4176" s="403">
        <v>41717</v>
      </c>
      <c r="L4176" s="398">
        <v>41710</v>
      </c>
      <c r="M4176" s="402">
        <f t="shared" si="249"/>
        <v>7</v>
      </c>
      <c r="N4176" s="402" t="s">
        <v>1</v>
      </c>
      <c r="O4176" s="404"/>
      <c r="P4176" s="402"/>
      <c r="Q4176" s="404"/>
      <c r="R4176" s="402"/>
      <c r="S4176" s="404"/>
      <c r="T4176" s="402"/>
      <c r="U4176" s="395"/>
      <c r="V4176" s="402"/>
      <c r="W4176" s="404">
        <v>0.17</v>
      </c>
      <c r="X4176" s="402"/>
      <c r="Y4176" s="404"/>
      <c r="Z4176" s="397"/>
      <c r="AA4176" s="399"/>
      <c r="AB4176" s="394"/>
      <c r="AC4176" s="402"/>
      <c r="AD4176" s="399"/>
      <c r="AE4176" s="402"/>
      <c r="AF4176" s="391"/>
      <c r="AG4176" s="394"/>
      <c r="AH4176" s="394"/>
      <c r="AI4176" s="394"/>
      <c r="AJ4176" s="394"/>
      <c r="AK4176" s="394"/>
      <c r="AL4176" s="394"/>
      <c r="AM4176" s="394"/>
      <c r="AN4176" s="394"/>
      <c r="AO4176" s="394"/>
      <c r="AP4176" s="394"/>
      <c r="AQ4176" s="394"/>
      <c r="AR4176" s="394"/>
      <c r="AS4176" s="402"/>
      <c r="AT4176" s="404"/>
      <c r="AU4176" s="394"/>
      <c r="AV4176" s="394"/>
      <c r="AW4176" s="394"/>
      <c r="AX4176" s="5"/>
      <c r="AY4176" s="5"/>
      <c r="AZ4176" s="5"/>
      <c r="BA4176" s="5"/>
      <c r="BB4176" s="5"/>
      <c r="BC4176" s="5"/>
      <c r="BD4176" s="5"/>
      <c r="BE4176" s="5"/>
      <c r="BF4176" s="5"/>
      <c r="BG4176" s="5"/>
      <c r="BH4176" s="5"/>
      <c r="BI4176" s="5"/>
      <c r="BJ4176" s="5"/>
      <c r="BK4176" s="5"/>
      <c r="BL4176" s="5"/>
      <c r="BM4176" s="5"/>
      <c r="BN4176" s="5"/>
      <c r="BO4176" s="5"/>
      <c r="BP4176" s="5"/>
      <c r="BQ4176" s="5"/>
      <c r="BR4176" s="5"/>
      <c r="BS4176" s="5"/>
      <c r="BT4176" s="5"/>
      <c r="BU4176" s="5"/>
      <c r="BV4176" s="5"/>
      <c r="BW4176" s="5"/>
      <c r="BX4176" s="5"/>
      <c r="BY4176" s="5"/>
      <c r="BZ4176" s="5"/>
      <c r="CA4176" s="5"/>
    </row>
    <row r="4177" spans="1:79" ht="15" customHeight="1">
      <c r="A4177" s="404" t="s">
        <v>4668</v>
      </c>
      <c r="B4177" s="402" t="s">
        <v>4938</v>
      </c>
      <c r="C4177" s="113" t="s">
        <v>4938</v>
      </c>
      <c r="D4177" s="393" t="s">
        <v>213</v>
      </c>
      <c r="E4177" s="394" t="s">
        <v>671</v>
      </c>
      <c r="G4177" s="405" t="s">
        <v>4939</v>
      </c>
      <c r="H4177" s="74">
        <v>3599</v>
      </c>
      <c r="I4177" s="50" t="s">
        <v>2</v>
      </c>
      <c r="J4177" s="339"/>
      <c r="K4177" s="51">
        <v>41729</v>
      </c>
      <c r="L4177" s="173">
        <v>41710</v>
      </c>
      <c r="M4177" s="50">
        <f t="shared" si="249"/>
        <v>19</v>
      </c>
      <c r="N4177" s="50" t="s">
        <v>2</v>
      </c>
      <c r="O4177" s="74">
        <v>1.8</v>
      </c>
      <c r="Q4177" s="74">
        <v>5.5</v>
      </c>
      <c r="R4177" s="50">
        <f>20/2</f>
        <v>10</v>
      </c>
      <c r="S4177" s="74">
        <v>2.4</v>
      </c>
      <c r="T4177" s="50">
        <f>0.01/2</f>
        <v>5.0000000000000001E-3</v>
      </c>
      <c r="U4177" s="131">
        <f>1.6/2</f>
        <v>0.8</v>
      </c>
      <c r="V4177" s="50">
        <f>0.46/2</f>
        <v>0.23</v>
      </c>
      <c r="W4177" s="74">
        <f>0.005/2</f>
        <v>2.5000000000000001E-3</v>
      </c>
      <c r="X4177" s="50">
        <v>8.5000000000000006E-2</v>
      </c>
      <c r="Y4177" s="74">
        <f>0.005/2</f>
        <v>2.5000000000000001E-3</v>
      </c>
      <c r="Z4177" s="165">
        <v>1</v>
      </c>
      <c r="AA4177" s="271">
        <v>1</v>
      </c>
      <c r="AB4177" s="114">
        <v>4</v>
      </c>
      <c r="AC4177" s="50">
        <v>11</v>
      </c>
      <c r="AD4177" s="271">
        <v>0.55000000000000004</v>
      </c>
    </row>
    <row r="4178" spans="1:79" ht="15" customHeight="1">
      <c r="A4178" s="404" t="s">
        <v>4668</v>
      </c>
      <c r="B4178" s="402" t="s">
        <v>6428</v>
      </c>
      <c r="C4178" s="113" t="s">
        <v>6428</v>
      </c>
      <c r="D4178" s="393" t="s">
        <v>3090</v>
      </c>
      <c r="E4178" s="394" t="s">
        <v>6429</v>
      </c>
      <c r="G4178" s="405" t="s">
        <v>6430</v>
      </c>
      <c r="H4178" s="74">
        <v>2048</v>
      </c>
      <c r="I4178" s="50" t="s">
        <v>2</v>
      </c>
      <c r="J4178" s="339" t="s">
        <v>6431</v>
      </c>
      <c r="K4178" s="51">
        <v>41596</v>
      </c>
      <c r="L4178" s="173">
        <v>41585</v>
      </c>
      <c r="M4178" s="50">
        <f t="shared" si="249"/>
        <v>11</v>
      </c>
      <c r="N4178" s="50" t="s">
        <v>2</v>
      </c>
      <c r="O4178" s="74">
        <v>4.8</v>
      </c>
      <c r="P4178" s="50">
        <v>2.0099999999999998</v>
      </c>
      <c r="Q4178" s="74">
        <v>2.0099999999999998</v>
      </c>
      <c r="R4178" s="50">
        <v>137.6</v>
      </c>
      <c r="S4178" s="74">
        <v>53</v>
      </c>
      <c r="T4178" s="50">
        <v>5.23</v>
      </c>
      <c r="U4178" s="131">
        <v>5.4</v>
      </c>
      <c r="V4178" s="50">
        <v>35.549999999999997</v>
      </c>
      <c r="W4178" s="74">
        <v>2.9000000000000001E-2</v>
      </c>
      <c r="X4178" s="50">
        <v>0.46</v>
      </c>
      <c r="Y4178" s="74">
        <v>3.0000000000000001E-3</v>
      </c>
      <c r="Z4178" s="165">
        <v>0.70699999999999996</v>
      </c>
      <c r="AA4178" s="271">
        <v>0.70699999999999996</v>
      </c>
      <c r="AB4178" s="114">
        <v>68.430000000000007</v>
      </c>
      <c r="AC4178" s="50">
        <v>7350</v>
      </c>
      <c r="AD4178" s="271">
        <v>1</v>
      </c>
    </row>
    <row r="4179" spans="1:79" ht="15" customHeight="1">
      <c r="A4179" s="404" t="s">
        <v>4668</v>
      </c>
      <c r="B4179" s="402" t="s">
        <v>6428</v>
      </c>
      <c r="C4179" s="113" t="s">
        <v>6428</v>
      </c>
      <c r="D4179" s="393" t="s">
        <v>3090</v>
      </c>
      <c r="E4179" s="394" t="s">
        <v>6429</v>
      </c>
      <c r="G4179" s="405" t="s">
        <v>6430</v>
      </c>
      <c r="H4179" s="74">
        <v>2048</v>
      </c>
      <c r="I4179" s="50" t="s">
        <v>2</v>
      </c>
      <c r="J4179" s="339" t="s">
        <v>6432</v>
      </c>
      <c r="K4179" s="51">
        <v>41596</v>
      </c>
      <c r="L4179" s="173">
        <v>41585</v>
      </c>
      <c r="M4179" s="50">
        <f t="shared" si="249"/>
        <v>11</v>
      </c>
      <c r="N4179" s="50" t="s">
        <v>2</v>
      </c>
      <c r="O4179" s="74">
        <v>4.4000000000000004</v>
      </c>
      <c r="P4179" s="50">
        <v>3.19</v>
      </c>
      <c r="Q4179" s="74">
        <v>3.19</v>
      </c>
      <c r="R4179" s="50">
        <v>92.1</v>
      </c>
      <c r="S4179" s="74">
        <v>62</v>
      </c>
      <c r="T4179" s="50">
        <v>4.16</v>
      </c>
      <c r="U4179" s="131">
        <v>4.8</v>
      </c>
      <c r="V4179" s="50">
        <v>0.17</v>
      </c>
      <c r="W4179" s="74">
        <v>3.3000000000000002E-2</v>
      </c>
      <c r="X4179" s="50">
        <v>0.34200000000000003</v>
      </c>
      <c r="Y4179" s="74">
        <v>3.0000000000000001E-3</v>
      </c>
      <c r="Z4179" s="165">
        <v>0.70699999999999996</v>
      </c>
      <c r="AA4179" s="271">
        <v>0.70699999999999996</v>
      </c>
      <c r="AB4179" s="114">
        <v>63.03</v>
      </c>
      <c r="AC4179" s="50">
        <v>690</v>
      </c>
      <c r="AD4179" s="271">
        <v>1</v>
      </c>
    </row>
    <row r="4180" spans="1:79" ht="15" customHeight="1">
      <c r="A4180" s="404" t="s">
        <v>4668</v>
      </c>
      <c r="B4180" s="402" t="s">
        <v>6428</v>
      </c>
      <c r="C4180" s="113" t="s">
        <v>6428</v>
      </c>
      <c r="D4180" s="393" t="s">
        <v>3090</v>
      </c>
      <c r="E4180" s="394" t="s">
        <v>6429</v>
      </c>
      <c r="G4180" s="405" t="s">
        <v>6430</v>
      </c>
      <c r="H4180" s="74">
        <v>2048</v>
      </c>
      <c r="I4180" s="50" t="s">
        <v>2</v>
      </c>
      <c r="J4180" s="339" t="s">
        <v>6431</v>
      </c>
      <c r="K4180" s="51">
        <v>41259</v>
      </c>
      <c r="L4180" s="173">
        <v>41253</v>
      </c>
      <c r="M4180" s="50">
        <f t="shared" si="249"/>
        <v>6</v>
      </c>
      <c r="N4180" s="50" t="s">
        <v>2</v>
      </c>
      <c r="O4180" s="74">
        <f>1/2</f>
        <v>0.5</v>
      </c>
      <c r="P4180" s="50">
        <v>6.94</v>
      </c>
      <c r="Q4180" s="74">
        <v>6.94</v>
      </c>
      <c r="R4180" s="50">
        <v>66.3</v>
      </c>
      <c r="S4180" s="74">
        <v>48</v>
      </c>
      <c r="T4180" s="50">
        <v>3.36</v>
      </c>
      <c r="U4180" s="131">
        <v>2.34</v>
      </c>
      <c r="V4180" s="50">
        <f>0.1/2</f>
        <v>0.05</v>
      </c>
      <c r="W4180" s="74">
        <v>2.1000000000000001E-2</v>
      </c>
      <c r="X4180" s="50">
        <v>0.13700000000000001</v>
      </c>
      <c r="Y4180" s="74">
        <f>0.002/2</f>
        <v>1E-3</v>
      </c>
      <c r="Z4180" s="165">
        <v>1</v>
      </c>
      <c r="AA4180" s="271">
        <v>1</v>
      </c>
      <c r="AB4180" s="114">
        <v>38.43</v>
      </c>
      <c r="AD4180" s="271">
        <v>1</v>
      </c>
    </row>
    <row r="4181" spans="1:79" ht="15" customHeight="1">
      <c r="A4181" s="404" t="s">
        <v>4668</v>
      </c>
      <c r="B4181" s="402" t="s">
        <v>6428</v>
      </c>
      <c r="C4181" s="113" t="s">
        <v>6428</v>
      </c>
      <c r="D4181" s="393" t="s">
        <v>3090</v>
      </c>
      <c r="E4181" s="394" t="s">
        <v>6429</v>
      </c>
      <c r="G4181" s="405" t="s">
        <v>6430</v>
      </c>
      <c r="H4181" s="74">
        <v>2048</v>
      </c>
      <c r="I4181" s="50" t="s">
        <v>2</v>
      </c>
      <c r="J4181" s="339" t="s">
        <v>6432</v>
      </c>
      <c r="K4181" s="51">
        <v>41259</v>
      </c>
      <c r="L4181" s="173">
        <v>41253</v>
      </c>
      <c r="M4181" s="50">
        <f t="shared" si="249"/>
        <v>6</v>
      </c>
      <c r="N4181" s="50" t="s">
        <v>2</v>
      </c>
      <c r="O4181" s="74">
        <f>1/2</f>
        <v>0.5</v>
      </c>
      <c r="P4181" s="50">
        <v>7.32</v>
      </c>
      <c r="Q4181" s="74">
        <v>7.32</v>
      </c>
      <c r="R4181" s="50">
        <v>35.299999999999997</v>
      </c>
      <c r="S4181" s="74">
        <v>43</v>
      </c>
      <c r="T4181" s="50">
        <v>0.87</v>
      </c>
      <c r="U4181" s="131">
        <v>0.89</v>
      </c>
      <c r="V4181" s="50">
        <f>0.1/2</f>
        <v>0.05</v>
      </c>
      <c r="W4181" s="74">
        <v>6.0000000000000001E-3</v>
      </c>
      <c r="X4181" s="50">
        <v>4.7E-2</v>
      </c>
      <c r="Y4181" s="74">
        <f>0.002/2</f>
        <v>1E-3</v>
      </c>
      <c r="Z4181" s="165"/>
    </row>
    <row r="4182" spans="1:79" ht="15" customHeight="1">
      <c r="A4182" s="404" t="s">
        <v>4668</v>
      </c>
      <c r="B4182" s="402" t="s">
        <v>6428</v>
      </c>
      <c r="C4182" s="113" t="s">
        <v>6428</v>
      </c>
      <c r="D4182" s="393" t="s">
        <v>3090</v>
      </c>
      <c r="E4182" s="394" t="s">
        <v>6429</v>
      </c>
      <c r="G4182" s="405" t="s">
        <v>6430</v>
      </c>
      <c r="H4182" s="74">
        <v>2048</v>
      </c>
      <c r="I4182" s="50" t="s">
        <v>2</v>
      </c>
      <c r="J4182" s="339" t="s">
        <v>6431</v>
      </c>
      <c r="K4182" s="51">
        <v>41226</v>
      </c>
      <c r="L4182" s="173">
        <v>41214</v>
      </c>
      <c r="M4182" s="50">
        <f t="shared" si="249"/>
        <v>12</v>
      </c>
      <c r="N4182" s="50" t="s">
        <v>2</v>
      </c>
      <c r="O4182" s="74">
        <v>1.2</v>
      </c>
      <c r="P4182" s="50">
        <v>6.83</v>
      </c>
      <c r="Q4182" s="74">
        <v>6.83</v>
      </c>
      <c r="R4182" s="50">
        <v>140.9</v>
      </c>
      <c r="S4182" s="74">
        <v>134</v>
      </c>
      <c r="T4182" s="50">
        <v>4</v>
      </c>
      <c r="U4182" s="131">
        <v>7.35</v>
      </c>
      <c r="V4182" s="50">
        <f>0.1/2</f>
        <v>0.05</v>
      </c>
      <c r="W4182" s="74">
        <v>1.6E-2</v>
      </c>
      <c r="X4182" s="50">
        <v>0.09</v>
      </c>
      <c r="Y4182" s="74">
        <f>0.002/2</f>
        <v>1E-3</v>
      </c>
      <c r="Z4182" s="165">
        <v>1</v>
      </c>
      <c r="AA4182" s="271">
        <v>1</v>
      </c>
      <c r="AB4182" s="114">
        <v>33.76</v>
      </c>
      <c r="AC4182" s="50">
        <v>137</v>
      </c>
      <c r="AD4182" s="271">
        <v>1</v>
      </c>
    </row>
    <row r="4183" spans="1:79" ht="15" customHeight="1">
      <c r="A4183" s="404" t="s">
        <v>4668</v>
      </c>
      <c r="B4183" s="402" t="s">
        <v>6428</v>
      </c>
      <c r="C4183" s="113" t="s">
        <v>6428</v>
      </c>
      <c r="D4183" s="393" t="s">
        <v>3090</v>
      </c>
      <c r="E4183" s="394" t="s">
        <v>6429</v>
      </c>
      <c r="G4183" s="405" t="s">
        <v>6430</v>
      </c>
      <c r="H4183" s="74">
        <v>2048</v>
      </c>
      <c r="I4183" s="50" t="s">
        <v>2</v>
      </c>
      <c r="J4183" s="339" t="s">
        <v>6432</v>
      </c>
      <c r="K4183" s="51">
        <v>41226</v>
      </c>
      <c r="L4183" s="173">
        <v>41214</v>
      </c>
      <c r="M4183" s="50">
        <f t="shared" si="249"/>
        <v>12</v>
      </c>
      <c r="N4183" s="50" t="s">
        <v>2</v>
      </c>
      <c r="O4183" s="74">
        <v>5.6</v>
      </c>
      <c r="P4183" s="50">
        <v>7.16</v>
      </c>
      <c r="Q4183" s="74">
        <v>7.16</v>
      </c>
      <c r="R4183" s="50">
        <v>126.2</v>
      </c>
      <c r="S4183" s="74">
        <v>165</v>
      </c>
      <c r="T4183" s="50">
        <v>1.81</v>
      </c>
      <c r="U4183" s="131">
        <v>4.3099999999999996</v>
      </c>
      <c r="V4183" s="50">
        <f>0.1/2</f>
        <v>0.05</v>
      </c>
      <c r="W4183" s="74">
        <v>2.9000000000000001E-2</v>
      </c>
      <c r="X4183" s="50">
        <v>0.22600000000000001</v>
      </c>
      <c r="Y4183" s="74">
        <v>5.0000000000000001E-3</v>
      </c>
      <c r="Z4183" s="165">
        <v>1</v>
      </c>
      <c r="AA4183" s="271">
        <v>1</v>
      </c>
      <c r="AB4183" s="114">
        <v>55.66</v>
      </c>
      <c r="AC4183" s="50">
        <v>120</v>
      </c>
      <c r="AD4183" s="271">
        <v>1</v>
      </c>
    </row>
    <row r="4184" spans="1:79" s="400" customFormat="1" ht="15" customHeight="1">
      <c r="A4184" s="41" t="s">
        <v>183</v>
      </c>
      <c r="B4184" s="402" t="s">
        <v>1393</v>
      </c>
      <c r="C4184" s="113" t="s">
        <v>1394</v>
      </c>
      <c r="D4184" s="393" t="s">
        <v>372</v>
      </c>
      <c r="E4184" s="394" t="s">
        <v>235</v>
      </c>
      <c r="F4184" s="402">
        <v>6900</v>
      </c>
      <c r="G4184" s="405" t="s">
        <v>1395</v>
      </c>
      <c r="H4184" s="404">
        <v>4311</v>
      </c>
      <c r="I4184" s="402"/>
      <c r="J4184" s="393" t="s">
        <v>96</v>
      </c>
      <c r="K4184" s="403">
        <v>41726</v>
      </c>
      <c r="L4184" s="398">
        <v>41717</v>
      </c>
      <c r="M4184" s="402">
        <f t="shared" si="249"/>
        <v>9</v>
      </c>
      <c r="N4184" s="402" t="s">
        <v>2</v>
      </c>
      <c r="O4184" s="404"/>
      <c r="P4184" s="402"/>
      <c r="Q4184" s="404"/>
      <c r="R4184" s="402">
        <f>10/2</f>
        <v>5</v>
      </c>
      <c r="S4184" s="404">
        <v>130</v>
      </c>
      <c r="T4184" s="402"/>
      <c r="U4184" s="395"/>
      <c r="V4184" s="402"/>
      <c r="W4184" s="404"/>
      <c r="X4184" s="402">
        <v>0.11799999999999999</v>
      </c>
      <c r="Y4184" s="404"/>
      <c r="Z4184" s="397"/>
      <c r="AA4184" s="399"/>
      <c r="AB4184" s="394"/>
      <c r="AC4184" s="402"/>
      <c r="AD4184" s="399"/>
      <c r="AE4184" s="402"/>
      <c r="AF4184" s="391"/>
      <c r="AG4184" s="394"/>
      <c r="AH4184" s="394"/>
      <c r="AI4184" s="394"/>
      <c r="AJ4184" s="394"/>
      <c r="AK4184" s="394"/>
      <c r="AL4184" s="394"/>
      <c r="AM4184" s="394"/>
      <c r="AN4184" s="394"/>
      <c r="AO4184" s="394"/>
      <c r="AP4184" s="394"/>
      <c r="AQ4184" s="394"/>
      <c r="AR4184" s="394"/>
      <c r="AS4184" s="402"/>
      <c r="AT4184" s="404"/>
      <c r="AU4184" s="394"/>
      <c r="AV4184" s="394"/>
      <c r="AW4184" s="394"/>
      <c r="AX4184" s="5"/>
      <c r="AY4184" s="5"/>
      <c r="AZ4184" s="5"/>
      <c r="BA4184" s="5"/>
      <c r="BB4184" s="5"/>
      <c r="BC4184" s="5"/>
      <c r="BD4184" s="5"/>
      <c r="BE4184" s="5"/>
      <c r="BF4184" s="5"/>
      <c r="BG4184" s="5"/>
      <c r="BH4184" s="5"/>
      <c r="BI4184" s="5"/>
      <c r="BJ4184" s="5"/>
      <c r="BK4184" s="5"/>
      <c r="BL4184" s="5"/>
      <c r="BM4184" s="5"/>
      <c r="BN4184" s="5"/>
      <c r="BO4184" s="5"/>
      <c r="BP4184" s="5"/>
      <c r="BQ4184" s="5"/>
      <c r="BR4184" s="5"/>
      <c r="BS4184" s="5"/>
      <c r="BT4184" s="5"/>
      <c r="BU4184" s="5"/>
      <c r="BV4184" s="5"/>
      <c r="BW4184" s="5"/>
      <c r="BX4184" s="5"/>
      <c r="BY4184" s="5"/>
      <c r="BZ4184" s="5"/>
      <c r="CA4184" s="5"/>
    </row>
    <row r="4185" spans="1:79" s="400" customFormat="1" ht="15" customHeight="1">
      <c r="A4185" s="41" t="s">
        <v>183</v>
      </c>
      <c r="B4185" s="402" t="s">
        <v>1393</v>
      </c>
      <c r="C4185" s="113" t="s">
        <v>1394</v>
      </c>
      <c r="D4185" s="393" t="s">
        <v>372</v>
      </c>
      <c r="E4185" s="394" t="s">
        <v>235</v>
      </c>
      <c r="F4185" s="402">
        <v>6900</v>
      </c>
      <c r="G4185" s="405" t="s">
        <v>1395</v>
      </c>
      <c r="H4185" s="404">
        <v>4311</v>
      </c>
      <c r="I4185" s="402"/>
      <c r="J4185" s="393" t="s">
        <v>255</v>
      </c>
      <c r="K4185" s="403">
        <v>41726</v>
      </c>
      <c r="L4185" s="398">
        <v>41717</v>
      </c>
      <c r="M4185" s="402">
        <f t="shared" si="249"/>
        <v>9</v>
      </c>
      <c r="N4185" s="402" t="s">
        <v>2</v>
      </c>
      <c r="O4185" s="404"/>
      <c r="P4185" s="402"/>
      <c r="Q4185" s="404"/>
      <c r="R4185" s="402">
        <v>29</v>
      </c>
      <c r="S4185" s="404"/>
      <c r="T4185" s="402"/>
      <c r="U4185" s="395">
        <v>3.46</v>
      </c>
      <c r="V4185" s="402">
        <v>0.45</v>
      </c>
      <c r="W4185" s="404"/>
      <c r="X4185" s="402">
        <v>7.3999999999999996E-2</v>
      </c>
      <c r="Y4185" s="404">
        <v>1.4999999999999999E-2</v>
      </c>
      <c r="Z4185" s="397"/>
      <c r="AA4185" s="399"/>
      <c r="AB4185" s="394"/>
      <c r="AC4185" s="402"/>
      <c r="AD4185" s="399"/>
      <c r="AE4185" s="402"/>
      <c r="AF4185" s="391"/>
      <c r="AG4185" s="394"/>
      <c r="AH4185" s="394"/>
      <c r="AI4185" s="394"/>
      <c r="AJ4185" s="394"/>
      <c r="AK4185" s="394"/>
      <c r="AL4185" s="394"/>
      <c r="AM4185" s="394"/>
      <c r="AN4185" s="394"/>
      <c r="AO4185" s="394"/>
      <c r="AP4185" s="394"/>
      <c r="AQ4185" s="394"/>
      <c r="AR4185" s="394"/>
      <c r="AS4185" s="402"/>
      <c r="AT4185" s="404"/>
      <c r="AU4185" s="394"/>
      <c r="AV4185" s="394"/>
      <c r="AW4185" s="394"/>
      <c r="AX4185" s="5"/>
      <c r="AY4185" s="5"/>
      <c r="AZ4185" s="5"/>
      <c r="BA4185" s="5"/>
      <c r="BB4185" s="5"/>
      <c r="BC4185" s="5"/>
      <c r="BD4185" s="5"/>
      <c r="BE4185" s="5"/>
      <c r="BF4185" s="5"/>
      <c r="BG4185" s="5"/>
      <c r="BH4185" s="5"/>
      <c r="BI4185" s="5"/>
      <c r="BJ4185" s="5"/>
      <c r="BK4185" s="5"/>
      <c r="BL4185" s="5"/>
      <c r="BM4185" s="5"/>
      <c r="BN4185" s="5"/>
      <c r="BO4185" s="5"/>
      <c r="BP4185" s="5"/>
      <c r="BQ4185" s="5"/>
      <c r="BR4185" s="5"/>
      <c r="BS4185" s="5"/>
      <c r="BT4185" s="5"/>
      <c r="BU4185" s="5"/>
      <c r="BV4185" s="5"/>
      <c r="BW4185" s="5"/>
      <c r="BX4185" s="5"/>
      <c r="BY4185" s="5"/>
      <c r="BZ4185" s="5"/>
      <c r="CA4185" s="5"/>
    </row>
    <row r="4186" spans="1:79" ht="15" customHeight="1">
      <c r="A4186" s="404" t="s">
        <v>4668</v>
      </c>
      <c r="B4186" s="402" t="s">
        <v>6433</v>
      </c>
      <c r="C4186" s="113" t="s">
        <v>5633</v>
      </c>
      <c r="D4186" s="393" t="s">
        <v>836</v>
      </c>
      <c r="E4186" s="394" t="s">
        <v>3243</v>
      </c>
      <c r="G4186" s="405" t="s">
        <v>5878</v>
      </c>
      <c r="H4186" s="74">
        <v>2754</v>
      </c>
      <c r="I4186" s="50" t="s">
        <v>2</v>
      </c>
      <c r="J4186" s="339" t="s">
        <v>81</v>
      </c>
      <c r="K4186" s="51">
        <v>41744</v>
      </c>
      <c r="L4186" s="173">
        <v>41740</v>
      </c>
      <c r="M4186" s="50">
        <f t="shared" si="249"/>
        <v>4</v>
      </c>
      <c r="N4186" s="50" t="s">
        <v>2</v>
      </c>
      <c r="O4186" s="74">
        <f>5/2</f>
        <v>2.5</v>
      </c>
      <c r="P4186" s="50">
        <v>5.5</v>
      </c>
      <c r="Q4186" s="74">
        <v>6.25</v>
      </c>
      <c r="R4186" s="50">
        <v>30</v>
      </c>
      <c r="S4186" s="74">
        <v>10</v>
      </c>
      <c r="T4186" s="50">
        <f>0.1/2</f>
        <v>0.05</v>
      </c>
      <c r="U4186" s="131">
        <f>1/2</f>
        <v>0.5</v>
      </c>
      <c r="V4186" s="50">
        <v>0.25</v>
      </c>
      <c r="W4186" s="74">
        <f>0.04/2</f>
        <v>0.02</v>
      </c>
      <c r="X4186" s="50">
        <f>0.02/2</f>
        <v>0.01</v>
      </c>
      <c r="Y4186" s="74">
        <f>0.013/2</f>
        <v>6.4999999999999997E-3</v>
      </c>
      <c r="Z4186" s="165"/>
    </row>
    <row r="4187" spans="1:79" ht="15" customHeight="1">
      <c r="A4187" s="404" t="s">
        <v>4668</v>
      </c>
      <c r="B4187" s="402" t="s">
        <v>6433</v>
      </c>
      <c r="C4187" s="113" t="s">
        <v>5633</v>
      </c>
      <c r="D4187" s="393" t="s">
        <v>836</v>
      </c>
      <c r="E4187" s="394" t="s">
        <v>3243</v>
      </c>
      <c r="G4187" s="405" t="s">
        <v>5878</v>
      </c>
      <c r="H4187" s="74">
        <v>2754</v>
      </c>
      <c r="I4187" s="50" t="s">
        <v>2</v>
      </c>
      <c r="J4187" s="339" t="s">
        <v>81</v>
      </c>
      <c r="K4187" s="51">
        <v>41744</v>
      </c>
      <c r="L4187" s="173">
        <v>41740</v>
      </c>
      <c r="M4187" s="50">
        <f t="shared" si="249"/>
        <v>4</v>
      </c>
      <c r="N4187" s="50" t="s">
        <v>2</v>
      </c>
      <c r="O4187" s="74">
        <f>5/2</f>
        <v>2.5</v>
      </c>
      <c r="P4187" s="50">
        <v>5.5</v>
      </c>
      <c r="Q4187" s="74">
        <v>6.45</v>
      </c>
      <c r="R4187" s="50">
        <v>8</v>
      </c>
      <c r="S4187" s="74">
        <v>12</v>
      </c>
      <c r="T4187" s="50">
        <f>0.1/2</f>
        <v>0.05</v>
      </c>
      <c r="U4187" s="131">
        <f>1/2</f>
        <v>0.5</v>
      </c>
      <c r="V4187" s="50">
        <v>0.13</v>
      </c>
      <c r="W4187" s="74">
        <f>0.04/2</f>
        <v>0.02</v>
      </c>
      <c r="X4187" s="50">
        <v>9.6000000000000002E-2</v>
      </c>
      <c r="Y4187" s="74">
        <f>0.013/2</f>
        <v>6.4999999999999997E-3</v>
      </c>
      <c r="Z4187" s="165"/>
    </row>
    <row r="4188" spans="1:79" ht="15" customHeight="1">
      <c r="A4188" s="404" t="s">
        <v>4668</v>
      </c>
      <c r="B4188" s="402" t="s">
        <v>2150</v>
      </c>
      <c r="C4188" s="113" t="s">
        <v>2152</v>
      </c>
      <c r="D4188" s="393" t="s">
        <v>56</v>
      </c>
      <c r="E4188" s="394" t="s">
        <v>664</v>
      </c>
      <c r="G4188" s="405" t="s">
        <v>3618</v>
      </c>
      <c r="H4188" s="113">
        <v>4311</v>
      </c>
      <c r="I4188" s="49" t="s">
        <v>1</v>
      </c>
      <c r="J4188" s="48" t="s">
        <v>255</v>
      </c>
      <c r="K4188" s="51">
        <v>41710</v>
      </c>
      <c r="L4188" s="173">
        <v>41689</v>
      </c>
      <c r="M4188" s="50">
        <f t="shared" si="249"/>
        <v>21</v>
      </c>
      <c r="N4188" s="50" t="s">
        <v>1</v>
      </c>
      <c r="O4188" s="74">
        <v>2.2000000000000002</v>
      </c>
      <c r="R4188" s="50">
        <v>64</v>
      </c>
      <c r="S4188" s="74">
        <v>270</v>
      </c>
      <c r="X4188" s="50">
        <v>0.13200000000000001</v>
      </c>
      <c r="Y4188" s="74">
        <v>3.1E-2</v>
      </c>
      <c r="Z4188" s="165">
        <v>1</v>
      </c>
      <c r="AA4188" s="271">
        <v>1</v>
      </c>
    </row>
    <row r="4189" spans="1:79" s="400" customFormat="1" ht="15" customHeight="1">
      <c r="A4189" s="41" t="s">
        <v>183</v>
      </c>
      <c r="B4189" s="402" t="s">
        <v>1252</v>
      </c>
      <c r="C4189" s="113" t="s">
        <v>1253</v>
      </c>
      <c r="D4189" s="393" t="s">
        <v>192</v>
      </c>
      <c r="E4189" s="394" t="s">
        <v>1254</v>
      </c>
      <c r="F4189" s="402">
        <v>4000</v>
      </c>
      <c r="G4189" s="405" t="s">
        <v>1255</v>
      </c>
      <c r="H4189" s="404">
        <v>2621</v>
      </c>
      <c r="I4189" s="402" t="s">
        <v>1</v>
      </c>
      <c r="J4189" s="406" t="s">
        <v>1262</v>
      </c>
      <c r="K4189" s="403">
        <v>41710</v>
      </c>
      <c r="L4189" s="398">
        <v>41691</v>
      </c>
      <c r="M4189" s="402">
        <f t="shared" si="249"/>
        <v>19</v>
      </c>
      <c r="N4189" s="402" t="s">
        <v>1</v>
      </c>
      <c r="O4189" s="404"/>
      <c r="P4189" s="402">
        <v>7.58</v>
      </c>
      <c r="Q4189" s="404"/>
      <c r="R4189" s="402"/>
      <c r="S4189" s="404"/>
      <c r="T4189" s="402"/>
      <c r="U4189" s="395"/>
      <c r="V4189" s="402"/>
      <c r="W4189" s="404"/>
      <c r="X4189" s="402">
        <v>0.24299999999999999</v>
      </c>
      <c r="Y4189" s="404"/>
      <c r="Z4189" s="397"/>
      <c r="AA4189" s="399"/>
      <c r="AB4189" s="394"/>
      <c r="AC4189" s="402"/>
      <c r="AD4189" s="399"/>
      <c r="AE4189" s="402"/>
      <c r="AF4189" s="391"/>
      <c r="AG4189" s="394"/>
      <c r="AH4189" s="394"/>
      <c r="AI4189" s="394"/>
      <c r="AJ4189" s="394"/>
      <c r="AK4189" s="394"/>
      <c r="AL4189" s="394"/>
      <c r="AM4189" s="394"/>
      <c r="AN4189" s="394"/>
      <c r="AO4189" s="394"/>
      <c r="AP4189" s="394"/>
      <c r="AQ4189" s="394"/>
      <c r="AR4189" s="394"/>
      <c r="AS4189" s="402"/>
      <c r="AT4189" s="404"/>
      <c r="AU4189" s="394"/>
      <c r="AV4189" s="394"/>
      <c r="AW4189" s="394"/>
      <c r="AX4189" s="5"/>
      <c r="AY4189" s="5"/>
      <c r="AZ4189" s="5"/>
      <c r="BA4189" s="5"/>
      <c r="BB4189" s="5"/>
      <c r="BC4189" s="5"/>
      <c r="BD4189" s="5"/>
      <c r="BE4189" s="5"/>
      <c r="BF4189" s="5"/>
      <c r="BG4189" s="5"/>
      <c r="BH4189" s="5"/>
      <c r="BI4189" s="5"/>
      <c r="BJ4189" s="5"/>
      <c r="BK4189" s="5"/>
      <c r="BL4189" s="5"/>
      <c r="BM4189" s="5"/>
      <c r="BN4189" s="5"/>
      <c r="BO4189" s="5"/>
      <c r="BP4189" s="5"/>
      <c r="BQ4189" s="5"/>
      <c r="BR4189" s="5"/>
      <c r="BS4189" s="5"/>
      <c r="BT4189" s="5"/>
      <c r="BU4189" s="5"/>
      <c r="BV4189" s="5"/>
      <c r="BW4189" s="5"/>
      <c r="BX4189" s="5"/>
      <c r="BY4189" s="5"/>
      <c r="BZ4189" s="5"/>
      <c r="CA4189" s="5"/>
    </row>
    <row r="4190" spans="1:79" s="400" customFormat="1" ht="15" customHeight="1">
      <c r="A4190" s="41" t="s">
        <v>183</v>
      </c>
      <c r="B4190" s="402" t="s">
        <v>1252</v>
      </c>
      <c r="C4190" s="113" t="s">
        <v>1253</v>
      </c>
      <c r="D4190" s="393" t="s">
        <v>192</v>
      </c>
      <c r="E4190" s="394" t="s">
        <v>1254</v>
      </c>
      <c r="F4190" s="402">
        <v>4000</v>
      </c>
      <c r="G4190" s="405" t="s">
        <v>1255</v>
      </c>
      <c r="H4190" s="404">
        <v>2621</v>
      </c>
      <c r="I4190" s="402" t="s">
        <v>1</v>
      </c>
      <c r="J4190" s="406" t="s">
        <v>1263</v>
      </c>
      <c r="K4190" s="403">
        <v>41710</v>
      </c>
      <c r="L4190" s="398">
        <v>41691</v>
      </c>
      <c r="M4190" s="402">
        <f t="shared" si="249"/>
        <v>19</v>
      </c>
      <c r="N4190" s="402" t="s">
        <v>1</v>
      </c>
      <c r="O4190" s="404"/>
      <c r="P4190" s="402">
        <v>7.58</v>
      </c>
      <c r="Q4190" s="404"/>
      <c r="R4190" s="402"/>
      <c r="S4190" s="404"/>
      <c r="T4190" s="402"/>
      <c r="U4190" s="395"/>
      <c r="V4190" s="402"/>
      <c r="W4190" s="404"/>
      <c r="X4190" s="402">
        <v>0.14499999999999999</v>
      </c>
      <c r="Y4190" s="404"/>
      <c r="Z4190" s="397"/>
      <c r="AA4190" s="399"/>
      <c r="AB4190" s="394"/>
      <c r="AC4190" s="402"/>
      <c r="AD4190" s="399"/>
      <c r="AE4190" s="402"/>
      <c r="AF4190" s="391"/>
      <c r="AG4190" s="394"/>
      <c r="AH4190" s="394"/>
      <c r="AI4190" s="394"/>
      <c r="AJ4190" s="394"/>
      <c r="AK4190" s="394"/>
      <c r="AL4190" s="394"/>
      <c r="AM4190" s="394"/>
      <c r="AN4190" s="394"/>
      <c r="AO4190" s="394"/>
      <c r="AP4190" s="394"/>
      <c r="AQ4190" s="394"/>
      <c r="AR4190" s="394"/>
      <c r="AS4190" s="402"/>
      <c r="AT4190" s="404"/>
      <c r="AU4190" s="394"/>
      <c r="AV4190" s="394"/>
      <c r="AW4190" s="394"/>
      <c r="AX4190" s="5"/>
      <c r="AY4190" s="5"/>
      <c r="AZ4190" s="5"/>
      <c r="BA4190" s="5"/>
      <c r="BB4190" s="5"/>
      <c r="BC4190" s="5"/>
      <c r="BD4190" s="5"/>
      <c r="BE4190" s="5"/>
      <c r="BF4190" s="5"/>
      <c r="BG4190" s="5"/>
      <c r="BH4190" s="5"/>
      <c r="BI4190" s="5"/>
      <c r="BJ4190" s="5"/>
      <c r="BK4190" s="5"/>
      <c r="BL4190" s="5"/>
      <c r="BM4190" s="5"/>
      <c r="BN4190" s="5"/>
      <c r="BO4190" s="5"/>
      <c r="BP4190" s="5"/>
      <c r="BQ4190" s="5"/>
      <c r="BR4190" s="5"/>
      <c r="BS4190" s="5"/>
      <c r="BT4190" s="5"/>
      <c r="BU4190" s="5"/>
      <c r="BV4190" s="5"/>
      <c r="BW4190" s="5"/>
      <c r="BX4190" s="5"/>
      <c r="BY4190" s="5"/>
      <c r="BZ4190" s="5"/>
      <c r="CA4190" s="5"/>
    </row>
    <row r="4191" spans="1:79" s="400" customFormat="1" ht="15" customHeight="1">
      <c r="A4191" s="41" t="s">
        <v>183</v>
      </c>
      <c r="B4191" s="402" t="s">
        <v>1252</v>
      </c>
      <c r="C4191" s="113" t="s">
        <v>1253</v>
      </c>
      <c r="D4191" s="393" t="s">
        <v>192</v>
      </c>
      <c r="E4191" s="394" t="s">
        <v>1254</v>
      </c>
      <c r="F4191" s="402">
        <v>4000</v>
      </c>
      <c r="G4191" s="405" t="s">
        <v>1255</v>
      </c>
      <c r="H4191" s="404">
        <v>2621</v>
      </c>
      <c r="I4191" s="402" t="s">
        <v>1</v>
      </c>
      <c r="J4191" s="406" t="s">
        <v>1260</v>
      </c>
      <c r="K4191" s="403">
        <v>41710</v>
      </c>
      <c r="L4191" s="398">
        <v>41691</v>
      </c>
      <c r="M4191" s="402">
        <f t="shared" si="249"/>
        <v>19</v>
      </c>
      <c r="N4191" s="402" t="s">
        <v>1</v>
      </c>
      <c r="O4191" s="404"/>
      <c r="P4191" s="402">
        <v>7.58</v>
      </c>
      <c r="Q4191" s="404"/>
      <c r="R4191" s="402"/>
      <c r="S4191" s="404"/>
      <c r="T4191" s="402"/>
      <c r="U4191" s="395">
        <v>2.3199999999999998</v>
      </c>
      <c r="V4191" s="402"/>
      <c r="W4191" s="404"/>
      <c r="X4191" s="402"/>
      <c r="Y4191" s="404"/>
      <c r="Z4191" s="397"/>
      <c r="AA4191" s="399"/>
      <c r="AB4191" s="394"/>
      <c r="AC4191" s="402"/>
      <c r="AD4191" s="399"/>
      <c r="AE4191" s="402"/>
      <c r="AF4191" s="391"/>
      <c r="AG4191" s="394"/>
      <c r="AH4191" s="394"/>
      <c r="AI4191" s="394"/>
      <c r="AJ4191" s="394"/>
      <c r="AK4191" s="394"/>
      <c r="AL4191" s="394"/>
      <c r="AM4191" s="394"/>
      <c r="AN4191" s="394"/>
      <c r="AO4191" s="394"/>
      <c r="AP4191" s="394"/>
      <c r="AQ4191" s="394"/>
      <c r="AR4191" s="394"/>
      <c r="AS4191" s="402"/>
      <c r="AT4191" s="404"/>
      <c r="AU4191" s="394"/>
      <c r="AV4191" s="394"/>
      <c r="AW4191" s="394"/>
      <c r="AX4191" s="5"/>
      <c r="AY4191" s="5"/>
      <c r="AZ4191" s="5"/>
      <c r="BA4191" s="5"/>
      <c r="BB4191" s="5"/>
      <c r="BC4191" s="5"/>
      <c r="BD4191" s="5"/>
      <c r="BE4191" s="5"/>
      <c r="BF4191" s="5"/>
      <c r="BG4191" s="5"/>
      <c r="BH4191" s="5"/>
      <c r="BI4191" s="5"/>
      <c r="BJ4191" s="5"/>
      <c r="BK4191" s="5"/>
      <c r="BL4191" s="5"/>
      <c r="BM4191" s="5"/>
      <c r="BN4191" s="5"/>
      <c r="BO4191" s="5"/>
      <c r="BP4191" s="5"/>
      <c r="BQ4191" s="5"/>
      <c r="BR4191" s="5"/>
      <c r="BS4191" s="5"/>
      <c r="BT4191" s="5"/>
      <c r="BU4191" s="5"/>
      <c r="BV4191" s="5"/>
      <c r="BW4191" s="5"/>
      <c r="BX4191" s="5"/>
      <c r="BY4191" s="5"/>
      <c r="BZ4191" s="5"/>
      <c r="CA4191" s="5"/>
    </row>
    <row r="4192" spans="1:79" s="400" customFormat="1" ht="15" customHeight="1">
      <c r="A4192" s="41" t="s">
        <v>183</v>
      </c>
      <c r="B4192" s="402" t="s">
        <v>1252</v>
      </c>
      <c r="C4192" s="113" t="s">
        <v>1253</v>
      </c>
      <c r="D4192" s="393" t="s">
        <v>192</v>
      </c>
      <c r="E4192" s="394" t="s">
        <v>1254</v>
      </c>
      <c r="F4192" s="402">
        <v>4000</v>
      </c>
      <c r="G4192" s="405" t="s">
        <v>1255</v>
      </c>
      <c r="H4192" s="404">
        <v>2621</v>
      </c>
      <c r="I4192" s="402" t="s">
        <v>1</v>
      </c>
      <c r="J4192" s="406" t="s">
        <v>1257</v>
      </c>
      <c r="K4192" s="403">
        <v>41710</v>
      </c>
      <c r="L4192" s="398">
        <v>41691</v>
      </c>
      <c r="M4192" s="402">
        <f t="shared" si="249"/>
        <v>19</v>
      </c>
      <c r="N4192" s="402" t="s">
        <v>1</v>
      </c>
      <c r="O4192" s="404"/>
      <c r="P4192" s="402">
        <v>7.58</v>
      </c>
      <c r="Q4192" s="404"/>
      <c r="R4192" s="402">
        <v>21</v>
      </c>
      <c r="S4192" s="404"/>
      <c r="T4192" s="402"/>
      <c r="U4192" s="395"/>
      <c r="V4192" s="402"/>
      <c r="W4192" s="404"/>
      <c r="X4192" s="402">
        <v>1.23</v>
      </c>
      <c r="Y4192" s="404"/>
      <c r="Z4192" s="397"/>
      <c r="AA4192" s="399"/>
      <c r="AB4192" s="394"/>
      <c r="AC4192" s="402"/>
      <c r="AD4192" s="399"/>
      <c r="AE4192" s="402"/>
      <c r="AF4192" s="391"/>
      <c r="AG4192" s="394"/>
      <c r="AH4192" s="394"/>
      <c r="AI4192" s="394"/>
      <c r="AJ4192" s="394"/>
      <c r="AK4192" s="394"/>
      <c r="AL4192" s="394"/>
      <c r="AM4192" s="394"/>
      <c r="AN4192" s="394"/>
      <c r="AO4192" s="394"/>
      <c r="AP4192" s="394"/>
      <c r="AQ4192" s="394"/>
      <c r="AR4192" s="394"/>
      <c r="AS4192" s="402"/>
      <c r="AT4192" s="404"/>
      <c r="AU4192" s="394"/>
      <c r="AV4192" s="394"/>
      <c r="AW4192" s="394"/>
      <c r="AX4192" s="5"/>
      <c r="AY4192" s="5"/>
      <c r="AZ4192" s="5"/>
      <c r="BA4192" s="5"/>
      <c r="BB4192" s="5"/>
      <c r="BC4192" s="5"/>
      <c r="BD4192" s="5"/>
      <c r="BE4192" s="5"/>
      <c r="BF4192" s="5"/>
      <c r="BG4192" s="5"/>
      <c r="BH4192" s="5"/>
      <c r="BI4192" s="5"/>
      <c r="BJ4192" s="5"/>
      <c r="BK4192" s="5"/>
      <c r="BL4192" s="5"/>
      <c r="BM4192" s="5"/>
      <c r="BN4192" s="5"/>
      <c r="BO4192" s="5"/>
      <c r="BP4192" s="5"/>
      <c r="BQ4192" s="5"/>
      <c r="BR4192" s="5"/>
      <c r="BS4192" s="5"/>
      <c r="BT4192" s="5"/>
      <c r="BU4192" s="5"/>
      <c r="BV4192" s="5"/>
      <c r="BW4192" s="5"/>
      <c r="BX4192" s="5"/>
      <c r="BY4192" s="5"/>
      <c r="BZ4192" s="5"/>
      <c r="CA4192" s="5"/>
    </row>
    <row r="4193" spans="1:79" s="400" customFormat="1" ht="15" customHeight="1">
      <c r="A4193" s="41" t="s">
        <v>183</v>
      </c>
      <c r="B4193" s="402" t="s">
        <v>1252</v>
      </c>
      <c r="C4193" s="113" t="s">
        <v>1253</v>
      </c>
      <c r="D4193" s="393" t="s">
        <v>192</v>
      </c>
      <c r="E4193" s="394" t="s">
        <v>1254</v>
      </c>
      <c r="F4193" s="402">
        <v>4000</v>
      </c>
      <c r="G4193" s="405" t="s">
        <v>1255</v>
      </c>
      <c r="H4193" s="404">
        <v>2621</v>
      </c>
      <c r="I4193" s="402" t="s">
        <v>1</v>
      </c>
      <c r="J4193" s="406" t="s">
        <v>1261</v>
      </c>
      <c r="K4193" s="403">
        <v>41710</v>
      </c>
      <c r="L4193" s="398">
        <v>41691</v>
      </c>
      <c r="M4193" s="402">
        <f t="shared" si="249"/>
        <v>19</v>
      </c>
      <c r="N4193" s="402" t="s">
        <v>1</v>
      </c>
      <c r="O4193" s="404"/>
      <c r="P4193" s="402">
        <v>7.58</v>
      </c>
      <c r="Q4193" s="404"/>
      <c r="R4193" s="402"/>
      <c r="S4193" s="404">
        <v>730</v>
      </c>
      <c r="T4193" s="402"/>
      <c r="U4193" s="395"/>
      <c r="V4193" s="402"/>
      <c r="W4193" s="404"/>
      <c r="X4193" s="402">
        <v>0.81100000000000005</v>
      </c>
      <c r="Y4193" s="404"/>
      <c r="Z4193" s="397"/>
      <c r="AA4193" s="399"/>
      <c r="AB4193" s="394"/>
      <c r="AC4193" s="402"/>
      <c r="AD4193" s="399"/>
      <c r="AE4193" s="402"/>
      <c r="AF4193" s="391"/>
      <c r="AG4193" s="394"/>
      <c r="AH4193" s="394"/>
      <c r="AI4193" s="394"/>
      <c r="AJ4193" s="394"/>
      <c r="AK4193" s="394"/>
      <c r="AL4193" s="394"/>
      <c r="AM4193" s="394"/>
      <c r="AN4193" s="394"/>
      <c r="AO4193" s="394"/>
      <c r="AP4193" s="394"/>
      <c r="AQ4193" s="394"/>
      <c r="AR4193" s="394"/>
      <c r="AS4193" s="402"/>
      <c r="AT4193" s="404"/>
      <c r="AU4193" s="394"/>
      <c r="AV4193" s="394"/>
      <c r="AW4193" s="394"/>
      <c r="AX4193" s="5"/>
      <c r="AY4193" s="5"/>
      <c r="AZ4193" s="5"/>
      <c r="BA4193" s="5"/>
      <c r="BB4193" s="5"/>
      <c r="BC4193" s="5"/>
      <c r="BD4193" s="5"/>
      <c r="BE4193" s="5"/>
      <c r="BF4193" s="5"/>
      <c r="BG4193" s="5"/>
      <c r="BH4193" s="5"/>
      <c r="BI4193" s="5"/>
      <c r="BJ4193" s="5"/>
      <c r="BK4193" s="5"/>
      <c r="BL4193" s="5"/>
      <c r="BM4193" s="5"/>
      <c r="BN4193" s="5"/>
      <c r="BO4193" s="5"/>
      <c r="BP4193" s="5"/>
      <c r="BQ4193" s="5"/>
      <c r="BR4193" s="5"/>
      <c r="BS4193" s="5"/>
      <c r="BT4193" s="5"/>
      <c r="BU4193" s="5"/>
      <c r="BV4193" s="5"/>
      <c r="BW4193" s="5"/>
      <c r="BX4193" s="5"/>
      <c r="BY4193" s="5"/>
      <c r="BZ4193" s="5"/>
      <c r="CA4193" s="5"/>
    </row>
    <row r="4194" spans="1:79" s="400" customFormat="1" ht="15" customHeight="1">
      <c r="A4194" s="41" t="s">
        <v>183</v>
      </c>
      <c r="B4194" s="402" t="s">
        <v>1252</v>
      </c>
      <c r="C4194" s="113" t="s">
        <v>1253</v>
      </c>
      <c r="D4194" s="393" t="s">
        <v>192</v>
      </c>
      <c r="E4194" s="394" t="s">
        <v>1254</v>
      </c>
      <c r="F4194" s="402">
        <v>4000</v>
      </c>
      <c r="G4194" s="405" t="s">
        <v>1255</v>
      </c>
      <c r="H4194" s="404">
        <v>2621</v>
      </c>
      <c r="I4194" s="402" t="s">
        <v>1</v>
      </c>
      <c r="J4194" s="406" t="s">
        <v>1258</v>
      </c>
      <c r="K4194" s="403">
        <v>41710</v>
      </c>
      <c r="L4194" s="398">
        <v>41691</v>
      </c>
      <c r="M4194" s="402">
        <f t="shared" si="249"/>
        <v>19</v>
      </c>
      <c r="N4194" s="402" t="s">
        <v>1</v>
      </c>
      <c r="O4194" s="404"/>
      <c r="P4194" s="402">
        <v>7.58</v>
      </c>
      <c r="Q4194" s="404"/>
      <c r="R4194" s="402"/>
      <c r="S4194" s="404"/>
      <c r="T4194" s="402"/>
      <c r="U4194" s="395"/>
      <c r="V4194" s="402"/>
      <c r="W4194" s="404"/>
      <c r="X4194" s="402">
        <v>0.61</v>
      </c>
      <c r="Y4194" s="404"/>
      <c r="Z4194" s="397"/>
      <c r="AA4194" s="399"/>
      <c r="AB4194" s="394"/>
      <c r="AC4194" s="402"/>
      <c r="AD4194" s="399"/>
      <c r="AE4194" s="402"/>
      <c r="AF4194" s="391"/>
      <c r="AG4194" s="394"/>
      <c r="AH4194" s="394"/>
      <c r="AI4194" s="394"/>
      <c r="AJ4194" s="394"/>
      <c r="AK4194" s="394"/>
      <c r="AL4194" s="394"/>
      <c r="AM4194" s="394"/>
      <c r="AN4194" s="394"/>
      <c r="AO4194" s="394"/>
      <c r="AP4194" s="394"/>
      <c r="AQ4194" s="394"/>
      <c r="AR4194" s="394"/>
      <c r="AS4194" s="402"/>
      <c r="AT4194" s="404"/>
      <c r="AU4194" s="394"/>
      <c r="AV4194" s="394"/>
      <c r="AW4194" s="394"/>
      <c r="AX4194" s="5"/>
      <c r="AY4194" s="5"/>
      <c r="AZ4194" s="5"/>
      <c r="BA4194" s="5"/>
      <c r="BB4194" s="5"/>
      <c r="BC4194" s="5"/>
      <c r="BD4194" s="5"/>
      <c r="BE4194" s="5"/>
      <c r="BF4194" s="5"/>
      <c r="BG4194" s="5"/>
      <c r="BH4194" s="5"/>
      <c r="BI4194" s="5"/>
      <c r="BJ4194" s="5"/>
      <c r="BK4194" s="5"/>
      <c r="BL4194" s="5"/>
      <c r="BM4194" s="5"/>
      <c r="BN4194" s="5"/>
      <c r="BO4194" s="5"/>
      <c r="BP4194" s="5"/>
      <c r="BQ4194" s="5"/>
      <c r="BR4194" s="5"/>
      <c r="BS4194" s="5"/>
      <c r="BT4194" s="5"/>
      <c r="BU4194" s="5"/>
      <c r="BV4194" s="5"/>
      <c r="BW4194" s="5"/>
      <c r="BX4194" s="5"/>
      <c r="BY4194" s="5"/>
      <c r="BZ4194" s="5"/>
      <c r="CA4194" s="5"/>
    </row>
    <row r="4195" spans="1:79" s="400" customFormat="1" ht="15" customHeight="1">
      <c r="A4195" s="41" t="s">
        <v>183</v>
      </c>
      <c r="B4195" s="402" t="s">
        <v>1252</v>
      </c>
      <c r="C4195" s="113" t="s">
        <v>1253</v>
      </c>
      <c r="D4195" s="393" t="s">
        <v>192</v>
      </c>
      <c r="E4195" s="394" t="s">
        <v>1254</v>
      </c>
      <c r="F4195" s="402">
        <v>4000</v>
      </c>
      <c r="G4195" s="405" t="s">
        <v>1255</v>
      </c>
      <c r="H4195" s="404">
        <v>2621</v>
      </c>
      <c r="I4195" s="402" t="s">
        <v>1</v>
      </c>
      <c r="J4195" s="406" t="s">
        <v>1259</v>
      </c>
      <c r="K4195" s="403">
        <v>41710</v>
      </c>
      <c r="L4195" s="398">
        <v>41691</v>
      </c>
      <c r="M4195" s="402">
        <f t="shared" si="249"/>
        <v>19</v>
      </c>
      <c r="N4195" s="402" t="s">
        <v>1</v>
      </c>
      <c r="O4195" s="404"/>
      <c r="P4195" s="402">
        <v>7.58</v>
      </c>
      <c r="Q4195" s="404"/>
      <c r="R4195" s="402"/>
      <c r="S4195" s="404"/>
      <c r="T4195" s="402"/>
      <c r="U4195" s="395"/>
      <c r="V4195" s="402"/>
      <c r="W4195" s="404"/>
      <c r="X4195" s="402">
        <v>0.93100000000000005</v>
      </c>
      <c r="Y4195" s="404"/>
      <c r="Z4195" s="397"/>
      <c r="AA4195" s="399"/>
      <c r="AB4195" s="394"/>
      <c r="AC4195" s="402"/>
      <c r="AD4195" s="399"/>
      <c r="AE4195" s="402"/>
      <c r="AF4195" s="391"/>
      <c r="AG4195" s="394"/>
      <c r="AH4195" s="394"/>
      <c r="AI4195" s="394"/>
      <c r="AJ4195" s="394"/>
      <c r="AK4195" s="394"/>
      <c r="AL4195" s="394"/>
      <c r="AM4195" s="394"/>
      <c r="AN4195" s="394"/>
      <c r="AO4195" s="394"/>
      <c r="AP4195" s="394"/>
      <c r="AQ4195" s="394"/>
      <c r="AR4195" s="394"/>
      <c r="AS4195" s="402"/>
      <c r="AT4195" s="404"/>
      <c r="AU4195" s="394"/>
      <c r="AV4195" s="394"/>
      <c r="AW4195" s="394"/>
      <c r="AX4195" s="5"/>
      <c r="AY4195" s="5"/>
      <c r="AZ4195" s="5"/>
      <c r="BA4195" s="5"/>
      <c r="BB4195" s="5"/>
      <c r="BC4195" s="5"/>
      <c r="BD4195" s="5"/>
      <c r="BE4195" s="5"/>
      <c r="BF4195" s="5"/>
      <c r="BG4195" s="5"/>
      <c r="BH4195" s="5"/>
      <c r="BI4195" s="5"/>
      <c r="BJ4195" s="5"/>
      <c r="BK4195" s="5"/>
      <c r="BL4195" s="5"/>
      <c r="BM4195" s="5"/>
      <c r="BN4195" s="5"/>
      <c r="BO4195" s="5"/>
      <c r="BP4195" s="5"/>
      <c r="BQ4195" s="5"/>
      <c r="BR4195" s="5"/>
      <c r="BS4195" s="5"/>
      <c r="BT4195" s="5"/>
      <c r="BU4195" s="5"/>
      <c r="BV4195" s="5"/>
      <c r="BW4195" s="5"/>
      <c r="BX4195" s="5"/>
      <c r="BY4195" s="5"/>
      <c r="BZ4195" s="5"/>
      <c r="CA4195" s="5"/>
    </row>
    <row r="4196" spans="1:79" s="400" customFormat="1" ht="15" customHeight="1">
      <c r="A4196" s="41" t="s">
        <v>183</v>
      </c>
      <c r="B4196" s="402" t="s">
        <v>2085</v>
      </c>
      <c r="C4196" s="113" t="s">
        <v>2086</v>
      </c>
      <c r="D4196" s="393" t="s">
        <v>290</v>
      </c>
      <c r="E4196" s="394" t="s">
        <v>2087</v>
      </c>
      <c r="F4196" s="402"/>
      <c r="G4196" s="405" t="s">
        <v>3596</v>
      </c>
      <c r="H4196" s="113">
        <v>5541</v>
      </c>
      <c r="I4196" s="391" t="s">
        <v>2</v>
      </c>
      <c r="J4196" s="401" t="s">
        <v>510</v>
      </c>
      <c r="K4196" s="403">
        <v>41710</v>
      </c>
      <c r="L4196" s="398">
        <v>41675</v>
      </c>
      <c r="M4196" s="402">
        <f t="shared" si="249"/>
        <v>35</v>
      </c>
      <c r="N4196" s="402" t="s">
        <v>2</v>
      </c>
      <c r="O4196" s="404"/>
      <c r="P4196" s="402"/>
      <c r="Q4196" s="404"/>
      <c r="R4196" s="402">
        <v>14</v>
      </c>
      <c r="S4196" s="404"/>
      <c r="T4196" s="402"/>
      <c r="U4196" s="395">
        <v>0.75</v>
      </c>
      <c r="V4196" s="402"/>
      <c r="W4196" s="404"/>
      <c r="X4196" s="402">
        <v>3.7999999999999999E-2</v>
      </c>
      <c r="Y4196" s="404"/>
      <c r="Z4196" s="397"/>
      <c r="AA4196" s="399"/>
      <c r="AB4196" s="394"/>
      <c r="AC4196" s="402"/>
      <c r="AD4196" s="399"/>
      <c r="AE4196" s="402"/>
      <c r="AF4196" s="391"/>
      <c r="AG4196" s="394"/>
      <c r="AH4196" s="394"/>
      <c r="AI4196" s="394"/>
      <c r="AJ4196" s="394"/>
      <c r="AK4196" s="394"/>
      <c r="AL4196" s="394"/>
      <c r="AM4196" s="394"/>
      <c r="AN4196" s="394"/>
      <c r="AO4196" s="394"/>
      <c r="AP4196" s="394"/>
      <c r="AQ4196" s="394"/>
      <c r="AR4196" s="394"/>
      <c r="AS4196" s="402"/>
      <c r="AT4196" s="404"/>
      <c r="AU4196" s="394"/>
      <c r="AV4196" s="394"/>
      <c r="AW4196" s="394"/>
      <c r="AX4196" s="5"/>
      <c r="AY4196" s="5"/>
      <c r="AZ4196" s="5"/>
      <c r="BA4196" s="5"/>
      <c r="BB4196" s="5"/>
      <c r="BC4196" s="5"/>
      <c r="BD4196" s="5"/>
      <c r="BE4196" s="5"/>
      <c r="BF4196" s="5"/>
      <c r="BG4196" s="5"/>
      <c r="BH4196" s="5"/>
      <c r="BI4196" s="5"/>
      <c r="BJ4196" s="5"/>
      <c r="BK4196" s="5"/>
      <c r="BL4196" s="5"/>
      <c r="BM4196" s="5"/>
      <c r="BN4196" s="5"/>
      <c r="BO4196" s="5"/>
      <c r="BP4196" s="5"/>
      <c r="BQ4196" s="5"/>
      <c r="BR4196" s="5"/>
      <c r="BS4196" s="5"/>
      <c r="BT4196" s="5"/>
      <c r="BU4196" s="5"/>
      <c r="BV4196" s="5"/>
      <c r="BW4196" s="5"/>
      <c r="BX4196" s="5"/>
      <c r="BY4196" s="5"/>
      <c r="BZ4196" s="5"/>
      <c r="CA4196" s="5"/>
    </row>
    <row r="4197" spans="1:79" s="400" customFormat="1" ht="15" customHeight="1">
      <c r="A4197" s="41" t="s">
        <v>183</v>
      </c>
      <c r="B4197" s="402" t="s">
        <v>2080</v>
      </c>
      <c r="C4197" s="113" t="s">
        <v>2081</v>
      </c>
      <c r="D4197" s="393" t="s">
        <v>78</v>
      </c>
      <c r="E4197" s="394" t="s">
        <v>2082</v>
      </c>
      <c r="F4197" s="402"/>
      <c r="G4197" s="405" t="s">
        <v>3595</v>
      </c>
      <c r="H4197" s="113">
        <v>5541</v>
      </c>
      <c r="I4197" s="391" t="s">
        <v>2</v>
      </c>
      <c r="J4197" s="401" t="s">
        <v>2083</v>
      </c>
      <c r="K4197" s="403">
        <v>41717</v>
      </c>
      <c r="L4197" s="398">
        <v>41689</v>
      </c>
      <c r="M4197" s="402">
        <f t="shared" si="249"/>
        <v>28</v>
      </c>
      <c r="N4197" s="402" t="s">
        <v>2</v>
      </c>
      <c r="O4197" s="404"/>
      <c r="P4197" s="402"/>
      <c r="Q4197" s="404"/>
      <c r="R4197" s="402">
        <v>27</v>
      </c>
      <c r="S4197" s="404"/>
      <c r="T4197" s="402">
        <v>7.0000000000000007E-2</v>
      </c>
      <c r="U4197" s="395">
        <v>2.76</v>
      </c>
      <c r="V4197" s="402"/>
      <c r="W4197" s="404"/>
      <c r="X4197" s="402">
        <v>7.0000000000000007E-2</v>
      </c>
      <c r="Y4197" s="404"/>
      <c r="Z4197" s="397"/>
      <c r="AA4197" s="399"/>
      <c r="AB4197" s="394"/>
      <c r="AC4197" s="402"/>
      <c r="AD4197" s="399"/>
      <c r="AE4197" s="402"/>
      <c r="AF4197" s="391"/>
      <c r="AG4197" s="394"/>
      <c r="AH4197" s="394"/>
      <c r="AI4197" s="394"/>
      <c r="AJ4197" s="394"/>
      <c r="AK4197" s="394"/>
      <c r="AL4197" s="394"/>
      <c r="AM4197" s="394"/>
      <c r="AN4197" s="394"/>
      <c r="AO4197" s="394"/>
      <c r="AP4197" s="394"/>
      <c r="AQ4197" s="394"/>
      <c r="AR4197" s="394"/>
      <c r="AS4197" s="402"/>
      <c r="AT4197" s="404"/>
      <c r="AU4197" s="394"/>
      <c r="AV4197" s="394"/>
      <c r="AW4197" s="394"/>
      <c r="AX4197" s="5"/>
      <c r="AY4197" s="5"/>
      <c r="AZ4197" s="5"/>
      <c r="BA4197" s="5"/>
      <c r="BB4197" s="5"/>
      <c r="BC4197" s="5"/>
      <c r="BD4197" s="5"/>
      <c r="BE4197" s="5"/>
      <c r="BF4197" s="5"/>
      <c r="BG4197" s="5"/>
      <c r="BH4197" s="5"/>
      <c r="BI4197" s="5"/>
      <c r="BJ4197" s="5"/>
      <c r="BK4197" s="5"/>
      <c r="BL4197" s="5"/>
      <c r="BM4197" s="5"/>
      <c r="BN4197" s="5"/>
      <c r="BO4197" s="5"/>
      <c r="BP4197" s="5"/>
      <c r="BQ4197" s="5"/>
      <c r="BR4197" s="5"/>
      <c r="BS4197" s="5"/>
      <c r="BT4197" s="5"/>
      <c r="BU4197" s="5"/>
      <c r="BV4197" s="5"/>
      <c r="BW4197" s="5"/>
      <c r="BX4197" s="5"/>
      <c r="BY4197" s="5"/>
      <c r="BZ4197" s="5"/>
      <c r="CA4197" s="5"/>
    </row>
    <row r="4198" spans="1:79" s="400" customFormat="1" ht="15" customHeight="1">
      <c r="A4198" s="41" t="s">
        <v>183</v>
      </c>
      <c r="B4198" s="402" t="s">
        <v>2080</v>
      </c>
      <c r="C4198" s="113" t="s">
        <v>2081</v>
      </c>
      <c r="D4198" s="393" t="s">
        <v>78</v>
      </c>
      <c r="E4198" s="394" t="s">
        <v>2082</v>
      </c>
      <c r="F4198" s="402"/>
      <c r="G4198" s="405" t="s">
        <v>3595</v>
      </c>
      <c r="H4198" s="113">
        <v>5541</v>
      </c>
      <c r="I4198" s="391" t="s">
        <v>2</v>
      </c>
      <c r="J4198" s="401" t="s">
        <v>2084</v>
      </c>
      <c r="K4198" s="403">
        <v>41717</v>
      </c>
      <c r="L4198" s="398">
        <v>41689</v>
      </c>
      <c r="M4198" s="402">
        <f t="shared" si="249"/>
        <v>28</v>
      </c>
      <c r="N4198" s="402" t="s">
        <v>2</v>
      </c>
      <c r="O4198" s="404"/>
      <c r="P4198" s="402"/>
      <c r="Q4198" s="404"/>
      <c r="R4198" s="402">
        <v>14</v>
      </c>
      <c r="S4198" s="404"/>
      <c r="T4198" s="402"/>
      <c r="U4198" s="395">
        <v>1.68</v>
      </c>
      <c r="V4198" s="402"/>
      <c r="W4198" s="404"/>
      <c r="X4198" s="402">
        <v>3.1E-2</v>
      </c>
      <c r="Y4198" s="404"/>
      <c r="Z4198" s="397"/>
      <c r="AA4198" s="399"/>
      <c r="AB4198" s="394"/>
      <c r="AC4198" s="402"/>
      <c r="AD4198" s="399"/>
      <c r="AE4198" s="402"/>
      <c r="AF4198" s="391"/>
      <c r="AG4198" s="394"/>
      <c r="AH4198" s="394"/>
      <c r="AI4198" s="394"/>
      <c r="AJ4198" s="394"/>
      <c r="AK4198" s="394"/>
      <c r="AL4198" s="394"/>
      <c r="AM4198" s="394"/>
      <c r="AN4198" s="394"/>
      <c r="AO4198" s="394"/>
      <c r="AP4198" s="394"/>
      <c r="AQ4198" s="394"/>
      <c r="AR4198" s="394"/>
      <c r="AS4198" s="402"/>
      <c r="AT4198" s="404"/>
      <c r="AU4198" s="394"/>
      <c r="AV4198" s="394"/>
      <c r="AW4198" s="394"/>
      <c r="AX4198" s="5"/>
      <c r="AY4198" s="5"/>
      <c r="AZ4198" s="5"/>
      <c r="BA4198" s="5"/>
      <c r="BB4198" s="5"/>
      <c r="BC4198" s="5"/>
      <c r="BD4198" s="5"/>
      <c r="BE4198" s="5"/>
      <c r="BF4198" s="5"/>
      <c r="BG4198" s="5"/>
      <c r="BH4198" s="5"/>
      <c r="BI4198" s="5"/>
      <c r="BJ4198" s="5"/>
      <c r="BK4198" s="5"/>
      <c r="BL4198" s="5"/>
      <c r="BM4198" s="5"/>
      <c r="BN4198" s="5"/>
      <c r="BO4198" s="5"/>
      <c r="BP4198" s="5"/>
      <c r="BQ4198" s="5"/>
      <c r="BR4198" s="5"/>
      <c r="BS4198" s="5"/>
      <c r="BT4198" s="5"/>
      <c r="BU4198" s="5"/>
      <c r="BV4198" s="5"/>
      <c r="BW4198" s="5"/>
      <c r="BX4198" s="5"/>
      <c r="BY4198" s="5"/>
      <c r="BZ4198" s="5"/>
      <c r="CA4198" s="5"/>
    </row>
    <row r="4199" spans="1:79" ht="15" customHeight="1">
      <c r="A4199" s="404" t="s">
        <v>4668</v>
      </c>
      <c r="B4199" s="402" t="s">
        <v>3287</v>
      </c>
      <c r="C4199" s="113" t="s">
        <v>3287</v>
      </c>
      <c r="D4199" s="393" t="s">
        <v>462</v>
      </c>
      <c r="E4199" s="394" t="s">
        <v>3290</v>
      </c>
      <c r="F4199" s="402">
        <v>4003</v>
      </c>
      <c r="G4199" s="405" t="s">
        <v>3291</v>
      </c>
      <c r="H4199" s="74">
        <v>3471</v>
      </c>
      <c r="I4199" s="50" t="s">
        <v>2</v>
      </c>
      <c r="J4199" s="339" t="s">
        <v>3187</v>
      </c>
      <c r="K4199" s="51">
        <v>41710</v>
      </c>
      <c r="L4199" s="173">
        <v>41691</v>
      </c>
      <c r="M4199" s="50">
        <f t="shared" si="249"/>
        <v>19</v>
      </c>
      <c r="N4199" s="50" t="s">
        <v>1</v>
      </c>
      <c r="O4199" s="74">
        <v>6.2</v>
      </c>
      <c r="P4199" s="50">
        <v>6.3</v>
      </c>
      <c r="Q4199" s="74">
        <v>6.8</v>
      </c>
      <c r="R4199" s="50">
        <v>440</v>
      </c>
      <c r="S4199" s="74">
        <v>350</v>
      </c>
      <c r="T4199" s="50">
        <v>0.19</v>
      </c>
      <c r="U4199" s="131">
        <v>6.4</v>
      </c>
      <c r="V4199" s="50">
        <v>3.3</v>
      </c>
      <c r="W4199" s="74">
        <v>9.7000000000000003E-2</v>
      </c>
      <c r="X4199" s="50">
        <v>0.32</v>
      </c>
      <c r="Y4199" s="74">
        <v>1.7999999999999999E-2</v>
      </c>
      <c r="Z4199" s="165">
        <v>1</v>
      </c>
      <c r="AA4199" s="271">
        <v>1</v>
      </c>
      <c r="AB4199" s="114">
        <v>700</v>
      </c>
      <c r="AC4199" s="50">
        <v>6070</v>
      </c>
      <c r="AD4199" s="271">
        <v>0.85</v>
      </c>
    </row>
    <row r="4200" spans="1:79" ht="15" customHeight="1">
      <c r="A4200" s="404" t="s">
        <v>4668</v>
      </c>
      <c r="B4200" s="402" t="s">
        <v>3287</v>
      </c>
      <c r="C4200" s="113" t="s">
        <v>3287</v>
      </c>
      <c r="D4200" s="393" t="s">
        <v>462</v>
      </c>
      <c r="E4200" s="394" t="s">
        <v>3290</v>
      </c>
      <c r="F4200" s="402">
        <v>4003</v>
      </c>
      <c r="G4200" s="405" t="s">
        <v>3291</v>
      </c>
      <c r="H4200" s="74">
        <v>3471</v>
      </c>
      <c r="I4200" s="50" t="s">
        <v>2</v>
      </c>
      <c r="J4200" s="339" t="s">
        <v>3292</v>
      </c>
      <c r="K4200" s="51">
        <v>41710</v>
      </c>
      <c r="L4200" s="173">
        <v>41691</v>
      </c>
      <c r="M4200" s="50">
        <f t="shared" si="249"/>
        <v>19</v>
      </c>
      <c r="N4200" s="50" t="s">
        <v>1</v>
      </c>
      <c r="O4200" s="74">
        <f>1.8/2</f>
        <v>0.9</v>
      </c>
      <c r="P4200" s="50">
        <v>6.3</v>
      </c>
      <c r="Q4200" s="74">
        <v>6.7</v>
      </c>
      <c r="R4200" s="50">
        <v>40</v>
      </c>
      <c r="S4200" s="74">
        <v>26</v>
      </c>
      <c r="T4200" s="50">
        <v>0.15</v>
      </c>
      <c r="U4200" s="131">
        <v>1.1000000000000001</v>
      </c>
      <c r="V4200" s="50">
        <v>0.22</v>
      </c>
      <c r="W4200" s="74">
        <v>7.7000000000000002E-3</v>
      </c>
      <c r="X4200" s="50">
        <f>0.01/2</f>
        <v>5.0000000000000001E-3</v>
      </c>
      <c r="Y4200" s="74">
        <f>0.005/2</f>
        <v>2.5000000000000001E-3</v>
      </c>
      <c r="Z4200" s="165">
        <v>1</v>
      </c>
      <c r="AA4200" s="271">
        <v>1</v>
      </c>
      <c r="AB4200" s="114">
        <v>20</v>
      </c>
      <c r="AC4200" s="50">
        <v>289</v>
      </c>
      <c r="AD4200" s="271">
        <v>1</v>
      </c>
    </row>
    <row r="4201" spans="1:79" ht="15" customHeight="1">
      <c r="A4201" s="404" t="s">
        <v>4668</v>
      </c>
      <c r="B4201" s="402" t="s">
        <v>3287</v>
      </c>
      <c r="C4201" s="113" t="s">
        <v>3287</v>
      </c>
      <c r="D4201" s="393" t="s">
        <v>462</v>
      </c>
      <c r="E4201" s="394" t="s">
        <v>6434</v>
      </c>
      <c r="F4201" s="402">
        <v>4003</v>
      </c>
      <c r="G4201" s="405" t="s">
        <v>3289</v>
      </c>
      <c r="H4201" s="74">
        <v>3471</v>
      </c>
      <c r="I4201" s="50" t="s">
        <v>2</v>
      </c>
      <c r="J4201" s="339" t="s">
        <v>3187</v>
      </c>
      <c r="K4201" s="51">
        <v>41710</v>
      </c>
      <c r="L4201" s="173">
        <v>41691</v>
      </c>
      <c r="M4201" s="50">
        <f t="shared" si="249"/>
        <v>19</v>
      </c>
      <c r="N4201" s="50" t="s">
        <v>1</v>
      </c>
      <c r="O4201" s="74">
        <f>1.5/2</f>
        <v>0.75</v>
      </c>
      <c r="P4201" s="50">
        <v>6.3</v>
      </c>
      <c r="Q4201" s="74">
        <v>6.4</v>
      </c>
      <c r="R4201" s="50">
        <v>76</v>
      </c>
      <c r="S4201" s="74">
        <v>42</v>
      </c>
      <c r="T4201" s="50">
        <v>0.81</v>
      </c>
      <c r="U4201" s="131">
        <v>1.3</v>
      </c>
      <c r="V4201" s="50">
        <v>1.3</v>
      </c>
      <c r="W4201" s="74">
        <f>0.005/2</f>
        <v>2.5000000000000001E-3</v>
      </c>
      <c r="X4201" s="50">
        <v>1.4999999999999999E-2</v>
      </c>
      <c r="Y4201" s="74">
        <f>0.005/2</f>
        <v>2.5000000000000001E-3</v>
      </c>
      <c r="Z4201" s="165">
        <v>1</v>
      </c>
      <c r="AA4201" s="271">
        <v>1</v>
      </c>
      <c r="AB4201" s="114">
        <v>10</v>
      </c>
      <c r="AC4201" s="50">
        <v>57</v>
      </c>
      <c r="AD4201" s="271">
        <v>1</v>
      </c>
    </row>
    <row r="4202" spans="1:79" s="400" customFormat="1" ht="15" customHeight="1">
      <c r="A4202" s="41" t="s">
        <v>183</v>
      </c>
      <c r="B4202" s="402" t="s">
        <v>212</v>
      </c>
      <c r="C4202" s="113" t="s">
        <v>212</v>
      </c>
      <c r="D4202" s="393" t="s">
        <v>213</v>
      </c>
      <c r="E4202" s="394" t="s">
        <v>214</v>
      </c>
      <c r="F4202" s="402"/>
      <c r="G4202" s="405" t="s">
        <v>215</v>
      </c>
      <c r="H4202" s="404">
        <v>3442</v>
      </c>
      <c r="I4202" s="402" t="s">
        <v>2</v>
      </c>
      <c r="J4202" s="406" t="s">
        <v>6360</v>
      </c>
      <c r="K4202" s="403">
        <v>41744</v>
      </c>
      <c r="L4202" s="398">
        <v>41740</v>
      </c>
      <c r="M4202" s="402">
        <f t="shared" si="249"/>
        <v>4</v>
      </c>
      <c r="N4202" s="402" t="s">
        <v>2</v>
      </c>
      <c r="O4202" s="404"/>
      <c r="P4202" s="402"/>
      <c r="Q4202" s="404">
        <v>4.8</v>
      </c>
      <c r="R4202" s="402"/>
      <c r="S4202" s="404"/>
      <c r="T4202" s="402"/>
      <c r="U4202" s="395">
        <f>1.6/2</f>
        <v>0.8</v>
      </c>
      <c r="V4202" s="402"/>
      <c r="W4202" s="404"/>
      <c r="X4202" s="402">
        <v>0.123</v>
      </c>
      <c r="Y4202" s="404"/>
      <c r="Z4202" s="397"/>
      <c r="AA4202" s="399"/>
      <c r="AB4202" s="394"/>
      <c r="AC4202" s="402"/>
      <c r="AD4202" s="399"/>
      <c r="AE4202" s="402"/>
      <c r="AF4202" s="391"/>
      <c r="AG4202" s="394"/>
      <c r="AH4202" s="394"/>
      <c r="AI4202" s="394"/>
      <c r="AJ4202" s="394"/>
      <c r="AK4202" s="394"/>
      <c r="AL4202" s="394"/>
      <c r="AM4202" s="394"/>
      <c r="AN4202" s="394"/>
      <c r="AO4202" s="394"/>
      <c r="AP4202" s="394"/>
      <c r="AQ4202" s="394"/>
      <c r="AR4202" s="394"/>
      <c r="AS4202" s="402"/>
      <c r="AT4202" s="404"/>
      <c r="AU4202" s="394"/>
      <c r="AV4202" s="394"/>
      <c r="AW4202" s="394"/>
      <c r="AX4202" s="5"/>
      <c r="AY4202" s="5"/>
      <c r="AZ4202" s="5"/>
      <c r="BA4202" s="5"/>
      <c r="BB4202" s="5"/>
      <c r="BC4202" s="5"/>
      <c r="BD4202" s="5"/>
      <c r="BE4202" s="5"/>
      <c r="BF4202" s="5"/>
      <c r="BG4202" s="5"/>
      <c r="BH4202" s="5"/>
      <c r="BI4202" s="5"/>
      <c r="BJ4202" s="5"/>
      <c r="BK4202" s="5"/>
      <c r="BL4202" s="5"/>
      <c r="BM4202" s="5"/>
      <c r="BN4202" s="5"/>
      <c r="BO4202" s="5"/>
      <c r="BP4202" s="5"/>
      <c r="BQ4202" s="5"/>
      <c r="BR4202" s="5"/>
      <c r="BS4202" s="5"/>
      <c r="BT4202" s="5"/>
      <c r="BU4202" s="5"/>
      <c r="BV4202" s="5"/>
      <c r="BW4202" s="5"/>
      <c r="BX4202" s="5"/>
      <c r="BY4202" s="5"/>
      <c r="BZ4202" s="5"/>
      <c r="CA4202" s="5"/>
    </row>
    <row r="4203" spans="1:79" s="400" customFormat="1" ht="15" customHeight="1">
      <c r="A4203" s="41" t="s">
        <v>183</v>
      </c>
      <c r="B4203" s="402" t="s">
        <v>212</v>
      </c>
      <c r="C4203" s="113" t="s">
        <v>212</v>
      </c>
      <c r="D4203" s="393" t="s">
        <v>213</v>
      </c>
      <c r="E4203" s="394" t="s">
        <v>214</v>
      </c>
      <c r="F4203" s="402"/>
      <c r="G4203" s="405" t="s">
        <v>215</v>
      </c>
      <c r="H4203" s="404">
        <v>3442</v>
      </c>
      <c r="I4203" s="402" t="s">
        <v>2</v>
      </c>
      <c r="J4203" s="406" t="s">
        <v>641</v>
      </c>
      <c r="K4203" s="403">
        <v>41744</v>
      </c>
      <c r="L4203" s="398">
        <v>41740</v>
      </c>
      <c r="M4203" s="402">
        <f t="shared" si="249"/>
        <v>4</v>
      </c>
      <c r="N4203" s="402" t="s">
        <v>2</v>
      </c>
      <c r="O4203" s="404"/>
      <c r="P4203" s="402"/>
      <c r="Q4203" s="404"/>
      <c r="R4203" s="402"/>
      <c r="S4203" s="404"/>
      <c r="T4203" s="402"/>
      <c r="U4203" s="395"/>
      <c r="V4203" s="402">
        <f>0.46/2</f>
        <v>0.23</v>
      </c>
      <c r="W4203" s="404"/>
      <c r="X4203" s="402"/>
      <c r="Y4203" s="404"/>
      <c r="Z4203" s="397"/>
      <c r="AA4203" s="399"/>
      <c r="AB4203" s="394"/>
      <c r="AC4203" s="402"/>
      <c r="AD4203" s="399"/>
      <c r="AE4203" s="402"/>
      <c r="AF4203" s="391"/>
      <c r="AG4203" s="394"/>
      <c r="AH4203" s="394"/>
      <c r="AI4203" s="394"/>
      <c r="AJ4203" s="394"/>
      <c r="AK4203" s="394"/>
      <c r="AL4203" s="394"/>
      <c r="AM4203" s="394"/>
      <c r="AN4203" s="394"/>
      <c r="AO4203" s="394"/>
      <c r="AP4203" s="394"/>
      <c r="AQ4203" s="394"/>
      <c r="AR4203" s="394"/>
      <c r="AS4203" s="402"/>
      <c r="AT4203" s="404"/>
      <c r="AU4203" s="394"/>
      <c r="AV4203" s="394"/>
      <c r="AW4203" s="394"/>
      <c r="AX4203" s="5"/>
      <c r="AY4203" s="5"/>
      <c r="AZ4203" s="5"/>
      <c r="BA4203" s="5"/>
      <c r="BB4203" s="5"/>
      <c r="BC4203" s="5"/>
      <c r="BD4203" s="5"/>
      <c r="BE4203" s="5"/>
      <c r="BF4203" s="5"/>
      <c r="BG4203" s="5"/>
      <c r="BH4203" s="5"/>
      <c r="BI4203" s="5"/>
      <c r="BJ4203" s="5"/>
      <c r="BK4203" s="5"/>
      <c r="BL4203" s="5"/>
      <c r="BM4203" s="5"/>
      <c r="BN4203" s="5"/>
      <c r="BO4203" s="5"/>
      <c r="BP4203" s="5"/>
      <c r="BQ4203" s="5"/>
      <c r="BR4203" s="5"/>
      <c r="BS4203" s="5"/>
      <c r="BT4203" s="5"/>
      <c r="BU4203" s="5"/>
      <c r="BV4203" s="5"/>
      <c r="BW4203" s="5"/>
      <c r="BX4203" s="5"/>
      <c r="BY4203" s="5"/>
      <c r="BZ4203" s="5"/>
      <c r="CA4203" s="5"/>
    </row>
    <row r="4204" spans="1:79" s="400" customFormat="1" ht="15" customHeight="1">
      <c r="A4204" s="41" t="s">
        <v>183</v>
      </c>
      <c r="B4204" s="402" t="s">
        <v>212</v>
      </c>
      <c r="C4204" s="113" t="s">
        <v>212</v>
      </c>
      <c r="D4204" s="393" t="s">
        <v>213</v>
      </c>
      <c r="E4204" s="394" t="s">
        <v>214</v>
      </c>
      <c r="F4204" s="402"/>
      <c r="G4204" s="405" t="s">
        <v>215</v>
      </c>
      <c r="H4204" s="404">
        <v>3442</v>
      </c>
      <c r="I4204" s="402" t="s">
        <v>2</v>
      </c>
      <c r="J4204" s="406" t="s">
        <v>6435</v>
      </c>
      <c r="K4204" s="403">
        <v>41744</v>
      </c>
      <c r="L4204" s="398">
        <v>41740</v>
      </c>
      <c r="M4204" s="402">
        <f t="shared" si="249"/>
        <v>4</v>
      </c>
      <c r="N4204" s="402" t="s">
        <v>2</v>
      </c>
      <c r="O4204" s="404"/>
      <c r="P4204" s="402"/>
      <c r="Q4204" s="404"/>
      <c r="R4204" s="402">
        <f>20/2</f>
        <v>10</v>
      </c>
      <c r="S4204" s="404"/>
      <c r="T4204" s="402"/>
      <c r="U4204" s="395">
        <v>1.6</v>
      </c>
      <c r="V4204" s="402"/>
      <c r="W4204" s="404"/>
      <c r="X4204" s="402">
        <v>0.06</v>
      </c>
      <c r="Y4204" s="404"/>
      <c r="Z4204" s="397"/>
      <c r="AA4204" s="399"/>
      <c r="AB4204" s="394"/>
      <c r="AC4204" s="402"/>
      <c r="AD4204" s="399"/>
      <c r="AE4204" s="402"/>
      <c r="AF4204" s="391"/>
      <c r="AG4204" s="394"/>
      <c r="AH4204" s="394"/>
      <c r="AI4204" s="394"/>
      <c r="AJ4204" s="394"/>
      <c r="AK4204" s="394"/>
      <c r="AL4204" s="394"/>
      <c r="AM4204" s="394"/>
      <c r="AN4204" s="394"/>
      <c r="AO4204" s="394"/>
      <c r="AP4204" s="394"/>
      <c r="AQ4204" s="394"/>
      <c r="AR4204" s="394"/>
      <c r="AS4204" s="402"/>
      <c r="AT4204" s="404"/>
      <c r="AU4204" s="394"/>
      <c r="AV4204" s="394"/>
      <c r="AW4204" s="394"/>
      <c r="AX4204" s="5"/>
      <c r="AY4204" s="5"/>
      <c r="AZ4204" s="5"/>
      <c r="BA4204" s="5"/>
      <c r="BB4204" s="5"/>
      <c r="BC4204" s="5"/>
      <c r="BD4204" s="5"/>
      <c r="BE4204" s="5"/>
      <c r="BF4204" s="5"/>
      <c r="BG4204" s="5"/>
      <c r="BH4204" s="5"/>
      <c r="BI4204" s="5"/>
      <c r="BJ4204" s="5"/>
      <c r="BK4204" s="5"/>
      <c r="BL4204" s="5"/>
      <c r="BM4204" s="5"/>
      <c r="BN4204" s="5"/>
      <c r="BO4204" s="5"/>
      <c r="BP4204" s="5"/>
      <c r="BQ4204" s="5"/>
      <c r="BR4204" s="5"/>
      <c r="BS4204" s="5"/>
      <c r="BT4204" s="5"/>
      <c r="BU4204" s="5"/>
      <c r="BV4204" s="5"/>
      <c r="BW4204" s="5"/>
      <c r="BX4204" s="5"/>
      <c r="BY4204" s="5"/>
      <c r="BZ4204" s="5"/>
      <c r="CA4204" s="5"/>
    </row>
    <row r="4205" spans="1:79" s="400" customFormat="1" ht="15" customHeight="1">
      <c r="A4205" s="41" t="s">
        <v>183</v>
      </c>
      <c r="B4205" s="402" t="s">
        <v>212</v>
      </c>
      <c r="C4205" s="113" t="s">
        <v>212</v>
      </c>
      <c r="D4205" s="393" t="s">
        <v>213</v>
      </c>
      <c r="E4205" s="394" t="s">
        <v>214</v>
      </c>
      <c r="F4205" s="402"/>
      <c r="G4205" s="405" t="s">
        <v>215</v>
      </c>
      <c r="H4205" s="404">
        <v>3442</v>
      </c>
      <c r="I4205" s="402" t="s">
        <v>2</v>
      </c>
      <c r="J4205" s="406" t="s">
        <v>1786</v>
      </c>
      <c r="K4205" s="403">
        <v>41744</v>
      </c>
      <c r="L4205" s="398">
        <v>41740</v>
      </c>
      <c r="M4205" s="402">
        <f t="shared" si="249"/>
        <v>4</v>
      </c>
      <c r="N4205" s="402" t="s">
        <v>2</v>
      </c>
      <c r="O4205" s="404"/>
      <c r="P4205" s="402"/>
      <c r="Q4205" s="404"/>
      <c r="R4205" s="402">
        <f>20/2</f>
        <v>10</v>
      </c>
      <c r="S4205" s="404"/>
      <c r="T4205" s="402"/>
      <c r="U4205" s="395"/>
      <c r="V4205" s="402">
        <v>0.61</v>
      </c>
      <c r="W4205" s="404"/>
      <c r="X4205" s="402"/>
      <c r="Y4205" s="404"/>
      <c r="Z4205" s="397"/>
      <c r="AA4205" s="399"/>
      <c r="AB4205" s="394"/>
      <c r="AC4205" s="402"/>
      <c r="AD4205" s="399"/>
      <c r="AE4205" s="402"/>
      <c r="AF4205" s="391"/>
      <c r="AG4205" s="394"/>
      <c r="AH4205" s="394"/>
      <c r="AI4205" s="394"/>
      <c r="AJ4205" s="394"/>
      <c r="AK4205" s="394"/>
      <c r="AL4205" s="394"/>
      <c r="AM4205" s="394"/>
      <c r="AN4205" s="394"/>
      <c r="AO4205" s="394"/>
      <c r="AP4205" s="394"/>
      <c r="AQ4205" s="394"/>
      <c r="AR4205" s="394"/>
      <c r="AS4205" s="402"/>
      <c r="AT4205" s="404"/>
      <c r="AU4205" s="394"/>
      <c r="AV4205" s="394"/>
      <c r="AW4205" s="394"/>
      <c r="AX4205" s="5"/>
      <c r="AY4205" s="5"/>
      <c r="AZ4205" s="5"/>
      <c r="BA4205" s="5"/>
      <c r="BB4205" s="5"/>
      <c r="BC4205" s="5"/>
      <c r="BD4205" s="5"/>
      <c r="BE4205" s="5"/>
      <c r="BF4205" s="5"/>
      <c r="BG4205" s="5"/>
      <c r="BH4205" s="5"/>
      <c r="BI4205" s="5"/>
      <c r="BJ4205" s="5"/>
      <c r="BK4205" s="5"/>
      <c r="BL4205" s="5"/>
      <c r="BM4205" s="5"/>
      <c r="BN4205" s="5"/>
      <c r="BO4205" s="5"/>
      <c r="BP4205" s="5"/>
      <c r="BQ4205" s="5"/>
      <c r="BR4205" s="5"/>
      <c r="BS4205" s="5"/>
      <c r="BT4205" s="5"/>
      <c r="BU4205" s="5"/>
      <c r="BV4205" s="5"/>
      <c r="BW4205" s="5"/>
      <c r="BX4205" s="5"/>
      <c r="BY4205" s="5"/>
      <c r="BZ4205" s="5"/>
      <c r="CA4205" s="5"/>
    </row>
    <row r="4206" spans="1:79" ht="15" customHeight="1">
      <c r="A4206" s="404" t="s">
        <v>4668</v>
      </c>
      <c r="B4206" s="386" t="s">
        <v>2505</v>
      </c>
      <c r="C4206" s="149" t="s">
        <v>2505</v>
      </c>
      <c r="D4206" s="393" t="s">
        <v>480</v>
      </c>
      <c r="E4206" s="394" t="s">
        <v>5765</v>
      </c>
      <c r="F4206" s="402">
        <v>4013</v>
      </c>
      <c r="G4206" s="405" t="s">
        <v>2506</v>
      </c>
      <c r="H4206" s="74"/>
      <c r="I4206" s="50" t="s">
        <v>2</v>
      </c>
      <c r="J4206" s="339" t="s">
        <v>5778</v>
      </c>
      <c r="K4206" s="51">
        <v>41737</v>
      </c>
      <c r="L4206" s="173"/>
      <c r="N4206" s="50" t="s">
        <v>2</v>
      </c>
      <c r="O4206" s="74">
        <v>1.6</v>
      </c>
      <c r="Q4206" s="74">
        <v>4.12</v>
      </c>
      <c r="R4206" s="50">
        <v>55.8</v>
      </c>
      <c r="S4206" s="74">
        <v>3</v>
      </c>
      <c r="T4206" s="50">
        <v>0.06</v>
      </c>
      <c r="U4206" s="131">
        <v>1.3</v>
      </c>
      <c r="V4206" s="50">
        <v>0.38</v>
      </c>
      <c r="W4206" s="74">
        <v>1.9E-2</v>
      </c>
      <c r="X4206" s="50">
        <v>0.16700000000000001</v>
      </c>
      <c r="Y4206" s="74">
        <f>0.002/2</f>
        <v>1E-3</v>
      </c>
      <c r="Z4206" s="165"/>
    </row>
    <row r="4207" spans="1:79" ht="15" customHeight="1">
      <c r="A4207" s="404" t="s">
        <v>4668</v>
      </c>
      <c r="B4207" s="402" t="s">
        <v>3700</v>
      </c>
      <c r="C4207" s="113" t="s">
        <v>3700</v>
      </c>
      <c r="D4207" s="393" t="s">
        <v>379</v>
      </c>
      <c r="G4207" s="405" t="s">
        <v>3701</v>
      </c>
      <c r="H4207" s="74">
        <v>332813</v>
      </c>
      <c r="J4207" s="48" t="s">
        <v>3702</v>
      </c>
      <c r="K4207" s="51">
        <v>41736</v>
      </c>
      <c r="L4207" s="173">
        <v>41729</v>
      </c>
      <c r="M4207" s="50">
        <f t="shared" si="249"/>
        <v>7</v>
      </c>
      <c r="N4207" s="50" t="s">
        <v>2</v>
      </c>
      <c r="O4207" s="74">
        <v>2</v>
      </c>
      <c r="P4207" s="50">
        <v>6.68</v>
      </c>
      <c r="Q4207" s="74">
        <v>6.65</v>
      </c>
      <c r="R4207" s="50">
        <v>21.8</v>
      </c>
      <c r="S4207" s="74">
        <v>77</v>
      </c>
      <c r="T4207" s="50">
        <v>0.09</v>
      </c>
      <c r="U4207" s="131">
        <v>1.7</v>
      </c>
      <c r="V4207" s="50">
        <v>0.37</v>
      </c>
      <c r="W4207" s="74">
        <f>0.01/2</f>
        <v>5.0000000000000001E-3</v>
      </c>
      <c r="X4207" s="50">
        <v>0.02</v>
      </c>
      <c r="Y4207" s="74">
        <f>0.02/2</f>
        <v>0.01</v>
      </c>
      <c r="Z4207" s="165">
        <v>1</v>
      </c>
      <c r="AA4207" s="271">
        <v>1</v>
      </c>
      <c r="AB4207" s="114">
        <v>11.8</v>
      </c>
      <c r="AC4207" s="50">
        <v>35.200000000000003</v>
      </c>
      <c r="AD4207" s="271">
        <v>1</v>
      </c>
    </row>
    <row r="4208" spans="1:79" s="400" customFormat="1" ht="15" customHeight="1">
      <c r="A4208" s="41" t="s">
        <v>183</v>
      </c>
      <c r="B4208" s="402" t="s">
        <v>1922</v>
      </c>
      <c r="C4208" s="113" t="s">
        <v>1922</v>
      </c>
      <c r="D4208" s="393" t="s">
        <v>308</v>
      </c>
      <c r="E4208" s="394" t="s">
        <v>1923</v>
      </c>
      <c r="F4208" s="402">
        <v>6905</v>
      </c>
      <c r="G4208" s="405" t="s">
        <v>1924</v>
      </c>
      <c r="H4208" s="404">
        <v>3321</v>
      </c>
      <c r="I4208" s="402" t="s">
        <v>2</v>
      </c>
      <c r="J4208" s="401" t="s">
        <v>1925</v>
      </c>
      <c r="K4208" s="403">
        <v>41726</v>
      </c>
      <c r="L4208" s="398" t="s">
        <v>3434</v>
      </c>
      <c r="M4208" s="402"/>
      <c r="N4208" s="402" t="s">
        <v>2</v>
      </c>
      <c r="O4208" s="404">
        <f>2.5/2</f>
        <v>1.25</v>
      </c>
      <c r="P4208" s="402">
        <v>6.4</v>
      </c>
      <c r="Q4208" s="404">
        <v>6.8</v>
      </c>
      <c r="R4208" s="402">
        <v>3.32</v>
      </c>
      <c r="S4208" s="404">
        <v>29</v>
      </c>
      <c r="T4208" s="402">
        <v>0.27</v>
      </c>
      <c r="U4208" s="395">
        <v>0.52</v>
      </c>
      <c r="V4208" s="402">
        <v>0.74</v>
      </c>
      <c r="W4208" s="404">
        <v>0.08</v>
      </c>
      <c r="X4208" s="402">
        <v>0.03</v>
      </c>
      <c r="Y4208" s="404">
        <v>5.0000000000000001E-3</v>
      </c>
      <c r="Z4208" s="397"/>
      <c r="AA4208" s="399"/>
      <c r="AB4208" s="394"/>
      <c r="AC4208" s="402"/>
      <c r="AD4208" s="399"/>
      <c r="AE4208" s="402"/>
      <c r="AF4208" s="391"/>
      <c r="AG4208" s="394"/>
      <c r="AH4208" s="394"/>
      <c r="AI4208" s="394"/>
      <c r="AJ4208" s="394"/>
      <c r="AK4208" s="394"/>
      <c r="AL4208" s="394"/>
      <c r="AM4208" s="394"/>
      <c r="AN4208" s="394"/>
      <c r="AO4208" s="394"/>
      <c r="AP4208" s="394"/>
      <c r="AQ4208" s="394"/>
      <c r="AR4208" s="394"/>
      <c r="AS4208" s="402"/>
      <c r="AT4208" s="404"/>
      <c r="AU4208" s="394"/>
      <c r="AV4208" s="394"/>
      <c r="AW4208" s="394"/>
      <c r="AX4208" s="5"/>
      <c r="AY4208" s="5"/>
      <c r="AZ4208" s="5"/>
      <c r="BA4208" s="5"/>
      <c r="BB4208" s="5"/>
      <c r="BC4208" s="5"/>
      <c r="BD4208" s="5"/>
      <c r="BE4208" s="5"/>
      <c r="BF4208" s="5"/>
      <c r="BG4208" s="5"/>
      <c r="BH4208" s="5"/>
      <c r="BI4208" s="5"/>
      <c r="BJ4208" s="5"/>
      <c r="BK4208" s="5"/>
      <c r="BL4208" s="5"/>
      <c r="BM4208" s="5"/>
      <c r="BN4208" s="5"/>
      <c r="BO4208" s="5"/>
      <c r="BP4208" s="5"/>
      <c r="BQ4208" s="5"/>
      <c r="BR4208" s="5"/>
      <c r="BS4208" s="5"/>
      <c r="BT4208" s="5"/>
      <c r="BU4208" s="5"/>
      <c r="BV4208" s="5"/>
      <c r="BW4208" s="5"/>
      <c r="BX4208" s="5"/>
      <c r="BY4208" s="5"/>
      <c r="BZ4208" s="5"/>
      <c r="CA4208" s="5"/>
    </row>
    <row r="4209" spans="1:79" ht="15" customHeight="1">
      <c r="A4209" s="404" t="s">
        <v>4668</v>
      </c>
      <c r="B4209" s="402" t="s">
        <v>2516</v>
      </c>
      <c r="C4209" s="113" t="s">
        <v>2516</v>
      </c>
      <c r="D4209" s="393" t="s">
        <v>89</v>
      </c>
      <c r="E4209" s="394" t="s">
        <v>535</v>
      </c>
      <c r="G4209" s="405" t="s">
        <v>2517</v>
      </c>
      <c r="H4209" s="49">
        <v>3827</v>
      </c>
      <c r="I4209" s="50" t="s">
        <v>1</v>
      </c>
      <c r="J4209" s="339" t="s">
        <v>3197</v>
      </c>
      <c r="K4209" s="51">
        <v>41710</v>
      </c>
      <c r="L4209" s="173">
        <v>41691</v>
      </c>
      <c r="M4209" s="50">
        <f t="shared" si="249"/>
        <v>19</v>
      </c>
      <c r="N4209" s="50" t="s">
        <v>1</v>
      </c>
      <c r="P4209" s="50">
        <v>6.4</v>
      </c>
      <c r="Q4209" s="74">
        <v>7</v>
      </c>
      <c r="Z4209" s="165"/>
      <c r="AE4209" s="50">
        <f>10/2</f>
        <v>5</v>
      </c>
      <c r="AF4209" s="49">
        <v>820</v>
      </c>
    </row>
    <row r="4210" spans="1:79" ht="15" customHeight="1">
      <c r="A4210" s="404" t="s">
        <v>4668</v>
      </c>
      <c r="B4210" s="402" t="s">
        <v>2516</v>
      </c>
      <c r="C4210" s="113" t="s">
        <v>2516</v>
      </c>
      <c r="D4210" s="393" t="s">
        <v>89</v>
      </c>
      <c r="E4210" s="394" t="s">
        <v>535</v>
      </c>
      <c r="G4210" s="405" t="s">
        <v>2517</v>
      </c>
      <c r="H4210" s="49">
        <v>3827</v>
      </c>
      <c r="I4210" s="50" t="s">
        <v>1</v>
      </c>
      <c r="J4210" s="339" t="s">
        <v>2141</v>
      </c>
      <c r="K4210" s="51">
        <v>41710</v>
      </c>
      <c r="L4210" s="173">
        <v>41691</v>
      </c>
      <c r="M4210" s="50">
        <f t="shared" si="249"/>
        <v>19</v>
      </c>
      <c r="N4210" s="50" t="s">
        <v>1</v>
      </c>
      <c r="P4210" s="50">
        <v>6.4</v>
      </c>
      <c r="Q4210" s="74">
        <v>7.4</v>
      </c>
      <c r="X4210" s="50">
        <v>8.8999999999999996E-2</v>
      </c>
      <c r="Z4210" s="165"/>
      <c r="AE4210" s="50">
        <v>30</v>
      </c>
      <c r="AF4210" s="49">
        <v>7270</v>
      </c>
    </row>
    <row r="4211" spans="1:79" ht="15" customHeight="1">
      <c r="A4211" s="404" t="s">
        <v>4668</v>
      </c>
      <c r="B4211" s="402" t="s">
        <v>2516</v>
      </c>
      <c r="C4211" s="113" t="s">
        <v>2516</v>
      </c>
      <c r="D4211" s="393" t="s">
        <v>89</v>
      </c>
      <c r="E4211" s="394" t="s">
        <v>535</v>
      </c>
      <c r="G4211" s="405" t="s">
        <v>2517</v>
      </c>
      <c r="H4211" s="49">
        <v>3827</v>
      </c>
      <c r="I4211" s="50" t="s">
        <v>1</v>
      </c>
      <c r="J4211" s="339" t="s">
        <v>6436</v>
      </c>
      <c r="K4211" s="51">
        <v>41710</v>
      </c>
      <c r="L4211" s="173">
        <v>41691</v>
      </c>
      <c r="M4211" s="50">
        <f t="shared" si="249"/>
        <v>19</v>
      </c>
      <c r="N4211" s="50" t="s">
        <v>1</v>
      </c>
      <c r="P4211" s="50">
        <v>6.4</v>
      </c>
      <c r="Q4211" s="74">
        <v>7.2</v>
      </c>
      <c r="Z4211" s="165"/>
      <c r="AE4211" s="50">
        <v>30</v>
      </c>
      <c r="AF4211" s="49">
        <v>1340</v>
      </c>
    </row>
    <row r="4212" spans="1:79" ht="15" customHeight="1">
      <c r="A4212" s="404" t="s">
        <v>4668</v>
      </c>
      <c r="B4212" s="385" t="s">
        <v>1312</v>
      </c>
      <c r="C4212" s="18" t="s">
        <v>1312</v>
      </c>
      <c r="D4212" s="393" t="s">
        <v>262</v>
      </c>
      <c r="E4212" s="20" t="s">
        <v>1314</v>
      </c>
      <c r="G4212" s="405" t="s">
        <v>1315</v>
      </c>
      <c r="H4212" s="74">
        <v>5171</v>
      </c>
      <c r="J4212" s="339" t="s">
        <v>6192</v>
      </c>
      <c r="K4212" s="51">
        <v>41729</v>
      </c>
      <c r="L4212" s="173"/>
      <c r="N4212" s="50" t="s">
        <v>2</v>
      </c>
      <c r="U4212" s="131">
        <v>1.94</v>
      </c>
      <c r="W4212" s="74">
        <v>0.14000000000000001</v>
      </c>
      <c r="X4212" s="50">
        <v>0.15</v>
      </c>
      <c r="Z4212" s="165"/>
    </row>
    <row r="4213" spans="1:79" ht="15" customHeight="1">
      <c r="A4213" s="404" t="s">
        <v>4668</v>
      </c>
      <c r="B4213" s="402" t="s">
        <v>2269</v>
      </c>
      <c r="C4213" s="113" t="s">
        <v>2269</v>
      </c>
      <c r="D4213" s="393" t="s">
        <v>372</v>
      </c>
      <c r="E4213" s="394" t="s">
        <v>2270</v>
      </c>
      <c r="F4213" s="402" t="s">
        <v>2271</v>
      </c>
      <c r="G4213" s="405" t="s">
        <v>2272</v>
      </c>
      <c r="H4213" s="74">
        <v>3398</v>
      </c>
      <c r="I4213" s="50" t="s">
        <v>2</v>
      </c>
      <c r="J4213" s="339" t="s">
        <v>249</v>
      </c>
      <c r="K4213" s="51">
        <v>41717</v>
      </c>
      <c r="L4213" s="173">
        <v>41708</v>
      </c>
      <c r="M4213" s="50">
        <f t="shared" si="249"/>
        <v>9</v>
      </c>
      <c r="N4213" s="50" t="s">
        <v>2</v>
      </c>
      <c r="R4213" s="50">
        <v>16.5</v>
      </c>
      <c r="V4213" s="50">
        <v>2.4300000000000002</v>
      </c>
      <c r="Z4213" s="165"/>
    </row>
    <row r="4214" spans="1:79" s="400" customFormat="1" ht="15" customHeight="1">
      <c r="A4214" s="41" t="s">
        <v>183</v>
      </c>
      <c r="B4214" s="402" t="s">
        <v>6437</v>
      </c>
      <c r="C4214" s="113" t="s">
        <v>6437</v>
      </c>
      <c r="D4214" s="393" t="s">
        <v>1633</v>
      </c>
      <c r="E4214" s="394" t="s">
        <v>1859</v>
      </c>
      <c r="F4214" s="402"/>
      <c r="G4214" s="405" t="s">
        <v>6438</v>
      </c>
      <c r="H4214" s="404">
        <v>2671</v>
      </c>
      <c r="I4214" s="402" t="s">
        <v>2</v>
      </c>
      <c r="J4214" s="406" t="s">
        <v>6439</v>
      </c>
      <c r="K4214" s="403">
        <v>41736</v>
      </c>
      <c r="L4214" s="398">
        <v>41728</v>
      </c>
      <c r="M4214" s="402">
        <f t="shared" si="249"/>
        <v>8</v>
      </c>
      <c r="N4214" s="402" t="s">
        <v>2</v>
      </c>
      <c r="O4214" s="404">
        <v>1.2</v>
      </c>
      <c r="P4214" s="402">
        <v>6</v>
      </c>
      <c r="Q4214" s="404">
        <v>7.4</v>
      </c>
      <c r="R4214" s="402">
        <v>30</v>
      </c>
      <c r="S4214" s="404">
        <v>53</v>
      </c>
      <c r="T4214" s="402">
        <v>0.18</v>
      </c>
      <c r="U4214" s="395">
        <v>2.7</v>
      </c>
      <c r="V4214" s="402">
        <v>0.61</v>
      </c>
      <c r="W4214" s="404">
        <v>7.7999999999999996E-3</v>
      </c>
      <c r="X4214" s="402">
        <v>0.13</v>
      </c>
      <c r="Y4214" s="404">
        <f>0.002/2</f>
        <v>1E-3</v>
      </c>
      <c r="Z4214" s="397">
        <v>1</v>
      </c>
      <c r="AA4214" s="399">
        <v>1</v>
      </c>
      <c r="AB4214" s="394">
        <v>10</v>
      </c>
      <c r="AC4214" s="402">
        <v>210</v>
      </c>
      <c r="AD4214" s="399">
        <v>1</v>
      </c>
      <c r="AE4214" s="402"/>
      <c r="AF4214" s="391"/>
      <c r="AG4214" s="394"/>
      <c r="AH4214" s="394"/>
      <c r="AI4214" s="394"/>
      <c r="AJ4214" s="394"/>
      <c r="AK4214" s="394"/>
      <c r="AL4214" s="394"/>
      <c r="AM4214" s="394"/>
      <c r="AN4214" s="394"/>
      <c r="AO4214" s="394"/>
      <c r="AP4214" s="394"/>
      <c r="AQ4214" s="394"/>
      <c r="AR4214" s="394"/>
      <c r="AS4214" s="402"/>
      <c r="AT4214" s="404"/>
      <c r="AU4214" s="394"/>
      <c r="AV4214" s="394"/>
      <c r="AW4214" s="394"/>
      <c r="AX4214" s="5"/>
      <c r="AY4214" s="5"/>
      <c r="AZ4214" s="5"/>
      <c r="BA4214" s="5"/>
      <c r="BB4214" s="5"/>
      <c r="BC4214" s="5"/>
      <c r="BD4214" s="5"/>
      <c r="BE4214" s="5"/>
      <c r="BF4214" s="5"/>
      <c r="BG4214" s="5"/>
      <c r="BH4214" s="5"/>
      <c r="BI4214" s="5"/>
      <c r="BJ4214" s="5"/>
      <c r="BK4214" s="5"/>
      <c r="BL4214" s="5"/>
      <c r="BM4214" s="5"/>
      <c r="BN4214" s="5"/>
      <c r="BO4214" s="5"/>
      <c r="BP4214" s="5"/>
      <c r="BQ4214" s="5"/>
      <c r="BR4214" s="5"/>
      <c r="BS4214" s="5"/>
      <c r="BT4214" s="5"/>
      <c r="BU4214" s="5"/>
      <c r="BV4214" s="5"/>
      <c r="BW4214" s="5"/>
      <c r="BX4214" s="5"/>
      <c r="BY4214" s="5"/>
      <c r="BZ4214" s="5"/>
      <c r="CA4214" s="5"/>
    </row>
    <row r="4215" spans="1:79" s="400" customFormat="1" ht="15" customHeight="1">
      <c r="A4215" s="41" t="s">
        <v>183</v>
      </c>
      <c r="B4215" s="402" t="s">
        <v>6437</v>
      </c>
      <c r="C4215" s="113" t="s">
        <v>6437</v>
      </c>
      <c r="D4215" s="393" t="s">
        <v>1633</v>
      </c>
      <c r="E4215" s="394" t="s">
        <v>1859</v>
      </c>
      <c r="F4215" s="402"/>
      <c r="G4215" s="405" t="s">
        <v>6438</v>
      </c>
      <c r="H4215" s="404">
        <v>2671</v>
      </c>
      <c r="I4215" s="402" t="s">
        <v>2</v>
      </c>
      <c r="J4215" s="406" t="s">
        <v>6440</v>
      </c>
      <c r="K4215" s="403">
        <v>41736</v>
      </c>
      <c r="L4215" s="398">
        <v>41728</v>
      </c>
      <c r="M4215" s="402">
        <f t="shared" ref="M4215:M4216" si="252">K4215-L4215</f>
        <v>8</v>
      </c>
      <c r="N4215" s="402" t="s">
        <v>2</v>
      </c>
      <c r="O4215" s="404">
        <f>1/2</f>
        <v>0.5</v>
      </c>
      <c r="P4215" s="402">
        <v>6</v>
      </c>
      <c r="Q4215" s="404">
        <v>7.2</v>
      </c>
      <c r="R4215" s="402">
        <v>16</v>
      </c>
      <c r="S4215" s="404">
        <v>6.6</v>
      </c>
      <c r="T4215" s="402">
        <v>1.4E-2</v>
      </c>
      <c r="U4215" s="395">
        <v>0.55000000000000004</v>
      </c>
      <c r="V4215" s="402">
        <v>0.24</v>
      </c>
      <c r="W4215" s="404">
        <v>0.01</v>
      </c>
      <c r="X4215" s="402">
        <v>0.47</v>
      </c>
      <c r="Y4215" s="404">
        <f>0.002/2</f>
        <v>1E-3</v>
      </c>
      <c r="Z4215" s="397">
        <v>0.82</v>
      </c>
      <c r="AA4215" s="399">
        <v>0.70699999999999996</v>
      </c>
      <c r="AB4215" s="394">
        <v>4</v>
      </c>
      <c r="AC4215" s="402">
        <v>13</v>
      </c>
      <c r="AD4215" s="399">
        <v>0</v>
      </c>
      <c r="AE4215" s="402"/>
      <c r="AF4215" s="391"/>
      <c r="AG4215" s="394"/>
      <c r="AH4215" s="394"/>
      <c r="AI4215" s="394"/>
      <c r="AJ4215" s="394"/>
      <c r="AK4215" s="394"/>
      <c r="AL4215" s="394"/>
      <c r="AM4215" s="394"/>
      <c r="AN4215" s="394"/>
      <c r="AO4215" s="394"/>
      <c r="AP4215" s="394"/>
      <c r="AQ4215" s="394"/>
      <c r="AR4215" s="394"/>
      <c r="AS4215" s="402"/>
      <c r="AT4215" s="404"/>
      <c r="AU4215" s="394"/>
      <c r="AV4215" s="394"/>
      <c r="AW4215" s="394"/>
      <c r="AX4215" s="5"/>
      <c r="AY4215" s="5"/>
      <c r="AZ4215" s="5"/>
      <c r="BA4215" s="5"/>
      <c r="BB4215" s="5"/>
      <c r="BC4215" s="5"/>
      <c r="BD4215" s="5"/>
      <c r="BE4215" s="5"/>
      <c r="BF4215" s="5"/>
      <c r="BG4215" s="5"/>
      <c r="BH4215" s="5"/>
      <c r="BI4215" s="5"/>
      <c r="BJ4215" s="5"/>
      <c r="BK4215" s="5"/>
      <c r="BL4215" s="5"/>
      <c r="BM4215" s="5"/>
      <c r="BN4215" s="5"/>
      <c r="BO4215" s="5"/>
      <c r="BP4215" s="5"/>
      <c r="BQ4215" s="5"/>
      <c r="BR4215" s="5"/>
      <c r="BS4215" s="5"/>
      <c r="BT4215" s="5"/>
      <c r="BU4215" s="5"/>
      <c r="BV4215" s="5"/>
      <c r="BW4215" s="5"/>
      <c r="BX4215" s="5"/>
      <c r="BY4215" s="5"/>
      <c r="BZ4215" s="5"/>
      <c r="CA4215" s="5"/>
    </row>
    <row r="4216" spans="1:79" s="400" customFormat="1" ht="15" customHeight="1">
      <c r="A4216" s="41" t="s">
        <v>183</v>
      </c>
      <c r="B4216" s="386" t="s">
        <v>956</v>
      </c>
      <c r="C4216" s="149" t="s">
        <v>1009</v>
      </c>
      <c r="D4216" s="392" t="s">
        <v>314</v>
      </c>
      <c r="E4216" s="258" t="s">
        <v>382</v>
      </c>
      <c r="F4216" s="386"/>
      <c r="G4216" s="405" t="s">
        <v>556</v>
      </c>
      <c r="H4216" s="404">
        <v>4151</v>
      </c>
      <c r="I4216" s="402"/>
      <c r="J4216" s="392" t="s">
        <v>557</v>
      </c>
      <c r="K4216" s="403">
        <v>41729</v>
      </c>
      <c r="L4216" s="398">
        <v>41726</v>
      </c>
      <c r="M4216" s="402">
        <f t="shared" si="252"/>
        <v>3</v>
      </c>
      <c r="N4216" s="402" t="s">
        <v>2</v>
      </c>
      <c r="O4216" s="404">
        <v>1.5</v>
      </c>
      <c r="P4216" s="402">
        <v>7</v>
      </c>
      <c r="Q4216" s="404">
        <v>6.93</v>
      </c>
      <c r="R4216" s="402">
        <v>28</v>
      </c>
      <c r="S4216" s="404">
        <v>17</v>
      </c>
      <c r="T4216" s="402">
        <v>0.08</v>
      </c>
      <c r="U4216" s="395">
        <v>0.76</v>
      </c>
      <c r="V4216" s="402">
        <f>0.2/2</f>
        <v>0.1</v>
      </c>
      <c r="W4216" s="404">
        <f>0.01/2</f>
        <v>5.0000000000000001E-3</v>
      </c>
      <c r="X4216" s="402">
        <v>0.04</v>
      </c>
      <c r="Y4216" s="404">
        <f>0.02/2</f>
        <v>0.01</v>
      </c>
      <c r="Z4216" s="397">
        <v>1</v>
      </c>
      <c r="AA4216" s="399">
        <v>1</v>
      </c>
      <c r="AB4216" s="394">
        <v>3.3</v>
      </c>
      <c r="AC4216" s="402">
        <v>47.2</v>
      </c>
      <c r="AD4216" s="399">
        <v>1</v>
      </c>
      <c r="AE4216" s="402"/>
      <c r="AF4216" s="391"/>
      <c r="AG4216" s="394"/>
      <c r="AH4216" s="394"/>
      <c r="AI4216" s="394"/>
      <c r="AJ4216" s="394"/>
      <c r="AK4216" s="394"/>
      <c r="AL4216" s="394"/>
      <c r="AM4216" s="394"/>
      <c r="AN4216" s="394"/>
      <c r="AO4216" s="394"/>
      <c r="AP4216" s="394"/>
      <c r="AQ4216" s="394"/>
      <c r="AR4216" s="394"/>
      <c r="AS4216" s="402"/>
      <c r="AT4216" s="404"/>
      <c r="AU4216" s="394"/>
      <c r="AV4216" s="394"/>
      <c r="AW4216" s="394"/>
      <c r="AX4216" s="5"/>
      <c r="AY4216" s="5"/>
      <c r="AZ4216" s="5"/>
      <c r="BA4216" s="5"/>
      <c r="BB4216" s="5"/>
      <c r="BC4216" s="5"/>
      <c r="BD4216" s="5"/>
      <c r="BE4216" s="5"/>
      <c r="BF4216" s="5"/>
      <c r="BG4216" s="5"/>
      <c r="BH4216" s="5"/>
      <c r="BI4216" s="5"/>
      <c r="BJ4216" s="5"/>
      <c r="BK4216" s="5"/>
      <c r="BL4216" s="5"/>
      <c r="BM4216" s="5"/>
      <c r="BN4216" s="5"/>
      <c r="BO4216" s="5"/>
      <c r="BP4216" s="5"/>
      <c r="BQ4216" s="5"/>
      <c r="BR4216" s="5"/>
      <c r="BS4216" s="5"/>
      <c r="BT4216" s="5"/>
      <c r="BU4216" s="5"/>
      <c r="BV4216" s="5"/>
      <c r="BW4216" s="5"/>
      <c r="BX4216" s="5"/>
      <c r="BY4216" s="5"/>
      <c r="BZ4216" s="5"/>
      <c r="CA4216" s="5"/>
    </row>
    <row r="4217" spans="1:79" s="400" customFormat="1" ht="15" customHeight="1">
      <c r="A4217" s="41" t="s">
        <v>183</v>
      </c>
      <c r="B4217" s="402" t="s">
        <v>956</v>
      </c>
      <c r="C4217" s="113" t="s">
        <v>6441</v>
      </c>
      <c r="D4217" s="393" t="s">
        <v>117</v>
      </c>
      <c r="E4217" s="394" t="s">
        <v>116</v>
      </c>
      <c r="F4217" s="402"/>
      <c r="G4217" s="405" t="s">
        <v>958</v>
      </c>
      <c r="H4217" s="404">
        <v>4151</v>
      </c>
      <c r="I4217" s="402" t="s">
        <v>2</v>
      </c>
      <c r="J4217" s="406" t="s">
        <v>1125</v>
      </c>
      <c r="K4217" s="403">
        <v>41737</v>
      </c>
      <c r="L4217" s="398">
        <v>41729</v>
      </c>
      <c r="M4217" s="402">
        <f>K4217-L4217</f>
        <v>8</v>
      </c>
      <c r="N4217" s="402" t="s">
        <v>2</v>
      </c>
      <c r="O4217" s="404">
        <v>1.8</v>
      </c>
      <c r="P4217" s="402">
        <v>6.29</v>
      </c>
      <c r="Q4217" s="404">
        <v>6.4</v>
      </c>
      <c r="R4217" s="402">
        <v>31</v>
      </c>
      <c r="S4217" s="404">
        <f>1/2</f>
        <v>0.5</v>
      </c>
      <c r="T4217" s="402">
        <f>0.05/2</f>
        <v>2.5000000000000001E-2</v>
      </c>
      <c r="U4217" s="395">
        <v>1.2</v>
      </c>
      <c r="V4217" s="402">
        <v>0.24</v>
      </c>
      <c r="W4217" s="404">
        <v>0.01</v>
      </c>
      <c r="X4217" s="402">
        <v>0.03</v>
      </c>
      <c r="Y4217" s="404">
        <v>0.04</v>
      </c>
      <c r="Z4217" s="397">
        <v>1</v>
      </c>
      <c r="AA4217" s="399">
        <v>1</v>
      </c>
      <c r="AB4217" s="394">
        <v>3.6</v>
      </c>
      <c r="AC4217" s="402">
        <v>23.8</v>
      </c>
      <c r="AD4217" s="399">
        <v>1</v>
      </c>
      <c r="AE4217" s="402"/>
      <c r="AF4217" s="391"/>
      <c r="AG4217" s="394"/>
      <c r="AH4217" s="394"/>
      <c r="AI4217" s="394"/>
      <c r="AJ4217" s="394"/>
      <c r="AK4217" s="394"/>
      <c r="AL4217" s="394"/>
      <c r="AM4217" s="394"/>
      <c r="AN4217" s="394"/>
      <c r="AO4217" s="394"/>
      <c r="AP4217" s="394"/>
      <c r="AQ4217" s="394"/>
      <c r="AR4217" s="394"/>
      <c r="AS4217" s="402"/>
      <c r="AT4217" s="404"/>
      <c r="AU4217" s="394"/>
      <c r="AV4217" s="394"/>
      <c r="AW4217" s="394"/>
      <c r="AX4217" s="5"/>
      <c r="AY4217" s="5"/>
      <c r="AZ4217" s="5"/>
      <c r="BA4217" s="5"/>
      <c r="BB4217" s="5"/>
      <c r="BC4217" s="5"/>
      <c r="BD4217" s="5"/>
      <c r="BE4217" s="5"/>
      <c r="BF4217" s="5"/>
      <c r="BG4217" s="5"/>
      <c r="BH4217" s="5"/>
      <c r="BI4217" s="5"/>
      <c r="BJ4217" s="5"/>
      <c r="BK4217" s="5"/>
      <c r="BL4217" s="5"/>
      <c r="BM4217" s="5"/>
      <c r="BN4217" s="5"/>
      <c r="BO4217" s="5"/>
      <c r="BP4217" s="5"/>
      <c r="BQ4217" s="5"/>
      <c r="BR4217" s="5"/>
      <c r="BS4217" s="5"/>
      <c r="BT4217" s="5"/>
      <c r="BU4217" s="5"/>
      <c r="BV4217" s="5"/>
      <c r="BW4217" s="5"/>
      <c r="BX4217" s="5"/>
      <c r="BY4217" s="5"/>
      <c r="BZ4217" s="5"/>
      <c r="CA4217" s="5"/>
    </row>
    <row r="4218" spans="1:79" s="400" customFormat="1" ht="15" customHeight="1">
      <c r="A4218" s="41" t="s">
        <v>183</v>
      </c>
      <c r="B4218" s="402" t="s">
        <v>1296</v>
      </c>
      <c r="C4218" s="113" t="s">
        <v>1296</v>
      </c>
      <c r="D4218" s="393" t="s">
        <v>89</v>
      </c>
      <c r="E4218" s="394" t="s">
        <v>535</v>
      </c>
      <c r="F4218" s="402"/>
      <c r="G4218" s="405" t="s">
        <v>5751</v>
      </c>
      <c r="H4218" s="404">
        <v>3562</v>
      </c>
      <c r="I4218" s="402"/>
      <c r="J4218" s="406" t="s">
        <v>6508</v>
      </c>
      <c r="K4218" s="403">
        <v>41710</v>
      </c>
      <c r="L4218" s="398">
        <v>41691</v>
      </c>
      <c r="M4218" s="402">
        <f>K4218-L4218</f>
        <v>19</v>
      </c>
      <c r="N4218" s="402" t="s">
        <v>2</v>
      </c>
      <c r="O4218" s="404">
        <f>1.8/2</f>
        <v>0.9</v>
      </c>
      <c r="P4218" s="402">
        <v>5.7</v>
      </c>
      <c r="Q4218" s="404">
        <v>6.7</v>
      </c>
      <c r="R4218" s="402">
        <v>38</v>
      </c>
      <c r="S4218" s="404">
        <v>70.7</v>
      </c>
      <c r="T4218" s="402">
        <v>0.16600000000000001</v>
      </c>
      <c r="U4218" s="395">
        <f>1.6/2</f>
        <v>0.8</v>
      </c>
      <c r="V4218" s="402">
        <v>0.56999999999999995</v>
      </c>
      <c r="W4218" s="404">
        <v>1.6E-2</v>
      </c>
      <c r="X4218" s="402">
        <v>7.5999999999999998E-2</v>
      </c>
      <c r="Y4218" s="404">
        <f>0.005/2</f>
        <v>2.5000000000000001E-3</v>
      </c>
      <c r="Z4218" s="397"/>
      <c r="AA4218" s="399"/>
      <c r="AB4218" s="394"/>
      <c r="AC4218" s="402"/>
      <c r="AD4218" s="399"/>
      <c r="AE4218" s="402"/>
      <c r="AF4218" s="391"/>
      <c r="AG4218" s="394"/>
      <c r="AH4218" s="394"/>
      <c r="AI4218" s="394"/>
      <c r="AJ4218" s="394"/>
      <c r="AK4218" s="394"/>
      <c r="AL4218" s="394"/>
      <c r="AM4218" s="394"/>
      <c r="AN4218" s="394"/>
      <c r="AO4218" s="394"/>
      <c r="AP4218" s="394"/>
      <c r="AQ4218" s="394"/>
      <c r="AR4218" s="394"/>
      <c r="AS4218" s="402"/>
      <c r="AT4218" s="404"/>
      <c r="AU4218" s="394"/>
      <c r="AV4218" s="394"/>
      <c r="AW4218" s="394"/>
      <c r="AX4218" s="5"/>
      <c r="AY4218" s="5"/>
      <c r="AZ4218" s="5"/>
      <c r="BA4218" s="5"/>
      <c r="BB4218" s="5"/>
      <c r="BC4218" s="5"/>
      <c r="BD4218" s="5"/>
      <c r="BE4218" s="5"/>
      <c r="BF4218" s="5"/>
      <c r="BG4218" s="5"/>
      <c r="BH4218" s="5"/>
      <c r="BI4218" s="5"/>
      <c r="BJ4218" s="5"/>
      <c r="BK4218" s="5"/>
      <c r="BL4218" s="5"/>
      <c r="BM4218" s="5"/>
      <c r="BN4218" s="5"/>
      <c r="BO4218" s="5"/>
      <c r="BP4218" s="5"/>
      <c r="BQ4218" s="5"/>
      <c r="BR4218" s="5"/>
      <c r="BS4218" s="5"/>
      <c r="BT4218" s="5"/>
      <c r="BU4218" s="5"/>
      <c r="BV4218" s="5"/>
      <c r="BW4218" s="5"/>
      <c r="BX4218" s="5"/>
      <c r="BY4218" s="5"/>
      <c r="BZ4218" s="5"/>
      <c r="CA4218" s="5"/>
    </row>
    <row r="4219" spans="1:79" ht="15" customHeight="1">
      <c r="A4219" s="404" t="s">
        <v>4668</v>
      </c>
      <c r="B4219" s="385" t="s">
        <v>4402</v>
      </c>
      <c r="C4219" s="18" t="s">
        <v>4402</v>
      </c>
      <c r="D4219" s="393" t="s">
        <v>372</v>
      </c>
      <c r="E4219" s="20" t="s">
        <v>309</v>
      </c>
      <c r="F4219" s="402">
        <v>6914</v>
      </c>
      <c r="G4219" s="405" t="s">
        <v>4403</v>
      </c>
      <c r="H4219" s="74">
        <v>3679</v>
      </c>
      <c r="I4219" s="50" t="s">
        <v>2</v>
      </c>
      <c r="J4219" s="344" t="s">
        <v>1030</v>
      </c>
      <c r="K4219" s="51">
        <v>41710</v>
      </c>
      <c r="L4219" s="173">
        <v>41691</v>
      </c>
      <c r="M4219" s="50">
        <f>K4219-L4219</f>
        <v>19</v>
      </c>
      <c r="N4219" s="50" t="s">
        <v>2</v>
      </c>
      <c r="P4219" s="50">
        <v>6.02</v>
      </c>
      <c r="Q4219" s="74">
        <v>5.54</v>
      </c>
      <c r="Z4219" s="165"/>
    </row>
    <row r="4220" spans="1:79" ht="15" customHeight="1">
      <c r="A4220" s="404" t="s">
        <v>4668</v>
      </c>
      <c r="B4220" s="402" t="s">
        <v>1993</v>
      </c>
      <c r="C4220" s="113" t="s">
        <v>1993</v>
      </c>
      <c r="D4220" s="393" t="s">
        <v>350</v>
      </c>
      <c r="E4220" s="394" t="s">
        <v>530</v>
      </c>
      <c r="F4220" s="402" t="s">
        <v>6224</v>
      </c>
      <c r="G4220" s="405" t="s">
        <v>1994</v>
      </c>
      <c r="H4220" s="74">
        <v>2121</v>
      </c>
      <c r="I4220" s="50" t="s">
        <v>2</v>
      </c>
      <c r="J4220" s="48" t="s">
        <v>1125</v>
      </c>
      <c r="K4220" s="51">
        <v>41736</v>
      </c>
      <c r="L4220" s="173">
        <v>41733</v>
      </c>
      <c r="M4220" s="50">
        <f>K4220-L4220</f>
        <v>3</v>
      </c>
      <c r="N4220" s="50" t="s">
        <v>2</v>
      </c>
      <c r="R4220" s="50">
        <v>103</v>
      </c>
      <c r="U4220" s="131">
        <v>4.2300000000000004</v>
      </c>
      <c r="X4220" s="50">
        <v>0.159</v>
      </c>
      <c r="Z4220" s="165"/>
    </row>
    <row r="4221" spans="1:79" s="400" customFormat="1" ht="15" customHeight="1">
      <c r="A4221" s="41" t="s">
        <v>183</v>
      </c>
      <c r="B4221" s="402" t="s">
        <v>5759</v>
      </c>
      <c r="C4221" s="113" t="s">
        <v>5759</v>
      </c>
      <c r="D4221" s="393" t="s">
        <v>1537</v>
      </c>
      <c r="E4221" s="394" t="s">
        <v>1555</v>
      </c>
      <c r="F4221" s="402">
        <v>7300</v>
      </c>
      <c r="G4221" s="405" t="s">
        <v>5101</v>
      </c>
      <c r="H4221" s="404">
        <v>2844</v>
      </c>
      <c r="I4221" s="402" t="s">
        <v>2</v>
      </c>
      <c r="J4221" s="406" t="s">
        <v>641</v>
      </c>
      <c r="K4221" s="403">
        <v>41744</v>
      </c>
      <c r="L4221" s="398">
        <v>41737</v>
      </c>
      <c r="M4221" s="402">
        <f>K4221-L4221</f>
        <v>7</v>
      </c>
      <c r="N4221" s="402" t="s">
        <v>2</v>
      </c>
      <c r="O4221" s="404">
        <f>5/2</f>
        <v>2.5</v>
      </c>
      <c r="P4221" s="402">
        <v>8.36</v>
      </c>
      <c r="Q4221" s="404">
        <v>8.08</v>
      </c>
      <c r="R4221" s="402">
        <v>50</v>
      </c>
      <c r="S4221" s="404">
        <v>26</v>
      </c>
      <c r="T4221" s="402">
        <f>0.1/2</f>
        <v>0.05</v>
      </c>
      <c r="U4221" s="395">
        <f>1/2</f>
        <v>0.5</v>
      </c>
      <c r="V4221" s="402">
        <v>0.88</v>
      </c>
      <c r="W4221" s="404">
        <f>0.04/2</f>
        <v>0.02</v>
      </c>
      <c r="X4221" s="402">
        <v>0.05</v>
      </c>
      <c r="Y4221" s="404">
        <f>0.013/2</f>
        <v>6.4999999999999997E-3</v>
      </c>
      <c r="Z4221" s="397"/>
      <c r="AA4221" s="399"/>
      <c r="AB4221" s="394"/>
      <c r="AC4221" s="402"/>
      <c r="AD4221" s="399"/>
      <c r="AE4221" s="402"/>
      <c r="AF4221" s="391"/>
      <c r="AG4221" s="394"/>
      <c r="AH4221" s="394"/>
      <c r="AI4221" s="394"/>
      <c r="AJ4221" s="394"/>
      <c r="AK4221" s="394"/>
      <c r="AL4221" s="394"/>
      <c r="AM4221" s="394"/>
      <c r="AN4221" s="394"/>
      <c r="AO4221" s="394"/>
      <c r="AP4221" s="394"/>
      <c r="AQ4221" s="394"/>
      <c r="AR4221" s="394"/>
      <c r="AS4221" s="402"/>
      <c r="AT4221" s="404"/>
      <c r="AU4221" s="394"/>
      <c r="AV4221" s="394"/>
      <c r="AW4221" s="394"/>
      <c r="AX4221" s="5"/>
      <c r="AY4221" s="5"/>
      <c r="AZ4221" s="5"/>
      <c r="BA4221" s="5"/>
      <c r="BB4221" s="5"/>
      <c r="BC4221" s="5"/>
      <c r="BD4221" s="5"/>
      <c r="BE4221" s="5"/>
      <c r="BF4221" s="5"/>
      <c r="BG4221" s="5"/>
      <c r="BH4221" s="5"/>
      <c r="BI4221" s="5"/>
      <c r="BJ4221" s="5"/>
      <c r="BK4221" s="5"/>
      <c r="BL4221" s="5"/>
      <c r="BM4221" s="5"/>
      <c r="BN4221" s="5"/>
      <c r="BO4221" s="5"/>
      <c r="BP4221" s="5"/>
      <c r="BQ4221" s="5"/>
      <c r="BR4221" s="5"/>
      <c r="BS4221" s="5"/>
      <c r="BT4221" s="5"/>
      <c r="BU4221" s="5"/>
      <c r="BV4221" s="5"/>
      <c r="BW4221" s="5"/>
      <c r="BX4221" s="5"/>
      <c r="BY4221" s="5"/>
      <c r="BZ4221" s="5"/>
      <c r="CA4221" s="5"/>
    </row>
    <row r="4222" spans="1:79" ht="15" customHeight="1">
      <c r="A4222" s="404" t="s">
        <v>4668</v>
      </c>
      <c r="B4222" s="402" t="s">
        <v>801</v>
      </c>
      <c r="C4222" s="113" t="s">
        <v>6442</v>
      </c>
      <c r="D4222" s="393" t="s">
        <v>200</v>
      </c>
      <c r="E4222" s="394" t="s">
        <v>112</v>
      </c>
      <c r="F4222" s="402">
        <v>5200</v>
      </c>
      <c r="G4222" s="405" t="s">
        <v>802</v>
      </c>
      <c r="H4222" s="74">
        <v>3272</v>
      </c>
      <c r="I4222" s="50" t="s">
        <v>2</v>
      </c>
      <c r="J4222" s="74" t="s">
        <v>5000</v>
      </c>
      <c r="K4222" s="51">
        <v>41744</v>
      </c>
      <c r="L4222" s="173" t="s">
        <v>5380</v>
      </c>
      <c r="N4222" s="50" t="s">
        <v>2</v>
      </c>
      <c r="P4222" s="50">
        <v>7.4</v>
      </c>
      <c r="Q4222" s="74">
        <v>9.8000000000000007</v>
      </c>
      <c r="S4222" s="74">
        <v>254</v>
      </c>
      <c r="Z4222" s="165"/>
    </row>
    <row r="4223" spans="1:79" ht="15" customHeight="1">
      <c r="A4223" s="404" t="s">
        <v>4668</v>
      </c>
      <c r="B4223" s="402" t="s">
        <v>801</v>
      </c>
      <c r="C4223" s="113" t="s">
        <v>6443</v>
      </c>
      <c r="D4223" s="393" t="s">
        <v>200</v>
      </c>
      <c r="E4223" s="394" t="s">
        <v>112</v>
      </c>
      <c r="F4223" s="402">
        <v>5200</v>
      </c>
      <c r="G4223" s="405" t="s">
        <v>802</v>
      </c>
      <c r="H4223" s="74">
        <v>3272</v>
      </c>
      <c r="I4223" s="50" t="s">
        <v>2</v>
      </c>
      <c r="J4223" s="74" t="s">
        <v>4999</v>
      </c>
      <c r="K4223" s="51">
        <v>41744</v>
      </c>
      <c r="L4223" s="173" t="s">
        <v>5380</v>
      </c>
      <c r="N4223" s="50" t="s">
        <v>2</v>
      </c>
      <c r="P4223" s="50">
        <v>7.4</v>
      </c>
      <c r="Q4223" s="74">
        <v>10.199999999999999</v>
      </c>
      <c r="S4223" s="74">
        <v>648</v>
      </c>
      <c r="Z4223" s="165"/>
    </row>
    <row r="4224" spans="1:79" s="400" customFormat="1" ht="15" customHeight="1">
      <c r="A4224" s="41" t="s">
        <v>183</v>
      </c>
      <c r="B4224" s="402" t="s">
        <v>6330</v>
      </c>
      <c r="C4224" s="113" t="s">
        <v>6330</v>
      </c>
      <c r="D4224" s="393" t="s">
        <v>213</v>
      </c>
      <c r="E4224" s="394" t="s">
        <v>364</v>
      </c>
      <c r="F4224" s="402"/>
      <c r="G4224" s="405" t="s">
        <v>6331</v>
      </c>
      <c r="H4224" s="404">
        <v>5171</v>
      </c>
      <c r="I4224" s="402" t="s">
        <v>2</v>
      </c>
      <c r="J4224" s="406" t="s">
        <v>6332</v>
      </c>
      <c r="K4224" s="403">
        <v>41727</v>
      </c>
      <c r="L4224" s="398">
        <v>41725</v>
      </c>
      <c r="M4224" s="402">
        <f t="shared" ref="M4224:M4227" si="253">K4224-L4224</f>
        <v>2</v>
      </c>
      <c r="N4224" s="402" t="s">
        <v>2</v>
      </c>
      <c r="O4224" s="404">
        <v>1.8</v>
      </c>
      <c r="P4224" s="402">
        <v>7.2</v>
      </c>
      <c r="Q4224" s="404">
        <v>6.8</v>
      </c>
      <c r="R4224" s="402">
        <v>70</v>
      </c>
      <c r="S4224" s="404">
        <v>23.5</v>
      </c>
      <c r="T4224" s="402">
        <v>5.1999999999999998E-2</v>
      </c>
      <c r="U4224" s="395">
        <f>1.6/2</f>
        <v>0.8</v>
      </c>
      <c r="V4224" s="402">
        <f>0.46/2</f>
        <v>0.23</v>
      </c>
      <c r="W4224" s="404">
        <f>0.005/2</f>
        <v>2.5000000000000001E-3</v>
      </c>
      <c r="X4224" s="402">
        <f>0.029/2</f>
        <v>1.4500000000000001E-2</v>
      </c>
      <c r="Y4224" s="404">
        <f>0.005/2</f>
        <v>2.5000000000000001E-3</v>
      </c>
      <c r="Z4224" s="397"/>
      <c r="AA4224" s="399"/>
      <c r="AB4224" s="394"/>
      <c r="AC4224" s="402"/>
      <c r="AD4224" s="399"/>
      <c r="AE4224" s="402"/>
      <c r="AF4224" s="391"/>
      <c r="AG4224" s="394"/>
      <c r="AH4224" s="394"/>
      <c r="AI4224" s="394"/>
      <c r="AJ4224" s="394"/>
      <c r="AK4224" s="394"/>
      <c r="AL4224" s="394"/>
      <c r="AM4224" s="394"/>
      <c r="AN4224" s="394"/>
      <c r="AO4224" s="394"/>
      <c r="AP4224" s="394"/>
      <c r="AQ4224" s="394"/>
      <c r="AR4224" s="394"/>
      <c r="AS4224" s="402"/>
      <c r="AT4224" s="404"/>
      <c r="AU4224" s="394"/>
      <c r="AV4224" s="394"/>
      <c r="AW4224" s="394"/>
      <c r="AX4224" s="5"/>
      <c r="AY4224" s="5"/>
      <c r="AZ4224" s="5"/>
      <c r="BA4224" s="5"/>
      <c r="BB4224" s="5"/>
      <c r="BC4224" s="5"/>
      <c r="BD4224" s="5"/>
      <c r="BE4224" s="5"/>
      <c r="BF4224" s="5"/>
      <c r="BG4224" s="5"/>
      <c r="BH4224" s="5"/>
      <c r="BI4224" s="5"/>
      <c r="BJ4224" s="5"/>
      <c r="BK4224" s="5"/>
      <c r="BL4224" s="5"/>
      <c r="BM4224" s="5"/>
      <c r="BN4224" s="5"/>
      <c r="BO4224" s="5"/>
      <c r="BP4224" s="5"/>
      <c r="BQ4224" s="5"/>
      <c r="BR4224" s="5"/>
      <c r="BS4224" s="5"/>
      <c r="BT4224" s="5"/>
      <c r="BU4224" s="5"/>
      <c r="BV4224" s="5"/>
      <c r="BW4224" s="5"/>
      <c r="BX4224" s="5"/>
      <c r="BY4224" s="5"/>
      <c r="BZ4224" s="5"/>
      <c r="CA4224" s="5"/>
    </row>
    <row r="4225" spans="1:79" s="400" customFormat="1" ht="15" customHeight="1">
      <c r="A4225" s="41" t="s">
        <v>183</v>
      </c>
      <c r="B4225" s="402" t="s">
        <v>6330</v>
      </c>
      <c r="C4225" s="113" t="s">
        <v>6330</v>
      </c>
      <c r="D4225" s="393" t="s">
        <v>213</v>
      </c>
      <c r="E4225" s="394" t="s">
        <v>364</v>
      </c>
      <c r="F4225" s="402"/>
      <c r="G4225" s="405" t="s">
        <v>6331</v>
      </c>
      <c r="H4225" s="404">
        <v>5171</v>
      </c>
      <c r="I4225" s="402" t="s">
        <v>2</v>
      </c>
      <c r="J4225" s="406" t="s">
        <v>6333</v>
      </c>
      <c r="K4225" s="403">
        <v>41727</v>
      </c>
      <c r="L4225" s="398">
        <v>41725</v>
      </c>
      <c r="M4225" s="402">
        <f t="shared" si="253"/>
        <v>2</v>
      </c>
      <c r="N4225" s="402" t="s">
        <v>2</v>
      </c>
      <c r="O4225" s="404">
        <v>2</v>
      </c>
      <c r="P4225" s="402">
        <v>7.2</v>
      </c>
      <c r="Q4225" s="404">
        <v>7.5</v>
      </c>
      <c r="R4225" s="402">
        <v>24</v>
      </c>
      <c r="S4225" s="404">
        <v>49</v>
      </c>
      <c r="T4225" s="402">
        <v>0.124</v>
      </c>
      <c r="U4225" s="395">
        <f>1.6/2</f>
        <v>0.8</v>
      </c>
      <c r="V4225" s="402">
        <f>0.46/2</f>
        <v>0.23</v>
      </c>
      <c r="W4225" s="404">
        <f>0.013/2</f>
        <v>6.4999999999999997E-3</v>
      </c>
      <c r="X4225" s="402">
        <f>0.045/2</f>
        <v>2.2499999999999999E-2</v>
      </c>
      <c r="Y4225" s="404">
        <f>0.0057/2</f>
        <v>2.8500000000000001E-3</v>
      </c>
      <c r="Z4225" s="397"/>
      <c r="AA4225" s="399"/>
      <c r="AB4225" s="394"/>
      <c r="AC4225" s="402"/>
      <c r="AD4225" s="399"/>
      <c r="AE4225" s="402"/>
      <c r="AF4225" s="391"/>
      <c r="AG4225" s="394"/>
      <c r="AH4225" s="394"/>
      <c r="AI4225" s="394"/>
      <c r="AJ4225" s="394"/>
      <c r="AK4225" s="394"/>
      <c r="AL4225" s="394"/>
      <c r="AM4225" s="394"/>
      <c r="AN4225" s="394"/>
      <c r="AO4225" s="394"/>
      <c r="AP4225" s="394"/>
      <c r="AQ4225" s="394"/>
      <c r="AR4225" s="394"/>
      <c r="AS4225" s="402"/>
      <c r="AT4225" s="404"/>
      <c r="AU4225" s="394"/>
      <c r="AV4225" s="394"/>
      <c r="AW4225" s="394"/>
      <c r="AX4225" s="5"/>
      <c r="AY4225" s="5"/>
      <c r="AZ4225" s="5"/>
      <c r="BA4225" s="5"/>
      <c r="BB4225" s="5"/>
      <c r="BC4225" s="5"/>
      <c r="BD4225" s="5"/>
      <c r="BE4225" s="5"/>
      <c r="BF4225" s="5"/>
      <c r="BG4225" s="5"/>
      <c r="BH4225" s="5"/>
      <c r="BI4225" s="5"/>
      <c r="BJ4225" s="5"/>
      <c r="BK4225" s="5"/>
      <c r="BL4225" s="5"/>
      <c r="BM4225" s="5"/>
      <c r="BN4225" s="5"/>
      <c r="BO4225" s="5"/>
      <c r="BP4225" s="5"/>
      <c r="BQ4225" s="5"/>
      <c r="BR4225" s="5"/>
      <c r="BS4225" s="5"/>
      <c r="BT4225" s="5"/>
      <c r="BU4225" s="5"/>
      <c r="BV4225" s="5"/>
      <c r="BW4225" s="5"/>
      <c r="BX4225" s="5"/>
      <c r="BY4225" s="5"/>
      <c r="BZ4225" s="5"/>
      <c r="CA4225" s="5"/>
    </row>
    <row r="4226" spans="1:79" s="400" customFormat="1" ht="15" customHeight="1">
      <c r="A4226" s="41" t="s">
        <v>183</v>
      </c>
      <c r="B4226" s="402" t="s">
        <v>5142</v>
      </c>
      <c r="C4226" s="113" t="s">
        <v>5142</v>
      </c>
      <c r="D4226" s="393" t="s">
        <v>213</v>
      </c>
      <c r="E4226" s="394" t="s">
        <v>5143</v>
      </c>
      <c r="F4226" s="402"/>
      <c r="G4226" s="405" t="s">
        <v>5144</v>
      </c>
      <c r="H4226" s="404">
        <v>3273</v>
      </c>
      <c r="I4226" s="402"/>
      <c r="J4226" s="406" t="s">
        <v>5145</v>
      </c>
      <c r="K4226" s="403">
        <v>41727</v>
      </c>
      <c r="L4226" s="398">
        <v>41725</v>
      </c>
      <c r="M4226" s="402">
        <f t="shared" si="253"/>
        <v>2</v>
      </c>
      <c r="N4226" s="402" t="s">
        <v>2</v>
      </c>
      <c r="O4226" s="404">
        <f>1.7/2</f>
        <v>0.85</v>
      </c>
      <c r="P4226" s="402">
        <v>6.4</v>
      </c>
      <c r="Q4226" s="404">
        <v>6.6</v>
      </c>
      <c r="R4226" s="402">
        <f>20/2</f>
        <v>10</v>
      </c>
      <c r="S4226" s="404">
        <v>14</v>
      </c>
      <c r="T4226" s="402">
        <v>0.13700000000000001</v>
      </c>
      <c r="U4226" s="395">
        <f>1.6/2</f>
        <v>0.8</v>
      </c>
      <c r="V4226" s="402">
        <v>1.08</v>
      </c>
      <c r="W4226" s="404">
        <f>0.005/2</f>
        <v>2.5000000000000001E-3</v>
      </c>
      <c r="X4226" s="402">
        <f>0.019/2</f>
        <v>9.4999999999999998E-3</v>
      </c>
      <c r="Y4226" s="404">
        <f>0.005/2</f>
        <v>2.5000000000000001E-3</v>
      </c>
      <c r="Z4226" s="397"/>
      <c r="AA4226" s="399"/>
      <c r="AB4226" s="394"/>
      <c r="AC4226" s="402"/>
      <c r="AD4226" s="399"/>
      <c r="AE4226" s="402"/>
      <c r="AF4226" s="391"/>
      <c r="AG4226" s="394"/>
      <c r="AH4226" s="394"/>
      <c r="AI4226" s="394"/>
      <c r="AJ4226" s="394"/>
      <c r="AK4226" s="394"/>
      <c r="AL4226" s="394"/>
      <c r="AM4226" s="394"/>
      <c r="AN4226" s="394"/>
      <c r="AO4226" s="394"/>
      <c r="AP4226" s="394"/>
      <c r="AQ4226" s="394"/>
      <c r="AR4226" s="394"/>
      <c r="AS4226" s="402"/>
      <c r="AT4226" s="404"/>
      <c r="AU4226" s="394"/>
      <c r="AV4226" s="394"/>
      <c r="AW4226" s="394"/>
      <c r="AX4226" s="5"/>
      <c r="AY4226" s="5"/>
      <c r="AZ4226" s="5"/>
      <c r="BA4226" s="5"/>
      <c r="BB4226" s="5"/>
      <c r="BC4226" s="5"/>
      <c r="BD4226" s="5"/>
      <c r="BE4226" s="5"/>
      <c r="BF4226" s="5"/>
      <c r="BG4226" s="5"/>
      <c r="BH4226" s="5"/>
      <c r="BI4226" s="5"/>
      <c r="BJ4226" s="5"/>
      <c r="BK4226" s="5"/>
      <c r="BL4226" s="5"/>
      <c r="BM4226" s="5"/>
      <c r="BN4226" s="5"/>
      <c r="BO4226" s="5"/>
      <c r="BP4226" s="5"/>
      <c r="BQ4226" s="5"/>
      <c r="BR4226" s="5"/>
      <c r="BS4226" s="5"/>
      <c r="BT4226" s="5"/>
      <c r="BU4226" s="5"/>
      <c r="BV4226" s="5"/>
      <c r="BW4226" s="5"/>
      <c r="BX4226" s="5"/>
      <c r="BY4226" s="5"/>
      <c r="BZ4226" s="5"/>
      <c r="CA4226" s="5"/>
    </row>
    <row r="4227" spans="1:79" s="400" customFormat="1" ht="15" customHeight="1">
      <c r="A4227" s="41" t="s">
        <v>183</v>
      </c>
      <c r="B4227" s="402" t="s">
        <v>3916</v>
      </c>
      <c r="C4227" s="113" t="s">
        <v>3916</v>
      </c>
      <c r="D4227" s="393" t="s">
        <v>806</v>
      </c>
      <c r="E4227" s="394" t="s">
        <v>535</v>
      </c>
      <c r="F4227" s="402">
        <v>6600</v>
      </c>
      <c r="G4227" s="405" t="s">
        <v>3917</v>
      </c>
      <c r="H4227" s="404">
        <v>3272</v>
      </c>
      <c r="I4227" s="402" t="s">
        <v>2</v>
      </c>
      <c r="J4227" s="404" t="s">
        <v>431</v>
      </c>
      <c r="K4227" s="403">
        <v>41744</v>
      </c>
      <c r="L4227" s="398">
        <v>41740</v>
      </c>
      <c r="M4227" s="402">
        <f t="shared" si="253"/>
        <v>4</v>
      </c>
      <c r="N4227" s="402" t="s">
        <v>2</v>
      </c>
      <c r="O4227" s="404">
        <f>5/2</f>
        <v>2.5</v>
      </c>
      <c r="P4227" s="402">
        <v>7.4</v>
      </c>
      <c r="Q4227" s="404">
        <v>8.5500000000000007</v>
      </c>
      <c r="R4227" s="402">
        <v>260</v>
      </c>
      <c r="S4227" s="404">
        <v>800</v>
      </c>
      <c r="T4227" s="402">
        <v>0.45</v>
      </c>
      <c r="U4227" s="395">
        <f>1/2</f>
        <v>0.5</v>
      </c>
      <c r="V4227" s="402">
        <v>0.36</v>
      </c>
      <c r="W4227" s="404">
        <v>4.8000000000000001E-2</v>
      </c>
      <c r="X4227" s="402">
        <v>0.22</v>
      </c>
      <c r="Y4227" s="404">
        <v>2.4E-2</v>
      </c>
      <c r="Z4227" s="397">
        <v>1</v>
      </c>
      <c r="AA4227" s="399">
        <v>0.68100000000000005</v>
      </c>
      <c r="AB4227" s="394">
        <v>450</v>
      </c>
      <c r="AC4227" s="402">
        <v>233</v>
      </c>
      <c r="AD4227" s="399">
        <v>0.4</v>
      </c>
      <c r="AE4227" s="402"/>
      <c r="AF4227" s="391"/>
      <c r="AG4227" s="394"/>
      <c r="AH4227" s="394"/>
      <c r="AI4227" s="394"/>
      <c r="AJ4227" s="394"/>
      <c r="AK4227" s="394"/>
      <c r="AL4227" s="394"/>
      <c r="AM4227" s="394"/>
      <c r="AN4227" s="394"/>
      <c r="AO4227" s="394"/>
      <c r="AP4227" s="394"/>
      <c r="AQ4227" s="394"/>
      <c r="AR4227" s="394"/>
      <c r="AS4227" s="402"/>
      <c r="AT4227" s="404"/>
      <c r="AU4227" s="394"/>
      <c r="AV4227" s="394"/>
      <c r="AW4227" s="394"/>
      <c r="AX4227" s="5"/>
      <c r="AY4227" s="5"/>
      <c r="AZ4227" s="5"/>
      <c r="BA4227" s="5"/>
      <c r="BB4227" s="5"/>
      <c r="BC4227" s="5"/>
      <c r="BD4227" s="5"/>
      <c r="BE4227" s="5"/>
      <c r="BF4227" s="5"/>
      <c r="BG4227" s="5"/>
      <c r="BH4227" s="5"/>
      <c r="BI4227" s="5"/>
      <c r="BJ4227" s="5"/>
      <c r="BK4227" s="5"/>
      <c r="BL4227" s="5"/>
      <c r="BM4227" s="5"/>
      <c r="BN4227" s="5"/>
      <c r="BO4227" s="5"/>
      <c r="BP4227" s="5"/>
      <c r="BQ4227" s="5"/>
      <c r="BR4227" s="5"/>
      <c r="BS4227" s="5"/>
      <c r="BT4227" s="5"/>
      <c r="BU4227" s="5"/>
      <c r="BV4227" s="5"/>
      <c r="BW4227" s="5"/>
      <c r="BX4227" s="5"/>
      <c r="BY4227" s="5"/>
      <c r="BZ4227" s="5"/>
      <c r="CA4227" s="5"/>
    </row>
    <row r="4228" spans="1:79" ht="15" customHeight="1">
      <c r="A4228" s="404" t="s">
        <v>4668</v>
      </c>
      <c r="B4228" s="402" t="s">
        <v>590</v>
      </c>
      <c r="C4228" s="113" t="s">
        <v>591</v>
      </c>
      <c r="D4228" s="393" t="s">
        <v>89</v>
      </c>
      <c r="E4228" s="394" t="s">
        <v>535</v>
      </c>
      <c r="G4228" s="405" t="s">
        <v>592</v>
      </c>
      <c r="H4228" s="74">
        <v>3273</v>
      </c>
      <c r="I4228" s="50" t="s">
        <v>1</v>
      </c>
      <c r="J4228" s="339" t="s">
        <v>255</v>
      </c>
      <c r="K4228" s="51">
        <v>41744</v>
      </c>
      <c r="L4228" s="173">
        <v>41737</v>
      </c>
      <c r="M4228" s="50">
        <f t="shared" ref="M4228:M4242" si="254">K4228-L4228</f>
        <v>7</v>
      </c>
      <c r="N4228" s="50" t="s">
        <v>2</v>
      </c>
      <c r="Z4228" s="165"/>
      <c r="AE4228" s="50">
        <v>6</v>
      </c>
    </row>
    <row r="4229" spans="1:79" ht="15" customHeight="1">
      <c r="A4229" s="404" t="s">
        <v>4668</v>
      </c>
      <c r="B4229" s="402" t="s">
        <v>590</v>
      </c>
      <c r="C4229" s="113" t="s">
        <v>591</v>
      </c>
      <c r="D4229" s="393" t="s">
        <v>89</v>
      </c>
      <c r="E4229" s="394" t="s">
        <v>535</v>
      </c>
      <c r="G4229" s="405" t="s">
        <v>592</v>
      </c>
      <c r="H4229" s="74">
        <v>3273</v>
      </c>
      <c r="I4229" s="50" t="s">
        <v>1</v>
      </c>
      <c r="J4229" s="339" t="s">
        <v>96</v>
      </c>
      <c r="K4229" s="51">
        <v>41744</v>
      </c>
      <c r="L4229" s="173">
        <v>41737</v>
      </c>
      <c r="M4229" s="50">
        <f t="shared" si="254"/>
        <v>7</v>
      </c>
      <c r="N4229" s="50" t="s">
        <v>2</v>
      </c>
      <c r="S4229" s="74">
        <v>41.6</v>
      </c>
      <c r="Z4229" s="165"/>
      <c r="AE4229" s="50">
        <v>17</v>
      </c>
    </row>
    <row r="4230" spans="1:79" s="400" customFormat="1" ht="15" customHeight="1">
      <c r="A4230" s="41" t="s">
        <v>183</v>
      </c>
      <c r="B4230" s="402" t="s">
        <v>3695</v>
      </c>
      <c r="C4230" s="113" t="s">
        <v>3695</v>
      </c>
      <c r="D4230" s="393" t="s">
        <v>861</v>
      </c>
      <c r="E4230" s="394" t="s">
        <v>862</v>
      </c>
      <c r="F4230" s="401"/>
      <c r="G4230" s="405" t="s">
        <v>868</v>
      </c>
      <c r="H4230" s="113">
        <v>3672</v>
      </c>
      <c r="I4230" s="402" t="s">
        <v>2</v>
      </c>
      <c r="J4230" s="401" t="s">
        <v>6509</v>
      </c>
      <c r="K4230" s="403">
        <v>41689</v>
      </c>
      <c r="L4230" s="398">
        <v>41653</v>
      </c>
      <c r="M4230" s="402">
        <f t="shared" si="254"/>
        <v>36</v>
      </c>
      <c r="N4230" s="402" t="s">
        <v>1</v>
      </c>
      <c r="O4230" s="404">
        <v>3.9</v>
      </c>
      <c r="P4230" s="402">
        <v>5.95</v>
      </c>
      <c r="Q4230" s="404">
        <v>5.69</v>
      </c>
      <c r="R4230" s="402">
        <v>83</v>
      </c>
      <c r="S4230" s="404">
        <v>100</v>
      </c>
      <c r="T4230" s="402">
        <v>0.21</v>
      </c>
      <c r="U4230" s="395">
        <v>1.36</v>
      </c>
      <c r="V4230" s="402">
        <v>0.56000000000000005</v>
      </c>
      <c r="W4230" s="404">
        <v>3.7999999999999999E-2</v>
      </c>
      <c r="X4230" s="402">
        <v>0.13600000000000001</v>
      </c>
      <c r="Y4230" s="404">
        <v>1.7999999999999999E-2</v>
      </c>
      <c r="Z4230" s="397"/>
      <c r="AA4230" s="399"/>
      <c r="AB4230" s="394"/>
      <c r="AC4230" s="402"/>
      <c r="AD4230" s="399"/>
      <c r="AE4230" s="402"/>
      <c r="AF4230" s="391"/>
      <c r="AG4230" s="394"/>
      <c r="AH4230" s="394"/>
      <c r="AI4230" s="394"/>
      <c r="AJ4230" s="394"/>
      <c r="AK4230" s="394"/>
      <c r="AL4230" s="394"/>
      <c r="AM4230" s="394"/>
      <c r="AN4230" s="394"/>
      <c r="AO4230" s="394"/>
      <c r="AP4230" s="394"/>
      <c r="AQ4230" s="394"/>
      <c r="AR4230" s="394"/>
      <c r="AS4230" s="402"/>
      <c r="AT4230" s="404"/>
      <c r="AU4230" s="394"/>
      <c r="AV4230" s="394"/>
      <c r="AW4230" s="394"/>
      <c r="AX4230" s="5"/>
      <c r="AY4230" s="5"/>
      <c r="AZ4230" s="5"/>
      <c r="BA4230" s="5"/>
      <c r="BB4230" s="5"/>
      <c r="BC4230" s="5"/>
      <c r="BD4230" s="5"/>
      <c r="BE4230" s="5"/>
      <c r="BF4230" s="5"/>
      <c r="BG4230" s="5"/>
      <c r="BH4230" s="5"/>
      <c r="BI4230" s="5"/>
      <c r="BJ4230" s="5"/>
      <c r="BK4230" s="5"/>
      <c r="BL4230" s="5"/>
      <c r="BM4230" s="5"/>
      <c r="BN4230" s="5"/>
      <c r="BO4230" s="5"/>
      <c r="BP4230" s="5"/>
      <c r="BQ4230" s="5"/>
      <c r="BR4230" s="5"/>
      <c r="BS4230" s="5"/>
      <c r="BT4230" s="5"/>
      <c r="BU4230" s="5"/>
      <c r="BV4230" s="5"/>
      <c r="BW4230" s="5"/>
      <c r="BX4230" s="5"/>
      <c r="BY4230" s="5"/>
      <c r="BZ4230" s="5"/>
      <c r="CA4230" s="5"/>
    </row>
    <row r="4231" spans="1:79" s="400" customFormat="1" ht="15" customHeight="1">
      <c r="A4231" s="41" t="s">
        <v>183</v>
      </c>
      <c r="B4231" s="402" t="s">
        <v>3695</v>
      </c>
      <c r="C4231" s="113" t="s">
        <v>3695</v>
      </c>
      <c r="D4231" s="393" t="s">
        <v>861</v>
      </c>
      <c r="E4231" s="394" t="s">
        <v>862</v>
      </c>
      <c r="F4231" s="401"/>
      <c r="G4231" s="405" t="s">
        <v>868</v>
      </c>
      <c r="H4231" s="113">
        <v>3672</v>
      </c>
      <c r="I4231" s="402" t="s">
        <v>2</v>
      </c>
      <c r="J4231" s="401" t="s">
        <v>6510</v>
      </c>
      <c r="K4231" s="403">
        <v>41689</v>
      </c>
      <c r="L4231" s="398">
        <v>41653</v>
      </c>
      <c r="M4231" s="402">
        <f t="shared" si="254"/>
        <v>36</v>
      </c>
      <c r="N4231" s="402" t="s">
        <v>1</v>
      </c>
      <c r="O4231" s="404">
        <v>14</v>
      </c>
      <c r="P4231" s="402">
        <v>5.95</v>
      </c>
      <c r="Q4231" s="404">
        <v>6.23</v>
      </c>
      <c r="R4231" s="402">
        <v>240</v>
      </c>
      <c r="S4231" s="404">
        <v>540</v>
      </c>
      <c r="T4231" s="402">
        <v>0.8</v>
      </c>
      <c r="U4231" s="395">
        <v>2.73</v>
      </c>
      <c r="V4231" s="402">
        <v>0.49</v>
      </c>
      <c r="W4231" s="404">
        <v>0.19500000000000001</v>
      </c>
      <c r="X4231" s="402">
        <v>0.45900000000000002</v>
      </c>
      <c r="Y4231" s="404">
        <v>7.0999999999999994E-2</v>
      </c>
      <c r="Z4231" s="397"/>
      <c r="AA4231" s="399"/>
      <c r="AB4231" s="394"/>
      <c r="AC4231" s="402"/>
      <c r="AD4231" s="399"/>
      <c r="AE4231" s="402"/>
      <c r="AF4231" s="391"/>
      <c r="AG4231" s="394"/>
      <c r="AH4231" s="394"/>
      <c r="AI4231" s="394"/>
      <c r="AJ4231" s="394"/>
      <c r="AK4231" s="394"/>
      <c r="AL4231" s="394"/>
      <c r="AM4231" s="394"/>
      <c r="AN4231" s="394"/>
      <c r="AO4231" s="394"/>
      <c r="AP4231" s="394"/>
      <c r="AQ4231" s="394"/>
      <c r="AR4231" s="394"/>
      <c r="AS4231" s="402"/>
      <c r="AT4231" s="404"/>
      <c r="AU4231" s="394"/>
      <c r="AV4231" s="394"/>
      <c r="AW4231" s="394"/>
      <c r="AX4231" s="5"/>
      <c r="AY4231" s="5"/>
      <c r="AZ4231" s="5"/>
      <c r="BA4231" s="5"/>
      <c r="BB4231" s="5"/>
      <c r="BC4231" s="5"/>
      <c r="BD4231" s="5"/>
      <c r="BE4231" s="5"/>
      <c r="BF4231" s="5"/>
      <c r="BG4231" s="5"/>
      <c r="BH4231" s="5"/>
      <c r="BI4231" s="5"/>
      <c r="BJ4231" s="5"/>
      <c r="BK4231" s="5"/>
      <c r="BL4231" s="5"/>
      <c r="BM4231" s="5"/>
      <c r="BN4231" s="5"/>
      <c r="BO4231" s="5"/>
      <c r="BP4231" s="5"/>
      <c r="BQ4231" s="5"/>
      <c r="BR4231" s="5"/>
      <c r="BS4231" s="5"/>
      <c r="BT4231" s="5"/>
      <c r="BU4231" s="5"/>
      <c r="BV4231" s="5"/>
      <c r="BW4231" s="5"/>
      <c r="BX4231" s="5"/>
      <c r="BY4231" s="5"/>
      <c r="BZ4231" s="5"/>
      <c r="CA4231" s="5"/>
    </row>
    <row r="4232" spans="1:79" s="400" customFormat="1" ht="15" customHeight="1">
      <c r="A4232" s="41" t="s">
        <v>183</v>
      </c>
      <c r="B4232" s="402" t="s">
        <v>3695</v>
      </c>
      <c r="C4232" s="113" t="s">
        <v>3695</v>
      </c>
      <c r="D4232" s="393" t="s">
        <v>861</v>
      </c>
      <c r="E4232" s="394" t="s">
        <v>862</v>
      </c>
      <c r="F4232" s="401"/>
      <c r="G4232" s="405" t="s">
        <v>868</v>
      </c>
      <c r="H4232" s="113">
        <v>3672</v>
      </c>
      <c r="I4232" s="402" t="s">
        <v>2</v>
      </c>
      <c r="J4232" s="401" t="s">
        <v>6511</v>
      </c>
      <c r="K4232" s="403">
        <v>41689</v>
      </c>
      <c r="L4232" s="398">
        <v>41653</v>
      </c>
      <c r="M4232" s="402">
        <f t="shared" si="254"/>
        <v>36</v>
      </c>
      <c r="N4232" s="402" t="s">
        <v>1</v>
      </c>
      <c r="O4232" s="404">
        <v>14</v>
      </c>
      <c r="P4232" s="402">
        <v>5.95</v>
      </c>
      <c r="Q4232" s="404">
        <v>6.6</v>
      </c>
      <c r="R4232" s="402">
        <v>100</v>
      </c>
      <c r="S4232" s="404">
        <v>430</v>
      </c>
      <c r="T4232" s="402">
        <v>0.69</v>
      </c>
      <c r="U4232" s="395">
        <v>3.53</v>
      </c>
      <c r="V4232" s="402">
        <v>0.65</v>
      </c>
      <c r="W4232" s="404">
        <v>0.63</v>
      </c>
      <c r="X4232" s="402">
        <v>0.97399999999999998</v>
      </c>
      <c r="Y4232" s="404">
        <v>0.30499999999999999</v>
      </c>
      <c r="Z4232" s="397"/>
      <c r="AA4232" s="399"/>
      <c r="AB4232" s="394"/>
      <c r="AC4232" s="402"/>
      <c r="AD4232" s="399"/>
      <c r="AE4232" s="402"/>
      <c r="AF4232" s="391"/>
      <c r="AG4232" s="394"/>
      <c r="AH4232" s="394"/>
      <c r="AI4232" s="394"/>
      <c r="AJ4232" s="394"/>
      <c r="AK4232" s="394"/>
      <c r="AL4232" s="394"/>
      <c r="AM4232" s="394"/>
      <c r="AN4232" s="394"/>
      <c r="AO4232" s="394"/>
      <c r="AP4232" s="394"/>
      <c r="AQ4232" s="394"/>
      <c r="AR4232" s="394"/>
      <c r="AS4232" s="402"/>
      <c r="AT4232" s="404"/>
      <c r="AU4232" s="394"/>
      <c r="AV4232" s="394"/>
      <c r="AW4232" s="394"/>
      <c r="AX4232" s="5"/>
      <c r="AY4232" s="5"/>
      <c r="AZ4232" s="5"/>
      <c r="BA4232" s="5"/>
      <c r="BB4232" s="5"/>
      <c r="BC4232" s="5"/>
      <c r="BD4232" s="5"/>
      <c r="BE4232" s="5"/>
      <c r="BF4232" s="5"/>
      <c r="BG4232" s="5"/>
      <c r="BH4232" s="5"/>
      <c r="BI4232" s="5"/>
      <c r="BJ4232" s="5"/>
      <c r="BK4232" s="5"/>
      <c r="BL4232" s="5"/>
      <c r="BM4232" s="5"/>
      <c r="BN4232" s="5"/>
      <c r="BO4232" s="5"/>
      <c r="BP4232" s="5"/>
      <c r="BQ4232" s="5"/>
      <c r="BR4232" s="5"/>
      <c r="BS4232" s="5"/>
      <c r="BT4232" s="5"/>
      <c r="BU4232" s="5"/>
      <c r="BV4232" s="5"/>
      <c r="BW4232" s="5"/>
      <c r="BX4232" s="5"/>
      <c r="BY4232" s="5"/>
      <c r="BZ4232" s="5"/>
      <c r="CA4232" s="5"/>
    </row>
    <row r="4233" spans="1:79" s="400" customFormat="1" ht="15" customHeight="1">
      <c r="A4233" s="404" t="s">
        <v>183</v>
      </c>
      <c r="B4233" s="402" t="s">
        <v>3695</v>
      </c>
      <c r="C4233" s="113" t="s">
        <v>3695</v>
      </c>
      <c r="D4233" s="393" t="s">
        <v>861</v>
      </c>
      <c r="E4233" s="394" t="s">
        <v>862</v>
      </c>
      <c r="F4233" s="401"/>
      <c r="G4233" s="405" t="s">
        <v>868</v>
      </c>
      <c r="H4233" s="113">
        <v>3672</v>
      </c>
      <c r="I4233" s="402" t="s">
        <v>2</v>
      </c>
      <c r="J4233" s="401" t="s">
        <v>872</v>
      </c>
      <c r="K4233" s="403">
        <v>41689</v>
      </c>
      <c r="L4233" s="398">
        <v>41653</v>
      </c>
      <c r="M4233" s="402">
        <f t="shared" si="254"/>
        <v>36</v>
      </c>
      <c r="N4233" s="402" t="s">
        <v>1</v>
      </c>
      <c r="O4233" s="404">
        <v>13</v>
      </c>
      <c r="P4233" s="402">
        <v>5.95</v>
      </c>
      <c r="Q4233" s="404">
        <v>6.96</v>
      </c>
      <c r="R4233" s="402">
        <v>36</v>
      </c>
      <c r="S4233" s="404">
        <v>530</v>
      </c>
      <c r="T4233" s="402">
        <v>1</v>
      </c>
      <c r="U4233" s="395">
        <v>1.62</v>
      </c>
      <c r="V4233" s="402">
        <v>0.4</v>
      </c>
      <c r="W4233" s="404">
        <v>0.113</v>
      </c>
      <c r="X4233" s="402">
        <v>0.26900000000000002</v>
      </c>
      <c r="Y4233" s="404">
        <v>3.4000000000000002E-2</v>
      </c>
      <c r="Z4233" s="397"/>
      <c r="AA4233" s="399"/>
      <c r="AB4233" s="394"/>
      <c r="AC4233" s="402"/>
      <c r="AD4233" s="399"/>
      <c r="AE4233" s="402"/>
      <c r="AF4233" s="391"/>
      <c r="AG4233" s="394"/>
      <c r="AH4233" s="394"/>
      <c r="AI4233" s="394"/>
      <c r="AJ4233" s="394"/>
      <c r="AK4233" s="394"/>
      <c r="AL4233" s="394"/>
      <c r="AM4233" s="394"/>
      <c r="AN4233" s="394"/>
      <c r="AO4233" s="394"/>
      <c r="AP4233" s="394"/>
      <c r="AQ4233" s="394"/>
      <c r="AR4233" s="394"/>
      <c r="AS4233" s="402"/>
      <c r="AT4233" s="404"/>
      <c r="AU4233" s="394"/>
      <c r="AV4233" s="394"/>
      <c r="AW4233" s="394"/>
      <c r="AX4233" s="5"/>
      <c r="AY4233" s="5"/>
      <c r="AZ4233" s="5"/>
      <c r="BA4233" s="5"/>
      <c r="BB4233" s="5"/>
      <c r="BC4233" s="5"/>
      <c r="BD4233" s="5"/>
      <c r="BE4233" s="5"/>
      <c r="BF4233" s="5"/>
      <c r="BG4233" s="5"/>
      <c r="BH4233" s="5"/>
      <c r="BI4233" s="5"/>
      <c r="BJ4233" s="5"/>
      <c r="BK4233" s="5"/>
      <c r="BL4233" s="5"/>
      <c r="BM4233" s="5"/>
      <c r="BN4233" s="5"/>
      <c r="BO4233" s="5"/>
      <c r="BP4233" s="5"/>
      <c r="BQ4233" s="5"/>
      <c r="BR4233" s="5"/>
      <c r="BS4233" s="5"/>
      <c r="BT4233" s="5"/>
      <c r="BU4233" s="5"/>
      <c r="BV4233" s="5"/>
      <c r="BW4233" s="5"/>
      <c r="BX4233" s="5"/>
      <c r="BY4233" s="5"/>
      <c r="BZ4233" s="5"/>
      <c r="CA4233" s="5"/>
    </row>
    <row r="4234" spans="1:79" s="400" customFormat="1" ht="15" customHeight="1">
      <c r="A4234" s="41" t="s">
        <v>183</v>
      </c>
      <c r="B4234" s="402" t="s">
        <v>3695</v>
      </c>
      <c r="C4234" s="113" t="s">
        <v>3695</v>
      </c>
      <c r="D4234" s="393" t="s">
        <v>861</v>
      </c>
      <c r="E4234" s="394" t="s">
        <v>862</v>
      </c>
      <c r="F4234" s="402"/>
      <c r="G4234" s="405" t="s">
        <v>1025</v>
      </c>
      <c r="H4234" s="404">
        <v>3672</v>
      </c>
      <c r="I4234" s="402" t="s">
        <v>2</v>
      </c>
      <c r="J4234" s="401" t="s">
        <v>6512</v>
      </c>
      <c r="K4234" s="403">
        <v>41689</v>
      </c>
      <c r="L4234" s="398">
        <v>41653</v>
      </c>
      <c r="M4234" s="402">
        <f t="shared" si="254"/>
        <v>36</v>
      </c>
      <c r="N4234" s="402" t="s">
        <v>1</v>
      </c>
      <c r="O4234" s="404">
        <v>1.7</v>
      </c>
      <c r="P4234" s="402">
        <v>5.95</v>
      </c>
      <c r="Q4234" s="404">
        <v>6.16</v>
      </c>
      <c r="R4234" s="402">
        <v>150</v>
      </c>
      <c r="S4234" s="404">
        <v>40</v>
      </c>
      <c r="T4234" s="402">
        <v>0.1</v>
      </c>
      <c r="U4234" s="395">
        <v>1.59</v>
      </c>
      <c r="V4234" s="402">
        <v>0.79</v>
      </c>
      <c r="W4234" s="404">
        <v>4.5999999999999999E-2</v>
      </c>
      <c r="X4234" s="402">
        <v>0.36299999999999999</v>
      </c>
      <c r="Y4234" s="404">
        <f>0.004/2</f>
        <v>2E-3</v>
      </c>
      <c r="Z4234" s="397"/>
      <c r="AA4234" s="399"/>
      <c r="AB4234" s="394"/>
      <c r="AC4234" s="402"/>
      <c r="AD4234" s="399"/>
      <c r="AE4234" s="402"/>
      <c r="AF4234" s="391"/>
      <c r="AG4234" s="394"/>
      <c r="AH4234" s="394"/>
      <c r="AI4234" s="394"/>
      <c r="AJ4234" s="394"/>
      <c r="AK4234" s="394"/>
      <c r="AL4234" s="394"/>
      <c r="AM4234" s="394"/>
      <c r="AN4234" s="394"/>
      <c r="AO4234" s="394"/>
      <c r="AP4234" s="394"/>
      <c r="AQ4234" s="394"/>
      <c r="AR4234" s="394"/>
      <c r="AS4234" s="402"/>
      <c r="AT4234" s="404"/>
      <c r="AU4234" s="394"/>
      <c r="AV4234" s="394"/>
      <c r="AW4234" s="394"/>
      <c r="AX4234" s="5"/>
      <c r="AY4234" s="5"/>
      <c r="AZ4234" s="5"/>
      <c r="BA4234" s="5"/>
      <c r="BB4234" s="5"/>
      <c r="BC4234" s="5"/>
      <c r="BD4234" s="5"/>
      <c r="BE4234" s="5"/>
      <c r="BF4234" s="5"/>
      <c r="BG4234" s="5"/>
      <c r="BH4234" s="5"/>
      <c r="BI4234" s="5"/>
      <c r="BJ4234" s="5"/>
      <c r="BK4234" s="5"/>
      <c r="BL4234" s="5"/>
      <c r="BM4234" s="5"/>
      <c r="BN4234" s="5"/>
      <c r="BO4234" s="5"/>
      <c r="BP4234" s="5"/>
      <c r="BQ4234" s="5"/>
      <c r="BR4234" s="5"/>
      <c r="BS4234" s="5"/>
      <c r="BT4234" s="5"/>
      <c r="BU4234" s="5"/>
      <c r="BV4234" s="5"/>
      <c r="BW4234" s="5"/>
      <c r="BX4234" s="5"/>
      <c r="BY4234" s="5"/>
      <c r="BZ4234" s="5"/>
      <c r="CA4234" s="5"/>
    </row>
    <row r="4235" spans="1:79" s="400" customFormat="1" ht="15" customHeight="1">
      <c r="A4235" s="41" t="s">
        <v>183</v>
      </c>
      <c r="B4235" s="402" t="s">
        <v>3695</v>
      </c>
      <c r="C4235" s="113" t="s">
        <v>3695</v>
      </c>
      <c r="D4235" s="393" t="s">
        <v>861</v>
      </c>
      <c r="E4235" s="394" t="s">
        <v>862</v>
      </c>
      <c r="F4235" s="402"/>
      <c r="G4235" s="405" t="s">
        <v>1025</v>
      </c>
      <c r="H4235" s="404">
        <v>3672</v>
      </c>
      <c r="I4235" s="402" t="s">
        <v>2</v>
      </c>
      <c r="J4235" s="406" t="s">
        <v>6513</v>
      </c>
      <c r="K4235" s="403">
        <v>41689</v>
      </c>
      <c r="L4235" s="398">
        <v>41653</v>
      </c>
      <c r="M4235" s="402">
        <f t="shared" si="254"/>
        <v>36</v>
      </c>
      <c r="N4235" s="402" t="s">
        <v>1</v>
      </c>
      <c r="O4235" s="404">
        <v>3.6</v>
      </c>
      <c r="P4235" s="402">
        <v>5.95</v>
      </c>
      <c r="Q4235" s="404">
        <v>6.25</v>
      </c>
      <c r="R4235" s="402">
        <v>170</v>
      </c>
      <c r="S4235" s="404">
        <v>100</v>
      </c>
      <c r="T4235" s="402">
        <v>0.23</v>
      </c>
      <c r="U4235" s="395">
        <v>1.9</v>
      </c>
      <c r="V4235" s="402">
        <v>0.57999999999999996</v>
      </c>
      <c r="W4235" s="404">
        <v>0.26</v>
      </c>
      <c r="X4235" s="402">
        <v>0.251</v>
      </c>
      <c r="Y4235" s="404">
        <f>0.002/2</f>
        <v>1E-3</v>
      </c>
      <c r="Z4235" s="397"/>
      <c r="AA4235" s="399"/>
      <c r="AB4235" s="394"/>
      <c r="AC4235" s="402"/>
      <c r="AD4235" s="399"/>
      <c r="AE4235" s="402"/>
      <c r="AF4235" s="391"/>
      <c r="AG4235" s="394"/>
      <c r="AH4235" s="394"/>
      <c r="AI4235" s="394"/>
      <c r="AJ4235" s="394"/>
      <c r="AK4235" s="394"/>
      <c r="AL4235" s="394"/>
      <c r="AM4235" s="394"/>
      <c r="AN4235" s="394"/>
      <c r="AO4235" s="394"/>
      <c r="AP4235" s="394"/>
      <c r="AQ4235" s="394"/>
      <c r="AR4235" s="394"/>
      <c r="AS4235" s="402"/>
      <c r="AT4235" s="404"/>
      <c r="AU4235" s="394"/>
      <c r="AV4235" s="394"/>
      <c r="AW4235" s="394"/>
      <c r="AX4235" s="5"/>
      <c r="AY4235" s="5"/>
      <c r="AZ4235" s="5"/>
      <c r="BA4235" s="5"/>
      <c r="BB4235" s="5"/>
      <c r="BC4235" s="5"/>
      <c r="BD4235" s="5"/>
      <c r="BE4235" s="5"/>
      <c r="BF4235" s="5"/>
      <c r="BG4235" s="5"/>
      <c r="BH4235" s="5"/>
      <c r="BI4235" s="5"/>
      <c r="BJ4235" s="5"/>
      <c r="BK4235" s="5"/>
      <c r="BL4235" s="5"/>
      <c r="BM4235" s="5"/>
      <c r="BN4235" s="5"/>
      <c r="BO4235" s="5"/>
      <c r="BP4235" s="5"/>
      <c r="BQ4235" s="5"/>
      <c r="BR4235" s="5"/>
      <c r="BS4235" s="5"/>
      <c r="BT4235" s="5"/>
      <c r="BU4235" s="5"/>
      <c r="BV4235" s="5"/>
      <c r="BW4235" s="5"/>
      <c r="BX4235" s="5"/>
      <c r="BY4235" s="5"/>
      <c r="BZ4235" s="5"/>
      <c r="CA4235" s="5"/>
    </row>
    <row r="4236" spans="1:79" s="400" customFormat="1" ht="15" customHeight="1">
      <c r="A4236" s="41" t="s">
        <v>183</v>
      </c>
      <c r="B4236" s="402" t="s">
        <v>3695</v>
      </c>
      <c r="C4236" s="113" t="s">
        <v>3695</v>
      </c>
      <c r="D4236" s="393" t="s">
        <v>861</v>
      </c>
      <c r="E4236" s="394" t="s">
        <v>862</v>
      </c>
      <c r="F4236" s="402"/>
      <c r="G4236" s="405" t="s">
        <v>1025</v>
      </c>
      <c r="H4236" s="404">
        <v>3672</v>
      </c>
      <c r="I4236" s="402" t="s">
        <v>2</v>
      </c>
      <c r="J4236" s="406" t="s">
        <v>6514</v>
      </c>
      <c r="K4236" s="403">
        <v>41689</v>
      </c>
      <c r="L4236" s="398">
        <v>41653</v>
      </c>
      <c r="M4236" s="402">
        <f t="shared" si="254"/>
        <v>36</v>
      </c>
      <c r="N4236" s="402" t="s">
        <v>1</v>
      </c>
      <c r="O4236" s="404">
        <v>12</v>
      </c>
      <c r="P4236" s="402">
        <v>5.95</v>
      </c>
      <c r="Q4236" s="404">
        <v>6.53</v>
      </c>
      <c r="R4236" s="402">
        <v>150</v>
      </c>
      <c r="S4236" s="404">
        <v>320</v>
      </c>
      <c r="T4236" s="402">
        <v>0.5</v>
      </c>
      <c r="U4236" s="395">
        <v>1.93</v>
      </c>
      <c r="V4236" s="402">
        <v>0.39</v>
      </c>
      <c r="W4236" s="404">
        <v>0.26100000000000001</v>
      </c>
      <c r="X4236" s="402">
        <v>0.372</v>
      </c>
      <c r="Y4236" s="404">
        <v>2.5000000000000001E-2</v>
      </c>
      <c r="Z4236" s="397"/>
      <c r="AA4236" s="399"/>
      <c r="AB4236" s="394"/>
      <c r="AC4236" s="402"/>
      <c r="AD4236" s="399"/>
      <c r="AE4236" s="402"/>
      <c r="AF4236" s="391"/>
      <c r="AG4236" s="394"/>
      <c r="AH4236" s="394"/>
      <c r="AI4236" s="394"/>
      <c r="AJ4236" s="394"/>
      <c r="AK4236" s="394"/>
      <c r="AL4236" s="394"/>
      <c r="AM4236" s="394"/>
      <c r="AN4236" s="394"/>
      <c r="AO4236" s="394"/>
      <c r="AP4236" s="394"/>
      <c r="AQ4236" s="394"/>
      <c r="AR4236" s="394"/>
      <c r="AS4236" s="402"/>
      <c r="AT4236" s="404"/>
      <c r="AU4236" s="394"/>
      <c r="AV4236" s="394"/>
      <c r="AW4236" s="394"/>
      <c r="AX4236" s="5"/>
      <c r="AY4236" s="5"/>
      <c r="AZ4236" s="5"/>
      <c r="BA4236" s="5"/>
      <c r="BB4236" s="5"/>
      <c r="BC4236" s="5"/>
      <c r="BD4236" s="5"/>
      <c r="BE4236" s="5"/>
      <c r="BF4236" s="5"/>
      <c r="BG4236" s="5"/>
      <c r="BH4236" s="5"/>
      <c r="BI4236" s="5"/>
      <c r="BJ4236" s="5"/>
      <c r="BK4236" s="5"/>
      <c r="BL4236" s="5"/>
      <c r="BM4236" s="5"/>
      <c r="BN4236" s="5"/>
      <c r="BO4236" s="5"/>
      <c r="BP4236" s="5"/>
      <c r="BQ4236" s="5"/>
      <c r="BR4236" s="5"/>
      <c r="BS4236" s="5"/>
      <c r="BT4236" s="5"/>
      <c r="BU4236" s="5"/>
      <c r="BV4236" s="5"/>
      <c r="BW4236" s="5"/>
      <c r="BX4236" s="5"/>
      <c r="BY4236" s="5"/>
      <c r="BZ4236" s="5"/>
      <c r="CA4236" s="5"/>
    </row>
    <row r="4237" spans="1:79" s="400" customFormat="1" ht="15" customHeight="1">
      <c r="A4237" s="41" t="s">
        <v>183</v>
      </c>
      <c r="B4237" s="402" t="s">
        <v>3695</v>
      </c>
      <c r="C4237" s="113" t="s">
        <v>3695</v>
      </c>
      <c r="D4237" s="393" t="s">
        <v>861</v>
      </c>
      <c r="E4237" s="394" t="s">
        <v>862</v>
      </c>
      <c r="F4237" s="402"/>
      <c r="G4237" s="405" t="s">
        <v>1025</v>
      </c>
      <c r="H4237" s="404">
        <v>3672</v>
      </c>
      <c r="I4237" s="402" t="s">
        <v>2</v>
      </c>
      <c r="J4237" s="406" t="s">
        <v>6515</v>
      </c>
      <c r="K4237" s="403">
        <v>41689</v>
      </c>
      <c r="L4237" s="398">
        <v>41653</v>
      </c>
      <c r="M4237" s="402">
        <f t="shared" si="254"/>
        <v>36</v>
      </c>
      <c r="N4237" s="402" t="s">
        <v>1</v>
      </c>
      <c r="O4237" s="404">
        <v>25</v>
      </c>
      <c r="P4237" s="402">
        <v>5.95</v>
      </c>
      <c r="Q4237" s="404">
        <v>7.13</v>
      </c>
      <c r="R4237" s="402">
        <v>42</v>
      </c>
      <c r="S4237" s="404">
        <v>630</v>
      </c>
      <c r="T4237" s="402">
        <v>0.5</v>
      </c>
      <c r="U4237" s="395">
        <v>2.46</v>
      </c>
      <c r="V4237" s="402">
        <v>0.19</v>
      </c>
      <c r="W4237" s="404">
        <v>0.434</v>
      </c>
      <c r="X4237" s="402">
        <v>0.55400000000000005</v>
      </c>
      <c r="Y4237" s="404">
        <v>3.4000000000000002E-2</v>
      </c>
      <c r="Z4237" s="397"/>
      <c r="AA4237" s="399"/>
      <c r="AB4237" s="394"/>
      <c r="AC4237" s="402"/>
      <c r="AD4237" s="399"/>
      <c r="AE4237" s="402"/>
      <c r="AF4237" s="391"/>
      <c r="AG4237" s="394"/>
      <c r="AH4237" s="394"/>
      <c r="AI4237" s="394"/>
      <c r="AJ4237" s="394"/>
      <c r="AK4237" s="394"/>
      <c r="AL4237" s="394"/>
      <c r="AM4237" s="394"/>
      <c r="AN4237" s="394"/>
      <c r="AO4237" s="394"/>
      <c r="AP4237" s="394"/>
      <c r="AQ4237" s="394"/>
      <c r="AR4237" s="394"/>
      <c r="AS4237" s="402"/>
      <c r="AT4237" s="404"/>
      <c r="AU4237" s="394"/>
      <c r="AV4237" s="394"/>
      <c r="AW4237" s="394"/>
      <c r="AX4237" s="5"/>
      <c r="AY4237" s="5"/>
      <c r="AZ4237" s="5"/>
      <c r="BA4237" s="5"/>
      <c r="BB4237" s="5"/>
      <c r="BC4237" s="5"/>
      <c r="BD4237" s="5"/>
      <c r="BE4237" s="5"/>
      <c r="BF4237" s="5"/>
      <c r="BG4237" s="5"/>
      <c r="BH4237" s="5"/>
      <c r="BI4237" s="5"/>
      <c r="BJ4237" s="5"/>
      <c r="BK4237" s="5"/>
      <c r="BL4237" s="5"/>
      <c r="BM4237" s="5"/>
      <c r="BN4237" s="5"/>
      <c r="BO4237" s="5"/>
      <c r="BP4237" s="5"/>
      <c r="BQ4237" s="5"/>
      <c r="BR4237" s="5"/>
      <c r="BS4237" s="5"/>
      <c r="BT4237" s="5"/>
      <c r="BU4237" s="5"/>
      <c r="BV4237" s="5"/>
      <c r="BW4237" s="5"/>
      <c r="BX4237" s="5"/>
      <c r="BY4237" s="5"/>
      <c r="BZ4237" s="5"/>
      <c r="CA4237" s="5"/>
    </row>
    <row r="4238" spans="1:79" s="400" customFormat="1" ht="15" customHeight="1">
      <c r="A4238" s="41" t="s">
        <v>183</v>
      </c>
      <c r="B4238" s="402" t="s">
        <v>3695</v>
      </c>
      <c r="C4238" s="113" t="s">
        <v>3695</v>
      </c>
      <c r="D4238" s="393" t="s">
        <v>861</v>
      </c>
      <c r="E4238" s="394" t="s">
        <v>862</v>
      </c>
      <c r="F4238" s="402"/>
      <c r="G4238" s="405" t="s">
        <v>1025</v>
      </c>
      <c r="H4238" s="404">
        <v>3672</v>
      </c>
      <c r="I4238" s="402" t="s">
        <v>2</v>
      </c>
      <c r="J4238" s="406" t="s">
        <v>6516</v>
      </c>
      <c r="K4238" s="403">
        <v>41689</v>
      </c>
      <c r="L4238" s="398">
        <v>41653</v>
      </c>
      <c r="M4238" s="402">
        <f t="shared" si="254"/>
        <v>36</v>
      </c>
      <c r="N4238" s="402" t="s">
        <v>1</v>
      </c>
      <c r="O4238" s="404">
        <v>6.1</v>
      </c>
      <c r="P4238" s="402">
        <v>5.95</v>
      </c>
      <c r="Q4238" s="404">
        <v>6.81</v>
      </c>
      <c r="R4238" s="402">
        <v>83</v>
      </c>
      <c r="S4238" s="404">
        <v>180</v>
      </c>
      <c r="T4238" s="402">
        <v>0.25</v>
      </c>
      <c r="U4238" s="395">
        <v>1.19</v>
      </c>
      <c r="V4238" s="402">
        <v>0.39</v>
      </c>
      <c r="W4238" s="404">
        <v>0.16300000000000001</v>
      </c>
      <c r="X4238" s="402">
        <v>0.151</v>
      </c>
      <c r="Y4238" s="404">
        <v>1.2999999999999999E-2</v>
      </c>
      <c r="Z4238" s="397"/>
      <c r="AA4238" s="399"/>
      <c r="AB4238" s="394"/>
      <c r="AC4238" s="402"/>
      <c r="AD4238" s="399"/>
      <c r="AE4238" s="402"/>
      <c r="AF4238" s="391"/>
      <c r="AG4238" s="394"/>
      <c r="AH4238" s="394"/>
      <c r="AI4238" s="394"/>
      <c r="AJ4238" s="394"/>
      <c r="AK4238" s="394"/>
      <c r="AL4238" s="394"/>
      <c r="AM4238" s="394"/>
      <c r="AN4238" s="394"/>
      <c r="AO4238" s="394"/>
      <c r="AP4238" s="394"/>
      <c r="AQ4238" s="394"/>
      <c r="AR4238" s="394"/>
      <c r="AS4238" s="402"/>
      <c r="AT4238" s="404"/>
      <c r="AU4238" s="394"/>
      <c r="AV4238" s="394"/>
      <c r="AW4238" s="394"/>
      <c r="AX4238" s="5"/>
      <c r="AY4238" s="5"/>
      <c r="AZ4238" s="5"/>
      <c r="BA4238" s="5"/>
      <c r="BB4238" s="5"/>
      <c r="BC4238" s="5"/>
      <c r="BD4238" s="5"/>
      <c r="BE4238" s="5"/>
      <c r="BF4238" s="5"/>
      <c r="BG4238" s="5"/>
      <c r="BH4238" s="5"/>
      <c r="BI4238" s="5"/>
      <c r="BJ4238" s="5"/>
      <c r="BK4238" s="5"/>
      <c r="BL4238" s="5"/>
      <c r="BM4238" s="5"/>
      <c r="BN4238" s="5"/>
      <c r="BO4238" s="5"/>
      <c r="BP4238" s="5"/>
      <c r="BQ4238" s="5"/>
      <c r="BR4238" s="5"/>
      <c r="BS4238" s="5"/>
      <c r="BT4238" s="5"/>
      <c r="BU4238" s="5"/>
      <c r="BV4238" s="5"/>
      <c r="BW4238" s="5"/>
      <c r="BX4238" s="5"/>
      <c r="BY4238" s="5"/>
      <c r="BZ4238" s="5"/>
      <c r="CA4238" s="5"/>
    </row>
    <row r="4239" spans="1:79" s="400" customFormat="1" ht="15" customHeight="1">
      <c r="A4239" s="41" t="s">
        <v>183</v>
      </c>
      <c r="B4239" s="402" t="s">
        <v>2070</v>
      </c>
      <c r="C4239" s="113" t="s">
        <v>2071</v>
      </c>
      <c r="D4239" s="393" t="s">
        <v>1837</v>
      </c>
      <c r="E4239" s="394" t="s">
        <v>112</v>
      </c>
      <c r="F4239" s="402"/>
      <c r="G4239" s="405" t="s">
        <v>3105</v>
      </c>
      <c r="H4239" s="404">
        <v>4952</v>
      </c>
      <c r="I4239" s="402" t="s">
        <v>1</v>
      </c>
      <c r="J4239" s="401" t="s">
        <v>1943</v>
      </c>
      <c r="K4239" s="403">
        <v>41631</v>
      </c>
      <c r="L4239" s="398">
        <v>41625</v>
      </c>
      <c r="M4239" s="402">
        <f t="shared" si="254"/>
        <v>6</v>
      </c>
      <c r="N4239" s="402" t="s">
        <v>2</v>
      </c>
      <c r="O4239" s="404">
        <f>5/2</f>
        <v>2.5</v>
      </c>
      <c r="P4239" s="402">
        <v>7.22</v>
      </c>
      <c r="Q4239" s="404">
        <v>7.21</v>
      </c>
      <c r="R4239" s="402">
        <v>43</v>
      </c>
      <c r="S4239" s="404">
        <v>30</v>
      </c>
      <c r="T4239" s="402">
        <v>0.31</v>
      </c>
      <c r="U4239" s="395">
        <f>1/2</f>
        <v>0.5</v>
      </c>
      <c r="V4239" s="402">
        <v>1.8</v>
      </c>
      <c r="W4239" s="404">
        <f>0.04/2</f>
        <v>0.02</v>
      </c>
      <c r="X4239" s="402">
        <v>4.8000000000000001E-2</v>
      </c>
      <c r="Y4239" s="404">
        <f>0.013/2</f>
        <v>6.4999999999999997E-3</v>
      </c>
      <c r="Z4239" s="397"/>
      <c r="AA4239" s="399"/>
      <c r="AB4239" s="394"/>
      <c r="AC4239" s="402"/>
      <c r="AD4239" s="399"/>
      <c r="AE4239" s="402"/>
      <c r="AF4239" s="391"/>
      <c r="AG4239" s="394"/>
      <c r="AH4239" s="394"/>
      <c r="AI4239" s="394"/>
      <c r="AJ4239" s="394"/>
      <c r="AK4239" s="394"/>
      <c r="AL4239" s="394"/>
      <c r="AM4239" s="394"/>
      <c r="AN4239" s="394"/>
      <c r="AO4239" s="394"/>
      <c r="AP4239" s="394"/>
      <c r="AQ4239" s="394"/>
      <c r="AR4239" s="394"/>
      <c r="AS4239" s="402"/>
      <c r="AT4239" s="404"/>
      <c r="AU4239" s="394"/>
      <c r="AV4239" s="394"/>
      <c r="AW4239" s="394"/>
      <c r="AX4239" s="5"/>
      <c r="AY4239" s="5"/>
      <c r="AZ4239" s="5"/>
      <c r="BA4239" s="5"/>
      <c r="BB4239" s="5"/>
      <c r="BC4239" s="5"/>
      <c r="BD4239" s="5"/>
      <c r="BE4239" s="5"/>
      <c r="BF4239" s="5"/>
      <c r="BG4239" s="5"/>
      <c r="BH4239" s="5"/>
      <c r="BI4239" s="5"/>
      <c r="BJ4239" s="5"/>
      <c r="BK4239" s="5"/>
      <c r="BL4239" s="5"/>
      <c r="BM4239" s="5"/>
      <c r="BN4239" s="5"/>
      <c r="BO4239" s="5"/>
      <c r="BP4239" s="5"/>
      <c r="BQ4239" s="5"/>
      <c r="BR4239" s="5"/>
      <c r="BS4239" s="5"/>
      <c r="BT4239" s="5"/>
      <c r="BU4239" s="5"/>
      <c r="BV4239" s="5"/>
      <c r="BW4239" s="5"/>
      <c r="BX4239" s="5"/>
      <c r="BY4239" s="5"/>
      <c r="BZ4239" s="5"/>
      <c r="CA4239" s="5"/>
    </row>
    <row r="4240" spans="1:79" s="400" customFormat="1" ht="15" customHeight="1">
      <c r="A4240" s="41" t="s">
        <v>183</v>
      </c>
      <c r="B4240" s="402" t="s">
        <v>2647</v>
      </c>
      <c r="C4240" s="113" t="s">
        <v>2648</v>
      </c>
      <c r="D4240" s="393" t="s">
        <v>1896</v>
      </c>
      <c r="E4240" s="394" t="s">
        <v>1538</v>
      </c>
      <c r="F4240" s="402"/>
      <c r="G4240" s="405" t="s">
        <v>2649</v>
      </c>
      <c r="H4240" s="404">
        <v>4952</v>
      </c>
      <c r="I4240" s="402" t="s">
        <v>1</v>
      </c>
      <c r="J4240" s="401" t="s">
        <v>460</v>
      </c>
      <c r="K4240" s="403">
        <v>41590</v>
      </c>
      <c r="L4240" s="398">
        <v>41585</v>
      </c>
      <c r="M4240" s="402">
        <f t="shared" si="254"/>
        <v>5</v>
      </c>
      <c r="N4240" s="402" t="s">
        <v>2</v>
      </c>
      <c r="O4240" s="404">
        <v>4.5</v>
      </c>
      <c r="P4240" s="402">
        <v>6.31</v>
      </c>
      <c r="Q4240" s="404">
        <v>6.82</v>
      </c>
      <c r="R4240" s="402">
        <v>98</v>
      </c>
      <c r="S4240" s="404">
        <v>27</v>
      </c>
      <c r="T4240" s="402">
        <v>0.3</v>
      </c>
      <c r="U4240" s="395">
        <v>1.56</v>
      </c>
      <c r="V4240" s="402">
        <v>0.56000000000000005</v>
      </c>
      <c r="W4240" s="404">
        <v>0.02</v>
      </c>
      <c r="X4240" s="402">
        <v>0.09</v>
      </c>
      <c r="Y4240" s="404">
        <v>0.01</v>
      </c>
      <c r="Z4240" s="397">
        <v>1</v>
      </c>
      <c r="AA4240" s="399">
        <v>1</v>
      </c>
      <c r="AB4240" s="394">
        <v>22</v>
      </c>
      <c r="AC4240" s="402">
        <v>75</v>
      </c>
      <c r="AD4240" s="399">
        <v>0.9</v>
      </c>
      <c r="AE4240" s="402"/>
      <c r="AF4240" s="391"/>
      <c r="AG4240" s="394"/>
      <c r="AH4240" s="394"/>
      <c r="AI4240" s="394"/>
      <c r="AJ4240" s="394"/>
      <c r="AK4240" s="394"/>
      <c r="AL4240" s="394"/>
      <c r="AM4240" s="394"/>
      <c r="AN4240" s="394"/>
      <c r="AO4240" s="394"/>
      <c r="AP4240" s="394"/>
      <c r="AQ4240" s="394"/>
      <c r="AR4240" s="394"/>
      <c r="AS4240" s="402"/>
      <c r="AT4240" s="404"/>
      <c r="AU4240" s="394"/>
      <c r="AV4240" s="394"/>
      <c r="AW4240" s="394"/>
      <c r="AX4240" s="5"/>
      <c r="AY4240" s="5"/>
      <c r="AZ4240" s="5"/>
      <c r="BA4240" s="5"/>
      <c r="BB4240" s="5"/>
      <c r="BC4240" s="5"/>
      <c r="BD4240" s="5"/>
      <c r="BE4240" s="5"/>
      <c r="BF4240" s="5"/>
      <c r="BG4240" s="5"/>
      <c r="BH4240" s="5"/>
      <c r="BI4240" s="5"/>
      <c r="BJ4240" s="5"/>
      <c r="BK4240" s="5"/>
      <c r="BL4240" s="5"/>
      <c r="BM4240" s="5"/>
      <c r="BN4240" s="5"/>
      <c r="BO4240" s="5"/>
      <c r="BP4240" s="5"/>
      <c r="BQ4240" s="5"/>
      <c r="BR4240" s="5"/>
      <c r="BS4240" s="5"/>
      <c r="BT4240" s="5"/>
      <c r="BU4240" s="5"/>
      <c r="BV4240" s="5"/>
      <c r="BW4240" s="5"/>
      <c r="BX4240" s="5"/>
      <c r="BY4240" s="5"/>
      <c r="BZ4240" s="5"/>
      <c r="CA4240" s="5"/>
    </row>
    <row r="4241" spans="1:79" s="400" customFormat="1" ht="15" customHeight="1">
      <c r="A4241" s="41" t="s">
        <v>183</v>
      </c>
      <c r="B4241" s="402" t="s">
        <v>246</v>
      </c>
      <c r="C4241" s="113" t="s">
        <v>246</v>
      </c>
      <c r="D4241" s="393" t="s">
        <v>247</v>
      </c>
      <c r="E4241" s="394" t="s">
        <v>49</v>
      </c>
      <c r="F4241" s="402"/>
      <c r="G4241" s="405" t="s">
        <v>248</v>
      </c>
      <c r="H4241" s="404">
        <v>2033</v>
      </c>
      <c r="I4241" s="402" t="s">
        <v>2</v>
      </c>
      <c r="J4241" s="406" t="s">
        <v>249</v>
      </c>
      <c r="K4241" s="403">
        <v>41578</v>
      </c>
      <c r="L4241" s="398">
        <v>41554</v>
      </c>
      <c r="M4241" s="402">
        <f t="shared" si="254"/>
        <v>24</v>
      </c>
      <c r="N4241" s="402" t="s">
        <v>2</v>
      </c>
      <c r="O4241" s="404">
        <f>1.4/2</f>
        <v>0.7</v>
      </c>
      <c r="P4241" s="402">
        <v>5.24</v>
      </c>
      <c r="Q4241" s="404">
        <v>8.61</v>
      </c>
      <c r="R4241" s="402">
        <v>69</v>
      </c>
      <c r="S4241" s="404">
        <v>24</v>
      </c>
      <c r="T4241" s="402">
        <v>0.26</v>
      </c>
      <c r="U4241" s="395">
        <v>4.1900000000000004</v>
      </c>
      <c r="V4241" s="402">
        <f>0.01/2</f>
        <v>5.0000000000000001E-3</v>
      </c>
      <c r="W4241" s="404">
        <v>6.0000000000000001E-3</v>
      </c>
      <c r="X4241" s="402">
        <v>1.7000000000000001E-2</v>
      </c>
      <c r="Y4241" s="404">
        <f>0.002/2</f>
        <v>1E-3</v>
      </c>
      <c r="Z4241" s="397"/>
      <c r="AA4241" s="399"/>
      <c r="AB4241" s="394"/>
      <c r="AC4241" s="402"/>
      <c r="AD4241" s="399"/>
      <c r="AE4241" s="402"/>
      <c r="AF4241" s="391"/>
      <c r="AG4241" s="394"/>
      <c r="AH4241" s="394"/>
      <c r="AI4241" s="394"/>
      <c r="AJ4241" s="394"/>
      <c r="AK4241" s="394"/>
      <c r="AL4241" s="394"/>
      <c r="AM4241" s="394"/>
      <c r="AN4241" s="394"/>
      <c r="AO4241" s="394"/>
      <c r="AP4241" s="394"/>
      <c r="AQ4241" s="394"/>
      <c r="AR4241" s="394"/>
      <c r="AS4241" s="402"/>
      <c r="AT4241" s="404"/>
      <c r="AU4241" s="394"/>
      <c r="AV4241" s="394"/>
      <c r="AW4241" s="394"/>
      <c r="AX4241" s="5"/>
      <c r="AY4241" s="5"/>
      <c r="AZ4241" s="5"/>
      <c r="BA4241" s="5"/>
      <c r="BB4241" s="5"/>
      <c r="BC4241" s="5"/>
      <c r="BD4241" s="5"/>
      <c r="BE4241" s="5"/>
      <c r="BF4241" s="5"/>
      <c r="BG4241" s="5"/>
      <c r="BH4241" s="5"/>
      <c r="BI4241" s="5"/>
      <c r="BJ4241" s="5"/>
      <c r="BK4241" s="5"/>
      <c r="BL4241" s="5"/>
      <c r="BM4241" s="5"/>
      <c r="BN4241" s="5"/>
      <c r="BO4241" s="5"/>
      <c r="BP4241" s="5"/>
      <c r="BQ4241" s="5"/>
      <c r="BR4241" s="5"/>
      <c r="BS4241" s="5"/>
      <c r="BT4241" s="5"/>
      <c r="BU4241" s="5"/>
      <c r="BV4241" s="5"/>
      <c r="BW4241" s="5"/>
      <c r="BX4241" s="5"/>
      <c r="BY4241" s="5"/>
      <c r="BZ4241" s="5"/>
      <c r="CA4241" s="5"/>
    </row>
    <row r="4242" spans="1:79" s="400" customFormat="1" ht="15" customHeight="1">
      <c r="A4242" s="41" t="s">
        <v>183</v>
      </c>
      <c r="B4242" s="402" t="s">
        <v>5807</v>
      </c>
      <c r="C4242" s="113" t="s">
        <v>5807</v>
      </c>
      <c r="D4242" s="393" t="s">
        <v>756</v>
      </c>
      <c r="E4242" s="394" t="s">
        <v>2266</v>
      </c>
      <c r="F4242" s="402"/>
      <c r="G4242" s="405" t="s">
        <v>2267</v>
      </c>
      <c r="H4242" s="113">
        <v>3669</v>
      </c>
      <c r="I4242" s="402" t="s">
        <v>2</v>
      </c>
      <c r="J4242" s="401" t="s">
        <v>2268</v>
      </c>
      <c r="K4242" s="403">
        <v>41744</v>
      </c>
      <c r="L4242" s="398">
        <v>41737</v>
      </c>
      <c r="M4242" s="402">
        <f t="shared" si="254"/>
        <v>7</v>
      </c>
      <c r="N4242" s="402" t="s">
        <v>2</v>
      </c>
      <c r="O4242" s="404"/>
      <c r="P4242" s="402">
        <v>4</v>
      </c>
      <c r="Q4242" s="404">
        <v>4.9800000000000004</v>
      </c>
      <c r="R4242" s="402"/>
      <c r="S4242" s="404"/>
      <c r="T4242" s="402"/>
      <c r="U4242" s="395">
        <v>2</v>
      </c>
      <c r="V4242" s="402">
        <v>0.5</v>
      </c>
      <c r="W4242" s="404"/>
      <c r="X4242" s="402"/>
      <c r="Y4242" s="404"/>
      <c r="Z4242" s="397"/>
      <c r="AA4242" s="399"/>
      <c r="AB4242" s="394"/>
      <c r="AC4242" s="402"/>
      <c r="AD4242" s="399"/>
      <c r="AE4242" s="402"/>
      <c r="AF4242" s="391"/>
      <c r="AG4242" s="394"/>
      <c r="AH4242" s="394"/>
      <c r="AI4242" s="394"/>
      <c r="AJ4242" s="394"/>
      <c r="AK4242" s="394"/>
      <c r="AL4242" s="394"/>
      <c r="AM4242" s="394"/>
      <c r="AN4242" s="394"/>
      <c r="AO4242" s="394"/>
      <c r="AP4242" s="394"/>
      <c r="AQ4242" s="394"/>
      <c r="AR4242" s="394"/>
      <c r="AS4242" s="402"/>
      <c r="AT4242" s="404"/>
      <c r="AU4242" s="394"/>
      <c r="AV4242" s="394"/>
      <c r="AW4242" s="394"/>
      <c r="AX4242" s="5"/>
      <c r="AY4242" s="5"/>
      <c r="AZ4242" s="5"/>
      <c r="BA4242" s="5"/>
      <c r="BB4242" s="5"/>
      <c r="BC4242" s="5"/>
      <c r="BD4242" s="5"/>
      <c r="BE4242" s="5"/>
      <c r="BF4242" s="5"/>
      <c r="BG4242" s="5"/>
      <c r="BH4242" s="5"/>
      <c r="BI4242" s="5"/>
      <c r="BJ4242" s="5"/>
      <c r="BK4242" s="5"/>
      <c r="BL4242" s="5"/>
      <c r="BM4242" s="5"/>
      <c r="BN4242" s="5"/>
      <c r="BO4242" s="5"/>
      <c r="BP4242" s="5"/>
      <c r="BQ4242" s="5"/>
      <c r="BR4242" s="5"/>
      <c r="BS4242" s="5"/>
      <c r="BT4242" s="5"/>
      <c r="BU4242" s="5"/>
      <c r="BV4242" s="5"/>
      <c r="BW4242" s="5"/>
      <c r="BX4242" s="5"/>
      <c r="BY4242" s="5"/>
      <c r="BZ4242" s="5"/>
      <c r="CA4242" s="5"/>
    </row>
    <row r="4243" spans="1:79" ht="15" customHeight="1">
      <c r="A4243" s="41" t="s">
        <v>4668</v>
      </c>
      <c r="B4243" s="385" t="s">
        <v>5568</v>
      </c>
      <c r="C4243" s="18" t="s">
        <v>6020</v>
      </c>
      <c r="D4243" s="377" t="s">
        <v>1830</v>
      </c>
      <c r="E4243" s="20" t="s">
        <v>3271</v>
      </c>
      <c r="F4243" s="385"/>
      <c r="G4243" s="15" t="s">
        <v>6021</v>
      </c>
      <c r="H4243" s="7"/>
      <c r="I4243" s="19" t="s">
        <v>2</v>
      </c>
      <c r="J4243" s="7" t="s">
        <v>6020</v>
      </c>
      <c r="K4243" s="51">
        <v>41605</v>
      </c>
      <c r="L4243" s="115">
        <v>41596</v>
      </c>
      <c r="N4243" s="7" t="s">
        <v>2</v>
      </c>
      <c r="O4243" s="74">
        <v>0.5</v>
      </c>
      <c r="P4243" s="117">
        <v>6.2</v>
      </c>
      <c r="Q4243" s="131">
        <v>6.16</v>
      </c>
      <c r="R4243" s="50">
        <v>0.5</v>
      </c>
      <c r="S4243" s="74">
        <v>1</v>
      </c>
      <c r="T4243" s="50">
        <v>0.05</v>
      </c>
      <c r="U4243" s="74">
        <v>2.8</v>
      </c>
      <c r="V4243" s="50">
        <v>2.5000000000000001E-2</v>
      </c>
      <c r="W4243" s="74">
        <v>2.5000000000000001E-2</v>
      </c>
      <c r="X4243" s="50">
        <v>0.17</v>
      </c>
      <c r="Y4243" s="74">
        <v>2.5000000000000001E-2</v>
      </c>
      <c r="Z4243" s="164">
        <v>0.70699999999999996</v>
      </c>
      <c r="AA4243" s="165">
        <v>0.70699999999999996</v>
      </c>
      <c r="AB4243" s="50">
        <v>14</v>
      </c>
      <c r="AC4243" s="74">
        <v>108</v>
      </c>
      <c r="AD4243" s="164">
        <v>0</v>
      </c>
      <c r="AF4243" s="50"/>
      <c r="AG4243" s="74"/>
      <c r="AH4243" s="74"/>
      <c r="AI4243" s="113"/>
      <c r="AJ4243" s="50"/>
      <c r="AK4243" s="74"/>
      <c r="AL4243" s="50"/>
      <c r="AM4243" s="74"/>
      <c r="AN4243" s="50"/>
      <c r="AO4243" s="74"/>
      <c r="AP4243" s="50"/>
      <c r="AQ4243" s="74"/>
      <c r="AR4243" s="50"/>
      <c r="AS4243" s="74"/>
      <c r="AT4243" s="50"/>
      <c r="AU4243" s="74"/>
      <c r="AV4243"/>
      <c r="AW4243"/>
    </row>
    <row r="4244" spans="1:79" ht="15" customHeight="1">
      <c r="A4244" s="41" t="s">
        <v>183</v>
      </c>
      <c r="B4244" s="402" t="s">
        <v>232</v>
      </c>
      <c r="C4244" s="113" t="s">
        <v>233</v>
      </c>
      <c r="D4244" s="393" t="s">
        <v>234</v>
      </c>
      <c r="E4244" s="394" t="s">
        <v>235</v>
      </c>
      <c r="G4244" s="76" t="s">
        <v>236</v>
      </c>
      <c r="H4244" s="50">
        <v>4952</v>
      </c>
      <c r="I4244" s="49" t="s">
        <v>1</v>
      </c>
      <c r="J4244" s="50" t="s">
        <v>237</v>
      </c>
      <c r="K4244" s="51">
        <v>40835</v>
      </c>
      <c r="L4244" s="115">
        <v>40830</v>
      </c>
      <c r="M4244" s="50">
        <v>5</v>
      </c>
      <c r="N4244" s="50" t="s">
        <v>2</v>
      </c>
      <c r="O4244" s="74">
        <v>1.9</v>
      </c>
      <c r="P4244" s="117">
        <v>5.6</v>
      </c>
      <c r="Q4244" s="131">
        <v>6.72</v>
      </c>
      <c r="R4244" s="50">
        <v>31.4</v>
      </c>
      <c r="S4244" s="74">
        <v>8</v>
      </c>
      <c r="T4244" s="50">
        <v>0.49</v>
      </c>
      <c r="U4244" s="74">
        <v>1.1299999999999999</v>
      </c>
      <c r="V4244" s="50">
        <v>0.24</v>
      </c>
      <c r="W4244" s="74">
        <v>0.02</v>
      </c>
      <c r="X4244" s="50">
        <v>0.04</v>
      </c>
      <c r="Y4244" s="74">
        <v>0.01</v>
      </c>
      <c r="Z4244" s="125"/>
      <c r="AA4244" s="125"/>
      <c r="AB4244" s="85"/>
      <c r="AC4244" s="85"/>
      <c r="AD4244" s="125"/>
      <c r="AR4244" s="50">
        <v>3</v>
      </c>
      <c r="AS4244" s="85">
        <v>2.5000000000000001E-3</v>
      </c>
    </row>
    <row r="4245" spans="1:79" ht="15" customHeight="1">
      <c r="A4245" s="41" t="s">
        <v>183</v>
      </c>
      <c r="B4245" s="402" t="s">
        <v>232</v>
      </c>
      <c r="C4245" s="113" t="s">
        <v>233</v>
      </c>
      <c r="D4245" s="393" t="s">
        <v>234</v>
      </c>
      <c r="E4245" s="394" t="s">
        <v>235</v>
      </c>
      <c r="G4245" s="76" t="s">
        <v>236</v>
      </c>
      <c r="H4245" s="50">
        <v>4952</v>
      </c>
      <c r="I4245" s="49" t="s">
        <v>1</v>
      </c>
      <c r="J4245" s="50" t="s">
        <v>238</v>
      </c>
      <c r="K4245" s="51">
        <v>40835</v>
      </c>
      <c r="L4245" s="115">
        <v>40830</v>
      </c>
      <c r="M4245" s="50">
        <v>5</v>
      </c>
      <c r="N4245" s="50" t="s">
        <v>2</v>
      </c>
      <c r="O4245" s="74">
        <v>1.8</v>
      </c>
      <c r="P4245" s="117">
        <v>5.6</v>
      </c>
      <c r="Q4245" s="131">
        <v>6.76</v>
      </c>
      <c r="R4245" s="50">
        <v>28.2</v>
      </c>
      <c r="S4245" s="74">
        <v>16</v>
      </c>
      <c r="T4245" s="50">
        <v>0.16</v>
      </c>
      <c r="U4245" s="74">
        <v>1.04</v>
      </c>
      <c r="V4245" s="50">
        <v>0.38</v>
      </c>
      <c r="W4245" s="74">
        <v>0.01</v>
      </c>
      <c r="X4245" s="50">
        <v>0.04</v>
      </c>
      <c r="Y4245" s="74">
        <v>0.01</v>
      </c>
      <c r="Z4245" s="125"/>
      <c r="AA4245" s="125"/>
      <c r="AB4245" s="85"/>
      <c r="AC4245" s="85"/>
      <c r="AD4245" s="125"/>
      <c r="AR4245" s="50">
        <v>2.8</v>
      </c>
      <c r="AS4245" s="85">
        <v>2.5000000000000001E-3</v>
      </c>
    </row>
    <row r="4246" spans="1:79" ht="15" customHeight="1">
      <c r="A4246" s="41" t="s">
        <v>4668</v>
      </c>
      <c r="B4246" s="385" t="s">
        <v>232</v>
      </c>
      <c r="C4246" s="18" t="s">
        <v>232</v>
      </c>
      <c r="D4246" s="377" t="s">
        <v>234</v>
      </c>
      <c r="E4246" s="20" t="s">
        <v>235</v>
      </c>
      <c r="F4246" s="385"/>
      <c r="G4246" s="15" t="s">
        <v>236</v>
      </c>
      <c r="H4246" s="7">
        <v>4925</v>
      </c>
      <c r="I4246" s="19" t="s">
        <v>1</v>
      </c>
      <c r="J4246" s="7" t="s">
        <v>237</v>
      </c>
      <c r="K4246" s="51">
        <v>41600</v>
      </c>
      <c r="L4246" s="115">
        <v>41585</v>
      </c>
      <c r="N4246" s="7" t="s">
        <v>2</v>
      </c>
      <c r="O4246" s="74">
        <v>0.5</v>
      </c>
      <c r="P4246" s="117">
        <v>5.73</v>
      </c>
      <c r="Q4246" s="131">
        <v>6.87</v>
      </c>
      <c r="R4246" s="50">
        <v>10.3</v>
      </c>
      <c r="S4246" s="74">
        <v>6</v>
      </c>
      <c r="T4246" s="50">
        <v>0.09</v>
      </c>
      <c r="U4246" s="74">
        <v>0.48</v>
      </c>
      <c r="V4246" s="50">
        <v>0.48</v>
      </c>
      <c r="W4246" s="74">
        <v>5.0000000000000001E-3</v>
      </c>
      <c r="X4246" s="50">
        <v>0.03</v>
      </c>
      <c r="Y4246" s="74">
        <v>0.01</v>
      </c>
      <c r="Z4246" s="164">
        <v>1</v>
      </c>
      <c r="AA4246" s="165">
        <v>1</v>
      </c>
      <c r="AB4246" s="50">
        <v>20.2</v>
      </c>
      <c r="AC4246" s="74">
        <v>113.5</v>
      </c>
      <c r="AD4246" s="164">
        <v>0.85</v>
      </c>
      <c r="AF4246" s="50"/>
    </row>
    <row r="4247" spans="1:79" ht="15" customHeight="1">
      <c r="A4247" s="41" t="s">
        <v>4668</v>
      </c>
      <c r="B4247" s="385" t="s">
        <v>232</v>
      </c>
      <c r="C4247" s="18" t="s">
        <v>232</v>
      </c>
      <c r="D4247" s="377" t="s">
        <v>234</v>
      </c>
      <c r="E4247" s="20" t="s">
        <v>235</v>
      </c>
      <c r="F4247" s="385"/>
      <c r="G4247" s="15" t="s">
        <v>236</v>
      </c>
      <c r="H4247" s="7">
        <v>4925</v>
      </c>
      <c r="I4247" s="19" t="s">
        <v>1</v>
      </c>
      <c r="J4247" s="7" t="s">
        <v>238</v>
      </c>
      <c r="K4247" s="51">
        <v>41600</v>
      </c>
      <c r="L4247" s="115">
        <v>41585</v>
      </c>
      <c r="N4247" s="7" t="s">
        <v>2</v>
      </c>
      <c r="O4247" s="74">
        <v>1.6</v>
      </c>
      <c r="P4247" s="117">
        <v>5.67</v>
      </c>
      <c r="Q4247" s="131">
        <v>6.48</v>
      </c>
      <c r="R4247" s="50">
        <v>17.2</v>
      </c>
      <c r="S4247" s="74">
        <v>3</v>
      </c>
      <c r="T4247" s="50">
        <v>0.08</v>
      </c>
      <c r="U4247" s="74">
        <v>1.05</v>
      </c>
      <c r="V4247" s="50">
        <v>0.63</v>
      </c>
      <c r="W4247" s="74">
        <v>0.02</v>
      </c>
      <c r="X4247" s="50">
        <v>7.0000000000000007E-2</v>
      </c>
      <c r="Y4247" s="74">
        <v>0.01</v>
      </c>
      <c r="Z4247" s="164">
        <v>1</v>
      </c>
      <c r="AA4247" s="165">
        <v>0.83330000000000004</v>
      </c>
      <c r="AB4247" s="50">
        <v>22.6</v>
      </c>
      <c r="AC4247" s="74">
        <v>47.4</v>
      </c>
      <c r="AD4247" s="164">
        <v>0.4</v>
      </c>
      <c r="AF4247" s="50"/>
    </row>
    <row r="4248" spans="1:79" ht="15" customHeight="1">
      <c r="A4248" s="41" t="s">
        <v>183</v>
      </c>
      <c r="B4248" s="402" t="s">
        <v>5837</v>
      </c>
      <c r="C4248" s="113" t="s">
        <v>5837</v>
      </c>
      <c r="D4248" s="393" t="s">
        <v>1537</v>
      </c>
      <c r="G4248" s="405" t="s">
        <v>5839</v>
      </c>
      <c r="H4248" s="74"/>
      <c r="J4248" s="339" t="s">
        <v>6449</v>
      </c>
      <c r="K4248" s="51">
        <v>41829</v>
      </c>
      <c r="L4248" s="173"/>
      <c r="N4248" s="50" t="s">
        <v>2</v>
      </c>
      <c r="O4248" s="74">
        <v>1.7</v>
      </c>
      <c r="P4248" s="50">
        <v>5.41</v>
      </c>
      <c r="Q4248" s="74">
        <v>6.66</v>
      </c>
      <c r="R4248" s="50">
        <v>97</v>
      </c>
      <c r="S4248" s="74">
        <v>7</v>
      </c>
      <c r="T4248" s="50">
        <v>0.26</v>
      </c>
      <c r="U4248" s="131">
        <v>2.0299999999999998</v>
      </c>
      <c r="V4248" s="50">
        <v>0.87</v>
      </c>
      <c r="W4248" s="74">
        <v>0.12</v>
      </c>
      <c r="X4248" s="50">
        <v>0.28999999999999998</v>
      </c>
      <c r="Y4248" s="74">
        <f>0.05/2</f>
        <v>2.5000000000000001E-2</v>
      </c>
      <c r="Z4248" s="165">
        <v>1</v>
      </c>
      <c r="AA4248" s="271">
        <v>1</v>
      </c>
    </row>
    <row r="4249" spans="1:79" ht="15" customHeight="1">
      <c r="A4249" s="41" t="s">
        <v>183</v>
      </c>
      <c r="B4249" s="385" t="s">
        <v>1843</v>
      </c>
      <c r="C4249" s="18" t="s">
        <v>4286</v>
      </c>
      <c r="D4249" s="377" t="s">
        <v>836</v>
      </c>
      <c r="E4249" s="20" t="s">
        <v>364</v>
      </c>
      <c r="F4249" s="385"/>
      <c r="G4249" s="390" t="s">
        <v>1878</v>
      </c>
      <c r="H4249" s="6">
        <v>4151</v>
      </c>
      <c r="I4249" s="7" t="s">
        <v>2</v>
      </c>
      <c r="J4249" s="344" t="s">
        <v>641</v>
      </c>
      <c r="K4249" s="51">
        <v>41799</v>
      </c>
      <c r="L4249" s="173">
        <v>41795</v>
      </c>
      <c r="M4249" s="50">
        <f>K4249-L4249</f>
        <v>4</v>
      </c>
      <c r="N4249" s="50" t="s">
        <v>2</v>
      </c>
      <c r="R4249" s="50">
        <v>65</v>
      </c>
      <c r="Z4249" s="165"/>
    </row>
    <row r="4250" spans="1:79" ht="15" customHeight="1">
      <c r="A4250" s="41" t="s">
        <v>4668</v>
      </c>
      <c r="B4250" s="385" t="s">
        <v>345</v>
      </c>
      <c r="C4250" s="18" t="s">
        <v>1332</v>
      </c>
      <c r="D4250" s="377" t="s">
        <v>347</v>
      </c>
      <c r="E4250" s="20" t="s">
        <v>112</v>
      </c>
      <c r="F4250" s="385"/>
      <c r="G4250" s="15" t="s">
        <v>348</v>
      </c>
      <c r="H4250" s="7">
        <v>4952</v>
      </c>
      <c r="I4250" s="19" t="s">
        <v>1</v>
      </c>
      <c r="J4250" s="7" t="s">
        <v>96</v>
      </c>
      <c r="K4250" s="51">
        <v>41585</v>
      </c>
      <c r="L4250" s="115">
        <v>41566</v>
      </c>
      <c r="N4250" s="7" t="s">
        <v>2</v>
      </c>
      <c r="P4250" s="117"/>
      <c r="Q4250" s="131"/>
      <c r="R4250" s="50">
        <v>61</v>
      </c>
      <c r="U4250" s="74">
        <v>3.41</v>
      </c>
      <c r="V4250" s="50">
        <v>1.51</v>
      </c>
      <c r="Z4250" s="164">
        <v>1</v>
      </c>
      <c r="AA4250" s="165">
        <v>1</v>
      </c>
      <c r="AB4250" s="50">
        <v>22</v>
      </c>
      <c r="AC4250" s="74">
        <v>98</v>
      </c>
      <c r="AD4250" s="164">
        <v>1</v>
      </c>
      <c r="AF4250" s="50"/>
      <c r="AG4250" s="74"/>
      <c r="AH4250" s="84" t="s">
        <v>964</v>
      </c>
      <c r="AI4250" s="113"/>
      <c r="AJ4250" s="50"/>
      <c r="AK4250" s="74"/>
      <c r="AL4250" s="50"/>
      <c r="AM4250" s="74"/>
      <c r="AN4250" s="50"/>
      <c r="AO4250" s="74"/>
      <c r="AP4250" s="50"/>
      <c r="AQ4250" s="74"/>
      <c r="AR4250" s="50"/>
      <c r="AS4250" s="74"/>
      <c r="AT4250" s="50"/>
      <c r="AU4250" s="74"/>
      <c r="AV4250"/>
      <c r="AW4250"/>
    </row>
    <row r="4251" spans="1:79" ht="15" customHeight="1">
      <c r="A4251" s="41" t="s">
        <v>4668</v>
      </c>
      <c r="B4251" s="385" t="s">
        <v>345</v>
      </c>
      <c r="C4251" s="18" t="s">
        <v>1332</v>
      </c>
      <c r="D4251" s="377" t="s">
        <v>347</v>
      </c>
      <c r="E4251" s="20" t="s">
        <v>112</v>
      </c>
      <c r="F4251" s="385"/>
      <c r="G4251" s="15" t="s">
        <v>348</v>
      </c>
      <c r="H4251" s="7">
        <v>4952</v>
      </c>
      <c r="I4251" s="19" t="s">
        <v>1</v>
      </c>
      <c r="J4251" s="7" t="s">
        <v>96</v>
      </c>
      <c r="K4251" s="51">
        <v>41781</v>
      </c>
      <c r="L4251" s="115">
        <v>41776</v>
      </c>
      <c r="N4251" s="7" t="s">
        <v>2</v>
      </c>
      <c r="P4251" s="117"/>
      <c r="Q4251" s="131"/>
      <c r="R4251" s="50">
        <v>52</v>
      </c>
      <c r="U4251" s="74">
        <v>4.8099999999999996</v>
      </c>
      <c r="Z4251" s="164"/>
      <c r="AA4251" s="165"/>
      <c r="AB4251" s="50"/>
      <c r="AC4251" s="74"/>
      <c r="AD4251" s="164"/>
      <c r="AF4251" s="50"/>
      <c r="AG4251" s="74"/>
      <c r="AH4251" s="74"/>
      <c r="AI4251" s="113"/>
      <c r="AJ4251" s="50"/>
      <c r="AK4251" s="74"/>
      <c r="AL4251" s="50"/>
      <c r="AM4251" s="74"/>
      <c r="AN4251" s="50"/>
      <c r="AO4251" s="74"/>
      <c r="AP4251" s="50"/>
      <c r="AQ4251" s="74"/>
      <c r="AR4251" s="50"/>
      <c r="AS4251" s="74"/>
      <c r="AT4251" s="50"/>
      <c r="AU4251" s="74"/>
      <c r="AV4251"/>
      <c r="AW4251"/>
    </row>
    <row r="4252" spans="1:79" ht="15" customHeight="1">
      <c r="A4252" s="74" t="s">
        <v>183</v>
      </c>
      <c r="B4252" s="402" t="s">
        <v>2144</v>
      </c>
      <c r="C4252" s="113" t="s">
        <v>2145</v>
      </c>
      <c r="D4252" s="393" t="s">
        <v>1217</v>
      </c>
      <c r="E4252" s="394" t="s">
        <v>2112</v>
      </c>
      <c r="G4252" s="405" t="s">
        <v>2504</v>
      </c>
      <c r="H4252" s="74">
        <v>9711</v>
      </c>
      <c r="I4252" s="50" t="s">
        <v>2</v>
      </c>
      <c r="J4252" s="48" t="s">
        <v>255</v>
      </c>
      <c r="K4252" s="51">
        <v>41744</v>
      </c>
      <c r="L4252" s="173">
        <v>41740</v>
      </c>
      <c r="N4252" s="50" t="s">
        <v>2</v>
      </c>
      <c r="O4252" s="74">
        <v>0.7</v>
      </c>
      <c r="P4252" s="50">
        <v>6.2</v>
      </c>
      <c r="Q4252" s="74">
        <v>6.83</v>
      </c>
      <c r="R4252" s="50">
        <v>12</v>
      </c>
      <c r="S4252" s="74">
        <v>5</v>
      </c>
      <c r="T4252" s="50">
        <v>0.03</v>
      </c>
      <c r="U4252" s="131">
        <v>0.84</v>
      </c>
      <c r="V4252" s="50">
        <v>0.81</v>
      </c>
      <c r="W4252" s="74">
        <v>7.0000000000000001E-3</v>
      </c>
      <c r="X4252" s="50">
        <v>6.5000000000000002E-2</v>
      </c>
      <c r="Y4252" s="74">
        <v>5.0000000000000001E-3</v>
      </c>
      <c r="Z4252" s="165"/>
    </row>
    <row r="4253" spans="1:79" ht="15" customHeight="1">
      <c r="A4253" s="41" t="s">
        <v>183</v>
      </c>
      <c r="B4253" s="402" t="s">
        <v>4390</v>
      </c>
      <c r="C4253" s="113" t="s">
        <v>4390</v>
      </c>
      <c r="D4253" s="393" t="s">
        <v>350</v>
      </c>
      <c r="G4253" s="405" t="s">
        <v>4391</v>
      </c>
      <c r="H4253" s="74"/>
      <c r="I4253" s="50" t="s">
        <v>2</v>
      </c>
      <c r="J4253" s="48"/>
      <c r="K4253" s="51">
        <v>41737</v>
      </c>
      <c r="L4253" s="173"/>
      <c r="N4253" s="50" t="s">
        <v>2</v>
      </c>
      <c r="O4253" s="74">
        <f>1.5/2</f>
        <v>0.75</v>
      </c>
      <c r="P4253" s="50">
        <v>6.06</v>
      </c>
      <c r="Q4253" s="74">
        <v>6.16</v>
      </c>
      <c r="R4253" s="50">
        <f>10/2</f>
        <v>5</v>
      </c>
      <c r="S4253" s="74">
        <v>35</v>
      </c>
      <c r="T4253" s="50">
        <v>0.05</v>
      </c>
      <c r="U4253" s="131">
        <v>0.41</v>
      </c>
      <c r="V4253" s="50">
        <v>0.14000000000000001</v>
      </c>
      <c r="W4253" s="74">
        <v>5.0000000000000001E-3</v>
      </c>
      <c r="X4253" s="50">
        <v>3.9E-2</v>
      </c>
      <c r="Y4253" s="74">
        <v>4.0000000000000001E-3</v>
      </c>
      <c r="Z4253" s="165">
        <v>1</v>
      </c>
      <c r="AA4253" s="271">
        <v>1</v>
      </c>
      <c r="AB4253" s="114">
        <f>2/2</f>
        <v>1</v>
      </c>
      <c r="AC4253" s="50">
        <v>8</v>
      </c>
      <c r="AD4253" s="271">
        <v>1</v>
      </c>
    </row>
    <row r="4254" spans="1:79" ht="15" customHeight="1">
      <c r="A4254" s="41" t="s">
        <v>183</v>
      </c>
      <c r="B4254" s="402" t="s">
        <v>2016</v>
      </c>
      <c r="C4254" s="113" t="s">
        <v>2016</v>
      </c>
      <c r="D4254" s="393" t="s">
        <v>200</v>
      </c>
      <c r="E4254" s="394" t="s">
        <v>671</v>
      </c>
      <c r="F4254" s="402">
        <v>4315</v>
      </c>
      <c r="G4254" s="405" t="s">
        <v>2017</v>
      </c>
      <c r="H4254" s="74">
        <v>3398</v>
      </c>
      <c r="I4254" s="50" t="s">
        <v>2</v>
      </c>
      <c r="J4254" s="48" t="s">
        <v>1125</v>
      </c>
      <c r="K4254" s="51">
        <v>41779</v>
      </c>
      <c r="L4254" s="173">
        <v>41775</v>
      </c>
      <c r="N4254" s="50" t="s">
        <v>2</v>
      </c>
      <c r="R4254" s="50">
        <v>24</v>
      </c>
      <c r="S4254" s="74">
        <v>81</v>
      </c>
      <c r="U4254" s="131">
        <v>2.7</v>
      </c>
      <c r="X4254" s="50">
        <v>6.6000000000000003E-2</v>
      </c>
      <c r="Z4254" s="165"/>
    </row>
    <row r="4255" spans="1:79" ht="15" customHeight="1">
      <c r="A4255" s="41" t="s">
        <v>183</v>
      </c>
      <c r="B4255" s="402" t="s">
        <v>2016</v>
      </c>
      <c r="C4255" s="113" t="s">
        <v>2016</v>
      </c>
      <c r="D4255" s="393" t="s">
        <v>200</v>
      </c>
      <c r="E4255" s="394" t="s">
        <v>671</v>
      </c>
      <c r="F4255" s="402">
        <v>4315</v>
      </c>
      <c r="G4255" s="405" t="s">
        <v>2017</v>
      </c>
      <c r="H4255" s="74">
        <v>3398</v>
      </c>
      <c r="I4255" s="50" t="s">
        <v>2</v>
      </c>
      <c r="J4255" s="48" t="s">
        <v>1126</v>
      </c>
      <c r="K4255" s="51">
        <v>41779</v>
      </c>
      <c r="L4255" s="173">
        <v>41775</v>
      </c>
      <c r="N4255" s="50" t="s">
        <v>2</v>
      </c>
      <c r="O4255" s="74">
        <v>1.4</v>
      </c>
      <c r="R4255" s="50">
        <v>17</v>
      </c>
      <c r="S4255" s="74">
        <v>140</v>
      </c>
      <c r="T4255" s="50">
        <v>0.22</v>
      </c>
      <c r="U4255" s="131">
        <v>1.91</v>
      </c>
      <c r="X4255" s="50">
        <v>0.104</v>
      </c>
      <c r="Z4255" s="165"/>
    </row>
    <row r="4256" spans="1:79" s="400" customFormat="1" ht="15" customHeight="1">
      <c r="A4256" s="41" t="s">
        <v>183</v>
      </c>
      <c r="B4256" s="386" t="s">
        <v>404</v>
      </c>
      <c r="C4256" s="149" t="s">
        <v>405</v>
      </c>
      <c r="D4256" s="392" t="s">
        <v>406</v>
      </c>
      <c r="E4256" s="258" t="s">
        <v>407</v>
      </c>
      <c r="F4256" s="5"/>
      <c r="G4256" s="405" t="s">
        <v>408</v>
      </c>
      <c r="H4256" s="404">
        <v>4952</v>
      </c>
      <c r="I4256" s="402" t="s">
        <v>2</v>
      </c>
      <c r="J4256" s="392" t="s">
        <v>410</v>
      </c>
      <c r="K4256" s="403">
        <v>41653</v>
      </c>
      <c r="L4256" s="398">
        <v>41650</v>
      </c>
      <c r="M4256" s="402">
        <v>3</v>
      </c>
      <c r="N4256" s="402" t="s">
        <v>2</v>
      </c>
      <c r="P4256" s="402">
        <v>7.85</v>
      </c>
      <c r="U4256" s="395">
        <v>0.7</v>
      </c>
      <c r="Z4256" s="397"/>
      <c r="AX4256" s="5"/>
      <c r="AY4256" s="5"/>
      <c r="AZ4256" s="5"/>
      <c r="BA4256" s="5"/>
      <c r="BB4256" s="5"/>
      <c r="BC4256" s="5"/>
      <c r="BD4256" s="5"/>
      <c r="BE4256" s="5"/>
      <c r="BF4256" s="5"/>
      <c r="BG4256" s="5"/>
      <c r="BH4256" s="5"/>
      <c r="BI4256" s="5"/>
      <c r="BJ4256" s="5"/>
      <c r="BK4256" s="5"/>
      <c r="BL4256" s="5"/>
      <c r="BM4256" s="5"/>
      <c r="BN4256" s="5"/>
      <c r="BO4256" s="5"/>
      <c r="BP4256" s="5"/>
      <c r="BQ4256" s="5"/>
      <c r="BR4256" s="5"/>
      <c r="BS4256" s="5"/>
      <c r="BT4256" s="5"/>
      <c r="BU4256" s="5"/>
      <c r="BV4256" s="5"/>
      <c r="BW4256" s="5"/>
      <c r="BX4256" s="5"/>
      <c r="BY4256" s="5"/>
      <c r="BZ4256" s="5"/>
      <c r="CA4256" s="5"/>
    </row>
    <row r="4257" spans="1:79" s="400" customFormat="1" ht="15" customHeight="1">
      <c r="A4257" s="41" t="s">
        <v>183</v>
      </c>
      <c r="B4257" s="402" t="s">
        <v>1970</v>
      </c>
      <c r="C4257" s="113" t="s">
        <v>6454</v>
      </c>
      <c r="D4257" s="393" t="s">
        <v>111</v>
      </c>
      <c r="E4257" s="394" t="s">
        <v>112</v>
      </c>
      <c r="F4257" s="402" t="s">
        <v>6455</v>
      </c>
      <c r="G4257" s="405" t="s">
        <v>4024</v>
      </c>
      <c r="H4257" s="404">
        <v>5093</v>
      </c>
      <c r="I4257" s="402" t="s">
        <v>2</v>
      </c>
      <c r="J4257" s="406" t="s">
        <v>4025</v>
      </c>
      <c r="K4257" s="403">
        <v>41600</v>
      </c>
      <c r="L4257" s="398">
        <v>41596</v>
      </c>
      <c r="M4257" s="402">
        <f t="shared" ref="M4257:M4277" si="255">K4257-L4257</f>
        <v>4</v>
      </c>
      <c r="N4257" s="402" t="s">
        <v>2</v>
      </c>
      <c r="O4257" s="404">
        <f>2/2</f>
        <v>1</v>
      </c>
      <c r="P4257" s="402">
        <v>6.1</v>
      </c>
      <c r="Q4257" s="404">
        <v>6.7</v>
      </c>
      <c r="R4257" s="402">
        <v>18</v>
      </c>
      <c r="S4257" s="404">
        <v>6</v>
      </c>
      <c r="T4257" s="402">
        <v>7.0000000000000007E-2</v>
      </c>
      <c r="U4257" s="395">
        <v>2.1800000000000002</v>
      </c>
      <c r="V4257" s="402">
        <v>0.62</v>
      </c>
      <c r="W4257" s="404">
        <v>1.7000000000000001E-2</v>
      </c>
      <c r="X4257" s="402">
        <v>0.10199999999999999</v>
      </c>
      <c r="Y4257" s="404">
        <f>0.03/2</f>
        <v>1.4999999999999999E-2</v>
      </c>
      <c r="Z4257" s="397">
        <v>1</v>
      </c>
      <c r="AA4257" s="399">
        <v>1</v>
      </c>
      <c r="AB4257" s="394">
        <v>10</v>
      </c>
      <c r="AC4257" s="402">
        <v>10</v>
      </c>
      <c r="AD4257" s="399">
        <v>1</v>
      </c>
      <c r="AE4257" s="402"/>
      <c r="AF4257" s="391"/>
      <c r="AG4257" s="394"/>
      <c r="AH4257" s="394"/>
      <c r="AI4257" s="394"/>
      <c r="AJ4257" s="394"/>
      <c r="AK4257" s="394"/>
      <c r="AL4257" s="394"/>
      <c r="AM4257" s="394"/>
      <c r="AN4257" s="394"/>
      <c r="AO4257" s="394"/>
      <c r="AP4257" s="394"/>
      <c r="AQ4257" s="394"/>
      <c r="AR4257" s="394"/>
      <c r="AS4257" s="402"/>
      <c r="AT4257" s="404"/>
      <c r="AU4257" s="394"/>
      <c r="AV4257" s="394"/>
      <c r="AW4257" s="394"/>
      <c r="AX4257" s="5"/>
      <c r="AY4257" s="5"/>
      <c r="AZ4257" s="5"/>
      <c r="BA4257" s="5"/>
      <c r="BB4257" s="5"/>
      <c r="BC4257" s="5"/>
      <c r="BD4257" s="5"/>
      <c r="BE4257" s="5"/>
      <c r="BF4257" s="5"/>
      <c r="BG4257" s="5"/>
      <c r="BH4257" s="5"/>
      <c r="BI4257" s="5"/>
      <c r="BJ4257" s="5"/>
      <c r="BK4257" s="5"/>
      <c r="BL4257" s="5"/>
      <c r="BM4257" s="5"/>
      <c r="BN4257" s="5"/>
      <c r="BO4257" s="5"/>
      <c r="BP4257" s="5"/>
      <c r="BQ4257" s="5"/>
      <c r="BR4257" s="5"/>
      <c r="BS4257" s="5"/>
      <c r="BT4257" s="5"/>
      <c r="BU4257" s="5"/>
      <c r="BV4257" s="5"/>
      <c r="BW4257" s="5"/>
      <c r="BX4257" s="5"/>
      <c r="BY4257" s="5"/>
      <c r="BZ4257" s="5"/>
      <c r="CA4257" s="5"/>
    </row>
    <row r="4258" spans="1:79" s="400" customFormat="1" ht="15" customHeight="1">
      <c r="A4258" s="41" t="s">
        <v>183</v>
      </c>
      <c r="B4258" s="402" t="s">
        <v>4991</v>
      </c>
      <c r="C4258" s="113" t="s">
        <v>6456</v>
      </c>
      <c r="D4258" s="393" t="s">
        <v>347</v>
      </c>
      <c r="E4258" s="394" t="s">
        <v>4992</v>
      </c>
      <c r="F4258" s="402"/>
      <c r="G4258" s="405" t="s">
        <v>3711</v>
      </c>
      <c r="H4258" s="404">
        <v>3561</v>
      </c>
      <c r="I4258" s="402" t="s">
        <v>2</v>
      </c>
      <c r="J4258" s="404" t="s">
        <v>4993</v>
      </c>
      <c r="K4258" s="403">
        <v>41744</v>
      </c>
      <c r="L4258" s="398">
        <v>41737</v>
      </c>
      <c r="M4258" s="402">
        <f t="shared" si="255"/>
        <v>7</v>
      </c>
      <c r="N4258" s="402" t="s">
        <v>2</v>
      </c>
      <c r="O4258" s="404">
        <v>2.2000000000000002</v>
      </c>
      <c r="P4258" s="402">
        <v>6.7</v>
      </c>
      <c r="Q4258" s="404">
        <v>8.1999999999999993</v>
      </c>
      <c r="R4258" s="402">
        <v>23</v>
      </c>
      <c r="S4258" s="404">
        <v>112</v>
      </c>
      <c r="T4258" s="402">
        <v>0.2</v>
      </c>
      <c r="U4258" s="395">
        <v>1.01</v>
      </c>
      <c r="V4258" s="402">
        <v>0.1</v>
      </c>
      <c r="W4258" s="404">
        <v>2.3E-2</v>
      </c>
      <c r="X4258" s="402">
        <v>9.6000000000000002E-2</v>
      </c>
      <c r="Y4258" s="404">
        <f>0.03/2</f>
        <v>1.4999999999999999E-2</v>
      </c>
      <c r="Z4258" s="397">
        <v>1</v>
      </c>
      <c r="AA4258" s="399">
        <v>1</v>
      </c>
      <c r="AB4258" s="394">
        <v>14</v>
      </c>
      <c r="AC4258" s="402">
        <v>43</v>
      </c>
      <c r="AD4258" s="399">
        <v>0.85</v>
      </c>
      <c r="AE4258" s="402"/>
      <c r="AF4258" s="391"/>
      <c r="AG4258" s="394"/>
      <c r="AH4258" s="394"/>
      <c r="AI4258" s="394"/>
      <c r="AJ4258" s="394"/>
      <c r="AK4258" s="394"/>
      <c r="AL4258" s="394"/>
      <c r="AM4258" s="394"/>
      <c r="AN4258" s="394"/>
      <c r="AO4258" s="394"/>
      <c r="AP4258" s="394"/>
      <c r="AQ4258" s="394"/>
      <c r="AR4258" s="394"/>
      <c r="AS4258" s="402"/>
      <c r="AT4258" s="404"/>
      <c r="AU4258" s="394"/>
      <c r="AV4258" s="394"/>
      <c r="AW4258" s="394"/>
      <c r="AX4258" s="5"/>
      <c r="AY4258" s="5"/>
      <c r="AZ4258" s="5"/>
      <c r="BA4258" s="5"/>
      <c r="BB4258" s="5"/>
      <c r="BC4258" s="5"/>
      <c r="BD4258" s="5"/>
      <c r="BE4258" s="5"/>
      <c r="BF4258" s="5"/>
      <c r="BG4258" s="5"/>
      <c r="BH4258" s="5"/>
      <c r="BI4258" s="5"/>
      <c r="BJ4258" s="5"/>
      <c r="BK4258" s="5"/>
      <c r="BL4258" s="5"/>
      <c r="BM4258" s="5"/>
      <c r="BN4258" s="5"/>
      <c r="BO4258" s="5"/>
      <c r="BP4258" s="5"/>
      <c r="BQ4258" s="5"/>
      <c r="BR4258" s="5"/>
      <c r="BS4258" s="5"/>
      <c r="BT4258" s="5"/>
      <c r="BU4258" s="5"/>
      <c r="BV4258" s="5"/>
      <c r="BW4258" s="5"/>
      <c r="BX4258" s="5"/>
      <c r="BY4258" s="5"/>
      <c r="BZ4258" s="5"/>
      <c r="CA4258" s="5"/>
    </row>
    <row r="4259" spans="1:79" s="400" customFormat="1" ht="15" customHeight="1">
      <c r="A4259" s="41" t="s">
        <v>183</v>
      </c>
      <c r="B4259" s="402" t="s">
        <v>5837</v>
      </c>
      <c r="C4259" s="113" t="s">
        <v>5837</v>
      </c>
      <c r="D4259" s="393" t="s">
        <v>1537</v>
      </c>
      <c r="E4259" s="394" t="s">
        <v>5838</v>
      </c>
      <c r="F4259" s="402">
        <v>7000</v>
      </c>
      <c r="G4259" s="405" t="s">
        <v>5839</v>
      </c>
      <c r="H4259" s="404"/>
      <c r="I4259" s="402"/>
      <c r="J4259" s="406" t="s">
        <v>6457</v>
      </c>
      <c r="K4259" s="403">
        <v>41717</v>
      </c>
      <c r="L4259" s="398"/>
      <c r="M4259" s="402"/>
      <c r="N4259" s="402" t="s">
        <v>2</v>
      </c>
      <c r="O4259" s="404">
        <f>1/2</f>
        <v>0.5</v>
      </c>
      <c r="P4259" s="402">
        <v>6.06</v>
      </c>
      <c r="Q4259" s="404">
        <v>5.68</v>
      </c>
      <c r="R4259" s="402">
        <v>7</v>
      </c>
      <c r="S4259" s="404">
        <f>1/2</f>
        <v>0.5</v>
      </c>
      <c r="T4259" s="402">
        <v>0.2</v>
      </c>
      <c r="U4259" s="395">
        <f>0.1/2</f>
        <v>0.05</v>
      </c>
      <c r="V4259" s="402">
        <v>0.7</v>
      </c>
      <c r="W4259" s="404">
        <v>0.06</v>
      </c>
      <c r="X4259" s="402">
        <v>0.67</v>
      </c>
      <c r="Y4259" s="404">
        <f>0.05/2</f>
        <v>2.5000000000000001E-2</v>
      </c>
      <c r="Z4259" s="397">
        <v>1</v>
      </c>
      <c r="AA4259" s="399">
        <v>0.63700000000000001</v>
      </c>
      <c r="AB4259" s="394">
        <v>11</v>
      </c>
      <c r="AC4259" s="402">
        <v>101</v>
      </c>
      <c r="AD4259" s="399">
        <v>0</v>
      </c>
      <c r="AE4259" s="402"/>
      <c r="AF4259" s="391"/>
      <c r="AG4259" s="394"/>
      <c r="AH4259" s="394"/>
      <c r="AI4259" s="394"/>
      <c r="AJ4259" s="394"/>
      <c r="AK4259" s="394"/>
      <c r="AL4259" s="394"/>
      <c r="AM4259" s="394"/>
      <c r="AN4259" s="394"/>
      <c r="AO4259" s="394"/>
      <c r="AP4259" s="394"/>
      <c r="AQ4259" s="394"/>
      <c r="AR4259" s="394"/>
      <c r="AS4259" s="402"/>
      <c r="AT4259" s="404"/>
      <c r="AU4259" s="394"/>
      <c r="AV4259" s="394"/>
      <c r="AW4259" s="394"/>
      <c r="AX4259" s="5"/>
      <c r="AY4259" s="5"/>
      <c r="AZ4259" s="5"/>
      <c r="BA4259" s="5"/>
      <c r="BB4259" s="5"/>
      <c r="BC4259" s="5"/>
      <c r="BD4259" s="5"/>
      <c r="BE4259" s="5"/>
      <c r="BF4259" s="5"/>
      <c r="BG4259" s="5"/>
      <c r="BH4259" s="5"/>
      <c r="BI4259" s="5"/>
      <c r="BJ4259" s="5"/>
      <c r="BK4259" s="5"/>
      <c r="BL4259" s="5"/>
      <c r="BM4259" s="5"/>
      <c r="BN4259" s="5"/>
      <c r="BO4259" s="5"/>
      <c r="BP4259" s="5"/>
      <c r="BQ4259" s="5"/>
      <c r="BR4259" s="5"/>
      <c r="BS4259" s="5"/>
      <c r="BT4259" s="5"/>
      <c r="BU4259" s="5"/>
      <c r="BV4259" s="5"/>
      <c r="BW4259" s="5"/>
      <c r="BX4259" s="5"/>
      <c r="BY4259" s="5"/>
      <c r="BZ4259" s="5"/>
      <c r="CA4259" s="5"/>
    </row>
    <row r="4260" spans="1:79" s="400" customFormat="1" ht="15" customHeight="1">
      <c r="A4260" s="41" t="s">
        <v>183</v>
      </c>
      <c r="B4260" s="402" t="s">
        <v>5837</v>
      </c>
      <c r="C4260" s="113" t="s">
        <v>5837</v>
      </c>
      <c r="D4260" s="393" t="s">
        <v>1537</v>
      </c>
      <c r="E4260" s="394" t="s">
        <v>5838</v>
      </c>
      <c r="F4260" s="402">
        <v>7000</v>
      </c>
      <c r="G4260" s="405" t="s">
        <v>5839</v>
      </c>
      <c r="H4260" s="404"/>
      <c r="I4260" s="402"/>
      <c r="J4260" s="406" t="s">
        <v>6458</v>
      </c>
      <c r="K4260" s="403">
        <v>41717</v>
      </c>
      <c r="L4260" s="398"/>
      <c r="M4260" s="402"/>
      <c r="N4260" s="402" t="s">
        <v>2</v>
      </c>
      <c r="O4260" s="404">
        <v>2.2999999999999998</v>
      </c>
      <c r="P4260" s="402">
        <v>6.11</v>
      </c>
      <c r="Q4260" s="404">
        <v>6.67</v>
      </c>
      <c r="R4260" s="402">
        <v>41</v>
      </c>
      <c r="S4260" s="404">
        <v>100</v>
      </c>
      <c r="T4260" s="402">
        <v>0.35</v>
      </c>
      <c r="U4260" s="395">
        <f>0.1/2</f>
        <v>0.05</v>
      </c>
      <c r="V4260" s="402">
        <v>0.28999999999999998</v>
      </c>
      <c r="W4260" s="404">
        <v>0.08</v>
      </c>
      <c r="X4260" s="402">
        <v>0.27</v>
      </c>
      <c r="Y4260" s="404">
        <f>0.05/2</f>
        <v>2.5000000000000001E-2</v>
      </c>
      <c r="Z4260" s="397">
        <v>1</v>
      </c>
      <c r="AA4260" s="399">
        <v>1</v>
      </c>
      <c r="AB4260" s="394">
        <v>21</v>
      </c>
      <c r="AC4260" s="402">
        <v>188</v>
      </c>
      <c r="AD4260" s="399">
        <v>1</v>
      </c>
      <c r="AE4260" s="402"/>
      <c r="AF4260" s="391"/>
      <c r="AG4260" s="394"/>
      <c r="AH4260" s="394"/>
      <c r="AI4260" s="394"/>
      <c r="AJ4260" s="394"/>
      <c r="AK4260" s="394"/>
      <c r="AL4260" s="394"/>
      <c r="AM4260" s="394"/>
      <c r="AN4260" s="394"/>
      <c r="AO4260" s="394"/>
      <c r="AP4260" s="394"/>
      <c r="AQ4260" s="394"/>
      <c r="AR4260" s="394"/>
      <c r="AS4260" s="402"/>
      <c r="AT4260" s="404"/>
      <c r="AU4260" s="394"/>
      <c r="AV4260" s="394"/>
      <c r="AW4260" s="394"/>
      <c r="AX4260" s="5"/>
      <c r="AY4260" s="5"/>
      <c r="AZ4260" s="5"/>
      <c r="BA4260" s="5"/>
      <c r="BB4260" s="5"/>
      <c r="BC4260" s="5"/>
      <c r="BD4260" s="5"/>
      <c r="BE4260" s="5"/>
      <c r="BF4260" s="5"/>
      <c r="BG4260" s="5"/>
      <c r="BH4260" s="5"/>
      <c r="BI4260" s="5"/>
      <c r="BJ4260" s="5"/>
      <c r="BK4260" s="5"/>
      <c r="BL4260" s="5"/>
      <c r="BM4260" s="5"/>
      <c r="BN4260" s="5"/>
      <c r="BO4260" s="5"/>
      <c r="BP4260" s="5"/>
      <c r="BQ4260" s="5"/>
      <c r="BR4260" s="5"/>
      <c r="BS4260" s="5"/>
      <c r="BT4260" s="5"/>
      <c r="BU4260" s="5"/>
      <c r="BV4260" s="5"/>
      <c r="BW4260" s="5"/>
      <c r="BX4260" s="5"/>
      <c r="BY4260" s="5"/>
      <c r="BZ4260" s="5"/>
      <c r="CA4260" s="5"/>
    </row>
    <row r="4261" spans="1:79" s="400" customFormat="1" ht="15" customHeight="1">
      <c r="A4261" s="41" t="s">
        <v>183</v>
      </c>
      <c r="B4261" s="402" t="s">
        <v>3706</v>
      </c>
      <c r="C4261" s="113" t="s">
        <v>3706</v>
      </c>
      <c r="D4261" s="393" t="s">
        <v>356</v>
      </c>
      <c r="E4261" s="394" t="s">
        <v>6459</v>
      </c>
      <c r="F4261" s="402" t="s">
        <v>6321</v>
      </c>
      <c r="G4261" s="405" t="s">
        <v>3604</v>
      </c>
      <c r="H4261" s="404">
        <v>3479</v>
      </c>
      <c r="I4261" s="402" t="s">
        <v>2</v>
      </c>
      <c r="J4261" s="406" t="s">
        <v>3239</v>
      </c>
      <c r="K4261" s="403">
        <v>41578</v>
      </c>
      <c r="L4261" s="398"/>
      <c r="M4261" s="402"/>
      <c r="N4261" s="402" t="s">
        <v>2</v>
      </c>
      <c r="O4261" s="404">
        <f>1.4/2</f>
        <v>0.7</v>
      </c>
      <c r="P4261" s="402">
        <v>4.6900000000000004</v>
      </c>
      <c r="Q4261" s="404">
        <v>7.11</v>
      </c>
      <c r="R4261" s="402">
        <v>17</v>
      </c>
      <c r="S4261" s="404">
        <v>10</v>
      </c>
      <c r="T4261" s="402">
        <v>0.13</v>
      </c>
      <c r="U4261" s="395">
        <v>1.35</v>
      </c>
      <c r="V4261" s="402">
        <v>0.1</v>
      </c>
      <c r="W4261" s="404">
        <f>0.005/2</f>
        <v>2.5000000000000001E-3</v>
      </c>
      <c r="X4261" s="402">
        <v>4.1000000000000002E-2</v>
      </c>
      <c r="Y4261" s="404">
        <f>0.002/2</f>
        <v>1E-3</v>
      </c>
      <c r="Z4261" s="397">
        <v>1</v>
      </c>
      <c r="AA4261" s="399">
        <v>1</v>
      </c>
      <c r="AB4261" s="394">
        <v>66</v>
      </c>
      <c r="AC4261" s="402">
        <v>256</v>
      </c>
      <c r="AD4261" s="399">
        <v>1</v>
      </c>
      <c r="AE4261" s="402"/>
      <c r="AF4261" s="391"/>
      <c r="AG4261" s="394"/>
      <c r="AH4261" s="394"/>
      <c r="AI4261" s="394"/>
      <c r="AJ4261" s="394"/>
      <c r="AK4261" s="394"/>
      <c r="AL4261" s="394"/>
      <c r="AM4261" s="394"/>
      <c r="AN4261" s="394"/>
      <c r="AO4261" s="394"/>
      <c r="AP4261" s="394"/>
      <c r="AQ4261" s="394"/>
      <c r="AR4261" s="394"/>
      <c r="AS4261" s="402"/>
      <c r="AT4261" s="404"/>
      <c r="AU4261" s="394"/>
      <c r="AV4261" s="394"/>
      <c r="AW4261" s="394"/>
      <c r="AX4261" s="5"/>
      <c r="AY4261" s="5"/>
      <c r="AZ4261" s="5"/>
      <c r="BA4261" s="5"/>
      <c r="BB4261" s="5"/>
      <c r="BC4261" s="5"/>
      <c r="BD4261" s="5"/>
      <c r="BE4261" s="5"/>
      <c r="BF4261" s="5"/>
      <c r="BG4261" s="5"/>
      <c r="BH4261" s="5"/>
      <c r="BI4261" s="5"/>
      <c r="BJ4261" s="5"/>
      <c r="BK4261" s="5"/>
      <c r="BL4261" s="5"/>
      <c r="BM4261" s="5"/>
      <c r="BN4261" s="5"/>
      <c r="BO4261" s="5"/>
      <c r="BP4261" s="5"/>
      <c r="BQ4261" s="5"/>
      <c r="BR4261" s="5"/>
      <c r="BS4261" s="5"/>
      <c r="BT4261" s="5"/>
      <c r="BU4261" s="5"/>
      <c r="BV4261" s="5"/>
      <c r="BW4261" s="5"/>
      <c r="BX4261" s="5"/>
      <c r="BY4261" s="5"/>
      <c r="BZ4261" s="5"/>
      <c r="CA4261" s="5"/>
    </row>
    <row r="4262" spans="1:79" s="400" customFormat="1" ht="15" customHeight="1">
      <c r="A4262" s="41" t="s">
        <v>183</v>
      </c>
      <c r="B4262" s="402" t="s">
        <v>5740</v>
      </c>
      <c r="C4262" s="113" t="s">
        <v>5740</v>
      </c>
      <c r="D4262" s="393" t="s">
        <v>303</v>
      </c>
      <c r="E4262" s="394" t="s">
        <v>5741</v>
      </c>
      <c r="F4262" s="402">
        <v>5000</v>
      </c>
      <c r="G4262" s="405" t="s">
        <v>5742</v>
      </c>
      <c r="H4262" s="404">
        <v>2899</v>
      </c>
      <c r="I4262" s="402"/>
      <c r="J4262" s="406" t="s">
        <v>194</v>
      </c>
      <c r="K4262" s="403">
        <v>41726</v>
      </c>
      <c r="L4262" s="398" t="s">
        <v>5380</v>
      </c>
      <c r="M4262" s="402"/>
      <c r="N4262" s="402" t="s">
        <v>2</v>
      </c>
      <c r="O4262" s="404"/>
      <c r="P4262" s="402"/>
      <c r="Q4262" s="404"/>
      <c r="R4262" s="402"/>
      <c r="S4262" s="404"/>
      <c r="T4262" s="402"/>
      <c r="U4262" s="395"/>
      <c r="V4262" s="402"/>
      <c r="W4262" s="404"/>
      <c r="X4262" s="402">
        <v>6.5000000000000002E-2</v>
      </c>
      <c r="Y4262" s="404"/>
      <c r="Z4262" s="397"/>
      <c r="AA4262" s="399"/>
      <c r="AB4262" s="394"/>
      <c r="AC4262" s="402"/>
      <c r="AD4262" s="399"/>
      <c r="AE4262" s="402"/>
      <c r="AF4262" s="391"/>
      <c r="AG4262" s="394"/>
      <c r="AH4262" s="394"/>
      <c r="AI4262" s="394"/>
      <c r="AJ4262" s="394"/>
      <c r="AK4262" s="394"/>
      <c r="AL4262" s="394"/>
      <c r="AM4262" s="394"/>
      <c r="AN4262" s="394"/>
      <c r="AO4262" s="394"/>
      <c r="AP4262" s="394"/>
      <c r="AQ4262" s="394"/>
      <c r="AR4262" s="394"/>
      <c r="AS4262" s="402"/>
      <c r="AT4262" s="404"/>
      <c r="AU4262" s="394"/>
      <c r="AV4262" s="394"/>
      <c r="AW4262" s="394"/>
      <c r="AX4262" s="5"/>
      <c r="AY4262" s="5"/>
      <c r="AZ4262" s="5"/>
      <c r="BA4262" s="5"/>
      <c r="BB4262" s="5"/>
      <c r="BC4262" s="5"/>
      <c r="BD4262" s="5"/>
      <c r="BE4262" s="5"/>
      <c r="BF4262" s="5"/>
      <c r="BG4262" s="5"/>
      <c r="BH4262" s="5"/>
      <c r="BI4262" s="5"/>
      <c r="BJ4262" s="5"/>
      <c r="BK4262" s="5"/>
      <c r="BL4262" s="5"/>
      <c r="BM4262" s="5"/>
      <c r="BN4262" s="5"/>
      <c r="BO4262" s="5"/>
      <c r="BP4262" s="5"/>
      <c r="BQ4262" s="5"/>
      <c r="BR4262" s="5"/>
      <c r="BS4262" s="5"/>
      <c r="BT4262" s="5"/>
      <c r="BU4262" s="5"/>
      <c r="BV4262" s="5"/>
      <c r="BW4262" s="5"/>
      <c r="BX4262" s="5"/>
      <c r="BY4262" s="5"/>
      <c r="BZ4262" s="5"/>
      <c r="CA4262" s="5"/>
    </row>
    <row r="4263" spans="1:79" s="400" customFormat="1" ht="15" customHeight="1">
      <c r="A4263" s="41" t="s">
        <v>183</v>
      </c>
      <c r="B4263" s="402" t="s">
        <v>5740</v>
      </c>
      <c r="C4263" s="113" t="s">
        <v>5740</v>
      </c>
      <c r="D4263" s="393" t="s">
        <v>303</v>
      </c>
      <c r="E4263" s="394" t="s">
        <v>5741</v>
      </c>
      <c r="F4263" s="402">
        <v>5000</v>
      </c>
      <c r="G4263" s="405" t="s">
        <v>5742</v>
      </c>
      <c r="H4263" s="404">
        <v>2899</v>
      </c>
      <c r="I4263" s="402"/>
      <c r="J4263" s="406" t="s">
        <v>569</v>
      </c>
      <c r="K4263" s="403">
        <v>41726</v>
      </c>
      <c r="L4263" s="398" t="s">
        <v>5380</v>
      </c>
      <c r="M4263" s="402"/>
      <c r="N4263" s="402" t="s">
        <v>2</v>
      </c>
      <c r="O4263" s="404"/>
      <c r="P4263" s="402"/>
      <c r="Q4263" s="404"/>
      <c r="R4263" s="402"/>
      <c r="S4263" s="404"/>
      <c r="T4263" s="402"/>
      <c r="U4263" s="395"/>
      <c r="V4263" s="402"/>
      <c r="W4263" s="404"/>
      <c r="X4263" s="402">
        <v>2.9000000000000001E-2</v>
      </c>
      <c r="Y4263" s="404"/>
      <c r="Z4263" s="397"/>
      <c r="AA4263" s="399"/>
      <c r="AB4263" s="394"/>
      <c r="AC4263" s="402"/>
      <c r="AD4263" s="399"/>
      <c r="AE4263" s="402"/>
      <c r="AF4263" s="391"/>
      <c r="AG4263" s="394"/>
      <c r="AH4263" s="394"/>
      <c r="AI4263" s="394"/>
      <c r="AJ4263" s="394"/>
      <c r="AK4263" s="394"/>
      <c r="AL4263" s="394"/>
      <c r="AM4263" s="394"/>
      <c r="AN4263" s="394"/>
      <c r="AO4263" s="394"/>
      <c r="AP4263" s="394"/>
      <c r="AQ4263" s="394"/>
      <c r="AR4263" s="394"/>
      <c r="AS4263" s="402"/>
      <c r="AT4263" s="404"/>
      <c r="AU4263" s="394"/>
      <c r="AV4263" s="394"/>
      <c r="AW4263" s="394"/>
      <c r="AX4263" s="5"/>
      <c r="AY4263" s="5"/>
      <c r="AZ4263" s="5"/>
      <c r="BA4263" s="5"/>
      <c r="BB4263" s="5"/>
      <c r="BC4263" s="5"/>
      <c r="BD4263" s="5"/>
      <c r="BE4263" s="5"/>
      <c r="BF4263" s="5"/>
      <c r="BG4263" s="5"/>
      <c r="BH4263" s="5"/>
      <c r="BI4263" s="5"/>
      <c r="BJ4263" s="5"/>
      <c r="BK4263" s="5"/>
      <c r="BL4263" s="5"/>
      <c r="BM4263" s="5"/>
      <c r="BN4263" s="5"/>
      <c r="BO4263" s="5"/>
      <c r="BP4263" s="5"/>
      <c r="BQ4263" s="5"/>
      <c r="BR4263" s="5"/>
      <c r="BS4263" s="5"/>
      <c r="BT4263" s="5"/>
      <c r="BU4263" s="5"/>
      <c r="BV4263" s="5"/>
      <c r="BW4263" s="5"/>
      <c r="BX4263" s="5"/>
      <c r="BY4263" s="5"/>
      <c r="BZ4263" s="5"/>
      <c r="CA4263" s="5"/>
    </row>
    <row r="4264" spans="1:79" s="400" customFormat="1" ht="15" customHeight="1">
      <c r="A4264" s="41" t="s">
        <v>183</v>
      </c>
      <c r="B4264" s="402" t="s">
        <v>3696</v>
      </c>
      <c r="C4264" s="113" t="s">
        <v>3696</v>
      </c>
      <c r="D4264" s="393" t="s">
        <v>257</v>
      </c>
      <c r="E4264" s="394" t="s">
        <v>823</v>
      </c>
      <c r="F4264" s="402">
        <v>4603</v>
      </c>
      <c r="G4264" s="405" t="s">
        <v>2215</v>
      </c>
      <c r="H4264" s="404">
        <v>3419</v>
      </c>
      <c r="I4264" s="402" t="s">
        <v>2</v>
      </c>
      <c r="J4264" s="401" t="s">
        <v>3739</v>
      </c>
      <c r="K4264" s="403">
        <v>41585</v>
      </c>
      <c r="L4264" s="398">
        <v>41579</v>
      </c>
      <c r="M4264" s="402">
        <f t="shared" si="255"/>
        <v>6</v>
      </c>
      <c r="N4264" s="402" t="s">
        <v>2</v>
      </c>
      <c r="O4264" s="404">
        <v>42.6</v>
      </c>
      <c r="P4264" s="402">
        <v>5.5</v>
      </c>
      <c r="Q4264" s="404">
        <v>7.3</v>
      </c>
      <c r="R4264" s="402">
        <f>10/2</f>
        <v>5</v>
      </c>
      <c r="S4264" s="404">
        <f>25/2</f>
        <v>12.5</v>
      </c>
      <c r="T4264" s="402">
        <f>0.1/2</f>
        <v>0.05</v>
      </c>
      <c r="U4264" s="395">
        <v>0.96</v>
      </c>
      <c r="V4264" s="402">
        <v>0.06</v>
      </c>
      <c r="W4264" s="404">
        <f>0.02/2</f>
        <v>0.01</v>
      </c>
      <c r="X4264" s="402">
        <f>0.05/2</f>
        <v>2.5000000000000001E-2</v>
      </c>
      <c r="Y4264" s="404">
        <v>4.0000000000000001E-3</v>
      </c>
      <c r="Z4264" s="397"/>
      <c r="AA4264" s="399"/>
      <c r="AB4264" s="394"/>
      <c r="AC4264" s="402"/>
      <c r="AD4264" s="399"/>
      <c r="AE4264" s="402"/>
      <c r="AF4264" s="391"/>
      <c r="AG4264" s="394"/>
      <c r="AH4264" s="394"/>
      <c r="AI4264" s="394"/>
      <c r="AJ4264" s="394"/>
      <c r="AK4264" s="394"/>
      <c r="AL4264" s="394"/>
      <c r="AM4264" s="394"/>
      <c r="AN4264" s="394"/>
      <c r="AO4264" s="394"/>
      <c r="AP4264" s="394"/>
      <c r="AQ4264" s="394"/>
      <c r="AR4264" s="394"/>
      <c r="AS4264" s="402"/>
      <c r="AT4264" s="404"/>
      <c r="AU4264" s="394"/>
      <c r="AV4264" s="394"/>
      <c r="AW4264" s="394"/>
      <c r="AX4264" s="5"/>
      <c r="AY4264" s="5"/>
      <c r="AZ4264" s="5"/>
      <c r="BA4264" s="5"/>
      <c r="BB4264" s="5"/>
      <c r="BC4264" s="5"/>
      <c r="BD4264" s="5"/>
      <c r="BE4264" s="5"/>
      <c r="BF4264" s="5"/>
      <c r="BG4264" s="5"/>
      <c r="BH4264" s="5"/>
      <c r="BI4264" s="5"/>
      <c r="BJ4264" s="5"/>
      <c r="BK4264" s="5"/>
      <c r="BL4264" s="5"/>
      <c r="BM4264" s="5"/>
      <c r="BN4264" s="5"/>
      <c r="BO4264" s="5"/>
      <c r="BP4264" s="5"/>
      <c r="BQ4264" s="5"/>
      <c r="BR4264" s="5"/>
      <c r="BS4264" s="5"/>
      <c r="BT4264" s="5"/>
      <c r="BU4264" s="5"/>
      <c r="BV4264" s="5"/>
      <c r="BW4264" s="5"/>
      <c r="BX4264" s="5"/>
      <c r="BY4264" s="5"/>
      <c r="BZ4264" s="5"/>
      <c r="CA4264" s="5"/>
    </row>
    <row r="4265" spans="1:79" s="400" customFormat="1" ht="15" customHeight="1">
      <c r="A4265" s="41" t="s">
        <v>183</v>
      </c>
      <c r="B4265" s="402" t="s">
        <v>3696</v>
      </c>
      <c r="C4265" s="113" t="s">
        <v>3696</v>
      </c>
      <c r="D4265" s="393" t="s">
        <v>257</v>
      </c>
      <c r="E4265" s="394" t="s">
        <v>823</v>
      </c>
      <c r="F4265" s="402">
        <v>4603</v>
      </c>
      <c r="G4265" s="405" t="s">
        <v>2215</v>
      </c>
      <c r="H4265" s="404">
        <v>3419</v>
      </c>
      <c r="I4265" s="402" t="s">
        <v>2</v>
      </c>
      <c r="J4265" s="406" t="s">
        <v>6460</v>
      </c>
      <c r="K4265" s="403">
        <v>41585</v>
      </c>
      <c r="L4265" s="398">
        <v>41579</v>
      </c>
      <c r="M4265" s="402">
        <f t="shared" si="255"/>
        <v>6</v>
      </c>
      <c r="N4265" s="402" t="s">
        <v>2</v>
      </c>
      <c r="O4265" s="404">
        <v>32.5</v>
      </c>
      <c r="P4265" s="402">
        <v>5.5</v>
      </c>
      <c r="Q4265" s="404">
        <v>6.1</v>
      </c>
      <c r="R4265" s="402">
        <f>10/2</f>
        <v>5</v>
      </c>
      <c r="S4265" s="404">
        <f>25/2</f>
        <v>12.5</v>
      </c>
      <c r="T4265" s="402">
        <f>0.1/2</f>
        <v>0.05</v>
      </c>
      <c r="U4265" s="395">
        <v>0.33</v>
      </c>
      <c r="V4265" s="402">
        <v>0.11</v>
      </c>
      <c r="W4265" s="404">
        <f>0.02/2</f>
        <v>0.01</v>
      </c>
      <c r="X4265" s="402">
        <f>0.05/2</f>
        <v>2.5000000000000001E-2</v>
      </c>
      <c r="Y4265" s="404">
        <f>0.001/2</f>
        <v>5.0000000000000001E-4</v>
      </c>
      <c r="Z4265" s="397"/>
      <c r="AA4265" s="399"/>
      <c r="AB4265" s="394"/>
      <c r="AC4265" s="402"/>
      <c r="AD4265" s="399"/>
      <c r="AE4265" s="402"/>
      <c r="AF4265" s="391"/>
      <c r="AG4265" s="394"/>
      <c r="AH4265" s="394"/>
      <c r="AI4265" s="394"/>
      <c r="AJ4265" s="394"/>
      <c r="AK4265" s="394"/>
      <c r="AL4265" s="394"/>
      <c r="AM4265" s="394"/>
      <c r="AN4265" s="394"/>
      <c r="AO4265" s="394"/>
      <c r="AP4265" s="394"/>
      <c r="AQ4265" s="394"/>
      <c r="AR4265" s="394"/>
      <c r="AS4265" s="402"/>
      <c r="AT4265" s="404"/>
      <c r="AU4265" s="394"/>
      <c r="AV4265" s="394"/>
      <c r="AW4265" s="394"/>
      <c r="AX4265" s="5"/>
      <c r="AY4265" s="5"/>
      <c r="AZ4265" s="5"/>
      <c r="BA4265" s="5"/>
      <c r="BB4265" s="5"/>
      <c r="BC4265" s="5"/>
      <c r="BD4265" s="5"/>
      <c r="BE4265" s="5"/>
      <c r="BF4265" s="5"/>
      <c r="BG4265" s="5"/>
      <c r="BH4265" s="5"/>
      <c r="BI4265" s="5"/>
      <c r="BJ4265" s="5"/>
      <c r="BK4265" s="5"/>
      <c r="BL4265" s="5"/>
      <c r="BM4265" s="5"/>
      <c r="BN4265" s="5"/>
      <c r="BO4265" s="5"/>
      <c r="BP4265" s="5"/>
      <c r="BQ4265" s="5"/>
      <c r="BR4265" s="5"/>
      <c r="BS4265" s="5"/>
      <c r="BT4265" s="5"/>
      <c r="BU4265" s="5"/>
      <c r="BV4265" s="5"/>
      <c r="BW4265" s="5"/>
      <c r="BX4265" s="5"/>
      <c r="BY4265" s="5"/>
      <c r="BZ4265" s="5"/>
      <c r="CA4265" s="5"/>
    </row>
    <row r="4266" spans="1:79" s="400" customFormat="1" ht="15" customHeight="1">
      <c r="A4266" s="41" t="s">
        <v>183</v>
      </c>
      <c r="B4266" s="402" t="s">
        <v>3696</v>
      </c>
      <c r="C4266" s="113" t="s">
        <v>3696</v>
      </c>
      <c r="D4266" s="393" t="s">
        <v>257</v>
      </c>
      <c r="E4266" s="394" t="s">
        <v>823</v>
      </c>
      <c r="F4266" s="402">
        <v>4603</v>
      </c>
      <c r="G4266" s="405" t="s">
        <v>2215</v>
      </c>
      <c r="H4266" s="404">
        <v>3419</v>
      </c>
      <c r="I4266" s="402" t="s">
        <v>2</v>
      </c>
      <c r="J4266" s="406" t="s">
        <v>6460</v>
      </c>
      <c r="K4266" s="403">
        <v>41759</v>
      </c>
      <c r="L4266" s="398">
        <v>41755</v>
      </c>
      <c r="M4266" s="402">
        <f t="shared" si="255"/>
        <v>4</v>
      </c>
      <c r="N4266" s="402" t="s">
        <v>2</v>
      </c>
      <c r="O4266" s="404">
        <v>28.2</v>
      </c>
      <c r="P4266" s="402"/>
      <c r="Q4266" s="404"/>
      <c r="R4266" s="402"/>
      <c r="S4266" s="404"/>
      <c r="T4266" s="402"/>
      <c r="U4266" s="395"/>
      <c r="V4266" s="402"/>
      <c r="W4266" s="404"/>
      <c r="X4266" s="402"/>
      <c r="Y4266" s="404"/>
      <c r="Z4266" s="397">
        <v>1</v>
      </c>
      <c r="AA4266" s="399">
        <v>1</v>
      </c>
      <c r="AB4266" s="394">
        <v>2</v>
      </c>
      <c r="AC4266" s="402">
        <v>19</v>
      </c>
      <c r="AD4266" s="399">
        <v>1</v>
      </c>
      <c r="AE4266" s="402"/>
      <c r="AF4266" s="391"/>
      <c r="AG4266" s="394"/>
      <c r="AH4266" s="394"/>
      <c r="AI4266" s="394"/>
      <c r="AJ4266" s="394"/>
      <c r="AK4266" s="394"/>
      <c r="AL4266" s="394"/>
      <c r="AM4266" s="394"/>
      <c r="AN4266" s="394"/>
      <c r="AO4266" s="394"/>
      <c r="AP4266" s="394"/>
      <c r="AQ4266" s="394"/>
      <c r="AR4266" s="394"/>
      <c r="AS4266" s="402"/>
      <c r="AT4266" s="404"/>
      <c r="AU4266" s="394"/>
      <c r="AV4266" s="394"/>
      <c r="AW4266" s="394"/>
      <c r="AX4266" s="5"/>
      <c r="AY4266" s="5"/>
      <c r="AZ4266" s="5"/>
      <c r="BA4266" s="5"/>
      <c r="BB4266" s="5"/>
      <c r="BC4266" s="5"/>
      <c r="BD4266" s="5"/>
      <c r="BE4266" s="5"/>
      <c r="BF4266" s="5"/>
      <c r="BG4266" s="5"/>
      <c r="BH4266" s="5"/>
      <c r="BI4266" s="5"/>
      <c r="BJ4266" s="5"/>
      <c r="BK4266" s="5"/>
      <c r="BL4266" s="5"/>
      <c r="BM4266" s="5"/>
      <c r="BN4266" s="5"/>
      <c r="BO4266" s="5"/>
      <c r="BP4266" s="5"/>
      <c r="BQ4266" s="5"/>
      <c r="BR4266" s="5"/>
      <c r="BS4266" s="5"/>
      <c r="BT4266" s="5"/>
      <c r="BU4266" s="5"/>
      <c r="BV4266" s="5"/>
      <c r="BW4266" s="5"/>
      <c r="BX4266" s="5"/>
      <c r="BY4266" s="5"/>
      <c r="BZ4266" s="5"/>
      <c r="CA4266" s="5"/>
    </row>
    <row r="4267" spans="1:79" s="400" customFormat="1" ht="15" customHeight="1">
      <c r="A4267" s="41" t="s">
        <v>183</v>
      </c>
      <c r="B4267" s="402" t="s">
        <v>3696</v>
      </c>
      <c r="C4267" s="113" t="s">
        <v>3696</v>
      </c>
      <c r="D4267" s="393" t="s">
        <v>257</v>
      </c>
      <c r="E4267" s="394" t="s">
        <v>823</v>
      </c>
      <c r="F4267" s="402">
        <v>4603</v>
      </c>
      <c r="G4267" s="405" t="s">
        <v>2215</v>
      </c>
      <c r="H4267" s="404">
        <v>3419</v>
      </c>
      <c r="I4267" s="402" t="s">
        <v>2</v>
      </c>
      <c r="J4267" s="401" t="s">
        <v>3739</v>
      </c>
      <c r="K4267" s="403">
        <v>41759</v>
      </c>
      <c r="L4267" s="398">
        <v>41755</v>
      </c>
      <c r="M4267" s="402">
        <f t="shared" si="255"/>
        <v>4</v>
      </c>
      <c r="N4267" s="402" t="s">
        <v>2</v>
      </c>
      <c r="O4267" s="404">
        <v>42.6</v>
      </c>
      <c r="P4267" s="402"/>
      <c r="Q4267" s="404"/>
      <c r="R4267" s="402">
        <f>10/2</f>
        <v>5</v>
      </c>
      <c r="S4267" s="404"/>
      <c r="T4267" s="402"/>
      <c r="U4267" s="395"/>
      <c r="V4267" s="402"/>
      <c r="W4267" s="404"/>
      <c r="X4267" s="402"/>
      <c r="Y4267" s="404"/>
      <c r="Z4267" s="397">
        <v>1</v>
      </c>
      <c r="AA4267" s="399">
        <v>1</v>
      </c>
      <c r="AB4267" s="394">
        <v>16</v>
      </c>
      <c r="AC4267" s="402">
        <v>121</v>
      </c>
      <c r="AD4267" s="399">
        <v>1</v>
      </c>
      <c r="AE4267" s="402"/>
      <c r="AF4267" s="391"/>
      <c r="AG4267" s="394"/>
      <c r="AH4267" s="394"/>
      <c r="AI4267" s="394"/>
      <c r="AJ4267" s="394"/>
      <c r="AK4267" s="394"/>
      <c r="AL4267" s="394"/>
      <c r="AM4267" s="394"/>
      <c r="AN4267" s="394"/>
      <c r="AO4267" s="394"/>
      <c r="AP4267" s="394"/>
      <c r="AQ4267" s="394"/>
      <c r="AR4267" s="394"/>
      <c r="AS4267" s="402"/>
      <c r="AT4267" s="404"/>
      <c r="AU4267" s="394"/>
      <c r="AV4267" s="394"/>
      <c r="AW4267" s="394"/>
      <c r="AX4267" s="5"/>
      <c r="AY4267" s="5"/>
      <c r="AZ4267" s="5"/>
      <c r="BA4267" s="5"/>
      <c r="BB4267" s="5"/>
      <c r="BC4267" s="5"/>
      <c r="BD4267" s="5"/>
      <c r="BE4267" s="5"/>
      <c r="BF4267" s="5"/>
      <c r="BG4267" s="5"/>
      <c r="BH4267" s="5"/>
      <c r="BI4267" s="5"/>
      <c r="BJ4267" s="5"/>
      <c r="BK4267" s="5"/>
      <c r="BL4267" s="5"/>
      <c r="BM4267" s="5"/>
      <c r="BN4267" s="5"/>
      <c r="BO4267" s="5"/>
      <c r="BP4267" s="5"/>
      <c r="BQ4267" s="5"/>
      <c r="BR4267" s="5"/>
      <c r="BS4267" s="5"/>
      <c r="BT4267" s="5"/>
      <c r="BU4267" s="5"/>
      <c r="BV4267" s="5"/>
      <c r="BW4267" s="5"/>
      <c r="BX4267" s="5"/>
      <c r="BY4267" s="5"/>
      <c r="BZ4267" s="5"/>
      <c r="CA4267" s="5"/>
    </row>
    <row r="4268" spans="1:79" s="400" customFormat="1" ht="15" customHeight="1">
      <c r="A4268" s="41" t="s">
        <v>183</v>
      </c>
      <c r="B4268" s="402" t="s">
        <v>4901</v>
      </c>
      <c r="C4268" s="113" t="s">
        <v>4902</v>
      </c>
      <c r="D4268" s="393" t="s">
        <v>372</v>
      </c>
      <c r="E4268" s="394" t="s">
        <v>235</v>
      </c>
      <c r="F4268" s="402">
        <v>6911</v>
      </c>
      <c r="G4268" s="405" t="s">
        <v>3605</v>
      </c>
      <c r="H4268" s="404">
        <v>3471</v>
      </c>
      <c r="I4268" s="402" t="s">
        <v>1</v>
      </c>
      <c r="J4268" s="406" t="s">
        <v>81</v>
      </c>
      <c r="K4268" s="403">
        <v>41585</v>
      </c>
      <c r="L4268" s="398">
        <v>41554</v>
      </c>
      <c r="M4268" s="402">
        <f t="shared" si="255"/>
        <v>31</v>
      </c>
      <c r="N4268" s="402" t="s">
        <v>2</v>
      </c>
      <c r="O4268" s="404"/>
      <c r="P4268" s="402"/>
      <c r="Q4268" s="404"/>
      <c r="R4268" s="402"/>
      <c r="S4268" s="404">
        <v>2</v>
      </c>
      <c r="T4268" s="402"/>
      <c r="U4268" s="395"/>
      <c r="V4268" s="402"/>
      <c r="W4268" s="404"/>
      <c r="X4268" s="402"/>
      <c r="Y4268" s="404"/>
      <c r="Z4268" s="397"/>
      <c r="AA4268" s="399"/>
      <c r="AB4268" s="394"/>
      <c r="AC4268" s="402"/>
      <c r="AD4268" s="399"/>
      <c r="AE4268" s="402"/>
      <c r="AF4268" s="391"/>
      <c r="AG4268" s="394"/>
      <c r="AH4268" s="394"/>
      <c r="AI4268" s="394"/>
      <c r="AJ4268" s="394"/>
      <c r="AK4268" s="394"/>
      <c r="AL4268" s="394"/>
      <c r="AM4268" s="394"/>
      <c r="AN4268" s="394"/>
      <c r="AO4268" s="394"/>
      <c r="AP4268" s="394"/>
      <c r="AQ4268" s="394"/>
      <c r="AR4268" s="394"/>
      <c r="AS4268" s="402"/>
      <c r="AT4268" s="404"/>
      <c r="AU4268" s="394"/>
      <c r="AV4268" s="394"/>
      <c r="AW4268" s="394"/>
      <c r="AX4268" s="5"/>
      <c r="AY4268" s="5"/>
      <c r="AZ4268" s="5"/>
      <c r="BA4268" s="5"/>
      <c r="BB4268" s="5"/>
      <c r="BC4268" s="5"/>
      <c r="BD4268" s="5"/>
      <c r="BE4268" s="5"/>
      <c r="BF4268" s="5"/>
      <c r="BG4268" s="5"/>
      <c r="BH4268" s="5"/>
      <c r="BI4268" s="5"/>
      <c r="BJ4268" s="5"/>
      <c r="BK4268" s="5"/>
      <c r="BL4268" s="5"/>
      <c r="BM4268" s="5"/>
      <c r="BN4268" s="5"/>
      <c r="BO4268" s="5"/>
      <c r="BP4268" s="5"/>
      <c r="BQ4268" s="5"/>
      <c r="BR4268" s="5"/>
      <c r="BS4268" s="5"/>
      <c r="BT4268" s="5"/>
      <c r="BU4268" s="5"/>
      <c r="BV4268" s="5"/>
      <c r="BW4268" s="5"/>
      <c r="BX4268" s="5"/>
      <c r="BY4268" s="5"/>
      <c r="BZ4268" s="5"/>
      <c r="CA4268" s="5"/>
    </row>
    <row r="4269" spans="1:79" s="400" customFormat="1" ht="15" customHeight="1">
      <c r="A4269" s="41" t="s">
        <v>183</v>
      </c>
      <c r="B4269" s="402" t="s">
        <v>4739</v>
      </c>
      <c r="C4269" s="113" t="s">
        <v>4739</v>
      </c>
      <c r="D4269" s="393" t="s">
        <v>89</v>
      </c>
      <c r="E4269" s="394" t="s">
        <v>3579</v>
      </c>
      <c r="F4269" s="402" t="s">
        <v>6461</v>
      </c>
      <c r="G4269" s="405" t="s">
        <v>4740</v>
      </c>
      <c r="H4269" s="404">
        <v>2096</v>
      </c>
      <c r="I4269" s="402" t="s">
        <v>2</v>
      </c>
      <c r="J4269" s="406" t="s">
        <v>4741</v>
      </c>
      <c r="K4269" s="403">
        <v>41605</v>
      </c>
      <c r="L4269" s="398">
        <v>41600</v>
      </c>
      <c r="M4269" s="402">
        <f t="shared" si="255"/>
        <v>5</v>
      </c>
      <c r="N4269" s="402" t="s">
        <v>2</v>
      </c>
      <c r="O4269" s="404">
        <f>1/2</f>
        <v>0.5</v>
      </c>
      <c r="P4269" s="402">
        <v>6</v>
      </c>
      <c r="Q4269" s="404">
        <v>6.2</v>
      </c>
      <c r="R4269" s="402">
        <v>43</v>
      </c>
      <c r="S4269" s="404">
        <v>41</v>
      </c>
      <c r="T4269" s="402">
        <v>0.12</v>
      </c>
      <c r="U4269" s="395">
        <v>0.82</v>
      </c>
      <c r="V4269" s="402">
        <v>0.74</v>
      </c>
      <c r="W4269" s="404">
        <v>7.1000000000000004E-3</v>
      </c>
      <c r="X4269" s="402">
        <v>0.14000000000000001</v>
      </c>
      <c r="Y4269" s="404">
        <v>3.8E-3</v>
      </c>
      <c r="Z4269" s="397">
        <v>1</v>
      </c>
      <c r="AA4269" s="399">
        <v>1</v>
      </c>
      <c r="AB4269" s="394">
        <v>12</v>
      </c>
      <c r="AC4269" s="402">
        <v>63</v>
      </c>
      <c r="AD4269" s="399">
        <v>1</v>
      </c>
      <c r="AE4269" s="402"/>
      <c r="AF4269" s="391"/>
      <c r="AG4269" s="394"/>
      <c r="AH4269" s="394"/>
      <c r="AI4269" s="394"/>
      <c r="AJ4269" s="394"/>
      <c r="AK4269" s="394"/>
      <c r="AL4269" s="394"/>
      <c r="AM4269" s="394"/>
      <c r="AN4269" s="394"/>
      <c r="AO4269" s="394"/>
      <c r="AP4269" s="394"/>
      <c r="AQ4269" s="394"/>
      <c r="AR4269" s="394"/>
      <c r="AS4269" s="402"/>
      <c r="AT4269" s="404"/>
      <c r="AU4269" s="394"/>
      <c r="AV4269" s="394"/>
      <c r="AW4269" s="394"/>
      <c r="AX4269" s="5"/>
      <c r="AY4269" s="5"/>
      <c r="AZ4269" s="5"/>
      <c r="BA4269" s="5"/>
      <c r="BB4269" s="5"/>
      <c r="BC4269" s="5"/>
      <c r="BD4269" s="5"/>
      <c r="BE4269" s="5"/>
      <c r="BF4269" s="5"/>
      <c r="BG4269" s="5"/>
      <c r="BH4269" s="5"/>
      <c r="BI4269" s="5"/>
      <c r="BJ4269" s="5"/>
      <c r="BK4269" s="5"/>
      <c r="BL4269" s="5"/>
      <c r="BM4269" s="5"/>
      <c r="BN4269" s="5"/>
      <c r="BO4269" s="5"/>
      <c r="BP4269" s="5"/>
      <c r="BQ4269" s="5"/>
      <c r="BR4269" s="5"/>
      <c r="BS4269" s="5"/>
      <c r="BT4269" s="5"/>
      <c r="BU4269" s="5"/>
      <c r="BV4269" s="5"/>
      <c r="BW4269" s="5"/>
      <c r="BX4269" s="5"/>
      <c r="BY4269" s="5"/>
      <c r="BZ4269" s="5"/>
      <c r="CA4269" s="5"/>
    </row>
    <row r="4270" spans="1:79" s="400" customFormat="1" ht="15" customHeight="1">
      <c r="A4270" s="41" t="s">
        <v>183</v>
      </c>
      <c r="B4270" s="402" t="s">
        <v>4714</v>
      </c>
      <c r="C4270" s="113" t="s">
        <v>4714</v>
      </c>
      <c r="D4270" s="393" t="s">
        <v>1881</v>
      </c>
      <c r="E4270" s="394" t="s">
        <v>4715</v>
      </c>
      <c r="F4270" s="402">
        <v>4004</v>
      </c>
      <c r="G4270" s="405" t="s">
        <v>4716</v>
      </c>
      <c r="H4270" s="404">
        <v>3443</v>
      </c>
      <c r="I4270" s="402" t="s">
        <v>2</v>
      </c>
      <c r="J4270" s="406" t="s">
        <v>4717</v>
      </c>
      <c r="K4270" s="403">
        <v>41553</v>
      </c>
      <c r="L4270" s="398">
        <v>41550</v>
      </c>
      <c r="M4270" s="402">
        <f t="shared" si="255"/>
        <v>3</v>
      </c>
      <c r="N4270" s="402" t="s">
        <v>2</v>
      </c>
      <c r="O4270" s="404">
        <f>5/2</f>
        <v>2.5</v>
      </c>
      <c r="P4270" s="402">
        <v>5.52</v>
      </c>
      <c r="Q4270" s="404">
        <v>7.93</v>
      </c>
      <c r="R4270" s="402">
        <v>237</v>
      </c>
      <c r="S4270" s="404">
        <v>178</v>
      </c>
      <c r="T4270" s="402">
        <f>0.1/2</f>
        <v>0.05</v>
      </c>
      <c r="U4270" s="395">
        <v>2.31</v>
      </c>
      <c r="V4270" s="402">
        <v>0.19400000000000001</v>
      </c>
      <c r="W4270" s="404">
        <v>1.9E-2</v>
      </c>
      <c r="X4270" s="402">
        <v>0.69</v>
      </c>
      <c r="Y4270" s="404">
        <v>1.4999999999999999E-2</v>
      </c>
      <c r="Z4270" s="397"/>
      <c r="AA4270" s="399"/>
      <c r="AB4270" s="394"/>
      <c r="AC4270" s="402"/>
      <c r="AD4270" s="399"/>
      <c r="AE4270" s="402"/>
      <c r="AF4270" s="391"/>
      <c r="AG4270" s="394"/>
      <c r="AH4270" s="394"/>
      <c r="AI4270" s="394"/>
      <c r="AJ4270" s="394"/>
      <c r="AK4270" s="394"/>
      <c r="AL4270" s="394"/>
      <c r="AM4270" s="394"/>
      <c r="AN4270" s="394"/>
      <c r="AO4270" s="394"/>
      <c r="AP4270" s="394"/>
      <c r="AQ4270" s="394"/>
      <c r="AR4270" s="394"/>
      <c r="AS4270" s="402"/>
      <c r="AT4270" s="404"/>
      <c r="AU4270" s="394"/>
      <c r="AV4270" s="394"/>
      <c r="AW4270" s="394"/>
      <c r="AX4270" s="5"/>
      <c r="AY4270" s="5"/>
      <c r="AZ4270" s="5"/>
      <c r="BA4270" s="5"/>
      <c r="BB4270" s="5"/>
      <c r="BC4270" s="5"/>
      <c r="BD4270" s="5"/>
      <c r="BE4270" s="5"/>
      <c r="BF4270" s="5"/>
      <c r="BG4270" s="5"/>
      <c r="BH4270" s="5"/>
      <c r="BI4270" s="5"/>
      <c r="BJ4270" s="5"/>
      <c r="BK4270" s="5"/>
      <c r="BL4270" s="5"/>
      <c r="BM4270" s="5"/>
      <c r="BN4270" s="5"/>
      <c r="BO4270" s="5"/>
      <c r="BP4270" s="5"/>
      <c r="BQ4270" s="5"/>
      <c r="BR4270" s="5"/>
      <c r="BS4270" s="5"/>
      <c r="BT4270" s="5"/>
      <c r="BU4270" s="5"/>
      <c r="BV4270" s="5"/>
      <c r="BW4270" s="5"/>
      <c r="BX4270" s="5"/>
      <c r="BY4270" s="5"/>
      <c r="BZ4270" s="5"/>
      <c r="CA4270" s="5"/>
    </row>
    <row r="4271" spans="1:79" s="400" customFormat="1" ht="15" customHeight="1">
      <c r="A4271" s="41" t="s">
        <v>183</v>
      </c>
      <c r="B4271" s="402" t="s">
        <v>3232</v>
      </c>
      <c r="C4271" s="113" t="s">
        <v>3232</v>
      </c>
      <c r="D4271" s="393" t="s">
        <v>710</v>
      </c>
      <c r="E4271" s="394" t="s">
        <v>711</v>
      </c>
      <c r="F4271" s="402">
        <v>3300</v>
      </c>
      <c r="G4271" s="405" t="s">
        <v>3233</v>
      </c>
      <c r="H4271" s="404">
        <v>1442</v>
      </c>
      <c r="I4271" s="402"/>
      <c r="J4271" s="406" t="s">
        <v>6462</v>
      </c>
      <c r="K4271" s="403">
        <v>41605</v>
      </c>
      <c r="L4271" s="398">
        <v>41600</v>
      </c>
      <c r="M4271" s="402">
        <f t="shared" si="255"/>
        <v>5</v>
      </c>
      <c r="N4271" s="402" t="s">
        <v>2</v>
      </c>
      <c r="O4271" s="404">
        <f>1/2</f>
        <v>0.5</v>
      </c>
      <c r="P4271" s="402">
        <v>5.8</v>
      </c>
      <c r="Q4271" s="404">
        <v>6</v>
      </c>
      <c r="R4271" s="402">
        <v>13</v>
      </c>
      <c r="S4271" s="404">
        <v>23</v>
      </c>
      <c r="T4271" s="402">
        <v>3.2000000000000001E-2</v>
      </c>
      <c r="U4271" s="395">
        <f>0.5/2</f>
        <v>0.25</v>
      </c>
      <c r="V4271" s="402">
        <v>0.23</v>
      </c>
      <c r="W4271" s="404">
        <f>0.002/2</f>
        <v>1E-3</v>
      </c>
      <c r="X4271" s="402">
        <v>3.5999999999999997E-2</v>
      </c>
      <c r="Y4271" s="404">
        <f>0.002/2</f>
        <v>1E-3</v>
      </c>
      <c r="Z4271" s="397">
        <v>1</v>
      </c>
      <c r="AA4271" s="399">
        <v>1</v>
      </c>
      <c r="AB4271" s="394">
        <v>402</v>
      </c>
      <c r="AC4271" s="402">
        <v>868</v>
      </c>
      <c r="AD4271" s="399">
        <v>1</v>
      </c>
      <c r="AE4271" s="402"/>
      <c r="AF4271" s="391"/>
      <c r="AG4271" s="394"/>
      <c r="AH4271" s="394"/>
      <c r="AI4271" s="394"/>
      <c r="AJ4271" s="394"/>
      <c r="AK4271" s="394"/>
      <c r="AL4271" s="394"/>
      <c r="AM4271" s="394"/>
      <c r="AN4271" s="394"/>
      <c r="AO4271" s="394"/>
      <c r="AP4271" s="394"/>
      <c r="AQ4271" s="394"/>
      <c r="AR4271" s="394"/>
      <c r="AS4271" s="402"/>
      <c r="AT4271" s="404"/>
      <c r="AU4271" s="394"/>
      <c r="AV4271" s="394"/>
      <c r="AW4271" s="394"/>
      <c r="AX4271" s="5"/>
      <c r="AY4271" s="5"/>
      <c r="AZ4271" s="5"/>
      <c r="BA4271" s="5"/>
      <c r="BB4271" s="5"/>
      <c r="BC4271" s="5"/>
      <c r="BD4271" s="5"/>
      <c r="BE4271" s="5"/>
      <c r="BF4271" s="5"/>
      <c r="BG4271" s="5"/>
      <c r="BH4271" s="5"/>
      <c r="BI4271" s="5"/>
      <c r="BJ4271" s="5"/>
      <c r="BK4271" s="5"/>
      <c r="BL4271" s="5"/>
      <c r="BM4271" s="5"/>
      <c r="BN4271" s="5"/>
      <c r="BO4271" s="5"/>
      <c r="BP4271" s="5"/>
      <c r="BQ4271" s="5"/>
      <c r="BR4271" s="5"/>
      <c r="BS4271" s="5"/>
      <c r="BT4271" s="5"/>
      <c r="BU4271" s="5"/>
      <c r="BV4271" s="5"/>
      <c r="BW4271" s="5"/>
      <c r="BX4271" s="5"/>
      <c r="BY4271" s="5"/>
      <c r="BZ4271" s="5"/>
      <c r="CA4271" s="5"/>
    </row>
    <row r="4272" spans="1:79" s="400" customFormat="1" ht="15" customHeight="1">
      <c r="A4272" s="41" t="s">
        <v>183</v>
      </c>
      <c r="B4272" s="402" t="s">
        <v>1386</v>
      </c>
      <c r="C4272" s="113" t="s">
        <v>1387</v>
      </c>
      <c r="D4272" s="393" t="s">
        <v>350</v>
      </c>
      <c r="E4272" s="394" t="s">
        <v>1388</v>
      </c>
      <c r="F4272" s="402" t="s">
        <v>6463</v>
      </c>
      <c r="G4272" s="405" t="s">
        <v>1389</v>
      </c>
      <c r="H4272" s="404">
        <v>3724</v>
      </c>
      <c r="I4272" s="402" t="s">
        <v>2</v>
      </c>
      <c r="J4272" s="393" t="s">
        <v>335</v>
      </c>
      <c r="K4272" s="403">
        <v>41579</v>
      </c>
      <c r="L4272" s="398">
        <v>41553</v>
      </c>
      <c r="M4272" s="402">
        <f t="shared" si="255"/>
        <v>26</v>
      </c>
      <c r="N4272" s="402" t="s">
        <v>2</v>
      </c>
      <c r="O4272" s="404">
        <v>2.1</v>
      </c>
      <c r="P4272" s="402"/>
      <c r="Q4272" s="404">
        <v>5.76</v>
      </c>
      <c r="R4272" s="402">
        <v>65.099999999999994</v>
      </c>
      <c r="S4272" s="404">
        <v>42</v>
      </c>
      <c r="T4272" s="402">
        <v>9.7799999999999998E-2</v>
      </c>
      <c r="U4272" s="395">
        <v>1.1200000000000001</v>
      </c>
      <c r="V4272" s="402">
        <v>0.46400000000000002</v>
      </c>
      <c r="W4272" s="404">
        <v>1.01E-2</v>
      </c>
      <c r="X4272" s="402">
        <f>0.06/2</f>
        <v>0.03</v>
      </c>
      <c r="Y4272" s="404">
        <f>0.0075/2</f>
        <v>3.7499999999999999E-3</v>
      </c>
      <c r="Z4272" s="397"/>
      <c r="AA4272" s="399"/>
      <c r="AB4272" s="394"/>
      <c r="AC4272" s="402"/>
      <c r="AD4272" s="399"/>
      <c r="AE4272" s="402"/>
      <c r="AF4272" s="391"/>
      <c r="AG4272" s="394"/>
      <c r="AH4272" s="394"/>
      <c r="AI4272" s="394"/>
      <c r="AJ4272" s="394"/>
      <c r="AK4272" s="394"/>
      <c r="AL4272" s="394"/>
      <c r="AM4272" s="394"/>
      <c r="AN4272" s="394"/>
      <c r="AO4272" s="394"/>
      <c r="AP4272" s="394"/>
      <c r="AQ4272" s="394"/>
      <c r="AR4272" s="394"/>
      <c r="AS4272" s="402"/>
      <c r="AT4272" s="404"/>
      <c r="AU4272" s="394"/>
      <c r="AV4272" s="394"/>
      <c r="AW4272" s="394"/>
      <c r="AX4272" s="5"/>
      <c r="AY4272" s="5"/>
      <c r="AZ4272" s="5"/>
      <c r="BA4272" s="5"/>
      <c r="BB4272" s="5"/>
      <c r="BC4272" s="5"/>
      <c r="BD4272" s="5"/>
      <c r="BE4272" s="5"/>
      <c r="BF4272" s="5"/>
      <c r="BG4272" s="5"/>
      <c r="BH4272" s="5"/>
      <c r="BI4272" s="5"/>
      <c r="BJ4272" s="5"/>
      <c r="BK4272" s="5"/>
      <c r="BL4272" s="5"/>
      <c r="BM4272" s="5"/>
      <c r="BN4272" s="5"/>
      <c r="BO4272" s="5"/>
      <c r="BP4272" s="5"/>
      <c r="BQ4272" s="5"/>
      <c r="BR4272" s="5"/>
      <c r="BS4272" s="5"/>
      <c r="BT4272" s="5"/>
      <c r="BU4272" s="5"/>
      <c r="BV4272" s="5"/>
      <c r="BW4272" s="5"/>
      <c r="BX4272" s="5"/>
      <c r="BY4272" s="5"/>
      <c r="BZ4272" s="5"/>
      <c r="CA4272" s="5"/>
    </row>
    <row r="4273" spans="1:79" s="400" customFormat="1" ht="15" customHeight="1">
      <c r="A4273" s="41" t="s">
        <v>183</v>
      </c>
      <c r="B4273" s="402" t="s">
        <v>4415</v>
      </c>
      <c r="C4273" s="113" t="s">
        <v>4415</v>
      </c>
      <c r="D4273" s="393" t="s">
        <v>89</v>
      </c>
      <c r="E4273" s="394" t="s">
        <v>535</v>
      </c>
      <c r="F4273" s="402" t="s">
        <v>6464</v>
      </c>
      <c r="G4273" s="405" t="s">
        <v>4416</v>
      </c>
      <c r="H4273" s="404">
        <v>2434</v>
      </c>
      <c r="I4273" s="402" t="s">
        <v>1</v>
      </c>
      <c r="J4273" s="406" t="s">
        <v>6465</v>
      </c>
      <c r="K4273" s="403">
        <v>41579</v>
      </c>
      <c r="L4273" s="398">
        <v>41554</v>
      </c>
      <c r="M4273" s="402">
        <f t="shared" si="255"/>
        <v>25</v>
      </c>
      <c r="N4273" s="402" t="s">
        <v>2</v>
      </c>
      <c r="O4273" s="404">
        <f>0.5/2</f>
        <v>0.25</v>
      </c>
      <c r="P4273" s="402">
        <v>6.1</v>
      </c>
      <c r="Q4273" s="404">
        <v>6.3</v>
      </c>
      <c r="R4273" s="402">
        <v>60</v>
      </c>
      <c r="S4273" s="404">
        <v>65</v>
      </c>
      <c r="T4273" s="402">
        <v>0.05</v>
      </c>
      <c r="U4273" s="395">
        <v>1.18</v>
      </c>
      <c r="V4273" s="402">
        <f>0.05/2</f>
        <v>2.5000000000000001E-2</v>
      </c>
      <c r="W4273" s="404">
        <v>0.04</v>
      </c>
      <c r="X4273" s="402">
        <v>0.41</v>
      </c>
      <c r="Y4273" s="404">
        <v>6.0000000000000001E-3</v>
      </c>
      <c r="Z4273" s="397"/>
      <c r="AA4273" s="399"/>
      <c r="AB4273" s="394"/>
      <c r="AC4273" s="402"/>
      <c r="AD4273" s="399"/>
      <c r="AE4273" s="402"/>
      <c r="AF4273" s="391"/>
      <c r="AG4273" s="394"/>
      <c r="AH4273" s="394"/>
      <c r="AI4273" s="394"/>
      <c r="AJ4273" s="394"/>
      <c r="AK4273" s="394"/>
      <c r="AL4273" s="394"/>
      <c r="AM4273" s="394"/>
      <c r="AN4273" s="394"/>
      <c r="AO4273" s="394"/>
      <c r="AP4273" s="394"/>
      <c r="AQ4273" s="394"/>
      <c r="AR4273" s="394"/>
      <c r="AS4273" s="402"/>
      <c r="AT4273" s="404"/>
      <c r="AU4273" s="394"/>
      <c r="AV4273" s="394"/>
      <c r="AW4273" s="394"/>
      <c r="AX4273" s="5"/>
      <c r="AY4273" s="5"/>
      <c r="AZ4273" s="5"/>
      <c r="BA4273" s="5"/>
      <c r="BB4273" s="5"/>
      <c r="BC4273" s="5"/>
      <c r="BD4273" s="5"/>
      <c r="BE4273" s="5"/>
      <c r="BF4273" s="5"/>
      <c r="BG4273" s="5"/>
      <c r="BH4273" s="5"/>
      <c r="BI4273" s="5"/>
      <c r="BJ4273" s="5"/>
      <c r="BK4273" s="5"/>
      <c r="BL4273" s="5"/>
      <c r="BM4273" s="5"/>
      <c r="BN4273" s="5"/>
      <c r="BO4273" s="5"/>
      <c r="BP4273" s="5"/>
      <c r="BQ4273" s="5"/>
      <c r="BR4273" s="5"/>
      <c r="BS4273" s="5"/>
      <c r="BT4273" s="5"/>
      <c r="BU4273" s="5"/>
      <c r="BV4273" s="5"/>
      <c r="BW4273" s="5"/>
      <c r="BX4273" s="5"/>
      <c r="BY4273" s="5"/>
      <c r="BZ4273" s="5"/>
      <c r="CA4273" s="5"/>
    </row>
    <row r="4274" spans="1:79" s="400" customFormat="1" ht="15" customHeight="1">
      <c r="A4274" s="41" t="s">
        <v>183</v>
      </c>
      <c r="B4274" s="402" t="s">
        <v>2277</v>
      </c>
      <c r="C4274" s="113" t="s">
        <v>2277</v>
      </c>
      <c r="D4274" s="393" t="s">
        <v>1683</v>
      </c>
      <c r="E4274" s="394" t="s">
        <v>2278</v>
      </c>
      <c r="F4274" s="402">
        <v>6025</v>
      </c>
      <c r="G4274" s="405" t="s">
        <v>2279</v>
      </c>
      <c r="H4274" s="404">
        <v>3444</v>
      </c>
      <c r="I4274" s="402" t="s">
        <v>2</v>
      </c>
      <c r="J4274" s="404" t="s">
        <v>510</v>
      </c>
      <c r="K4274" s="403">
        <v>41631</v>
      </c>
      <c r="L4274" s="398">
        <v>41625</v>
      </c>
      <c r="M4274" s="402">
        <f t="shared" si="255"/>
        <v>6</v>
      </c>
      <c r="N4274" s="402" t="s">
        <v>2</v>
      </c>
      <c r="O4274" s="404">
        <v>5.6</v>
      </c>
      <c r="P4274" s="402">
        <v>6.1</v>
      </c>
      <c r="Q4274" s="404">
        <v>6.43</v>
      </c>
      <c r="R4274" s="402">
        <v>18</v>
      </c>
      <c r="S4274" s="404">
        <f>5/2</f>
        <v>2.5</v>
      </c>
      <c r="T4274" s="402">
        <f>0.1/2</f>
        <v>0.05</v>
      </c>
      <c r="U4274" s="395">
        <f>1/2</f>
        <v>0.5</v>
      </c>
      <c r="V4274" s="402">
        <v>0.73</v>
      </c>
      <c r="W4274" s="404">
        <f>0.04/2</f>
        <v>0.02</v>
      </c>
      <c r="X4274" s="402">
        <v>0.28000000000000003</v>
      </c>
      <c r="Y4274" s="404">
        <f>0.013/2</f>
        <v>6.4999999999999997E-3</v>
      </c>
      <c r="Z4274" s="397"/>
      <c r="AA4274" s="399"/>
      <c r="AB4274" s="394"/>
      <c r="AC4274" s="402"/>
      <c r="AD4274" s="399"/>
      <c r="AE4274" s="402"/>
      <c r="AF4274" s="391"/>
      <c r="AG4274" s="394"/>
      <c r="AH4274" s="394"/>
      <c r="AI4274" s="394"/>
      <c r="AJ4274" s="394"/>
      <c r="AK4274" s="394"/>
      <c r="AL4274" s="394"/>
      <c r="AM4274" s="394"/>
      <c r="AN4274" s="394"/>
      <c r="AO4274" s="394"/>
      <c r="AP4274" s="394"/>
      <c r="AQ4274" s="394"/>
      <c r="AR4274" s="394"/>
      <c r="AS4274" s="402"/>
      <c r="AT4274" s="404"/>
      <c r="AU4274" s="394"/>
      <c r="AV4274" s="394"/>
      <c r="AW4274" s="394"/>
      <c r="AX4274" s="5"/>
      <c r="AY4274" s="5"/>
      <c r="AZ4274" s="5"/>
      <c r="BA4274" s="5"/>
      <c r="BB4274" s="5"/>
      <c r="BC4274" s="5"/>
      <c r="BD4274" s="5"/>
      <c r="BE4274" s="5"/>
      <c r="BF4274" s="5"/>
      <c r="BG4274" s="5"/>
      <c r="BH4274" s="5"/>
      <c r="BI4274" s="5"/>
      <c r="BJ4274" s="5"/>
      <c r="BK4274" s="5"/>
      <c r="BL4274" s="5"/>
      <c r="BM4274" s="5"/>
      <c r="BN4274" s="5"/>
      <c r="BO4274" s="5"/>
      <c r="BP4274" s="5"/>
      <c r="BQ4274" s="5"/>
      <c r="BR4274" s="5"/>
      <c r="BS4274" s="5"/>
      <c r="BT4274" s="5"/>
      <c r="BU4274" s="5"/>
      <c r="BV4274" s="5"/>
      <c r="BW4274" s="5"/>
      <c r="BX4274" s="5"/>
      <c r="BY4274" s="5"/>
      <c r="BZ4274" s="5"/>
      <c r="CA4274" s="5"/>
    </row>
    <row r="4275" spans="1:79" s="400" customFormat="1" ht="15" customHeight="1">
      <c r="A4275" s="41" t="s">
        <v>183</v>
      </c>
      <c r="B4275" s="402" t="s">
        <v>5088</v>
      </c>
      <c r="C4275" s="113" t="s">
        <v>5088</v>
      </c>
      <c r="D4275" s="393" t="s">
        <v>338</v>
      </c>
      <c r="E4275" s="394" t="s">
        <v>5089</v>
      </c>
      <c r="F4275" s="402">
        <v>6912</v>
      </c>
      <c r="G4275" s="405" t="s">
        <v>5090</v>
      </c>
      <c r="H4275" s="404">
        <v>3469</v>
      </c>
      <c r="I4275" s="402" t="s">
        <v>2</v>
      </c>
      <c r="J4275" s="406" t="s">
        <v>5091</v>
      </c>
      <c r="K4275" s="403">
        <v>41579</v>
      </c>
      <c r="L4275" s="398">
        <v>41554</v>
      </c>
      <c r="M4275" s="402">
        <f t="shared" si="255"/>
        <v>25</v>
      </c>
      <c r="N4275" s="402" t="s">
        <v>2</v>
      </c>
      <c r="O4275" s="404">
        <v>3.3</v>
      </c>
      <c r="P4275" s="402">
        <v>6.3</v>
      </c>
      <c r="Q4275" s="404">
        <v>5.5</v>
      </c>
      <c r="R4275" s="402">
        <v>180</v>
      </c>
      <c r="S4275" s="404">
        <v>1070</v>
      </c>
      <c r="T4275" s="402">
        <v>1.19</v>
      </c>
      <c r="U4275" s="395">
        <v>2.2999999999999998</v>
      </c>
      <c r="V4275" s="402">
        <v>0.74</v>
      </c>
      <c r="W4275" s="404">
        <v>0.16700000000000001</v>
      </c>
      <c r="X4275" s="402">
        <v>0.45600000000000002</v>
      </c>
      <c r="Y4275" s="404">
        <v>6.2300000000000001E-2</v>
      </c>
      <c r="Z4275" s="397">
        <v>1</v>
      </c>
      <c r="AA4275" s="399">
        <v>1</v>
      </c>
      <c r="AB4275" s="394">
        <v>48</v>
      </c>
      <c r="AC4275" s="402">
        <v>162</v>
      </c>
      <c r="AD4275" s="399">
        <v>1</v>
      </c>
      <c r="AE4275" s="402"/>
      <c r="AF4275" s="391"/>
      <c r="AG4275" s="394"/>
      <c r="AH4275" s="394"/>
      <c r="AI4275" s="394"/>
      <c r="AJ4275" s="394"/>
      <c r="AK4275" s="394"/>
      <c r="AL4275" s="394"/>
      <c r="AM4275" s="394"/>
      <c r="AN4275" s="394"/>
      <c r="AO4275" s="394"/>
      <c r="AP4275" s="394"/>
      <c r="AQ4275" s="394"/>
      <c r="AR4275" s="394"/>
      <c r="AS4275" s="402"/>
      <c r="AT4275" s="404"/>
      <c r="AU4275" s="394"/>
      <c r="AV4275" s="394"/>
      <c r="AW4275" s="394"/>
      <c r="AX4275" s="5"/>
      <c r="AY4275" s="5"/>
      <c r="AZ4275" s="5"/>
      <c r="BA4275" s="5"/>
      <c r="BB4275" s="5"/>
      <c r="BC4275" s="5"/>
      <c r="BD4275" s="5"/>
      <c r="BE4275" s="5"/>
      <c r="BF4275" s="5"/>
      <c r="BG4275" s="5"/>
      <c r="BH4275" s="5"/>
      <c r="BI4275" s="5"/>
      <c r="BJ4275" s="5"/>
      <c r="BK4275" s="5"/>
      <c r="BL4275" s="5"/>
      <c r="BM4275" s="5"/>
      <c r="BN4275" s="5"/>
      <c r="BO4275" s="5"/>
      <c r="BP4275" s="5"/>
      <c r="BQ4275" s="5"/>
      <c r="BR4275" s="5"/>
      <c r="BS4275" s="5"/>
      <c r="BT4275" s="5"/>
      <c r="BU4275" s="5"/>
      <c r="BV4275" s="5"/>
      <c r="BW4275" s="5"/>
      <c r="BX4275" s="5"/>
      <c r="BY4275" s="5"/>
      <c r="BZ4275" s="5"/>
      <c r="CA4275" s="5"/>
    </row>
    <row r="4276" spans="1:79" s="400" customFormat="1" ht="15" customHeight="1">
      <c r="A4276" s="41" t="s">
        <v>183</v>
      </c>
      <c r="B4276" s="402" t="s">
        <v>5766</v>
      </c>
      <c r="C4276" s="113" t="s">
        <v>5766</v>
      </c>
      <c r="D4276" s="393" t="s">
        <v>559</v>
      </c>
      <c r="E4276" s="394" t="s">
        <v>5767</v>
      </c>
      <c r="F4276" s="402">
        <v>5102</v>
      </c>
      <c r="G4276" s="405" t="s">
        <v>5768</v>
      </c>
      <c r="H4276" s="404">
        <v>3273</v>
      </c>
      <c r="I4276" s="402"/>
      <c r="J4276" s="404" t="s">
        <v>5767</v>
      </c>
      <c r="K4276" s="403">
        <v>41585</v>
      </c>
      <c r="L4276" s="398">
        <v>41554</v>
      </c>
      <c r="M4276" s="402">
        <f t="shared" si="255"/>
        <v>31</v>
      </c>
      <c r="N4276" s="402" t="s">
        <v>2</v>
      </c>
      <c r="O4276" s="404">
        <f>1/2</f>
        <v>0.5</v>
      </c>
      <c r="P4276" s="402">
        <v>6.9</v>
      </c>
      <c r="Q4276" s="404">
        <v>9.0299999999999994</v>
      </c>
      <c r="R4276" s="402">
        <v>84</v>
      </c>
      <c r="S4276" s="404">
        <v>21</v>
      </c>
      <c r="T4276" s="402">
        <v>0.17</v>
      </c>
      <c r="U4276" s="395">
        <v>2.81</v>
      </c>
      <c r="V4276" s="402">
        <f>0.2/2</f>
        <v>0.1</v>
      </c>
      <c r="W4276" s="404">
        <f>0.01/2</f>
        <v>5.0000000000000001E-3</v>
      </c>
      <c r="X4276" s="402">
        <v>7.0000000000000007E-2</v>
      </c>
      <c r="Y4276" s="404">
        <f>0.02/2</f>
        <v>0.01</v>
      </c>
      <c r="Z4276" s="397">
        <v>1</v>
      </c>
      <c r="AA4276" s="399">
        <v>1</v>
      </c>
      <c r="AB4276" s="394">
        <v>13.5</v>
      </c>
      <c r="AC4276" s="402">
        <v>172</v>
      </c>
      <c r="AD4276" s="399">
        <v>1</v>
      </c>
      <c r="AE4276" s="402"/>
      <c r="AF4276" s="391"/>
      <c r="AG4276" s="394"/>
      <c r="AH4276" s="394"/>
      <c r="AI4276" s="394"/>
      <c r="AJ4276" s="394"/>
      <c r="AK4276" s="394"/>
      <c r="AL4276" s="394"/>
      <c r="AM4276" s="394"/>
      <c r="AN4276" s="394"/>
      <c r="AO4276" s="394"/>
      <c r="AP4276" s="394"/>
      <c r="AQ4276" s="394"/>
      <c r="AR4276" s="394"/>
      <c r="AS4276" s="402"/>
      <c r="AT4276" s="404"/>
      <c r="AU4276" s="394"/>
      <c r="AV4276" s="394"/>
      <c r="AW4276" s="394"/>
      <c r="AX4276" s="5"/>
      <c r="AY4276" s="5"/>
      <c r="AZ4276" s="5"/>
      <c r="BA4276" s="5"/>
      <c r="BB4276" s="5"/>
      <c r="BC4276" s="5"/>
      <c r="BD4276" s="5"/>
      <c r="BE4276" s="5"/>
      <c r="BF4276" s="5"/>
      <c r="BG4276" s="5"/>
      <c r="BH4276" s="5"/>
      <c r="BI4276" s="5"/>
      <c r="BJ4276" s="5"/>
      <c r="BK4276" s="5"/>
      <c r="BL4276" s="5"/>
      <c r="BM4276" s="5"/>
      <c r="BN4276" s="5"/>
      <c r="BO4276" s="5"/>
      <c r="BP4276" s="5"/>
      <c r="BQ4276" s="5"/>
      <c r="BR4276" s="5"/>
      <c r="BS4276" s="5"/>
      <c r="BT4276" s="5"/>
      <c r="BU4276" s="5"/>
      <c r="BV4276" s="5"/>
      <c r="BW4276" s="5"/>
      <c r="BX4276" s="5"/>
      <c r="BY4276" s="5"/>
      <c r="BZ4276" s="5"/>
      <c r="CA4276" s="5"/>
    </row>
    <row r="4277" spans="1:79" s="400" customFormat="1" ht="15" customHeight="1">
      <c r="A4277" s="41" t="s">
        <v>183</v>
      </c>
      <c r="B4277" s="402" t="s">
        <v>1278</v>
      </c>
      <c r="C4277" s="113" t="s">
        <v>1279</v>
      </c>
      <c r="D4277" s="393" t="s">
        <v>268</v>
      </c>
      <c r="E4277" s="394" t="s">
        <v>252</v>
      </c>
      <c r="F4277" s="402">
        <v>4402</v>
      </c>
      <c r="G4277" s="405" t="s">
        <v>1280</v>
      </c>
      <c r="H4277" s="404">
        <v>3562</v>
      </c>
      <c r="I4277" s="402" t="s">
        <v>2</v>
      </c>
      <c r="J4277" s="393" t="s">
        <v>81</v>
      </c>
      <c r="K4277" s="403">
        <v>41600</v>
      </c>
      <c r="L4277" s="398">
        <v>41596</v>
      </c>
      <c r="M4277" s="402">
        <f t="shared" si="255"/>
        <v>4</v>
      </c>
      <c r="N4277" s="402" t="s">
        <v>2</v>
      </c>
      <c r="O4277" s="404">
        <f>1.8/2</f>
        <v>0.9</v>
      </c>
      <c r="P4277" s="402">
        <v>6</v>
      </c>
      <c r="Q4277" s="404">
        <v>7.4</v>
      </c>
      <c r="R4277" s="402">
        <v>23</v>
      </c>
      <c r="S4277" s="404">
        <v>12</v>
      </c>
      <c r="T4277" s="402">
        <v>0.71799999999999997</v>
      </c>
      <c r="U4277" s="395">
        <v>7.6</v>
      </c>
      <c r="V4277" s="402">
        <v>0.84</v>
      </c>
      <c r="W4277" s="404">
        <v>5.0000000000000001E-3</v>
      </c>
      <c r="X4277" s="402">
        <v>2.1000000000000001E-2</v>
      </c>
      <c r="Y4277" s="404">
        <f>0.01/2</f>
        <v>5.0000000000000001E-3</v>
      </c>
      <c r="Z4277" s="397"/>
      <c r="AA4277" s="399"/>
      <c r="AB4277" s="394"/>
      <c r="AC4277" s="402"/>
      <c r="AD4277" s="399"/>
      <c r="AE4277" s="402"/>
      <c r="AF4277" s="391"/>
      <c r="AG4277" s="394"/>
      <c r="AH4277" s="394"/>
      <c r="AI4277" s="394"/>
      <c r="AJ4277" s="394"/>
      <c r="AK4277" s="394"/>
      <c r="AL4277" s="394"/>
      <c r="AM4277" s="394"/>
      <c r="AN4277" s="394"/>
      <c r="AO4277" s="394"/>
      <c r="AP4277" s="394"/>
      <c r="AQ4277" s="394"/>
      <c r="AR4277" s="394"/>
      <c r="AS4277" s="402"/>
      <c r="AT4277" s="404"/>
      <c r="AU4277" s="394"/>
      <c r="AV4277" s="394"/>
      <c r="AW4277" s="394"/>
      <c r="AX4277" s="5"/>
      <c r="AY4277" s="5"/>
      <c r="AZ4277" s="5"/>
      <c r="BA4277" s="5"/>
      <c r="BB4277" s="5"/>
      <c r="BC4277" s="5"/>
      <c r="BD4277" s="5"/>
      <c r="BE4277" s="5"/>
      <c r="BF4277" s="5"/>
      <c r="BG4277" s="5"/>
      <c r="BH4277" s="5"/>
      <c r="BI4277" s="5"/>
      <c r="BJ4277" s="5"/>
      <c r="BK4277" s="5"/>
      <c r="BL4277" s="5"/>
      <c r="BM4277" s="5"/>
      <c r="BN4277" s="5"/>
      <c r="BO4277" s="5"/>
      <c r="BP4277" s="5"/>
      <c r="BQ4277" s="5"/>
      <c r="BR4277" s="5"/>
      <c r="BS4277" s="5"/>
      <c r="BT4277" s="5"/>
      <c r="BU4277" s="5"/>
      <c r="BV4277" s="5"/>
      <c r="BW4277" s="5"/>
      <c r="BX4277" s="5"/>
      <c r="BY4277" s="5"/>
      <c r="BZ4277" s="5"/>
      <c r="CA4277" s="5"/>
    </row>
    <row r="4278" spans="1:79" s="400" customFormat="1" ht="15" customHeight="1">
      <c r="A4278" s="41" t="s">
        <v>183</v>
      </c>
      <c r="B4278" s="402" t="s">
        <v>5740</v>
      </c>
      <c r="C4278" s="113" t="s">
        <v>5740</v>
      </c>
      <c r="D4278" s="393" t="s">
        <v>303</v>
      </c>
      <c r="E4278" s="394" t="s">
        <v>5741</v>
      </c>
      <c r="F4278" s="402">
        <v>5000</v>
      </c>
      <c r="G4278" s="405" t="s">
        <v>5742</v>
      </c>
      <c r="H4278" s="404">
        <v>2899</v>
      </c>
      <c r="I4278" s="402" t="s">
        <v>2</v>
      </c>
      <c r="J4278" s="406" t="s">
        <v>569</v>
      </c>
      <c r="K4278" s="403">
        <v>41585</v>
      </c>
      <c r="L4278" s="398" t="s">
        <v>5380</v>
      </c>
      <c r="M4278" s="402"/>
      <c r="N4278" s="402" t="s">
        <v>2</v>
      </c>
      <c r="O4278" s="404">
        <f>5/2</f>
        <v>2.5</v>
      </c>
      <c r="P4278" s="402">
        <v>6.5</v>
      </c>
      <c r="Q4278" s="404">
        <v>6.11</v>
      </c>
      <c r="R4278" s="402">
        <v>81</v>
      </c>
      <c r="S4278" s="404">
        <v>21</v>
      </c>
      <c r="T4278" s="402">
        <v>0.18</v>
      </c>
      <c r="U4278" s="395">
        <v>1.2</v>
      </c>
      <c r="V4278" s="402">
        <v>0.23</v>
      </c>
      <c r="W4278" s="404">
        <f>0.04/2</f>
        <v>0.02</v>
      </c>
      <c r="X4278" s="402">
        <v>8.5000000000000006E-2</v>
      </c>
      <c r="Y4278" s="404">
        <f>0.013/2</f>
        <v>6.4999999999999997E-3</v>
      </c>
      <c r="Z4278" s="397">
        <v>1</v>
      </c>
      <c r="AA4278" s="399">
        <v>1</v>
      </c>
      <c r="AB4278" s="394">
        <v>6.9</v>
      </c>
      <c r="AC4278" s="402">
        <v>69</v>
      </c>
      <c r="AD4278" s="399">
        <v>1</v>
      </c>
      <c r="AE4278" s="402"/>
      <c r="AF4278" s="391"/>
      <c r="AG4278" s="394"/>
      <c r="AH4278" s="394"/>
      <c r="AI4278" s="394"/>
      <c r="AJ4278" s="394"/>
      <c r="AK4278" s="394"/>
      <c r="AL4278" s="394"/>
      <c r="AM4278" s="394"/>
      <c r="AN4278" s="394"/>
      <c r="AO4278" s="394"/>
      <c r="AP4278" s="394"/>
      <c r="AQ4278" s="394"/>
      <c r="AR4278" s="394"/>
      <c r="AS4278" s="402"/>
      <c r="AT4278" s="404"/>
      <c r="AU4278" s="394"/>
      <c r="AV4278" s="394"/>
      <c r="AW4278" s="394"/>
      <c r="AX4278" s="5"/>
      <c r="AY4278" s="5"/>
      <c r="AZ4278" s="5"/>
      <c r="BA4278" s="5"/>
      <c r="BB4278" s="5"/>
      <c r="BC4278" s="5"/>
      <c r="BD4278" s="5"/>
      <c r="BE4278" s="5"/>
      <c r="BF4278" s="5"/>
      <c r="BG4278" s="5"/>
      <c r="BH4278" s="5"/>
      <c r="BI4278" s="5"/>
      <c r="BJ4278" s="5"/>
      <c r="BK4278" s="5"/>
      <c r="BL4278" s="5"/>
      <c r="BM4278" s="5"/>
      <c r="BN4278" s="5"/>
      <c r="BO4278" s="5"/>
      <c r="BP4278" s="5"/>
      <c r="BQ4278" s="5"/>
      <c r="BR4278" s="5"/>
      <c r="BS4278" s="5"/>
      <c r="BT4278" s="5"/>
      <c r="BU4278" s="5"/>
      <c r="BV4278" s="5"/>
      <c r="BW4278" s="5"/>
      <c r="BX4278" s="5"/>
      <c r="BY4278" s="5"/>
      <c r="BZ4278" s="5"/>
      <c r="CA4278" s="5"/>
    </row>
    <row r="4279" spans="1:79" s="400" customFormat="1" ht="15" customHeight="1">
      <c r="A4279" s="41" t="s">
        <v>183</v>
      </c>
      <c r="B4279" s="402" t="s">
        <v>5740</v>
      </c>
      <c r="C4279" s="113" t="s">
        <v>5740</v>
      </c>
      <c r="D4279" s="393" t="s">
        <v>303</v>
      </c>
      <c r="E4279" s="394" t="s">
        <v>5741</v>
      </c>
      <c r="F4279" s="402">
        <v>5000</v>
      </c>
      <c r="G4279" s="405" t="s">
        <v>5742</v>
      </c>
      <c r="H4279" s="404">
        <v>2899</v>
      </c>
      <c r="I4279" s="402" t="s">
        <v>2</v>
      </c>
      <c r="J4279" s="406" t="s">
        <v>194</v>
      </c>
      <c r="K4279" s="403">
        <v>41585</v>
      </c>
      <c r="L4279" s="398" t="s">
        <v>5380</v>
      </c>
      <c r="M4279" s="402"/>
      <c r="N4279" s="402" t="s">
        <v>2</v>
      </c>
      <c r="O4279" s="404">
        <f>5/2</f>
        <v>2.5</v>
      </c>
      <c r="P4279" s="402">
        <v>6.5</v>
      </c>
      <c r="Q4279" s="404">
        <v>7.56</v>
      </c>
      <c r="R4279" s="402">
        <v>26</v>
      </c>
      <c r="S4279" s="404">
        <v>6</v>
      </c>
      <c r="T4279" s="402">
        <v>0.21</v>
      </c>
      <c r="U4279" s="395">
        <v>2.1</v>
      </c>
      <c r="V4279" s="402">
        <v>0.51</v>
      </c>
      <c r="W4279" s="404">
        <v>0.08</v>
      </c>
      <c r="X4279" s="402">
        <v>1.1000000000000001</v>
      </c>
      <c r="Y4279" s="404">
        <f>0.013/2</f>
        <v>6.4999999999999997E-3</v>
      </c>
      <c r="Z4279" s="397">
        <v>0.70699999999999996</v>
      </c>
      <c r="AA4279" s="399">
        <v>0.70699999999999996</v>
      </c>
      <c r="AB4279" s="394">
        <v>55</v>
      </c>
      <c r="AC4279" s="402">
        <v>69</v>
      </c>
      <c r="AD4279" s="399">
        <v>0</v>
      </c>
      <c r="AE4279" s="402"/>
      <c r="AF4279" s="391"/>
      <c r="AG4279" s="394"/>
      <c r="AH4279" s="394"/>
      <c r="AI4279" s="394"/>
      <c r="AJ4279" s="394"/>
      <c r="AK4279" s="394"/>
      <c r="AL4279" s="394"/>
      <c r="AM4279" s="394"/>
      <c r="AN4279" s="394"/>
      <c r="AO4279" s="394"/>
      <c r="AP4279" s="394"/>
      <c r="AQ4279" s="394"/>
      <c r="AR4279" s="394"/>
      <c r="AS4279" s="402"/>
      <c r="AT4279" s="404"/>
      <c r="AU4279" s="394"/>
      <c r="AV4279" s="394"/>
      <c r="AW4279" s="394"/>
      <c r="AX4279" s="5"/>
      <c r="AY4279" s="5"/>
      <c r="AZ4279" s="5"/>
      <c r="BA4279" s="5"/>
      <c r="BB4279" s="5"/>
      <c r="BC4279" s="5"/>
      <c r="BD4279" s="5"/>
      <c r="BE4279" s="5"/>
      <c r="BF4279" s="5"/>
      <c r="BG4279" s="5"/>
      <c r="BH4279" s="5"/>
      <c r="BI4279" s="5"/>
      <c r="BJ4279" s="5"/>
      <c r="BK4279" s="5"/>
      <c r="BL4279" s="5"/>
      <c r="BM4279" s="5"/>
      <c r="BN4279" s="5"/>
      <c r="BO4279" s="5"/>
      <c r="BP4279" s="5"/>
      <c r="BQ4279" s="5"/>
      <c r="BR4279" s="5"/>
      <c r="BS4279" s="5"/>
      <c r="BT4279" s="5"/>
      <c r="BU4279" s="5"/>
      <c r="BV4279" s="5"/>
      <c r="BW4279" s="5"/>
      <c r="BX4279" s="5"/>
      <c r="BY4279" s="5"/>
      <c r="BZ4279" s="5"/>
      <c r="CA4279" s="5"/>
    </row>
    <row r="4280" spans="1:79" s="400" customFormat="1" ht="15" customHeight="1">
      <c r="A4280" s="41" t="s">
        <v>183</v>
      </c>
      <c r="B4280" s="402" t="s">
        <v>5740</v>
      </c>
      <c r="C4280" s="113" t="s">
        <v>5740</v>
      </c>
      <c r="D4280" s="393" t="s">
        <v>303</v>
      </c>
      <c r="E4280" s="394" t="s">
        <v>5741</v>
      </c>
      <c r="F4280" s="402">
        <v>5000</v>
      </c>
      <c r="G4280" s="405" t="s">
        <v>5742</v>
      </c>
      <c r="H4280" s="404">
        <v>2899</v>
      </c>
      <c r="I4280" s="402" t="s">
        <v>2</v>
      </c>
      <c r="J4280" s="406" t="s">
        <v>586</v>
      </c>
      <c r="K4280" s="403">
        <v>41585</v>
      </c>
      <c r="L4280" s="398" t="s">
        <v>5380</v>
      </c>
      <c r="M4280" s="402"/>
      <c r="N4280" s="402" t="s">
        <v>2</v>
      </c>
      <c r="O4280" s="404">
        <f>5/2</f>
        <v>2.5</v>
      </c>
      <c r="P4280" s="402">
        <v>6.5</v>
      </c>
      <c r="Q4280" s="404">
        <v>5.8</v>
      </c>
      <c r="R4280" s="402">
        <v>85</v>
      </c>
      <c r="S4280" s="404">
        <v>19</v>
      </c>
      <c r="T4280" s="402">
        <v>0.36</v>
      </c>
      <c r="U4280" s="395">
        <v>1.2</v>
      </c>
      <c r="V4280" s="402">
        <v>0.31</v>
      </c>
      <c r="W4280" s="404">
        <v>0.06</v>
      </c>
      <c r="X4280" s="402">
        <v>0.13</v>
      </c>
      <c r="Y4280" s="404">
        <f>0.013/2</f>
        <v>6.4999999999999997E-3</v>
      </c>
      <c r="Z4280" s="397">
        <v>1</v>
      </c>
      <c r="AA4280" s="399">
        <v>1</v>
      </c>
      <c r="AB4280" s="394">
        <v>10</v>
      </c>
      <c r="AC4280" s="402">
        <v>46</v>
      </c>
      <c r="AD4280" s="399">
        <v>1</v>
      </c>
      <c r="AE4280" s="402"/>
      <c r="AF4280" s="391"/>
      <c r="AG4280" s="394"/>
      <c r="AH4280" s="394"/>
      <c r="AI4280" s="394"/>
      <c r="AJ4280" s="394"/>
      <c r="AK4280" s="394"/>
      <c r="AL4280" s="394"/>
      <c r="AM4280" s="394"/>
      <c r="AN4280" s="394"/>
      <c r="AO4280" s="394"/>
      <c r="AP4280" s="394"/>
      <c r="AQ4280" s="394"/>
      <c r="AR4280" s="394"/>
      <c r="AS4280" s="402"/>
      <c r="AT4280" s="404"/>
      <c r="AU4280" s="394"/>
      <c r="AV4280" s="394"/>
      <c r="AW4280" s="394"/>
      <c r="AX4280" s="5"/>
      <c r="AY4280" s="5"/>
      <c r="AZ4280" s="5"/>
      <c r="BA4280" s="5"/>
      <c r="BB4280" s="5"/>
      <c r="BC4280" s="5"/>
      <c r="BD4280" s="5"/>
      <c r="BE4280" s="5"/>
      <c r="BF4280" s="5"/>
      <c r="BG4280" s="5"/>
      <c r="BH4280" s="5"/>
      <c r="BI4280" s="5"/>
      <c r="BJ4280" s="5"/>
      <c r="BK4280" s="5"/>
      <c r="BL4280" s="5"/>
      <c r="BM4280" s="5"/>
      <c r="BN4280" s="5"/>
      <c r="BO4280" s="5"/>
      <c r="BP4280" s="5"/>
      <c r="BQ4280" s="5"/>
      <c r="BR4280" s="5"/>
      <c r="BS4280" s="5"/>
      <c r="BT4280" s="5"/>
      <c r="BU4280" s="5"/>
      <c r="BV4280" s="5"/>
      <c r="BW4280" s="5"/>
      <c r="BX4280" s="5"/>
      <c r="BY4280" s="5"/>
      <c r="BZ4280" s="5"/>
      <c r="CA4280" s="5"/>
    </row>
    <row r="4281" spans="1:79" s="400" customFormat="1" ht="15" customHeight="1">
      <c r="A4281" s="41" t="s">
        <v>183</v>
      </c>
      <c r="B4281" s="402" t="s">
        <v>6386</v>
      </c>
      <c r="C4281" s="113" t="s">
        <v>6386</v>
      </c>
      <c r="D4281" s="393" t="s">
        <v>89</v>
      </c>
      <c r="E4281" s="394" t="s">
        <v>6387</v>
      </c>
      <c r="F4281" s="402">
        <v>6600</v>
      </c>
      <c r="G4281" s="405" t="s">
        <v>6388</v>
      </c>
      <c r="H4281" s="404"/>
      <c r="I4281" s="402" t="s">
        <v>1</v>
      </c>
      <c r="J4281" s="406" t="s">
        <v>5397</v>
      </c>
      <c r="K4281" s="403">
        <v>41579</v>
      </c>
      <c r="L4281" s="398">
        <v>41554</v>
      </c>
      <c r="M4281" s="402">
        <f t="shared" ref="M4281:M4284" si="256">K4281-L4281</f>
        <v>25</v>
      </c>
      <c r="N4281" s="402" t="s">
        <v>2</v>
      </c>
      <c r="O4281" s="404">
        <f>0.5/2</f>
        <v>0.25</v>
      </c>
      <c r="P4281" s="402">
        <v>6.4</v>
      </c>
      <c r="Q4281" s="404">
        <v>6.5</v>
      </c>
      <c r="R4281" s="402">
        <v>13</v>
      </c>
      <c r="S4281" s="404">
        <v>20</v>
      </c>
      <c r="T4281" s="402">
        <v>0.05</v>
      </c>
      <c r="U4281" s="395">
        <v>0.11</v>
      </c>
      <c r="V4281" s="402">
        <v>0.17</v>
      </c>
      <c r="W4281" s="404">
        <v>0.04</v>
      </c>
      <c r="X4281" s="402">
        <v>0.21</v>
      </c>
      <c r="Y4281" s="404">
        <v>5.0000000000000001E-3</v>
      </c>
      <c r="Z4281" s="397"/>
      <c r="AA4281" s="399"/>
      <c r="AB4281" s="394"/>
      <c r="AC4281" s="402"/>
      <c r="AD4281" s="399"/>
      <c r="AE4281" s="402"/>
      <c r="AF4281" s="391"/>
      <c r="AG4281" s="394"/>
      <c r="AH4281" s="394"/>
      <c r="AI4281" s="394"/>
      <c r="AJ4281" s="394"/>
      <c r="AK4281" s="394"/>
      <c r="AL4281" s="394"/>
      <c r="AM4281" s="394"/>
      <c r="AN4281" s="394"/>
      <c r="AO4281" s="394"/>
      <c r="AP4281" s="394"/>
      <c r="AQ4281" s="394"/>
      <c r="AR4281" s="394"/>
      <c r="AS4281" s="402"/>
      <c r="AT4281" s="404"/>
      <c r="AU4281" s="394"/>
      <c r="AV4281" s="394"/>
      <c r="AW4281" s="394"/>
      <c r="AX4281" s="5"/>
      <c r="AY4281" s="5"/>
      <c r="AZ4281" s="5"/>
      <c r="BA4281" s="5"/>
      <c r="BB4281" s="5"/>
      <c r="BC4281" s="5"/>
      <c r="BD4281" s="5"/>
      <c r="BE4281" s="5"/>
      <c r="BF4281" s="5"/>
      <c r="BG4281" s="5"/>
      <c r="BH4281" s="5"/>
      <c r="BI4281" s="5"/>
      <c r="BJ4281" s="5"/>
      <c r="BK4281" s="5"/>
      <c r="BL4281" s="5"/>
      <c r="BM4281" s="5"/>
      <c r="BN4281" s="5"/>
      <c r="BO4281" s="5"/>
      <c r="BP4281" s="5"/>
      <c r="BQ4281" s="5"/>
      <c r="BR4281" s="5"/>
      <c r="BS4281" s="5"/>
      <c r="BT4281" s="5"/>
      <c r="BU4281" s="5"/>
      <c r="BV4281" s="5"/>
      <c r="BW4281" s="5"/>
      <c r="BX4281" s="5"/>
      <c r="BY4281" s="5"/>
      <c r="BZ4281" s="5"/>
      <c r="CA4281" s="5"/>
    </row>
    <row r="4282" spans="1:79" s="400" customFormat="1" ht="15" customHeight="1">
      <c r="A4282" s="41" t="s">
        <v>183</v>
      </c>
      <c r="B4282" s="402" t="s">
        <v>2144</v>
      </c>
      <c r="C4282" s="113" t="s">
        <v>2145</v>
      </c>
      <c r="D4282" s="393" t="s">
        <v>1217</v>
      </c>
      <c r="E4282" s="394" t="s">
        <v>2112</v>
      </c>
      <c r="F4282" s="402" t="s">
        <v>1051</v>
      </c>
      <c r="G4282" s="405" t="s">
        <v>2504</v>
      </c>
      <c r="H4282" s="404">
        <v>9711</v>
      </c>
      <c r="I4282" s="402" t="s">
        <v>2</v>
      </c>
      <c r="J4282" s="406" t="s">
        <v>4707</v>
      </c>
      <c r="K4282" s="403">
        <v>41579</v>
      </c>
      <c r="L4282" s="398">
        <v>41554</v>
      </c>
      <c r="M4282" s="402">
        <f t="shared" si="256"/>
        <v>25</v>
      </c>
      <c r="N4282" s="402" t="s">
        <v>2</v>
      </c>
      <c r="O4282" s="404">
        <v>0.7</v>
      </c>
      <c r="P4282" s="402">
        <v>5.6</v>
      </c>
      <c r="Q4282" s="404">
        <v>5.99</v>
      </c>
      <c r="R4282" s="402">
        <v>19</v>
      </c>
      <c r="S4282" s="404">
        <v>21</v>
      </c>
      <c r="T4282" s="402">
        <v>0.09</v>
      </c>
      <c r="U4282" s="395">
        <v>0.67</v>
      </c>
      <c r="V4282" s="402">
        <v>0.65</v>
      </c>
      <c r="W4282" s="404">
        <v>4.2999999999999997E-2</v>
      </c>
      <c r="X4282" s="402">
        <v>0.51900000000000002</v>
      </c>
      <c r="Y4282" s="404">
        <v>4.0000000000000001E-3</v>
      </c>
      <c r="Z4282" s="397"/>
      <c r="AA4282" s="399"/>
      <c r="AB4282" s="394"/>
      <c r="AC4282" s="402"/>
      <c r="AD4282" s="399"/>
      <c r="AE4282" s="402"/>
      <c r="AF4282" s="391"/>
      <c r="AG4282" s="394"/>
      <c r="AH4282" s="394"/>
      <c r="AI4282" s="394"/>
      <c r="AJ4282" s="394"/>
      <c r="AK4282" s="394"/>
      <c r="AL4282" s="394"/>
      <c r="AM4282" s="394"/>
      <c r="AN4282" s="394"/>
      <c r="AO4282" s="394"/>
      <c r="AP4282" s="394"/>
      <c r="AQ4282" s="394"/>
      <c r="AR4282" s="394"/>
      <c r="AS4282" s="402"/>
      <c r="AT4282" s="404"/>
      <c r="AU4282" s="394"/>
      <c r="AV4282" s="394"/>
      <c r="AW4282" s="394"/>
      <c r="AX4282" s="5"/>
      <c r="AY4282" s="5"/>
      <c r="AZ4282" s="5"/>
      <c r="BA4282" s="5"/>
      <c r="BB4282" s="5"/>
      <c r="BC4282" s="5"/>
      <c r="BD4282" s="5"/>
      <c r="BE4282" s="5"/>
      <c r="BF4282" s="5"/>
      <c r="BG4282" s="5"/>
      <c r="BH4282" s="5"/>
      <c r="BI4282" s="5"/>
      <c r="BJ4282" s="5"/>
      <c r="BK4282" s="5"/>
      <c r="BL4282" s="5"/>
      <c r="BM4282" s="5"/>
      <c r="BN4282" s="5"/>
      <c r="BO4282" s="5"/>
      <c r="BP4282" s="5"/>
      <c r="BQ4282" s="5"/>
      <c r="BR4282" s="5"/>
      <c r="BS4282" s="5"/>
      <c r="BT4282" s="5"/>
      <c r="BU4282" s="5"/>
      <c r="BV4282" s="5"/>
      <c r="BW4282" s="5"/>
      <c r="BX4282" s="5"/>
      <c r="BY4282" s="5"/>
      <c r="BZ4282" s="5"/>
      <c r="CA4282" s="5"/>
    </row>
    <row r="4283" spans="1:79" s="400" customFormat="1" ht="15" customHeight="1">
      <c r="A4283" s="41" t="s">
        <v>183</v>
      </c>
      <c r="B4283" s="402" t="s">
        <v>2144</v>
      </c>
      <c r="C4283" s="113" t="s">
        <v>2145</v>
      </c>
      <c r="D4283" s="393" t="s">
        <v>1217</v>
      </c>
      <c r="E4283" s="394" t="s">
        <v>2112</v>
      </c>
      <c r="F4283" s="402" t="s">
        <v>1051</v>
      </c>
      <c r="G4283" s="405" t="s">
        <v>2504</v>
      </c>
      <c r="H4283" s="404">
        <v>9711</v>
      </c>
      <c r="I4283" s="402" t="s">
        <v>2</v>
      </c>
      <c r="J4283" s="406" t="s">
        <v>6466</v>
      </c>
      <c r="K4283" s="403">
        <v>41579</v>
      </c>
      <c r="L4283" s="398">
        <v>41554</v>
      </c>
      <c r="M4283" s="402">
        <f t="shared" si="256"/>
        <v>25</v>
      </c>
      <c r="N4283" s="402" t="s">
        <v>2</v>
      </c>
      <c r="O4283" s="404">
        <v>1.6</v>
      </c>
      <c r="P4283" s="402">
        <v>5.6</v>
      </c>
      <c r="Q4283" s="404">
        <v>7.23</v>
      </c>
      <c r="R4283" s="402">
        <v>15</v>
      </c>
      <c r="S4283" s="404">
        <v>28</v>
      </c>
      <c r="T4283" s="402">
        <v>0.1</v>
      </c>
      <c r="U4283" s="395">
        <v>0.77</v>
      </c>
      <c r="V4283" s="402">
        <v>0.27</v>
      </c>
      <c r="W4283" s="404">
        <v>8.9999999999999993E-3</v>
      </c>
      <c r="X4283" s="402">
        <v>6.0999999999999999E-2</v>
      </c>
      <c r="Y4283" s="404">
        <v>1.4E-2</v>
      </c>
      <c r="Z4283" s="397"/>
      <c r="AA4283" s="399"/>
      <c r="AB4283" s="394"/>
      <c r="AC4283" s="402"/>
      <c r="AD4283" s="399"/>
      <c r="AE4283" s="402"/>
      <c r="AF4283" s="391"/>
      <c r="AG4283" s="394"/>
      <c r="AH4283" s="394"/>
      <c r="AI4283" s="394"/>
      <c r="AJ4283" s="394"/>
      <c r="AK4283" s="394"/>
      <c r="AL4283" s="394"/>
      <c r="AM4283" s="394"/>
      <c r="AN4283" s="394"/>
      <c r="AO4283" s="394"/>
      <c r="AP4283" s="394"/>
      <c r="AQ4283" s="394"/>
      <c r="AR4283" s="394"/>
      <c r="AS4283" s="402"/>
      <c r="AT4283" s="404"/>
      <c r="AU4283" s="394"/>
      <c r="AV4283" s="394"/>
      <c r="AW4283" s="394"/>
      <c r="AX4283" s="5"/>
      <c r="AY4283" s="5"/>
      <c r="AZ4283" s="5"/>
      <c r="BA4283" s="5"/>
      <c r="BB4283" s="5"/>
      <c r="BC4283" s="5"/>
      <c r="BD4283" s="5"/>
      <c r="BE4283" s="5"/>
      <c r="BF4283" s="5"/>
      <c r="BG4283" s="5"/>
      <c r="BH4283" s="5"/>
      <c r="BI4283" s="5"/>
      <c r="BJ4283" s="5"/>
      <c r="BK4283" s="5"/>
      <c r="BL4283" s="5"/>
      <c r="BM4283" s="5"/>
      <c r="BN4283" s="5"/>
      <c r="BO4283" s="5"/>
      <c r="BP4283" s="5"/>
      <c r="BQ4283" s="5"/>
      <c r="BR4283" s="5"/>
      <c r="BS4283" s="5"/>
      <c r="BT4283" s="5"/>
      <c r="BU4283" s="5"/>
      <c r="BV4283" s="5"/>
      <c r="BW4283" s="5"/>
      <c r="BX4283" s="5"/>
      <c r="BY4283" s="5"/>
      <c r="BZ4283" s="5"/>
      <c r="CA4283" s="5"/>
    </row>
    <row r="4284" spans="1:79" s="400" customFormat="1" ht="15" customHeight="1">
      <c r="A4284" s="41" t="s">
        <v>183</v>
      </c>
      <c r="B4284" s="402" t="s">
        <v>2144</v>
      </c>
      <c r="C4284" s="113" t="s">
        <v>2145</v>
      </c>
      <c r="D4284" s="393" t="s">
        <v>1217</v>
      </c>
      <c r="E4284" s="394" t="s">
        <v>2112</v>
      </c>
      <c r="F4284" s="402" t="s">
        <v>1051</v>
      </c>
      <c r="G4284" s="405" t="s">
        <v>2504</v>
      </c>
      <c r="H4284" s="404">
        <v>9711</v>
      </c>
      <c r="I4284" s="402" t="s">
        <v>2</v>
      </c>
      <c r="J4284" s="406" t="s">
        <v>4708</v>
      </c>
      <c r="K4284" s="403">
        <v>41579</v>
      </c>
      <c r="L4284" s="398">
        <v>41554</v>
      </c>
      <c r="M4284" s="402">
        <f t="shared" si="256"/>
        <v>25</v>
      </c>
      <c r="N4284" s="402" t="s">
        <v>2</v>
      </c>
      <c r="O4284" s="404">
        <v>0.7</v>
      </c>
      <c r="P4284" s="402">
        <v>5.6</v>
      </c>
      <c r="Q4284" s="404">
        <v>7.07</v>
      </c>
      <c r="R4284" s="402">
        <v>5</v>
      </c>
      <c r="S4284" s="404">
        <v>5.5</v>
      </c>
      <c r="T4284" s="402">
        <v>0.08</v>
      </c>
      <c r="U4284" s="395">
        <v>0.33</v>
      </c>
      <c r="V4284" s="402">
        <v>0.09</v>
      </c>
      <c r="W4284" s="404">
        <v>2.5000000000000001E-3</v>
      </c>
      <c r="X4284" s="402">
        <v>8.9999999999999993E-3</v>
      </c>
      <c r="Y4284" s="404">
        <v>1E-3</v>
      </c>
      <c r="Z4284" s="397"/>
      <c r="AA4284" s="399"/>
      <c r="AB4284" s="394"/>
      <c r="AC4284" s="402"/>
      <c r="AD4284" s="399"/>
      <c r="AE4284" s="402"/>
      <c r="AF4284" s="391"/>
      <c r="AG4284" s="394"/>
      <c r="AH4284" s="394"/>
      <c r="AI4284" s="394"/>
      <c r="AJ4284" s="394"/>
      <c r="AK4284" s="394"/>
      <c r="AL4284" s="394"/>
      <c r="AM4284" s="394"/>
      <c r="AN4284" s="394"/>
      <c r="AO4284" s="394"/>
      <c r="AP4284" s="394"/>
      <c r="AQ4284" s="394"/>
      <c r="AR4284" s="394"/>
      <c r="AS4284" s="402"/>
      <c r="AT4284" s="404"/>
      <c r="AU4284" s="394"/>
      <c r="AV4284" s="394"/>
      <c r="AW4284" s="394"/>
      <c r="AX4284" s="5"/>
      <c r="AY4284" s="5"/>
      <c r="AZ4284" s="5"/>
      <c r="BA4284" s="5"/>
      <c r="BB4284" s="5"/>
      <c r="BC4284" s="5"/>
      <c r="BD4284" s="5"/>
      <c r="BE4284" s="5"/>
      <c r="BF4284" s="5"/>
      <c r="BG4284" s="5"/>
      <c r="BH4284" s="5"/>
      <c r="BI4284" s="5"/>
      <c r="BJ4284" s="5"/>
      <c r="BK4284" s="5"/>
      <c r="BL4284" s="5"/>
      <c r="BM4284" s="5"/>
      <c r="BN4284" s="5"/>
      <c r="BO4284" s="5"/>
      <c r="BP4284" s="5"/>
      <c r="BQ4284" s="5"/>
      <c r="BR4284" s="5"/>
      <c r="BS4284" s="5"/>
      <c r="BT4284" s="5"/>
      <c r="BU4284" s="5"/>
      <c r="BV4284" s="5"/>
      <c r="BW4284" s="5"/>
      <c r="BX4284" s="5"/>
      <c r="BY4284" s="5"/>
      <c r="BZ4284" s="5"/>
      <c r="CA4284" s="5"/>
    </row>
    <row r="4285" spans="1:79" ht="15" customHeight="1">
      <c r="A4285" s="404" t="s">
        <v>4668</v>
      </c>
      <c r="B4285" s="402" t="s">
        <v>5825</v>
      </c>
      <c r="C4285" s="113" t="s">
        <v>5826</v>
      </c>
      <c r="D4285" s="393" t="s">
        <v>41</v>
      </c>
      <c r="E4285" s="394" t="s">
        <v>1933</v>
      </c>
      <c r="F4285" s="402" t="s">
        <v>6467</v>
      </c>
      <c r="G4285" s="405" t="s">
        <v>1934</v>
      </c>
      <c r="H4285" s="404">
        <v>2051</v>
      </c>
      <c r="I4285" s="402" t="s">
        <v>2</v>
      </c>
      <c r="J4285" s="404" t="s">
        <v>5827</v>
      </c>
      <c r="K4285" s="403">
        <v>41364</v>
      </c>
      <c r="L4285" s="398">
        <v>41353</v>
      </c>
      <c r="M4285" s="402">
        <f t="shared" ref="M4285:M4317" si="257">K4285-L4285</f>
        <v>11</v>
      </c>
      <c r="N4285" s="402" t="s">
        <v>2</v>
      </c>
      <c r="O4285" s="404">
        <f>1/2</f>
        <v>0.5</v>
      </c>
      <c r="P4285" s="402">
        <v>6.28</v>
      </c>
      <c r="Q4285" s="404">
        <v>7.04</v>
      </c>
      <c r="R4285" s="402">
        <v>28.9</v>
      </c>
      <c r="S4285" s="404">
        <v>5</v>
      </c>
      <c r="T4285" s="402">
        <v>0.09</v>
      </c>
      <c r="U4285" s="395">
        <f>0.1/2</f>
        <v>0.05</v>
      </c>
      <c r="V4285" s="402">
        <v>0.37</v>
      </c>
      <c r="W4285" s="404">
        <v>1.7000000000000001E-2</v>
      </c>
      <c r="X4285" s="402">
        <v>5.3999999999999999E-2</v>
      </c>
      <c r="Y4285" s="404">
        <v>1.0999999999999999E-2</v>
      </c>
      <c r="Z4285" s="397"/>
      <c r="AA4285" s="399"/>
      <c r="AB4285" s="394"/>
      <c r="AC4285" s="402"/>
      <c r="AD4285" s="399"/>
      <c r="AE4285" s="402"/>
      <c r="AF4285" s="391"/>
      <c r="AG4285" s="394"/>
      <c r="AH4285" s="394"/>
      <c r="AI4285" s="394"/>
      <c r="AJ4285" s="394"/>
      <c r="AK4285" s="394"/>
      <c r="AL4285" s="394"/>
      <c r="AM4285" s="394"/>
      <c r="AN4285" s="394"/>
      <c r="AO4285" s="394"/>
      <c r="AP4285" s="394"/>
      <c r="AQ4285" s="394"/>
      <c r="AR4285" s="394"/>
      <c r="AS4285" s="402"/>
      <c r="AT4285" s="404"/>
      <c r="AU4285" s="394"/>
      <c r="AV4285" s="394"/>
    </row>
    <row r="4286" spans="1:79" ht="15" customHeight="1">
      <c r="A4286" s="404" t="s">
        <v>4668</v>
      </c>
      <c r="B4286" s="402" t="s">
        <v>1910</v>
      </c>
      <c r="C4286" s="113" t="s">
        <v>3965</v>
      </c>
      <c r="D4286" s="388" t="s">
        <v>2377</v>
      </c>
      <c r="E4286" s="394" t="s">
        <v>1486</v>
      </c>
      <c r="G4286" s="405" t="s">
        <v>2262</v>
      </c>
      <c r="H4286" s="404">
        <v>4151</v>
      </c>
      <c r="I4286" s="402" t="s">
        <v>2</v>
      </c>
      <c r="J4286" s="406" t="s">
        <v>1786</v>
      </c>
      <c r="K4286" s="403">
        <v>41585</v>
      </c>
      <c r="L4286" s="398">
        <v>41554</v>
      </c>
      <c r="M4286" s="402">
        <f t="shared" si="257"/>
        <v>31</v>
      </c>
      <c r="N4286" s="402" t="s">
        <v>2</v>
      </c>
      <c r="O4286" s="404">
        <v>2</v>
      </c>
      <c r="P4286" s="402">
        <v>6.61</v>
      </c>
      <c r="Q4286" s="404">
        <v>7.39</v>
      </c>
      <c r="R4286" s="402">
        <v>50</v>
      </c>
      <c r="S4286" s="404">
        <v>160</v>
      </c>
      <c r="T4286" s="402">
        <v>0.3</v>
      </c>
      <c r="U4286" s="395">
        <v>0.87</v>
      </c>
      <c r="V4286" s="402">
        <v>0.33</v>
      </c>
      <c r="W4286" s="404">
        <v>8.5999999999999993E-2</v>
      </c>
      <c r="X4286" s="402">
        <v>0.108</v>
      </c>
      <c r="Y4286" s="404">
        <v>6.0000000000000001E-3</v>
      </c>
      <c r="Z4286" s="397"/>
      <c r="AA4286" s="399"/>
      <c r="AB4286" s="394"/>
      <c r="AC4286" s="402"/>
      <c r="AD4286" s="399"/>
      <c r="AE4286" s="402"/>
      <c r="AF4286" s="391"/>
      <c r="AG4286" s="394"/>
      <c r="AH4286" s="394"/>
      <c r="AI4286" s="394"/>
      <c r="AJ4286" s="394"/>
      <c r="AK4286" s="394"/>
      <c r="AL4286" s="394"/>
      <c r="AM4286" s="394"/>
      <c r="AN4286" s="394"/>
      <c r="AO4286" s="394"/>
      <c r="AP4286" s="394"/>
      <c r="AQ4286" s="394"/>
      <c r="AR4286" s="394"/>
      <c r="AS4286" s="402"/>
      <c r="AT4286" s="404"/>
      <c r="AU4286" s="394"/>
      <c r="AV4286" s="394"/>
    </row>
    <row r="4287" spans="1:79" ht="15" customHeight="1">
      <c r="A4287" s="404" t="s">
        <v>4668</v>
      </c>
      <c r="B4287" s="402" t="s">
        <v>3685</v>
      </c>
      <c r="C4287" s="113" t="s">
        <v>3689</v>
      </c>
      <c r="D4287" s="393" t="s">
        <v>1505</v>
      </c>
      <c r="F4287" s="401" t="s">
        <v>3687</v>
      </c>
      <c r="G4287" s="405" t="s">
        <v>3690</v>
      </c>
      <c r="H4287" s="404">
        <v>4214</v>
      </c>
      <c r="I4287" s="402" t="s">
        <v>2</v>
      </c>
      <c r="J4287" s="406" t="s">
        <v>510</v>
      </c>
      <c r="K4287" s="403">
        <v>41710</v>
      </c>
      <c r="L4287" s="398">
        <v>41691</v>
      </c>
      <c r="M4287" s="402">
        <f t="shared" si="257"/>
        <v>19</v>
      </c>
      <c r="N4287" s="402" t="s">
        <v>2</v>
      </c>
      <c r="O4287" s="404">
        <v>1.7</v>
      </c>
      <c r="P4287" s="402">
        <v>6.5</v>
      </c>
      <c r="Q4287" s="404">
        <v>7.45</v>
      </c>
      <c r="R4287" s="402">
        <v>55</v>
      </c>
      <c r="S4287" s="404">
        <v>40</v>
      </c>
      <c r="T4287" s="402">
        <v>0.19</v>
      </c>
      <c r="U4287" s="395">
        <v>1.51</v>
      </c>
      <c r="V4287" s="402">
        <v>0.37</v>
      </c>
      <c r="W4287" s="404">
        <v>1.6E-2</v>
      </c>
      <c r="X4287" s="402">
        <v>0.16800000000000001</v>
      </c>
      <c r="Y4287" s="404">
        <v>8.9999999999999993E-3</v>
      </c>
      <c r="Z4287" s="397"/>
      <c r="AA4287" s="399"/>
      <c r="AB4287" s="394"/>
      <c r="AC4287" s="402"/>
      <c r="AD4287" s="399"/>
      <c r="AE4287" s="402"/>
      <c r="AF4287" s="391"/>
      <c r="AG4287" s="394"/>
      <c r="AH4287" s="394"/>
      <c r="AI4287" s="394"/>
      <c r="AJ4287" s="394"/>
      <c r="AK4287" s="394"/>
      <c r="AL4287" s="394"/>
      <c r="AM4287" s="394"/>
      <c r="AN4287" s="394"/>
      <c r="AO4287" s="394"/>
      <c r="AP4287" s="394"/>
      <c r="AQ4287" s="394"/>
      <c r="AR4287" s="394"/>
      <c r="AS4287" s="402"/>
      <c r="AT4287" s="404"/>
      <c r="AU4287" s="394"/>
      <c r="AV4287" s="394"/>
    </row>
    <row r="4288" spans="1:79" ht="15" customHeight="1">
      <c r="A4288" s="404" t="s">
        <v>4668</v>
      </c>
      <c r="B4288" s="402" t="s">
        <v>6468</v>
      </c>
      <c r="C4288" s="113" t="s">
        <v>6468</v>
      </c>
      <c r="D4288" s="393" t="s">
        <v>1217</v>
      </c>
      <c r="F4288" s="402" t="s">
        <v>1051</v>
      </c>
      <c r="G4288" s="405" t="s">
        <v>6469</v>
      </c>
      <c r="H4288" s="404">
        <v>3724</v>
      </c>
      <c r="I4288" s="402" t="s">
        <v>2</v>
      </c>
      <c r="J4288" s="406" t="s">
        <v>1053</v>
      </c>
      <c r="K4288" s="403">
        <v>41600</v>
      </c>
      <c r="L4288" s="398">
        <v>41596</v>
      </c>
      <c r="M4288" s="402">
        <f t="shared" si="257"/>
        <v>4</v>
      </c>
      <c r="N4288" s="402" t="s">
        <v>2</v>
      </c>
      <c r="O4288" s="404">
        <v>9.4</v>
      </c>
      <c r="P4288" s="402">
        <v>5.5</v>
      </c>
      <c r="Q4288" s="404">
        <v>6.7</v>
      </c>
      <c r="R4288" s="402">
        <v>23</v>
      </c>
      <c r="S4288" s="404">
        <v>6.2</v>
      </c>
      <c r="T4288" s="402">
        <v>5.0999999999999997E-2</v>
      </c>
      <c r="U4288" s="395">
        <v>1.1000000000000001</v>
      </c>
      <c r="V4288" s="402">
        <v>0.7</v>
      </c>
      <c r="W4288" s="404">
        <v>5.0000000000000001E-3</v>
      </c>
      <c r="X4288" s="402">
        <v>4.8000000000000001E-2</v>
      </c>
      <c r="Y4288" s="404">
        <f>0.005/2</f>
        <v>2.5000000000000001E-3</v>
      </c>
      <c r="Z4288" s="397">
        <v>1</v>
      </c>
      <c r="AA4288" s="399">
        <v>1</v>
      </c>
      <c r="AB4288" s="394">
        <v>26</v>
      </c>
      <c r="AC4288" s="402">
        <v>105</v>
      </c>
      <c r="AD4288" s="399">
        <v>0.85</v>
      </c>
      <c r="AE4288" s="402"/>
      <c r="AF4288" s="391"/>
      <c r="AG4288" s="394"/>
      <c r="AH4288" s="394"/>
      <c r="AI4288" s="394"/>
      <c r="AJ4288" s="394"/>
      <c r="AK4288" s="394"/>
      <c r="AL4288" s="394"/>
      <c r="AM4288" s="394"/>
      <c r="AN4288" s="394"/>
      <c r="AO4288" s="394"/>
      <c r="AP4288" s="394"/>
      <c r="AQ4288" s="394"/>
      <c r="AR4288" s="394"/>
      <c r="AS4288" s="402"/>
      <c r="AT4288" s="404"/>
      <c r="AU4288" s="394"/>
      <c r="AV4288" s="394"/>
    </row>
    <row r="4289" spans="1:48" ht="15" customHeight="1">
      <c r="A4289" s="404" t="s">
        <v>4668</v>
      </c>
      <c r="B4289" s="402" t="s">
        <v>4881</v>
      </c>
      <c r="C4289" s="113" t="s">
        <v>4886</v>
      </c>
      <c r="D4289" s="393" t="s">
        <v>133</v>
      </c>
      <c r="E4289" s="394" t="s">
        <v>1546</v>
      </c>
      <c r="F4289" s="402">
        <v>4005</v>
      </c>
      <c r="G4289" s="405" t="s">
        <v>4887</v>
      </c>
      <c r="H4289" s="404">
        <v>4952</v>
      </c>
      <c r="I4289" s="402" t="s">
        <v>2</v>
      </c>
      <c r="J4289" s="406" t="s">
        <v>96</v>
      </c>
      <c r="K4289" s="403">
        <v>41717</v>
      </c>
      <c r="L4289" s="398">
        <v>41710</v>
      </c>
      <c r="M4289" s="402">
        <f t="shared" si="257"/>
        <v>7</v>
      </c>
      <c r="N4289" s="402" t="s">
        <v>2</v>
      </c>
      <c r="O4289" s="404">
        <f>1.6/2</f>
        <v>0.8</v>
      </c>
      <c r="P4289" s="402">
        <v>5.8</v>
      </c>
      <c r="Q4289" s="404">
        <v>6.7</v>
      </c>
      <c r="R4289" s="402">
        <f>20/2</f>
        <v>10</v>
      </c>
      <c r="S4289" s="404">
        <v>10.6</v>
      </c>
      <c r="T4289" s="402">
        <v>4.2000000000000003E-2</v>
      </c>
      <c r="U4289" s="395">
        <f>1.6/2</f>
        <v>0.8</v>
      </c>
      <c r="V4289" s="402">
        <v>1.03</v>
      </c>
      <c r="W4289" s="404">
        <f>0.005/2</f>
        <v>2.5000000000000001E-3</v>
      </c>
      <c r="X4289" s="402">
        <v>6.0999999999999999E-2</v>
      </c>
      <c r="Y4289" s="404">
        <f>0.005/2</f>
        <v>2.5000000000000001E-3</v>
      </c>
      <c r="Z4289" s="397"/>
      <c r="AA4289" s="399"/>
      <c r="AB4289" s="394"/>
      <c r="AC4289" s="402"/>
      <c r="AD4289" s="399"/>
      <c r="AE4289" s="402"/>
      <c r="AF4289" s="391"/>
      <c r="AG4289" s="394"/>
      <c r="AH4289" s="394"/>
      <c r="AI4289" s="394"/>
      <c r="AJ4289" s="394"/>
      <c r="AK4289" s="394"/>
      <c r="AL4289" s="394"/>
      <c r="AM4289" s="394"/>
      <c r="AN4289" s="394"/>
      <c r="AO4289" s="394"/>
      <c r="AP4289" s="394"/>
      <c r="AQ4289" s="394"/>
      <c r="AR4289" s="394"/>
      <c r="AS4289" s="402"/>
      <c r="AT4289" s="404"/>
      <c r="AU4289" s="394"/>
      <c r="AV4289" s="394"/>
    </row>
    <row r="4290" spans="1:48" ht="15" customHeight="1">
      <c r="A4290" s="404" t="s">
        <v>4668</v>
      </c>
      <c r="B4290" s="402" t="s">
        <v>4881</v>
      </c>
      <c r="C4290" s="113" t="s">
        <v>4886</v>
      </c>
      <c r="D4290" s="393" t="s">
        <v>133</v>
      </c>
      <c r="E4290" s="394" t="s">
        <v>1546</v>
      </c>
      <c r="F4290" s="402">
        <v>4005</v>
      </c>
      <c r="G4290" s="405" t="s">
        <v>4887</v>
      </c>
      <c r="H4290" s="404">
        <v>4952</v>
      </c>
      <c r="I4290" s="402" t="s">
        <v>2</v>
      </c>
      <c r="J4290" s="406" t="s">
        <v>254</v>
      </c>
      <c r="K4290" s="403">
        <v>41717</v>
      </c>
      <c r="L4290" s="398">
        <v>41710</v>
      </c>
      <c r="M4290" s="402">
        <f t="shared" si="257"/>
        <v>7</v>
      </c>
      <c r="N4290" s="402" t="s">
        <v>2</v>
      </c>
      <c r="O4290" s="404">
        <v>2.8</v>
      </c>
      <c r="P4290" s="402">
        <v>5.88</v>
      </c>
      <c r="Q4290" s="404">
        <v>7.9</v>
      </c>
      <c r="R4290" s="402">
        <v>45</v>
      </c>
      <c r="S4290" s="404">
        <v>89</v>
      </c>
      <c r="T4290" s="402">
        <v>0.47799999999999998</v>
      </c>
      <c r="U4290" s="395">
        <f>1.6/2</f>
        <v>0.8</v>
      </c>
      <c r="V4290" s="402">
        <v>0.51</v>
      </c>
      <c r="W4290" s="404">
        <v>2.8000000000000001E-2</v>
      </c>
      <c r="X4290" s="402">
        <v>8.4000000000000005E-2</v>
      </c>
      <c r="Y4290" s="404">
        <f>0.005/2</f>
        <v>2.5000000000000001E-3</v>
      </c>
      <c r="Z4290" s="397"/>
      <c r="AA4290" s="399"/>
      <c r="AB4290" s="394"/>
      <c r="AC4290" s="402"/>
      <c r="AD4290" s="399"/>
      <c r="AE4290" s="402"/>
      <c r="AF4290" s="391"/>
      <c r="AG4290" s="394"/>
      <c r="AH4290" s="394"/>
      <c r="AI4290" s="394"/>
      <c r="AJ4290" s="394"/>
      <c r="AK4290" s="394"/>
      <c r="AL4290" s="394"/>
      <c r="AM4290" s="394"/>
      <c r="AN4290" s="394"/>
      <c r="AO4290" s="394"/>
      <c r="AP4290" s="394"/>
      <c r="AQ4290" s="394"/>
      <c r="AR4290" s="394"/>
      <c r="AS4290" s="402"/>
      <c r="AT4290" s="404"/>
      <c r="AU4290" s="394"/>
      <c r="AV4290" s="394"/>
    </row>
    <row r="4291" spans="1:48" ht="15" customHeight="1">
      <c r="A4291" s="404" t="s">
        <v>4668</v>
      </c>
      <c r="B4291" s="402" t="s">
        <v>4881</v>
      </c>
      <c r="C4291" s="113" t="s">
        <v>4886</v>
      </c>
      <c r="D4291" s="393" t="s">
        <v>133</v>
      </c>
      <c r="E4291" s="394" t="s">
        <v>1546</v>
      </c>
      <c r="F4291" s="402">
        <v>4005</v>
      </c>
      <c r="G4291" s="405" t="s">
        <v>4887</v>
      </c>
      <c r="H4291" s="404">
        <v>4952</v>
      </c>
      <c r="I4291" s="402" t="s">
        <v>2</v>
      </c>
      <c r="J4291" s="406" t="s">
        <v>1867</v>
      </c>
      <c r="K4291" s="403">
        <v>41717</v>
      </c>
      <c r="L4291" s="398">
        <v>41710</v>
      </c>
      <c r="M4291" s="402">
        <f t="shared" si="257"/>
        <v>7</v>
      </c>
      <c r="N4291" s="402" t="s">
        <v>2</v>
      </c>
      <c r="O4291" s="404">
        <v>2.4</v>
      </c>
      <c r="P4291" s="402">
        <v>5.8</v>
      </c>
      <c r="Q4291" s="404">
        <v>6.9</v>
      </c>
      <c r="R4291" s="402">
        <f>20/2</f>
        <v>10</v>
      </c>
      <c r="S4291" s="404">
        <v>9.6</v>
      </c>
      <c r="T4291" s="402">
        <v>0.17100000000000001</v>
      </c>
      <c r="U4291" s="395">
        <v>1.7</v>
      </c>
      <c r="V4291" s="402">
        <v>0.73</v>
      </c>
      <c r="W4291" s="404">
        <f>0.005/2</f>
        <v>2.5000000000000001E-3</v>
      </c>
      <c r="X4291" s="402">
        <f>0.024/2</f>
        <v>1.2E-2</v>
      </c>
      <c r="Y4291" s="404">
        <f>0.005/2</f>
        <v>2.5000000000000001E-3</v>
      </c>
      <c r="Z4291" s="397"/>
      <c r="AA4291" s="399"/>
      <c r="AB4291" s="394"/>
      <c r="AC4291" s="402"/>
      <c r="AD4291" s="399"/>
      <c r="AE4291" s="402"/>
      <c r="AF4291" s="391"/>
      <c r="AG4291" s="394"/>
      <c r="AH4291" s="394"/>
      <c r="AI4291" s="394"/>
      <c r="AJ4291" s="394"/>
      <c r="AK4291" s="394"/>
      <c r="AL4291" s="394"/>
      <c r="AM4291" s="394"/>
      <c r="AN4291" s="394"/>
      <c r="AO4291" s="394"/>
      <c r="AP4291" s="394"/>
      <c r="AQ4291" s="394"/>
      <c r="AR4291" s="394"/>
      <c r="AS4291" s="402"/>
      <c r="AT4291" s="404"/>
      <c r="AU4291" s="394"/>
      <c r="AV4291" s="394"/>
    </row>
    <row r="4292" spans="1:48" ht="15" customHeight="1">
      <c r="A4292" s="404" t="s">
        <v>4668</v>
      </c>
      <c r="B4292" s="386" t="s">
        <v>362</v>
      </c>
      <c r="C4292" s="149" t="s">
        <v>363</v>
      </c>
      <c r="D4292" s="392" t="s">
        <v>205</v>
      </c>
      <c r="E4292" s="258" t="s">
        <v>364</v>
      </c>
      <c r="G4292" s="405" t="s">
        <v>365</v>
      </c>
      <c r="H4292" s="404">
        <v>4952</v>
      </c>
      <c r="I4292" s="402" t="s">
        <v>2</v>
      </c>
      <c r="J4292" s="406" t="s">
        <v>255</v>
      </c>
      <c r="K4292" s="403">
        <v>41744</v>
      </c>
      <c r="L4292" s="398">
        <v>41740</v>
      </c>
      <c r="M4292" s="402">
        <f t="shared" si="257"/>
        <v>4</v>
      </c>
      <c r="N4292" s="402" t="s">
        <v>2</v>
      </c>
      <c r="O4292" s="404"/>
      <c r="P4292" s="402">
        <v>5.8</v>
      </c>
      <c r="Q4292" s="404"/>
      <c r="R4292" s="402"/>
      <c r="S4292" s="404">
        <v>31.2</v>
      </c>
      <c r="T4292" s="402"/>
      <c r="U4292" s="395"/>
      <c r="V4292" s="402">
        <v>1.47</v>
      </c>
      <c r="W4292" s="404"/>
      <c r="X4292" s="402"/>
      <c r="Y4292" s="404"/>
      <c r="Z4292" s="397"/>
      <c r="AA4292" s="399"/>
      <c r="AB4292" s="394"/>
      <c r="AC4292" s="402"/>
      <c r="AD4292" s="399"/>
      <c r="AE4292" s="402"/>
      <c r="AF4292" s="391"/>
      <c r="AG4292" s="394"/>
      <c r="AH4292" s="394"/>
      <c r="AI4292" s="394"/>
      <c r="AJ4292" s="394"/>
      <c r="AK4292" s="394"/>
      <c r="AL4292" s="394"/>
      <c r="AM4292" s="394"/>
      <c r="AN4292" s="394"/>
      <c r="AO4292" s="394"/>
      <c r="AP4292" s="394"/>
      <c r="AQ4292" s="394"/>
      <c r="AR4292" s="394"/>
      <c r="AS4292" s="402"/>
      <c r="AT4292" s="404"/>
      <c r="AU4292" s="394"/>
      <c r="AV4292" s="394"/>
    </row>
    <row r="4293" spans="1:48" ht="15" customHeight="1">
      <c r="A4293" s="404" t="s">
        <v>4668</v>
      </c>
      <c r="B4293" s="402" t="s">
        <v>4881</v>
      </c>
      <c r="C4293" s="113" t="s">
        <v>4588</v>
      </c>
      <c r="D4293" s="393" t="s">
        <v>910</v>
      </c>
      <c r="E4293" s="394" t="s">
        <v>1546</v>
      </c>
      <c r="F4293" s="402">
        <v>4010</v>
      </c>
      <c r="G4293" s="405" t="s">
        <v>4589</v>
      </c>
      <c r="H4293" s="404">
        <v>4952</v>
      </c>
      <c r="I4293" s="402" t="s">
        <v>2</v>
      </c>
      <c r="J4293" s="406" t="s">
        <v>366</v>
      </c>
      <c r="K4293" s="403">
        <v>41718</v>
      </c>
      <c r="L4293" s="398">
        <v>41710</v>
      </c>
      <c r="M4293" s="402">
        <f t="shared" si="257"/>
        <v>8</v>
      </c>
      <c r="N4293" s="402" t="s">
        <v>2</v>
      </c>
      <c r="O4293" s="404">
        <f>1.8/2</f>
        <v>0.9</v>
      </c>
      <c r="P4293" s="402">
        <v>5.8</v>
      </c>
      <c r="Q4293" s="404">
        <v>7.8</v>
      </c>
      <c r="R4293" s="402">
        <v>24</v>
      </c>
      <c r="S4293" s="404">
        <v>37</v>
      </c>
      <c r="T4293" s="402">
        <v>0.222</v>
      </c>
      <c r="U4293" s="395">
        <f>1.6/2</f>
        <v>0.8</v>
      </c>
      <c r="V4293" s="402">
        <v>0.93</v>
      </c>
      <c r="W4293" s="404">
        <f>0.005/2</f>
        <v>2.5000000000000001E-3</v>
      </c>
      <c r="X4293" s="402">
        <v>2.3E-2</v>
      </c>
      <c r="Y4293" s="404">
        <f>0.005/2</f>
        <v>2.5000000000000001E-3</v>
      </c>
      <c r="Z4293" s="397"/>
      <c r="AA4293" s="399"/>
      <c r="AB4293" s="394"/>
      <c r="AC4293" s="402"/>
      <c r="AD4293" s="399"/>
      <c r="AE4293" s="402"/>
      <c r="AF4293" s="391"/>
      <c r="AG4293" s="394"/>
      <c r="AH4293" s="394"/>
      <c r="AI4293" s="394"/>
      <c r="AJ4293" s="394"/>
      <c r="AK4293" s="394"/>
      <c r="AL4293" s="394"/>
      <c r="AM4293" s="394"/>
      <c r="AN4293" s="394"/>
      <c r="AO4293" s="394"/>
      <c r="AP4293" s="394"/>
      <c r="AQ4293" s="394"/>
      <c r="AR4293" s="394"/>
      <c r="AS4293" s="402"/>
      <c r="AT4293" s="404"/>
      <c r="AU4293" s="394"/>
      <c r="AV4293" s="394"/>
    </row>
    <row r="4294" spans="1:48" ht="15" customHeight="1">
      <c r="A4294" s="404" t="s">
        <v>4668</v>
      </c>
      <c r="B4294" s="402" t="s">
        <v>4881</v>
      </c>
      <c r="C4294" s="113" t="s">
        <v>4417</v>
      </c>
      <c r="D4294" s="393" t="s">
        <v>133</v>
      </c>
      <c r="E4294" s="394" t="s">
        <v>467</v>
      </c>
      <c r="G4294" s="405" t="s">
        <v>4418</v>
      </c>
      <c r="H4294" s="404">
        <v>4952</v>
      </c>
      <c r="I4294" s="402" t="s">
        <v>2</v>
      </c>
      <c r="J4294" s="406" t="s">
        <v>255</v>
      </c>
      <c r="K4294" s="403">
        <v>41717</v>
      </c>
      <c r="L4294" s="398">
        <v>41710</v>
      </c>
      <c r="M4294" s="402">
        <f t="shared" si="257"/>
        <v>7</v>
      </c>
      <c r="N4294" s="402" t="s">
        <v>2</v>
      </c>
      <c r="O4294" s="404"/>
      <c r="P4294" s="402"/>
      <c r="Q4294" s="404"/>
      <c r="R4294" s="402">
        <v>220</v>
      </c>
      <c r="S4294" s="404">
        <v>360</v>
      </c>
      <c r="T4294" s="402"/>
      <c r="U4294" s="395"/>
      <c r="V4294" s="402"/>
      <c r="W4294" s="404"/>
      <c r="X4294" s="402"/>
      <c r="Y4294" s="404"/>
      <c r="Z4294" s="397"/>
      <c r="AA4294" s="399"/>
      <c r="AB4294" s="394"/>
      <c r="AC4294" s="402"/>
      <c r="AD4294" s="399"/>
      <c r="AE4294" s="402"/>
      <c r="AF4294" s="391"/>
      <c r="AG4294" s="394"/>
      <c r="AH4294" s="394"/>
      <c r="AI4294" s="394"/>
      <c r="AJ4294" s="394"/>
      <c r="AK4294" s="394"/>
      <c r="AL4294" s="394"/>
      <c r="AM4294" s="394"/>
      <c r="AN4294" s="394"/>
      <c r="AO4294" s="394"/>
      <c r="AP4294" s="394"/>
      <c r="AQ4294" s="394"/>
      <c r="AR4294" s="394"/>
      <c r="AS4294" s="402"/>
      <c r="AT4294" s="404"/>
      <c r="AU4294" s="394"/>
      <c r="AV4294" s="394"/>
    </row>
    <row r="4295" spans="1:48" ht="15" customHeight="1">
      <c r="A4295" s="404" t="s">
        <v>4668</v>
      </c>
      <c r="B4295" s="386" t="s">
        <v>349</v>
      </c>
      <c r="C4295" s="149" t="s">
        <v>349</v>
      </c>
      <c r="D4295" s="392" t="s">
        <v>350</v>
      </c>
      <c r="E4295" s="394" t="s">
        <v>1546</v>
      </c>
      <c r="F4295" s="402" t="s">
        <v>2541</v>
      </c>
      <c r="G4295" s="405" t="s">
        <v>966</v>
      </c>
      <c r="H4295" s="404">
        <v>3724</v>
      </c>
      <c r="I4295" s="402" t="s">
        <v>2</v>
      </c>
      <c r="J4295" s="392" t="s">
        <v>5075</v>
      </c>
      <c r="K4295" s="403">
        <v>41710</v>
      </c>
      <c r="L4295" s="398">
        <v>41691</v>
      </c>
      <c r="M4295" s="402">
        <f t="shared" si="257"/>
        <v>19</v>
      </c>
      <c r="N4295" s="402" t="s">
        <v>1</v>
      </c>
      <c r="O4295" s="404"/>
      <c r="P4295" s="402"/>
      <c r="Q4295" s="404"/>
      <c r="R4295" s="402"/>
      <c r="S4295" s="404"/>
      <c r="T4295" s="402"/>
      <c r="U4295" s="395"/>
      <c r="V4295" s="402">
        <f>0.1/2</f>
        <v>0.05</v>
      </c>
      <c r="W4295" s="404"/>
      <c r="X4295" s="402"/>
      <c r="Y4295" s="404"/>
      <c r="Z4295" s="397"/>
      <c r="AA4295" s="399"/>
      <c r="AB4295" s="394"/>
      <c r="AC4295" s="402"/>
      <c r="AD4295" s="399"/>
      <c r="AE4295" s="402"/>
      <c r="AF4295" s="391"/>
      <c r="AG4295" s="394"/>
      <c r="AH4295" s="394"/>
      <c r="AI4295" s="394"/>
      <c r="AJ4295" s="394"/>
      <c r="AK4295" s="394"/>
      <c r="AL4295" s="394"/>
      <c r="AM4295" s="394"/>
      <c r="AN4295" s="394"/>
      <c r="AO4295" s="394"/>
      <c r="AP4295" s="394"/>
      <c r="AQ4295" s="394"/>
      <c r="AR4295" s="394"/>
      <c r="AS4295" s="402"/>
      <c r="AT4295" s="404"/>
      <c r="AU4295" s="394"/>
      <c r="AV4295" s="394"/>
    </row>
    <row r="4296" spans="1:48" ht="15" customHeight="1">
      <c r="A4296" s="404" t="s">
        <v>4668</v>
      </c>
      <c r="B4296" s="385" t="s">
        <v>4348</v>
      </c>
      <c r="C4296" s="18" t="s">
        <v>4349</v>
      </c>
      <c r="D4296" s="377" t="s">
        <v>379</v>
      </c>
      <c r="E4296" s="20" t="s">
        <v>214</v>
      </c>
      <c r="F4296" s="385">
        <v>4315</v>
      </c>
      <c r="G4296" s="405" t="s">
        <v>4350</v>
      </c>
      <c r="H4296" s="404">
        <v>2653</v>
      </c>
      <c r="I4296" s="402" t="s">
        <v>1</v>
      </c>
      <c r="J4296" s="406" t="s">
        <v>4351</v>
      </c>
      <c r="K4296" s="403">
        <v>41691</v>
      </c>
      <c r="L4296" s="398">
        <v>41683</v>
      </c>
      <c r="M4296" s="402">
        <f t="shared" si="257"/>
        <v>8</v>
      </c>
      <c r="N4296" s="402" t="s">
        <v>1</v>
      </c>
      <c r="O4296" s="404"/>
      <c r="P4296" s="402"/>
      <c r="Q4296" s="404"/>
      <c r="R4296" s="402">
        <v>450</v>
      </c>
      <c r="S4296" s="404"/>
      <c r="T4296" s="402"/>
      <c r="U4296" s="395"/>
      <c r="V4296" s="402"/>
      <c r="W4296" s="404"/>
      <c r="X4296" s="402"/>
      <c r="Y4296" s="404"/>
      <c r="Z4296" s="397"/>
      <c r="AA4296" s="399"/>
      <c r="AB4296" s="394"/>
      <c r="AC4296" s="402"/>
      <c r="AD4296" s="399"/>
      <c r="AE4296" s="402"/>
      <c r="AF4296" s="391"/>
      <c r="AG4296" s="394"/>
      <c r="AH4296" s="394"/>
      <c r="AI4296" s="394"/>
      <c r="AJ4296" s="394"/>
      <c r="AK4296" s="394"/>
      <c r="AL4296" s="394"/>
      <c r="AM4296" s="394"/>
      <c r="AN4296" s="394"/>
      <c r="AO4296" s="394"/>
      <c r="AP4296" s="394"/>
      <c r="AQ4296" s="394"/>
      <c r="AR4296" s="394"/>
      <c r="AS4296" s="402"/>
      <c r="AT4296" s="404"/>
      <c r="AU4296" s="394"/>
      <c r="AV4296" s="394"/>
    </row>
    <row r="4297" spans="1:48" ht="15" customHeight="1">
      <c r="A4297" s="404" t="s">
        <v>4668</v>
      </c>
      <c r="B4297" s="402" t="s">
        <v>1068</v>
      </c>
      <c r="C4297" s="113" t="s">
        <v>1068</v>
      </c>
      <c r="D4297" s="393" t="s">
        <v>111</v>
      </c>
      <c r="E4297" s="394" t="s">
        <v>5373</v>
      </c>
      <c r="F4297" s="402" t="s">
        <v>1069</v>
      </c>
      <c r="G4297" s="405" t="s">
        <v>1070</v>
      </c>
      <c r="H4297" s="404">
        <v>3357</v>
      </c>
      <c r="I4297" s="402" t="s">
        <v>2</v>
      </c>
      <c r="J4297" s="406" t="s">
        <v>700</v>
      </c>
      <c r="K4297" s="403">
        <v>41751</v>
      </c>
      <c r="L4297" s="398">
        <v>41741</v>
      </c>
      <c r="M4297" s="402">
        <f t="shared" si="257"/>
        <v>10</v>
      </c>
      <c r="N4297" s="402" t="s">
        <v>2</v>
      </c>
      <c r="O4297" s="404"/>
      <c r="P4297" s="402"/>
      <c r="Q4297" s="404"/>
      <c r="R4297" s="402"/>
      <c r="S4297" s="404"/>
      <c r="T4297" s="402"/>
      <c r="U4297" s="395">
        <v>1.8</v>
      </c>
      <c r="V4297" s="402"/>
      <c r="W4297" s="404"/>
      <c r="X4297" s="402">
        <v>5.0999999999999997E-2</v>
      </c>
      <c r="Y4297" s="404"/>
      <c r="Z4297" s="397"/>
      <c r="AA4297" s="399"/>
      <c r="AB4297" s="394"/>
      <c r="AC4297" s="402"/>
      <c r="AD4297" s="399"/>
      <c r="AE4297" s="402"/>
      <c r="AF4297" s="391"/>
      <c r="AG4297" s="394"/>
      <c r="AH4297" s="394"/>
      <c r="AI4297" s="394"/>
      <c r="AJ4297" s="394"/>
      <c r="AK4297" s="394"/>
      <c r="AL4297" s="394"/>
      <c r="AM4297" s="394"/>
      <c r="AN4297" s="394"/>
      <c r="AO4297" s="394"/>
      <c r="AP4297" s="394"/>
      <c r="AQ4297" s="394"/>
      <c r="AR4297" s="394"/>
      <c r="AS4297" s="402"/>
      <c r="AT4297" s="404"/>
      <c r="AU4297" s="394"/>
      <c r="AV4297" s="394"/>
    </row>
    <row r="4298" spans="1:48" ht="15" customHeight="1">
      <c r="A4298" s="404" t="s">
        <v>4668</v>
      </c>
      <c r="B4298" s="402" t="s">
        <v>1408</v>
      </c>
      <c r="C4298" s="113" t="s">
        <v>1408</v>
      </c>
      <c r="D4298" s="393" t="s">
        <v>347</v>
      </c>
      <c r="E4298" s="394" t="s">
        <v>5393</v>
      </c>
      <c r="G4298" s="405" t="s">
        <v>6470</v>
      </c>
      <c r="H4298" s="404">
        <v>3351</v>
      </c>
      <c r="I4298" s="402" t="s">
        <v>2</v>
      </c>
      <c r="J4298" s="406" t="s">
        <v>249</v>
      </c>
      <c r="K4298" s="403">
        <v>41710</v>
      </c>
      <c r="L4298" s="398">
        <v>41691</v>
      </c>
      <c r="M4298" s="402">
        <f t="shared" si="257"/>
        <v>19</v>
      </c>
      <c r="N4298" s="402" t="s">
        <v>2</v>
      </c>
      <c r="O4298" s="404"/>
      <c r="P4298" s="402"/>
      <c r="Q4298" s="404"/>
      <c r="R4298" s="402"/>
      <c r="S4298" s="404"/>
      <c r="T4298" s="402"/>
      <c r="U4298" s="395"/>
      <c r="V4298" s="402">
        <v>0.86</v>
      </c>
      <c r="W4298" s="404">
        <v>0.28999999999999998</v>
      </c>
      <c r="X4298" s="402">
        <v>0.11899999999999999</v>
      </c>
      <c r="Y4298" s="404"/>
      <c r="Z4298" s="397"/>
      <c r="AA4298" s="399"/>
      <c r="AB4298" s="394"/>
      <c r="AC4298" s="402"/>
      <c r="AD4298" s="399"/>
      <c r="AE4298" s="402"/>
      <c r="AF4298" s="391"/>
      <c r="AG4298" s="394"/>
      <c r="AH4298" s="394"/>
      <c r="AI4298" s="394"/>
      <c r="AJ4298" s="394"/>
      <c r="AK4298" s="394"/>
      <c r="AL4298" s="394"/>
      <c r="AM4298" s="394"/>
      <c r="AN4298" s="394"/>
      <c r="AO4298" s="394"/>
      <c r="AP4298" s="394"/>
      <c r="AQ4298" s="394"/>
      <c r="AR4298" s="394"/>
      <c r="AS4298" s="402"/>
      <c r="AT4298" s="404"/>
      <c r="AU4298" s="394"/>
      <c r="AV4298" s="394"/>
    </row>
    <row r="4299" spans="1:48" ht="15" customHeight="1">
      <c r="A4299" s="404" t="s">
        <v>4668</v>
      </c>
      <c r="B4299" s="402" t="s">
        <v>4714</v>
      </c>
      <c r="C4299" s="113" t="s">
        <v>4714</v>
      </c>
      <c r="D4299" s="393" t="s">
        <v>1881</v>
      </c>
      <c r="E4299" s="394" t="s">
        <v>4715</v>
      </c>
      <c r="F4299" s="402">
        <v>4004</v>
      </c>
      <c r="G4299" s="405" t="s">
        <v>4716</v>
      </c>
      <c r="H4299" s="404">
        <v>3443</v>
      </c>
      <c r="I4299" s="402" t="s">
        <v>2</v>
      </c>
      <c r="J4299" s="406" t="s">
        <v>4717</v>
      </c>
      <c r="K4299" s="403">
        <v>41710</v>
      </c>
      <c r="L4299" s="398">
        <v>41691</v>
      </c>
      <c r="M4299" s="402">
        <f t="shared" si="257"/>
        <v>19</v>
      </c>
      <c r="N4299" s="402" t="s">
        <v>2</v>
      </c>
      <c r="O4299" s="404">
        <f>5/2</f>
        <v>2.5</v>
      </c>
      <c r="P4299" s="402">
        <v>6.81</v>
      </c>
      <c r="Q4299" s="404">
        <v>6.96</v>
      </c>
      <c r="R4299" s="402">
        <v>11</v>
      </c>
      <c r="S4299" s="404">
        <v>50</v>
      </c>
      <c r="T4299" s="402">
        <f>0.1/2</f>
        <v>0.05</v>
      </c>
      <c r="U4299" s="395">
        <v>1.36</v>
      </c>
      <c r="V4299" s="402">
        <v>1.93</v>
      </c>
      <c r="W4299" s="404">
        <v>1.4999999999999999E-2</v>
      </c>
      <c r="X4299" s="402">
        <v>9.4E-2</v>
      </c>
      <c r="Y4299" s="404">
        <f>0.01/2</f>
        <v>5.0000000000000001E-3</v>
      </c>
      <c r="Z4299" s="397">
        <v>1</v>
      </c>
      <c r="AA4299" s="399">
        <v>1</v>
      </c>
      <c r="AB4299" s="394">
        <v>150</v>
      </c>
      <c r="AC4299" s="402">
        <v>1005</v>
      </c>
      <c r="AD4299" s="399">
        <v>1</v>
      </c>
      <c r="AE4299" s="402"/>
      <c r="AF4299" s="391"/>
      <c r="AG4299" s="394"/>
      <c r="AH4299" s="394"/>
      <c r="AI4299" s="394"/>
      <c r="AJ4299" s="394"/>
      <c r="AK4299" s="394"/>
      <c r="AL4299" s="394"/>
      <c r="AM4299" s="394"/>
      <c r="AN4299" s="394"/>
      <c r="AO4299" s="394"/>
      <c r="AP4299" s="394"/>
      <c r="AQ4299" s="394"/>
      <c r="AR4299" s="394"/>
      <c r="AS4299" s="402"/>
      <c r="AT4299" s="404"/>
      <c r="AU4299" s="394"/>
      <c r="AV4299" s="394"/>
    </row>
    <row r="4300" spans="1:48" ht="15" customHeight="1">
      <c r="A4300" s="404" t="s">
        <v>4668</v>
      </c>
      <c r="B4300" s="402" t="s">
        <v>5149</v>
      </c>
      <c r="C4300" s="113" t="s">
        <v>5149</v>
      </c>
      <c r="D4300" s="393" t="s">
        <v>1484</v>
      </c>
      <c r="E4300" s="423" t="s">
        <v>5165</v>
      </c>
      <c r="F4300" s="402">
        <v>6915</v>
      </c>
      <c r="G4300" s="405" t="s">
        <v>5150</v>
      </c>
      <c r="H4300" s="404"/>
      <c r="I4300" s="402"/>
      <c r="J4300" s="406" t="s">
        <v>5165</v>
      </c>
      <c r="K4300" s="403">
        <v>41759</v>
      </c>
      <c r="L4300" s="398">
        <v>41755</v>
      </c>
      <c r="M4300" s="402">
        <f t="shared" si="257"/>
        <v>4</v>
      </c>
      <c r="N4300" s="402" t="s">
        <v>2</v>
      </c>
      <c r="O4300" s="404">
        <v>5.0999999999999996</v>
      </c>
      <c r="P4300" s="402">
        <v>5.92</v>
      </c>
      <c r="Q4300" s="404">
        <v>6.54</v>
      </c>
      <c r="R4300" s="402">
        <v>47.6</v>
      </c>
      <c r="S4300" s="404">
        <v>72</v>
      </c>
      <c r="T4300" s="402">
        <v>0.23</v>
      </c>
      <c r="U4300" s="395">
        <v>1.63</v>
      </c>
      <c r="V4300" s="402">
        <v>0.22</v>
      </c>
      <c r="W4300" s="404">
        <v>0.05</v>
      </c>
      <c r="X4300" s="402">
        <v>0.36</v>
      </c>
      <c r="Y4300" s="404">
        <f>0.02/2</f>
        <v>0.01</v>
      </c>
      <c r="Z4300" s="397"/>
      <c r="AA4300" s="399"/>
      <c r="AB4300" s="394"/>
      <c r="AC4300" s="402"/>
      <c r="AD4300" s="399"/>
      <c r="AE4300" s="402"/>
      <c r="AF4300" s="391"/>
      <c r="AG4300" s="394"/>
      <c r="AH4300" s="394"/>
      <c r="AI4300" s="394"/>
      <c r="AJ4300" s="394"/>
      <c r="AK4300" s="394"/>
      <c r="AL4300" s="394"/>
      <c r="AM4300" s="394"/>
      <c r="AN4300" s="394"/>
      <c r="AO4300" s="394"/>
      <c r="AP4300" s="394"/>
      <c r="AQ4300" s="394"/>
      <c r="AR4300" s="394"/>
      <c r="AS4300" s="402"/>
      <c r="AT4300" s="404"/>
      <c r="AU4300" s="394"/>
      <c r="AV4300" s="394"/>
    </row>
    <row r="4301" spans="1:48" ht="15" customHeight="1">
      <c r="A4301" s="404" t="s">
        <v>4668</v>
      </c>
      <c r="B4301" s="402" t="s">
        <v>5149</v>
      </c>
      <c r="C4301" s="113" t="s">
        <v>5149</v>
      </c>
      <c r="D4301" s="393" t="s">
        <v>1484</v>
      </c>
      <c r="E4301" s="394" t="s">
        <v>5685</v>
      </c>
      <c r="F4301" s="402">
        <v>6915</v>
      </c>
      <c r="G4301" s="405" t="s">
        <v>5150</v>
      </c>
      <c r="H4301" s="404"/>
      <c r="I4301" s="402"/>
      <c r="J4301" s="406" t="s">
        <v>5164</v>
      </c>
      <c r="K4301" s="403">
        <v>41759</v>
      </c>
      <c r="L4301" s="398">
        <v>41755</v>
      </c>
      <c r="M4301" s="402">
        <f t="shared" si="257"/>
        <v>4</v>
      </c>
      <c r="N4301" s="402" t="s">
        <v>2</v>
      </c>
      <c r="O4301" s="404">
        <f>1/2</f>
        <v>0.5</v>
      </c>
      <c r="P4301" s="402">
        <v>5.66</v>
      </c>
      <c r="Q4301" s="404">
        <v>5.86</v>
      </c>
      <c r="R4301" s="402">
        <v>31</v>
      </c>
      <c r="S4301" s="404">
        <v>72</v>
      </c>
      <c r="T4301" s="402">
        <v>0.32</v>
      </c>
      <c r="U4301" s="395">
        <v>1.89</v>
      </c>
      <c r="V4301" s="402">
        <f>0.2/2</f>
        <v>0.1</v>
      </c>
      <c r="W4301" s="404">
        <v>0.02</v>
      </c>
      <c r="X4301" s="402">
        <v>0.06</v>
      </c>
      <c r="Y4301" s="404">
        <f>0.02/2</f>
        <v>0.01</v>
      </c>
      <c r="Z4301" s="397"/>
      <c r="AA4301" s="399"/>
      <c r="AB4301" s="394"/>
      <c r="AC4301" s="402"/>
      <c r="AD4301" s="399"/>
      <c r="AE4301" s="402"/>
      <c r="AF4301" s="391"/>
      <c r="AG4301" s="394"/>
      <c r="AH4301" s="394"/>
      <c r="AI4301" s="394"/>
      <c r="AJ4301" s="394"/>
      <c r="AK4301" s="394"/>
      <c r="AL4301" s="394"/>
      <c r="AM4301" s="394"/>
      <c r="AN4301" s="394"/>
      <c r="AO4301" s="394"/>
      <c r="AP4301" s="394"/>
      <c r="AQ4301" s="394"/>
      <c r="AR4301" s="394"/>
      <c r="AS4301" s="402"/>
      <c r="AT4301" s="404"/>
      <c r="AU4301" s="394"/>
      <c r="AV4301" s="394"/>
    </row>
    <row r="4302" spans="1:48" ht="15" customHeight="1">
      <c r="A4302" s="404" t="s">
        <v>4668</v>
      </c>
      <c r="B4302" s="402" t="s">
        <v>1890</v>
      </c>
      <c r="C4302" s="113" t="s">
        <v>1890</v>
      </c>
      <c r="D4302" s="393" t="s">
        <v>111</v>
      </c>
      <c r="E4302" s="394" t="s">
        <v>112</v>
      </c>
      <c r="F4302" s="402">
        <v>5200</v>
      </c>
      <c r="G4302" s="405" t="s">
        <v>6471</v>
      </c>
      <c r="H4302" s="404">
        <v>3547</v>
      </c>
      <c r="I4302" s="402" t="s">
        <v>1</v>
      </c>
      <c r="J4302" s="406" t="s">
        <v>255</v>
      </c>
      <c r="K4302" s="403">
        <v>41710</v>
      </c>
      <c r="L4302" s="398">
        <v>41692</v>
      </c>
      <c r="M4302" s="402">
        <f t="shared" si="257"/>
        <v>18</v>
      </c>
      <c r="N4302" s="402" t="s">
        <v>2</v>
      </c>
      <c r="O4302" s="404"/>
      <c r="P4302" s="402"/>
      <c r="Q4302" s="404"/>
      <c r="R4302" s="402">
        <v>213</v>
      </c>
      <c r="S4302" s="404">
        <v>218</v>
      </c>
      <c r="T4302" s="402"/>
      <c r="U4302" s="395">
        <v>2</v>
      </c>
      <c r="V4302" s="402"/>
      <c r="W4302" s="404"/>
      <c r="X4302" s="402">
        <v>0.154</v>
      </c>
      <c r="Y4302" s="404"/>
      <c r="Z4302" s="397"/>
      <c r="AA4302" s="399"/>
      <c r="AB4302" s="394"/>
      <c r="AC4302" s="402"/>
      <c r="AD4302" s="399"/>
      <c r="AE4302" s="402">
        <v>1248</v>
      </c>
      <c r="AF4302" s="391"/>
      <c r="AG4302" s="394"/>
      <c r="AH4302" s="394"/>
      <c r="AI4302" s="394"/>
      <c r="AJ4302" s="394"/>
      <c r="AK4302" s="394"/>
      <c r="AL4302" s="394"/>
      <c r="AM4302" s="394"/>
      <c r="AN4302" s="394"/>
      <c r="AO4302" s="394"/>
      <c r="AP4302" s="394"/>
      <c r="AQ4302" s="394"/>
      <c r="AR4302" s="394"/>
      <c r="AS4302" s="402"/>
      <c r="AT4302" s="404"/>
      <c r="AU4302" s="394"/>
      <c r="AV4302" s="394"/>
    </row>
    <row r="4303" spans="1:48" ht="15" customHeight="1">
      <c r="A4303" s="404" t="s">
        <v>4668</v>
      </c>
      <c r="B4303" s="402" t="s">
        <v>3245</v>
      </c>
      <c r="C4303" s="113" t="s">
        <v>3245</v>
      </c>
      <c r="D4303" s="393" t="s">
        <v>314</v>
      </c>
      <c r="E4303" s="394" t="s">
        <v>3096</v>
      </c>
      <c r="F4303" s="402">
        <v>4500</v>
      </c>
      <c r="G4303" s="405" t="s">
        <v>3097</v>
      </c>
      <c r="H4303" s="404">
        <v>3544</v>
      </c>
      <c r="I4303" s="402" t="s">
        <v>2</v>
      </c>
      <c r="J4303" s="401" t="s">
        <v>510</v>
      </c>
      <c r="K4303" s="403">
        <v>41751</v>
      </c>
      <c r="L4303" s="398">
        <v>41744</v>
      </c>
      <c r="M4303" s="402">
        <f t="shared" si="257"/>
        <v>7</v>
      </c>
      <c r="N4303" s="402" t="s">
        <v>2</v>
      </c>
      <c r="O4303" s="404"/>
      <c r="P4303" s="402"/>
      <c r="Q4303" s="404"/>
      <c r="R4303" s="402"/>
      <c r="S4303" s="404"/>
      <c r="T4303" s="402"/>
      <c r="U4303" s="395">
        <v>2.88</v>
      </c>
      <c r="V4303" s="402"/>
      <c r="W4303" s="404"/>
      <c r="X4303" s="402">
        <v>0.70499999999999996</v>
      </c>
      <c r="Y4303" s="404"/>
      <c r="Z4303" s="397"/>
      <c r="AA4303" s="399"/>
      <c r="AB4303" s="394"/>
      <c r="AC4303" s="402"/>
      <c r="AD4303" s="399"/>
      <c r="AE4303" s="402"/>
      <c r="AF4303" s="391"/>
      <c r="AG4303" s="394"/>
      <c r="AH4303" s="394"/>
      <c r="AI4303" s="394"/>
      <c r="AJ4303" s="394"/>
      <c r="AK4303" s="394"/>
      <c r="AL4303" s="394"/>
      <c r="AM4303" s="394"/>
      <c r="AN4303" s="394"/>
      <c r="AO4303" s="394"/>
      <c r="AP4303" s="394"/>
      <c r="AQ4303" s="394"/>
      <c r="AR4303" s="394"/>
      <c r="AS4303" s="402"/>
      <c r="AT4303" s="404"/>
      <c r="AU4303" s="394"/>
      <c r="AV4303" s="394"/>
    </row>
    <row r="4304" spans="1:48" ht="15" customHeight="1">
      <c r="A4304" s="404" t="s">
        <v>4668</v>
      </c>
      <c r="B4304" s="402" t="s">
        <v>5071</v>
      </c>
      <c r="D4304" s="393" t="s">
        <v>372</v>
      </c>
      <c r="E4304" s="394" t="s">
        <v>2224</v>
      </c>
      <c r="F4304" s="402" t="s">
        <v>2225</v>
      </c>
      <c r="G4304" s="405" t="s">
        <v>5072</v>
      </c>
      <c r="H4304" s="404">
        <v>2842</v>
      </c>
      <c r="I4304" s="402" t="s">
        <v>2</v>
      </c>
      <c r="J4304" s="406" t="s">
        <v>1125</v>
      </c>
      <c r="K4304" s="403">
        <v>41689</v>
      </c>
      <c r="L4304" s="398">
        <v>41683</v>
      </c>
      <c r="M4304" s="402">
        <f t="shared" si="257"/>
        <v>6</v>
      </c>
      <c r="N4304" s="402" t="s">
        <v>2</v>
      </c>
      <c r="O4304" s="404">
        <f>2/2</f>
        <v>1</v>
      </c>
      <c r="P4304" s="402"/>
      <c r="Q4304" s="404">
        <v>7.2</v>
      </c>
      <c r="R4304" s="402">
        <v>530</v>
      </c>
      <c r="S4304" s="404">
        <v>7890</v>
      </c>
      <c r="T4304" s="402">
        <v>6.77</v>
      </c>
      <c r="U4304" s="395">
        <v>4.21</v>
      </c>
      <c r="V4304" s="402">
        <v>0.78</v>
      </c>
      <c r="W4304" s="404">
        <v>0.27900000000000003</v>
      </c>
      <c r="X4304" s="402">
        <v>0.57699999999999996</v>
      </c>
      <c r="Y4304" s="404">
        <v>8.3000000000000004E-2</v>
      </c>
      <c r="Z4304" s="397">
        <v>0.55600000000000005</v>
      </c>
      <c r="AA4304" s="399">
        <v>0.35399999999999998</v>
      </c>
      <c r="AB4304" s="394">
        <v>339</v>
      </c>
      <c r="AC4304" s="402">
        <v>7250</v>
      </c>
      <c r="AD4304" s="399">
        <v>0</v>
      </c>
      <c r="AE4304" s="402"/>
      <c r="AF4304" s="391"/>
      <c r="AG4304" s="394"/>
      <c r="AH4304" s="394"/>
      <c r="AI4304" s="394"/>
      <c r="AJ4304" s="394"/>
      <c r="AK4304" s="394"/>
      <c r="AL4304" s="394"/>
      <c r="AM4304" s="394"/>
      <c r="AN4304" s="394"/>
      <c r="AO4304" s="394"/>
      <c r="AP4304" s="394"/>
      <c r="AQ4304" s="394"/>
      <c r="AR4304" s="394"/>
      <c r="AS4304" s="402"/>
      <c r="AT4304" s="404"/>
      <c r="AU4304" s="394"/>
      <c r="AV4304" s="394"/>
    </row>
    <row r="4305" spans="1:48" ht="15" customHeight="1">
      <c r="A4305" s="404" t="s">
        <v>4668</v>
      </c>
      <c r="B4305" s="402" t="s">
        <v>2150</v>
      </c>
      <c r="C4305" s="113" t="s">
        <v>2151</v>
      </c>
      <c r="D4305" s="393" t="s">
        <v>1896</v>
      </c>
      <c r="E4305" s="394" t="s">
        <v>664</v>
      </c>
      <c r="F4305" s="402" t="s">
        <v>6472</v>
      </c>
      <c r="G4305" s="405" t="s">
        <v>3617</v>
      </c>
      <c r="H4305" s="404">
        <v>4311</v>
      </c>
      <c r="I4305" s="402" t="s">
        <v>2</v>
      </c>
      <c r="J4305" s="401" t="s">
        <v>255</v>
      </c>
      <c r="K4305" s="403">
        <v>41710</v>
      </c>
      <c r="L4305" s="398">
        <v>41691</v>
      </c>
      <c r="M4305" s="402">
        <f t="shared" si="257"/>
        <v>19</v>
      </c>
      <c r="N4305" s="402" t="s">
        <v>2</v>
      </c>
      <c r="O4305" s="404"/>
      <c r="P4305" s="402"/>
      <c r="Q4305" s="404"/>
      <c r="R4305" s="402"/>
      <c r="S4305" s="404"/>
      <c r="T4305" s="402"/>
      <c r="U4305" s="395"/>
      <c r="V4305" s="402">
        <v>0.65</v>
      </c>
      <c r="W4305" s="404"/>
      <c r="X4305" s="402"/>
      <c r="Y4305" s="404"/>
      <c r="Z4305" s="397"/>
      <c r="AA4305" s="399"/>
      <c r="AB4305" s="394"/>
      <c r="AC4305" s="402"/>
      <c r="AD4305" s="399"/>
      <c r="AE4305" s="402"/>
      <c r="AF4305" s="391"/>
      <c r="AG4305" s="394"/>
      <c r="AH4305" s="394"/>
      <c r="AI4305" s="394"/>
      <c r="AJ4305" s="394"/>
      <c r="AK4305" s="394"/>
      <c r="AL4305" s="394"/>
      <c r="AM4305" s="394"/>
      <c r="AN4305" s="394"/>
      <c r="AO4305" s="394"/>
      <c r="AP4305" s="394"/>
      <c r="AQ4305" s="394"/>
      <c r="AR4305" s="394"/>
      <c r="AS4305" s="402"/>
      <c r="AT4305" s="404"/>
      <c r="AU4305" s="394"/>
      <c r="AV4305" s="394"/>
    </row>
    <row r="4306" spans="1:48" ht="15" customHeight="1">
      <c r="A4306" s="404" t="s">
        <v>4668</v>
      </c>
      <c r="B4306" s="402" t="s">
        <v>5610</v>
      </c>
      <c r="C4306" s="113" t="s">
        <v>5610</v>
      </c>
      <c r="D4306" s="393" t="s">
        <v>350</v>
      </c>
      <c r="E4306" s="394" t="s">
        <v>838</v>
      </c>
      <c r="F4306" s="402" t="s">
        <v>6241</v>
      </c>
      <c r="G4306" s="405" t="s">
        <v>5612</v>
      </c>
      <c r="H4306" s="391">
        <v>3441</v>
      </c>
      <c r="I4306" s="402" t="s">
        <v>2</v>
      </c>
      <c r="J4306" s="406" t="s">
        <v>6242</v>
      </c>
      <c r="K4306" s="403">
        <v>41727</v>
      </c>
      <c r="L4306" s="398">
        <v>41650</v>
      </c>
      <c r="M4306" s="402">
        <f t="shared" si="257"/>
        <v>77</v>
      </c>
      <c r="N4306" s="402" t="s">
        <v>2</v>
      </c>
      <c r="O4306" s="404"/>
      <c r="P4306" s="402"/>
      <c r="Q4306" s="404"/>
      <c r="R4306" s="402">
        <v>24</v>
      </c>
      <c r="S4306" s="404">
        <v>46</v>
      </c>
      <c r="T4306" s="402"/>
      <c r="U4306" s="395"/>
      <c r="V4306" s="402"/>
      <c r="W4306" s="404"/>
      <c r="X4306" s="402"/>
      <c r="Y4306" s="404"/>
      <c r="Z4306" s="397"/>
      <c r="AA4306" s="399"/>
      <c r="AB4306" s="394"/>
      <c r="AC4306" s="402"/>
      <c r="AD4306" s="399"/>
      <c r="AE4306" s="402"/>
      <c r="AF4306" s="391"/>
      <c r="AG4306" s="394"/>
      <c r="AH4306" s="394"/>
      <c r="AI4306" s="394"/>
      <c r="AJ4306" s="394"/>
      <c r="AK4306" s="394"/>
      <c r="AL4306" s="394"/>
      <c r="AM4306" s="394"/>
      <c r="AN4306" s="394"/>
      <c r="AO4306" s="394"/>
      <c r="AP4306" s="394"/>
      <c r="AQ4306" s="394"/>
      <c r="AR4306" s="394"/>
      <c r="AS4306" s="402"/>
      <c r="AT4306" s="404"/>
      <c r="AU4306" s="394"/>
      <c r="AV4306" s="394"/>
    </row>
    <row r="4307" spans="1:48" ht="15" customHeight="1">
      <c r="A4307" s="404" t="s">
        <v>4668</v>
      </c>
      <c r="B4307" s="402" t="s">
        <v>2244</v>
      </c>
      <c r="C4307" s="113" t="s">
        <v>2244</v>
      </c>
      <c r="D4307" s="393" t="s">
        <v>827</v>
      </c>
      <c r="E4307" s="394" t="s">
        <v>4985</v>
      </c>
      <c r="G4307" s="405" t="s">
        <v>2245</v>
      </c>
      <c r="H4307" s="404">
        <v>3272</v>
      </c>
      <c r="I4307" s="402" t="s">
        <v>2</v>
      </c>
      <c r="J4307" s="404" t="s">
        <v>2905</v>
      </c>
      <c r="K4307" s="403">
        <v>41727</v>
      </c>
      <c r="L4307" s="398">
        <v>41718</v>
      </c>
      <c r="M4307" s="402">
        <f t="shared" si="257"/>
        <v>9</v>
      </c>
      <c r="N4307" s="402" t="s">
        <v>2</v>
      </c>
      <c r="O4307" s="404"/>
      <c r="P4307" s="402"/>
      <c r="Q4307" s="404"/>
      <c r="R4307" s="402">
        <v>120</v>
      </c>
      <c r="S4307" s="404">
        <v>2600</v>
      </c>
      <c r="T4307" s="402" t="s">
        <v>2667</v>
      </c>
      <c r="U4307" s="395"/>
      <c r="V4307" s="402"/>
      <c r="W4307" s="404"/>
      <c r="X4307" s="402"/>
      <c r="Y4307" s="404"/>
      <c r="Z4307" s="397"/>
      <c r="AA4307" s="399"/>
      <c r="AB4307" s="394"/>
      <c r="AC4307" s="402"/>
      <c r="AD4307" s="399"/>
      <c r="AE4307" s="402"/>
      <c r="AF4307" s="391"/>
      <c r="AG4307" s="394"/>
      <c r="AH4307" s="394"/>
      <c r="AI4307" s="394"/>
      <c r="AJ4307" s="394"/>
      <c r="AK4307" s="394"/>
      <c r="AL4307" s="394"/>
      <c r="AM4307" s="394"/>
      <c r="AN4307" s="394"/>
      <c r="AO4307" s="394"/>
      <c r="AP4307" s="394"/>
      <c r="AQ4307" s="394"/>
      <c r="AR4307" s="394"/>
      <c r="AS4307" s="402"/>
      <c r="AT4307" s="404"/>
      <c r="AU4307" s="394"/>
      <c r="AV4307" s="394"/>
    </row>
    <row r="4308" spans="1:48" ht="15" customHeight="1">
      <c r="A4308" s="404" t="s">
        <v>4668</v>
      </c>
      <c r="B4308" s="386" t="s">
        <v>307</v>
      </c>
      <c r="C4308" s="149" t="s">
        <v>307</v>
      </c>
      <c r="D4308" s="392" t="s">
        <v>308</v>
      </c>
      <c r="E4308" s="258" t="s">
        <v>309</v>
      </c>
      <c r="F4308" s="402" t="s">
        <v>6473</v>
      </c>
      <c r="G4308" s="405" t="s">
        <v>310</v>
      </c>
      <c r="H4308" s="404">
        <v>3269</v>
      </c>
      <c r="I4308" s="402" t="s">
        <v>2</v>
      </c>
      <c r="J4308" s="392" t="s">
        <v>312</v>
      </c>
      <c r="K4308" s="403">
        <v>41744</v>
      </c>
      <c r="L4308" s="398">
        <v>41740</v>
      </c>
      <c r="M4308" s="402">
        <f t="shared" si="257"/>
        <v>4</v>
      </c>
      <c r="N4308" s="402" t="s">
        <v>2</v>
      </c>
      <c r="O4308" s="404">
        <f>1.4/2</f>
        <v>0.7</v>
      </c>
      <c r="P4308" s="402">
        <v>6.8</v>
      </c>
      <c r="Q4308" s="404">
        <v>6.85</v>
      </c>
      <c r="R4308" s="402">
        <v>45</v>
      </c>
      <c r="S4308" s="404">
        <f>5/2</f>
        <v>2.5</v>
      </c>
      <c r="T4308" s="402">
        <v>7.0000000000000007E-2</v>
      </c>
      <c r="U4308" s="395">
        <v>0.81</v>
      </c>
      <c r="V4308" s="402">
        <v>0.06</v>
      </c>
      <c r="W4308" s="404">
        <v>7.0000000000000001E-3</v>
      </c>
      <c r="X4308" s="402">
        <v>3.5000000000000003E-2</v>
      </c>
      <c r="Y4308" s="404">
        <f>0.002/2</f>
        <v>1E-3</v>
      </c>
      <c r="Z4308" s="397">
        <v>1</v>
      </c>
      <c r="AA4308" s="399">
        <v>1</v>
      </c>
      <c r="AB4308" s="394">
        <v>122</v>
      </c>
      <c r="AC4308" s="402">
        <v>1153</v>
      </c>
      <c r="AD4308" s="399">
        <v>1</v>
      </c>
      <c r="AE4308" s="402"/>
      <c r="AF4308" s="391"/>
      <c r="AG4308" s="394"/>
      <c r="AH4308" s="394"/>
      <c r="AI4308" s="394"/>
      <c r="AJ4308" s="394"/>
      <c r="AK4308" s="394"/>
      <c r="AL4308" s="394"/>
      <c r="AM4308" s="394"/>
      <c r="AN4308" s="394"/>
      <c r="AO4308" s="394"/>
      <c r="AP4308" s="394"/>
      <c r="AQ4308" s="394"/>
      <c r="AR4308" s="394"/>
      <c r="AS4308" s="402"/>
      <c r="AT4308" s="404"/>
      <c r="AU4308" s="394"/>
      <c r="AV4308" s="394"/>
    </row>
    <row r="4309" spans="1:48" ht="15" customHeight="1">
      <c r="A4309" s="404" t="s">
        <v>4668</v>
      </c>
      <c r="B4309" s="386" t="s">
        <v>307</v>
      </c>
      <c r="C4309" s="149" t="s">
        <v>307</v>
      </c>
      <c r="D4309" s="392" t="s">
        <v>308</v>
      </c>
      <c r="E4309" s="258" t="s">
        <v>309</v>
      </c>
      <c r="F4309" s="402" t="s">
        <v>6473</v>
      </c>
      <c r="G4309" s="405" t="s">
        <v>310</v>
      </c>
      <c r="H4309" s="404">
        <v>3269</v>
      </c>
      <c r="I4309" s="402" t="s">
        <v>2</v>
      </c>
      <c r="J4309" s="392" t="s">
        <v>311</v>
      </c>
      <c r="K4309" s="403">
        <v>41744</v>
      </c>
      <c r="L4309" s="398">
        <v>41740</v>
      </c>
      <c r="M4309" s="402">
        <f t="shared" si="257"/>
        <v>4</v>
      </c>
      <c r="N4309" s="402" t="s">
        <v>2</v>
      </c>
      <c r="O4309" s="404">
        <f>1.4/2</f>
        <v>0.7</v>
      </c>
      <c r="P4309" s="402">
        <v>6.8</v>
      </c>
      <c r="Q4309" s="404">
        <v>7</v>
      </c>
      <c r="R4309" s="402">
        <v>19</v>
      </c>
      <c r="S4309" s="404">
        <f>5/2</f>
        <v>2.5</v>
      </c>
      <c r="T4309" s="402">
        <v>0.04</v>
      </c>
      <c r="U4309" s="395">
        <v>0.64</v>
      </c>
      <c r="V4309" s="402">
        <v>0.02</v>
      </c>
      <c r="W4309" s="404">
        <f>0.005/2</f>
        <v>2.5000000000000001E-3</v>
      </c>
      <c r="X4309" s="402">
        <v>2.5999999999999999E-2</v>
      </c>
      <c r="Y4309" s="404">
        <f>0.002/2</f>
        <v>1E-3</v>
      </c>
      <c r="Z4309" s="397">
        <v>1</v>
      </c>
      <c r="AA4309" s="399">
        <v>1</v>
      </c>
      <c r="AB4309" s="394">
        <v>22</v>
      </c>
      <c r="AC4309" s="402">
        <v>1052</v>
      </c>
      <c r="AD4309" s="399">
        <v>1</v>
      </c>
      <c r="AE4309" s="402"/>
      <c r="AF4309" s="391"/>
      <c r="AG4309" s="394"/>
      <c r="AH4309" s="394"/>
      <c r="AI4309" s="394"/>
      <c r="AJ4309" s="394"/>
      <c r="AK4309" s="394"/>
      <c r="AL4309" s="394"/>
      <c r="AM4309" s="394"/>
      <c r="AN4309" s="394"/>
      <c r="AO4309" s="394"/>
      <c r="AP4309" s="394"/>
      <c r="AQ4309" s="394"/>
      <c r="AR4309" s="394"/>
      <c r="AS4309" s="402"/>
      <c r="AT4309" s="404"/>
      <c r="AU4309" s="394"/>
      <c r="AV4309" s="394"/>
    </row>
    <row r="4310" spans="1:48" ht="15" customHeight="1">
      <c r="A4310" s="404" t="s">
        <v>4668</v>
      </c>
      <c r="B4310" s="402" t="s">
        <v>5813</v>
      </c>
      <c r="C4310" s="113" t="s">
        <v>5814</v>
      </c>
      <c r="D4310" s="393" t="s">
        <v>3953</v>
      </c>
      <c r="E4310" s="394" t="s">
        <v>5815</v>
      </c>
      <c r="F4310" s="402">
        <v>4318</v>
      </c>
      <c r="G4310" s="405" t="s">
        <v>5816</v>
      </c>
      <c r="H4310" s="404">
        <v>2892</v>
      </c>
      <c r="I4310" s="402" t="s">
        <v>2</v>
      </c>
      <c r="J4310" s="406" t="s">
        <v>6474</v>
      </c>
      <c r="K4310" s="403">
        <v>41710</v>
      </c>
      <c r="L4310" s="398">
        <v>41691</v>
      </c>
      <c r="M4310" s="402">
        <f t="shared" si="257"/>
        <v>19</v>
      </c>
      <c r="N4310" s="402" t="s">
        <v>1</v>
      </c>
      <c r="O4310" s="404"/>
      <c r="P4310" s="402"/>
      <c r="Q4310" s="404"/>
      <c r="R4310" s="402"/>
      <c r="S4310" s="404"/>
      <c r="T4310" s="402">
        <v>7.0000000000000007E-2</v>
      </c>
      <c r="U4310" s="395"/>
      <c r="V4310" s="402"/>
      <c r="W4310" s="404">
        <v>1.4E-2</v>
      </c>
      <c r="X4310" s="402"/>
      <c r="Y4310" s="404"/>
      <c r="Z4310" s="397"/>
      <c r="AA4310" s="399"/>
      <c r="AB4310" s="394"/>
      <c r="AC4310" s="402"/>
      <c r="AD4310" s="399"/>
      <c r="AE4310" s="402"/>
      <c r="AF4310" s="391"/>
      <c r="AG4310" s="394"/>
      <c r="AH4310" s="394"/>
      <c r="AI4310" s="394"/>
      <c r="AJ4310" s="394"/>
      <c r="AK4310" s="394"/>
      <c r="AL4310" s="394"/>
      <c r="AM4310" s="394"/>
      <c r="AN4310" s="394"/>
      <c r="AO4310" s="394"/>
      <c r="AP4310" s="394"/>
      <c r="AQ4310" s="394"/>
      <c r="AR4310" s="394"/>
      <c r="AS4310" s="402"/>
      <c r="AT4310" s="404"/>
      <c r="AU4310" s="394"/>
      <c r="AV4310" s="394"/>
    </row>
    <row r="4311" spans="1:48" ht="15" customHeight="1">
      <c r="A4311" s="404" t="s">
        <v>4668</v>
      </c>
      <c r="B4311" s="402" t="s">
        <v>5813</v>
      </c>
      <c r="C4311" s="113" t="s">
        <v>5814</v>
      </c>
      <c r="D4311" s="393" t="s">
        <v>3953</v>
      </c>
      <c r="E4311" s="394" t="s">
        <v>5815</v>
      </c>
      <c r="F4311" s="402">
        <v>4318</v>
      </c>
      <c r="G4311" s="405" t="s">
        <v>5816</v>
      </c>
      <c r="H4311" s="404">
        <v>2892</v>
      </c>
      <c r="I4311" s="402" t="s">
        <v>2</v>
      </c>
      <c r="J4311" s="406" t="s">
        <v>5820</v>
      </c>
      <c r="K4311" s="403">
        <v>41710</v>
      </c>
      <c r="L4311" s="398">
        <v>41691</v>
      </c>
      <c r="M4311" s="402">
        <f t="shared" si="257"/>
        <v>19</v>
      </c>
      <c r="N4311" s="402" t="s">
        <v>1</v>
      </c>
      <c r="O4311" s="404">
        <v>8.3000000000000007</v>
      </c>
      <c r="P4311" s="402"/>
      <c r="Q4311" s="404"/>
      <c r="R4311" s="402"/>
      <c r="S4311" s="404">
        <v>3800</v>
      </c>
      <c r="T4311" s="402"/>
      <c r="U4311" s="395"/>
      <c r="V4311" s="402"/>
      <c r="W4311" s="404">
        <v>0.52400000000000002</v>
      </c>
      <c r="X4311" s="402">
        <v>4</v>
      </c>
      <c r="Y4311" s="404">
        <v>4.72</v>
      </c>
      <c r="Z4311" s="397"/>
      <c r="AA4311" s="399"/>
      <c r="AB4311" s="394"/>
      <c r="AC4311" s="402"/>
      <c r="AD4311" s="399"/>
      <c r="AE4311" s="402"/>
      <c r="AF4311" s="391"/>
      <c r="AG4311" s="394"/>
      <c r="AH4311" s="394"/>
      <c r="AI4311" s="394"/>
      <c r="AJ4311" s="394"/>
      <c r="AK4311" s="394"/>
      <c r="AL4311" s="394"/>
      <c r="AM4311" s="394"/>
      <c r="AN4311" s="394"/>
      <c r="AO4311" s="394"/>
      <c r="AP4311" s="394"/>
      <c r="AQ4311" s="394"/>
      <c r="AR4311" s="394"/>
      <c r="AS4311" s="402"/>
      <c r="AT4311" s="404"/>
      <c r="AU4311" s="394"/>
      <c r="AV4311" s="394"/>
    </row>
    <row r="4312" spans="1:48" ht="15" customHeight="1">
      <c r="A4312" s="404" t="s">
        <v>4668</v>
      </c>
      <c r="B4312" s="402" t="s">
        <v>5813</v>
      </c>
      <c r="C4312" s="113" t="s">
        <v>5814</v>
      </c>
      <c r="D4312" s="393" t="s">
        <v>3953</v>
      </c>
      <c r="E4312" s="394" t="s">
        <v>5815</v>
      </c>
      <c r="F4312" s="402">
        <v>4318</v>
      </c>
      <c r="G4312" s="405" t="s">
        <v>5816</v>
      </c>
      <c r="H4312" s="404">
        <v>2892</v>
      </c>
      <c r="I4312" s="402" t="s">
        <v>2</v>
      </c>
      <c r="J4312" s="406" t="s">
        <v>5821</v>
      </c>
      <c r="K4312" s="403">
        <v>41710</v>
      </c>
      <c r="L4312" s="398">
        <v>41691</v>
      </c>
      <c r="M4312" s="402">
        <f t="shared" si="257"/>
        <v>19</v>
      </c>
      <c r="N4312" s="402" t="s">
        <v>1</v>
      </c>
      <c r="O4312" s="404"/>
      <c r="P4312" s="402"/>
      <c r="Q4312" s="404"/>
      <c r="R4312" s="402"/>
      <c r="S4312" s="404"/>
      <c r="T4312" s="402">
        <v>0.08</v>
      </c>
      <c r="U4312" s="395"/>
      <c r="V4312" s="402">
        <v>0.32</v>
      </c>
      <c r="W4312" s="404">
        <v>3.2000000000000001E-2</v>
      </c>
      <c r="X4312" s="402">
        <v>0.08</v>
      </c>
      <c r="Y4312" s="404"/>
      <c r="Z4312" s="397"/>
      <c r="AA4312" s="399"/>
      <c r="AB4312" s="394"/>
      <c r="AC4312" s="402"/>
      <c r="AD4312" s="399"/>
      <c r="AE4312" s="402"/>
      <c r="AF4312" s="391"/>
      <c r="AG4312" s="394"/>
      <c r="AH4312" s="394"/>
      <c r="AI4312" s="394"/>
      <c r="AJ4312" s="394"/>
      <c r="AK4312" s="394"/>
      <c r="AL4312" s="394"/>
      <c r="AM4312" s="394"/>
      <c r="AN4312" s="394"/>
      <c r="AO4312" s="394"/>
      <c r="AP4312" s="394"/>
      <c r="AQ4312" s="394"/>
      <c r="AR4312" s="394"/>
      <c r="AS4312" s="402"/>
      <c r="AT4312" s="404"/>
      <c r="AU4312" s="394"/>
      <c r="AV4312" s="394"/>
    </row>
    <row r="4313" spans="1:48" ht="15" customHeight="1">
      <c r="A4313" s="404" t="s">
        <v>4668</v>
      </c>
      <c r="B4313" s="386" t="s">
        <v>633</v>
      </c>
      <c r="C4313" s="149" t="s">
        <v>633</v>
      </c>
      <c r="D4313" s="393" t="s">
        <v>314</v>
      </c>
      <c r="E4313" s="258" t="s">
        <v>634</v>
      </c>
      <c r="F4313" s="402" t="s">
        <v>6475</v>
      </c>
      <c r="G4313" s="405" t="s">
        <v>5810</v>
      </c>
      <c r="H4313" s="404">
        <v>3087</v>
      </c>
      <c r="I4313" s="402"/>
      <c r="J4313" s="406" t="s">
        <v>272</v>
      </c>
      <c r="K4313" s="403">
        <v>41752</v>
      </c>
      <c r="L4313" s="398">
        <v>41744</v>
      </c>
      <c r="M4313" s="402">
        <f t="shared" si="257"/>
        <v>8</v>
      </c>
      <c r="N4313" s="402" t="s">
        <v>2</v>
      </c>
      <c r="O4313" s="404">
        <f>1.4/2</f>
        <v>0.7</v>
      </c>
      <c r="P4313" s="402"/>
      <c r="Q4313" s="404"/>
      <c r="R4313" s="402">
        <v>43</v>
      </c>
      <c r="S4313" s="404">
        <v>42</v>
      </c>
      <c r="T4313" s="402">
        <v>0.34</v>
      </c>
      <c r="U4313" s="395">
        <v>2.27</v>
      </c>
      <c r="V4313" s="402"/>
      <c r="W4313" s="404"/>
      <c r="X4313" s="402">
        <v>8.6999999999999994E-2</v>
      </c>
      <c r="Y4313" s="404"/>
      <c r="Z4313" s="397"/>
      <c r="AA4313" s="399"/>
      <c r="AB4313" s="394"/>
      <c r="AC4313" s="402"/>
      <c r="AD4313" s="399"/>
      <c r="AE4313" s="402"/>
      <c r="AF4313" s="391"/>
      <c r="AG4313" s="394"/>
      <c r="AH4313" s="394"/>
      <c r="AI4313" s="394"/>
      <c r="AJ4313" s="394"/>
      <c r="AK4313" s="394"/>
      <c r="AL4313" s="394"/>
      <c r="AM4313" s="394"/>
      <c r="AN4313" s="394"/>
      <c r="AO4313" s="394"/>
      <c r="AP4313" s="394"/>
      <c r="AQ4313" s="394"/>
      <c r="AR4313" s="394"/>
      <c r="AS4313" s="402"/>
      <c r="AT4313" s="404"/>
      <c r="AU4313" s="394"/>
      <c r="AV4313" s="394"/>
    </row>
    <row r="4314" spans="1:48" ht="15" customHeight="1">
      <c r="A4314" s="404" t="s">
        <v>4668</v>
      </c>
      <c r="B4314" s="386" t="s">
        <v>633</v>
      </c>
      <c r="C4314" s="149" t="s">
        <v>633</v>
      </c>
      <c r="D4314" s="393" t="s">
        <v>314</v>
      </c>
      <c r="E4314" s="258" t="s">
        <v>634</v>
      </c>
      <c r="F4314" s="402" t="s">
        <v>6475</v>
      </c>
      <c r="G4314" s="405" t="s">
        <v>5810</v>
      </c>
      <c r="H4314" s="404">
        <v>3087</v>
      </c>
      <c r="I4314" s="402"/>
      <c r="J4314" s="406" t="s">
        <v>270</v>
      </c>
      <c r="K4314" s="403">
        <v>41752</v>
      </c>
      <c r="L4314" s="398">
        <v>41744</v>
      </c>
      <c r="M4314" s="402">
        <f t="shared" si="257"/>
        <v>8</v>
      </c>
      <c r="N4314" s="402" t="s">
        <v>2</v>
      </c>
      <c r="O4314" s="404"/>
      <c r="P4314" s="402"/>
      <c r="Q4314" s="404"/>
      <c r="R4314" s="402"/>
      <c r="S4314" s="404"/>
      <c r="T4314" s="402"/>
      <c r="U4314" s="395">
        <v>2.33</v>
      </c>
      <c r="V4314" s="402"/>
      <c r="W4314" s="404"/>
      <c r="X4314" s="402">
        <v>0.45900000000000002</v>
      </c>
      <c r="Y4314" s="404"/>
      <c r="Z4314" s="397"/>
      <c r="AA4314" s="399"/>
      <c r="AB4314" s="394"/>
      <c r="AC4314" s="402"/>
      <c r="AD4314" s="399"/>
      <c r="AE4314" s="402"/>
      <c r="AF4314" s="391"/>
      <c r="AG4314" s="394"/>
      <c r="AH4314" s="394"/>
      <c r="AI4314" s="394"/>
      <c r="AJ4314" s="394"/>
      <c r="AK4314" s="394"/>
      <c r="AL4314" s="394"/>
      <c r="AM4314" s="394"/>
      <c r="AN4314" s="394"/>
      <c r="AO4314" s="394"/>
      <c r="AP4314" s="394"/>
      <c r="AQ4314" s="394"/>
      <c r="AR4314" s="394"/>
      <c r="AS4314" s="402"/>
      <c r="AT4314" s="404"/>
      <c r="AU4314" s="394"/>
      <c r="AV4314" s="394"/>
    </row>
    <row r="4315" spans="1:48" ht="15" customHeight="1">
      <c r="A4315" s="404" t="s">
        <v>4668</v>
      </c>
      <c r="B4315" s="402" t="s">
        <v>5128</v>
      </c>
      <c r="C4315" s="113" t="s">
        <v>5128</v>
      </c>
      <c r="D4315" s="393" t="s">
        <v>350</v>
      </c>
      <c r="E4315" s="394" t="s">
        <v>467</v>
      </c>
      <c r="F4315" s="402" t="s">
        <v>6224</v>
      </c>
      <c r="G4315" s="405" t="s">
        <v>5254</v>
      </c>
      <c r="H4315" s="404">
        <v>4215</v>
      </c>
      <c r="I4315" s="402" t="s">
        <v>2</v>
      </c>
      <c r="J4315" s="406" t="s">
        <v>510</v>
      </c>
      <c r="K4315" s="403">
        <v>41744</v>
      </c>
      <c r="L4315" s="398">
        <v>41740</v>
      </c>
      <c r="M4315" s="402">
        <f t="shared" si="257"/>
        <v>4</v>
      </c>
      <c r="N4315" s="402" t="s">
        <v>2</v>
      </c>
      <c r="O4315" s="404">
        <f>1.4/2</f>
        <v>0.7</v>
      </c>
      <c r="P4315" s="402">
        <v>5.5</v>
      </c>
      <c r="Q4315" s="404">
        <v>6.84</v>
      </c>
      <c r="R4315" s="402">
        <v>21</v>
      </c>
      <c r="S4315" s="404">
        <f>5/2</f>
        <v>2.5</v>
      </c>
      <c r="T4315" s="402">
        <v>0.03</v>
      </c>
      <c r="U4315" s="395">
        <v>0.48</v>
      </c>
      <c r="V4315" s="402">
        <f>0.01/2</f>
        <v>5.0000000000000001E-3</v>
      </c>
      <c r="W4315" s="404">
        <f>0.005/2</f>
        <v>2.5000000000000001E-3</v>
      </c>
      <c r="X4315" s="402">
        <v>8.0000000000000002E-3</v>
      </c>
      <c r="Y4315" s="404">
        <f>0.002/2</f>
        <v>1E-3</v>
      </c>
      <c r="Z4315" s="397">
        <v>1</v>
      </c>
      <c r="AA4315" s="399">
        <v>1</v>
      </c>
      <c r="AB4315" s="394">
        <v>76</v>
      </c>
      <c r="AC4315" s="402">
        <v>1153</v>
      </c>
      <c r="AD4315" s="399">
        <v>1</v>
      </c>
      <c r="AE4315" s="402"/>
      <c r="AF4315" s="391"/>
      <c r="AG4315" s="394"/>
      <c r="AH4315" s="394"/>
      <c r="AI4315" s="394"/>
      <c r="AJ4315" s="394"/>
      <c r="AK4315" s="394"/>
      <c r="AL4315" s="394"/>
      <c r="AM4315" s="394"/>
      <c r="AN4315" s="394"/>
      <c r="AO4315" s="394"/>
      <c r="AP4315" s="394"/>
      <c r="AQ4315" s="394"/>
      <c r="AR4315" s="394"/>
      <c r="AS4315" s="402"/>
      <c r="AT4315" s="404"/>
      <c r="AU4315" s="394"/>
      <c r="AV4315" s="394"/>
    </row>
    <row r="4316" spans="1:48" ht="15" customHeight="1">
      <c r="A4316" s="404" t="s">
        <v>4668</v>
      </c>
      <c r="B4316" s="402" t="s">
        <v>5670</v>
      </c>
      <c r="C4316" s="113" t="s">
        <v>5670</v>
      </c>
      <c r="D4316" s="393" t="s">
        <v>347</v>
      </c>
      <c r="E4316" s="394" t="s">
        <v>5671</v>
      </c>
      <c r="F4316" s="402" t="s">
        <v>6394</v>
      </c>
      <c r="G4316" s="405" t="s">
        <v>5672</v>
      </c>
      <c r="H4316" s="404"/>
      <c r="I4316" s="402"/>
      <c r="J4316" s="406" t="s">
        <v>6476</v>
      </c>
      <c r="K4316" s="403">
        <v>41836</v>
      </c>
      <c r="L4316" s="398"/>
      <c r="M4316" s="402"/>
      <c r="N4316" s="402" t="s">
        <v>2</v>
      </c>
      <c r="O4316" s="404">
        <f>2/2</f>
        <v>1</v>
      </c>
      <c r="P4316" s="402">
        <v>6.5</v>
      </c>
      <c r="Q4316" s="404">
        <v>6.7</v>
      </c>
      <c r="R4316" s="402">
        <f>10/2</f>
        <v>5</v>
      </c>
      <c r="S4316" s="404">
        <v>1</v>
      </c>
      <c r="T4316" s="402">
        <f>0.05/2</f>
        <v>2.5000000000000001E-2</v>
      </c>
      <c r="U4316" s="395">
        <v>0.18</v>
      </c>
      <c r="V4316" s="402">
        <v>0.12</v>
      </c>
      <c r="W4316" s="404">
        <f>0.01/2</f>
        <v>5.0000000000000001E-3</v>
      </c>
      <c r="X4316" s="402">
        <v>4.7E-2</v>
      </c>
      <c r="Y4316" s="404">
        <f>0.03/2</f>
        <v>1.4999999999999999E-2</v>
      </c>
      <c r="Z4316" s="397"/>
      <c r="AA4316" s="399"/>
      <c r="AB4316" s="394"/>
      <c r="AC4316" s="402"/>
      <c r="AD4316" s="399"/>
      <c r="AE4316" s="402"/>
      <c r="AF4316" s="391"/>
      <c r="AG4316" s="394"/>
      <c r="AH4316" s="394"/>
      <c r="AI4316" s="394"/>
      <c r="AJ4316" s="394"/>
      <c r="AK4316" s="394"/>
      <c r="AL4316" s="394"/>
      <c r="AM4316" s="394"/>
      <c r="AN4316" s="394"/>
      <c r="AO4316" s="394"/>
      <c r="AP4316" s="394"/>
      <c r="AQ4316" s="394"/>
      <c r="AR4316" s="394"/>
      <c r="AS4316" s="402"/>
      <c r="AT4316" s="404"/>
      <c r="AU4316" s="394"/>
      <c r="AV4316" s="394"/>
    </row>
    <row r="4317" spans="1:48" ht="15" customHeight="1">
      <c r="A4317" s="404" t="s">
        <v>4668</v>
      </c>
      <c r="B4317" s="402" t="s">
        <v>956</v>
      </c>
      <c r="C4317" s="113" t="s">
        <v>1008</v>
      </c>
      <c r="D4317" s="393" t="s">
        <v>78</v>
      </c>
      <c r="E4317" s="394" t="s">
        <v>4467</v>
      </c>
      <c r="F4317" s="402" t="s">
        <v>6477</v>
      </c>
      <c r="G4317" s="405" t="s">
        <v>555</v>
      </c>
      <c r="H4317" s="404">
        <v>4151</v>
      </c>
      <c r="I4317" s="402" t="s">
        <v>2</v>
      </c>
      <c r="J4317" s="406" t="s">
        <v>3144</v>
      </c>
      <c r="K4317" s="403">
        <v>41759</v>
      </c>
      <c r="L4317" s="398">
        <v>41755</v>
      </c>
      <c r="M4317" s="402">
        <f t="shared" si="257"/>
        <v>4</v>
      </c>
      <c r="N4317" s="402" t="s">
        <v>2</v>
      </c>
      <c r="O4317" s="404"/>
      <c r="P4317" s="402"/>
      <c r="Q4317" s="404"/>
      <c r="R4317" s="402"/>
      <c r="S4317" s="404">
        <v>16</v>
      </c>
      <c r="T4317" s="402"/>
      <c r="U4317" s="395"/>
      <c r="V4317" s="402"/>
      <c r="W4317" s="404"/>
      <c r="X4317" s="402"/>
      <c r="Y4317" s="404"/>
      <c r="Z4317" s="397"/>
      <c r="AA4317" s="399"/>
      <c r="AB4317" s="394"/>
      <c r="AC4317" s="402"/>
      <c r="AD4317" s="399"/>
      <c r="AE4317" s="402"/>
      <c r="AF4317" s="391"/>
      <c r="AG4317" s="394"/>
      <c r="AH4317" s="394"/>
      <c r="AI4317" s="394"/>
      <c r="AJ4317" s="394"/>
      <c r="AK4317" s="394"/>
      <c r="AL4317" s="394"/>
      <c r="AM4317" s="394"/>
      <c r="AN4317" s="394"/>
      <c r="AO4317" s="394"/>
      <c r="AP4317" s="394"/>
      <c r="AQ4317" s="394"/>
      <c r="AR4317" s="394"/>
      <c r="AS4317" s="402"/>
      <c r="AT4317" s="404"/>
      <c r="AU4317" s="394"/>
      <c r="AV4317" s="394"/>
    </row>
    <row r="4318" spans="1:48" ht="15" customHeight="1">
      <c r="A4318" s="404" t="s">
        <v>4668</v>
      </c>
      <c r="B4318" s="385" t="s">
        <v>4232</v>
      </c>
      <c r="C4318" s="18" t="s">
        <v>4232</v>
      </c>
      <c r="D4318" s="377" t="s">
        <v>56</v>
      </c>
      <c r="E4318" s="20" t="s">
        <v>95</v>
      </c>
      <c r="F4318" s="402" t="s">
        <v>6478</v>
      </c>
      <c r="G4318" s="405" t="s">
        <v>3731</v>
      </c>
      <c r="H4318" s="404">
        <v>4426</v>
      </c>
      <c r="I4318" s="402" t="s">
        <v>1</v>
      </c>
      <c r="J4318" s="406" t="s">
        <v>74</v>
      </c>
      <c r="K4318" s="403">
        <v>41710</v>
      </c>
      <c r="L4318" s="398">
        <v>41689</v>
      </c>
      <c r="M4318" s="402">
        <f t="shared" ref="M4318:M4330" si="258">K4318-L4318</f>
        <v>21</v>
      </c>
      <c r="N4318" s="402" t="s">
        <v>2</v>
      </c>
      <c r="O4318" s="404"/>
      <c r="P4318" s="402"/>
      <c r="Q4318" s="404"/>
      <c r="R4318" s="402"/>
      <c r="S4318" s="404"/>
      <c r="T4318" s="402"/>
      <c r="U4318" s="395">
        <v>2.64</v>
      </c>
      <c r="V4318" s="402"/>
      <c r="W4318" s="404"/>
      <c r="X4318" s="402"/>
      <c r="Y4318" s="404"/>
      <c r="Z4318" s="397"/>
      <c r="AA4318" s="399"/>
      <c r="AB4318" s="394"/>
      <c r="AC4318" s="402"/>
      <c r="AD4318" s="399"/>
      <c r="AE4318" s="402"/>
      <c r="AF4318" s="391"/>
      <c r="AG4318" s="394"/>
      <c r="AH4318" s="394"/>
      <c r="AI4318" s="394">
        <f>10/2</f>
        <v>5</v>
      </c>
      <c r="AJ4318" s="394">
        <v>30</v>
      </c>
      <c r="AK4318" s="394"/>
      <c r="AL4318" s="394"/>
      <c r="AM4318" s="394"/>
      <c r="AN4318" s="394"/>
      <c r="AO4318" s="394"/>
      <c r="AP4318" s="394"/>
      <c r="AQ4318" s="394"/>
      <c r="AR4318" s="394"/>
      <c r="AS4318" s="402"/>
      <c r="AT4318" s="404"/>
      <c r="AU4318" s="394"/>
      <c r="AV4318" s="394"/>
    </row>
    <row r="4319" spans="1:48" ht="15" customHeight="1">
      <c r="A4319" s="404" t="s">
        <v>4668</v>
      </c>
      <c r="B4319" s="402" t="s">
        <v>3727</v>
      </c>
      <c r="C4319" s="113" t="s">
        <v>3727</v>
      </c>
      <c r="D4319" s="393" t="s">
        <v>195</v>
      </c>
      <c r="E4319" s="394" t="s">
        <v>112</v>
      </c>
      <c r="F4319" s="402" t="s">
        <v>6339</v>
      </c>
      <c r="G4319" s="405" t="s">
        <v>3728</v>
      </c>
      <c r="H4319" s="404">
        <v>4226</v>
      </c>
      <c r="I4319" s="402" t="s">
        <v>1</v>
      </c>
      <c r="J4319" s="406" t="s">
        <v>255</v>
      </c>
      <c r="K4319" s="403">
        <v>41710</v>
      </c>
      <c r="L4319" s="398">
        <v>41689</v>
      </c>
      <c r="M4319" s="402">
        <f t="shared" si="258"/>
        <v>21</v>
      </c>
      <c r="N4319" s="402" t="s">
        <v>1</v>
      </c>
      <c r="O4319" s="404"/>
      <c r="P4319" s="402"/>
      <c r="Q4319" s="404"/>
      <c r="R4319" s="402"/>
      <c r="S4319" s="404">
        <f>5/2</f>
        <v>2.5</v>
      </c>
      <c r="T4319" s="402"/>
      <c r="U4319" s="395"/>
      <c r="V4319" s="402">
        <v>0.45</v>
      </c>
      <c r="W4319" s="404"/>
      <c r="X4319" s="402"/>
      <c r="Y4319" s="404"/>
      <c r="Z4319" s="397"/>
      <c r="AA4319" s="399"/>
      <c r="AB4319" s="394"/>
      <c r="AC4319" s="402"/>
      <c r="AD4319" s="399"/>
      <c r="AE4319" s="402"/>
      <c r="AF4319" s="391"/>
      <c r="AG4319" s="394"/>
      <c r="AH4319" s="394"/>
      <c r="AI4319" s="394">
        <f>10/2</f>
        <v>5</v>
      </c>
      <c r="AJ4319" s="394">
        <f>10/2</f>
        <v>5</v>
      </c>
      <c r="AK4319" s="394"/>
      <c r="AL4319" s="394"/>
      <c r="AM4319" s="394"/>
      <c r="AN4319" s="394"/>
      <c r="AO4319" s="394"/>
      <c r="AP4319" s="394"/>
      <c r="AQ4319" s="394"/>
      <c r="AR4319" s="394"/>
      <c r="AS4319" s="402"/>
      <c r="AT4319" s="404"/>
      <c r="AU4319" s="394"/>
      <c r="AV4319" s="394"/>
    </row>
    <row r="4320" spans="1:48" ht="15" customHeight="1">
      <c r="A4320" s="404" t="s">
        <v>4668</v>
      </c>
      <c r="B4320" s="402" t="s">
        <v>3727</v>
      </c>
      <c r="C4320" s="113" t="s">
        <v>3727</v>
      </c>
      <c r="D4320" s="393" t="s">
        <v>195</v>
      </c>
      <c r="E4320" s="394" t="s">
        <v>112</v>
      </c>
      <c r="F4320" s="402" t="s">
        <v>6339</v>
      </c>
      <c r="G4320" s="405" t="s">
        <v>3728</v>
      </c>
      <c r="H4320" s="404">
        <v>4226</v>
      </c>
      <c r="I4320" s="402" t="s">
        <v>1</v>
      </c>
      <c r="J4320" s="406" t="s">
        <v>96</v>
      </c>
      <c r="K4320" s="403">
        <v>41710</v>
      </c>
      <c r="L4320" s="398">
        <v>41689</v>
      </c>
      <c r="M4320" s="402">
        <f t="shared" si="258"/>
        <v>21</v>
      </c>
      <c r="N4320" s="402" t="s">
        <v>1</v>
      </c>
      <c r="O4320" s="404"/>
      <c r="P4320" s="402"/>
      <c r="Q4320" s="404"/>
      <c r="R4320" s="402"/>
      <c r="S4320" s="404"/>
      <c r="T4320" s="402"/>
      <c r="U4320" s="395"/>
      <c r="V4320" s="402">
        <v>0.21</v>
      </c>
      <c r="W4320" s="404"/>
      <c r="X4320" s="402"/>
      <c r="Y4320" s="404"/>
      <c r="Z4320" s="397"/>
      <c r="AA4320" s="399"/>
      <c r="AB4320" s="394"/>
      <c r="AC4320" s="402"/>
      <c r="AD4320" s="399"/>
      <c r="AE4320" s="402"/>
      <c r="AF4320" s="391"/>
      <c r="AG4320" s="394"/>
      <c r="AH4320" s="394"/>
      <c r="AI4320" s="394">
        <f>10/2</f>
        <v>5</v>
      </c>
      <c r="AJ4320" s="394">
        <v>410</v>
      </c>
      <c r="AK4320" s="394"/>
      <c r="AL4320" s="394"/>
      <c r="AM4320" s="394"/>
      <c r="AN4320" s="394"/>
      <c r="AO4320" s="394"/>
      <c r="AP4320" s="394"/>
      <c r="AQ4320" s="394"/>
      <c r="AR4320" s="394"/>
      <c r="AS4320" s="402"/>
      <c r="AT4320" s="404"/>
      <c r="AU4320" s="394"/>
      <c r="AV4320" s="394"/>
    </row>
    <row r="4321" spans="1:79" ht="15" customHeight="1">
      <c r="A4321" s="404" t="s">
        <v>4668</v>
      </c>
      <c r="B4321" s="402" t="s">
        <v>3727</v>
      </c>
      <c r="C4321" s="113" t="s">
        <v>3727</v>
      </c>
      <c r="D4321" s="393" t="s">
        <v>56</v>
      </c>
      <c r="E4321" s="394" t="s">
        <v>95</v>
      </c>
      <c r="F4321" s="402">
        <v>5000</v>
      </c>
      <c r="G4321" s="405" t="s">
        <v>3730</v>
      </c>
      <c r="H4321" s="404">
        <v>4226</v>
      </c>
      <c r="I4321" s="402" t="s">
        <v>1</v>
      </c>
      <c r="J4321" s="401" t="s">
        <v>3144</v>
      </c>
      <c r="K4321" s="403">
        <v>41710</v>
      </c>
      <c r="L4321" s="398">
        <v>41689</v>
      </c>
      <c r="M4321" s="402">
        <f t="shared" si="258"/>
        <v>21</v>
      </c>
      <c r="N4321" s="402" t="s">
        <v>1</v>
      </c>
      <c r="O4321" s="404"/>
      <c r="P4321" s="402"/>
      <c r="Q4321" s="404"/>
      <c r="R4321" s="402">
        <f>10/2</f>
        <v>5</v>
      </c>
      <c r="S4321" s="404">
        <v>5.5</v>
      </c>
      <c r="T4321" s="402"/>
      <c r="U4321" s="395"/>
      <c r="V4321" s="402"/>
      <c r="W4321" s="404"/>
      <c r="X4321" s="402"/>
      <c r="Y4321" s="404"/>
      <c r="Z4321" s="397"/>
      <c r="AA4321" s="399"/>
      <c r="AB4321" s="394"/>
      <c r="AC4321" s="402"/>
      <c r="AD4321" s="399"/>
      <c r="AE4321" s="402"/>
      <c r="AF4321" s="391"/>
      <c r="AG4321" s="394"/>
      <c r="AH4321" s="394"/>
      <c r="AI4321" s="394">
        <f>10/2</f>
        <v>5</v>
      </c>
      <c r="AJ4321" s="394">
        <f>10*2</f>
        <v>20</v>
      </c>
      <c r="AK4321" s="394"/>
      <c r="AL4321" s="394"/>
      <c r="AM4321" s="394"/>
      <c r="AN4321" s="394"/>
      <c r="AO4321" s="394"/>
      <c r="AP4321" s="394"/>
      <c r="AQ4321" s="394"/>
      <c r="AR4321" s="394"/>
      <c r="AS4321" s="402"/>
      <c r="AT4321" s="404"/>
      <c r="AU4321" s="394"/>
      <c r="AV4321" s="394"/>
    </row>
    <row r="4322" spans="1:79" ht="15" customHeight="1">
      <c r="A4322" s="404" t="s">
        <v>4668</v>
      </c>
      <c r="B4322" s="402" t="s">
        <v>3727</v>
      </c>
      <c r="C4322" s="113" t="s">
        <v>3727</v>
      </c>
      <c r="D4322" s="393" t="s">
        <v>56</v>
      </c>
      <c r="E4322" s="394" t="s">
        <v>95</v>
      </c>
      <c r="F4322" s="402">
        <v>5000</v>
      </c>
      <c r="G4322" s="405" t="s">
        <v>3730</v>
      </c>
      <c r="H4322" s="404">
        <v>4226</v>
      </c>
      <c r="I4322" s="402" t="s">
        <v>1</v>
      </c>
      <c r="J4322" s="401" t="s">
        <v>3145</v>
      </c>
      <c r="K4322" s="403">
        <v>41710</v>
      </c>
      <c r="L4322" s="398">
        <v>41689</v>
      </c>
      <c r="M4322" s="402">
        <f t="shared" si="258"/>
        <v>21</v>
      </c>
      <c r="N4322" s="402" t="s">
        <v>1</v>
      </c>
      <c r="O4322" s="404"/>
      <c r="P4322" s="402"/>
      <c r="Q4322" s="404"/>
      <c r="R4322" s="402">
        <f>10/2</f>
        <v>5</v>
      </c>
      <c r="S4322" s="404">
        <v>47</v>
      </c>
      <c r="T4322" s="402"/>
      <c r="U4322" s="395"/>
      <c r="V4322" s="402"/>
      <c r="W4322" s="404"/>
      <c r="X4322" s="402">
        <v>0.11700000000000001</v>
      </c>
      <c r="Y4322" s="404"/>
      <c r="Z4322" s="397"/>
      <c r="AA4322" s="399"/>
      <c r="AB4322" s="394"/>
      <c r="AC4322" s="402"/>
      <c r="AD4322" s="399"/>
      <c r="AE4322" s="402"/>
      <c r="AF4322" s="391"/>
      <c r="AG4322" s="394"/>
      <c r="AH4322" s="394"/>
      <c r="AI4322" s="394"/>
      <c r="AJ4322" s="394"/>
      <c r="AK4322" s="394"/>
      <c r="AL4322" s="394"/>
      <c r="AM4322" s="394"/>
      <c r="AN4322" s="394"/>
      <c r="AO4322" s="394"/>
      <c r="AP4322" s="394"/>
      <c r="AQ4322" s="394"/>
      <c r="AR4322" s="394"/>
      <c r="AS4322" s="402"/>
      <c r="AT4322" s="404"/>
      <c r="AU4322" s="394"/>
      <c r="AV4322" s="394"/>
    </row>
    <row r="4323" spans="1:79" ht="15" customHeight="1">
      <c r="A4323" s="404" t="s">
        <v>4668</v>
      </c>
      <c r="B4323" s="402" t="s">
        <v>3727</v>
      </c>
      <c r="C4323" s="113" t="s">
        <v>3727</v>
      </c>
      <c r="D4323" s="393" t="s">
        <v>56</v>
      </c>
      <c r="E4323" s="394" t="s">
        <v>95</v>
      </c>
      <c r="F4323" s="402">
        <v>5000</v>
      </c>
      <c r="G4323" s="405" t="s">
        <v>3730</v>
      </c>
      <c r="H4323" s="404">
        <v>4226</v>
      </c>
      <c r="I4323" s="402" t="s">
        <v>1</v>
      </c>
      <c r="J4323" s="401" t="s">
        <v>3693</v>
      </c>
      <c r="K4323" s="403">
        <v>41710</v>
      </c>
      <c r="L4323" s="398">
        <v>41689</v>
      </c>
      <c r="M4323" s="402">
        <f t="shared" si="258"/>
        <v>21</v>
      </c>
      <c r="N4323" s="402" t="s">
        <v>1</v>
      </c>
      <c r="O4323" s="404"/>
      <c r="P4323" s="402"/>
      <c r="Q4323" s="404"/>
      <c r="R4323" s="402"/>
      <c r="S4323" s="404">
        <v>44</v>
      </c>
      <c r="T4323" s="402"/>
      <c r="U4323" s="395"/>
      <c r="V4323" s="402">
        <v>0.26</v>
      </c>
      <c r="W4323" s="404"/>
      <c r="X4323" s="402"/>
      <c r="Y4323" s="404"/>
      <c r="Z4323" s="397"/>
      <c r="AA4323" s="399"/>
      <c r="AB4323" s="394"/>
      <c r="AC4323" s="402"/>
      <c r="AD4323" s="399"/>
      <c r="AE4323" s="402"/>
      <c r="AF4323" s="391"/>
      <c r="AG4323" s="394"/>
      <c r="AH4323" s="394"/>
      <c r="AI4323" s="394">
        <f>10/2</f>
        <v>5</v>
      </c>
      <c r="AJ4323" s="394">
        <v>100</v>
      </c>
      <c r="AK4323" s="394"/>
      <c r="AL4323" s="394"/>
      <c r="AM4323" s="394"/>
      <c r="AN4323" s="394"/>
      <c r="AO4323" s="394"/>
      <c r="AP4323" s="394"/>
      <c r="AQ4323" s="394"/>
      <c r="AR4323" s="394"/>
      <c r="AS4323" s="402"/>
      <c r="AT4323" s="404"/>
      <c r="AU4323" s="394"/>
      <c r="AV4323" s="394"/>
    </row>
    <row r="4324" spans="1:79" ht="15" customHeight="1">
      <c r="A4324" s="404" t="s">
        <v>4668</v>
      </c>
      <c r="B4324" s="402" t="s">
        <v>3727</v>
      </c>
      <c r="C4324" s="113" t="s">
        <v>3727</v>
      </c>
      <c r="D4324" s="393" t="s">
        <v>56</v>
      </c>
      <c r="E4324" s="394" t="s">
        <v>112</v>
      </c>
      <c r="F4324" s="402" t="s">
        <v>6478</v>
      </c>
      <c r="G4324" s="405" t="s">
        <v>3729</v>
      </c>
      <c r="H4324" s="404">
        <v>4426</v>
      </c>
      <c r="I4324" s="402" t="s">
        <v>1</v>
      </c>
      <c r="J4324" s="401" t="s">
        <v>3144</v>
      </c>
      <c r="K4324" s="403">
        <v>41710</v>
      </c>
      <c r="L4324" s="398">
        <v>41689</v>
      </c>
      <c r="M4324" s="402">
        <f t="shared" si="258"/>
        <v>21</v>
      </c>
      <c r="N4324" s="402" t="s">
        <v>1</v>
      </c>
      <c r="O4324" s="404"/>
      <c r="P4324" s="402"/>
      <c r="Q4324" s="404"/>
      <c r="R4324" s="402">
        <v>110</v>
      </c>
      <c r="S4324" s="404"/>
      <c r="T4324" s="402"/>
      <c r="U4324" s="395"/>
      <c r="V4324" s="402"/>
      <c r="W4324" s="404">
        <v>1.6E-2</v>
      </c>
      <c r="X4324" s="402">
        <v>6.7000000000000004E-2</v>
      </c>
      <c r="Y4324" s="404">
        <v>2.5000000000000001E-2</v>
      </c>
      <c r="Z4324" s="397"/>
      <c r="AA4324" s="399"/>
      <c r="AB4324" s="394"/>
      <c r="AC4324" s="402"/>
      <c r="AD4324" s="399"/>
      <c r="AE4324" s="402"/>
      <c r="AF4324" s="391"/>
      <c r="AG4324" s="394"/>
      <c r="AH4324" s="394"/>
      <c r="AI4324" s="394">
        <v>10</v>
      </c>
      <c r="AJ4324" s="394">
        <v>270</v>
      </c>
      <c r="AK4324" s="394"/>
      <c r="AL4324" s="394"/>
      <c r="AM4324" s="394"/>
      <c r="AN4324" s="394"/>
      <c r="AO4324" s="394"/>
      <c r="AP4324" s="394"/>
      <c r="AQ4324" s="394"/>
      <c r="AR4324" s="394"/>
      <c r="AS4324" s="402"/>
      <c r="AT4324" s="404"/>
      <c r="AU4324" s="394"/>
      <c r="AV4324" s="394"/>
    </row>
    <row r="4325" spans="1:79" ht="15" customHeight="1">
      <c r="A4325" s="41" t="s">
        <v>183</v>
      </c>
      <c r="B4325" s="402" t="s">
        <v>3921</v>
      </c>
      <c r="C4325" s="113" t="s">
        <v>3922</v>
      </c>
      <c r="D4325" s="393" t="s">
        <v>3953</v>
      </c>
      <c r="E4325" s="394" t="s">
        <v>364</v>
      </c>
      <c r="F4325" s="402">
        <v>4318</v>
      </c>
      <c r="G4325" s="405" t="s">
        <v>3923</v>
      </c>
      <c r="H4325" s="404">
        <v>4952</v>
      </c>
      <c r="I4325" s="402"/>
      <c r="J4325" s="406" t="s">
        <v>6479</v>
      </c>
      <c r="K4325" s="403">
        <v>41631</v>
      </c>
      <c r="L4325" s="398">
        <v>41625</v>
      </c>
      <c r="M4325" s="402">
        <f t="shared" si="258"/>
        <v>6</v>
      </c>
      <c r="N4325" s="402" t="s">
        <v>2</v>
      </c>
      <c r="O4325" s="404">
        <v>1.2</v>
      </c>
      <c r="P4325" s="402">
        <v>7</v>
      </c>
      <c r="Q4325" s="404">
        <v>6.37</v>
      </c>
      <c r="R4325" s="402">
        <v>63.8</v>
      </c>
      <c r="S4325" s="404">
        <v>70</v>
      </c>
      <c r="T4325" s="402">
        <v>0.13</v>
      </c>
      <c r="U4325" s="395">
        <v>0.94</v>
      </c>
      <c r="V4325" s="402">
        <v>0.34</v>
      </c>
      <c r="W4325" s="404">
        <v>1.4999999999999999E-2</v>
      </c>
      <c r="X4325" s="402">
        <v>5.0999999999999997E-2</v>
      </c>
      <c r="Y4325" s="404">
        <v>3.0000000000000001E-3</v>
      </c>
      <c r="Z4325" s="397">
        <v>1</v>
      </c>
      <c r="AA4325" s="399">
        <v>1</v>
      </c>
      <c r="AB4325" s="394">
        <v>7.44</v>
      </c>
      <c r="AC4325" s="402">
        <v>688</v>
      </c>
      <c r="AD4325" s="399">
        <v>1</v>
      </c>
      <c r="AE4325" s="402"/>
      <c r="AF4325" s="391"/>
      <c r="AG4325" s="394"/>
      <c r="AH4325" s="394"/>
      <c r="AI4325" s="394"/>
      <c r="AJ4325" s="394"/>
      <c r="AK4325" s="394"/>
      <c r="AL4325" s="394"/>
      <c r="AM4325" s="394"/>
      <c r="AN4325" s="394"/>
      <c r="AO4325" s="394"/>
      <c r="AP4325" s="394"/>
      <c r="AQ4325" s="394"/>
      <c r="AR4325" s="394"/>
      <c r="AS4325" s="402"/>
      <c r="AT4325" s="404"/>
      <c r="AU4325" s="394"/>
      <c r="AV4325" s="394"/>
    </row>
    <row r="4326" spans="1:79" ht="15" customHeight="1">
      <c r="A4326" s="41" t="s">
        <v>183</v>
      </c>
      <c r="B4326" s="402" t="s">
        <v>3921</v>
      </c>
      <c r="C4326" s="113" t="s">
        <v>3922</v>
      </c>
      <c r="D4326" s="393" t="s">
        <v>3953</v>
      </c>
      <c r="E4326" s="394" t="s">
        <v>364</v>
      </c>
      <c r="F4326" s="402">
        <v>4318</v>
      </c>
      <c r="G4326" s="405" t="s">
        <v>3923</v>
      </c>
      <c r="H4326" s="404">
        <v>4952</v>
      </c>
      <c r="I4326" s="402"/>
      <c r="J4326" s="406" t="s">
        <v>6479</v>
      </c>
      <c r="K4326" s="403">
        <v>41499</v>
      </c>
      <c r="L4326" s="398">
        <v>41495</v>
      </c>
      <c r="M4326" s="402">
        <f t="shared" si="258"/>
        <v>4</v>
      </c>
      <c r="N4326" s="402" t="s">
        <v>2</v>
      </c>
      <c r="O4326" s="404">
        <f>1/2</f>
        <v>0.5</v>
      </c>
      <c r="P4326" s="402">
        <v>6.4</v>
      </c>
      <c r="Q4326" s="404">
        <v>6.66</v>
      </c>
      <c r="R4326" s="402">
        <v>78.599999999999994</v>
      </c>
      <c r="S4326" s="404">
        <v>25</v>
      </c>
      <c r="T4326" s="402">
        <v>0.18</v>
      </c>
      <c r="U4326" s="395">
        <v>0.96</v>
      </c>
      <c r="V4326" s="402">
        <v>1.2</v>
      </c>
      <c r="W4326" s="404">
        <v>1.7000000000000001E-2</v>
      </c>
      <c r="X4326" s="402">
        <v>3.5000000000000003E-2</v>
      </c>
      <c r="Y4326" s="404">
        <v>2E-3</v>
      </c>
      <c r="Z4326" s="397"/>
      <c r="AA4326" s="399"/>
      <c r="AB4326" s="394"/>
      <c r="AC4326" s="402"/>
      <c r="AD4326" s="399"/>
      <c r="AE4326" s="402"/>
      <c r="AF4326" s="391"/>
      <c r="AG4326" s="394"/>
      <c r="AH4326" s="394"/>
      <c r="AI4326" s="394"/>
      <c r="AJ4326" s="394"/>
      <c r="AK4326" s="394"/>
      <c r="AL4326" s="394"/>
      <c r="AM4326" s="394"/>
      <c r="AN4326" s="394"/>
      <c r="AO4326" s="394"/>
      <c r="AP4326" s="394"/>
      <c r="AQ4326" s="394"/>
      <c r="AR4326" s="394"/>
      <c r="AS4326" s="402"/>
      <c r="AT4326" s="404"/>
      <c r="AU4326" s="394"/>
      <c r="AV4326" s="394"/>
    </row>
    <row r="4327" spans="1:79" ht="15" customHeight="1">
      <c r="A4327" s="404" t="s">
        <v>4668</v>
      </c>
      <c r="B4327" s="402" t="s">
        <v>2531</v>
      </c>
      <c r="C4327" s="113" t="s">
        <v>2531</v>
      </c>
      <c r="D4327" s="393" t="s">
        <v>257</v>
      </c>
      <c r="E4327" s="394" t="s">
        <v>512</v>
      </c>
      <c r="F4327" s="402" t="s">
        <v>5734</v>
      </c>
      <c r="G4327" s="405" t="s">
        <v>2533</v>
      </c>
      <c r="H4327" s="404">
        <v>3365</v>
      </c>
      <c r="I4327" s="402" t="s">
        <v>1</v>
      </c>
      <c r="J4327" s="406" t="s">
        <v>115</v>
      </c>
      <c r="K4327" s="403">
        <v>41744</v>
      </c>
      <c r="L4327" s="398">
        <v>41737</v>
      </c>
      <c r="M4327" s="402">
        <f t="shared" si="258"/>
        <v>7</v>
      </c>
      <c r="N4327" s="402" t="s">
        <v>2</v>
      </c>
      <c r="O4327" s="404"/>
      <c r="P4327" s="402"/>
      <c r="Q4327" s="404"/>
      <c r="R4327" s="402"/>
      <c r="S4327" s="404"/>
      <c r="T4327" s="402"/>
      <c r="U4327" s="395"/>
      <c r="V4327" s="402"/>
      <c r="W4327" s="404">
        <v>5.8000000000000003E-2</v>
      </c>
      <c r="X4327" s="402"/>
      <c r="Y4327" s="404"/>
      <c r="Z4327" s="397"/>
      <c r="AA4327" s="399"/>
      <c r="AB4327" s="394"/>
      <c r="AC4327" s="402"/>
      <c r="AD4327" s="399"/>
      <c r="AE4327" s="402"/>
      <c r="AF4327" s="391"/>
      <c r="AG4327" s="394"/>
      <c r="AH4327" s="394"/>
      <c r="AI4327" s="394"/>
      <c r="AJ4327" s="394"/>
      <c r="AK4327" s="394"/>
      <c r="AL4327" s="394"/>
      <c r="AM4327" s="394"/>
      <c r="AN4327" s="394"/>
      <c r="AO4327" s="394"/>
      <c r="AP4327" s="394"/>
      <c r="AQ4327" s="394"/>
      <c r="AR4327" s="394"/>
      <c r="AS4327" s="402"/>
      <c r="AT4327" s="404"/>
      <c r="AU4327" s="394"/>
      <c r="AV4327" s="394"/>
    </row>
    <row r="4328" spans="1:79" ht="15" customHeight="1">
      <c r="A4328" s="404" t="s">
        <v>4668</v>
      </c>
      <c r="B4328" s="402" t="s">
        <v>428</v>
      </c>
      <c r="C4328" s="113" t="s">
        <v>4897</v>
      </c>
      <c r="D4328" s="393" t="s">
        <v>111</v>
      </c>
      <c r="E4328" s="394" t="s">
        <v>429</v>
      </c>
      <c r="F4328" s="402">
        <v>5207</v>
      </c>
      <c r="G4328" s="405" t="s">
        <v>430</v>
      </c>
      <c r="H4328" s="404">
        <v>3356</v>
      </c>
      <c r="I4328" s="402" t="s">
        <v>1</v>
      </c>
      <c r="J4328" s="406" t="s">
        <v>5756</v>
      </c>
      <c r="K4328" s="403">
        <v>41710</v>
      </c>
      <c r="L4328" s="398">
        <v>41690</v>
      </c>
      <c r="M4328" s="402">
        <f t="shared" si="258"/>
        <v>20</v>
      </c>
      <c r="N4328" s="402" t="s">
        <v>1</v>
      </c>
      <c r="O4328" s="404"/>
      <c r="P4328" s="402"/>
      <c r="Q4328" s="404"/>
      <c r="R4328" s="402"/>
      <c r="S4328" s="404"/>
      <c r="T4328" s="402"/>
      <c r="U4328" s="395"/>
      <c r="V4328" s="402"/>
      <c r="W4328" s="404">
        <v>0.109</v>
      </c>
      <c r="X4328" s="402"/>
      <c r="Y4328" s="404"/>
      <c r="Z4328" s="397"/>
      <c r="AA4328" s="399"/>
      <c r="AB4328" s="394"/>
      <c r="AC4328" s="402"/>
      <c r="AD4328" s="399"/>
      <c r="AE4328" s="402"/>
      <c r="AF4328" s="391"/>
      <c r="AG4328" s="394"/>
      <c r="AH4328" s="394"/>
      <c r="AI4328" s="394"/>
      <c r="AJ4328" s="394"/>
      <c r="AK4328" s="394"/>
      <c r="AL4328" s="394"/>
      <c r="AM4328" s="394"/>
      <c r="AN4328" s="394"/>
      <c r="AO4328" s="394"/>
      <c r="AP4328" s="394"/>
      <c r="AQ4328" s="394"/>
      <c r="AR4328" s="394"/>
      <c r="AS4328" s="402"/>
      <c r="AT4328" s="404"/>
      <c r="AU4328" s="394"/>
      <c r="AV4328" s="394"/>
    </row>
    <row r="4329" spans="1:79" ht="15" customHeight="1">
      <c r="A4329" s="404" t="s">
        <v>4668</v>
      </c>
      <c r="B4329" s="402" t="s">
        <v>2208</v>
      </c>
      <c r="C4329" s="113" t="s">
        <v>2208</v>
      </c>
      <c r="D4329" s="393" t="s">
        <v>1217</v>
      </c>
      <c r="E4329" s="394" t="s">
        <v>2112</v>
      </c>
      <c r="F4329" s="402" t="s">
        <v>6480</v>
      </c>
      <c r="G4329" s="405" t="s">
        <v>2209</v>
      </c>
      <c r="H4329" s="404">
        <v>3721</v>
      </c>
      <c r="I4329" s="402" t="s">
        <v>2</v>
      </c>
      <c r="J4329" s="406" t="s">
        <v>81</v>
      </c>
      <c r="K4329" s="403">
        <v>41744</v>
      </c>
      <c r="L4329" s="398">
        <v>41740</v>
      </c>
      <c r="M4329" s="402">
        <f t="shared" si="258"/>
        <v>4</v>
      </c>
      <c r="N4329" s="402" t="s">
        <v>2</v>
      </c>
      <c r="O4329" s="404">
        <f>1.4/2</f>
        <v>0.7</v>
      </c>
      <c r="P4329" s="402">
        <v>8.69</v>
      </c>
      <c r="Q4329" s="404">
        <v>6.85</v>
      </c>
      <c r="R4329" s="402">
        <v>27</v>
      </c>
      <c r="S4329" s="404">
        <v>50</v>
      </c>
      <c r="T4329" s="402">
        <v>0.11</v>
      </c>
      <c r="U4329" s="395">
        <v>0.69</v>
      </c>
      <c r="V4329" s="402">
        <v>0.12</v>
      </c>
      <c r="W4329" s="404">
        <f>0.005/2</f>
        <v>2.5000000000000001E-3</v>
      </c>
      <c r="X4329" s="402">
        <v>3.0000000000000001E-3</v>
      </c>
      <c r="Y4329" s="404">
        <f>0.002/2</f>
        <v>1E-3</v>
      </c>
      <c r="Z4329" s="397">
        <v>1</v>
      </c>
      <c r="AA4329" s="399">
        <v>1</v>
      </c>
      <c r="AB4329" s="394">
        <v>6</v>
      </c>
      <c r="AC4329" s="402">
        <v>16</v>
      </c>
      <c r="AD4329" s="399">
        <v>1</v>
      </c>
      <c r="AE4329" s="402"/>
      <c r="AF4329" s="391"/>
      <c r="AG4329" s="394"/>
      <c r="AH4329" s="394"/>
      <c r="AI4329" s="394"/>
      <c r="AJ4329" s="394"/>
      <c r="AK4329" s="394"/>
      <c r="AL4329" s="394"/>
      <c r="AM4329" s="394"/>
      <c r="AN4329" s="394"/>
      <c r="AO4329" s="394"/>
      <c r="AP4329" s="394"/>
      <c r="AQ4329" s="394"/>
      <c r="AR4329" s="394"/>
      <c r="AS4329" s="402"/>
      <c r="AT4329" s="404"/>
      <c r="AU4329" s="394"/>
      <c r="AV4329" s="394"/>
    </row>
    <row r="4330" spans="1:79" ht="15" customHeight="1">
      <c r="A4330" s="404" t="s">
        <v>4668</v>
      </c>
      <c r="B4330" s="402" t="s">
        <v>2208</v>
      </c>
      <c r="C4330" s="113" t="s">
        <v>2208</v>
      </c>
      <c r="D4330" s="393" t="s">
        <v>1217</v>
      </c>
      <c r="E4330" s="394" t="s">
        <v>2112</v>
      </c>
      <c r="F4330" s="402" t="s">
        <v>6480</v>
      </c>
      <c r="G4330" s="405" t="s">
        <v>2210</v>
      </c>
      <c r="H4330" s="404">
        <v>3721</v>
      </c>
      <c r="I4330" s="391" t="s">
        <v>2</v>
      </c>
      <c r="J4330" s="401" t="s">
        <v>1125</v>
      </c>
      <c r="K4330" s="403">
        <v>41744</v>
      </c>
      <c r="L4330" s="398">
        <v>41740</v>
      </c>
      <c r="M4330" s="402">
        <f t="shared" si="258"/>
        <v>4</v>
      </c>
      <c r="N4330" s="402" t="s">
        <v>2</v>
      </c>
      <c r="O4330" s="404">
        <f>1.4/2</f>
        <v>0.7</v>
      </c>
      <c r="P4330" s="402">
        <v>8.18</v>
      </c>
      <c r="Q4330" s="404">
        <v>6.66</v>
      </c>
      <c r="R4330" s="402">
        <v>32</v>
      </c>
      <c r="S4330" s="404">
        <v>11</v>
      </c>
      <c r="T4330" s="402">
        <v>0.12</v>
      </c>
      <c r="U4330" s="395">
        <v>3.31</v>
      </c>
      <c r="V4330" s="402">
        <v>0.28999999999999998</v>
      </c>
      <c r="W4330" s="404">
        <f>0.005/2</f>
        <v>2.5000000000000001E-3</v>
      </c>
      <c r="X4330" s="402">
        <v>0.01</v>
      </c>
      <c r="Y4330" s="404">
        <f>0.002/2</f>
        <v>1E-3</v>
      </c>
      <c r="Z4330" s="397">
        <v>1</v>
      </c>
      <c r="AA4330" s="399">
        <v>1</v>
      </c>
      <c r="AB4330" s="394">
        <v>2</v>
      </c>
      <c r="AC4330" s="402">
        <v>29</v>
      </c>
      <c r="AD4330" s="399">
        <v>1</v>
      </c>
      <c r="AE4330" s="402"/>
      <c r="AF4330" s="391"/>
      <c r="AG4330" s="394"/>
      <c r="AH4330" s="394"/>
      <c r="AI4330" s="394"/>
      <c r="AJ4330" s="394"/>
      <c r="AK4330" s="394"/>
      <c r="AL4330" s="394"/>
      <c r="AM4330" s="394"/>
      <c r="AN4330" s="394"/>
      <c r="AO4330" s="394"/>
      <c r="AP4330" s="394"/>
      <c r="AQ4330" s="394"/>
      <c r="AR4330" s="394"/>
      <c r="AS4330" s="402"/>
      <c r="AT4330" s="404"/>
      <c r="AU4330" s="394"/>
      <c r="AV4330" s="394"/>
    </row>
    <row r="4331" spans="1:79" ht="15" customHeight="1">
      <c r="A4331" s="404" t="s">
        <v>4668</v>
      </c>
      <c r="B4331" s="402" t="s">
        <v>4424</v>
      </c>
      <c r="C4331" s="113" t="s">
        <v>4424</v>
      </c>
      <c r="D4331" s="393" t="s">
        <v>2376</v>
      </c>
      <c r="E4331" s="394" t="s">
        <v>364</v>
      </c>
      <c r="F4331" s="402" t="s">
        <v>6203</v>
      </c>
      <c r="G4331" s="405" t="s">
        <v>4425</v>
      </c>
      <c r="H4331" s="404">
        <v>3625</v>
      </c>
      <c r="I4331" s="402" t="s">
        <v>2</v>
      </c>
      <c r="J4331" s="406" t="s">
        <v>81</v>
      </c>
      <c r="K4331" s="403">
        <v>41710</v>
      </c>
      <c r="L4331" s="398" t="s">
        <v>5380</v>
      </c>
      <c r="M4331" s="402"/>
      <c r="N4331" s="402" t="s">
        <v>2</v>
      </c>
      <c r="O4331" s="404"/>
      <c r="P4331" s="402"/>
      <c r="Q4331" s="404"/>
      <c r="R4331" s="402">
        <v>11</v>
      </c>
      <c r="S4331" s="404"/>
      <c r="T4331" s="402"/>
      <c r="U4331" s="395">
        <v>2.52</v>
      </c>
      <c r="V4331" s="402"/>
      <c r="W4331" s="404"/>
      <c r="X4331" s="402">
        <v>0.83199999999999996</v>
      </c>
      <c r="Y4331" s="404"/>
      <c r="Z4331" s="397"/>
      <c r="AA4331" s="399"/>
      <c r="AB4331" s="394"/>
      <c r="AC4331" s="402"/>
      <c r="AD4331" s="399"/>
      <c r="AE4331" s="402"/>
      <c r="AF4331" s="391"/>
      <c r="AG4331" s="394"/>
      <c r="AH4331" s="394"/>
      <c r="AI4331" s="394"/>
      <c r="AJ4331" s="394"/>
      <c r="AK4331" s="394"/>
      <c r="AL4331" s="394"/>
      <c r="AM4331" s="394"/>
      <c r="AN4331" s="394"/>
      <c r="AO4331" s="394"/>
      <c r="AP4331" s="394"/>
      <c r="AQ4331" s="394"/>
      <c r="AR4331" s="394"/>
      <c r="AS4331" s="402"/>
      <c r="AT4331" s="404"/>
      <c r="AU4331" s="394"/>
      <c r="AV4331" s="394"/>
    </row>
    <row r="4332" spans="1:79" ht="15" customHeight="1">
      <c r="A4332" s="404" t="s">
        <v>4668</v>
      </c>
      <c r="B4332" s="402" t="s">
        <v>4424</v>
      </c>
      <c r="C4332" s="113" t="s">
        <v>4424</v>
      </c>
      <c r="D4332" s="393" t="s">
        <v>2376</v>
      </c>
      <c r="E4332" s="394" t="s">
        <v>364</v>
      </c>
      <c r="F4332" s="402" t="s">
        <v>6203</v>
      </c>
      <c r="G4332" s="405" t="s">
        <v>4425</v>
      </c>
      <c r="H4332" s="404">
        <v>3625</v>
      </c>
      <c r="I4332" s="402" t="s">
        <v>2</v>
      </c>
      <c r="J4332" s="406" t="s">
        <v>114</v>
      </c>
      <c r="K4332" s="403">
        <v>41710</v>
      </c>
      <c r="L4332" s="398" t="s">
        <v>5380</v>
      </c>
      <c r="M4332" s="402"/>
      <c r="N4332" s="402" t="s">
        <v>2</v>
      </c>
      <c r="O4332" s="404">
        <v>3.78</v>
      </c>
      <c r="P4332" s="402"/>
      <c r="Q4332" s="404"/>
      <c r="R4332" s="402">
        <v>138</v>
      </c>
      <c r="S4332" s="404">
        <v>240</v>
      </c>
      <c r="T4332" s="402"/>
      <c r="U4332" s="395"/>
      <c r="V4332" s="402"/>
      <c r="W4332" s="404">
        <v>5.8500000000000003E-2</v>
      </c>
      <c r="X4332" s="402">
        <v>0.20599999999999999</v>
      </c>
      <c r="Y4332" s="404"/>
      <c r="Z4332" s="397"/>
      <c r="AA4332" s="399"/>
      <c r="AB4332" s="394"/>
      <c r="AC4332" s="402"/>
      <c r="AD4332" s="399"/>
      <c r="AE4332" s="402"/>
      <c r="AF4332" s="391"/>
      <c r="AG4332" s="394"/>
      <c r="AH4332" s="394"/>
      <c r="AI4332" s="394"/>
      <c r="AJ4332" s="394"/>
      <c r="AK4332" s="394"/>
      <c r="AL4332" s="394"/>
      <c r="AM4332" s="394"/>
      <c r="AN4332" s="394"/>
      <c r="AO4332" s="394"/>
      <c r="AP4332" s="394"/>
      <c r="AQ4332" s="394"/>
      <c r="AR4332" s="394"/>
      <c r="AS4332" s="402"/>
      <c r="AT4332" s="404"/>
      <c r="AU4332" s="394"/>
      <c r="AV4332" s="394"/>
    </row>
    <row r="4333" spans="1:79" ht="15" customHeight="1">
      <c r="A4333" s="404" t="s">
        <v>4668</v>
      </c>
      <c r="B4333" s="402" t="s">
        <v>1082</v>
      </c>
      <c r="C4333" s="113" t="s">
        <v>1082</v>
      </c>
      <c r="D4333" s="393" t="s">
        <v>303</v>
      </c>
      <c r="E4333" s="394" t="s">
        <v>645</v>
      </c>
      <c r="F4333" s="402" t="s">
        <v>6481</v>
      </c>
      <c r="G4333" s="405" t="s">
        <v>1083</v>
      </c>
      <c r="H4333" s="404">
        <v>3469</v>
      </c>
      <c r="I4333" s="402" t="s">
        <v>2</v>
      </c>
      <c r="J4333" s="406" t="s">
        <v>6176</v>
      </c>
      <c r="K4333" s="403">
        <v>41744</v>
      </c>
      <c r="L4333" s="398" t="s">
        <v>3434</v>
      </c>
      <c r="M4333" s="402"/>
      <c r="N4333" s="402" t="s">
        <v>2</v>
      </c>
      <c r="O4333" s="404">
        <v>1.2</v>
      </c>
      <c r="P4333" s="402">
        <v>5.17</v>
      </c>
      <c r="Q4333" s="404">
        <v>6.45</v>
      </c>
      <c r="R4333" s="402">
        <v>13</v>
      </c>
      <c r="S4333" s="404">
        <v>66</v>
      </c>
      <c r="T4333" s="402">
        <v>0.36</v>
      </c>
      <c r="U4333" s="395">
        <v>3.12</v>
      </c>
      <c r="V4333" s="402">
        <v>0.24</v>
      </c>
      <c r="W4333" s="404">
        <v>0.06</v>
      </c>
      <c r="X4333" s="402">
        <v>0.09</v>
      </c>
      <c r="Y4333" s="404">
        <f>0.05/2</f>
        <v>2.5000000000000001E-2</v>
      </c>
      <c r="Z4333" s="397"/>
      <c r="AA4333" s="399"/>
      <c r="AB4333" s="394"/>
      <c r="AC4333" s="402"/>
      <c r="AD4333" s="399"/>
      <c r="AE4333" s="402"/>
      <c r="AF4333" s="391"/>
      <c r="AG4333" s="394"/>
      <c r="AH4333" s="394"/>
      <c r="AI4333" s="394"/>
      <c r="AJ4333" s="394"/>
      <c r="AK4333" s="394"/>
      <c r="AL4333" s="394"/>
      <c r="AM4333" s="394">
        <f>0.05/2</f>
        <v>2.5000000000000001E-2</v>
      </c>
      <c r="AN4333" s="394">
        <v>2.96</v>
      </c>
      <c r="AO4333" s="394">
        <f>0.05/2</f>
        <v>2.5000000000000001E-2</v>
      </c>
      <c r="AP4333" s="394">
        <f>0.02/2</f>
        <v>0.01</v>
      </c>
      <c r="AQ4333" s="394"/>
      <c r="AR4333" s="394"/>
      <c r="AS4333" s="402"/>
      <c r="AT4333" s="404"/>
      <c r="AU4333" s="394"/>
      <c r="AV4333" s="394"/>
    </row>
    <row r="4334" spans="1:79" s="1" customFormat="1" ht="15" customHeight="1">
      <c r="A4334" s="404" t="s">
        <v>4668</v>
      </c>
      <c r="B4334" s="402" t="s">
        <v>1082</v>
      </c>
      <c r="C4334" s="113" t="s">
        <v>1082</v>
      </c>
      <c r="D4334" s="393" t="s">
        <v>303</v>
      </c>
      <c r="E4334" s="394" t="s">
        <v>645</v>
      </c>
      <c r="F4334" s="402" t="s">
        <v>6481</v>
      </c>
      <c r="G4334" s="405" t="s">
        <v>1083</v>
      </c>
      <c r="H4334" s="391">
        <v>3469</v>
      </c>
      <c r="I4334" s="402" t="s">
        <v>2</v>
      </c>
      <c r="J4334" s="393" t="s">
        <v>6176</v>
      </c>
      <c r="K4334" s="403">
        <v>41744</v>
      </c>
      <c r="L4334" s="379" t="s">
        <v>3434</v>
      </c>
      <c r="M4334" s="402"/>
      <c r="N4334" s="402" t="s">
        <v>2</v>
      </c>
      <c r="O4334" s="391">
        <f>1/2</f>
        <v>0.5</v>
      </c>
      <c r="P4334" s="402">
        <v>5.17</v>
      </c>
      <c r="Q4334" s="391">
        <v>5.64</v>
      </c>
      <c r="R4334" s="402">
        <v>35</v>
      </c>
      <c r="S4334" s="391">
        <v>9</v>
      </c>
      <c r="T4334" s="402">
        <v>0.32</v>
      </c>
      <c r="U4334" s="152">
        <v>3.22</v>
      </c>
      <c r="V4334" s="402">
        <v>0.51</v>
      </c>
      <c r="W4334" s="391">
        <v>0.08</v>
      </c>
      <c r="X4334" s="402">
        <v>0.21</v>
      </c>
      <c r="Y4334" s="391">
        <f>0.05/2</f>
        <v>2.5000000000000001E-2</v>
      </c>
      <c r="Z4334" s="269"/>
      <c r="AA4334" s="399"/>
      <c r="AB4334" s="394"/>
      <c r="AC4334" s="402"/>
      <c r="AD4334" s="399"/>
      <c r="AE4334" s="402"/>
      <c r="AF4334" s="391"/>
      <c r="AG4334" s="394"/>
      <c r="AH4334" s="394"/>
      <c r="AI4334" s="394"/>
      <c r="AJ4334" s="394"/>
      <c r="AK4334" s="394"/>
      <c r="AL4334" s="394"/>
      <c r="AM4334" s="394">
        <f>0.05/2</f>
        <v>2.5000000000000001E-2</v>
      </c>
      <c r="AN4334" s="394">
        <v>0.64</v>
      </c>
      <c r="AO4334" s="394">
        <f>0.05/2</f>
        <v>2.5000000000000001E-2</v>
      </c>
      <c r="AP4334" s="394">
        <f>0.02/2</f>
        <v>0.01</v>
      </c>
      <c r="AQ4334" s="394"/>
      <c r="AR4334" s="394"/>
      <c r="AS4334" s="402"/>
      <c r="AT4334" s="391"/>
      <c r="AU4334" s="394"/>
      <c r="AV4334" s="394"/>
      <c r="AW4334" s="394"/>
      <c r="AX4334" s="5"/>
      <c r="AY4334" s="5"/>
      <c r="AZ4334" s="5"/>
      <c r="BA4334" s="5"/>
      <c r="BB4334" s="5"/>
      <c r="BC4334" s="5"/>
      <c r="BD4334" s="5"/>
      <c r="BE4334" s="5"/>
      <c r="BF4334" s="5"/>
      <c r="BG4334" s="5"/>
      <c r="BH4334" s="5"/>
      <c r="BI4334" s="5"/>
      <c r="BJ4334" s="5"/>
      <c r="BK4334" s="5"/>
      <c r="BL4334" s="5"/>
      <c r="BM4334" s="5"/>
      <c r="BN4334" s="5"/>
      <c r="BO4334" s="5"/>
      <c r="BP4334" s="5"/>
      <c r="BQ4334" s="5"/>
      <c r="BR4334" s="5"/>
      <c r="BS4334" s="5"/>
      <c r="BT4334" s="5"/>
      <c r="BU4334" s="5"/>
      <c r="BV4334" s="5"/>
      <c r="BW4334" s="5"/>
      <c r="BX4334" s="5"/>
      <c r="BY4334" s="5"/>
      <c r="BZ4334" s="5"/>
      <c r="CA4334" s="5"/>
    </row>
    <row r="4335" spans="1:79" ht="15" customHeight="1">
      <c r="A4335" s="404" t="s">
        <v>4668</v>
      </c>
      <c r="B4335" s="402" t="s">
        <v>4780</v>
      </c>
      <c r="C4335" s="113" t="s">
        <v>4780</v>
      </c>
      <c r="D4335" s="393" t="s">
        <v>636</v>
      </c>
      <c r="E4335" s="394" t="s">
        <v>4781</v>
      </c>
      <c r="F4335" s="402" t="s">
        <v>4916</v>
      </c>
      <c r="G4335" s="405" t="s">
        <v>2046</v>
      </c>
      <c r="H4335" s="404">
        <v>2653</v>
      </c>
      <c r="I4335" s="402" t="s">
        <v>2</v>
      </c>
      <c r="J4335" s="406" t="s">
        <v>194</v>
      </c>
      <c r="K4335" s="403">
        <v>41733</v>
      </c>
      <c r="L4335" s="398">
        <v>41728</v>
      </c>
      <c r="M4335" s="402">
        <f t="shared" ref="M4335:M4342" si="259">K4335-L4335</f>
        <v>5</v>
      </c>
      <c r="N4335" s="402" t="s">
        <v>2</v>
      </c>
      <c r="O4335" s="404"/>
      <c r="P4335" s="402"/>
      <c r="Q4335" s="404"/>
      <c r="R4335" s="402"/>
      <c r="S4335" s="404"/>
      <c r="T4335" s="402"/>
      <c r="U4335" s="395"/>
      <c r="V4335" s="402"/>
      <c r="W4335" s="404"/>
      <c r="X4335" s="402">
        <v>8.1000000000000003E-2</v>
      </c>
      <c r="Z4335" s="165"/>
    </row>
    <row r="4336" spans="1:79" ht="15" customHeight="1">
      <c r="A4336" s="404" t="s">
        <v>4668</v>
      </c>
      <c r="B4336" s="402" t="s">
        <v>4780</v>
      </c>
      <c r="C4336" s="113" t="s">
        <v>4780</v>
      </c>
      <c r="D4336" s="393" t="s">
        <v>636</v>
      </c>
      <c r="E4336" s="394" t="s">
        <v>4781</v>
      </c>
      <c r="F4336" s="402" t="s">
        <v>4916</v>
      </c>
      <c r="G4336" s="405" t="s">
        <v>2046</v>
      </c>
      <c r="H4336" s="404">
        <v>2653</v>
      </c>
      <c r="I4336" s="402" t="s">
        <v>2</v>
      </c>
      <c r="J4336" s="406" t="s">
        <v>586</v>
      </c>
      <c r="K4336" s="403">
        <v>41733</v>
      </c>
      <c r="L4336" s="398">
        <v>41728</v>
      </c>
      <c r="M4336" s="402">
        <f t="shared" si="259"/>
        <v>5</v>
      </c>
      <c r="N4336" s="402" t="s">
        <v>2</v>
      </c>
      <c r="O4336" s="404"/>
      <c r="P4336" s="402"/>
      <c r="Q4336" s="404"/>
      <c r="R4336" s="402">
        <v>44</v>
      </c>
      <c r="S4336" s="404">
        <v>7</v>
      </c>
      <c r="T4336" s="402"/>
      <c r="U4336" s="395">
        <v>1.54</v>
      </c>
      <c r="V4336" s="402"/>
      <c r="W4336" s="404"/>
      <c r="X4336" s="402"/>
      <c r="Z4336" s="165"/>
    </row>
    <row r="4337" spans="1:79" ht="15" customHeight="1">
      <c r="A4337" s="404" t="s">
        <v>4668</v>
      </c>
      <c r="B4337" s="386" t="s">
        <v>583</v>
      </c>
      <c r="C4337" s="149" t="s">
        <v>583</v>
      </c>
      <c r="D4337" s="392" t="s">
        <v>290</v>
      </c>
      <c r="E4337" s="258" t="s">
        <v>584</v>
      </c>
      <c r="F4337" s="386"/>
      <c r="G4337" s="405" t="s">
        <v>585</v>
      </c>
      <c r="H4337" s="404">
        <v>3471</v>
      </c>
      <c r="I4337" s="402" t="s">
        <v>1</v>
      </c>
      <c r="J4337" s="406" t="s">
        <v>194</v>
      </c>
      <c r="K4337" s="403">
        <v>41744</v>
      </c>
      <c r="L4337" s="398">
        <v>41740</v>
      </c>
      <c r="M4337" s="402">
        <f t="shared" si="259"/>
        <v>4</v>
      </c>
      <c r="N4337" s="402" t="s">
        <v>2</v>
      </c>
      <c r="O4337" s="404"/>
      <c r="P4337" s="402"/>
      <c r="Q4337" s="404"/>
      <c r="R4337" s="402"/>
      <c r="S4337" s="404"/>
      <c r="T4337" s="402"/>
      <c r="U4337" s="395"/>
      <c r="V4337" s="402"/>
      <c r="W4337" s="404"/>
      <c r="X4337" s="402">
        <v>1.4E-2</v>
      </c>
      <c r="Z4337" s="165"/>
    </row>
    <row r="4338" spans="1:79" ht="15" customHeight="1">
      <c r="A4338" s="404" t="s">
        <v>4668</v>
      </c>
      <c r="B4338" s="386" t="s">
        <v>583</v>
      </c>
      <c r="C4338" s="149" t="s">
        <v>583</v>
      </c>
      <c r="D4338" s="392" t="s">
        <v>290</v>
      </c>
      <c r="E4338" s="258" t="s">
        <v>584</v>
      </c>
      <c r="F4338" s="386"/>
      <c r="G4338" s="405" t="s">
        <v>585</v>
      </c>
      <c r="H4338" s="404">
        <v>3471</v>
      </c>
      <c r="I4338" s="402" t="s">
        <v>1</v>
      </c>
      <c r="J4338" s="406" t="s">
        <v>569</v>
      </c>
      <c r="K4338" s="403">
        <v>41744</v>
      </c>
      <c r="L4338" s="398">
        <v>41740</v>
      </c>
      <c r="M4338" s="402">
        <f t="shared" si="259"/>
        <v>4</v>
      </c>
      <c r="N4338" s="402" t="s">
        <v>2</v>
      </c>
      <c r="O4338" s="404"/>
      <c r="P4338" s="402"/>
      <c r="Q4338" s="404"/>
      <c r="R4338" s="402"/>
      <c r="S4338" s="404"/>
      <c r="T4338" s="402"/>
      <c r="U4338" s="395"/>
      <c r="V4338" s="402">
        <v>0.47</v>
      </c>
      <c r="W4338" s="404"/>
      <c r="X4338" s="402">
        <v>3.5999999999999997E-2</v>
      </c>
      <c r="Z4338" s="165"/>
    </row>
    <row r="4339" spans="1:79" ht="15" customHeight="1">
      <c r="A4339" s="404" t="s">
        <v>4668</v>
      </c>
      <c r="B4339" s="386" t="s">
        <v>583</v>
      </c>
      <c r="C4339" s="149" t="s">
        <v>583</v>
      </c>
      <c r="D4339" s="392" t="s">
        <v>290</v>
      </c>
      <c r="E4339" s="258" t="s">
        <v>584</v>
      </c>
      <c r="F4339" s="386"/>
      <c r="G4339" s="405" t="s">
        <v>585</v>
      </c>
      <c r="H4339" s="404">
        <v>3471</v>
      </c>
      <c r="I4339" s="402" t="s">
        <v>1</v>
      </c>
      <c r="J4339" s="406" t="s">
        <v>586</v>
      </c>
      <c r="K4339" s="403">
        <v>41744</v>
      </c>
      <c r="L4339" s="398">
        <v>41740</v>
      </c>
      <c r="M4339" s="402">
        <f t="shared" si="259"/>
        <v>4</v>
      </c>
      <c r="N4339" s="402" t="s">
        <v>2</v>
      </c>
      <c r="O4339" s="404"/>
      <c r="P4339" s="402"/>
      <c r="Q4339" s="404"/>
      <c r="R4339" s="402"/>
      <c r="S4339" s="404"/>
      <c r="T4339" s="402">
        <v>0.2</v>
      </c>
      <c r="U4339" s="395"/>
      <c r="V4339" s="402">
        <v>0.64</v>
      </c>
      <c r="W4339" s="404">
        <v>5.0999999999999997E-2</v>
      </c>
      <c r="X4339" s="402">
        <v>0.65800000000000003</v>
      </c>
      <c r="Z4339" s="165"/>
    </row>
    <row r="4340" spans="1:79" ht="15" customHeight="1">
      <c r="A4340" s="404" t="s">
        <v>4668</v>
      </c>
      <c r="B4340" s="402" t="s">
        <v>4766</v>
      </c>
      <c r="C4340" s="113" t="s">
        <v>4767</v>
      </c>
      <c r="D4340" s="393" t="s">
        <v>406</v>
      </c>
      <c r="E4340" s="394" t="s">
        <v>4768</v>
      </c>
      <c r="G4340" s="405" t="s">
        <v>4769</v>
      </c>
      <c r="H4340" s="404">
        <v>4011</v>
      </c>
      <c r="I4340" s="402" t="s">
        <v>2</v>
      </c>
      <c r="J4340" s="406" t="s">
        <v>4770</v>
      </c>
      <c r="K4340" s="403">
        <v>41706</v>
      </c>
      <c r="L4340" s="398">
        <v>41683</v>
      </c>
      <c r="M4340" s="402">
        <f t="shared" si="259"/>
        <v>23</v>
      </c>
      <c r="N4340" s="402" t="s">
        <v>1</v>
      </c>
      <c r="O4340" s="404"/>
      <c r="P4340" s="402"/>
      <c r="Q4340" s="404"/>
      <c r="R4340" s="402">
        <v>23</v>
      </c>
      <c r="S4340" s="404"/>
      <c r="T4340" s="402"/>
      <c r="U4340" s="395">
        <v>0.64300000000000002</v>
      </c>
      <c r="V4340" s="402"/>
      <c r="W4340" s="404"/>
      <c r="X4340" s="402">
        <v>7.4999999999999997E-2</v>
      </c>
      <c r="Z4340" s="165"/>
    </row>
    <row r="4341" spans="1:79" ht="15" customHeight="1">
      <c r="A4341" s="404" t="s">
        <v>4668</v>
      </c>
      <c r="B4341" s="402" t="s">
        <v>1644</v>
      </c>
      <c r="C4341" s="113" t="s">
        <v>1644</v>
      </c>
      <c r="D4341" s="393" t="s">
        <v>1217</v>
      </c>
      <c r="E4341" s="394" t="s">
        <v>2112</v>
      </c>
      <c r="F4341" s="402" t="s">
        <v>1051</v>
      </c>
      <c r="G4341" s="405" t="s">
        <v>6048</v>
      </c>
      <c r="H4341" s="404">
        <v>3357</v>
      </c>
      <c r="I4341" s="402" t="s">
        <v>2</v>
      </c>
      <c r="J4341" s="406" t="s">
        <v>74</v>
      </c>
      <c r="K4341" s="403">
        <v>41759</v>
      </c>
      <c r="L4341" s="398">
        <v>41755</v>
      </c>
      <c r="M4341" s="402">
        <f t="shared" si="259"/>
        <v>4</v>
      </c>
      <c r="N4341" s="402" t="s">
        <v>2</v>
      </c>
      <c r="O4341" s="404"/>
      <c r="P4341" s="402"/>
      <c r="Q4341" s="404"/>
      <c r="R4341" s="402"/>
      <c r="S4341" s="404"/>
      <c r="T4341" s="402"/>
      <c r="U4341" s="395"/>
      <c r="V4341" s="402">
        <v>0.7</v>
      </c>
      <c r="W4341" s="404"/>
      <c r="X4341" s="402"/>
      <c r="Z4341" s="165"/>
    </row>
    <row r="4342" spans="1:79" ht="15" customHeight="1">
      <c r="A4342" s="404" t="s">
        <v>4668</v>
      </c>
      <c r="B4342" s="402" t="s">
        <v>1644</v>
      </c>
      <c r="C4342" s="113" t="s">
        <v>1644</v>
      </c>
      <c r="D4342" s="393" t="s">
        <v>1217</v>
      </c>
      <c r="E4342" s="394" t="s">
        <v>2112</v>
      </c>
      <c r="F4342" s="402" t="s">
        <v>1051</v>
      </c>
      <c r="G4342" s="405" t="s">
        <v>6048</v>
      </c>
      <c r="H4342" s="404">
        <v>3357</v>
      </c>
      <c r="I4342" s="402" t="s">
        <v>2</v>
      </c>
      <c r="J4342" s="406" t="s">
        <v>1642</v>
      </c>
      <c r="K4342" s="403">
        <v>41759</v>
      </c>
      <c r="L4342" s="398">
        <v>41755</v>
      </c>
      <c r="M4342" s="402">
        <f t="shared" si="259"/>
        <v>4</v>
      </c>
      <c r="N4342" s="402" t="s">
        <v>2</v>
      </c>
      <c r="O4342" s="404"/>
      <c r="P4342" s="402"/>
      <c r="Q4342" s="404"/>
      <c r="R4342" s="402"/>
      <c r="S4342" s="404"/>
      <c r="T4342" s="402"/>
      <c r="U4342" s="395"/>
      <c r="V4342" s="402"/>
      <c r="W4342" s="404"/>
      <c r="X4342" s="402">
        <v>0.21199999999999999</v>
      </c>
      <c r="Z4342" s="165"/>
    </row>
    <row r="4343" spans="1:79" ht="15" customHeight="1">
      <c r="A4343" s="41" t="s">
        <v>4668</v>
      </c>
      <c r="B4343" s="385" t="s">
        <v>2853</v>
      </c>
      <c r="C4343" s="18"/>
      <c r="D4343" s="377" t="s">
        <v>1135</v>
      </c>
      <c r="E4343" s="20" t="s">
        <v>235</v>
      </c>
      <c r="F4343" s="385" t="s">
        <v>2993</v>
      </c>
      <c r="G4343" s="377" t="s">
        <v>2992</v>
      </c>
      <c r="H4343" s="385">
        <v>4952</v>
      </c>
      <c r="I4343" s="378"/>
      <c r="J4343" s="385" t="s">
        <v>6115</v>
      </c>
      <c r="K4343" s="403">
        <v>41799</v>
      </c>
      <c r="L4343" s="379">
        <v>41795</v>
      </c>
      <c r="M4343" s="402"/>
      <c r="N4343" s="385" t="s">
        <v>2</v>
      </c>
      <c r="O4343" s="404"/>
      <c r="P4343" s="380">
        <v>4.2300000000000004</v>
      </c>
      <c r="Q4343" s="395"/>
      <c r="R4343" s="402"/>
      <c r="S4343" s="404"/>
      <c r="T4343" s="402"/>
      <c r="U4343" s="404">
        <v>1.32</v>
      </c>
      <c r="V4343" s="402"/>
      <c r="W4343" s="404"/>
      <c r="X4343" s="402">
        <v>4.4999999999999998E-2</v>
      </c>
      <c r="Z4343" s="165"/>
    </row>
    <row r="4344" spans="1:79" ht="15" customHeight="1">
      <c r="A4344" s="41" t="s">
        <v>4668</v>
      </c>
      <c r="B4344" s="385" t="s">
        <v>1488</v>
      </c>
      <c r="C4344" s="18" t="s">
        <v>2956</v>
      </c>
      <c r="D4344" s="377" t="s">
        <v>1490</v>
      </c>
      <c r="E4344" s="20" t="s">
        <v>6111</v>
      </c>
      <c r="F4344" s="385"/>
      <c r="G4344" s="15" t="s">
        <v>2958</v>
      </c>
      <c r="H4344" s="7"/>
      <c r="I4344" s="19" t="s">
        <v>1</v>
      </c>
      <c r="J4344" s="7" t="s">
        <v>6112</v>
      </c>
      <c r="K4344" s="51">
        <v>41781</v>
      </c>
      <c r="L4344" s="115" t="s">
        <v>6070</v>
      </c>
      <c r="N4344" s="7" t="s">
        <v>2</v>
      </c>
      <c r="O4344" s="74">
        <v>3.5</v>
      </c>
      <c r="P4344" s="117">
        <v>6</v>
      </c>
      <c r="Q4344" s="131">
        <v>5.8</v>
      </c>
      <c r="R4344" s="50">
        <v>240</v>
      </c>
      <c r="S4344" s="74">
        <v>310</v>
      </c>
      <c r="T4344" s="50">
        <v>1.2</v>
      </c>
      <c r="U4344" s="74">
        <v>7.4</v>
      </c>
      <c r="V4344" s="50">
        <v>0.59</v>
      </c>
      <c r="W4344" s="74">
        <v>3.9E-2</v>
      </c>
      <c r="X4344" s="50">
        <v>0.38</v>
      </c>
      <c r="Y4344" s="74">
        <v>1.4E-2</v>
      </c>
      <c r="Z4344" s="164">
        <v>1</v>
      </c>
      <c r="AA4344" s="165">
        <v>1</v>
      </c>
      <c r="AB4344" s="50">
        <v>16</v>
      </c>
      <c r="AC4344" s="74">
        <v>87</v>
      </c>
      <c r="AD4344" s="164">
        <v>1</v>
      </c>
      <c r="AF4344" s="50"/>
      <c r="AG4344" s="74"/>
      <c r="AH4344" s="74"/>
      <c r="AI4344" s="113"/>
      <c r="AJ4344" s="50"/>
      <c r="AK4344" s="74"/>
      <c r="AL4344" s="50"/>
      <c r="AM4344" s="74"/>
      <c r="AN4344" s="50"/>
      <c r="AO4344" s="74"/>
      <c r="AP4344" s="50"/>
      <c r="AQ4344" s="74"/>
      <c r="AR4344" s="50"/>
      <c r="AS4344" s="74"/>
      <c r="AT4344" s="50"/>
      <c r="AU4344" s="74"/>
      <c r="AV4344"/>
      <c r="AW4344"/>
    </row>
    <row r="4345" spans="1:79" ht="15" customHeight="1">
      <c r="A4345" s="41" t="s">
        <v>4668</v>
      </c>
      <c r="B4345" s="385" t="s">
        <v>1488</v>
      </c>
      <c r="C4345" s="18" t="s">
        <v>2956</v>
      </c>
      <c r="D4345" s="377" t="s">
        <v>1490</v>
      </c>
      <c r="E4345" s="20" t="s">
        <v>6111</v>
      </c>
      <c r="F4345" s="385"/>
      <c r="G4345" s="15" t="s">
        <v>2958</v>
      </c>
      <c r="H4345" s="7"/>
      <c r="I4345" s="19" t="s">
        <v>1</v>
      </c>
      <c r="J4345" s="7" t="s">
        <v>6113</v>
      </c>
      <c r="K4345" s="51">
        <v>41781</v>
      </c>
      <c r="L4345" s="115" t="s">
        <v>6070</v>
      </c>
      <c r="N4345" s="7" t="s">
        <v>2</v>
      </c>
      <c r="O4345" s="74">
        <v>3.9</v>
      </c>
      <c r="P4345" s="117">
        <v>6</v>
      </c>
      <c r="Q4345" s="131">
        <v>5.2</v>
      </c>
      <c r="R4345" s="50">
        <v>170</v>
      </c>
      <c r="S4345" s="74">
        <v>86</v>
      </c>
      <c r="T4345" s="50">
        <v>0.61</v>
      </c>
      <c r="U4345" s="74">
        <v>6.6</v>
      </c>
      <c r="V4345" s="50">
        <v>0.52</v>
      </c>
      <c r="W4345" s="74">
        <v>4.1000000000000002E-2</v>
      </c>
      <c r="X4345" s="50">
        <v>0.13</v>
      </c>
      <c r="Y4345" s="74">
        <v>2.5000000000000001E-2</v>
      </c>
      <c r="Z4345" s="164">
        <v>1</v>
      </c>
      <c r="AA4345" s="165">
        <v>1</v>
      </c>
      <c r="AB4345" s="50">
        <v>4</v>
      </c>
      <c r="AC4345" s="74">
        <v>30</v>
      </c>
      <c r="AD4345" s="164">
        <v>1</v>
      </c>
      <c r="AF4345" s="50"/>
      <c r="AG4345" s="74"/>
      <c r="AH4345" s="74"/>
      <c r="AI4345" s="113"/>
      <c r="AJ4345" s="50"/>
      <c r="AK4345" s="74"/>
      <c r="AL4345" s="50"/>
      <c r="AM4345" s="74"/>
      <c r="AN4345" s="50"/>
      <c r="AO4345" s="74"/>
      <c r="AP4345" s="50"/>
      <c r="AQ4345" s="74"/>
      <c r="AR4345" s="50"/>
      <c r="AS4345" s="74"/>
      <c r="AT4345" s="50"/>
      <c r="AU4345" s="74"/>
      <c r="AV4345"/>
      <c r="AW4345"/>
    </row>
    <row r="4346" spans="1:79" s="400" customFormat="1" ht="15" customHeight="1">
      <c r="A4346" s="41" t="s">
        <v>4668</v>
      </c>
      <c r="B4346" s="385" t="s">
        <v>5568</v>
      </c>
      <c r="C4346" s="18" t="s">
        <v>6020</v>
      </c>
      <c r="D4346" s="377" t="s">
        <v>1830</v>
      </c>
      <c r="E4346" s="20" t="s">
        <v>3271</v>
      </c>
      <c r="F4346" s="385"/>
      <c r="G4346" s="377" t="s">
        <v>6021</v>
      </c>
      <c r="H4346" s="385"/>
      <c r="I4346" s="378" t="s">
        <v>2</v>
      </c>
      <c r="J4346" s="385" t="s">
        <v>6020</v>
      </c>
      <c r="K4346" s="403">
        <v>40835</v>
      </c>
      <c r="L4346" s="379">
        <v>40809</v>
      </c>
      <c r="M4346" s="402">
        <f>K4346-L4346</f>
        <v>26</v>
      </c>
      <c r="N4346" s="385" t="s">
        <v>2</v>
      </c>
      <c r="O4346" s="404" t="s">
        <v>955</v>
      </c>
      <c r="P4346" s="380">
        <v>4.74</v>
      </c>
      <c r="Q4346" s="395">
        <v>7.1</v>
      </c>
      <c r="R4346" s="402">
        <v>20</v>
      </c>
      <c r="S4346" s="404">
        <v>4</v>
      </c>
      <c r="T4346" s="402">
        <v>4.2999999999999997E-2</v>
      </c>
      <c r="U4346" s="404" t="s">
        <v>955</v>
      </c>
      <c r="V4346" s="402">
        <v>0.18</v>
      </c>
      <c r="W4346" s="404">
        <v>2.3E-2</v>
      </c>
      <c r="X4346" s="402">
        <v>0.12</v>
      </c>
      <c r="Y4346" s="404">
        <v>4.1999999999999997E-3</v>
      </c>
      <c r="Z4346" s="396">
        <v>0.24099999999999999</v>
      </c>
      <c r="AA4346" s="397">
        <v>0.17699999999999999</v>
      </c>
      <c r="AB4346" s="402">
        <v>4</v>
      </c>
      <c r="AC4346" s="404">
        <v>14</v>
      </c>
      <c r="AD4346" s="396">
        <v>0</v>
      </c>
      <c r="AE4346" s="402"/>
      <c r="AF4346" s="402"/>
      <c r="AG4346" s="404"/>
      <c r="AH4346" s="404"/>
      <c r="AI4346" s="113"/>
      <c r="AJ4346" s="402"/>
      <c r="AK4346" s="404"/>
      <c r="AL4346" s="402"/>
      <c r="AM4346" s="404"/>
      <c r="AN4346" s="402"/>
      <c r="AO4346" s="404"/>
      <c r="AP4346" s="402"/>
      <c r="AQ4346" s="404"/>
      <c r="AR4346" s="402"/>
      <c r="AS4346" s="404"/>
      <c r="AT4346" s="402"/>
      <c r="AU4346" s="404"/>
      <c r="AX4346" s="5"/>
      <c r="AY4346" s="5"/>
      <c r="AZ4346" s="5"/>
      <c r="BA4346" s="5"/>
      <c r="BB4346" s="5"/>
      <c r="BC4346" s="5"/>
      <c r="BD4346" s="5"/>
      <c r="BE4346" s="5"/>
      <c r="BF4346" s="5"/>
      <c r="BG4346" s="5"/>
      <c r="BH4346" s="5"/>
      <c r="BI4346" s="5"/>
      <c r="BJ4346" s="5"/>
      <c r="BK4346" s="5"/>
      <c r="BL4346" s="5"/>
      <c r="BM4346" s="5"/>
      <c r="BN4346" s="5"/>
      <c r="BO4346" s="5"/>
      <c r="BP4346" s="5"/>
      <c r="BQ4346" s="5"/>
      <c r="BR4346" s="5"/>
      <c r="BS4346" s="5"/>
      <c r="BT4346" s="5"/>
      <c r="BU4346" s="5"/>
      <c r="BV4346" s="5"/>
      <c r="BW4346" s="5"/>
      <c r="BX4346" s="5"/>
      <c r="BY4346" s="5"/>
      <c r="BZ4346" s="5"/>
      <c r="CA4346" s="5"/>
    </row>
    <row r="4347" spans="1:79" s="400" customFormat="1" ht="15" customHeight="1">
      <c r="A4347" s="41" t="s">
        <v>4668</v>
      </c>
      <c r="B4347" s="385" t="s">
        <v>5568</v>
      </c>
      <c r="C4347" s="18" t="s">
        <v>6020</v>
      </c>
      <c r="D4347" s="377" t="s">
        <v>1830</v>
      </c>
      <c r="E4347" s="20" t="s">
        <v>3271</v>
      </c>
      <c r="F4347" s="385"/>
      <c r="G4347" s="377" t="s">
        <v>6021</v>
      </c>
      <c r="H4347" s="385"/>
      <c r="I4347" s="378" t="s">
        <v>2</v>
      </c>
      <c r="J4347" s="385" t="s">
        <v>6020</v>
      </c>
      <c r="K4347" s="403">
        <v>41432</v>
      </c>
      <c r="L4347" s="379">
        <v>41423</v>
      </c>
      <c r="M4347" s="402">
        <f>K4347-L4347</f>
        <v>9</v>
      </c>
      <c r="N4347" s="385" t="s">
        <v>2</v>
      </c>
      <c r="O4347" s="404">
        <v>1.2</v>
      </c>
      <c r="P4347" s="380">
        <v>6</v>
      </c>
      <c r="Q4347" s="395">
        <v>6.4</v>
      </c>
      <c r="R4347" s="402">
        <v>10</v>
      </c>
      <c r="S4347" s="404">
        <v>2</v>
      </c>
      <c r="T4347" s="402">
        <v>1.6E-2</v>
      </c>
      <c r="U4347" s="404">
        <v>0.5</v>
      </c>
      <c r="V4347" s="402">
        <v>0.28000000000000003</v>
      </c>
      <c r="W4347" s="404">
        <v>4.8000000000000001E-2</v>
      </c>
      <c r="X4347" s="402">
        <v>0.28999999999999998</v>
      </c>
      <c r="Y4347" s="404">
        <v>2E-3</v>
      </c>
      <c r="Z4347" s="396">
        <v>0.17699999999999999</v>
      </c>
      <c r="AA4347" s="397">
        <v>0.10199999999999999</v>
      </c>
      <c r="AB4347" s="402"/>
      <c r="AC4347" s="404">
        <v>21</v>
      </c>
      <c r="AD4347" s="396">
        <v>0</v>
      </c>
      <c r="AE4347" s="402"/>
      <c r="AF4347" s="402"/>
      <c r="AG4347" s="404"/>
      <c r="AH4347" s="404"/>
      <c r="AI4347" s="113"/>
      <c r="AJ4347" s="402"/>
      <c r="AK4347" s="404"/>
      <c r="AL4347" s="402"/>
      <c r="AM4347" s="404"/>
      <c r="AN4347" s="402"/>
      <c r="AO4347" s="404"/>
      <c r="AP4347" s="402"/>
      <c r="AQ4347" s="404"/>
      <c r="AR4347" s="402"/>
      <c r="AS4347" s="404"/>
      <c r="AT4347" s="402"/>
      <c r="AU4347" s="404"/>
      <c r="AX4347" s="5"/>
      <c r="AY4347" s="5"/>
      <c r="AZ4347" s="5"/>
      <c r="BA4347" s="5"/>
      <c r="BB4347" s="5"/>
      <c r="BC4347" s="5"/>
      <c r="BD4347" s="5"/>
      <c r="BE4347" s="5"/>
      <c r="BF4347" s="5"/>
      <c r="BG4347" s="5"/>
      <c r="BH4347" s="5"/>
      <c r="BI4347" s="5"/>
      <c r="BJ4347" s="5"/>
      <c r="BK4347" s="5"/>
      <c r="BL4347" s="5"/>
      <c r="BM4347" s="5"/>
      <c r="BN4347" s="5"/>
      <c r="BO4347" s="5"/>
      <c r="BP4347" s="5"/>
      <c r="BQ4347" s="5"/>
      <c r="BR4347" s="5"/>
      <c r="BS4347" s="5"/>
      <c r="BT4347" s="5"/>
      <c r="BU4347" s="5"/>
      <c r="BV4347" s="5"/>
      <c r="BW4347" s="5"/>
      <c r="BX4347" s="5"/>
      <c r="BY4347" s="5"/>
      <c r="BZ4347" s="5"/>
      <c r="CA4347" s="5"/>
    </row>
    <row r="4348" spans="1:79" ht="15" customHeight="1">
      <c r="A4348" s="41" t="s">
        <v>183</v>
      </c>
      <c r="B4348" s="402" t="s">
        <v>4719</v>
      </c>
      <c r="C4348" s="113" t="s">
        <v>4719</v>
      </c>
      <c r="D4348" s="393" t="s">
        <v>133</v>
      </c>
      <c r="E4348" s="394" t="s">
        <v>1247</v>
      </c>
      <c r="F4348" s="402">
        <v>4005</v>
      </c>
      <c r="G4348" s="405" t="s">
        <v>4720</v>
      </c>
      <c r="H4348" s="404">
        <v>3441</v>
      </c>
      <c r="I4348" s="402"/>
      <c r="J4348" s="406" t="s">
        <v>5679</v>
      </c>
      <c r="K4348" s="51">
        <v>41767</v>
      </c>
      <c r="L4348" s="173">
        <v>41763</v>
      </c>
      <c r="N4348" s="50" t="s">
        <v>2</v>
      </c>
      <c r="O4348" s="74">
        <f>2/2</f>
        <v>1</v>
      </c>
      <c r="P4348" s="50">
        <v>6.2</v>
      </c>
      <c r="Q4348" s="74">
        <v>6.7</v>
      </c>
      <c r="R4348" s="50">
        <v>37</v>
      </c>
      <c r="S4348" s="74">
        <v>26</v>
      </c>
      <c r="T4348" s="50">
        <v>1.01</v>
      </c>
      <c r="U4348" s="131">
        <v>2.83</v>
      </c>
      <c r="V4348" s="50">
        <v>2.57</v>
      </c>
      <c r="W4348" s="74">
        <v>3.7999999999999999E-2</v>
      </c>
      <c r="X4348" s="50">
        <v>9.8000000000000004E-2</v>
      </c>
      <c r="Y4348" s="74">
        <f>0.03/2</f>
        <v>1.4999999999999999E-2</v>
      </c>
      <c r="Z4348" s="165">
        <v>1</v>
      </c>
      <c r="AA4348" s="271">
        <v>1</v>
      </c>
      <c r="AB4348" s="114">
        <v>86</v>
      </c>
      <c r="AC4348" s="50">
        <v>420</v>
      </c>
      <c r="AD4348" s="271">
        <v>0.6</v>
      </c>
    </row>
    <row r="4349" spans="1:79" ht="15" customHeight="1">
      <c r="A4349" s="41" t="s">
        <v>183</v>
      </c>
      <c r="B4349" s="402" t="s">
        <v>4739</v>
      </c>
      <c r="C4349" s="113" t="s">
        <v>4739</v>
      </c>
      <c r="D4349" s="393" t="s">
        <v>89</v>
      </c>
      <c r="E4349" s="394" t="s">
        <v>3579</v>
      </c>
      <c r="G4349" s="405" t="s">
        <v>4740</v>
      </c>
      <c r="H4349" s="74">
        <v>2096</v>
      </c>
      <c r="I4349" s="50" t="s">
        <v>2</v>
      </c>
      <c r="J4349" s="339" t="s">
        <v>4741</v>
      </c>
      <c r="K4349" s="51">
        <v>41718</v>
      </c>
      <c r="L4349" s="173">
        <v>41710</v>
      </c>
      <c r="N4349" s="50" t="s">
        <v>1</v>
      </c>
      <c r="O4349" s="74">
        <v>2.1</v>
      </c>
      <c r="P4349" s="50">
        <v>5.5</v>
      </c>
      <c r="R4349" s="50">
        <v>22</v>
      </c>
      <c r="U4349" s="131">
        <v>0.62</v>
      </c>
      <c r="X4349" s="50">
        <v>0.14000000000000001</v>
      </c>
      <c r="Z4349" s="165"/>
    </row>
    <row r="4350" spans="1:79" ht="15" customHeight="1">
      <c r="A4350" s="41" t="s">
        <v>183</v>
      </c>
      <c r="B4350" s="402" t="s">
        <v>5610</v>
      </c>
      <c r="C4350" s="113" t="s">
        <v>5610</v>
      </c>
      <c r="D4350" s="393" t="s">
        <v>350</v>
      </c>
      <c r="E4350" s="394" t="s">
        <v>838</v>
      </c>
      <c r="F4350" s="402" t="s">
        <v>6241</v>
      </c>
      <c r="G4350" s="405" t="s">
        <v>5612</v>
      </c>
      <c r="H4350" s="391">
        <v>3441</v>
      </c>
      <c r="I4350" s="402" t="s">
        <v>2</v>
      </c>
      <c r="J4350" s="406" t="s">
        <v>6506</v>
      </c>
      <c r="K4350" s="51">
        <v>41759</v>
      </c>
      <c r="L4350" s="173">
        <v>41727</v>
      </c>
      <c r="N4350" s="50" t="s">
        <v>2</v>
      </c>
      <c r="R4350" s="50">
        <v>22</v>
      </c>
      <c r="S4350" s="74">
        <v>60</v>
      </c>
      <c r="Z4350" s="165"/>
    </row>
    <row r="4351" spans="1:79" ht="15" customHeight="1">
      <c r="A4351" s="41" t="s">
        <v>183</v>
      </c>
      <c r="B4351" s="402" t="s">
        <v>4734</v>
      </c>
      <c r="D4351" s="393" t="s">
        <v>397</v>
      </c>
      <c r="E4351" s="394" t="s">
        <v>398</v>
      </c>
      <c r="G4351" s="405" t="s">
        <v>4735</v>
      </c>
      <c r="H4351" s="404">
        <v>2631</v>
      </c>
      <c r="I4351" s="402" t="s">
        <v>1</v>
      </c>
      <c r="J4351" s="406" t="s">
        <v>460</v>
      </c>
      <c r="K4351" s="51">
        <v>41795</v>
      </c>
      <c r="L4351" s="173"/>
      <c r="N4351" s="50" t="s">
        <v>2</v>
      </c>
      <c r="Z4351" s="165"/>
      <c r="AI4351" s="114">
        <v>820</v>
      </c>
    </row>
    <row r="4352" spans="1:79" ht="15" customHeight="1">
      <c r="A4352" s="41" t="s">
        <v>4668</v>
      </c>
      <c r="B4352" s="402" t="s">
        <v>5445</v>
      </c>
      <c r="C4352" s="113" t="s">
        <v>5445</v>
      </c>
      <c r="D4352" s="393" t="s">
        <v>41</v>
      </c>
      <c r="E4352" s="394" t="s">
        <v>5446</v>
      </c>
      <c r="G4352" s="393" t="s">
        <v>4928</v>
      </c>
      <c r="H4352" s="402">
        <v>336399</v>
      </c>
      <c r="I4352" s="391" t="s">
        <v>1</v>
      </c>
      <c r="J4352" s="406" t="s">
        <v>81</v>
      </c>
      <c r="K4352" s="403">
        <v>40996</v>
      </c>
      <c r="L4352" s="379">
        <v>40984</v>
      </c>
      <c r="M4352" s="402">
        <f>K4352-L4352</f>
        <v>12</v>
      </c>
      <c r="N4352" s="402" t="s">
        <v>2</v>
      </c>
      <c r="O4352" s="404">
        <v>9.1</v>
      </c>
      <c r="P4352" s="402">
        <v>5.6</v>
      </c>
      <c r="Q4352" s="404">
        <v>6.6</v>
      </c>
      <c r="R4352" s="402">
        <v>49</v>
      </c>
      <c r="S4352" s="404">
        <v>370</v>
      </c>
      <c r="T4352" s="402">
        <v>0.26</v>
      </c>
      <c r="U4352" s="404">
        <v>4.13</v>
      </c>
      <c r="V4352" s="402">
        <v>1.27</v>
      </c>
      <c r="W4352" s="404">
        <v>0.05</v>
      </c>
      <c r="X4352" s="402">
        <v>0.186</v>
      </c>
      <c r="Y4352" s="402">
        <v>4.7E-2</v>
      </c>
      <c r="Z4352" s="165"/>
    </row>
    <row r="4353" spans="1:48" ht="15" customHeight="1">
      <c r="A4353" s="41" t="s">
        <v>4668</v>
      </c>
      <c r="B4353" s="402" t="s">
        <v>5445</v>
      </c>
      <c r="C4353" s="113" t="s">
        <v>5445</v>
      </c>
      <c r="D4353" s="393" t="s">
        <v>41</v>
      </c>
      <c r="E4353" s="394" t="s">
        <v>5446</v>
      </c>
      <c r="G4353" s="393" t="s">
        <v>4928</v>
      </c>
      <c r="H4353" s="402">
        <v>336399</v>
      </c>
      <c r="I4353" s="391" t="s">
        <v>1</v>
      </c>
      <c r="J4353" s="406" t="s">
        <v>114</v>
      </c>
      <c r="K4353" s="403">
        <v>40996</v>
      </c>
      <c r="L4353" s="379">
        <v>40984</v>
      </c>
      <c r="M4353" s="402">
        <f>K4353-L4353</f>
        <v>12</v>
      </c>
      <c r="N4353" s="402" t="s">
        <v>2</v>
      </c>
      <c r="O4353" s="404">
        <v>3.4</v>
      </c>
      <c r="P4353" s="402">
        <v>5.6</v>
      </c>
      <c r="Q4353" s="404">
        <v>6.25</v>
      </c>
      <c r="R4353" s="402">
        <v>54</v>
      </c>
      <c r="S4353" s="404">
        <v>120</v>
      </c>
      <c r="T4353" s="402">
        <v>0.2</v>
      </c>
      <c r="U4353" s="404">
        <v>3.82</v>
      </c>
      <c r="V4353" s="402">
        <v>1.38</v>
      </c>
      <c r="W4353" s="404">
        <v>2.9000000000000001E-2</v>
      </c>
      <c r="X4353" s="402">
        <v>0.19500000000000001</v>
      </c>
      <c r="Y4353" s="402">
        <v>1.2E-2</v>
      </c>
      <c r="Z4353" s="165"/>
    </row>
    <row r="4354" spans="1:48" ht="15" customHeight="1">
      <c r="A4354" s="41" t="s">
        <v>4668</v>
      </c>
      <c r="B4354" s="402" t="s">
        <v>5445</v>
      </c>
      <c r="C4354" s="113" t="s">
        <v>5445</v>
      </c>
      <c r="D4354" s="393" t="s">
        <v>41</v>
      </c>
      <c r="E4354" s="394" t="s">
        <v>5447</v>
      </c>
      <c r="G4354" s="393" t="s">
        <v>4928</v>
      </c>
      <c r="H4354" s="402">
        <v>336399</v>
      </c>
      <c r="I4354" s="391" t="s">
        <v>1</v>
      </c>
      <c r="J4354" s="406" t="s">
        <v>115</v>
      </c>
      <c r="K4354" s="403">
        <v>40996</v>
      </c>
      <c r="L4354" s="379">
        <v>40984</v>
      </c>
      <c r="M4354" s="402">
        <f>K4354-L4354</f>
        <v>12</v>
      </c>
      <c r="N4354" s="402" t="s">
        <v>2</v>
      </c>
      <c r="O4354" s="404">
        <v>11</v>
      </c>
      <c r="P4354" s="402">
        <v>5.6</v>
      </c>
      <c r="Q4354" s="404">
        <v>6.65</v>
      </c>
      <c r="R4354" s="402">
        <v>54</v>
      </c>
      <c r="S4354" s="404">
        <v>540</v>
      </c>
      <c r="T4354" s="402">
        <v>0.33</v>
      </c>
      <c r="U4354" s="404">
        <v>2.2400000000000002</v>
      </c>
      <c r="V4354" s="402">
        <v>1.17</v>
      </c>
      <c r="W4354" s="404">
        <v>6.2E-2</v>
      </c>
      <c r="X4354" s="402">
        <v>0.34399999999999997</v>
      </c>
      <c r="Y4354" s="402">
        <v>7.9000000000000001E-2</v>
      </c>
      <c r="Z4354" s="165"/>
    </row>
    <row r="4355" spans="1:48" ht="15" customHeight="1">
      <c r="A4355" s="41" t="s">
        <v>4668</v>
      </c>
      <c r="B4355" s="385" t="s">
        <v>1381</v>
      </c>
      <c r="C4355" s="18" t="s">
        <v>1382</v>
      </c>
      <c r="D4355" s="377" t="s">
        <v>200</v>
      </c>
      <c r="E4355" s="20" t="s">
        <v>112</v>
      </c>
      <c r="F4355" s="385"/>
      <c r="G4355" s="377" t="s">
        <v>1384</v>
      </c>
      <c r="H4355" s="385">
        <v>9199</v>
      </c>
      <c r="I4355" s="378" t="s">
        <v>1</v>
      </c>
      <c r="J4355" s="385" t="s">
        <v>1385</v>
      </c>
      <c r="K4355" s="403">
        <v>41201</v>
      </c>
      <c r="L4355" s="379">
        <v>41198</v>
      </c>
      <c r="M4355" s="402"/>
      <c r="N4355" s="385" t="s">
        <v>2</v>
      </c>
      <c r="O4355" s="404">
        <f>1.4/2</f>
        <v>0.7</v>
      </c>
      <c r="P4355" s="380">
        <v>5.77</v>
      </c>
      <c r="Q4355" s="395">
        <v>6.41</v>
      </c>
      <c r="R4355" s="402">
        <v>18</v>
      </c>
      <c r="S4355" s="404">
        <v>30</v>
      </c>
      <c r="T4355" s="402">
        <v>0.18</v>
      </c>
      <c r="U4355" s="404">
        <v>0.69</v>
      </c>
      <c r="V4355" s="402">
        <v>0.05</v>
      </c>
      <c r="W4355" s="404">
        <v>7.0000000000000001E-3</v>
      </c>
      <c r="X4355" s="402">
        <v>0.02</v>
      </c>
      <c r="Y4355" s="404">
        <v>5.0000000000000001E-3</v>
      </c>
      <c r="Z4355" s="396">
        <v>1</v>
      </c>
      <c r="AA4355" s="397">
        <v>1</v>
      </c>
      <c r="AB4355" s="402">
        <v>2</v>
      </c>
      <c r="AC4355" s="404">
        <v>34</v>
      </c>
      <c r="AD4355" s="396">
        <v>1</v>
      </c>
    </row>
    <row r="4356" spans="1:48" ht="15" customHeight="1">
      <c r="A4356" s="41" t="s">
        <v>183</v>
      </c>
      <c r="B4356" s="402" t="s">
        <v>6507</v>
      </c>
      <c r="D4356" s="393" t="s">
        <v>434</v>
      </c>
      <c r="E4356" s="394" t="s">
        <v>1648</v>
      </c>
      <c r="G4356" s="405" t="s">
        <v>1649</v>
      </c>
      <c r="H4356" s="404">
        <v>2869</v>
      </c>
      <c r="I4356" s="402" t="s">
        <v>2</v>
      </c>
      <c r="J4356" s="406" t="s">
        <v>1647</v>
      </c>
      <c r="K4356" s="51">
        <v>41795</v>
      </c>
      <c r="L4356" s="173">
        <v>41781</v>
      </c>
      <c r="N4356" s="50" t="s">
        <v>2</v>
      </c>
      <c r="R4356" s="50">
        <v>48</v>
      </c>
      <c r="X4356" s="50">
        <v>1.52</v>
      </c>
      <c r="Z4356" s="165">
        <v>1</v>
      </c>
      <c r="AA4356" s="271">
        <v>0.35399999999999998</v>
      </c>
      <c r="AC4356" s="50">
        <v>65</v>
      </c>
      <c r="AD4356" s="271">
        <v>0</v>
      </c>
    </row>
    <row r="4357" spans="1:48" ht="15" customHeight="1">
      <c r="A4357" s="41" t="s">
        <v>183</v>
      </c>
      <c r="B4357" s="402" t="s">
        <v>313</v>
      </c>
      <c r="C4357" s="113" t="s">
        <v>313</v>
      </c>
      <c r="D4357" s="393" t="s">
        <v>314</v>
      </c>
      <c r="E4357" s="394" t="s">
        <v>315</v>
      </c>
      <c r="G4357" s="405" t="s">
        <v>994</v>
      </c>
      <c r="H4357" s="404">
        <v>3728</v>
      </c>
      <c r="I4357" s="402" t="s">
        <v>2</v>
      </c>
      <c r="J4357" s="406" t="s">
        <v>81</v>
      </c>
      <c r="K4357" s="51">
        <v>41786</v>
      </c>
      <c r="L4357" s="173">
        <v>41782</v>
      </c>
      <c r="N4357" s="50" t="s">
        <v>2</v>
      </c>
      <c r="R4357" s="50">
        <v>92</v>
      </c>
      <c r="U4357" s="131">
        <v>2.6</v>
      </c>
      <c r="Z4357" s="165"/>
    </row>
    <row r="4358" spans="1:48" ht="15" customHeight="1">
      <c r="A4358" s="41" t="s">
        <v>183</v>
      </c>
      <c r="B4358" s="402" t="s">
        <v>3745</v>
      </c>
      <c r="C4358" s="113" t="s">
        <v>3753</v>
      </c>
      <c r="D4358" s="393" t="s">
        <v>308</v>
      </c>
      <c r="E4358" s="394" t="s">
        <v>3754</v>
      </c>
      <c r="G4358" s="393" t="s">
        <v>3755</v>
      </c>
      <c r="H4358" s="402">
        <v>1442</v>
      </c>
      <c r="I4358" s="391" t="s">
        <v>2</v>
      </c>
      <c r="J4358" s="402" t="s">
        <v>3756</v>
      </c>
      <c r="K4358" s="403">
        <v>41579</v>
      </c>
      <c r="L4358" s="379">
        <v>41554</v>
      </c>
      <c r="M4358" s="402">
        <f>K4358-L4358</f>
        <v>25</v>
      </c>
      <c r="N4358" s="402" t="s">
        <v>2</v>
      </c>
      <c r="O4358" s="404">
        <f>1.5/2</f>
        <v>0.75</v>
      </c>
      <c r="P4358" s="402">
        <v>7.1</v>
      </c>
      <c r="Q4358" s="404">
        <v>7.72</v>
      </c>
      <c r="R4358" s="402">
        <v>41</v>
      </c>
      <c r="S4358" s="404">
        <v>32</v>
      </c>
      <c r="T4358" s="402">
        <v>0.13</v>
      </c>
      <c r="U4358" s="404">
        <v>0.68</v>
      </c>
      <c r="V4358" s="402">
        <v>0.15</v>
      </c>
      <c r="W4358" s="404">
        <v>6.0000000000000001E-3</v>
      </c>
      <c r="X4358" s="402">
        <v>1.9E-2</v>
      </c>
      <c r="Y4358" s="404">
        <v>3.0000000000000001E-3</v>
      </c>
      <c r="Z4358" s="396">
        <v>1</v>
      </c>
      <c r="AA4358" s="397">
        <v>1</v>
      </c>
      <c r="AB4358" s="402">
        <v>18</v>
      </c>
      <c r="AC4358" s="404">
        <v>114</v>
      </c>
      <c r="AD4358" s="396">
        <v>1</v>
      </c>
    </row>
    <row r="4359" spans="1:48" ht="15" customHeight="1">
      <c r="A4359" s="41" t="s">
        <v>183</v>
      </c>
      <c r="B4359" s="402" t="s">
        <v>1303</v>
      </c>
      <c r="C4359" s="113" t="s">
        <v>1304</v>
      </c>
      <c r="D4359" s="393" t="s">
        <v>910</v>
      </c>
      <c r="E4359" s="394" t="s">
        <v>1305</v>
      </c>
      <c r="F4359" s="402">
        <v>4600</v>
      </c>
      <c r="G4359" s="405" t="s">
        <v>1306</v>
      </c>
      <c r="H4359" s="391">
        <v>4173</v>
      </c>
      <c r="I4359" s="402" t="s">
        <v>2</v>
      </c>
      <c r="J4359" s="393" t="s">
        <v>510</v>
      </c>
      <c r="K4359" s="51">
        <v>41710</v>
      </c>
      <c r="L4359" s="173">
        <v>41701</v>
      </c>
      <c r="N4359" s="50" t="s">
        <v>1</v>
      </c>
      <c r="Q4359" s="74">
        <v>7.61</v>
      </c>
      <c r="R4359" s="50">
        <v>36</v>
      </c>
      <c r="S4359" s="74">
        <v>22</v>
      </c>
      <c r="Z4359" s="165"/>
    </row>
    <row r="4360" spans="1:48" ht="15" customHeight="1">
      <c r="A4360" s="404" t="s">
        <v>4668</v>
      </c>
      <c r="B4360" s="402" t="s">
        <v>4891</v>
      </c>
      <c r="C4360" s="113" t="s">
        <v>3089</v>
      </c>
      <c r="D4360" s="393" t="s">
        <v>3090</v>
      </c>
      <c r="E4360" s="394" t="s">
        <v>4893</v>
      </c>
      <c r="F4360" s="402" t="s">
        <v>3091</v>
      </c>
      <c r="G4360" s="405" t="s">
        <v>3092</v>
      </c>
      <c r="H4360" s="404">
        <v>4200</v>
      </c>
      <c r="I4360" s="402" t="s">
        <v>2</v>
      </c>
      <c r="J4360" s="406" t="s">
        <v>4894</v>
      </c>
      <c r="K4360" s="403">
        <v>41744</v>
      </c>
      <c r="L4360" s="398">
        <v>41737</v>
      </c>
      <c r="M4360" s="402">
        <f t="shared" ref="M4360:M4423" si="260">K4360-L4360</f>
        <v>7</v>
      </c>
      <c r="N4360" s="402" t="s">
        <v>2</v>
      </c>
      <c r="O4360" s="404"/>
      <c r="P4360" s="402"/>
      <c r="Q4360" s="404">
        <v>5.5</v>
      </c>
      <c r="R4360" s="402">
        <v>22</v>
      </c>
      <c r="S4360" s="404">
        <v>22</v>
      </c>
      <c r="T4360" s="402">
        <v>0.16</v>
      </c>
      <c r="U4360" s="395">
        <f>2.3/2</f>
        <v>1.1499999999999999</v>
      </c>
      <c r="V4360" s="402"/>
      <c r="W4360" s="404"/>
      <c r="X4360" s="402">
        <v>1.2E-2</v>
      </c>
      <c r="Y4360" s="404"/>
      <c r="Z4360" s="397"/>
      <c r="AA4360" s="399"/>
      <c r="AB4360" s="394"/>
      <c r="AC4360" s="402"/>
      <c r="AD4360" s="399"/>
      <c r="AE4360" s="402"/>
      <c r="AF4360" s="391"/>
      <c r="AG4360" s="394"/>
      <c r="AH4360" s="394"/>
      <c r="AI4360" s="394"/>
      <c r="AJ4360" s="394"/>
      <c r="AK4360" s="394"/>
      <c r="AL4360" s="394"/>
      <c r="AM4360" s="394"/>
      <c r="AN4360" s="394"/>
      <c r="AO4360" s="394"/>
      <c r="AP4360" s="394"/>
      <c r="AQ4360" s="394"/>
      <c r="AR4360" s="394"/>
      <c r="AS4360" s="402"/>
      <c r="AT4360" s="404"/>
      <c r="AU4360" s="394"/>
      <c r="AV4360" s="394"/>
    </row>
    <row r="4361" spans="1:48" ht="15" customHeight="1">
      <c r="A4361" s="404" t="s">
        <v>4668</v>
      </c>
      <c r="B4361" s="402" t="s">
        <v>4891</v>
      </c>
      <c r="C4361" s="113" t="s">
        <v>3089</v>
      </c>
      <c r="D4361" s="393" t="s">
        <v>3090</v>
      </c>
      <c r="E4361" s="394" t="s">
        <v>4893</v>
      </c>
      <c r="F4361" s="402" t="s">
        <v>3091</v>
      </c>
      <c r="G4361" s="405" t="s">
        <v>3092</v>
      </c>
      <c r="H4361" s="404">
        <v>4200</v>
      </c>
      <c r="I4361" s="402" t="s">
        <v>2</v>
      </c>
      <c r="J4361" s="406" t="s">
        <v>3094</v>
      </c>
      <c r="K4361" s="403">
        <v>41744</v>
      </c>
      <c r="L4361" s="398">
        <v>41737</v>
      </c>
      <c r="M4361" s="402">
        <f>K4361-L4361</f>
        <v>7</v>
      </c>
      <c r="N4361" s="402" t="s">
        <v>2</v>
      </c>
      <c r="O4361" s="404"/>
      <c r="P4361" s="402"/>
      <c r="Q4361" s="404">
        <v>5.5</v>
      </c>
      <c r="R4361" s="402">
        <v>19</v>
      </c>
      <c r="S4361" s="404">
        <v>12</v>
      </c>
      <c r="T4361" s="402">
        <v>0.13</v>
      </c>
      <c r="U4361" s="395"/>
      <c r="V4361" s="402"/>
      <c r="W4361" s="404" t="s">
        <v>6549</v>
      </c>
      <c r="X4361" s="402">
        <v>4.2000000000000003E-2</v>
      </c>
      <c r="Y4361" s="404"/>
      <c r="Z4361" s="397"/>
      <c r="AA4361" s="399"/>
      <c r="AB4361" s="394"/>
      <c r="AC4361" s="402"/>
      <c r="AD4361" s="399"/>
      <c r="AE4361" s="402"/>
      <c r="AF4361" s="391"/>
      <c r="AG4361" s="394"/>
      <c r="AH4361" s="394"/>
      <c r="AI4361" s="394"/>
      <c r="AJ4361" s="394"/>
      <c r="AK4361" s="394"/>
      <c r="AL4361" s="394"/>
      <c r="AM4361" s="394"/>
      <c r="AN4361" s="394"/>
      <c r="AO4361" s="394"/>
      <c r="AP4361" s="394"/>
      <c r="AQ4361" s="394"/>
      <c r="AR4361" s="394"/>
      <c r="AS4361" s="402"/>
      <c r="AT4361" s="404"/>
      <c r="AU4361" s="394"/>
      <c r="AV4361" s="394"/>
    </row>
    <row r="4362" spans="1:48" ht="15" customHeight="1">
      <c r="A4362" s="404" t="s">
        <v>4668</v>
      </c>
      <c r="B4362" s="402" t="s">
        <v>3085</v>
      </c>
      <c r="C4362" s="113" t="s">
        <v>3085</v>
      </c>
      <c r="D4362" s="393" t="s">
        <v>84</v>
      </c>
      <c r="G4362" s="405" t="s">
        <v>3086</v>
      </c>
      <c r="H4362" s="404">
        <v>3499</v>
      </c>
      <c r="I4362" s="402"/>
      <c r="J4362" s="406" t="s">
        <v>271</v>
      </c>
      <c r="K4362" s="403">
        <v>41710</v>
      </c>
      <c r="L4362" s="398">
        <v>41706</v>
      </c>
      <c r="M4362" s="402">
        <f t="shared" si="260"/>
        <v>4</v>
      </c>
      <c r="N4362" s="402" t="s">
        <v>2</v>
      </c>
      <c r="O4362" s="404">
        <v>1.3</v>
      </c>
      <c r="P4362" s="402">
        <v>6.33</v>
      </c>
      <c r="Q4362" s="404">
        <v>7.04</v>
      </c>
      <c r="R4362" s="402">
        <v>64.5</v>
      </c>
      <c r="S4362" s="404">
        <v>59</v>
      </c>
      <c r="T4362" s="402">
        <v>0.39</v>
      </c>
      <c r="U4362" s="395">
        <v>1.83</v>
      </c>
      <c r="V4362" s="402">
        <v>2.8</v>
      </c>
      <c r="W4362" s="404">
        <v>3.59</v>
      </c>
      <c r="X4362" s="402">
        <v>1.7</v>
      </c>
      <c r="Y4362" s="404">
        <v>0.12</v>
      </c>
      <c r="Z4362" s="397">
        <v>6.25E-2</v>
      </c>
      <c r="AA4362" s="399">
        <v>6.25E-2</v>
      </c>
      <c r="AB4362" s="394">
        <v>78.900000000000006</v>
      </c>
      <c r="AC4362" s="402">
        <v>104.8</v>
      </c>
      <c r="AD4362" s="399">
        <v>0</v>
      </c>
      <c r="AE4362" s="402"/>
      <c r="AF4362" s="391"/>
      <c r="AG4362" s="394"/>
      <c r="AH4362" s="394"/>
      <c r="AI4362" s="394"/>
      <c r="AJ4362" s="394"/>
      <c r="AK4362" s="394"/>
      <c r="AL4362" s="394"/>
      <c r="AM4362" s="394"/>
      <c r="AN4362" s="394"/>
      <c r="AO4362" s="394"/>
      <c r="AP4362" s="394"/>
      <c r="AQ4362" s="394"/>
      <c r="AR4362" s="394"/>
      <c r="AS4362" s="402"/>
      <c r="AT4362" s="404"/>
      <c r="AU4362" s="394"/>
      <c r="AV4362" s="394"/>
    </row>
    <row r="4363" spans="1:48" ht="15" customHeight="1">
      <c r="A4363" s="404" t="s">
        <v>4668</v>
      </c>
      <c r="B4363" s="402" t="s">
        <v>1910</v>
      </c>
      <c r="C4363" s="113" t="s">
        <v>2241</v>
      </c>
      <c r="D4363" s="393" t="s">
        <v>257</v>
      </c>
      <c r="E4363" s="394" t="s">
        <v>823</v>
      </c>
      <c r="G4363" s="405" t="s">
        <v>2242</v>
      </c>
      <c r="H4363" s="404">
        <v>4151</v>
      </c>
      <c r="I4363" s="402" t="s">
        <v>2</v>
      </c>
      <c r="J4363" s="406" t="s">
        <v>1030</v>
      </c>
      <c r="K4363" s="403">
        <v>41744</v>
      </c>
      <c r="L4363" s="398">
        <v>41737</v>
      </c>
      <c r="M4363" s="402">
        <f t="shared" si="260"/>
        <v>7</v>
      </c>
      <c r="N4363" s="402" t="s">
        <v>2</v>
      </c>
      <c r="O4363" s="404">
        <v>9.9</v>
      </c>
      <c r="P4363" s="402">
        <v>7.41</v>
      </c>
      <c r="Q4363" s="404">
        <v>7.59</v>
      </c>
      <c r="R4363" s="402">
        <v>176</v>
      </c>
      <c r="S4363" s="404">
        <v>530</v>
      </c>
      <c r="T4363" s="402">
        <v>0.32</v>
      </c>
      <c r="U4363" s="395">
        <v>1.32</v>
      </c>
      <c r="V4363" s="402">
        <f>0.01/2</f>
        <v>5.0000000000000001E-3</v>
      </c>
      <c r="W4363" s="404">
        <v>4.7E-2</v>
      </c>
      <c r="X4363" s="402">
        <v>0.112</v>
      </c>
      <c r="Y4363" s="404">
        <v>2.5999999999999999E-2</v>
      </c>
      <c r="Z4363" s="397"/>
      <c r="AA4363" s="399"/>
      <c r="AB4363" s="394"/>
      <c r="AC4363" s="402"/>
      <c r="AD4363" s="399"/>
      <c r="AE4363" s="402"/>
      <c r="AF4363" s="391"/>
      <c r="AG4363" s="394"/>
      <c r="AH4363" s="394"/>
      <c r="AI4363" s="394"/>
      <c r="AJ4363" s="394"/>
      <c r="AK4363" s="394"/>
      <c r="AL4363" s="394"/>
      <c r="AM4363" s="394"/>
      <c r="AN4363" s="394"/>
      <c r="AO4363" s="394"/>
      <c r="AP4363" s="394"/>
      <c r="AQ4363" s="394"/>
      <c r="AR4363" s="394"/>
      <c r="AS4363" s="402"/>
      <c r="AT4363" s="404"/>
      <c r="AU4363" s="394"/>
      <c r="AV4363" s="394"/>
    </row>
    <row r="4364" spans="1:48" ht="15" customHeight="1">
      <c r="A4364" s="404" t="s">
        <v>4668</v>
      </c>
      <c r="B4364" s="402" t="s">
        <v>1910</v>
      </c>
      <c r="C4364" s="113" t="s">
        <v>2241</v>
      </c>
      <c r="D4364" s="393" t="s">
        <v>257</v>
      </c>
      <c r="E4364" s="394" t="s">
        <v>823</v>
      </c>
      <c r="G4364" s="405" t="s">
        <v>2242</v>
      </c>
      <c r="H4364" s="404">
        <v>4151</v>
      </c>
      <c r="I4364" s="402" t="s">
        <v>2</v>
      </c>
      <c r="J4364" s="406" t="s">
        <v>1031</v>
      </c>
      <c r="K4364" s="403">
        <v>41744</v>
      </c>
      <c r="L4364" s="398">
        <v>41737</v>
      </c>
      <c r="M4364" s="402">
        <f t="shared" si="260"/>
        <v>7</v>
      </c>
      <c r="N4364" s="402" t="s">
        <v>2</v>
      </c>
      <c r="O4364" s="404">
        <v>11</v>
      </c>
      <c r="P4364" s="402">
        <v>7.41</v>
      </c>
      <c r="Q4364" s="404">
        <v>7.35</v>
      </c>
      <c r="R4364" s="402">
        <v>157</v>
      </c>
      <c r="S4364" s="404">
        <v>330</v>
      </c>
      <c r="T4364" s="402">
        <v>0.26</v>
      </c>
      <c r="U4364" s="395">
        <v>1.31</v>
      </c>
      <c r="V4364" s="402">
        <v>0.18</v>
      </c>
      <c r="W4364" s="404">
        <v>4.4999999999999998E-2</v>
      </c>
      <c r="X4364" s="402">
        <v>0.1</v>
      </c>
      <c r="Y4364" s="404">
        <v>3.1E-2</v>
      </c>
      <c r="Z4364" s="397"/>
      <c r="AA4364" s="399"/>
      <c r="AB4364" s="394"/>
      <c r="AC4364" s="402"/>
      <c r="AD4364" s="399"/>
      <c r="AE4364" s="402"/>
      <c r="AF4364" s="391"/>
      <c r="AG4364" s="394"/>
      <c r="AH4364" s="394"/>
      <c r="AI4364" s="394"/>
      <c r="AJ4364" s="394"/>
      <c r="AK4364" s="394"/>
      <c r="AL4364" s="394"/>
      <c r="AM4364" s="394"/>
      <c r="AN4364" s="394"/>
      <c r="AO4364" s="394"/>
      <c r="AP4364" s="394"/>
      <c r="AQ4364" s="394"/>
      <c r="AR4364" s="394"/>
      <c r="AS4364" s="402"/>
      <c r="AT4364" s="404"/>
      <c r="AU4364" s="394"/>
      <c r="AV4364" s="394"/>
    </row>
    <row r="4365" spans="1:48" ht="15" customHeight="1">
      <c r="A4365" s="404" t="s">
        <v>4668</v>
      </c>
      <c r="B4365" s="385" t="s">
        <v>4402</v>
      </c>
      <c r="C4365" s="18" t="s">
        <v>4402</v>
      </c>
      <c r="D4365" s="393" t="s">
        <v>372</v>
      </c>
      <c r="E4365" s="20" t="s">
        <v>309</v>
      </c>
      <c r="F4365" s="402">
        <v>6914</v>
      </c>
      <c r="G4365" s="405" t="s">
        <v>4403</v>
      </c>
      <c r="H4365" s="404">
        <v>3479</v>
      </c>
      <c r="I4365" s="402" t="s">
        <v>2</v>
      </c>
      <c r="J4365" s="406" t="s">
        <v>1508</v>
      </c>
      <c r="K4365" s="403">
        <v>41744</v>
      </c>
      <c r="L4365" s="398">
        <v>41738</v>
      </c>
      <c r="M4365" s="402">
        <f t="shared" si="260"/>
        <v>6</v>
      </c>
      <c r="N4365" s="402" t="s">
        <v>2</v>
      </c>
      <c r="O4365" s="404">
        <f>1/2</f>
        <v>0.5</v>
      </c>
      <c r="P4365" s="402">
        <v>5.58</v>
      </c>
      <c r="Q4365" s="404">
        <v>6.25</v>
      </c>
      <c r="R4365" s="402">
        <v>12</v>
      </c>
      <c r="S4365" s="404">
        <v>13</v>
      </c>
      <c r="T4365" s="402">
        <v>0.08</v>
      </c>
      <c r="U4365" s="395">
        <v>1.1000000000000001</v>
      </c>
      <c r="V4365" s="402">
        <f>0.2/2</f>
        <v>0.1</v>
      </c>
      <c r="W4365" s="404">
        <f>0.01/2</f>
        <v>5.0000000000000001E-3</v>
      </c>
      <c r="X4365" s="402">
        <f>0.01/2</f>
        <v>5.0000000000000001E-3</v>
      </c>
      <c r="Y4365" s="404">
        <f>0.02/2</f>
        <v>0.01</v>
      </c>
      <c r="Z4365" s="397">
        <v>1</v>
      </c>
      <c r="AA4365" s="399">
        <v>1</v>
      </c>
      <c r="AB4365" s="394">
        <f>1/2</f>
        <v>0.5</v>
      </c>
      <c r="AC4365" s="402">
        <v>24.4</v>
      </c>
      <c r="AD4365" s="399">
        <v>1</v>
      </c>
      <c r="AE4365" s="402"/>
      <c r="AF4365" s="391"/>
      <c r="AG4365" s="394"/>
      <c r="AH4365" s="394"/>
      <c r="AI4365" s="394"/>
      <c r="AJ4365" s="394"/>
      <c r="AK4365" s="394"/>
      <c r="AL4365" s="394"/>
      <c r="AM4365" s="394"/>
      <c r="AN4365" s="394"/>
      <c r="AO4365" s="394"/>
      <c r="AP4365" s="394"/>
      <c r="AQ4365" s="394"/>
      <c r="AR4365" s="394"/>
      <c r="AS4365" s="402"/>
      <c r="AT4365" s="404"/>
      <c r="AU4365" s="394"/>
      <c r="AV4365" s="394"/>
    </row>
    <row r="4366" spans="1:48" ht="15" customHeight="1">
      <c r="A4366" s="404" t="s">
        <v>4668</v>
      </c>
      <c r="B4366" s="402" t="s">
        <v>191</v>
      </c>
      <c r="C4366" s="113" t="s">
        <v>191</v>
      </c>
      <c r="D4366" s="393" t="s">
        <v>192</v>
      </c>
      <c r="E4366" s="394" t="s">
        <v>44</v>
      </c>
      <c r="F4366" s="402">
        <v>4000</v>
      </c>
      <c r="G4366" s="405" t="s">
        <v>193</v>
      </c>
      <c r="H4366" s="404">
        <v>4952</v>
      </c>
      <c r="I4366" s="402" t="s">
        <v>2</v>
      </c>
      <c r="J4366" s="404" t="s">
        <v>194</v>
      </c>
      <c r="K4366" s="403">
        <v>41744</v>
      </c>
      <c r="L4366" s="398">
        <v>41741</v>
      </c>
      <c r="M4366" s="402">
        <f t="shared" si="260"/>
        <v>3</v>
      </c>
      <c r="N4366" s="402" t="s">
        <v>2</v>
      </c>
      <c r="O4366" s="404">
        <f>1/2</f>
        <v>0.5</v>
      </c>
      <c r="P4366" s="402">
        <v>6.93</v>
      </c>
      <c r="Q4366" s="404">
        <v>6.78</v>
      </c>
      <c r="R4366" s="402">
        <v>11.3</v>
      </c>
      <c r="S4366" s="404">
        <v>8</v>
      </c>
      <c r="T4366" s="402">
        <v>0.08</v>
      </c>
      <c r="U4366" s="395">
        <v>1.42</v>
      </c>
      <c r="V4366" s="402">
        <v>0.87</v>
      </c>
      <c r="W4366" s="404">
        <v>1.4999999999999999E-2</v>
      </c>
      <c r="X4366" s="402">
        <v>0.04</v>
      </c>
      <c r="Y4366" s="404">
        <v>7.0000000000000001E-3</v>
      </c>
      <c r="Z4366" s="397"/>
      <c r="AA4366" s="399"/>
      <c r="AB4366" s="394"/>
      <c r="AC4366" s="402"/>
      <c r="AD4366" s="399"/>
      <c r="AE4366" s="402"/>
      <c r="AF4366" s="391"/>
      <c r="AG4366" s="394"/>
      <c r="AH4366" s="394"/>
      <c r="AI4366" s="394"/>
      <c r="AJ4366" s="394"/>
      <c r="AK4366" s="394"/>
      <c r="AL4366" s="394"/>
      <c r="AM4366" s="394"/>
      <c r="AN4366" s="394"/>
      <c r="AO4366" s="394"/>
      <c r="AP4366" s="394"/>
      <c r="AQ4366" s="394"/>
      <c r="AR4366" s="394"/>
      <c r="AS4366" s="402"/>
      <c r="AT4366" s="404"/>
      <c r="AU4366" s="394"/>
      <c r="AV4366" s="394"/>
    </row>
    <row r="4367" spans="1:48" ht="15" customHeight="1">
      <c r="A4367" s="404" t="s">
        <v>4668</v>
      </c>
      <c r="B4367" s="402" t="s">
        <v>5361</v>
      </c>
      <c r="C4367" s="113" t="s">
        <v>5361</v>
      </c>
      <c r="D4367" s="393" t="s">
        <v>290</v>
      </c>
      <c r="G4367" s="405" t="s">
        <v>4261</v>
      </c>
      <c r="H4367" s="404">
        <v>3273</v>
      </c>
      <c r="I4367" s="402" t="s">
        <v>6550</v>
      </c>
      <c r="J4367" s="406" t="s">
        <v>74</v>
      </c>
      <c r="K4367" s="403">
        <v>41717</v>
      </c>
      <c r="L4367" s="398"/>
      <c r="M4367" s="402"/>
      <c r="N4367" s="402" t="s">
        <v>2</v>
      </c>
      <c r="O4367" s="404">
        <f>2/2</f>
        <v>1</v>
      </c>
      <c r="P4367" s="402">
        <v>7.4</v>
      </c>
      <c r="Q4367" s="404">
        <v>7.1</v>
      </c>
      <c r="R4367" s="402">
        <v>29</v>
      </c>
      <c r="S4367" s="404">
        <v>21</v>
      </c>
      <c r="T4367" s="402">
        <v>7.0000000000000007E-2</v>
      </c>
      <c r="U4367" s="395">
        <v>0.68</v>
      </c>
      <c r="V4367" s="402">
        <v>0.59</v>
      </c>
      <c r="W4367" s="404">
        <f>0.01/2</f>
        <v>5.0000000000000001E-3</v>
      </c>
      <c r="X4367" s="402">
        <f>0.03/2</f>
        <v>1.4999999999999999E-2</v>
      </c>
      <c r="Y4367" s="404">
        <f>0.03/2</f>
        <v>1.4999999999999999E-2</v>
      </c>
      <c r="Z4367" s="397">
        <v>1</v>
      </c>
      <c r="AA4367" s="399">
        <v>1</v>
      </c>
      <c r="AB4367" s="394">
        <v>35</v>
      </c>
      <c r="AC4367" s="402">
        <v>178</v>
      </c>
      <c r="AD4367" s="399">
        <v>0.65</v>
      </c>
      <c r="AE4367" s="402"/>
      <c r="AF4367" s="391"/>
      <c r="AG4367" s="394"/>
      <c r="AH4367" s="394"/>
      <c r="AI4367" s="394"/>
      <c r="AJ4367" s="394"/>
      <c r="AK4367" s="394"/>
      <c r="AL4367" s="394"/>
      <c r="AM4367" s="394"/>
      <c r="AN4367" s="394"/>
      <c r="AO4367" s="394"/>
      <c r="AP4367" s="394"/>
      <c r="AQ4367" s="394"/>
      <c r="AR4367" s="394"/>
      <c r="AS4367" s="402"/>
      <c r="AT4367" s="404"/>
      <c r="AU4367" s="394"/>
      <c r="AV4367" s="394"/>
    </row>
    <row r="4368" spans="1:48" ht="15" customHeight="1">
      <c r="A4368" s="404" t="s">
        <v>4668</v>
      </c>
      <c r="B4368" s="402" t="s">
        <v>5361</v>
      </c>
      <c r="C4368" s="113" t="s">
        <v>5361</v>
      </c>
      <c r="D4368" s="393" t="s">
        <v>290</v>
      </c>
      <c r="G4368" s="405" t="s">
        <v>4261</v>
      </c>
      <c r="H4368" s="404">
        <v>3273</v>
      </c>
      <c r="I4368" s="402" t="s">
        <v>6550</v>
      </c>
      <c r="J4368" s="406" t="s">
        <v>135</v>
      </c>
      <c r="K4368" s="403">
        <v>41717</v>
      </c>
      <c r="L4368" s="398"/>
      <c r="M4368" s="402"/>
      <c r="N4368" s="402" t="s">
        <v>2</v>
      </c>
      <c r="O4368" s="404">
        <f>2/2</f>
        <v>1</v>
      </c>
      <c r="P4368" s="402">
        <v>7.4</v>
      </c>
      <c r="Q4368" s="404">
        <v>7</v>
      </c>
      <c r="R4368" s="402">
        <v>31</v>
      </c>
      <c r="S4368" s="404">
        <v>30</v>
      </c>
      <c r="T4368" s="402">
        <v>0.05</v>
      </c>
      <c r="U4368" s="395">
        <v>0.65</v>
      </c>
      <c r="V4368" s="402">
        <v>0.51</v>
      </c>
      <c r="W4368" s="404">
        <f>0.01/2</f>
        <v>5.0000000000000001E-3</v>
      </c>
      <c r="X4368" s="402">
        <f>0.03/2</f>
        <v>1.4999999999999999E-2</v>
      </c>
      <c r="Y4368" s="404">
        <f>0.03/2</f>
        <v>1.4999999999999999E-2</v>
      </c>
      <c r="Z4368" s="397">
        <v>1</v>
      </c>
      <c r="AA4368" s="399">
        <v>1</v>
      </c>
      <c r="AB4368" s="394">
        <v>34</v>
      </c>
      <c r="AC4368" s="402">
        <v>176</v>
      </c>
      <c r="AD4368" s="399">
        <v>1</v>
      </c>
      <c r="AE4368" s="402"/>
      <c r="AF4368" s="391"/>
      <c r="AG4368" s="394"/>
      <c r="AH4368" s="394"/>
      <c r="AI4368" s="394"/>
      <c r="AJ4368" s="394"/>
      <c r="AK4368" s="394"/>
      <c r="AL4368" s="394"/>
      <c r="AM4368" s="394"/>
      <c r="AN4368" s="394"/>
      <c r="AO4368" s="394"/>
      <c r="AP4368" s="394"/>
      <c r="AQ4368" s="394"/>
      <c r="AR4368" s="394"/>
      <c r="AS4368" s="402"/>
      <c r="AT4368" s="404"/>
      <c r="AU4368" s="394"/>
      <c r="AV4368" s="394"/>
    </row>
    <row r="4369" spans="1:48" ht="15" customHeight="1">
      <c r="A4369" s="404" t="s">
        <v>4668</v>
      </c>
      <c r="B4369" s="402" t="s">
        <v>6256</v>
      </c>
      <c r="C4369" s="113" t="s">
        <v>6256</v>
      </c>
      <c r="D4369" s="393" t="s">
        <v>452</v>
      </c>
      <c r="E4369" s="394" t="s">
        <v>6413</v>
      </c>
      <c r="F4369" s="402">
        <v>2007</v>
      </c>
      <c r="G4369" s="405" t="s">
        <v>1067</v>
      </c>
      <c r="H4369" s="404">
        <v>2844</v>
      </c>
      <c r="I4369" s="402"/>
      <c r="J4369" s="406" t="s">
        <v>6551</v>
      </c>
      <c r="K4369" s="403">
        <v>41744</v>
      </c>
      <c r="L4369" s="398">
        <v>41737</v>
      </c>
      <c r="M4369" s="402">
        <f t="shared" si="260"/>
        <v>7</v>
      </c>
      <c r="N4369" s="402" t="s">
        <v>2</v>
      </c>
      <c r="O4369" s="404">
        <f>1/2</f>
        <v>0.5</v>
      </c>
      <c r="P4369" s="402">
        <v>6.5</v>
      </c>
      <c r="Q4369" s="404">
        <v>4.3</v>
      </c>
      <c r="R4369" s="402">
        <v>360</v>
      </c>
      <c r="S4369" s="404">
        <v>7.6</v>
      </c>
      <c r="T4369" s="402">
        <v>9.5000000000000001E-2</v>
      </c>
      <c r="U4369" s="395">
        <v>2.2999999999999998</v>
      </c>
      <c r="V4369" s="402">
        <v>0.57999999999999996</v>
      </c>
      <c r="W4369" s="404">
        <v>4.9000000000000002E-2</v>
      </c>
      <c r="X4369" s="402">
        <v>0.22</v>
      </c>
      <c r="Y4369" s="404">
        <v>0.15</v>
      </c>
      <c r="Z4369" s="397"/>
      <c r="AA4369" s="399"/>
      <c r="AB4369" s="394"/>
      <c r="AC4369" s="402"/>
      <c r="AD4369" s="399"/>
      <c r="AE4369" s="402"/>
      <c r="AF4369" s="391"/>
      <c r="AG4369" s="394"/>
      <c r="AH4369" s="394"/>
      <c r="AI4369" s="394"/>
      <c r="AJ4369" s="394"/>
      <c r="AK4369" s="394"/>
      <c r="AL4369" s="394"/>
      <c r="AM4369" s="394"/>
      <c r="AN4369" s="394"/>
      <c r="AO4369" s="394"/>
      <c r="AP4369" s="394"/>
      <c r="AQ4369" s="394"/>
      <c r="AR4369" s="394"/>
      <c r="AS4369" s="402"/>
      <c r="AT4369" s="404"/>
      <c r="AU4369" s="394"/>
      <c r="AV4369" s="394"/>
    </row>
    <row r="4370" spans="1:48" ht="15" customHeight="1">
      <c r="A4370" s="404" t="s">
        <v>4668</v>
      </c>
      <c r="B4370" s="402" t="s">
        <v>2747</v>
      </c>
      <c r="C4370" s="113" t="s">
        <v>2000</v>
      </c>
      <c r="D4370" s="393" t="s">
        <v>1505</v>
      </c>
      <c r="E4370" s="394" t="s">
        <v>1546</v>
      </c>
      <c r="F4370" s="401" t="s">
        <v>6254</v>
      </c>
      <c r="G4370" s="405" t="s">
        <v>6552</v>
      </c>
      <c r="H4370" s="404">
        <v>4952</v>
      </c>
      <c r="I4370" s="402" t="s">
        <v>2</v>
      </c>
      <c r="J4370" s="406" t="s">
        <v>194</v>
      </c>
      <c r="K4370" s="403">
        <v>41710</v>
      </c>
      <c r="L4370" s="398">
        <v>41691</v>
      </c>
      <c r="M4370" s="402">
        <f t="shared" si="260"/>
        <v>19</v>
      </c>
      <c r="N4370" s="402" t="s">
        <v>2</v>
      </c>
      <c r="O4370" s="404">
        <v>3.02</v>
      </c>
      <c r="P4370" s="402">
        <v>6</v>
      </c>
      <c r="Q4370" s="404">
        <v>6.32</v>
      </c>
      <c r="R4370" s="402">
        <v>51.5</v>
      </c>
      <c r="S4370" s="404">
        <v>59</v>
      </c>
      <c r="T4370" s="402">
        <v>0.255</v>
      </c>
      <c r="U4370" s="395">
        <v>0.7</v>
      </c>
      <c r="V4370" s="402">
        <v>0.53400000000000003</v>
      </c>
      <c r="W4370" s="404">
        <f>0.01/2</f>
        <v>5.0000000000000001E-3</v>
      </c>
      <c r="X4370" s="402">
        <v>0.128</v>
      </c>
      <c r="Y4370" s="404">
        <f>0.015/2</f>
        <v>7.4999999999999997E-3</v>
      </c>
      <c r="Z4370" s="397">
        <v>1</v>
      </c>
      <c r="AA4370" s="399">
        <v>0.82</v>
      </c>
      <c r="AB4370" s="394">
        <v>8</v>
      </c>
      <c r="AC4370" s="402">
        <v>60</v>
      </c>
      <c r="AD4370" s="399">
        <v>0.3</v>
      </c>
      <c r="AE4370" s="402"/>
      <c r="AF4370" s="391"/>
      <c r="AG4370" s="394"/>
      <c r="AH4370" s="394"/>
      <c r="AI4370" s="394"/>
      <c r="AJ4370" s="394"/>
      <c r="AK4370" s="394"/>
      <c r="AL4370" s="394"/>
      <c r="AM4370" s="394"/>
      <c r="AN4370" s="394"/>
      <c r="AO4370" s="394"/>
      <c r="AP4370" s="394"/>
      <c r="AQ4370" s="394"/>
      <c r="AR4370" s="394"/>
      <c r="AS4370" s="402"/>
      <c r="AT4370" s="404"/>
      <c r="AU4370" s="394"/>
      <c r="AV4370" s="394"/>
    </row>
    <row r="4371" spans="1:48" ht="15" customHeight="1">
      <c r="A4371" s="404" t="s">
        <v>4668</v>
      </c>
      <c r="B4371" s="402" t="s">
        <v>2747</v>
      </c>
      <c r="C4371" s="113" t="s">
        <v>2000</v>
      </c>
      <c r="D4371" s="393" t="s">
        <v>1505</v>
      </c>
      <c r="E4371" s="394" t="s">
        <v>1546</v>
      </c>
      <c r="F4371" s="401" t="s">
        <v>6254</v>
      </c>
      <c r="G4371" s="405" t="s">
        <v>6552</v>
      </c>
      <c r="H4371" s="404">
        <v>4952</v>
      </c>
      <c r="I4371" s="402" t="s">
        <v>2</v>
      </c>
      <c r="J4371" s="406" t="s">
        <v>194</v>
      </c>
      <c r="K4371" s="403">
        <v>41744</v>
      </c>
      <c r="L4371" s="398">
        <v>41740</v>
      </c>
      <c r="M4371" s="402">
        <f t="shared" si="260"/>
        <v>4</v>
      </c>
      <c r="N4371" s="402" t="s">
        <v>2</v>
      </c>
      <c r="O4371" s="404">
        <v>2.5499999999999998</v>
      </c>
      <c r="P4371" s="402">
        <v>6.84</v>
      </c>
      <c r="Q4371" s="404">
        <v>6.98</v>
      </c>
      <c r="R4371" s="402">
        <f>5/2</f>
        <v>2.5</v>
      </c>
      <c r="S4371" s="404">
        <v>165</v>
      </c>
      <c r="T4371" s="402">
        <v>5.11E-2</v>
      </c>
      <c r="U4371" s="395">
        <v>0.98</v>
      </c>
      <c r="V4371" s="402">
        <v>0.21099999999999999</v>
      </c>
      <c r="W4371" s="404">
        <v>1.5599999999999999E-2</v>
      </c>
      <c r="X4371" s="402">
        <v>6.5000000000000002E-2</v>
      </c>
      <c r="Y4371" s="404">
        <f>0.0015/2</f>
        <v>7.5000000000000002E-4</v>
      </c>
      <c r="Z4371" s="397">
        <v>1</v>
      </c>
      <c r="AA4371" s="399">
        <v>1</v>
      </c>
      <c r="AB4371" s="394">
        <v>2</v>
      </c>
      <c r="AC4371" s="402">
        <v>21</v>
      </c>
      <c r="AD4371" s="399">
        <v>1</v>
      </c>
      <c r="AE4371" s="402"/>
      <c r="AF4371" s="391"/>
      <c r="AG4371" s="394"/>
      <c r="AH4371" s="394"/>
      <c r="AI4371" s="394"/>
      <c r="AJ4371" s="394"/>
      <c r="AK4371" s="394"/>
      <c r="AL4371" s="394"/>
      <c r="AM4371" s="394"/>
      <c r="AN4371" s="394"/>
      <c r="AO4371" s="394"/>
      <c r="AP4371" s="394"/>
      <c r="AQ4371" s="394"/>
      <c r="AR4371" s="394"/>
      <c r="AS4371" s="402"/>
      <c r="AT4371" s="404"/>
      <c r="AU4371" s="394"/>
      <c r="AV4371" s="394"/>
    </row>
    <row r="4372" spans="1:48" ht="15" customHeight="1">
      <c r="A4372" s="404" t="s">
        <v>4668</v>
      </c>
      <c r="B4372" s="402" t="s">
        <v>6518</v>
      </c>
      <c r="C4372" s="113" t="s">
        <v>6518</v>
      </c>
      <c r="D4372" s="393" t="s">
        <v>111</v>
      </c>
      <c r="E4372" s="394" t="s">
        <v>5393</v>
      </c>
      <c r="F4372" s="401" t="s">
        <v>6519</v>
      </c>
      <c r="G4372" s="405" t="s">
        <v>6553</v>
      </c>
      <c r="H4372" s="404">
        <v>3533</v>
      </c>
      <c r="I4372" s="402" t="s">
        <v>1</v>
      </c>
      <c r="J4372" s="406" t="s">
        <v>74</v>
      </c>
      <c r="K4372" s="403">
        <v>41728</v>
      </c>
      <c r="L4372" s="398">
        <v>41718</v>
      </c>
      <c r="M4372" s="402">
        <f t="shared" si="260"/>
        <v>10</v>
      </c>
      <c r="N4372" s="402" t="s">
        <v>2</v>
      </c>
      <c r="O4372" s="404">
        <f>2/2</f>
        <v>1</v>
      </c>
      <c r="P4372" s="402">
        <v>6.3</v>
      </c>
      <c r="Q4372" s="404">
        <v>5.9</v>
      </c>
      <c r="R4372" s="402">
        <f>10/2</f>
        <v>5</v>
      </c>
      <c r="S4372" s="404">
        <f>1/2</f>
        <v>0.5</v>
      </c>
      <c r="T4372" s="402">
        <f>0.05/2</f>
        <v>2.5000000000000001E-2</v>
      </c>
      <c r="U4372" s="395">
        <v>0.1</v>
      </c>
      <c r="V4372" s="402">
        <f>0.1/2</f>
        <v>0.05</v>
      </c>
      <c r="W4372" s="404">
        <f>0.01/2</f>
        <v>5.0000000000000001E-3</v>
      </c>
      <c r="X4372" s="402">
        <v>0.10100000000000001</v>
      </c>
      <c r="Y4372" s="404">
        <f>0.03/2</f>
        <v>1.4999999999999999E-2</v>
      </c>
      <c r="Z4372" s="397">
        <v>1</v>
      </c>
      <c r="AA4372" s="399">
        <v>1</v>
      </c>
      <c r="AB4372" s="394">
        <f>2/2</f>
        <v>1</v>
      </c>
      <c r="AC4372" s="402">
        <v>5</v>
      </c>
      <c r="AD4372" s="399">
        <v>0.55000000000000004</v>
      </c>
      <c r="AE4372" s="402"/>
      <c r="AF4372" s="391"/>
      <c r="AG4372" s="394"/>
      <c r="AH4372" s="394"/>
      <c r="AI4372" s="394"/>
      <c r="AJ4372" s="394"/>
      <c r="AK4372" s="394"/>
      <c r="AL4372" s="394"/>
      <c r="AM4372" s="394"/>
      <c r="AN4372" s="394"/>
      <c r="AO4372" s="394"/>
      <c r="AP4372" s="394"/>
      <c r="AQ4372" s="394"/>
      <c r="AR4372" s="394"/>
      <c r="AS4372" s="402"/>
      <c r="AT4372" s="404"/>
      <c r="AU4372" s="394"/>
      <c r="AV4372" s="394"/>
    </row>
    <row r="4373" spans="1:48" ht="15" customHeight="1">
      <c r="A4373" s="404" t="s">
        <v>4668</v>
      </c>
      <c r="B4373" s="402" t="s">
        <v>2942</v>
      </c>
      <c r="C4373" s="113" t="s">
        <v>3031</v>
      </c>
      <c r="D4373" s="393" t="s">
        <v>213</v>
      </c>
      <c r="E4373" s="394" t="s">
        <v>364</v>
      </c>
      <c r="F4373" s="402">
        <v>4300</v>
      </c>
      <c r="G4373" s="405" t="s">
        <v>2944</v>
      </c>
      <c r="H4373" s="404">
        <v>4952</v>
      </c>
      <c r="I4373" s="402" t="s">
        <v>2</v>
      </c>
      <c r="J4373" s="406" t="s">
        <v>255</v>
      </c>
      <c r="K4373" s="403">
        <v>41727</v>
      </c>
      <c r="L4373" s="398">
        <v>41715</v>
      </c>
      <c r="M4373" s="402">
        <f t="shared" si="260"/>
        <v>12</v>
      </c>
      <c r="N4373" s="402" t="s">
        <v>2</v>
      </c>
      <c r="O4373" s="404">
        <v>1.8</v>
      </c>
      <c r="P4373" s="402">
        <v>5.96</v>
      </c>
      <c r="Q4373" s="404">
        <v>6.57</v>
      </c>
      <c r="R4373" s="402">
        <v>12</v>
      </c>
      <c r="S4373" s="404">
        <v>7</v>
      </c>
      <c r="T4373" s="402">
        <f>0.05/2</f>
        <v>2.5000000000000001E-2</v>
      </c>
      <c r="U4373" s="395">
        <v>0.43</v>
      </c>
      <c r="V4373" s="402">
        <f>0.2/2</f>
        <v>0.1</v>
      </c>
      <c r="W4373" s="404">
        <f>0.01/2</f>
        <v>5.0000000000000001E-3</v>
      </c>
      <c r="X4373" s="402">
        <v>0.04</v>
      </c>
      <c r="Y4373" s="404">
        <f>0.02/2</f>
        <v>0.01</v>
      </c>
      <c r="Z4373" s="397">
        <v>1</v>
      </c>
      <c r="AA4373" s="399">
        <v>1</v>
      </c>
      <c r="AB4373" s="394">
        <v>12.3</v>
      </c>
      <c r="AC4373" s="402">
        <v>37.1</v>
      </c>
      <c r="AD4373" s="399">
        <v>0.75</v>
      </c>
      <c r="AE4373" s="402"/>
      <c r="AF4373" s="391"/>
      <c r="AG4373" s="394"/>
      <c r="AH4373" s="394"/>
      <c r="AI4373" s="394"/>
      <c r="AJ4373" s="394"/>
      <c r="AK4373" s="394"/>
      <c r="AL4373" s="394"/>
      <c r="AM4373" s="394"/>
      <c r="AN4373" s="394"/>
      <c r="AO4373" s="394"/>
      <c r="AP4373" s="394"/>
      <c r="AQ4373" s="394"/>
      <c r="AR4373" s="394"/>
      <c r="AS4373" s="402"/>
      <c r="AT4373" s="404"/>
      <c r="AU4373" s="394"/>
      <c r="AV4373" s="394"/>
    </row>
    <row r="4374" spans="1:48" ht="15" customHeight="1">
      <c r="A4374" s="404" t="s">
        <v>4668</v>
      </c>
      <c r="B4374" s="402" t="s">
        <v>2942</v>
      </c>
      <c r="C4374" s="113" t="s">
        <v>3031</v>
      </c>
      <c r="D4374" s="393" t="s">
        <v>213</v>
      </c>
      <c r="E4374" s="394" t="s">
        <v>364</v>
      </c>
      <c r="F4374" s="402">
        <v>4300</v>
      </c>
      <c r="G4374" s="405" t="s">
        <v>2944</v>
      </c>
      <c r="H4374" s="404">
        <v>4952</v>
      </c>
      <c r="I4374" s="402" t="s">
        <v>2</v>
      </c>
      <c r="J4374" s="406" t="s">
        <v>2946</v>
      </c>
      <c r="K4374" s="403">
        <v>41727</v>
      </c>
      <c r="L4374" s="398">
        <v>41715</v>
      </c>
      <c r="M4374" s="402">
        <f t="shared" si="260"/>
        <v>12</v>
      </c>
      <c r="N4374" s="402" t="s">
        <v>2</v>
      </c>
      <c r="O4374" s="404">
        <v>2.5</v>
      </c>
      <c r="P4374" s="402">
        <v>5.85</v>
      </c>
      <c r="Q4374" s="404">
        <v>6.48</v>
      </c>
      <c r="R4374" s="402">
        <v>21.8</v>
      </c>
      <c r="S4374" s="404">
        <v>19</v>
      </c>
      <c r="T4374" s="402">
        <v>7.0000000000000007E-2</v>
      </c>
      <c r="U4374" s="395">
        <v>0.52</v>
      </c>
      <c r="V4374" s="402">
        <f>0.2/2</f>
        <v>0.1</v>
      </c>
      <c r="W4374" s="404">
        <f>0.01/2</f>
        <v>5.0000000000000001E-3</v>
      </c>
      <c r="X4374" s="402">
        <f>0.01/2</f>
        <v>5.0000000000000001E-3</v>
      </c>
      <c r="Y4374" s="404">
        <f>0.02/2</f>
        <v>0.01</v>
      </c>
      <c r="Z4374" s="397">
        <v>1</v>
      </c>
      <c r="AA4374" s="399">
        <v>1</v>
      </c>
      <c r="AB4374" s="394">
        <v>3.7</v>
      </c>
      <c r="AC4374" s="402">
        <v>18.5</v>
      </c>
      <c r="AD4374" s="399">
        <v>1</v>
      </c>
      <c r="AE4374" s="402"/>
      <c r="AF4374" s="391"/>
      <c r="AG4374" s="394"/>
      <c r="AH4374" s="394"/>
      <c r="AI4374" s="394"/>
      <c r="AJ4374" s="394"/>
      <c r="AK4374" s="394"/>
      <c r="AL4374" s="394"/>
      <c r="AM4374" s="394"/>
      <c r="AN4374" s="394"/>
      <c r="AO4374" s="394"/>
      <c r="AP4374" s="394"/>
      <c r="AQ4374" s="394"/>
      <c r="AR4374" s="394"/>
      <c r="AS4374" s="402"/>
      <c r="AT4374" s="404"/>
      <c r="AU4374" s="394"/>
      <c r="AV4374" s="394"/>
    </row>
    <row r="4375" spans="1:48" ht="15" customHeight="1">
      <c r="A4375" s="404" t="s">
        <v>4668</v>
      </c>
      <c r="B4375" s="402" t="s">
        <v>2527</v>
      </c>
      <c r="C4375" s="113" t="s">
        <v>2527</v>
      </c>
      <c r="D4375" s="393" t="s">
        <v>640</v>
      </c>
      <c r="F4375" s="402">
        <v>5000</v>
      </c>
      <c r="G4375" s="405" t="s">
        <v>2529</v>
      </c>
      <c r="H4375" s="404">
        <v>4213</v>
      </c>
      <c r="I4375" s="402" t="s">
        <v>2</v>
      </c>
      <c r="J4375" s="406" t="s">
        <v>194</v>
      </c>
      <c r="K4375" s="403">
        <v>41737</v>
      </c>
      <c r="L4375" s="398">
        <v>41733</v>
      </c>
      <c r="M4375" s="402">
        <f t="shared" si="260"/>
        <v>4</v>
      </c>
      <c r="N4375" s="402" t="s">
        <v>2</v>
      </c>
      <c r="O4375" s="404">
        <v>22</v>
      </c>
      <c r="P4375" s="402">
        <v>5.04</v>
      </c>
      <c r="Q4375" s="404">
        <v>6.11</v>
      </c>
      <c r="R4375" s="402">
        <v>12</v>
      </c>
      <c r="S4375" s="404">
        <v>1200</v>
      </c>
      <c r="T4375" s="402">
        <v>1</v>
      </c>
      <c r="U4375" s="395">
        <v>2.56</v>
      </c>
      <c r="V4375" s="402">
        <v>5.0999999999999996</v>
      </c>
      <c r="W4375" s="404">
        <v>0.123</v>
      </c>
      <c r="X4375" s="402">
        <v>0.29599999999999999</v>
      </c>
      <c r="Y4375" s="404">
        <v>0.04</v>
      </c>
      <c r="Z4375" s="397">
        <v>1</v>
      </c>
      <c r="AA4375" s="399">
        <v>1</v>
      </c>
      <c r="AB4375" s="394">
        <v>10</v>
      </c>
      <c r="AC4375" s="402">
        <v>104</v>
      </c>
      <c r="AD4375" s="399">
        <v>1</v>
      </c>
      <c r="AE4375" s="402"/>
      <c r="AF4375" s="391"/>
      <c r="AG4375" s="394"/>
      <c r="AH4375" s="394"/>
      <c r="AI4375" s="394"/>
      <c r="AJ4375" s="394"/>
      <c r="AK4375" s="394"/>
      <c r="AL4375" s="394"/>
      <c r="AM4375" s="394"/>
      <c r="AN4375" s="394"/>
      <c r="AO4375" s="394"/>
      <c r="AP4375" s="394"/>
      <c r="AQ4375" s="394"/>
      <c r="AR4375" s="394"/>
      <c r="AS4375" s="402"/>
      <c r="AT4375" s="404"/>
      <c r="AU4375" s="394"/>
      <c r="AV4375" s="394"/>
    </row>
    <row r="4376" spans="1:48" ht="15" customHeight="1">
      <c r="A4376" s="404" t="s">
        <v>4668</v>
      </c>
      <c r="B4376" s="402" t="s">
        <v>1985</v>
      </c>
      <c r="C4376" s="113" t="s">
        <v>1986</v>
      </c>
      <c r="D4376" s="393" t="s">
        <v>257</v>
      </c>
      <c r="E4376" s="394" t="s">
        <v>252</v>
      </c>
      <c r="F4376" s="402">
        <v>4402</v>
      </c>
      <c r="G4376" s="405" t="s">
        <v>1987</v>
      </c>
      <c r="H4376" s="404">
        <v>3423</v>
      </c>
      <c r="I4376" s="402" t="s">
        <v>1</v>
      </c>
      <c r="J4376" s="401" t="s">
        <v>669</v>
      </c>
      <c r="K4376" s="403">
        <v>41727</v>
      </c>
      <c r="L4376" s="398">
        <v>41718</v>
      </c>
      <c r="M4376" s="402">
        <f t="shared" si="260"/>
        <v>9</v>
      </c>
      <c r="N4376" s="402" t="s">
        <v>2</v>
      </c>
      <c r="O4376" s="404"/>
      <c r="P4376" s="402"/>
      <c r="Q4376" s="404"/>
      <c r="R4376" s="402">
        <v>33</v>
      </c>
      <c r="S4376" s="404"/>
      <c r="T4376" s="402"/>
      <c r="U4376" s="395"/>
      <c r="V4376" s="402">
        <f>0.46/2</f>
        <v>0.23</v>
      </c>
      <c r="W4376" s="404"/>
      <c r="X4376" s="402">
        <v>5.0999999999999997E-2</v>
      </c>
      <c r="Y4376" s="404"/>
      <c r="Z4376" s="397"/>
      <c r="AA4376" s="399"/>
      <c r="AB4376" s="394"/>
      <c r="AC4376" s="402"/>
      <c r="AD4376" s="399"/>
      <c r="AE4376" s="402"/>
      <c r="AF4376" s="391"/>
      <c r="AG4376" s="394"/>
      <c r="AH4376" s="394"/>
      <c r="AI4376" s="394"/>
      <c r="AJ4376" s="394"/>
      <c r="AK4376" s="394"/>
      <c r="AL4376" s="394"/>
      <c r="AM4376" s="394"/>
      <c r="AN4376" s="394"/>
      <c r="AO4376" s="394"/>
      <c r="AP4376" s="394"/>
      <c r="AQ4376" s="394"/>
      <c r="AR4376" s="394"/>
      <c r="AS4376" s="402"/>
      <c r="AT4376" s="404"/>
      <c r="AU4376" s="394"/>
      <c r="AV4376" s="394"/>
    </row>
    <row r="4377" spans="1:48" ht="15" customHeight="1">
      <c r="A4377" s="404" t="s">
        <v>4668</v>
      </c>
      <c r="B4377" s="402" t="s">
        <v>1910</v>
      </c>
      <c r="C4377" s="113" t="s">
        <v>2072</v>
      </c>
      <c r="D4377" s="393" t="s">
        <v>1837</v>
      </c>
      <c r="E4377" s="394" t="s">
        <v>2253</v>
      </c>
      <c r="F4377" s="401" t="s">
        <v>5124</v>
      </c>
      <c r="G4377" s="405" t="s">
        <v>2254</v>
      </c>
      <c r="H4377" s="404">
        <v>4151</v>
      </c>
      <c r="I4377" s="402" t="s">
        <v>2</v>
      </c>
      <c r="J4377" s="406" t="s">
        <v>641</v>
      </c>
      <c r="K4377" s="403">
        <v>41775</v>
      </c>
      <c r="L4377" s="398">
        <v>41769</v>
      </c>
      <c r="M4377" s="402">
        <f t="shared" si="260"/>
        <v>6</v>
      </c>
      <c r="N4377" s="402" t="s">
        <v>2</v>
      </c>
      <c r="O4377" s="404">
        <f>1.9/2</f>
        <v>0.95</v>
      </c>
      <c r="P4377" s="402">
        <v>5.35</v>
      </c>
      <c r="Q4377" s="404">
        <v>6.65</v>
      </c>
      <c r="R4377" s="402">
        <v>37</v>
      </c>
      <c r="S4377" s="404">
        <v>48</v>
      </c>
      <c r="T4377" s="402">
        <v>0.17</v>
      </c>
      <c r="U4377" s="395">
        <v>1.6</v>
      </c>
      <c r="V4377" s="402">
        <v>0.81</v>
      </c>
      <c r="W4377" s="404">
        <v>1.2999999999999999E-2</v>
      </c>
      <c r="X4377" s="402">
        <v>5.8999999999999997E-2</v>
      </c>
      <c r="Y4377" s="404">
        <v>2E-3</v>
      </c>
      <c r="Z4377" s="397"/>
      <c r="AA4377" s="399"/>
      <c r="AB4377" s="394"/>
      <c r="AC4377" s="402"/>
      <c r="AD4377" s="399"/>
      <c r="AE4377" s="402"/>
      <c r="AF4377" s="391"/>
      <c r="AG4377" s="394"/>
      <c r="AH4377" s="394"/>
      <c r="AI4377" s="394"/>
      <c r="AJ4377" s="394"/>
      <c r="AK4377" s="394"/>
      <c r="AL4377" s="394"/>
      <c r="AM4377" s="394"/>
      <c r="AN4377" s="394"/>
      <c r="AO4377" s="394"/>
      <c r="AP4377" s="394"/>
      <c r="AQ4377" s="394"/>
      <c r="AR4377" s="394"/>
      <c r="AS4377" s="402"/>
      <c r="AT4377" s="404"/>
      <c r="AU4377" s="394"/>
      <c r="AV4377" s="394"/>
    </row>
    <row r="4378" spans="1:48" ht="15" customHeight="1">
      <c r="A4378" s="404" t="s">
        <v>4668</v>
      </c>
      <c r="B4378" s="402" t="s">
        <v>1910</v>
      </c>
      <c r="C4378" s="113" t="s">
        <v>2072</v>
      </c>
      <c r="D4378" s="393" t="s">
        <v>1837</v>
      </c>
      <c r="E4378" s="394" t="s">
        <v>2253</v>
      </c>
      <c r="F4378" s="401" t="s">
        <v>5124</v>
      </c>
      <c r="G4378" s="405" t="s">
        <v>2254</v>
      </c>
      <c r="H4378" s="404">
        <v>4151</v>
      </c>
      <c r="I4378" s="402" t="s">
        <v>2</v>
      </c>
      <c r="J4378" s="406" t="s">
        <v>641</v>
      </c>
      <c r="K4378" s="403">
        <v>41773</v>
      </c>
      <c r="L4378" s="398">
        <v>41769</v>
      </c>
      <c r="M4378" s="402">
        <f t="shared" si="260"/>
        <v>4</v>
      </c>
      <c r="N4378" s="402" t="s">
        <v>2</v>
      </c>
      <c r="O4378" s="404">
        <v>2.2000000000000002</v>
      </c>
      <c r="P4378" s="402">
        <v>5.35</v>
      </c>
      <c r="Q4378" s="404">
        <v>6.89</v>
      </c>
      <c r="R4378" s="402">
        <v>41</v>
      </c>
      <c r="S4378" s="404">
        <v>68</v>
      </c>
      <c r="T4378" s="402">
        <v>0.18</v>
      </c>
      <c r="U4378" s="395">
        <v>1.62</v>
      </c>
      <c r="V4378" s="402">
        <v>0.46</v>
      </c>
      <c r="W4378" s="404">
        <v>2.1000000000000001E-2</v>
      </c>
      <c r="X4378" s="402">
        <v>8.5000000000000006E-2</v>
      </c>
      <c r="Y4378" s="404">
        <v>4.0000000000000001E-3</v>
      </c>
      <c r="Z4378" s="397"/>
      <c r="AA4378" s="399"/>
      <c r="AB4378" s="394"/>
      <c r="AC4378" s="402"/>
      <c r="AD4378" s="399"/>
      <c r="AE4378" s="402"/>
      <c r="AF4378" s="391"/>
      <c r="AG4378" s="394"/>
      <c r="AH4378" s="394"/>
      <c r="AI4378" s="394"/>
      <c r="AJ4378" s="394"/>
      <c r="AK4378" s="394"/>
      <c r="AL4378" s="394"/>
      <c r="AM4378" s="394"/>
      <c r="AN4378" s="394"/>
      <c r="AO4378" s="394"/>
      <c r="AP4378" s="394"/>
      <c r="AQ4378" s="394"/>
      <c r="AR4378" s="394"/>
      <c r="AS4378" s="402"/>
      <c r="AT4378" s="404"/>
      <c r="AU4378" s="394"/>
      <c r="AV4378" s="394"/>
    </row>
    <row r="4379" spans="1:48" ht="15" customHeight="1">
      <c r="A4379" s="404" t="s">
        <v>4668</v>
      </c>
      <c r="B4379" s="385" t="s">
        <v>4356</v>
      </c>
      <c r="C4379" s="18" t="s">
        <v>4356</v>
      </c>
      <c r="D4379" s="377" t="s">
        <v>262</v>
      </c>
      <c r="E4379" s="20" t="s">
        <v>4357</v>
      </c>
      <c r="F4379" s="385" t="s">
        <v>4358</v>
      </c>
      <c r="G4379" s="405" t="s">
        <v>4359</v>
      </c>
      <c r="H4379" s="404" t="s">
        <v>5682</v>
      </c>
      <c r="I4379" s="402" t="s">
        <v>1</v>
      </c>
      <c r="J4379" s="406" t="s">
        <v>4360</v>
      </c>
      <c r="K4379" s="403">
        <v>41795</v>
      </c>
      <c r="L4379" s="398">
        <v>41787</v>
      </c>
      <c r="M4379" s="402">
        <f t="shared" si="260"/>
        <v>8</v>
      </c>
      <c r="N4379" s="402" t="s">
        <v>2</v>
      </c>
      <c r="O4379" s="404">
        <v>2.36</v>
      </c>
      <c r="P4379" s="402"/>
      <c r="Q4379" s="404"/>
      <c r="R4379" s="402"/>
      <c r="S4379" s="404"/>
      <c r="T4379" s="402"/>
      <c r="U4379" s="395"/>
      <c r="V4379" s="402"/>
      <c r="W4379" s="404"/>
      <c r="X4379" s="402"/>
      <c r="Y4379" s="404"/>
      <c r="Z4379" s="397"/>
      <c r="AA4379" s="399"/>
      <c r="AB4379" s="394"/>
      <c r="AC4379" s="402"/>
      <c r="AD4379" s="399"/>
      <c r="AE4379" s="402"/>
      <c r="AF4379" s="391"/>
      <c r="AG4379" s="394"/>
      <c r="AH4379" s="394"/>
      <c r="AI4379" s="394"/>
      <c r="AJ4379" s="394"/>
      <c r="AK4379" s="394"/>
      <c r="AL4379" s="394"/>
      <c r="AM4379" s="394"/>
      <c r="AN4379" s="394"/>
      <c r="AO4379" s="394"/>
      <c r="AP4379" s="394"/>
      <c r="AQ4379" s="394"/>
      <c r="AR4379" s="394"/>
      <c r="AS4379" s="402"/>
      <c r="AT4379" s="404"/>
      <c r="AU4379" s="394"/>
      <c r="AV4379" s="394"/>
    </row>
    <row r="4380" spans="1:48" ht="15" customHeight="1">
      <c r="A4380" s="404" t="s">
        <v>4668</v>
      </c>
      <c r="B4380" s="402" t="s">
        <v>1910</v>
      </c>
      <c r="C4380" s="113" t="s">
        <v>1110</v>
      </c>
      <c r="D4380" s="393" t="s">
        <v>262</v>
      </c>
      <c r="E4380" s="394" t="s">
        <v>128</v>
      </c>
      <c r="F4380" s="402">
        <v>7105</v>
      </c>
      <c r="G4380" s="405" t="s">
        <v>1876</v>
      </c>
      <c r="H4380" s="404">
        <v>4151</v>
      </c>
      <c r="I4380" s="402" t="s">
        <v>2</v>
      </c>
      <c r="J4380" s="406" t="s">
        <v>1030</v>
      </c>
      <c r="K4380" s="403">
        <v>41775</v>
      </c>
      <c r="L4380" s="398">
        <v>41770</v>
      </c>
      <c r="M4380" s="402">
        <f t="shared" si="260"/>
        <v>5</v>
      </c>
      <c r="N4380" s="402" t="s">
        <v>2</v>
      </c>
      <c r="O4380" s="404"/>
      <c r="P4380" s="402"/>
      <c r="Q4380" s="404"/>
      <c r="R4380" s="402"/>
      <c r="S4380" s="404"/>
      <c r="T4380" s="402"/>
      <c r="U4380" s="395">
        <v>3.48</v>
      </c>
      <c r="V4380" s="402"/>
      <c r="W4380" s="404"/>
      <c r="X4380" s="402"/>
      <c r="Y4380" s="404"/>
      <c r="Z4380" s="397"/>
      <c r="AA4380" s="399"/>
      <c r="AB4380" s="394"/>
      <c r="AC4380" s="402"/>
      <c r="AD4380" s="399"/>
      <c r="AE4380" s="402"/>
      <c r="AF4380" s="391"/>
      <c r="AG4380" s="394"/>
      <c r="AH4380" s="394"/>
      <c r="AI4380" s="394"/>
      <c r="AJ4380" s="394"/>
      <c r="AK4380" s="394"/>
      <c r="AL4380" s="394"/>
      <c r="AM4380" s="394"/>
      <c r="AN4380" s="394"/>
      <c r="AO4380" s="394"/>
      <c r="AP4380" s="394"/>
      <c r="AQ4380" s="394"/>
      <c r="AR4380" s="394"/>
      <c r="AS4380" s="402"/>
      <c r="AT4380" s="404"/>
      <c r="AU4380" s="394"/>
      <c r="AV4380" s="394"/>
    </row>
    <row r="4381" spans="1:48" ht="15" customHeight="1">
      <c r="A4381" s="404" t="s">
        <v>4668</v>
      </c>
      <c r="B4381" s="402" t="s">
        <v>3229</v>
      </c>
      <c r="D4381" s="393" t="s">
        <v>3230</v>
      </c>
      <c r="E4381" s="394" t="s">
        <v>1555</v>
      </c>
      <c r="G4381" s="405" t="s">
        <v>3231</v>
      </c>
      <c r="H4381" s="404">
        <v>3827</v>
      </c>
      <c r="I4381" s="402" t="s">
        <v>1</v>
      </c>
      <c r="J4381" s="401" t="s">
        <v>3281</v>
      </c>
      <c r="K4381" s="403">
        <v>41345</v>
      </c>
      <c r="L4381" s="398">
        <v>41330</v>
      </c>
      <c r="M4381" s="402">
        <f t="shared" si="260"/>
        <v>15</v>
      </c>
      <c r="N4381" s="402" t="s">
        <v>2</v>
      </c>
      <c r="O4381" s="404">
        <f>1/2</f>
        <v>0.5</v>
      </c>
      <c r="P4381" s="402">
        <v>4.7</v>
      </c>
      <c r="Q4381" s="404">
        <v>6.61</v>
      </c>
      <c r="R4381" s="402">
        <v>20</v>
      </c>
      <c r="S4381" s="404">
        <v>33</v>
      </c>
      <c r="T4381" s="402">
        <v>0.26</v>
      </c>
      <c r="U4381" s="395">
        <v>0.7</v>
      </c>
      <c r="V4381" s="402">
        <v>0.45</v>
      </c>
      <c r="W4381" s="404">
        <v>0.06</v>
      </c>
      <c r="X4381" s="402">
        <v>0.28999999999999998</v>
      </c>
      <c r="Y4381" s="404">
        <f>0.05/2</f>
        <v>2.5000000000000001E-2</v>
      </c>
      <c r="Z4381" s="397">
        <v>1</v>
      </c>
      <c r="AA4381" s="399">
        <v>1</v>
      </c>
      <c r="AB4381" s="394">
        <v>18</v>
      </c>
      <c r="AC4381" s="402">
        <v>432</v>
      </c>
      <c r="AD4381" s="399">
        <v>1</v>
      </c>
      <c r="AE4381" s="402"/>
      <c r="AF4381" s="391"/>
      <c r="AG4381" s="394"/>
      <c r="AH4381" s="394"/>
      <c r="AI4381" s="394"/>
      <c r="AJ4381" s="394"/>
      <c r="AK4381" s="394"/>
      <c r="AL4381" s="394"/>
      <c r="AM4381" s="394"/>
      <c r="AN4381" s="394"/>
      <c r="AO4381" s="394"/>
      <c r="AP4381" s="394"/>
      <c r="AQ4381" s="394"/>
      <c r="AR4381" s="394"/>
      <c r="AS4381" s="402"/>
      <c r="AT4381" s="404"/>
      <c r="AU4381" s="394"/>
      <c r="AV4381" s="394"/>
    </row>
    <row r="4382" spans="1:48" ht="15" customHeight="1">
      <c r="A4382" s="404" t="s">
        <v>4668</v>
      </c>
      <c r="B4382" s="402" t="s">
        <v>3229</v>
      </c>
      <c r="D4382" s="393" t="s">
        <v>3230</v>
      </c>
      <c r="E4382" s="394" t="s">
        <v>1555</v>
      </c>
      <c r="G4382" s="405" t="s">
        <v>3231</v>
      </c>
      <c r="H4382" s="404">
        <v>3827</v>
      </c>
      <c r="I4382" s="402" t="s">
        <v>1</v>
      </c>
      <c r="J4382" s="406" t="s">
        <v>6554</v>
      </c>
      <c r="K4382" s="403">
        <v>41345</v>
      </c>
      <c r="L4382" s="398">
        <v>41330</v>
      </c>
      <c r="M4382" s="402">
        <f t="shared" si="260"/>
        <v>15</v>
      </c>
      <c r="N4382" s="402" t="s">
        <v>2</v>
      </c>
      <c r="O4382" s="404">
        <f>1/2</f>
        <v>0.5</v>
      </c>
      <c r="P4382" s="402">
        <v>4.7</v>
      </c>
      <c r="Q4382" s="404">
        <v>7.05</v>
      </c>
      <c r="R4382" s="402">
        <v>5</v>
      </c>
      <c r="S4382" s="404">
        <v>23</v>
      </c>
      <c r="T4382" s="402">
        <v>0.16</v>
      </c>
      <c r="U4382" s="395">
        <v>1.96</v>
      </c>
      <c r="V4382" s="402">
        <v>0.56000000000000005</v>
      </c>
      <c r="W4382" s="404">
        <v>0.05</v>
      </c>
      <c r="X4382" s="402">
        <v>0.28999999999999998</v>
      </c>
      <c r="Y4382" s="404">
        <f>0.05/2</f>
        <v>2.5000000000000001E-2</v>
      </c>
      <c r="Z4382" s="397">
        <v>1</v>
      </c>
      <c r="AA4382" s="399">
        <v>1</v>
      </c>
      <c r="AB4382" s="394">
        <v>40</v>
      </c>
      <c r="AC4382" s="402">
        <v>219</v>
      </c>
      <c r="AD4382" s="399">
        <v>1</v>
      </c>
      <c r="AE4382" s="402"/>
      <c r="AF4382" s="391"/>
      <c r="AG4382" s="394"/>
      <c r="AH4382" s="394"/>
      <c r="AI4382" s="394"/>
      <c r="AJ4382" s="394"/>
      <c r="AK4382" s="394"/>
      <c r="AL4382" s="394"/>
      <c r="AM4382" s="394"/>
      <c r="AN4382" s="394"/>
      <c r="AO4382" s="394"/>
      <c r="AP4382" s="394"/>
      <c r="AQ4382" s="394"/>
      <c r="AR4382" s="394"/>
      <c r="AS4382" s="402"/>
      <c r="AT4382" s="404"/>
      <c r="AU4382" s="394"/>
      <c r="AV4382" s="394"/>
    </row>
    <row r="4383" spans="1:48" ht="15" customHeight="1">
      <c r="A4383" s="404" t="s">
        <v>4668</v>
      </c>
      <c r="B4383" s="402" t="s">
        <v>6520</v>
      </c>
      <c r="C4383" s="113" t="s">
        <v>6520</v>
      </c>
      <c r="D4383" s="393" t="s">
        <v>268</v>
      </c>
      <c r="G4383" s="405" t="s">
        <v>6555</v>
      </c>
      <c r="H4383" s="404"/>
      <c r="I4383" s="402" t="s">
        <v>2</v>
      </c>
      <c r="J4383" s="406" t="s">
        <v>6556</v>
      </c>
      <c r="K4383" s="403">
        <v>41149</v>
      </c>
      <c r="L4383" s="398">
        <v>41139</v>
      </c>
      <c r="M4383" s="402">
        <f t="shared" si="260"/>
        <v>10</v>
      </c>
      <c r="N4383" s="402" t="s">
        <v>2</v>
      </c>
      <c r="O4383" s="404">
        <v>2</v>
      </c>
      <c r="P4383" s="402"/>
      <c r="Q4383" s="404">
        <v>9.1</v>
      </c>
      <c r="R4383" s="402">
        <v>46</v>
      </c>
      <c r="S4383" s="404">
        <v>27</v>
      </c>
      <c r="T4383" s="402">
        <v>0.06</v>
      </c>
      <c r="U4383" s="395">
        <v>0.94</v>
      </c>
      <c r="V4383" s="402">
        <v>0.61</v>
      </c>
      <c r="W4383" s="404">
        <v>5.6000000000000001E-2</v>
      </c>
      <c r="X4383" s="402">
        <v>5.7000000000000002E-2</v>
      </c>
      <c r="Y4383" s="404">
        <f>0.03/2</f>
        <v>1.4999999999999999E-2</v>
      </c>
      <c r="Z4383" s="397">
        <v>1</v>
      </c>
      <c r="AA4383" s="399">
        <v>0.66700000000000004</v>
      </c>
      <c r="AB4383" s="394">
        <v>62</v>
      </c>
      <c r="AC4383" s="402">
        <v>109</v>
      </c>
      <c r="AD4383" s="399">
        <v>0.25</v>
      </c>
      <c r="AE4383" s="402"/>
      <c r="AF4383" s="391"/>
      <c r="AG4383" s="394"/>
      <c r="AH4383" s="394"/>
      <c r="AI4383" s="394"/>
      <c r="AJ4383" s="394"/>
      <c r="AK4383" s="394"/>
      <c r="AL4383" s="394"/>
      <c r="AM4383" s="394"/>
      <c r="AN4383" s="394"/>
      <c r="AO4383" s="394"/>
      <c r="AP4383" s="394"/>
      <c r="AQ4383" s="394"/>
      <c r="AR4383" s="394"/>
      <c r="AS4383" s="402"/>
      <c r="AT4383" s="404"/>
      <c r="AU4383" s="394"/>
      <c r="AV4383" s="394"/>
    </row>
    <row r="4384" spans="1:48" ht="15" customHeight="1">
      <c r="A4384" s="404" t="s">
        <v>4668</v>
      </c>
      <c r="B4384" s="402" t="s">
        <v>6521</v>
      </c>
      <c r="C4384" s="113" t="s">
        <v>6521</v>
      </c>
      <c r="D4384" s="393" t="s">
        <v>150</v>
      </c>
      <c r="F4384" s="402" t="s">
        <v>6522</v>
      </c>
      <c r="G4384" s="405" t="s">
        <v>6557</v>
      </c>
      <c r="H4384" s="404">
        <v>3479</v>
      </c>
      <c r="I4384" s="402" t="s">
        <v>2</v>
      </c>
      <c r="J4384" s="406" t="s">
        <v>510</v>
      </c>
      <c r="K4384" s="403">
        <v>41428</v>
      </c>
      <c r="L4384" s="398">
        <v>41423</v>
      </c>
      <c r="M4384" s="402">
        <f t="shared" si="260"/>
        <v>5</v>
      </c>
      <c r="N4384" s="402" t="s">
        <v>2</v>
      </c>
      <c r="O4384" s="404">
        <f>2/2</f>
        <v>1</v>
      </c>
      <c r="P4384" s="402"/>
      <c r="Q4384" s="404">
        <v>6.5</v>
      </c>
      <c r="R4384" s="402">
        <f>10/2</f>
        <v>5</v>
      </c>
      <c r="S4384" s="404">
        <v>5</v>
      </c>
      <c r="T4384" s="402">
        <v>0.08</v>
      </c>
      <c r="U4384" s="395">
        <v>0.42</v>
      </c>
      <c r="V4384" s="402">
        <v>0.23</v>
      </c>
      <c r="W4384" s="404">
        <f>0.01/2</f>
        <v>5.0000000000000001E-3</v>
      </c>
      <c r="X4384" s="402">
        <v>4.7E-2</v>
      </c>
      <c r="Y4384" s="404">
        <f>0.03/2</f>
        <v>1.4999999999999999E-2</v>
      </c>
      <c r="Z4384" s="397">
        <v>1</v>
      </c>
      <c r="AA4384" s="399">
        <v>1</v>
      </c>
      <c r="AB4384" s="394">
        <f>2/2</f>
        <v>1</v>
      </c>
      <c r="AC4384" s="402">
        <v>11</v>
      </c>
      <c r="AD4384" s="399">
        <v>1</v>
      </c>
      <c r="AE4384" s="402"/>
      <c r="AF4384" s="391"/>
      <c r="AG4384" s="394"/>
      <c r="AH4384" s="394"/>
      <c r="AI4384" s="394"/>
      <c r="AJ4384" s="394"/>
      <c r="AK4384" s="394"/>
      <c r="AL4384" s="394"/>
      <c r="AM4384" s="394"/>
      <c r="AN4384" s="394"/>
      <c r="AO4384" s="394"/>
      <c r="AP4384" s="394"/>
      <c r="AQ4384" s="394"/>
      <c r="AR4384" s="394"/>
      <c r="AS4384" s="402"/>
      <c r="AT4384" s="404"/>
      <c r="AU4384" s="394"/>
      <c r="AV4384" s="394"/>
    </row>
    <row r="4385" spans="1:48" ht="15" customHeight="1">
      <c r="A4385" s="404" t="s">
        <v>4668</v>
      </c>
      <c r="B4385" s="402" t="s">
        <v>6521</v>
      </c>
      <c r="C4385" s="113" t="s">
        <v>6521</v>
      </c>
      <c r="D4385" s="393" t="s">
        <v>150</v>
      </c>
      <c r="F4385" s="402" t="s">
        <v>6522</v>
      </c>
      <c r="G4385" s="405" t="s">
        <v>6558</v>
      </c>
      <c r="H4385" s="404">
        <v>3479</v>
      </c>
      <c r="I4385" s="402" t="s">
        <v>2</v>
      </c>
      <c r="J4385" s="406" t="s">
        <v>510</v>
      </c>
      <c r="K4385" s="403">
        <v>41428</v>
      </c>
      <c r="L4385" s="398">
        <v>41423</v>
      </c>
      <c r="M4385" s="402">
        <f>K4385-L4385</f>
        <v>5</v>
      </c>
      <c r="N4385" s="402" t="s">
        <v>2</v>
      </c>
      <c r="O4385" s="404">
        <f>2/2</f>
        <v>1</v>
      </c>
      <c r="P4385" s="402"/>
      <c r="Q4385" s="404">
        <v>6.4</v>
      </c>
      <c r="R4385" s="402">
        <f>10/2</f>
        <v>5</v>
      </c>
      <c r="S4385" s="404">
        <f>1/2</f>
        <v>0.5</v>
      </c>
      <c r="T4385" s="402">
        <v>0.1</v>
      </c>
      <c r="U4385" s="395">
        <v>0.46</v>
      </c>
      <c r="V4385" s="402">
        <v>0.1</v>
      </c>
      <c r="W4385" s="404">
        <f>0.01/2</f>
        <v>5.0000000000000001E-3</v>
      </c>
      <c r="X4385" s="402">
        <v>0.04</v>
      </c>
      <c r="Y4385" s="404">
        <f>0.03/2</f>
        <v>1.4999999999999999E-2</v>
      </c>
      <c r="Z4385" s="397">
        <v>1</v>
      </c>
      <c r="AA4385" s="399">
        <v>1</v>
      </c>
      <c r="AB4385" s="394">
        <v>3</v>
      </c>
      <c r="AC4385" s="402">
        <v>20</v>
      </c>
      <c r="AD4385" s="399">
        <v>0.9</v>
      </c>
      <c r="AE4385" s="402"/>
      <c r="AF4385" s="391"/>
      <c r="AG4385" s="394"/>
      <c r="AH4385" s="394"/>
      <c r="AI4385" s="394"/>
      <c r="AJ4385" s="394"/>
      <c r="AK4385" s="394"/>
      <c r="AL4385" s="394"/>
      <c r="AM4385" s="394"/>
      <c r="AN4385" s="394"/>
      <c r="AO4385" s="394"/>
      <c r="AP4385" s="394"/>
      <c r="AQ4385" s="394"/>
      <c r="AR4385" s="394"/>
      <c r="AS4385" s="402"/>
      <c r="AT4385" s="404"/>
      <c r="AU4385" s="394"/>
      <c r="AV4385" s="394"/>
    </row>
    <row r="4386" spans="1:48" ht="15" customHeight="1">
      <c r="A4386" s="404" t="s">
        <v>4668</v>
      </c>
      <c r="B4386" s="402" t="s">
        <v>6523</v>
      </c>
      <c r="C4386" s="113" t="s">
        <v>6523</v>
      </c>
      <c r="D4386" s="393" t="s">
        <v>3953</v>
      </c>
      <c r="E4386" s="394" t="s">
        <v>6524</v>
      </c>
      <c r="F4386" s="402" t="s">
        <v>6525</v>
      </c>
      <c r="G4386" s="405" t="s">
        <v>6559</v>
      </c>
      <c r="H4386" s="404">
        <v>4151</v>
      </c>
      <c r="I4386" s="402" t="s">
        <v>2</v>
      </c>
      <c r="J4386" s="406" t="s">
        <v>6560</v>
      </c>
      <c r="K4386" s="403">
        <v>41736</v>
      </c>
      <c r="L4386" s="398">
        <v>41729</v>
      </c>
      <c r="M4386" s="402">
        <f t="shared" si="260"/>
        <v>7</v>
      </c>
      <c r="N4386" s="402" t="s">
        <v>2</v>
      </c>
      <c r="O4386" s="404">
        <f>5/2</f>
        <v>2.5</v>
      </c>
      <c r="P4386" s="402">
        <v>6.36</v>
      </c>
      <c r="Q4386" s="404">
        <v>6.48</v>
      </c>
      <c r="R4386" s="402">
        <v>42</v>
      </c>
      <c r="S4386" s="404">
        <v>13</v>
      </c>
      <c r="T4386" s="402">
        <v>0.11</v>
      </c>
      <c r="U4386" s="395">
        <f>1/2</f>
        <v>0.5</v>
      </c>
      <c r="V4386" s="402">
        <v>0.24</v>
      </c>
      <c r="W4386" s="404">
        <f>0.04/2</f>
        <v>0.02</v>
      </c>
      <c r="X4386" s="402">
        <v>0.06</v>
      </c>
      <c r="Y4386" s="404">
        <f>0.013/2</f>
        <v>6.4999999999999997E-3</v>
      </c>
      <c r="Z4386" s="397">
        <v>1</v>
      </c>
      <c r="AA4386" s="399">
        <v>1</v>
      </c>
      <c r="AB4386" s="394">
        <v>67</v>
      </c>
      <c r="AC4386" s="402">
        <v>594</v>
      </c>
      <c r="AD4386" s="399">
        <v>1</v>
      </c>
      <c r="AE4386" s="402"/>
      <c r="AF4386" s="391"/>
      <c r="AG4386" s="394"/>
      <c r="AH4386" s="394"/>
      <c r="AI4386" s="394"/>
      <c r="AJ4386" s="394"/>
      <c r="AK4386" s="394"/>
      <c r="AL4386" s="394"/>
      <c r="AM4386" s="394"/>
      <c r="AN4386" s="394"/>
      <c r="AO4386" s="394"/>
      <c r="AP4386" s="394"/>
      <c r="AQ4386" s="394"/>
      <c r="AR4386" s="394"/>
      <c r="AS4386" s="402"/>
      <c r="AT4386" s="404"/>
      <c r="AU4386" s="394"/>
      <c r="AV4386" s="394"/>
    </row>
    <row r="4387" spans="1:48" ht="15" customHeight="1">
      <c r="A4387" s="404" t="s">
        <v>4668</v>
      </c>
      <c r="B4387" s="402" t="s">
        <v>6523</v>
      </c>
      <c r="C4387" s="113" t="s">
        <v>6523</v>
      </c>
      <c r="D4387" s="393" t="s">
        <v>3953</v>
      </c>
      <c r="E4387" s="394" t="s">
        <v>6524</v>
      </c>
      <c r="F4387" s="402" t="s">
        <v>6525</v>
      </c>
      <c r="G4387" s="405" t="s">
        <v>6559</v>
      </c>
      <c r="H4387" s="404">
        <v>4151</v>
      </c>
      <c r="I4387" s="402" t="s">
        <v>2</v>
      </c>
      <c r="J4387" s="406" t="s">
        <v>6561</v>
      </c>
      <c r="K4387" s="403">
        <v>41736</v>
      </c>
      <c r="L4387" s="398">
        <v>41364</v>
      </c>
      <c r="M4387" s="402">
        <f t="shared" si="260"/>
        <v>372</v>
      </c>
      <c r="N4387" s="402" t="s">
        <v>2</v>
      </c>
      <c r="O4387" s="404">
        <f>5/2</f>
        <v>2.5</v>
      </c>
      <c r="P4387" s="402">
        <v>6.49</v>
      </c>
      <c r="Q4387" s="404">
        <v>6.74</v>
      </c>
      <c r="R4387" s="402">
        <v>42</v>
      </c>
      <c r="S4387" s="404">
        <v>54</v>
      </c>
      <c r="T4387" s="402">
        <v>0.12</v>
      </c>
      <c r="U4387" s="395">
        <f>1/2</f>
        <v>0.5</v>
      </c>
      <c r="V4387" s="402">
        <v>0.18</v>
      </c>
      <c r="W4387" s="404">
        <v>0.04</v>
      </c>
      <c r="X4387" s="402">
        <v>0.04</v>
      </c>
      <c r="Y4387" s="404">
        <v>1.2999999999999999E-2</v>
      </c>
      <c r="Z4387" s="397">
        <v>1</v>
      </c>
      <c r="AA4387" s="399">
        <v>1</v>
      </c>
      <c r="AB4387" s="394">
        <v>130</v>
      </c>
      <c r="AC4387" s="402">
        <v>1440</v>
      </c>
      <c r="AD4387" s="399">
        <v>1</v>
      </c>
      <c r="AE4387" s="402"/>
      <c r="AF4387" s="391"/>
      <c r="AG4387" s="394"/>
      <c r="AH4387" s="394"/>
      <c r="AI4387" s="394"/>
      <c r="AJ4387" s="394"/>
      <c r="AK4387" s="394"/>
      <c r="AL4387" s="394"/>
      <c r="AM4387" s="394"/>
      <c r="AN4387" s="394"/>
      <c r="AO4387" s="394"/>
      <c r="AP4387" s="394"/>
      <c r="AQ4387" s="394"/>
      <c r="AR4387" s="394"/>
      <c r="AS4387" s="402"/>
      <c r="AT4387" s="404"/>
      <c r="AU4387" s="394"/>
      <c r="AV4387" s="394"/>
    </row>
    <row r="4388" spans="1:48" ht="15" customHeight="1">
      <c r="A4388" s="404" t="s">
        <v>4668</v>
      </c>
      <c r="B4388" s="402" t="s">
        <v>6526</v>
      </c>
      <c r="C4388" s="113" t="s">
        <v>6526</v>
      </c>
      <c r="D4388" s="393" t="s">
        <v>111</v>
      </c>
      <c r="F4388" s="402">
        <v>5200</v>
      </c>
      <c r="G4388" s="405" t="s">
        <v>6562</v>
      </c>
      <c r="H4388" s="404">
        <v>3724</v>
      </c>
      <c r="I4388" s="402" t="s">
        <v>2</v>
      </c>
      <c r="J4388" s="406" t="s">
        <v>510</v>
      </c>
      <c r="K4388" s="403">
        <v>41781</v>
      </c>
      <c r="L4388" s="398">
        <v>41776</v>
      </c>
      <c r="M4388" s="402">
        <f t="shared" si="260"/>
        <v>5</v>
      </c>
      <c r="N4388" s="402" t="s">
        <v>2</v>
      </c>
      <c r="O4388" s="404">
        <v>1.2</v>
      </c>
      <c r="P4388" s="402">
        <v>6.5</v>
      </c>
      <c r="Q4388" s="404">
        <v>6.76</v>
      </c>
      <c r="R4388" s="402">
        <v>25.6</v>
      </c>
      <c r="S4388" s="404">
        <v>132</v>
      </c>
      <c r="T4388" s="402">
        <v>0.1</v>
      </c>
      <c r="U4388" s="395">
        <v>1.08</v>
      </c>
      <c r="V4388" s="402">
        <v>0.26</v>
      </c>
      <c r="W4388" s="404">
        <v>1.4999999999999999E-2</v>
      </c>
      <c r="X4388" s="402">
        <v>4.5999999999999999E-2</v>
      </c>
      <c r="Y4388" s="404">
        <v>3.0000000000000001E-3</v>
      </c>
      <c r="Z4388" s="397">
        <v>1</v>
      </c>
      <c r="AA4388" s="399">
        <v>1</v>
      </c>
      <c r="AB4388" s="394">
        <v>5.78</v>
      </c>
      <c r="AC4388" s="402">
        <v>16</v>
      </c>
      <c r="AD4388" s="399">
        <v>1</v>
      </c>
      <c r="AE4388" s="402"/>
      <c r="AF4388" s="391"/>
      <c r="AG4388" s="394"/>
      <c r="AH4388" s="394"/>
      <c r="AI4388" s="394"/>
      <c r="AJ4388" s="394"/>
      <c r="AK4388" s="394"/>
      <c r="AL4388" s="394"/>
      <c r="AM4388" s="394"/>
      <c r="AN4388" s="394"/>
      <c r="AO4388" s="394"/>
      <c r="AP4388" s="394"/>
      <c r="AQ4388" s="394"/>
      <c r="AR4388" s="394"/>
      <c r="AS4388" s="402"/>
      <c r="AT4388" s="404"/>
      <c r="AU4388" s="394"/>
      <c r="AV4388" s="394"/>
    </row>
    <row r="4389" spans="1:48" ht="15" customHeight="1">
      <c r="A4389" s="404" t="s">
        <v>4668</v>
      </c>
      <c r="B4389" s="402" t="s">
        <v>6526</v>
      </c>
      <c r="C4389" s="113" t="s">
        <v>6526</v>
      </c>
      <c r="D4389" s="393" t="s">
        <v>111</v>
      </c>
      <c r="F4389" s="402">
        <v>5200</v>
      </c>
      <c r="G4389" s="405" t="s">
        <v>6562</v>
      </c>
      <c r="H4389" s="404">
        <v>3724</v>
      </c>
      <c r="I4389" s="402" t="s">
        <v>2</v>
      </c>
      <c r="J4389" s="406" t="s">
        <v>890</v>
      </c>
      <c r="K4389" s="403">
        <v>41781</v>
      </c>
      <c r="L4389" s="398">
        <v>41776</v>
      </c>
      <c r="M4389" s="402">
        <f t="shared" si="260"/>
        <v>5</v>
      </c>
      <c r="N4389" s="402" t="s">
        <v>2</v>
      </c>
      <c r="O4389" s="404">
        <f>1/2</f>
        <v>0.5</v>
      </c>
      <c r="P4389" s="402">
        <v>6.5</v>
      </c>
      <c r="Q4389" s="404">
        <v>5.96</v>
      </c>
      <c r="R4389" s="402">
        <v>11.3</v>
      </c>
      <c r="S4389" s="404">
        <v>5</v>
      </c>
      <c r="T4389" s="402">
        <f>0.05/2</f>
        <v>2.5000000000000001E-2</v>
      </c>
      <c r="U4389" s="395">
        <v>0.42</v>
      </c>
      <c r="V4389" s="402">
        <v>0.21</v>
      </c>
      <c r="W4389" s="404">
        <v>7.0000000000000001E-3</v>
      </c>
      <c r="X4389" s="402">
        <v>0.252</v>
      </c>
      <c r="Y4389" s="404">
        <f>0.013/2</f>
        <v>6.4999999999999997E-3</v>
      </c>
      <c r="Z4389" s="397">
        <v>1</v>
      </c>
      <c r="AA4389" s="399">
        <v>0.70699999999999996</v>
      </c>
      <c r="AB4389" s="394">
        <v>1.18</v>
      </c>
      <c r="AC4389" s="402">
        <v>15</v>
      </c>
      <c r="AD4389" s="399">
        <v>0</v>
      </c>
      <c r="AE4389" s="402"/>
      <c r="AF4389" s="391"/>
      <c r="AG4389" s="394"/>
      <c r="AH4389" s="394"/>
      <c r="AI4389" s="394"/>
      <c r="AJ4389" s="394"/>
      <c r="AK4389" s="394"/>
      <c r="AL4389" s="394"/>
      <c r="AM4389" s="394"/>
      <c r="AN4389" s="394"/>
      <c r="AO4389" s="394"/>
      <c r="AP4389" s="394"/>
      <c r="AQ4389" s="394"/>
      <c r="AR4389" s="394"/>
      <c r="AS4389" s="402"/>
      <c r="AT4389" s="404"/>
      <c r="AU4389" s="394"/>
      <c r="AV4389" s="394"/>
    </row>
    <row r="4390" spans="1:48" ht="15" customHeight="1">
      <c r="A4390" s="404" t="s">
        <v>4668</v>
      </c>
      <c r="B4390" s="402" t="s">
        <v>3225</v>
      </c>
      <c r="C4390" s="113" t="s">
        <v>3226</v>
      </c>
      <c r="D4390" s="393" t="s">
        <v>818</v>
      </c>
      <c r="E4390" s="394" t="s">
        <v>5732</v>
      </c>
      <c r="F4390" s="402" t="s">
        <v>6401</v>
      </c>
      <c r="G4390" s="405" t="s">
        <v>3227</v>
      </c>
      <c r="H4390" s="404" t="s">
        <v>5733</v>
      </c>
      <c r="I4390" s="402" t="s">
        <v>2</v>
      </c>
      <c r="J4390" s="401" t="s">
        <v>3228</v>
      </c>
      <c r="K4390" s="403">
        <v>41744</v>
      </c>
      <c r="L4390" s="398">
        <v>41737</v>
      </c>
      <c r="M4390" s="402">
        <f t="shared" si="260"/>
        <v>7</v>
      </c>
      <c r="N4390" s="402" t="s">
        <v>2</v>
      </c>
      <c r="O4390" s="404"/>
      <c r="P4390" s="402"/>
      <c r="Q4390" s="404"/>
      <c r="R4390" s="402">
        <v>8</v>
      </c>
      <c r="S4390" s="404"/>
      <c r="T4390" s="402"/>
      <c r="U4390" s="395"/>
      <c r="V4390" s="402">
        <v>0.14000000000000001</v>
      </c>
      <c r="W4390" s="404">
        <f>0.04/2</f>
        <v>0.02</v>
      </c>
      <c r="X4390" s="402">
        <v>0.17</v>
      </c>
      <c r="Y4390" s="404"/>
      <c r="Z4390" s="397"/>
      <c r="AA4390" s="399"/>
      <c r="AB4390" s="394"/>
      <c r="AC4390" s="402"/>
      <c r="AD4390" s="399"/>
      <c r="AE4390" s="402"/>
      <c r="AF4390" s="391"/>
      <c r="AG4390" s="394"/>
      <c r="AH4390" s="394"/>
      <c r="AI4390" s="394"/>
      <c r="AJ4390" s="394"/>
      <c r="AK4390" s="394"/>
      <c r="AL4390" s="394"/>
      <c r="AM4390" s="394"/>
      <c r="AN4390" s="394"/>
      <c r="AO4390" s="394"/>
      <c r="AP4390" s="394"/>
      <c r="AQ4390" s="394"/>
      <c r="AR4390" s="394"/>
      <c r="AS4390" s="402"/>
      <c r="AT4390" s="404"/>
      <c r="AU4390" s="394"/>
      <c r="AV4390" s="394"/>
    </row>
    <row r="4391" spans="1:48" ht="15" customHeight="1">
      <c r="A4391" s="404" t="s">
        <v>4668</v>
      </c>
      <c r="B4391" s="402" t="s">
        <v>3220</v>
      </c>
      <c r="C4391" s="113" t="s">
        <v>3220</v>
      </c>
      <c r="D4391" s="393" t="s">
        <v>295</v>
      </c>
      <c r="E4391" s="394" t="s">
        <v>535</v>
      </c>
      <c r="G4391" s="405" t="s">
        <v>3221</v>
      </c>
      <c r="H4391" s="404">
        <v>8731</v>
      </c>
      <c r="I4391" s="402" t="s">
        <v>1</v>
      </c>
      <c r="J4391" s="406" t="s">
        <v>4736</v>
      </c>
      <c r="K4391" s="403">
        <v>41726</v>
      </c>
      <c r="L4391" s="398" t="s">
        <v>5380</v>
      </c>
      <c r="M4391" s="402"/>
      <c r="N4391" s="402" t="s">
        <v>2</v>
      </c>
      <c r="O4391" s="404"/>
      <c r="P4391" s="402"/>
      <c r="Q4391" s="404"/>
      <c r="R4391" s="402"/>
      <c r="S4391" s="404"/>
      <c r="T4391" s="402"/>
      <c r="U4391" s="395"/>
      <c r="V4391" s="402"/>
      <c r="W4391" s="404"/>
      <c r="X4391" s="402"/>
      <c r="Y4391" s="404"/>
      <c r="Z4391" s="397"/>
      <c r="AA4391" s="399"/>
      <c r="AB4391" s="394"/>
      <c r="AC4391" s="402"/>
      <c r="AD4391" s="399"/>
      <c r="AE4391" s="402">
        <v>42</v>
      </c>
      <c r="AF4391" s="391"/>
      <c r="AG4391" s="394"/>
      <c r="AH4391" s="394"/>
      <c r="AI4391" s="394"/>
      <c r="AJ4391" s="394"/>
      <c r="AK4391" s="394"/>
      <c r="AL4391" s="394"/>
      <c r="AM4391" s="394"/>
      <c r="AN4391" s="394"/>
      <c r="AO4391" s="394"/>
      <c r="AP4391" s="394"/>
      <c r="AQ4391" s="394"/>
      <c r="AR4391" s="394"/>
      <c r="AS4391" s="402"/>
      <c r="AT4391" s="404"/>
      <c r="AU4391" s="394"/>
      <c r="AV4391" s="394"/>
    </row>
    <row r="4392" spans="1:48" ht="15" customHeight="1">
      <c r="A4392" s="404" t="s">
        <v>4668</v>
      </c>
      <c r="B4392" s="402" t="s">
        <v>3220</v>
      </c>
      <c r="C4392" s="113" t="s">
        <v>3220</v>
      </c>
      <c r="D4392" s="393" t="s">
        <v>295</v>
      </c>
      <c r="E4392" s="394" t="s">
        <v>535</v>
      </c>
      <c r="G4392" s="405" t="s">
        <v>3221</v>
      </c>
      <c r="H4392" s="404">
        <v>8731</v>
      </c>
      <c r="I4392" s="402" t="s">
        <v>1</v>
      </c>
      <c r="J4392" s="406" t="s">
        <v>3223</v>
      </c>
      <c r="K4392" s="403">
        <v>41726</v>
      </c>
      <c r="L4392" s="398" t="s">
        <v>5380</v>
      </c>
      <c r="M4392" s="402"/>
      <c r="N4392" s="402" t="s">
        <v>2</v>
      </c>
      <c r="O4392" s="404"/>
      <c r="P4392" s="402"/>
      <c r="Q4392" s="404"/>
      <c r="R4392" s="402"/>
      <c r="S4392" s="404"/>
      <c r="T4392" s="402"/>
      <c r="U4392" s="395"/>
      <c r="V4392" s="402"/>
      <c r="W4392" s="404"/>
      <c r="X4392" s="402"/>
      <c r="Y4392" s="404"/>
      <c r="Z4392" s="397"/>
      <c r="AA4392" s="399"/>
      <c r="AB4392" s="394"/>
      <c r="AC4392" s="402"/>
      <c r="AD4392" s="399"/>
      <c r="AE4392" s="402">
        <f>1/2</f>
        <v>0.5</v>
      </c>
      <c r="AF4392" s="391"/>
      <c r="AG4392" s="394"/>
      <c r="AH4392" s="394"/>
      <c r="AI4392" s="394"/>
      <c r="AJ4392" s="394"/>
      <c r="AK4392" s="394"/>
      <c r="AL4392" s="394"/>
      <c r="AM4392" s="394"/>
      <c r="AN4392" s="394"/>
      <c r="AO4392" s="394"/>
      <c r="AP4392" s="394"/>
      <c r="AQ4392" s="394"/>
      <c r="AR4392" s="394"/>
      <c r="AS4392" s="402"/>
      <c r="AT4392" s="404"/>
      <c r="AU4392" s="394"/>
      <c r="AV4392" s="394"/>
    </row>
    <row r="4393" spans="1:48" ht="15" customHeight="1">
      <c r="A4393" s="404" t="s">
        <v>4668</v>
      </c>
      <c r="B4393" s="402" t="s">
        <v>3220</v>
      </c>
      <c r="C4393" s="113" t="s">
        <v>3220</v>
      </c>
      <c r="D4393" s="393" t="s">
        <v>295</v>
      </c>
      <c r="E4393" s="394" t="s">
        <v>535</v>
      </c>
      <c r="G4393" s="405" t="s">
        <v>3221</v>
      </c>
      <c r="H4393" s="404">
        <v>8731</v>
      </c>
      <c r="I4393" s="402" t="s">
        <v>1</v>
      </c>
      <c r="J4393" s="406" t="s">
        <v>3224</v>
      </c>
      <c r="K4393" s="403">
        <v>41726</v>
      </c>
      <c r="L4393" s="398" t="s">
        <v>5380</v>
      </c>
      <c r="M4393" s="402"/>
      <c r="N4393" s="402" t="s">
        <v>2</v>
      </c>
      <c r="O4393" s="404"/>
      <c r="P4393" s="402"/>
      <c r="Q4393" s="404"/>
      <c r="R4393" s="402"/>
      <c r="S4393" s="404"/>
      <c r="T4393" s="402"/>
      <c r="U4393" s="395"/>
      <c r="V4393" s="402"/>
      <c r="W4393" s="404"/>
      <c r="X4393" s="402"/>
      <c r="Y4393" s="404"/>
      <c r="Z4393" s="397"/>
      <c r="AA4393" s="399"/>
      <c r="AB4393" s="394"/>
      <c r="AC4393" s="402"/>
      <c r="AD4393" s="399"/>
      <c r="AE4393" s="402">
        <f>1/2</f>
        <v>0.5</v>
      </c>
      <c r="AF4393" s="391"/>
      <c r="AG4393" s="394"/>
      <c r="AH4393" s="394"/>
      <c r="AI4393" s="394"/>
      <c r="AJ4393" s="394"/>
      <c r="AK4393" s="394"/>
      <c r="AL4393" s="394"/>
      <c r="AM4393" s="394"/>
      <c r="AN4393" s="394"/>
      <c r="AO4393" s="394"/>
      <c r="AP4393" s="394"/>
      <c r="AQ4393" s="394"/>
      <c r="AR4393" s="394"/>
      <c r="AS4393" s="402"/>
      <c r="AT4393" s="404"/>
      <c r="AU4393" s="394"/>
      <c r="AV4393" s="394"/>
    </row>
    <row r="4394" spans="1:48" ht="15" customHeight="1">
      <c r="A4394" s="404" t="s">
        <v>4668</v>
      </c>
      <c r="B4394" s="402" t="s">
        <v>3220</v>
      </c>
      <c r="C4394" s="113" t="s">
        <v>3220</v>
      </c>
      <c r="D4394" s="393" t="s">
        <v>295</v>
      </c>
      <c r="E4394" s="394" t="s">
        <v>535</v>
      </c>
      <c r="G4394" s="405" t="s">
        <v>3221</v>
      </c>
      <c r="H4394" s="404">
        <v>8731</v>
      </c>
      <c r="I4394" s="402" t="s">
        <v>1</v>
      </c>
      <c r="J4394" s="406" t="s">
        <v>2362</v>
      </c>
      <c r="K4394" s="403">
        <v>41726</v>
      </c>
      <c r="L4394" s="398" t="s">
        <v>5380</v>
      </c>
      <c r="M4394" s="402"/>
      <c r="N4394" s="402" t="s">
        <v>2</v>
      </c>
      <c r="O4394" s="404"/>
      <c r="P4394" s="402"/>
      <c r="Q4394" s="404"/>
      <c r="R4394" s="402"/>
      <c r="S4394" s="404"/>
      <c r="T4394" s="402"/>
      <c r="U4394" s="395"/>
      <c r="V4394" s="402"/>
      <c r="W4394" s="404"/>
      <c r="X4394" s="402"/>
      <c r="Y4394" s="404"/>
      <c r="Z4394" s="397"/>
      <c r="AA4394" s="399"/>
      <c r="AB4394" s="394"/>
      <c r="AC4394" s="402"/>
      <c r="AD4394" s="399"/>
      <c r="AE4394" s="402">
        <v>60</v>
      </c>
      <c r="AF4394" s="391"/>
      <c r="AG4394" s="394"/>
      <c r="AH4394" s="394"/>
      <c r="AI4394" s="394"/>
      <c r="AJ4394" s="394"/>
      <c r="AK4394" s="394"/>
      <c r="AL4394" s="394"/>
      <c r="AM4394" s="394"/>
      <c r="AN4394" s="394"/>
      <c r="AO4394" s="394"/>
      <c r="AP4394" s="394"/>
      <c r="AQ4394" s="394"/>
      <c r="AR4394" s="394"/>
      <c r="AS4394" s="402"/>
      <c r="AT4394" s="404"/>
      <c r="AU4394" s="394"/>
      <c r="AV4394" s="394"/>
    </row>
    <row r="4395" spans="1:48" ht="15" customHeight="1">
      <c r="A4395" s="404" t="s">
        <v>4668</v>
      </c>
      <c r="B4395" s="402" t="s">
        <v>3967</v>
      </c>
      <c r="C4395" s="113" t="s">
        <v>3967</v>
      </c>
      <c r="D4395" s="393" t="s">
        <v>372</v>
      </c>
      <c r="E4395" s="394" t="s">
        <v>235</v>
      </c>
      <c r="F4395" s="402">
        <v>6900</v>
      </c>
      <c r="G4395" s="405" t="s">
        <v>5086</v>
      </c>
      <c r="H4395" s="404">
        <v>4119</v>
      </c>
      <c r="I4395" s="402" t="s">
        <v>2</v>
      </c>
      <c r="J4395" s="406" t="s">
        <v>74</v>
      </c>
      <c r="K4395" s="403">
        <v>41729</v>
      </c>
      <c r="L4395" s="398">
        <v>41710</v>
      </c>
      <c r="M4395" s="402">
        <f t="shared" si="260"/>
        <v>19</v>
      </c>
      <c r="N4395" s="402" t="s">
        <v>2</v>
      </c>
      <c r="O4395" s="404">
        <f>5/2</f>
        <v>2.5</v>
      </c>
      <c r="P4395" s="402">
        <v>6.43</v>
      </c>
      <c r="Q4395" s="404">
        <v>6.8</v>
      </c>
      <c r="R4395" s="402">
        <v>106</v>
      </c>
      <c r="S4395" s="404">
        <v>149</v>
      </c>
      <c r="T4395" s="402">
        <v>0.23</v>
      </c>
      <c r="U4395" s="395">
        <v>1.27</v>
      </c>
      <c r="V4395" s="402">
        <v>0.76</v>
      </c>
      <c r="W4395" s="404">
        <v>2.5999999999999999E-2</v>
      </c>
      <c r="X4395" s="402">
        <v>0.11</v>
      </c>
      <c r="Y4395" s="404">
        <v>1.7999999999999999E-2</v>
      </c>
      <c r="Z4395" s="397"/>
      <c r="AA4395" s="399"/>
      <c r="AB4395" s="394"/>
      <c r="AC4395" s="402"/>
      <c r="AD4395" s="399"/>
      <c r="AE4395" s="402"/>
      <c r="AF4395" s="391"/>
      <c r="AG4395" s="394"/>
      <c r="AH4395" s="394"/>
      <c r="AI4395" s="394"/>
      <c r="AJ4395" s="394"/>
      <c r="AK4395" s="394"/>
      <c r="AL4395" s="394"/>
      <c r="AM4395" s="394"/>
      <c r="AN4395" s="394"/>
      <c r="AO4395" s="394"/>
      <c r="AP4395" s="394"/>
      <c r="AQ4395" s="394"/>
      <c r="AR4395" s="394"/>
      <c r="AS4395" s="402"/>
      <c r="AT4395" s="404"/>
      <c r="AU4395" s="394"/>
      <c r="AV4395" s="394"/>
    </row>
    <row r="4396" spans="1:48" ht="15" customHeight="1">
      <c r="A4396" s="404" t="s">
        <v>4668</v>
      </c>
      <c r="B4396" s="402" t="s">
        <v>3967</v>
      </c>
      <c r="C4396" s="113" t="s">
        <v>3967</v>
      </c>
      <c r="D4396" s="393" t="s">
        <v>372</v>
      </c>
      <c r="E4396" s="394" t="s">
        <v>112</v>
      </c>
      <c r="G4396" s="405" t="s">
        <v>5086</v>
      </c>
      <c r="H4396" s="404">
        <v>4119</v>
      </c>
      <c r="I4396" s="402" t="s">
        <v>2</v>
      </c>
      <c r="J4396" s="406" t="s">
        <v>75</v>
      </c>
      <c r="K4396" s="403">
        <v>41710</v>
      </c>
      <c r="L4396" s="398">
        <v>41689</v>
      </c>
      <c r="M4396" s="402">
        <f>K4396-L4396</f>
        <v>21</v>
      </c>
      <c r="N4396" s="402" t="s">
        <v>2</v>
      </c>
      <c r="O4396" s="404">
        <v>6</v>
      </c>
      <c r="P4396" s="402">
        <v>6</v>
      </c>
      <c r="Q4396" s="404">
        <v>7.75</v>
      </c>
      <c r="R4396" s="402">
        <v>361</v>
      </c>
      <c r="S4396" s="404">
        <v>236</v>
      </c>
      <c r="T4396" s="402">
        <v>0.57999999999999996</v>
      </c>
      <c r="U4396" s="395">
        <v>8.06</v>
      </c>
      <c r="V4396" s="402">
        <v>1.86</v>
      </c>
      <c r="W4396" s="404">
        <v>3.9E-2</v>
      </c>
      <c r="X4396" s="402">
        <v>0.26</v>
      </c>
      <c r="Y4396" s="404">
        <v>0.08</v>
      </c>
      <c r="Z4396" s="397"/>
      <c r="AA4396" s="399"/>
      <c r="AB4396" s="394"/>
      <c r="AC4396" s="402"/>
      <c r="AD4396" s="399"/>
      <c r="AE4396" s="402"/>
      <c r="AF4396" s="391"/>
      <c r="AG4396" s="394"/>
      <c r="AH4396" s="394"/>
      <c r="AI4396" s="394"/>
      <c r="AJ4396" s="394"/>
      <c r="AK4396" s="394"/>
      <c r="AL4396" s="394"/>
      <c r="AM4396" s="394"/>
      <c r="AN4396" s="394"/>
      <c r="AO4396" s="394"/>
      <c r="AP4396" s="394"/>
      <c r="AQ4396" s="394"/>
      <c r="AR4396" s="394"/>
      <c r="AS4396" s="402"/>
      <c r="AT4396" s="404"/>
      <c r="AU4396" s="394"/>
      <c r="AV4396" s="394"/>
    </row>
    <row r="4397" spans="1:48" ht="15" customHeight="1">
      <c r="A4397" s="404" t="s">
        <v>4668</v>
      </c>
      <c r="B4397" s="402" t="s">
        <v>6324</v>
      </c>
      <c r="C4397" s="113" t="s">
        <v>6324</v>
      </c>
      <c r="D4397" s="393" t="s">
        <v>462</v>
      </c>
      <c r="E4397" s="394" t="s">
        <v>3290</v>
      </c>
      <c r="F4397" s="402" t="s">
        <v>6325</v>
      </c>
      <c r="G4397" s="405" t="s">
        <v>6326</v>
      </c>
      <c r="H4397" s="404">
        <v>3821</v>
      </c>
      <c r="I4397" s="402" t="s">
        <v>2</v>
      </c>
      <c r="J4397" s="406" t="s">
        <v>510</v>
      </c>
      <c r="K4397" s="403">
        <v>41795</v>
      </c>
      <c r="L4397" s="398">
        <v>41790</v>
      </c>
      <c r="M4397" s="402">
        <f t="shared" si="260"/>
        <v>5</v>
      </c>
      <c r="N4397" s="402" t="s">
        <v>2</v>
      </c>
      <c r="O4397" s="404">
        <f>1.03/2</f>
        <v>0.51500000000000001</v>
      </c>
      <c r="P4397" s="402">
        <v>5.6</v>
      </c>
      <c r="Q4397" s="404">
        <v>6.61</v>
      </c>
      <c r="R4397" s="402">
        <v>27.2</v>
      </c>
      <c r="S4397" s="404">
        <v>8</v>
      </c>
      <c r="T4397" s="402">
        <v>3.32E-2</v>
      </c>
      <c r="U4397" s="395">
        <v>0.77</v>
      </c>
      <c r="V4397" s="402">
        <v>0.14199999999999999</v>
      </c>
      <c r="W4397" s="404">
        <v>5.7000000000000002E-3</v>
      </c>
      <c r="X4397" s="402">
        <f>0.0285/2</f>
        <v>1.4250000000000001E-2</v>
      </c>
      <c r="Y4397" s="404">
        <f>0.0075/2</f>
        <v>3.7499999999999999E-3</v>
      </c>
      <c r="Z4397" s="397"/>
      <c r="AA4397" s="399"/>
      <c r="AB4397" s="394"/>
      <c r="AC4397" s="402"/>
      <c r="AD4397" s="399"/>
      <c r="AE4397" s="402"/>
      <c r="AF4397" s="391"/>
      <c r="AG4397" s="394"/>
      <c r="AH4397" s="394"/>
      <c r="AI4397" s="394"/>
      <c r="AJ4397" s="394"/>
      <c r="AK4397" s="394"/>
      <c r="AL4397" s="394"/>
      <c r="AM4397" s="394"/>
      <c r="AN4397" s="394"/>
      <c r="AO4397" s="394"/>
      <c r="AP4397" s="394"/>
      <c r="AQ4397" s="394"/>
      <c r="AR4397" s="394"/>
      <c r="AS4397" s="402"/>
      <c r="AT4397" s="404"/>
      <c r="AU4397" s="394"/>
      <c r="AV4397" s="394"/>
    </row>
    <row r="4398" spans="1:48" ht="15" customHeight="1">
      <c r="A4398" s="404" t="s">
        <v>4668</v>
      </c>
      <c r="B4398" s="402" t="s">
        <v>1220</v>
      </c>
      <c r="C4398" s="113" t="s">
        <v>1221</v>
      </c>
      <c r="D4398" s="393" t="s">
        <v>684</v>
      </c>
      <c r="E4398" s="394" t="s">
        <v>112</v>
      </c>
      <c r="G4398" s="405" t="s">
        <v>1222</v>
      </c>
      <c r="H4398" s="404">
        <v>4215</v>
      </c>
      <c r="I4398" s="402" t="s">
        <v>2</v>
      </c>
      <c r="J4398" s="393" t="s">
        <v>1223</v>
      </c>
      <c r="K4398" s="403">
        <v>41710</v>
      </c>
      <c r="L4398" s="398">
        <v>41689</v>
      </c>
      <c r="M4398" s="402">
        <f t="shared" si="260"/>
        <v>21</v>
      </c>
      <c r="N4398" s="402" t="s">
        <v>1</v>
      </c>
      <c r="O4398" s="404"/>
      <c r="P4398" s="402"/>
      <c r="Q4398" s="404"/>
      <c r="R4398" s="402">
        <v>839</v>
      </c>
      <c r="S4398" s="404">
        <v>299</v>
      </c>
      <c r="T4398" s="402"/>
      <c r="U4398" s="395">
        <v>16.100000000000001</v>
      </c>
      <c r="V4398" s="402">
        <v>5.6</v>
      </c>
      <c r="W4398" s="404">
        <v>0.28699999999999998</v>
      </c>
      <c r="X4398" s="402">
        <v>7.9</v>
      </c>
      <c r="Y4398" s="404"/>
      <c r="Z4398" s="397"/>
      <c r="AA4398" s="399"/>
      <c r="AB4398" s="394"/>
      <c r="AC4398" s="402"/>
      <c r="AD4398" s="399"/>
      <c r="AE4398" s="402"/>
      <c r="AF4398" s="391"/>
      <c r="AG4398" s="394"/>
      <c r="AH4398" s="394"/>
      <c r="AI4398" s="394"/>
      <c r="AJ4398" s="394"/>
      <c r="AK4398" s="394"/>
      <c r="AL4398" s="394"/>
      <c r="AM4398" s="394"/>
      <c r="AN4398" s="394"/>
      <c r="AO4398" s="394"/>
      <c r="AP4398" s="394"/>
      <c r="AQ4398" s="394"/>
      <c r="AR4398" s="394"/>
      <c r="AS4398" s="402"/>
      <c r="AT4398" s="404"/>
      <c r="AU4398" s="394"/>
      <c r="AV4398" s="394"/>
    </row>
    <row r="4399" spans="1:48" ht="15" customHeight="1">
      <c r="A4399" s="404" t="s">
        <v>4668</v>
      </c>
      <c r="B4399" s="402" t="s">
        <v>1220</v>
      </c>
      <c r="C4399" s="113" t="s">
        <v>1221</v>
      </c>
      <c r="D4399" s="393" t="s">
        <v>684</v>
      </c>
      <c r="E4399" s="394" t="s">
        <v>112</v>
      </c>
      <c r="G4399" s="405" t="s">
        <v>1222</v>
      </c>
      <c r="H4399" s="404">
        <v>4215</v>
      </c>
      <c r="I4399" s="402" t="s">
        <v>2</v>
      </c>
      <c r="J4399" s="393" t="s">
        <v>1224</v>
      </c>
      <c r="K4399" s="403">
        <v>41710</v>
      </c>
      <c r="L4399" s="398">
        <v>41689</v>
      </c>
      <c r="M4399" s="402">
        <f>K4399-L4399</f>
        <v>21</v>
      </c>
      <c r="N4399" s="402" t="s">
        <v>1</v>
      </c>
      <c r="O4399" s="404"/>
      <c r="P4399" s="402"/>
      <c r="Q4399" s="404"/>
      <c r="R4399" s="402"/>
      <c r="S4399" s="404">
        <v>675</v>
      </c>
      <c r="T4399" s="402"/>
      <c r="U4399" s="395">
        <v>10.9</v>
      </c>
      <c r="V4399" s="402"/>
      <c r="W4399" s="404"/>
      <c r="X4399" s="402">
        <v>2</v>
      </c>
      <c r="Y4399" s="404"/>
      <c r="Z4399" s="397"/>
      <c r="AA4399" s="399"/>
      <c r="AB4399" s="394"/>
      <c r="AC4399" s="402"/>
      <c r="AD4399" s="399"/>
      <c r="AE4399" s="402"/>
      <c r="AF4399" s="391"/>
      <c r="AG4399" s="394"/>
      <c r="AH4399" s="394"/>
      <c r="AI4399" s="394"/>
      <c r="AJ4399" s="394"/>
      <c r="AK4399" s="394"/>
      <c r="AL4399" s="394"/>
      <c r="AM4399" s="394"/>
      <c r="AN4399" s="394"/>
      <c r="AO4399" s="394"/>
      <c r="AP4399" s="394"/>
      <c r="AQ4399" s="394"/>
      <c r="AR4399" s="394"/>
      <c r="AS4399" s="402"/>
      <c r="AT4399" s="404"/>
      <c r="AU4399" s="394"/>
      <c r="AV4399" s="394"/>
    </row>
    <row r="4400" spans="1:48" ht="15" customHeight="1">
      <c r="A4400" s="404" t="s">
        <v>4668</v>
      </c>
      <c r="B4400" s="402" t="s">
        <v>1220</v>
      </c>
      <c r="C4400" s="113" t="s">
        <v>1292</v>
      </c>
      <c r="D4400" s="393" t="s">
        <v>2372</v>
      </c>
      <c r="E4400" s="394" t="s">
        <v>1293</v>
      </c>
      <c r="G4400" s="405" t="s">
        <v>1294</v>
      </c>
      <c r="H4400" s="404">
        <v>4215</v>
      </c>
      <c r="I4400" s="402" t="s">
        <v>2</v>
      </c>
      <c r="J4400" s="393" t="s">
        <v>1295</v>
      </c>
      <c r="K4400" s="403">
        <v>41710</v>
      </c>
      <c r="L4400" s="398">
        <v>41691</v>
      </c>
      <c r="M4400" s="402">
        <f t="shared" si="260"/>
        <v>19</v>
      </c>
      <c r="N4400" s="402" t="s">
        <v>1</v>
      </c>
      <c r="O4400" s="404"/>
      <c r="P4400" s="402"/>
      <c r="Q4400" s="404"/>
      <c r="R4400" s="402"/>
      <c r="S4400" s="404"/>
      <c r="T4400" s="402"/>
      <c r="U4400" s="395"/>
      <c r="V4400" s="402">
        <v>3.2</v>
      </c>
      <c r="W4400" s="404"/>
      <c r="X4400" s="402"/>
      <c r="Y4400" s="404"/>
      <c r="Z4400" s="397"/>
      <c r="AA4400" s="399"/>
      <c r="AB4400" s="394"/>
      <c r="AC4400" s="402"/>
      <c r="AD4400" s="399"/>
      <c r="AE4400" s="402"/>
      <c r="AF4400" s="391"/>
      <c r="AG4400" s="394"/>
      <c r="AH4400" s="394"/>
      <c r="AI4400" s="394"/>
      <c r="AJ4400" s="394"/>
      <c r="AK4400" s="394"/>
      <c r="AL4400" s="394"/>
      <c r="AM4400" s="394"/>
      <c r="AN4400" s="394"/>
      <c r="AO4400" s="394"/>
      <c r="AP4400" s="394"/>
      <c r="AQ4400" s="394"/>
      <c r="AR4400" s="394"/>
      <c r="AS4400" s="402"/>
      <c r="AT4400" s="404"/>
      <c r="AU4400" s="394"/>
      <c r="AV4400" s="394"/>
    </row>
    <row r="4401" spans="1:48" ht="15" customHeight="1">
      <c r="A4401" s="404" t="s">
        <v>4668</v>
      </c>
      <c r="B4401" s="402" t="s">
        <v>1220</v>
      </c>
      <c r="C4401" s="113" t="s">
        <v>1242</v>
      </c>
      <c r="D4401" s="393" t="s">
        <v>133</v>
      </c>
      <c r="E4401" s="394" t="s">
        <v>1244</v>
      </c>
      <c r="F4401" s="402" t="s">
        <v>1245</v>
      </c>
      <c r="G4401" s="405" t="s">
        <v>1246</v>
      </c>
      <c r="H4401" s="404">
        <v>4215</v>
      </c>
      <c r="I4401" s="402" t="s">
        <v>2</v>
      </c>
      <c r="J4401" s="406" t="s">
        <v>1223</v>
      </c>
      <c r="K4401" s="403">
        <v>41710</v>
      </c>
      <c r="L4401" s="398">
        <v>41691</v>
      </c>
      <c r="M4401" s="402">
        <f t="shared" si="260"/>
        <v>19</v>
      </c>
      <c r="N4401" s="402" t="s">
        <v>1</v>
      </c>
      <c r="O4401" s="404"/>
      <c r="P4401" s="402"/>
      <c r="Q4401" s="404"/>
      <c r="R4401" s="402"/>
      <c r="S4401" s="404">
        <v>770</v>
      </c>
      <c r="T4401" s="402"/>
      <c r="U4401" s="395"/>
      <c r="V4401" s="402"/>
      <c r="W4401" s="404"/>
      <c r="X4401" s="402">
        <v>2</v>
      </c>
      <c r="Y4401" s="404"/>
      <c r="Z4401" s="397"/>
      <c r="AA4401" s="399"/>
      <c r="AB4401" s="394"/>
      <c r="AC4401" s="402"/>
      <c r="AD4401" s="399"/>
      <c r="AE4401" s="402"/>
      <c r="AF4401" s="391"/>
      <c r="AG4401" s="394"/>
      <c r="AH4401" s="394"/>
      <c r="AI4401" s="394"/>
      <c r="AJ4401" s="394"/>
      <c r="AK4401" s="394"/>
      <c r="AL4401" s="394"/>
      <c r="AM4401" s="394"/>
      <c r="AN4401" s="394"/>
      <c r="AO4401" s="394"/>
      <c r="AP4401" s="394"/>
      <c r="AQ4401" s="394"/>
      <c r="AR4401" s="394"/>
      <c r="AS4401" s="402"/>
      <c r="AT4401" s="404"/>
      <c r="AU4401" s="394"/>
      <c r="AV4401" s="394"/>
    </row>
    <row r="4402" spans="1:48" ht="15" customHeight="1">
      <c r="A4402" s="404" t="s">
        <v>4668</v>
      </c>
      <c r="B4402" s="402" t="s">
        <v>1220</v>
      </c>
      <c r="C4402" s="113" t="s">
        <v>1242</v>
      </c>
      <c r="D4402" s="393" t="s">
        <v>133</v>
      </c>
      <c r="E4402" s="394" t="s">
        <v>1244</v>
      </c>
      <c r="F4402" s="402" t="s">
        <v>1245</v>
      </c>
      <c r="G4402" s="405" t="s">
        <v>1246</v>
      </c>
      <c r="H4402" s="404">
        <v>4215</v>
      </c>
      <c r="I4402" s="402" t="s">
        <v>2</v>
      </c>
      <c r="J4402" s="406" t="s">
        <v>1224</v>
      </c>
      <c r="K4402" s="403">
        <v>41710</v>
      </c>
      <c r="L4402" s="398">
        <v>41691</v>
      </c>
      <c r="M4402" s="402">
        <f>K4402-L4402</f>
        <v>19</v>
      </c>
      <c r="N4402" s="402" t="s">
        <v>1</v>
      </c>
      <c r="O4402" s="404"/>
      <c r="P4402" s="402"/>
      <c r="Q4402" s="404"/>
      <c r="R4402" s="402">
        <v>340</v>
      </c>
      <c r="S4402" s="404">
        <v>633</v>
      </c>
      <c r="T4402" s="402"/>
      <c r="U4402" s="395">
        <v>18.3</v>
      </c>
      <c r="V4402" s="402"/>
      <c r="W4402" s="404"/>
      <c r="X4402" s="402">
        <v>1.1000000000000001</v>
      </c>
      <c r="Y4402" s="404"/>
      <c r="Z4402" s="397"/>
      <c r="AA4402" s="399"/>
      <c r="AB4402" s="394"/>
      <c r="AC4402" s="402"/>
      <c r="AD4402" s="399"/>
      <c r="AE4402" s="402"/>
      <c r="AF4402" s="391"/>
      <c r="AG4402" s="394"/>
      <c r="AH4402" s="394"/>
      <c r="AI4402" s="394"/>
      <c r="AJ4402" s="394"/>
      <c r="AK4402" s="394"/>
      <c r="AL4402" s="394"/>
      <c r="AM4402" s="394"/>
      <c r="AN4402" s="394"/>
      <c r="AO4402" s="394"/>
      <c r="AP4402" s="394"/>
      <c r="AQ4402" s="394"/>
      <c r="AR4402" s="394"/>
      <c r="AS4402" s="402"/>
      <c r="AT4402" s="404"/>
      <c r="AU4402" s="394"/>
      <c r="AV4402" s="394"/>
    </row>
    <row r="4403" spans="1:48" ht="15" customHeight="1">
      <c r="A4403" s="404" t="s">
        <v>4668</v>
      </c>
      <c r="B4403" s="402" t="s">
        <v>1220</v>
      </c>
      <c r="C4403" s="113" t="s">
        <v>1242</v>
      </c>
      <c r="D4403" s="393" t="s">
        <v>133</v>
      </c>
      <c r="E4403" s="394" t="s">
        <v>1244</v>
      </c>
      <c r="F4403" s="402" t="s">
        <v>1245</v>
      </c>
      <c r="G4403" s="405" t="s">
        <v>1246</v>
      </c>
      <c r="H4403" s="404">
        <v>4215</v>
      </c>
      <c r="I4403" s="402" t="s">
        <v>2</v>
      </c>
      <c r="J4403" s="406" t="s">
        <v>1228</v>
      </c>
      <c r="K4403" s="403">
        <v>41710</v>
      </c>
      <c r="L4403" s="398">
        <v>41691</v>
      </c>
      <c r="M4403" s="402">
        <f>K4403-L4403</f>
        <v>19</v>
      </c>
      <c r="N4403" s="402" t="s">
        <v>1</v>
      </c>
      <c r="O4403" s="404"/>
      <c r="P4403" s="402"/>
      <c r="Q4403" s="404"/>
      <c r="R4403" s="402"/>
      <c r="S4403" s="404"/>
      <c r="T4403" s="402"/>
      <c r="U4403" s="395"/>
      <c r="V4403" s="402"/>
      <c r="W4403" s="404"/>
      <c r="X4403" s="402">
        <v>7.3999999999999996E-2</v>
      </c>
      <c r="Y4403" s="404"/>
      <c r="Z4403" s="397"/>
      <c r="AA4403" s="399"/>
      <c r="AB4403" s="394"/>
      <c r="AC4403" s="402"/>
      <c r="AD4403" s="399"/>
      <c r="AE4403" s="402"/>
      <c r="AF4403" s="391"/>
      <c r="AG4403" s="394"/>
      <c r="AH4403" s="394"/>
      <c r="AI4403" s="394"/>
      <c r="AJ4403" s="394"/>
      <c r="AK4403" s="394"/>
      <c r="AL4403" s="394"/>
      <c r="AM4403" s="394"/>
      <c r="AN4403" s="394"/>
      <c r="AO4403" s="394"/>
      <c r="AP4403" s="394"/>
      <c r="AQ4403" s="394"/>
      <c r="AR4403" s="394"/>
      <c r="AS4403" s="402"/>
      <c r="AT4403" s="404"/>
      <c r="AU4403" s="394"/>
      <c r="AV4403" s="394"/>
    </row>
    <row r="4404" spans="1:48" ht="15" customHeight="1">
      <c r="A4404" s="404" t="s">
        <v>4668</v>
      </c>
      <c r="B4404" s="402" t="s">
        <v>1220</v>
      </c>
      <c r="C4404" s="113" t="s">
        <v>1242</v>
      </c>
      <c r="D4404" s="393" t="s">
        <v>133</v>
      </c>
      <c r="E4404" s="394" t="s">
        <v>1244</v>
      </c>
      <c r="F4404" s="402" t="s">
        <v>1245</v>
      </c>
      <c r="G4404" s="405" t="s">
        <v>1246</v>
      </c>
      <c r="H4404" s="404">
        <v>4215</v>
      </c>
      <c r="I4404" s="402" t="s">
        <v>2</v>
      </c>
      <c r="J4404" s="406" t="s">
        <v>1248</v>
      </c>
      <c r="K4404" s="403">
        <v>41710</v>
      </c>
      <c r="L4404" s="398">
        <v>41691</v>
      </c>
      <c r="M4404" s="402">
        <f>K4404-L4404</f>
        <v>19</v>
      </c>
      <c r="N4404" s="402" t="s">
        <v>1</v>
      </c>
      <c r="O4404" s="404"/>
      <c r="P4404" s="402"/>
      <c r="Q4404" s="404"/>
      <c r="R4404" s="402"/>
      <c r="S4404" s="404">
        <v>6.4</v>
      </c>
      <c r="T4404" s="402"/>
      <c r="U4404" s="395">
        <v>0.44</v>
      </c>
      <c r="V4404" s="402"/>
      <c r="W4404" s="404"/>
      <c r="X4404" s="402">
        <v>5.0999999999999997E-2</v>
      </c>
      <c r="Y4404" s="404"/>
      <c r="Z4404" s="397"/>
      <c r="AA4404" s="399"/>
      <c r="AB4404" s="394"/>
      <c r="AC4404" s="402"/>
      <c r="AD4404" s="399"/>
      <c r="AE4404" s="402"/>
      <c r="AF4404" s="391"/>
      <c r="AG4404" s="394"/>
      <c r="AH4404" s="394"/>
      <c r="AI4404" s="394"/>
      <c r="AJ4404" s="394"/>
      <c r="AK4404" s="394"/>
      <c r="AL4404" s="394"/>
      <c r="AM4404" s="394"/>
      <c r="AN4404" s="394"/>
      <c r="AO4404" s="394"/>
      <c r="AP4404" s="394"/>
      <c r="AQ4404" s="394"/>
      <c r="AR4404" s="394"/>
      <c r="AS4404" s="402"/>
      <c r="AT4404" s="404"/>
      <c r="AU4404" s="394"/>
      <c r="AV4404" s="394"/>
    </row>
    <row r="4405" spans="1:48" ht="15" customHeight="1">
      <c r="A4405" s="404" t="s">
        <v>4668</v>
      </c>
      <c r="B4405" s="402" t="s">
        <v>1220</v>
      </c>
      <c r="C4405" s="113" t="s">
        <v>1235</v>
      </c>
      <c r="D4405" s="393" t="s">
        <v>111</v>
      </c>
      <c r="E4405" s="394" t="s">
        <v>1237</v>
      </c>
      <c r="G4405" s="405" t="s">
        <v>1238</v>
      </c>
      <c r="H4405" s="404">
        <v>4215</v>
      </c>
      <c r="I4405" s="402" t="s">
        <v>2</v>
      </c>
      <c r="J4405" s="406" t="s">
        <v>1223</v>
      </c>
      <c r="K4405" s="403">
        <v>41710</v>
      </c>
      <c r="L4405" s="398">
        <v>41691</v>
      </c>
      <c r="M4405" s="402">
        <f t="shared" si="260"/>
        <v>19</v>
      </c>
      <c r="N4405" s="402" t="s">
        <v>1</v>
      </c>
      <c r="O4405" s="404">
        <f>1.4/2</f>
        <v>0.7</v>
      </c>
      <c r="P4405" s="402"/>
      <c r="Q4405" s="404">
        <v>6.2</v>
      </c>
      <c r="R4405" s="402">
        <v>260</v>
      </c>
      <c r="S4405" s="404">
        <v>204</v>
      </c>
      <c r="T4405" s="402">
        <v>0.32</v>
      </c>
      <c r="U4405" s="395">
        <v>3</v>
      </c>
      <c r="V4405" s="402">
        <v>1.5</v>
      </c>
      <c r="W4405" s="404">
        <v>7.9000000000000001E-2</v>
      </c>
      <c r="X4405" s="402">
        <v>0.33</v>
      </c>
      <c r="Y4405" s="404">
        <v>1.2999999999999999E-2</v>
      </c>
      <c r="Z4405" s="397"/>
      <c r="AA4405" s="399"/>
      <c r="AB4405" s="394"/>
      <c r="AC4405" s="402"/>
      <c r="AD4405" s="399"/>
      <c r="AE4405" s="402"/>
      <c r="AF4405" s="391"/>
      <c r="AG4405" s="394"/>
      <c r="AH4405" s="394"/>
      <c r="AI4405" s="394"/>
      <c r="AJ4405" s="394"/>
      <c r="AK4405" s="394"/>
      <c r="AL4405" s="394"/>
      <c r="AM4405" s="394"/>
      <c r="AN4405" s="394"/>
      <c r="AO4405" s="394"/>
      <c r="AP4405" s="394"/>
      <c r="AQ4405" s="394"/>
      <c r="AR4405" s="394"/>
      <c r="AS4405" s="402"/>
      <c r="AT4405" s="404"/>
      <c r="AU4405" s="394"/>
      <c r="AV4405" s="394"/>
    </row>
    <row r="4406" spans="1:48" ht="15" customHeight="1">
      <c r="A4406" s="404" t="s">
        <v>4668</v>
      </c>
      <c r="B4406" s="402" t="s">
        <v>1220</v>
      </c>
      <c r="C4406" s="113" t="s">
        <v>1235</v>
      </c>
      <c r="D4406" s="393" t="s">
        <v>111</v>
      </c>
      <c r="E4406" s="394" t="s">
        <v>1237</v>
      </c>
      <c r="G4406" s="405" t="s">
        <v>1238</v>
      </c>
      <c r="H4406" s="404">
        <v>4215</v>
      </c>
      <c r="I4406" s="402" t="s">
        <v>2</v>
      </c>
      <c r="J4406" s="406" t="s">
        <v>1224</v>
      </c>
      <c r="K4406" s="403">
        <v>41710</v>
      </c>
      <c r="L4406" s="398">
        <v>41691</v>
      </c>
      <c r="M4406" s="402">
        <f>K4406-L4406</f>
        <v>19</v>
      </c>
      <c r="N4406" s="402" t="s">
        <v>1</v>
      </c>
      <c r="O4406" s="404">
        <f>1.4/2</f>
        <v>0.7</v>
      </c>
      <c r="P4406" s="402"/>
      <c r="Q4406" s="404">
        <v>6.26</v>
      </c>
      <c r="R4406" s="402">
        <v>148</v>
      </c>
      <c r="S4406" s="404">
        <v>110</v>
      </c>
      <c r="T4406" s="402">
        <v>0.18</v>
      </c>
      <c r="U4406" s="395">
        <v>3</v>
      </c>
      <c r="V4406" s="402">
        <v>1.1000000000000001</v>
      </c>
      <c r="W4406" s="404">
        <v>2.9000000000000001E-2</v>
      </c>
      <c r="X4406" s="402">
        <v>0.18</v>
      </c>
      <c r="Y4406" s="404">
        <v>6.1999999999999998E-3</v>
      </c>
      <c r="Z4406" s="397"/>
      <c r="AA4406" s="399"/>
      <c r="AB4406" s="394"/>
      <c r="AC4406" s="402"/>
      <c r="AD4406" s="399"/>
      <c r="AE4406" s="402"/>
      <c r="AF4406" s="391"/>
      <c r="AG4406" s="394"/>
      <c r="AH4406" s="394"/>
      <c r="AI4406" s="394"/>
      <c r="AJ4406" s="394"/>
      <c r="AK4406" s="394"/>
      <c r="AL4406" s="394"/>
      <c r="AM4406" s="394"/>
      <c r="AN4406" s="394"/>
      <c r="AO4406" s="394"/>
      <c r="AP4406" s="394"/>
      <c r="AQ4406" s="394"/>
      <c r="AR4406" s="394"/>
      <c r="AS4406" s="402"/>
      <c r="AT4406" s="404"/>
      <c r="AU4406" s="394"/>
      <c r="AV4406" s="394"/>
    </row>
    <row r="4407" spans="1:48" ht="15" customHeight="1">
      <c r="A4407" s="404" t="s">
        <v>4668</v>
      </c>
      <c r="B4407" s="402" t="s">
        <v>139</v>
      </c>
      <c r="D4407" s="393" t="s">
        <v>133</v>
      </c>
      <c r="E4407" s="394" t="s">
        <v>140</v>
      </c>
      <c r="F4407" s="402" t="s">
        <v>971</v>
      </c>
      <c r="G4407" s="405" t="s">
        <v>141</v>
      </c>
      <c r="H4407" s="404"/>
      <c r="I4407" s="402" t="s">
        <v>2</v>
      </c>
      <c r="J4407" s="406" t="s">
        <v>75</v>
      </c>
      <c r="K4407" s="403">
        <v>41799</v>
      </c>
      <c r="L4407" s="398">
        <v>41795</v>
      </c>
      <c r="M4407" s="402">
        <f t="shared" si="260"/>
        <v>4</v>
      </c>
      <c r="N4407" s="402" t="s">
        <v>2</v>
      </c>
      <c r="O4407" s="404"/>
      <c r="P4407" s="402"/>
      <c r="Q4407" s="404"/>
      <c r="R4407" s="402"/>
      <c r="S4407" s="404"/>
      <c r="T4407" s="402"/>
      <c r="U4407" s="395">
        <v>3.47</v>
      </c>
      <c r="V4407" s="402"/>
      <c r="W4407" s="404"/>
      <c r="X4407" s="402"/>
      <c r="Y4407" s="404"/>
      <c r="Z4407" s="397"/>
      <c r="AA4407" s="399"/>
      <c r="AB4407" s="394"/>
      <c r="AC4407" s="402"/>
      <c r="AD4407" s="399"/>
      <c r="AE4407" s="402"/>
      <c r="AF4407" s="391"/>
      <c r="AG4407" s="394"/>
      <c r="AH4407" s="394"/>
      <c r="AI4407" s="394"/>
      <c r="AJ4407" s="394"/>
      <c r="AK4407" s="394"/>
      <c r="AL4407" s="394"/>
      <c r="AM4407" s="394"/>
      <c r="AN4407" s="394"/>
      <c r="AO4407" s="394"/>
      <c r="AP4407" s="394"/>
      <c r="AQ4407" s="394"/>
      <c r="AR4407" s="394"/>
      <c r="AS4407" s="402"/>
      <c r="AT4407" s="404"/>
      <c r="AU4407" s="394"/>
      <c r="AV4407" s="394"/>
    </row>
    <row r="4408" spans="1:48" ht="15" customHeight="1">
      <c r="A4408" s="404" t="s">
        <v>4668</v>
      </c>
      <c r="B4408" s="402" t="s">
        <v>1910</v>
      </c>
      <c r="C4408" s="113" t="s">
        <v>6426</v>
      </c>
      <c r="D4408" s="393" t="s">
        <v>192</v>
      </c>
      <c r="E4408" s="394" t="s">
        <v>4972</v>
      </c>
      <c r="G4408" s="405" t="s">
        <v>4975</v>
      </c>
      <c r="H4408" s="404">
        <v>4151</v>
      </c>
      <c r="I4408" s="402" t="s">
        <v>2</v>
      </c>
      <c r="J4408" s="406" t="s">
        <v>641</v>
      </c>
      <c r="K4408" s="403">
        <v>41775</v>
      </c>
      <c r="L4408" s="398">
        <v>41769</v>
      </c>
      <c r="M4408" s="402">
        <f t="shared" si="260"/>
        <v>6</v>
      </c>
      <c r="N4408" s="402" t="s">
        <v>2</v>
      </c>
      <c r="O4408" s="404">
        <f>1.4/2</f>
        <v>0.7</v>
      </c>
      <c r="P4408" s="402">
        <v>6.21</v>
      </c>
      <c r="Q4408" s="404">
        <v>6.11</v>
      </c>
      <c r="R4408" s="402">
        <v>26</v>
      </c>
      <c r="S4408" s="404">
        <v>11</v>
      </c>
      <c r="T4408" s="402">
        <v>0.12</v>
      </c>
      <c r="U4408" s="395">
        <v>1.9</v>
      </c>
      <c r="V4408" s="402">
        <v>0.64</v>
      </c>
      <c r="W4408" s="404">
        <v>1.4E-2</v>
      </c>
      <c r="X4408" s="402">
        <v>0.153</v>
      </c>
      <c r="Y4408" s="404">
        <f>0.002/2</f>
        <v>1E-3</v>
      </c>
      <c r="Z4408" s="397">
        <v>1</v>
      </c>
      <c r="AA4408" s="399">
        <v>1</v>
      </c>
      <c r="AB4408" s="394">
        <v>30</v>
      </c>
      <c r="AC4408" s="402">
        <v>342</v>
      </c>
      <c r="AD4408" s="399">
        <v>1</v>
      </c>
      <c r="AE4408" s="402"/>
      <c r="AF4408" s="391"/>
      <c r="AG4408" s="394"/>
      <c r="AH4408" s="394"/>
      <c r="AI4408" s="394"/>
      <c r="AJ4408" s="394"/>
      <c r="AK4408" s="394"/>
      <c r="AL4408" s="394"/>
      <c r="AM4408" s="394"/>
      <c r="AN4408" s="394"/>
      <c r="AO4408" s="394"/>
      <c r="AP4408" s="394"/>
      <c r="AQ4408" s="394"/>
      <c r="AR4408" s="394"/>
      <c r="AS4408" s="402"/>
      <c r="AT4408" s="404"/>
      <c r="AU4408" s="394"/>
      <c r="AV4408" s="394"/>
    </row>
    <row r="4409" spans="1:48" ht="15" customHeight="1">
      <c r="A4409" s="404" t="s">
        <v>4668</v>
      </c>
      <c r="B4409" s="402" t="s">
        <v>4572</v>
      </c>
      <c r="C4409" s="113" t="s">
        <v>4572</v>
      </c>
      <c r="D4409" s="393" t="s">
        <v>372</v>
      </c>
      <c r="E4409" s="394" t="s">
        <v>4573</v>
      </c>
      <c r="F4409" s="402" t="s">
        <v>4574</v>
      </c>
      <c r="G4409" s="405" t="s">
        <v>4575</v>
      </c>
      <c r="H4409" s="404">
        <v>3451</v>
      </c>
      <c r="I4409" s="402" t="s">
        <v>2</v>
      </c>
      <c r="J4409" s="406" t="s">
        <v>641</v>
      </c>
      <c r="K4409" s="403">
        <v>41744</v>
      </c>
      <c r="L4409" s="398">
        <v>41733</v>
      </c>
      <c r="M4409" s="402">
        <f t="shared" si="260"/>
        <v>11</v>
      </c>
      <c r="N4409" s="402" t="s">
        <v>2</v>
      </c>
      <c r="O4409" s="404">
        <f>1.4/2</f>
        <v>0.7</v>
      </c>
      <c r="P4409" s="402">
        <v>6.98</v>
      </c>
      <c r="Q4409" s="404">
        <v>7.33</v>
      </c>
      <c r="R4409" s="402">
        <v>14</v>
      </c>
      <c r="S4409" s="404">
        <v>15</v>
      </c>
      <c r="T4409" s="402">
        <v>0.04</v>
      </c>
      <c r="U4409" s="395">
        <v>0.33</v>
      </c>
      <c r="V4409" s="402">
        <v>0.02</v>
      </c>
      <c r="W4409" s="404">
        <f>0.005/2</f>
        <v>2.5000000000000001E-3</v>
      </c>
      <c r="X4409" s="402">
        <v>1.2999999999999999E-2</v>
      </c>
      <c r="Y4409" s="404">
        <f>0.002/2</f>
        <v>1E-3</v>
      </c>
      <c r="Z4409" s="397">
        <v>1</v>
      </c>
      <c r="AA4409" s="399">
        <v>1</v>
      </c>
      <c r="AB4409" s="394">
        <f>2/2</f>
        <v>1</v>
      </c>
      <c r="AC4409" s="402">
        <v>9</v>
      </c>
      <c r="AD4409" s="399">
        <v>0.9</v>
      </c>
      <c r="AE4409" s="402"/>
      <c r="AF4409" s="391"/>
      <c r="AG4409" s="394"/>
      <c r="AH4409" s="394"/>
      <c r="AI4409" s="394"/>
      <c r="AJ4409" s="394"/>
      <c r="AK4409" s="394"/>
      <c r="AL4409" s="394"/>
      <c r="AM4409" s="394"/>
      <c r="AN4409" s="394"/>
      <c r="AO4409" s="394"/>
      <c r="AP4409" s="394"/>
      <c r="AQ4409" s="394"/>
      <c r="AR4409" s="394"/>
      <c r="AS4409" s="402"/>
      <c r="AT4409" s="404"/>
      <c r="AU4409" s="394"/>
      <c r="AV4409" s="394"/>
    </row>
    <row r="4410" spans="1:48" ht="15" customHeight="1">
      <c r="A4410" s="404" t="s">
        <v>4668</v>
      </c>
      <c r="B4410" s="402" t="s">
        <v>4572</v>
      </c>
      <c r="C4410" s="113" t="s">
        <v>4572</v>
      </c>
      <c r="D4410" s="393" t="s">
        <v>372</v>
      </c>
      <c r="E4410" s="394" t="s">
        <v>4573</v>
      </c>
      <c r="F4410" s="402" t="s">
        <v>4574</v>
      </c>
      <c r="G4410" s="405" t="s">
        <v>4575</v>
      </c>
      <c r="H4410" s="404">
        <v>3451</v>
      </c>
      <c r="I4410" s="402" t="s">
        <v>2</v>
      </c>
      <c r="J4410" s="406" t="s">
        <v>3239</v>
      </c>
      <c r="K4410" s="403">
        <v>41744</v>
      </c>
      <c r="L4410" s="398">
        <v>41733</v>
      </c>
      <c r="M4410" s="402">
        <f>K4410-L4410</f>
        <v>11</v>
      </c>
      <c r="N4410" s="402" t="s">
        <v>2</v>
      </c>
      <c r="O4410" s="404">
        <f>1.4/2</f>
        <v>0.7</v>
      </c>
      <c r="P4410" s="402">
        <v>6.75</v>
      </c>
      <c r="Q4410" s="404">
        <v>6.78</v>
      </c>
      <c r="R4410" s="402">
        <v>12</v>
      </c>
      <c r="S4410" s="404">
        <f>5/2</f>
        <v>2.5</v>
      </c>
      <c r="T4410" s="402">
        <v>0.03</v>
      </c>
      <c r="U4410" s="395">
        <v>0.3</v>
      </c>
      <c r="V4410" s="402">
        <v>0.02</v>
      </c>
      <c r="W4410" s="404">
        <v>6.0000000000000001E-3</v>
      </c>
      <c r="X4410" s="402">
        <v>8.9999999999999993E-3</v>
      </c>
      <c r="Y4410" s="404">
        <f>0.002/2</f>
        <v>1E-3</v>
      </c>
      <c r="Z4410" s="397">
        <v>1</v>
      </c>
      <c r="AA4410" s="399">
        <v>1</v>
      </c>
      <c r="AB4410" s="394">
        <v>8</v>
      </c>
      <c r="AC4410" s="402">
        <v>60</v>
      </c>
      <c r="AD4410" s="399">
        <v>1</v>
      </c>
      <c r="AE4410" s="402"/>
      <c r="AF4410" s="391"/>
      <c r="AG4410" s="394"/>
      <c r="AH4410" s="394"/>
      <c r="AI4410" s="394"/>
      <c r="AJ4410" s="394"/>
      <c r="AK4410" s="394"/>
      <c r="AL4410" s="394"/>
      <c r="AM4410" s="394"/>
      <c r="AN4410" s="394"/>
      <c r="AO4410" s="394"/>
      <c r="AP4410" s="394"/>
      <c r="AQ4410" s="394"/>
      <c r="AR4410" s="394"/>
      <c r="AS4410" s="402"/>
      <c r="AT4410" s="404"/>
      <c r="AU4410" s="394"/>
      <c r="AV4410" s="394"/>
    </row>
    <row r="4411" spans="1:48" ht="15" customHeight="1">
      <c r="A4411" s="404" t="s">
        <v>4668</v>
      </c>
      <c r="B4411" s="385" t="s">
        <v>3740</v>
      </c>
      <c r="C4411" s="18" t="s">
        <v>3740</v>
      </c>
      <c r="D4411" s="377" t="s">
        <v>806</v>
      </c>
      <c r="E4411" s="20" t="s">
        <v>535</v>
      </c>
      <c r="F4411" s="402">
        <v>6600</v>
      </c>
      <c r="G4411" s="405" t="s">
        <v>3718</v>
      </c>
      <c r="H4411" s="404">
        <v>3679</v>
      </c>
      <c r="I4411" s="402" t="s">
        <v>1</v>
      </c>
      <c r="J4411" s="344" t="s">
        <v>3251</v>
      </c>
      <c r="K4411" s="403">
        <v>41759</v>
      </c>
      <c r="L4411" s="398">
        <v>41755</v>
      </c>
      <c r="M4411" s="402">
        <f t="shared" si="260"/>
        <v>4</v>
      </c>
      <c r="N4411" s="402" t="s">
        <v>2</v>
      </c>
      <c r="O4411" s="404"/>
      <c r="P4411" s="402">
        <v>6.29</v>
      </c>
      <c r="Q4411" s="404"/>
      <c r="R4411" s="402">
        <v>22</v>
      </c>
      <c r="S4411" s="404"/>
      <c r="T4411" s="402"/>
      <c r="U4411" s="395"/>
      <c r="V4411" s="402"/>
      <c r="W4411" s="404"/>
      <c r="X4411" s="402"/>
      <c r="Y4411" s="404"/>
      <c r="Z4411" s="397"/>
      <c r="AA4411" s="399"/>
      <c r="AB4411" s="394"/>
      <c r="AC4411" s="402"/>
      <c r="AD4411" s="399"/>
      <c r="AE4411" s="402"/>
      <c r="AF4411" s="391"/>
      <c r="AG4411" s="394"/>
      <c r="AH4411" s="394"/>
      <c r="AI4411" s="394"/>
      <c r="AJ4411" s="394"/>
      <c r="AK4411" s="394"/>
      <c r="AL4411" s="394"/>
      <c r="AM4411" s="394"/>
      <c r="AN4411" s="394"/>
      <c r="AO4411" s="394"/>
      <c r="AP4411" s="394"/>
      <c r="AQ4411" s="394"/>
      <c r="AR4411" s="394"/>
      <c r="AS4411" s="402"/>
      <c r="AT4411" s="404"/>
      <c r="AU4411" s="394"/>
      <c r="AV4411" s="394"/>
    </row>
    <row r="4412" spans="1:48" ht="15" customHeight="1">
      <c r="A4412" s="404" t="s">
        <v>4668</v>
      </c>
      <c r="B4412" s="385" t="s">
        <v>3740</v>
      </c>
      <c r="C4412" s="18" t="s">
        <v>3740</v>
      </c>
      <c r="D4412" s="377" t="s">
        <v>806</v>
      </c>
      <c r="E4412" s="20" t="s">
        <v>535</v>
      </c>
      <c r="F4412" s="402">
        <v>6600</v>
      </c>
      <c r="G4412" s="405" t="s">
        <v>3718</v>
      </c>
      <c r="H4412" s="404">
        <v>3679</v>
      </c>
      <c r="I4412" s="402" t="s">
        <v>1</v>
      </c>
      <c r="J4412" s="344" t="s">
        <v>2494</v>
      </c>
      <c r="K4412" s="403">
        <v>41759</v>
      </c>
      <c r="L4412" s="398">
        <v>41755</v>
      </c>
      <c r="M4412" s="402">
        <f t="shared" si="260"/>
        <v>4</v>
      </c>
      <c r="N4412" s="402" t="s">
        <v>2</v>
      </c>
      <c r="O4412" s="404"/>
      <c r="P4412" s="402">
        <v>6.29</v>
      </c>
      <c r="Q4412" s="404"/>
      <c r="R4412" s="402">
        <v>17</v>
      </c>
      <c r="S4412" s="404"/>
      <c r="T4412" s="402"/>
      <c r="U4412" s="395"/>
      <c r="V4412" s="402"/>
      <c r="W4412" s="404"/>
      <c r="X4412" s="402"/>
      <c r="Y4412" s="404"/>
      <c r="Z4412" s="397"/>
      <c r="AA4412" s="399"/>
      <c r="AB4412" s="394"/>
      <c r="AC4412" s="402"/>
      <c r="AD4412" s="399"/>
      <c r="AE4412" s="402"/>
      <c r="AF4412" s="391"/>
      <c r="AG4412" s="394"/>
      <c r="AH4412" s="394"/>
      <c r="AI4412" s="394"/>
      <c r="AJ4412" s="394"/>
      <c r="AK4412" s="394"/>
      <c r="AL4412" s="394"/>
      <c r="AM4412" s="394"/>
      <c r="AN4412" s="394"/>
      <c r="AO4412" s="394"/>
      <c r="AP4412" s="394"/>
      <c r="AQ4412" s="394"/>
      <c r="AR4412" s="394"/>
      <c r="AS4412" s="402"/>
      <c r="AT4412" s="404"/>
      <c r="AU4412" s="394"/>
      <c r="AV4412" s="394"/>
    </row>
    <row r="4413" spans="1:48" ht="15" customHeight="1">
      <c r="A4413" s="404" t="s">
        <v>4668</v>
      </c>
      <c r="B4413" s="402" t="s">
        <v>1910</v>
      </c>
      <c r="C4413" s="113" t="s">
        <v>6424</v>
      </c>
      <c r="D4413" s="393" t="s">
        <v>350</v>
      </c>
      <c r="E4413" s="394" t="s">
        <v>4974</v>
      </c>
      <c r="G4413" s="405" t="s">
        <v>6425</v>
      </c>
      <c r="H4413" s="404">
        <v>4151</v>
      </c>
      <c r="I4413" s="402" t="s">
        <v>2</v>
      </c>
      <c r="J4413" s="406" t="s">
        <v>3144</v>
      </c>
      <c r="K4413" s="403">
        <v>41775</v>
      </c>
      <c r="L4413" s="398">
        <v>41769</v>
      </c>
      <c r="M4413" s="402">
        <f t="shared" si="260"/>
        <v>6</v>
      </c>
      <c r="N4413" s="402" t="s">
        <v>2</v>
      </c>
      <c r="O4413" s="404">
        <f>1.4/2</f>
        <v>0.7</v>
      </c>
      <c r="P4413" s="402">
        <v>6.53</v>
      </c>
      <c r="Q4413" s="404">
        <v>7.19</v>
      </c>
      <c r="R4413" s="402">
        <v>13</v>
      </c>
      <c r="S4413" s="404">
        <v>7.5</v>
      </c>
      <c r="T4413" s="402">
        <v>0.03</v>
      </c>
      <c r="U4413" s="395">
        <v>0.48</v>
      </c>
      <c r="V4413" s="402">
        <v>0.93</v>
      </c>
      <c r="W4413" s="404">
        <f>0.005/2</f>
        <v>2.5000000000000001E-3</v>
      </c>
      <c r="X4413" s="402">
        <v>0.10199999999999999</v>
      </c>
      <c r="Y4413" s="404">
        <v>3.0000000000000001E-3</v>
      </c>
      <c r="Z4413" s="397">
        <v>1</v>
      </c>
      <c r="AA4413" s="399">
        <v>1</v>
      </c>
      <c r="AB4413" s="394">
        <v>162</v>
      </c>
      <c r="AC4413" s="402">
        <v>1536</v>
      </c>
      <c r="AD4413" s="399">
        <v>1</v>
      </c>
      <c r="AE4413" s="402"/>
      <c r="AF4413" s="391"/>
      <c r="AG4413" s="394"/>
      <c r="AH4413" s="394"/>
      <c r="AI4413" s="394"/>
      <c r="AJ4413" s="394"/>
      <c r="AK4413" s="394"/>
      <c r="AL4413" s="394"/>
      <c r="AM4413" s="394"/>
      <c r="AN4413" s="394"/>
      <c r="AO4413" s="394"/>
      <c r="AP4413" s="394"/>
      <c r="AQ4413" s="394"/>
      <c r="AR4413" s="394"/>
      <c r="AS4413" s="402"/>
      <c r="AT4413" s="404"/>
      <c r="AU4413" s="394"/>
      <c r="AV4413" s="394"/>
    </row>
    <row r="4414" spans="1:48" ht="15" customHeight="1">
      <c r="A4414" s="404" t="s">
        <v>4668</v>
      </c>
      <c r="B4414" s="402" t="s">
        <v>5286</v>
      </c>
      <c r="C4414" s="113" t="s">
        <v>5287</v>
      </c>
      <c r="D4414" s="393" t="s">
        <v>2913</v>
      </c>
      <c r="E4414" s="394" t="s">
        <v>535</v>
      </c>
      <c r="F4414" s="402" t="s">
        <v>3841</v>
      </c>
      <c r="G4414" s="405" t="s">
        <v>5285</v>
      </c>
      <c r="H4414" s="404">
        <v>3499</v>
      </c>
      <c r="I4414" s="402" t="s">
        <v>1</v>
      </c>
      <c r="J4414" s="406" t="s">
        <v>5289</v>
      </c>
      <c r="K4414" s="403">
        <v>41781</v>
      </c>
      <c r="L4414" s="398">
        <v>41775</v>
      </c>
      <c r="M4414" s="402">
        <f t="shared" si="260"/>
        <v>6</v>
      </c>
      <c r="N4414" s="402" t="s">
        <v>2</v>
      </c>
      <c r="O4414" s="404"/>
      <c r="P4414" s="402"/>
      <c r="Q4414" s="404"/>
      <c r="R4414" s="402"/>
      <c r="S4414" s="404">
        <v>129</v>
      </c>
      <c r="T4414" s="402"/>
      <c r="U4414" s="395"/>
      <c r="V4414" s="402"/>
      <c r="W4414" s="404"/>
      <c r="X4414" s="402">
        <v>7.3599999999999999E-2</v>
      </c>
      <c r="Y4414" s="404"/>
      <c r="Z4414" s="397"/>
      <c r="AA4414" s="399"/>
      <c r="AB4414" s="394"/>
      <c r="AC4414" s="402"/>
      <c r="AD4414" s="399"/>
      <c r="AE4414" s="402"/>
      <c r="AF4414" s="391"/>
      <c r="AG4414" s="394"/>
      <c r="AH4414" s="394"/>
      <c r="AI4414" s="394"/>
      <c r="AJ4414" s="394"/>
      <c r="AK4414" s="394"/>
      <c r="AL4414" s="394"/>
      <c r="AM4414" s="394"/>
      <c r="AN4414" s="394"/>
      <c r="AO4414" s="394"/>
      <c r="AP4414" s="394"/>
      <c r="AQ4414" s="394"/>
      <c r="AR4414" s="394"/>
      <c r="AS4414" s="402"/>
      <c r="AT4414" s="404"/>
      <c r="AU4414" s="394"/>
      <c r="AV4414" s="394"/>
    </row>
    <row r="4415" spans="1:48" ht="15" customHeight="1">
      <c r="A4415" s="404" t="s">
        <v>4668</v>
      </c>
      <c r="B4415" s="402" t="s">
        <v>3229</v>
      </c>
      <c r="C4415" s="113" t="s">
        <v>3229</v>
      </c>
      <c r="D4415" s="393" t="s">
        <v>3230</v>
      </c>
      <c r="E4415" s="394" t="s">
        <v>1555</v>
      </c>
      <c r="F4415" s="401" t="s">
        <v>6527</v>
      </c>
      <c r="G4415" s="405" t="s">
        <v>3231</v>
      </c>
      <c r="H4415" s="404">
        <v>3827</v>
      </c>
      <c r="I4415" s="402" t="s">
        <v>1</v>
      </c>
      <c r="J4415" s="406" t="s">
        <v>6554</v>
      </c>
      <c r="K4415" s="403">
        <v>41131</v>
      </c>
      <c r="L4415" s="398">
        <v>41127</v>
      </c>
      <c r="M4415" s="402">
        <f t="shared" si="260"/>
        <v>4</v>
      </c>
      <c r="N4415" s="402" t="s">
        <v>2</v>
      </c>
      <c r="O4415" s="404">
        <f>1/2</f>
        <v>0.5</v>
      </c>
      <c r="P4415" s="402">
        <v>5.62</v>
      </c>
      <c r="Q4415" s="404">
        <v>7.29</v>
      </c>
      <c r="R4415" s="402">
        <v>53</v>
      </c>
      <c r="S4415" s="404">
        <v>10</v>
      </c>
      <c r="T4415" s="402">
        <f>0.1/2</f>
        <v>0.05</v>
      </c>
      <c r="U4415" s="395">
        <v>5.32</v>
      </c>
      <c r="V4415" s="402">
        <v>0.61</v>
      </c>
      <c r="W4415" s="404">
        <f>0.05/2</f>
        <v>2.5000000000000001E-2</v>
      </c>
      <c r="X4415" s="402">
        <v>0.27</v>
      </c>
      <c r="Y4415" s="404">
        <f>0.05/2</f>
        <v>2.5000000000000001E-2</v>
      </c>
      <c r="Z4415" s="397">
        <v>1</v>
      </c>
      <c r="AA4415" s="399">
        <v>1</v>
      </c>
      <c r="AB4415" s="394">
        <v>6</v>
      </c>
      <c r="AC4415" s="402">
        <v>91</v>
      </c>
      <c r="AD4415" s="399">
        <v>0.85</v>
      </c>
      <c r="AE4415" s="402"/>
      <c r="AF4415" s="391"/>
      <c r="AG4415" s="394"/>
      <c r="AH4415" s="394"/>
      <c r="AI4415" s="394"/>
      <c r="AJ4415" s="394"/>
      <c r="AK4415" s="394"/>
      <c r="AL4415" s="394"/>
      <c r="AM4415" s="394"/>
      <c r="AN4415" s="394"/>
      <c r="AO4415" s="394"/>
      <c r="AP4415" s="394"/>
      <c r="AQ4415" s="394"/>
      <c r="AR4415" s="394"/>
      <c r="AS4415" s="402"/>
      <c r="AT4415" s="404"/>
      <c r="AU4415" s="394"/>
      <c r="AV4415" s="394"/>
    </row>
    <row r="4416" spans="1:48" ht="15" customHeight="1">
      <c r="A4416" s="404" t="s">
        <v>4668</v>
      </c>
      <c r="B4416" s="402" t="s">
        <v>3229</v>
      </c>
      <c r="C4416" s="113" t="s">
        <v>3229</v>
      </c>
      <c r="D4416" s="393" t="s">
        <v>3230</v>
      </c>
      <c r="E4416" s="394" t="s">
        <v>1555</v>
      </c>
      <c r="F4416" s="401" t="s">
        <v>6527</v>
      </c>
      <c r="G4416" s="405" t="s">
        <v>3231</v>
      </c>
      <c r="H4416" s="404">
        <v>3827</v>
      </c>
      <c r="I4416" s="402" t="s">
        <v>1</v>
      </c>
      <c r="J4416" s="401" t="s">
        <v>3281</v>
      </c>
      <c r="K4416" s="403">
        <v>41131</v>
      </c>
      <c r="L4416" s="398">
        <v>41127</v>
      </c>
      <c r="M4416" s="402">
        <f t="shared" si="260"/>
        <v>4</v>
      </c>
      <c r="N4416" s="402" t="s">
        <v>2</v>
      </c>
      <c r="O4416" s="404">
        <f>1/2</f>
        <v>0.5</v>
      </c>
      <c r="P4416" s="402">
        <v>5.62</v>
      </c>
      <c r="Q4416" s="404">
        <v>6.8</v>
      </c>
      <c r="R4416" s="402">
        <v>61</v>
      </c>
      <c r="S4416" s="404">
        <f>1/2</f>
        <v>0.5</v>
      </c>
      <c r="T4416" s="402">
        <v>0.16</v>
      </c>
      <c r="U4416" s="395">
        <v>1.33</v>
      </c>
      <c r="V4416" s="402">
        <v>0.8</v>
      </c>
      <c r="W4416" s="404">
        <f>0.05/2</f>
        <v>2.5000000000000001E-2</v>
      </c>
      <c r="X4416" s="402">
        <v>0.06</v>
      </c>
      <c r="Y4416" s="404">
        <f>0.05/2</f>
        <v>2.5000000000000001E-2</v>
      </c>
      <c r="Z4416" s="397">
        <v>1</v>
      </c>
      <c r="AA4416" s="399">
        <v>1</v>
      </c>
      <c r="AB4416" s="394">
        <f>1/2</f>
        <v>0.5</v>
      </c>
      <c r="AC4416" s="402">
        <v>58</v>
      </c>
      <c r="AD4416" s="399">
        <v>0.8</v>
      </c>
      <c r="AE4416" s="402"/>
      <c r="AF4416" s="391"/>
      <c r="AG4416" s="394"/>
      <c r="AH4416" s="394"/>
      <c r="AI4416" s="394"/>
      <c r="AJ4416" s="394"/>
      <c r="AK4416" s="394"/>
      <c r="AL4416" s="394"/>
      <c r="AM4416" s="394"/>
      <c r="AN4416" s="394"/>
      <c r="AO4416" s="394"/>
      <c r="AP4416" s="394"/>
      <c r="AQ4416" s="394"/>
      <c r="AR4416" s="394"/>
      <c r="AS4416" s="402"/>
      <c r="AT4416" s="404"/>
      <c r="AU4416" s="394"/>
      <c r="AV4416" s="394"/>
    </row>
    <row r="4417" spans="1:48" ht="15" customHeight="1">
      <c r="A4417" s="404" t="s">
        <v>4668</v>
      </c>
      <c r="B4417" s="402" t="s">
        <v>3229</v>
      </c>
      <c r="C4417" s="113" t="s">
        <v>3229</v>
      </c>
      <c r="D4417" s="393" t="s">
        <v>3230</v>
      </c>
      <c r="E4417" s="394" t="s">
        <v>1555</v>
      </c>
      <c r="F4417" s="401" t="s">
        <v>6527</v>
      </c>
      <c r="G4417" s="405" t="s">
        <v>3231</v>
      </c>
      <c r="H4417" s="404">
        <v>3827</v>
      </c>
      <c r="I4417" s="402" t="s">
        <v>1</v>
      </c>
      <c r="J4417" s="406" t="s">
        <v>6554</v>
      </c>
      <c r="K4417" s="403">
        <v>41551</v>
      </c>
      <c r="L4417" s="398">
        <v>41540</v>
      </c>
      <c r="M4417" s="402">
        <f>K4417-L4417</f>
        <v>11</v>
      </c>
      <c r="N4417" s="402" t="s">
        <v>2</v>
      </c>
      <c r="O4417" s="404">
        <f>1/2</f>
        <v>0.5</v>
      </c>
      <c r="P4417" s="402"/>
      <c r="Q4417" s="404">
        <v>6.68</v>
      </c>
      <c r="R4417" s="402">
        <v>85</v>
      </c>
      <c r="S4417" s="404">
        <v>16</v>
      </c>
      <c r="T4417" s="402">
        <v>1.18</v>
      </c>
      <c r="U4417" s="395">
        <v>4.76</v>
      </c>
      <c r="V4417" s="402">
        <v>0.57999999999999996</v>
      </c>
      <c r="W4417" s="404">
        <v>7.0000000000000007E-2</v>
      </c>
      <c r="X4417" s="402">
        <v>0.28000000000000003</v>
      </c>
      <c r="Y4417" s="404">
        <f>0.05/2</f>
        <v>2.5000000000000001E-2</v>
      </c>
      <c r="Z4417" s="397">
        <v>1</v>
      </c>
      <c r="AA4417" s="399">
        <v>1</v>
      </c>
      <c r="AB4417" s="394">
        <v>40</v>
      </c>
      <c r="AC4417" s="402">
        <v>177</v>
      </c>
      <c r="AD4417" s="399">
        <v>1</v>
      </c>
      <c r="AE4417" s="402">
        <v>90</v>
      </c>
      <c r="AF4417" s="391"/>
      <c r="AG4417" s="394"/>
      <c r="AH4417" s="394"/>
      <c r="AI4417" s="394"/>
      <c r="AJ4417" s="394"/>
      <c r="AK4417" s="394"/>
      <c r="AL4417" s="394"/>
      <c r="AM4417" s="394"/>
      <c r="AN4417" s="394"/>
      <c r="AO4417" s="394"/>
      <c r="AP4417" s="394"/>
      <c r="AQ4417" s="394"/>
      <c r="AR4417" s="394"/>
      <c r="AS4417" s="402"/>
      <c r="AT4417" s="404"/>
      <c r="AU4417" s="394"/>
      <c r="AV4417" s="394"/>
    </row>
    <row r="4418" spans="1:48" ht="15" customHeight="1">
      <c r="A4418" s="404" t="s">
        <v>4668</v>
      </c>
      <c r="B4418" s="402" t="s">
        <v>3229</v>
      </c>
      <c r="C4418" s="113" t="s">
        <v>3229</v>
      </c>
      <c r="D4418" s="393" t="s">
        <v>3230</v>
      </c>
      <c r="E4418" s="394" t="s">
        <v>1555</v>
      </c>
      <c r="F4418" s="401" t="s">
        <v>6527</v>
      </c>
      <c r="G4418" s="405" t="s">
        <v>3231</v>
      </c>
      <c r="H4418" s="404">
        <v>3827</v>
      </c>
      <c r="I4418" s="402" t="s">
        <v>1</v>
      </c>
      <c r="J4418" s="401" t="s">
        <v>3281</v>
      </c>
      <c r="K4418" s="403">
        <v>41551</v>
      </c>
      <c r="L4418" s="398">
        <v>41540</v>
      </c>
      <c r="M4418" s="402">
        <v>11</v>
      </c>
      <c r="N4418" s="402" t="s">
        <v>2</v>
      </c>
      <c r="O4418" s="404">
        <v>1.9</v>
      </c>
      <c r="P4418" s="402">
        <v>5.65</v>
      </c>
      <c r="Q4418" s="404">
        <v>6.55</v>
      </c>
      <c r="R4418" s="402">
        <v>124</v>
      </c>
      <c r="S4418" s="404">
        <v>117</v>
      </c>
      <c r="T4418" s="402">
        <v>0.59</v>
      </c>
      <c r="U4418" s="395">
        <v>3.64</v>
      </c>
      <c r="V4418" s="402">
        <v>0.57999999999999996</v>
      </c>
      <c r="W4418" s="404">
        <v>0.12</v>
      </c>
      <c r="X4418" s="402">
        <v>0.47</v>
      </c>
      <c r="Y4418" s="404">
        <f>0.05/2</f>
        <v>2.5000000000000001E-2</v>
      </c>
      <c r="Z4418" s="397">
        <v>1</v>
      </c>
      <c r="AA4418" s="399">
        <v>1</v>
      </c>
      <c r="AB4418" s="394">
        <v>30</v>
      </c>
      <c r="AC4418" s="402">
        <v>204</v>
      </c>
      <c r="AD4418" s="399">
        <v>1</v>
      </c>
      <c r="AE4418" s="402">
        <v>240</v>
      </c>
      <c r="AF4418" s="391"/>
      <c r="AG4418" s="394"/>
      <c r="AH4418" s="394"/>
      <c r="AI4418" s="394"/>
      <c r="AJ4418" s="394"/>
      <c r="AK4418" s="394"/>
      <c r="AL4418" s="394"/>
      <c r="AM4418" s="394"/>
      <c r="AN4418" s="394"/>
      <c r="AO4418" s="394"/>
      <c r="AP4418" s="394"/>
      <c r="AQ4418" s="394"/>
      <c r="AR4418" s="394"/>
      <c r="AS4418" s="402"/>
      <c r="AT4418" s="404"/>
      <c r="AU4418" s="394"/>
      <c r="AV4418" s="394"/>
    </row>
    <row r="4419" spans="1:48" ht="15" customHeight="1">
      <c r="A4419" s="404" t="s">
        <v>4668</v>
      </c>
      <c r="B4419" s="402" t="s">
        <v>220</v>
      </c>
      <c r="C4419" s="113" t="s">
        <v>220</v>
      </c>
      <c r="D4419" s="393" t="s">
        <v>41</v>
      </c>
      <c r="E4419" s="394" t="s">
        <v>221</v>
      </c>
      <c r="G4419" s="405" t="s">
        <v>222</v>
      </c>
      <c r="H4419" s="404" t="s">
        <v>223</v>
      </c>
      <c r="I4419" s="402" t="s">
        <v>1</v>
      </c>
      <c r="J4419" s="406" t="s">
        <v>225</v>
      </c>
      <c r="K4419" s="403">
        <v>41767</v>
      </c>
      <c r="L4419" s="398">
        <v>41760</v>
      </c>
      <c r="M4419" s="402">
        <f t="shared" si="260"/>
        <v>7</v>
      </c>
      <c r="N4419" s="402" t="s">
        <v>2</v>
      </c>
      <c r="O4419" s="404"/>
      <c r="P4419" s="402"/>
      <c r="Q4419" s="404"/>
      <c r="R4419" s="402"/>
      <c r="S4419" s="404"/>
      <c r="T4419" s="402"/>
      <c r="U4419" s="395"/>
      <c r="V4419" s="402"/>
      <c r="W4419" s="404"/>
      <c r="X4419" s="402">
        <v>1.32</v>
      </c>
      <c r="Y4419" s="404"/>
      <c r="Z4419" s="397"/>
      <c r="AA4419" s="399"/>
      <c r="AB4419" s="394"/>
      <c r="AC4419" s="402"/>
      <c r="AD4419" s="399"/>
      <c r="AE4419" s="402"/>
      <c r="AF4419" s="391"/>
      <c r="AG4419" s="394"/>
      <c r="AH4419" s="394"/>
      <c r="AI4419" s="394"/>
      <c r="AJ4419" s="394"/>
      <c r="AK4419" s="394"/>
      <c r="AL4419" s="394"/>
      <c r="AM4419" s="394"/>
      <c r="AN4419" s="394"/>
      <c r="AO4419" s="394"/>
      <c r="AP4419" s="394"/>
      <c r="AQ4419" s="394"/>
      <c r="AR4419" s="394"/>
      <c r="AS4419" s="402"/>
      <c r="AT4419" s="404"/>
      <c r="AU4419" s="394"/>
      <c r="AV4419" s="394"/>
    </row>
    <row r="4420" spans="1:48" ht="15" customHeight="1">
      <c r="A4420" s="404" t="s">
        <v>4668</v>
      </c>
      <c r="B4420" s="402" t="s">
        <v>3283</v>
      </c>
      <c r="C4420" s="113" t="s">
        <v>5750</v>
      </c>
      <c r="D4420" s="393" t="s">
        <v>111</v>
      </c>
      <c r="F4420" s="402" t="s">
        <v>1915</v>
      </c>
      <c r="G4420" s="405" t="s">
        <v>1801</v>
      </c>
      <c r="H4420" s="404">
        <v>3272</v>
      </c>
      <c r="I4420" s="402" t="s">
        <v>2</v>
      </c>
      <c r="J4420" s="260" t="s">
        <v>74</v>
      </c>
      <c r="K4420" s="403">
        <v>41795</v>
      </c>
      <c r="L4420" s="398"/>
      <c r="M4420" s="402"/>
      <c r="N4420" s="402" t="s">
        <v>2</v>
      </c>
      <c r="O4420" s="404">
        <f>2.5/2</f>
        <v>1.25</v>
      </c>
      <c r="P4420" s="402"/>
      <c r="Q4420" s="404">
        <v>5.95</v>
      </c>
      <c r="R4420" s="402">
        <v>38.4</v>
      </c>
      <c r="S4420" s="404">
        <v>6</v>
      </c>
      <c r="T4420" s="402">
        <v>7.0000000000000007E-2</v>
      </c>
      <c r="U4420" s="395">
        <v>0.5</v>
      </c>
      <c r="V4420" s="402">
        <v>0.2</v>
      </c>
      <c r="W4420" s="404">
        <v>8.9999999999999993E-3</v>
      </c>
      <c r="X4420" s="402">
        <v>7.6999999999999999E-2</v>
      </c>
      <c r="Y4420" s="404"/>
      <c r="Z4420" s="397"/>
      <c r="AA4420" s="399"/>
      <c r="AB4420" s="394"/>
      <c r="AC4420" s="402"/>
      <c r="AD4420" s="399"/>
      <c r="AE4420" s="402"/>
      <c r="AF4420" s="391"/>
      <c r="AG4420" s="394"/>
      <c r="AH4420" s="394"/>
      <c r="AI4420" s="394"/>
      <c r="AJ4420" s="394"/>
      <c r="AK4420" s="394"/>
      <c r="AL4420" s="394"/>
      <c r="AM4420" s="394"/>
      <c r="AN4420" s="394"/>
      <c r="AO4420" s="394"/>
      <c r="AP4420" s="394"/>
      <c r="AQ4420" s="394"/>
      <c r="AR4420" s="394"/>
      <c r="AS4420" s="402"/>
      <c r="AT4420" s="404"/>
      <c r="AU4420" s="394"/>
      <c r="AV4420" s="394"/>
    </row>
    <row r="4421" spans="1:48" ht="15" customHeight="1">
      <c r="A4421" s="404" t="s">
        <v>4668</v>
      </c>
      <c r="B4421" s="402" t="s">
        <v>3283</v>
      </c>
      <c r="C4421" s="113" t="s">
        <v>6528</v>
      </c>
      <c r="D4421" s="393" t="s">
        <v>111</v>
      </c>
      <c r="E4421" s="394" t="s">
        <v>382</v>
      </c>
      <c r="F4421" s="402" t="s">
        <v>1915</v>
      </c>
      <c r="G4421" s="405" t="s">
        <v>1809</v>
      </c>
      <c r="H4421" s="404">
        <v>3272</v>
      </c>
      <c r="I4421" s="402" t="s">
        <v>2</v>
      </c>
      <c r="J4421" s="260" t="s">
        <v>74</v>
      </c>
      <c r="K4421" s="403">
        <v>41795</v>
      </c>
      <c r="L4421" s="398"/>
      <c r="M4421" s="402"/>
      <c r="N4421" s="402" t="s">
        <v>2</v>
      </c>
      <c r="O4421" s="404">
        <f>2.5/2</f>
        <v>1.25</v>
      </c>
      <c r="P4421" s="402"/>
      <c r="Q4421" s="404">
        <v>7.05</v>
      </c>
      <c r="R4421" s="402">
        <v>83.2</v>
      </c>
      <c r="S4421" s="404">
        <v>221</v>
      </c>
      <c r="T4421" s="402">
        <v>0.21</v>
      </c>
      <c r="U4421" s="395">
        <v>0.38</v>
      </c>
      <c r="V4421" s="402">
        <v>1.1599999999999999</v>
      </c>
      <c r="W4421" s="404">
        <v>0.02</v>
      </c>
      <c r="X4421" s="402">
        <v>6.4000000000000001E-2</v>
      </c>
      <c r="Y4421" s="404">
        <v>2E-3</v>
      </c>
      <c r="Z4421" s="397"/>
      <c r="AA4421" s="399"/>
      <c r="AB4421" s="394"/>
      <c r="AC4421" s="402"/>
      <c r="AD4421" s="399"/>
      <c r="AE4421" s="402"/>
      <c r="AF4421" s="391"/>
      <c r="AG4421" s="394"/>
      <c r="AH4421" s="394"/>
      <c r="AI4421" s="394"/>
      <c r="AJ4421" s="394"/>
      <c r="AK4421" s="394"/>
      <c r="AL4421" s="394"/>
      <c r="AM4421" s="394"/>
      <c r="AN4421" s="394"/>
      <c r="AO4421" s="394"/>
      <c r="AP4421" s="394"/>
      <c r="AQ4421" s="394"/>
      <c r="AR4421" s="394"/>
      <c r="AS4421" s="402"/>
      <c r="AT4421" s="404"/>
      <c r="AU4421" s="394"/>
      <c r="AV4421" s="394"/>
    </row>
    <row r="4422" spans="1:48" ht="15" customHeight="1">
      <c r="A4422" s="404" t="s">
        <v>4668</v>
      </c>
      <c r="B4422" s="402" t="s">
        <v>2029</v>
      </c>
      <c r="C4422" s="113" t="s">
        <v>2030</v>
      </c>
      <c r="D4422" s="393" t="s">
        <v>303</v>
      </c>
      <c r="E4422" s="394" t="s">
        <v>2031</v>
      </c>
      <c r="G4422" s="405" t="s">
        <v>2032</v>
      </c>
      <c r="H4422" s="404">
        <v>3231</v>
      </c>
      <c r="I4422" s="402" t="s">
        <v>2</v>
      </c>
      <c r="J4422" s="401" t="s">
        <v>2034</v>
      </c>
      <c r="K4422" s="403">
        <v>41775</v>
      </c>
      <c r="L4422" s="398">
        <v>41770</v>
      </c>
      <c r="M4422" s="402">
        <f t="shared" si="260"/>
        <v>5</v>
      </c>
      <c r="N4422" s="402" t="s">
        <v>2</v>
      </c>
      <c r="O4422" s="404"/>
      <c r="P4422" s="402"/>
      <c r="Q4422" s="404"/>
      <c r="R4422" s="402"/>
      <c r="S4422" s="404"/>
      <c r="T4422" s="402"/>
      <c r="U4422" s="395"/>
      <c r="V4422" s="402"/>
      <c r="W4422" s="404"/>
      <c r="X4422" s="402">
        <v>0.47199999999999998</v>
      </c>
      <c r="Y4422" s="404"/>
      <c r="Z4422" s="397"/>
      <c r="AA4422" s="399"/>
      <c r="AB4422" s="394"/>
      <c r="AC4422" s="402"/>
      <c r="AD4422" s="399"/>
      <c r="AE4422" s="402"/>
      <c r="AF4422" s="391"/>
      <c r="AG4422" s="394"/>
      <c r="AH4422" s="394"/>
      <c r="AI4422" s="394"/>
      <c r="AJ4422" s="394"/>
      <c r="AK4422" s="394"/>
      <c r="AL4422" s="394"/>
      <c r="AM4422" s="394"/>
      <c r="AN4422" s="394"/>
      <c r="AO4422" s="394"/>
      <c r="AP4422" s="394"/>
      <c r="AQ4422" s="394"/>
      <c r="AR4422" s="394"/>
      <c r="AS4422" s="402"/>
      <c r="AT4422" s="404"/>
      <c r="AU4422" s="394"/>
      <c r="AV4422" s="394"/>
    </row>
    <row r="4423" spans="1:48" ht="15" customHeight="1">
      <c r="A4423" s="404" t="s">
        <v>4668</v>
      </c>
      <c r="B4423" s="402" t="s">
        <v>110</v>
      </c>
      <c r="C4423" s="113" t="s">
        <v>110</v>
      </c>
      <c r="D4423" s="393" t="s">
        <v>111</v>
      </c>
      <c r="E4423" s="394" t="s">
        <v>112</v>
      </c>
      <c r="G4423" s="405" t="s">
        <v>113</v>
      </c>
      <c r="H4423" s="404">
        <v>3679</v>
      </c>
      <c r="I4423" s="402" t="s">
        <v>1</v>
      </c>
      <c r="J4423" s="406" t="s">
        <v>1943</v>
      </c>
      <c r="K4423" s="403">
        <v>41799</v>
      </c>
      <c r="L4423" s="398">
        <v>41795</v>
      </c>
      <c r="M4423" s="402">
        <f t="shared" si="260"/>
        <v>4</v>
      </c>
      <c r="N4423" s="402" t="s">
        <v>2</v>
      </c>
      <c r="O4423" s="404"/>
      <c r="P4423" s="402" t="s">
        <v>2667</v>
      </c>
      <c r="Q4423" s="404"/>
      <c r="R4423" s="402"/>
      <c r="S4423" s="404"/>
      <c r="T4423" s="402"/>
      <c r="U4423" s="395"/>
      <c r="V4423" s="402"/>
      <c r="W4423" s="404"/>
      <c r="X4423" s="402"/>
      <c r="Y4423" s="404"/>
      <c r="Z4423" s="397"/>
      <c r="AA4423" s="399"/>
      <c r="AB4423" s="394"/>
      <c r="AC4423" s="402"/>
      <c r="AD4423" s="399"/>
      <c r="AE4423" s="402">
        <v>174</v>
      </c>
      <c r="AF4423" s="391"/>
      <c r="AG4423" s="394"/>
      <c r="AH4423" s="394"/>
      <c r="AI4423" s="394"/>
      <c r="AJ4423" s="394"/>
      <c r="AK4423" s="394"/>
      <c r="AL4423" s="394"/>
      <c r="AM4423" s="394"/>
      <c r="AN4423" s="394"/>
      <c r="AO4423" s="394"/>
      <c r="AP4423" s="394"/>
      <c r="AQ4423" s="394"/>
      <c r="AR4423" s="394"/>
      <c r="AS4423" s="402"/>
      <c r="AT4423" s="404"/>
      <c r="AU4423" s="394"/>
      <c r="AV4423" s="394"/>
    </row>
    <row r="4424" spans="1:48" ht="15" customHeight="1">
      <c r="A4424" s="404" t="s">
        <v>4668</v>
      </c>
      <c r="B4424" s="402" t="s">
        <v>110</v>
      </c>
      <c r="C4424" s="113" t="s">
        <v>110</v>
      </c>
      <c r="D4424" s="393" t="s">
        <v>111</v>
      </c>
      <c r="E4424" s="394" t="s">
        <v>112</v>
      </c>
      <c r="G4424" s="405" t="s">
        <v>113</v>
      </c>
      <c r="H4424" s="404">
        <v>3679</v>
      </c>
      <c r="I4424" s="402" t="s">
        <v>1</v>
      </c>
      <c r="J4424" s="406" t="s">
        <v>425</v>
      </c>
      <c r="K4424" s="403">
        <v>41799</v>
      </c>
      <c r="L4424" s="398">
        <v>41795</v>
      </c>
      <c r="M4424" s="402">
        <f>K4424-L4424</f>
        <v>4</v>
      </c>
      <c r="N4424" s="402" t="s">
        <v>2</v>
      </c>
      <c r="O4424" s="404"/>
      <c r="P4424" s="402">
        <v>5.74</v>
      </c>
      <c r="Q4424" s="404">
        <v>6.47</v>
      </c>
      <c r="R4424" s="402"/>
      <c r="S4424" s="404"/>
      <c r="T4424" s="402"/>
      <c r="U4424" s="395"/>
      <c r="V4424" s="402"/>
      <c r="W4424" s="404"/>
      <c r="X4424" s="402"/>
      <c r="Y4424" s="404"/>
      <c r="Z4424" s="397"/>
      <c r="AA4424" s="399"/>
      <c r="AB4424" s="394"/>
      <c r="AC4424" s="402"/>
      <c r="AD4424" s="399"/>
      <c r="AE4424" s="402">
        <v>184</v>
      </c>
      <c r="AF4424" s="391"/>
      <c r="AG4424" s="394"/>
      <c r="AH4424" s="394"/>
      <c r="AI4424" s="394"/>
      <c r="AJ4424" s="394"/>
      <c r="AK4424" s="394"/>
      <c r="AL4424" s="394"/>
      <c r="AM4424" s="394"/>
      <c r="AN4424" s="394"/>
      <c r="AO4424" s="394"/>
      <c r="AP4424" s="394"/>
      <c r="AQ4424" s="394"/>
      <c r="AR4424" s="394"/>
      <c r="AS4424" s="402"/>
      <c r="AT4424" s="404"/>
      <c r="AU4424" s="394"/>
      <c r="AV4424" s="394"/>
    </row>
    <row r="4425" spans="1:48" ht="15" customHeight="1">
      <c r="A4425" s="404" t="s">
        <v>4668</v>
      </c>
      <c r="B4425" s="402" t="s">
        <v>110</v>
      </c>
      <c r="C4425" s="113" t="s">
        <v>110</v>
      </c>
      <c r="D4425" s="393" t="s">
        <v>111</v>
      </c>
      <c r="E4425" s="394" t="s">
        <v>112</v>
      </c>
      <c r="G4425" s="405" t="s">
        <v>113</v>
      </c>
      <c r="H4425" s="404">
        <v>3679</v>
      </c>
      <c r="I4425" s="402" t="s">
        <v>1</v>
      </c>
      <c r="J4425" s="406" t="s">
        <v>1341</v>
      </c>
      <c r="K4425" s="403">
        <v>41799</v>
      </c>
      <c r="L4425" s="398">
        <v>41795</v>
      </c>
      <c r="M4425" s="402">
        <f>K4425-L4425</f>
        <v>4</v>
      </c>
      <c r="N4425" s="402" t="s">
        <v>2</v>
      </c>
      <c r="O4425" s="404"/>
      <c r="P4425" s="402">
        <v>5.74</v>
      </c>
      <c r="Q4425" s="404"/>
      <c r="R4425" s="402"/>
      <c r="S4425" s="404"/>
      <c r="T4425" s="402"/>
      <c r="U4425" s="395"/>
      <c r="V4425" s="402"/>
      <c r="W4425" s="404"/>
      <c r="X4425" s="402"/>
      <c r="Y4425" s="404"/>
      <c r="Z4425" s="397"/>
      <c r="AA4425" s="399"/>
      <c r="AB4425" s="394"/>
      <c r="AC4425" s="402"/>
      <c r="AD4425" s="399"/>
      <c r="AE4425" s="402">
        <v>240</v>
      </c>
      <c r="AF4425" s="391"/>
      <c r="AG4425" s="394"/>
      <c r="AH4425" s="394"/>
      <c r="AI4425" s="394"/>
      <c r="AJ4425" s="394"/>
      <c r="AK4425" s="394"/>
      <c r="AL4425" s="394"/>
      <c r="AM4425" s="394"/>
      <c r="AN4425" s="394"/>
      <c r="AO4425" s="394"/>
      <c r="AP4425" s="394"/>
      <c r="AQ4425" s="394"/>
      <c r="AR4425" s="394"/>
      <c r="AS4425" s="402"/>
      <c r="AT4425" s="404"/>
      <c r="AU4425" s="394"/>
      <c r="AV4425" s="394"/>
    </row>
    <row r="4426" spans="1:48" ht="15" customHeight="1">
      <c r="A4426" s="404" t="s">
        <v>4668</v>
      </c>
      <c r="B4426" s="402" t="s">
        <v>515</v>
      </c>
      <c r="C4426" s="113" t="s">
        <v>515</v>
      </c>
      <c r="D4426" s="393" t="s">
        <v>516</v>
      </c>
      <c r="E4426" s="394" t="s">
        <v>517</v>
      </c>
      <c r="G4426" s="405" t="s">
        <v>518</v>
      </c>
      <c r="H4426" s="404">
        <v>3357</v>
      </c>
      <c r="I4426" s="402" t="s">
        <v>1</v>
      </c>
      <c r="J4426" s="406" t="s">
        <v>81</v>
      </c>
      <c r="K4426" s="403">
        <v>41786</v>
      </c>
      <c r="L4426" s="398">
        <v>41782</v>
      </c>
      <c r="M4426" s="402">
        <f t="shared" ref="M4426:M4489" si="261">K4426-L4426</f>
        <v>4</v>
      </c>
      <c r="N4426" s="402" t="s">
        <v>2</v>
      </c>
      <c r="O4426" s="404"/>
      <c r="P4426" s="402"/>
      <c r="Q4426" s="404"/>
      <c r="R4426" s="402"/>
      <c r="S4426" s="404"/>
      <c r="T4426" s="402"/>
      <c r="U4426" s="395"/>
      <c r="V4426" s="402">
        <v>4.68</v>
      </c>
      <c r="W4426" s="404"/>
      <c r="X4426" s="402"/>
      <c r="Y4426" s="404"/>
      <c r="Z4426" s="397"/>
      <c r="AA4426" s="399"/>
      <c r="AB4426" s="394"/>
      <c r="AC4426" s="402"/>
      <c r="AD4426" s="399"/>
      <c r="AE4426" s="402"/>
      <c r="AF4426" s="391"/>
      <c r="AG4426" s="394"/>
      <c r="AH4426" s="394"/>
      <c r="AI4426" s="394"/>
      <c r="AJ4426" s="394"/>
      <c r="AK4426" s="394"/>
      <c r="AL4426" s="394"/>
      <c r="AM4426" s="394"/>
      <c r="AN4426" s="394"/>
      <c r="AO4426" s="394"/>
      <c r="AP4426" s="394"/>
      <c r="AQ4426" s="394"/>
      <c r="AR4426" s="394"/>
      <c r="AS4426" s="402"/>
      <c r="AT4426" s="404"/>
      <c r="AU4426" s="394"/>
      <c r="AV4426" s="394"/>
    </row>
    <row r="4427" spans="1:48" ht="15" customHeight="1">
      <c r="A4427" s="404" t="s">
        <v>4668</v>
      </c>
      <c r="B4427" s="402" t="s">
        <v>1985</v>
      </c>
      <c r="C4427" s="113" t="s">
        <v>6040</v>
      </c>
      <c r="D4427" s="393" t="s">
        <v>205</v>
      </c>
      <c r="E4427" s="394" t="s">
        <v>364</v>
      </c>
      <c r="F4427" s="402">
        <v>4300</v>
      </c>
      <c r="G4427" s="405" t="s">
        <v>6041</v>
      </c>
      <c r="H4427" s="404">
        <v>4911</v>
      </c>
      <c r="I4427" s="402" t="s">
        <v>2</v>
      </c>
      <c r="J4427" s="406" t="s">
        <v>676</v>
      </c>
      <c r="K4427" s="403">
        <v>41737</v>
      </c>
      <c r="L4427" s="398">
        <v>41729</v>
      </c>
      <c r="M4427" s="402">
        <f t="shared" si="261"/>
        <v>8</v>
      </c>
      <c r="N4427" s="402" t="s">
        <v>2</v>
      </c>
      <c r="O4427" s="404"/>
      <c r="P4427" s="402"/>
      <c r="Q4427" s="404"/>
      <c r="R4427" s="402">
        <f>20/2</f>
        <v>10</v>
      </c>
      <c r="S4427" s="404"/>
      <c r="T4427" s="402">
        <v>4.4999999999999998E-2</v>
      </c>
      <c r="U4427" s="395">
        <f>1.6/2</f>
        <v>0.8</v>
      </c>
      <c r="V4427" s="402"/>
      <c r="W4427" s="404">
        <f>0.005/2</f>
        <v>2.5000000000000001E-3</v>
      </c>
      <c r="X4427" s="402">
        <v>1.2E-2</v>
      </c>
      <c r="Y4427" s="404">
        <f>0.005/2</f>
        <v>2.5000000000000001E-3</v>
      </c>
      <c r="Z4427" s="397"/>
      <c r="AA4427" s="399"/>
      <c r="AB4427" s="394"/>
      <c r="AC4427" s="402"/>
      <c r="AD4427" s="399"/>
      <c r="AE4427" s="402"/>
      <c r="AF4427" s="391"/>
      <c r="AG4427" s="394"/>
      <c r="AH4427" s="394"/>
      <c r="AI4427" s="394"/>
      <c r="AJ4427" s="394"/>
      <c r="AK4427" s="394"/>
      <c r="AL4427" s="394"/>
      <c r="AM4427" s="394"/>
      <c r="AN4427" s="394"/>
      <c r="AO4427" s="394"/>
      <c r="AP4427" s="394"/>
      <c r="AQ4427" s="394"/>
      <c r="AR4427" s="394"/>
      <c r="AS4427" s="402"/>
      <c r="AT4427" s="404"/>
      <c r="AU4427" s="394"/>
      <c r="AV4427" s="394"/>
    </row>
    <row r="4428" spans="1:48" ht="15" customHeight="1">
      <c r="A4428" s="404" t="s">
        <v>4668</v>
      </c>
      <c r="B4428" s="402" t="s">
        <v>332</v>
      </c>
      <c r="C4428" s="113" t="s">
        <v>332</v>
      </c>
      <c r="D4428" s="393" t="s">
        <v>333</v>
      </c>
      <c r="E4428" s="394" t="s">
        <v>467</v>
      </c>
      <c r="F4428" s="402" t="s">
        <v>980</v>
      </c>
      <c r="G4428" s="405" t="s">
        <v>334</v>
      </c>
      <c r="H4428" s="404">
        <v>3629</v>
      </c>
      <c r="I4428" s="402" t="s">
        <v>2</v>
      </c>
      <c r="J4428" s="406" t="s">
        <v>840</v>
      </c>
      <c r="K4428" s="403">
        <v>41795</v>
      </c>
      <c r="L4428" s="398">
        <v>41787</v>
      </c>
      <c r="M4428" s="402">
        <f t="shared" si="261"/>
        <v>8</v>
      </c>
      <c r="N4428" s="402" t="s">
        <v>2</v>
      </c>
      <c r="O4428" s="404"/>
      <c r="P4428" s="402">
        <v>4.3099999999999996</v>
      </c>
      <c r="Q4428" s="404"/>
      <c r="R4428" s="402"/>
      <c r="S4428" s="404"/>
      <c r="T4428" s="402"/>
      <c r="U4428" s="395"/>
      <c r="V4428" s="402">
        <v>0.42</v>
      </c>
      <c r="W4428" s="404">
        <v>2.9000000000000001E-2</v>
      </c>
      <c r="X4428" s="402">
        <v>6.8000000000000005E-2</v>
      </c>
      <c r="Y4428" s="404"/>
      <c r="Z4428" s="397"/>
      <c r="AA4428" s="399"/>
      <c r="AB4428" s="394"/>
      <c r="AC4428" s="402"/>
      <c r="AD4428" s="399"/>
      <c r="AE4428" s="402"/>
      <c r="AF4428" s="391"/>
      <c r="AG4428" s="394"/>
      <c r="AH4428" s="394"/>
      <c r="AI4428" s="394"/>
      <c r="AJ4428" s="394"/>
      <c r="AK4428" s="394"/>
      <c r="AL4428" s="394"/>
      <c r="AM4428" s="394"/>
      <c r="AN4428" s="394"/>
      <c r="AO4428" s="394"/>
      <c r="AP4428" s="394"/>
      <c r="AQ4428" s="394"/>
      <c r="AR4428" s="394"/>
      <c r="AS4428" s="402"/>
      <c r="AT4428" s="404"/>
      <c r="AU4428" s="394"/>
      <c r="AV4428" s="394"/>
    </row>
    <row r="4429" spans="1:48" ht="15" customHeight="1">
      <c r="A4429" s="404" t="s">
        <v>4668</v>
      </c>
      <c r="B4429" s="402" t="s">
        <v>5007</v>
      </c>
      <c r="C4429" s="113" t="s">
        <v>1338</v>
      </c>
      <c r="D4429" s="393" t="s">
        <v>213</v>
      </c>
      <c r="E4429" s="394" t="s">
        <v>1339</v>
      </c>
      <c r="G4429" s="405" t="s">
        <v>1340</v>
      </c>
      <c r="H4429" s="404">
        <v>3724</v>
      </c>
      <c r="I4429" s="402" t="s">
        <v>2</v>
      </c>
      <c r="J4429" s="406" t="s">
        <v>425</v>
      </c>
      <c r="K4429" s="403">
        <v>41795</v>
      </c>
      <c r="L4429" s="398">
        <v>41789</v>
      </c>
      <c r="M4429" s="402">
        <f t="shared" si="261"/>
        <v>6</v>
      </c>
      <c r="N4429" s="402" t="s">
        <v>1</v>
      </c>
      <c r="O4429" s="404"/>
      <c r="P4429" s="402">
        <v>5.9</v>
      </c>
      <c r="Q4429" s="404">
        <v>5.3</v>
      </c>
      <c r="R4429" s="402"/>
      <c r="S4429" s="404"/>
      <c r="T4429" s="402"/>
      <c r="U4429" s="395"/>
      <c r="V4429" s="402"/>
      <c r="W4429" s="404"/>
      <c r="X4429" s="402">
        <v>0.253</v>
      </c>
      <c r="Y4429" s="404"/>
      <c r="Z4429" s="397"/>
      <c r="AA4429" s="399"/>
      <c r="AB4429" s="394"/>
      <c r="AC4429" s="402"/>
      <c r="AD4429" s="399"/>
      <c r="AE4429" s="402"/>
      <c r="AF4429" s="391"/>
      <c r="AG4429" s="394"/>
      <c r="AH4429" s="394"/>
      <c r="AI4429" s="394"/>
      <c r="AJ4429" s="394"/>
      <c r="AK4429" s="394"/>
      <c r="AL4429" s="394"/>
      <c r="AM4429" s="394"/>
      <c r="AN4429" s="394"/>
      <c r="AO4429" s="394"/>
      <c r="AP4429" s="394"/>
      <c r="AQ4429" s="394"/>
      <c r="AR4429" s="394"/>
      <c r="AS4429" s="402"/>
      <c r="AT4429" s="404"/>
      <c r="AU4429" s="394"/>
      <c r="AV4429" s="394"/>
    </row>
    <row r="4430" spans="1:48" ht="15" customHeight="1">
      <c r="A4430" s="404" t="s">
        <v>4668</v>
      </c>
      <c r="B4430" s="402" t="s">
        <v>511</v>
      </c>
      <c r="C4430" s="113" t="s">
        <v>511</v>
      </c>
      <c r="D4430" s="393" t="s">
        <v>350</v>
      </c>
      <c r="E4430" s="394" t="s">
        <v>838</v>
      </c>
      <c r="G4430" s="405" t="s">
        <v>839</v>
      </c>
      <c r="H4430" s="404">
        <v>3398</v>
      </c>
      <c r="I4430" s="402" t="s">
        <v>2</v>
      </c>
      <c r="J4430" s="406" t="s">
        <v>4878</v>
      </c>
      <c r="K4430" s="403">
        <v>41769</v>
      </c>
      <c r="L4430" s="398">
        <v>41760</v>
      </c>
      <c r="M4430" s="402">
        <f t="shared" si="261"/>
        <v>9</v>
      </c>
      <c r="N4430" s="402" t="s">
        <v>2</v>
      </c>
      <c r="O4430" s="404"/>
      <c r="P4430" s="402">
        <v>5.21</v>
      </c>
      <c r="Q4430" s="404">
        <v>6.52</v>
      </c>
      <c r="R4430" s="402"/>
      <c r="S4430" s="404">
        <v>0.45</v>
      </c>
      <c r="T4430" s="402"/>
      <c r="U4430" s="395"/>
      <c r="V4430" s="402"/>
      <c r="W4430" s="404"/>
      <c r="X4430" s="402">
        <v>4.9000000000000004</v>
      </c>
      <c r="Y4430" s="404"/>
      <c r="Z4430" s="397"/>
      <c r="AA4430" s="399" t="s">
        <v>2667</v>
      </c>
      <c r="AB4430" s="394"/>
      <c r="AC4430" s="402"/>
      <c r="AD4430" s="399"/>
      <c r="AE4430" s="402"/>
      <c r="AF4430" s="391"/>
      <c r="AG4430" s="394"/>
      <c r="AH4430" s="394"/>
      <c r="AI4430" s="394"/>
      <c r="AJ4430" s="394"/>
      <c r="AK4430" s="394"/>
      <c r="AL4430" s="394"/>
      <c r="AM4430" s="394"/>
      <c r="AN4430" s="394"/>
      <c r="AO4430" s="394"/>
      <c r="AP4430" s="394"/>
      <c r="AQ4430" s="394"/>
      <c r="AR4430" s="394"/>
      <c r="AS4430" s="402"/>
      <c r="AT4430" s="404"/>
      <c r="AU4430" s="394"/>
      <c r="AV4430" s="394"/>
    </row>
    <row r="4431" spans="1:48" ht="15" customHeight="1">
      <c r="A4431" s="404" t="s">
        <v>4668</v>
      </c>
      <c r="B4431" s="402" t="s">
        <v>1989</v>
      </c>
      <c r="C4431" s="113" t="s">
        <v>1989</v>
      </c>
      <c r="D4431" s="393" t="s">
        <v>372</v>
      </c>
      <c r="E4431" s="394" t="s">
        <v>4754</v>
      </c>
      <c r="F4431" s="402">
        <v>6911</v>
      </c>
      <c r="G4431" s="405" t="s">
        <v>1991</v>
      </c>
      <c r="H4431" s="404">
        <v>3469</v>
      </c>
      <c r="I4431" s="402" t="s">
        <v>2</v>
      </c>
      <c r="J4431" s="343" t="s">
        <v>1992</v>
      </c>
      <c r="K4431" s="403">
        <v>41710</v>
      </c>
      <c r="L4431" s="398">
        <v>41691</v>
      </c>
      <c r="M4431" s="402">
        <f t="shared" si="261"/>
        <v>19</v>
      </c>
      <c r="N4431" s="402" t="s">
        <v>2</v>
      </c>
      <c r="O4431" s="404"/>
      <c r="P4431" s="402"/>
      <c r="Q4431" s="404"/>
      <c r="R4431" s="402">
        <v>260</v>
      </c>
      <c r="S4431" s="404"/>
      <c r="T4431" s="402"/>
      <c r="U4431" s="395">
        <v>6.2</v>
      </c>
      <c r="V4431" s="402"/>
      <c r="W4431" s="404"/>
      <c r="X4431" s="402">
        <v>0.71499999999999997</v>
      </c>
      <c r="Y4431" s="404"/>
      <c r="Z4431" s="397"/>
      <c r="AA4431" s="399"/>
      <c r="AB4431" s="394"/>
      <c r="AC4431" s="402"/>
      <c r="AD4431" s="399"/>
      <c r="AE4431" s="402"/>
      <c r="AF4431" s="391"/>
      <c r="AG4431" s="394"/>
      <c r="AH4431" s="394"/>
      <c r="AI4431" s="394"/>
      <c r="AJ4431" s="394"/>
      <c r="AK4431" s="394"/>
      <c r="AL4431" s="394"/>
      <c r="AM4431" s="394"/>
      <c r="AN4431" s="394"/>
      <c r="AO4431" s="394"/>
      <c r="AP4431" s="394"/>
      <c r="AQ4431" s="394"/>
      <c r="AR4431" s="394"/>
      <c r="AS4431" s="402"/>
      <c r="AT4431" s="404"/>
      <c r="AU4431" s="394"/>
      <c r="AV4431" s="394"/>
    </row>
    <row r="4432" spans="1:48" ht="15" customHeight="1">
      <c r="A4432" s="404" t="s">
        <v>4668</v>
      </c>
      <c r="B4432" s="402" t="s">
        <v>5310</v>
      </c>
      <c r="C4432" s="113" t="s">
        <v>5310</v>
      </c>
      <c r="D4432" s="393" t="s">
        <v>308</v>
      </c>
      <c r="F4432" s="402" t="s">
        <v>5311</v>
      </c>
      <c r="G4432" s="405" t="s">
        <v>5312</v>
      </c>
      <c r="H4432" s="404">
        <v>3272</v>
      </c>
      <c r="I4432" s="402" t="s">
        <v>2</v>
      </c>
      <c r="J4432" s="406" t="s">
        <v>510</v>
      </c>
      <c r="K4432" s="403">
        <v>41759</v>
      </c>
      <c r="L4432" s="398">
        <v>41755</v>
      </c>
      <c r="M4432" s="402">
        <f t="shared" si="261"/>
        <v>4</v>
      </c>
      <c r="N4432" s="402" t="s">
        <v>2</v>
      </c>
      <c r="O4432" s="404"/>
      <c r="P4432" s="402">
        <v>6.5</v>
      </c>
      <c r="Q4432" s="404"/>
      <c r="R4432" s="402">
        <v>19</v>
      </c>
      <c r="S4432" s="404">
        <v>420</v>
      </c>
      <c r="T4432" s="402"/>
      <c r="U4432" s="395"/>
      <c r="V4432" s="402"/>
      <c r="W4432" s="404"/>
      <c r="X4432" s="402"/>
      <c r="Y4432" s="404"/>
      <c r="Z4432" s="397"/>
      <c r="AA4432" s="399"/>
      <c r="AB4432" s="394"/>
      <c r="AC4432" s="402"/>
      <c r="AD4432" s="399"/>
      <c r="AE4432" s="402"/>
      <c r="AF4432" s="391"/>
      <c r="AG4432" s="394"/>
      <c r="AH4432" s="394"/>
      <c r="AI4432" s="394"/>
      <c r="AJ4432" s="394"/>
      <c r="AK4432" s="394"/>
      <c r="AL4432" s="394"/>
      <c r="AM4432" s="394"/>
      <c r="AN4432" s="394"/>
      <c r="AO4432" s="394"/>
      <c r="AP4432" s="394"/>
      <c r="AQ4432" s="394"/>
      <c r="AR4432" s="394"/>
      <c r="AS4432" s="402"/>
      <c r="AT4432" s="404"/>
      <c r="AU4432" s="394"/>
      <c r="AV4432" s="394"/>
    </row>
    <row r="4433" spans="1:48" ht="15" customHeight="1">
      <c r="A4433" s="404" t="s">
        <v>4668</v>
      </c>
      <c r="B4433" s="402" t="s">
        <v>3685</v>
      </c>
      <c r="C4433" s="113" t="s">
        <v>3686</v>
      </c>
      <c r="D4433" s="393" t="s">
        <v>1505</v>
      </c>
      <c r="F4433" s="401" t="s">
        <v>3687</v>
      </c>
      <c r="G4433" s="405" t="s">
        <v>3688</v>
      </c>
      <c r="H4433" s="404">
        <v>4212</v>
      </c>
      <c r="I4433" s="402" t="s">
        <v>2</v>
      </c>
      <c r="J4433" s="406" t="s">
        <v>510</v>
      </c>
      <c r="K4433" s="403">
        <v>41759</v>
      </c>
      <c r="L4433" s="398">
        <v>41755</v>
      </c>
      <c r="M4433" s="402">
        <f t="shared" si="261"/>
        <v>4</v>
      </c>
      <c r="N4433" s="402" t="s">
        <v>2</v>
      </c>
      <c r="O4433" s="404"/>
      <c r="P4433" s="402">
        <v>6.5</v>
      </c>
      <c r="Q4433" s="404"/>
      <c r="R4433" s="402">
        <v>24</v>
      </c>
      <c r="S4433" s="404"/>
      <c r="T4433" s="402"/>
      <c r="U4433" s="395"/>
      <c r="V4433" s="402"/>
      <c r="W4433" s="404"/>
      <c r="X4433" s="402"/>
      <c r="Y4433" s="404"/>
      <c r="Z4433" s="397"/>
      <c r="AA4433" s="399"/>
      <c r="AB4433" s="394"/>
      <c r="AC4433" s="402"/>
      <c r="AD4433" s="399"/>
      <c r="AE4433" s="402"/>
      <c r="AF4433" s="391"/>
      <c r="AG4433" s="394"/>
      <c r="AH4433" s="394"/>
      <c r="AI4433" s="394"/>
      <c r="AJ4433" s="394"/>
      <c r="AK4433" s="394"/>
      <c r="AL4433" s="394"/>
      <c r="AM4433" s="394"/>
      <c r="AN4433" s="394"/>
      <c r="AO4433" s="394"/>
      <c r="AP4433" s="394"/>
      <c r="AQ4433" s="394"/>
      <c r="AR4433" s="394"/>
      <c r="AS4433" s="402"/>
      <c r="AT4433" s="404"/>
      <c r="AU4433" s="394"/>
      <c r="AV4433" s="394"/>
    </row>
    <row r="4434" spans="1:48" ht="15" customHeight="1">
      <c r="A4434" s="404" t="s">
        <v>4668</v>
      </c>
      <c r="B4434" s="402" t="s">
        <v>6529</v>
      </c>
      <c r="C4434" s="113" t="s">
        <v>6529</v>
      </c>
      <c r="D4434" s="393" t="s">
        <v>806</v>
      </c>
      <c r="F4434" s="401" t="s">
        <v>6530</v>
      </c>
      <c r="G4434" s="405" t="s">
        <v>6563</v>
      </c>
      <c r="H4434" s="404"/>
      <c r="I4434" s="402" t="s">
        <v>2</v>
      </c>
      <c r="J4434" s="406" t="s">
        <v>5757</v>
      </c>
      <c r="K4434" s="403">
        <v>41108</v>
      </c>
      <c r="L4434" s="398">
        <v>41105</v>
      </c>
      <c r="M4434" s="402">
        <f t="shared" si="261"/>
        <v>3</v>
      </c>
      <c r="N4434" s="402" t="s">
        <v>2</v>
      </c>
      <c r="O4434" s="404">
        <v>1.1000000000000001</v>
      </c>
      <c r="P4434" s="402">
        <v>5.6</v>
      </c>
      <c r="Q4434" s="404">
        <v>6.3</v>
      </c>
      <c r="R4434" s="402">
        <v>202</v>
      </c>
      <c r="S4434" s="404">
        <v>38</v>
      </c>
      <c r="T4434" s="402">
        <f>0.1/2</f>
        <v>0.05</v>
      </c>
      <c r="U4434" s="395">
        <v>5</v>
      </c>
      <c r="V4434" s="402">
        <v>0.51</v>
      </c>
      <c r="W4434" s="404">
        <f>0.02/2</f>
        <v>0.01</v>
      </c>
      <c r="X4434" s="402">
        <v>0.17</v>
      </c>
      <c r="Y4434" s="404">
        <v>8.9999999999999993E-3</v>
      </c>
      <c r="Z4434" s="397">
        <v>1</v>
      </c>
      <c r="AA4434" s="399">
        <v>1</v>
      </c>
      <c r="AB4434" s="394">
        <v>28</v>
      </c>
      <c r="AC4434" s="402">
        <v>115</v>
      </c>
      <c r="AD4434" s="399">
        <v>1</v>
      </c>
      <c r="AE4434" s="402"/>
      <c r="AF4434" s="391"/>
      <c r="AG4434" s="394"/>
      <c r="AH4434" s="394"/>
      <c r="AI4434" s="394"/>
      <c r="AJ4434" s="394"/>
      <c r="AK4434" s="394"/>
      <c r="AL4434" s="394"/>
      <c r="AM4434" s="394"/>
      <c r="AN4434" s="394"/>
      <c r="AO4434" s="394"/>
      <c r="AP4434" s="394"/>
      <c r="AQ4434" s="394"/>
      <c r="AR4434" s="394"/>
      <c r="AS4434" s="402"/>
      <c r="AT4434" s="404"/>
      <c r="AU4434" s="394"/>
      <c r="AV4434" s="394"/>
    </row>
    <row r="4435" spans="1:48" ht="15" customHeight="1">
      <c r="A4435" s="404" t="s">
        <v>4668</v>
      </c>
      <c r="B4435" s="402" t="s">
        <v>6529</v>
      </c>
      <c r="C4435" s="113" t="s">
        <v>6529</v>
      </c>
      <c r="D4435" s="393" t="s">
        <v>806</v>
      </c>
      <c r="F4435" s="401" t="s">
        <v>6530</v>
      </c>
      <c r="G4435" s="405" t="s">
        <v>6563</v>
      </c>
      <c r="H4435" s="404"/>
      <c r="I4435" s="402" t="s">
        <v>2</v>
      </c>
      <c r="J4435" s="406" t="s">
        <v>6564</v>
      </c>
      <c r="K4435" s="403">
        <v>41180</v>
      </c>
      <c r="L4435" s="398">
        <v>41105</v>
      </c>
      <c r="M4435" s="402">
        <f>K4435-L4435</f>
        <v>75</v>
      </c>
      <c r="N4435" s="402" t="s">
        <v>2</v>
      </c>
      <c r="O4435" s="404">
        <v>1.4</v>
      </c>
      <c r="P4435" s="402">
        <v>5.9</v>
      </c>
      <c r="Q4435" s="404">
        <v>5.9</v>
      </c>
      <c r="R4435" s="402">
        <v>118</v>
      </c>
      <c r="S4435" s="404">
        <f>25/2</f>
        <v>12.5</v>
      </c>
      <c r="T4435" s="402">
        <v>0.2</v>
      </c>
      <c r="U4435" s="395">
        <v>2.2000000000000002</v>
      </c>
      <c r="V4435" s="402">
        <v>0.66</v>
      </c>
      <c r="W4435" s="404">
        <f>0.02/2</f>
        <v>0.01</v>
      </c>
      <c r="X4435" s="402">
        <f>0.05/2</f>
        <v>2.5000000000000001E-2</v>
      </c>
      <c r="Y4435" s="404">
        <v>1E-3</v>
      </c>
      <c r="Z4435" s="397"/>
      <c r="AA4435" s="399"/>
      <c r="AB4435" s="394"/>
      <c r="AC4435" s="402"/>
      <c r="AD4435" s="399"/>
      <c r="AE4435" s="402"/>
      <c r="AF4435" s="391"/>
      <c r="AG4435" s="394"/>
      <c r="AH4435" s="394"/>
      <c r="AI4435" s="394"/>
      <c r="AJ4435" s="394"/>
      <c r="AK4435" s="394"/>
      <c r="AL4435" s="394"/>
      <c r="AM4435" s="394"/>
      <c r="AN4435" s="394"/>
      <c r="AO4435" s="394"/>
      <c r="AP4435" s="394"/>
      <c r="AQ4435" s="394"/>
      <c r="AR4435" s="394"/>
      <c r="AS4435" s="402"/>
      <c r="AT4435" s="404"/>
      <c r="AU4435" s="394"/>
      <c r="AV4435" s="394"/>
    </row>
    <row r="4436" spans="1:48" ht="15" customHeight="1">
      <c r="A4436" s="404" t="s">
        <v>4668</v>
      </c>
      <c r="B4436" s="402" t="s">
        <v>6529</v>
      </c>
      <c r="C4436" s="113" t="s">
        <v>6529</v>
      </c>
      <c r="D4436" s="393" t="s">
        <v>806</v>
      </c>
      <c r="F4436" s="401" t="s">
        <v>6530</v>
      </c>
      <c r="G4436" s="405" t="s">
        <v>6563</v>
      </c>
      <c r="H4436" s="404"/>
      <c r="I4436" s="402" t="s">
        <v>2</v>
      </c>
      <c r="J4436" s="406" t="s">
        <v>6564</v>
      </c>
      <c r="K4436" s="403">
        <v>41417</v>
      </c>
      <c r="L4436" s="398">
        <v>41413</v>
      </c>
      <c r="M4436" s="402">
        <f t="shared" si="261"/>
        <v>4</v>
      </c>
      <c r="N4436" s="402" t="s">
        <v>2</v>
      </c>
      <c r="O4436" s="404">
        <v>18.899999999999999</v>
      </c>
      <c r="P4436" s="402">
        <v>5.5</v>
      </c>
      <c r="Q4436" s="404">
        <v>5.3</v>
      </c>
      <c r="R4436" s="402">
        <v>104</v>
      </c>
      <c r="S4436" s="404">
        <f>25/2</f>
        <v>12.5</v>
      </c>
      <c r="T4436" s="402">
        <f>0.1/2</f>
        <v>0.05</v>
      </c>
      <c r="U4436" s="395">
        <v>0.56999999999999995</v>
      </c>
      <c r="V4436" s="402">
        <v>7.0000000000000007E-2</v>
      </c>
      <c r="W4436" s="404">
        <v>0.38</v>
      </c>
      <c r="X4436" s="402">
        <f>0.05/2</f>
        <v>2.5000000000000001E-2</v>
      </c>
      <c r="Y4436" s="404">
        <f>0.001/2</f>
        <v>5.0000000000000001E-4</v>
      </c>
      <c r="Z4436" s="397">
        <v>1</v>
      </c>
      <c r="AA4436" s="399">
        <v>1</v>
      </c>
      <c r="AB4436" s="394">
        <f>2/2</f>
        <v>1</v>
      </c>
      <c r="AC4436" s="402">
        <v>2</v>
      </c>
      <c r="AD4436" s="399"/>
      <c r="AE4436" s="402"/>
      <c r="AF4436" s="391"/>
      <c r="AG4436" s="394"/>
      <c r="AH4436" s="394"/>
      <c r="AI4436" s="394"/>
      <c r="AJ4436" s="394"/>
      <c r="AK4436" s="394"/>
      <c r="AL4436" s="394"/>
      <c r="AM4436" s="394"/>
      <c r="AN4436" s="394"/>
      <c r="AO4436" s="394"/>
      <c r="AP4436" s="394"/>
      <c r="AQ4436" s="394"/>
      <c r="AR4436" s="394"/>
      <c r="AS4436" s="402"/>
      <c r="AT4436" s="404"/>
      <c r="AU4436" s="394"/>
      <c r="AV4436" s="394"/>
    </row>
    <row r="4437" spans="1:48" ht="15" customHeight="1">
      <c r="A4437" s="404" t="s">
        <v>4668</v>
      </c>
      <c r="B4437" s="402" t="s">
        <v>6529</v>
      </c>
      <c r="C4437" s="113" t="s">
        <v>6529</v>
      </c>
      <c r="D4437" s="393" t="s">
        <v>806</v>
      </c>
      <c r="F4437" s="401" t="s">
        <v>6530</v>
      </c>
      <c r="G4437" s="405" t="s">
        <v>6563</v>
      </c>
      <c r="H4437" s="404"/>
      <c r="I4437" s="402" t="s">
        <v>2</v>
      </c>
      <c r="J4437" s="406" t="s">
        <v>6564</v>
      </c>
      <c r="K4437" s="403">
        <v>41585</v>
      </c>
      <c r="L4437" s="398">
        <v>41579</v>
      </c>
      <c r="M4437" s="402">
        <f t="shared" si="261"/>
        <v>6</v>
      </c>
      <c r="N4437" s="402" t="s">
        <v>2</v>
      </c>
      <c r="O4437" s="404">
        <v>32.5</v>
      </c>
      <c r="P4437" s="402">
        <v>5.5</v>
      </c>
      <c r="Q4437" s="404">
        <v>6.5</v>
      </c>
      <c r="R4437" s="402">
        <v>108</v>
      </c>
      <c r="S4437" s="404">
        <v>76</v>
      </c>
      <c r="T4437" s="402">
        <f>0.1/2</f>
        <v>0.05</v>
      </c>
      <c r="U4437" s="395">
        <v>2.7</v>
      </c>
      <c r="V4437" s="402">
        <v>0.09</v>
      </c>
      <c r="W4437" s="404">
        <f>0.02/2</f>
        <v>0.01</v>
      </c>
      <c r="X4437" s="402">
        <v>0.1</v>
      </c>
      <c r="Y4437" s="404">
        <v>1.2E-2</v>
      </c>
      <c r="Z4437" s="397"/>
      <c r="AA4437" s="399"/>
      <c r="AB4437" s="394"/>
      <c r="AC4437" s="402"/>
      <c r="AD4437" s="399"/>
      <c r="AE4437" s="402"/>
      <c r="AF4437" s="391"/>
      <c r="AG4437" s="394"/>
      <c r="AH4437" s="394"/>
      <c r="AI4437" s="394"/>
      <c r="AJ4437" s="394"/>
      <c r="AK4437" s="394"/>
      <c r="AL4437" s="394"/>
      <c r="AM4437" s="394"/>
      <c r="AN4437" s="394"/>
      <c r="AO4437" s="394"/>
      <c r="AP4437" s="394"/>
      <c r="AQ4437" s="394"/>
      <c r="AR4437" s="394"/>
      <c r="AS4437" s="402"/>
      <c r="AT4437" s="404"/>
      <c r="AU4437" s="394"/>
      <c r="AV4437" s="394"/>
    </row>
    <row r="4438" spans="1:48" ht="15" customHeight="1">
      <c r="A4438" s="404" t="s">
        <v>4668</v>
      </c>
      <c r="B4438" s="402" t="s">
        <v>6529</v>
      </c>
      <c r="C4438" s="113" t="s">
        <v>6529</v>
      </c>
      <c r="D4438" s="393" t="s">
        <v>806</v>
      </c>
      <c r="F4438" s="425" t="s">
        <v>6530</v>
      </c>
      <c r="G4438" s="405" t="s">
        <v>6563</v>
      </c>
      <c r="H4438" s="404"/>
      <c r="I4438" s="402" t="s">
        <v>2</v>
      </c>
      <c r="J4438" s="406" t="s">
        <v>6564</v>
      </c>
      <c r="K4438" s="403">
        <v>41744</v>
      </c>
      <c r="L4438" s="398">
        <v>41737</v>
      </c>
      <c r="M4438" s="402">
        <f t="shared" si="261"/>
        <v>7</v>
      </c>
      <c r="N4438" s="402" t="s">
        <v>2</v>
      </c>
      <c r="O4438" s="404">
        <v>29.4</v>
      </c>
      <c r="P4438" s="402"/>
      <c r="Q4438" s="404"/>
      <c r="R4438" s="402">
        <v>338</v>
      </c>
      <c r="S4438" s="404"/>
      <c r="T4438" s="402"/>
      <c r="U4438" s="395">
        <v>2.2000000000000002</v>
      </c>
      <c r="V4438" s="402"/>
      <c r="W4438" s="404">
        <f>0.02/2</f>
        <v>0.01</v>
      </c>
      <c r="X4438" s="402"/>
      <c r="Y4438" s="404"/>
      <c r="Z4438" s="397">
        <v>1</v>
      </c>
      <c r="AA4438" s="399">
        <v>1</v>
      </c>
      <c r="AB4438" s="394">
        <v>8</v>
      </c>
      <c r="AC4438" s="402">
        <v>73</v>
      </c>
      <c r="AD4438" s="399">
        <v>1</v>
      </c>
      <c r="AE4438" s="402"/>
      <c r="AF4438" s="391"/>
      <c r="AG4438" s="394"/>
      <c r="AH4438" s="394"/>
      <c r="AI4438" s="394"/>
      <c r="AJ4438" s="394"/>
      <c r="AK4438" s="394"/>
      <c r="AL4438" s="394"/>
      <c r="AM4438" s="394"/>
      <c r="AN4438" s="394"/>
      <c r="AO4438" s="394"/>
      <c r="AP4438" s="394"/>
      <c r="AQ4438" s="394"/>
      <c r="AR4438" s="394"/>
      <c r="AS4438" s="402"/>
      <c r="AT4438" s="404"/>
      <c r="AU4438" s="394"/>
      <c r="AV4438" s="394"/>
    </row>
    <row r="4439" spans="1:48" ht="15" customHeight="1">
      <c r="A4439" s="404" t="s">
        <v>4668</v>
      </c>
      <c r="B4439" s="402" t="s">
        <v>55</v>
      </c>
      <c r="C4439" s="113" t="s">
        <v>55</v>
      </c>
      <c r="D4439" s="393" t="s">
        <v>56</v>
      </c>
      <c r="E4439" s="394" t="s">
        <v>95</v>
      </c>
      <c r="F4439" s="401" t="s">
        <v>6531</v>
      </c>
      <c r="G4439" s="405" t="s">
        <v>58</v>
      </c>
      <c r="H4439" s="404">
        <v>3441</v>
      </c>
      <c r="I4439" s="402" t="s">
        <v>1</v>
      </c>
      <c r="J4439" s="406" t="s">
        <v>2705</v>
      </c>
      <c r="K4439" s="403">
        <v>41710</v>
      </c>
      <c r="L4439" s="398">
        <v>41674</v>
      </c>
      <c r="M4439" s="402">
        <f t="shared" si="261"/>
        <v>36</v>
      </c>
      <c r="N4439" s="402" t="s">
        <v>1</v>
      </c>
      <c r="O4439" s="404">
        <f>5/2</f>
        <v>2.5</v>
      </c>
      <c r="P4439" s="402">
        <v>6.41</v>
      </c>
      <c r="Q4439" s="404">
        <v>5.79</v>
      </c>
      <c r="R4439" s="402">
        <v>57</v>
      </c>
      <c r="S4439" s="404">
        <v>16</v>
      </c>
      <c r="T4439" s="402">
        <f>0.1/2</f>
        <v>0.05</v>
      </c>
      <c r="U4439" s="395">
        <v>3.3</v>
      </c>
      <c r="V4439" s="402">
        <v>1.9</v>
      </c>
      <c r="W4439" s="404">
        <v>0.14000000000000001</v>
      </c>
      <c r="X4439" s="402">
        <v>0.5</v>
      </c>
      <c r="Y4439" s="404">
        <v>0.17</v>
      </c>
      <c r="Z4439" s="397">
        <v>8.8400000000000006E-2</v>
      </c>
      <c r="AA4439" s="399">
        <v>6.25E-2</v>
      </c>
      <c r="AB4439" s="394">
        <v>8.9</v>
      </c>
      <c r="AC4439" s="402">
        <v>102</v>
      </c>
      <c r="AD4439" s="399">
        <v>0</v>
      </c>
      <c r="AE4439" s="402"/>
      <c r="AF4439" s="391"/>
      <c r="AG4439" s="394"/>
      <c r="AH4439" s="394"/>
      <c r="AI4439" s="394">
        <f>10/2</f>
        <v>5</v>
      </c>
      <c r="AJ4439" s="394">
        <f>10/2</f>
        <v>5</v>
      </c>
      <c r="AK4439" s="394"/>
      <c r="AL4439" s="394"/>
      <c r="AM4439" s="394"/>
      <c r="AN4439" s="394"/>
      <c r="AO4439" s="394"/>
      <c r="AP4439" s="394"/>
      <c r="AQ4439" s="394"/>
      <c r="AR4439" s="394"/>
      <c r="AS4439" s="402"/>
      <c r="AT4439" s="404"/>
      <c r="AU4439" s="394"/>
      <c r="AV4439" s="394"/>
    </row>
    <row r="4440" spans="1:48" ht="15" customHeight="1">
      <c r="A4440" s="404" t="s">
        <v>4668</v>
      </c>
      <c r="B4440" s="402" t="s">
        <v>55</v>
      </c>
      <c r="C4440" s="113" t="s">
        <v>55</v>
      </c>
      <c r="D4440" s="393" t="s">
        <v>56</v>
      </c>
      <c r="E4440" s="394" t="s">
        <v>95</v>
      </c>
      <c r="F4440" s="401" t="s">
        <v>6531</v>
      </c>
      <c r="G4440" s="405" t="s">
        <v>58</v>
      </c>
      <c r="H4440" s="404">
        <v>3441</v>
      </c>
      <c r="I4440" s="402" t="s">
        <v>1</v>
      </c>
      <c r="J4440" s="406" t="s">
        <v>2706</v>
      </c>
      <c r="K4440" s="403">
        <v>41710</v>
      </c>
      <c r="L4440" s="398">
        <v>41674</v>
      </c>
      <c r="M4440" s="402">
        <f t="shared" si="261"/>
        <v>36</v>
      </c>
      <c r="N4440" s="402" t="s">
        <v>1</v>
      </c>
      <c r="O4440" s="404">
        <f>5/2</f>
        <v>2.5</v>
      </c>
      <c r="P4440" s="402">
        <v>6.41</v>
      </c>
      <c r="Q4440" s="404">
        <v>5.86</v>
      </c>
      <c r="R4440" s="402">
        <v>91</v>
      </c>
      <c r="S4440" s="404">
        <v>37</v>
      </c>
      <c r="T4440" s="402">
        <v>0.11</v>
      </c>
      <c r="U4440" s="395">
        <v>4.0999999999999996</v>
      </c>
      <c r="V4440" s="402">
        <v>2.6</v>
      </c>
      <c r="W4440" s="404">
        <v>0.14000000000000001</v>
      </c>
      <c r="X4440" s="402">
        <v>0.53</v>
      </c>
      <c r="Y4440" s="404">
        <v>0.18</v>
      </c>
      <c r="Z4440" s="397">
        <v>0.57399999999999995</v>
      </c>
      <c r="AA4440" s="399">
        <v>0.40600000000000003</v>
      </c>
      <c r="AB4440" s="394">
        <v>17</v>
      </c>
      <c r="AC4440" s="402">
        <v>164</v>
      </c>
      <c r="AD4440" s="399">
        <v>0</v>
      </c>
      <c r="AE4440" s="402"/>
      <c r="AF4440" s="391"/>
      <c r="AG4440" s="394"/>
      <c r="AH4440" s="394"/>
      <c r="AI4440" s="394">
        <v>250</v>
      </c>
      <c r="AJ4440" s="394">
        <f>10/2</f>
        <v>5</v>
      </c>
      <c r="AK4440" s="394"/>
      <c r="AL4440" s="394"/>
      <c r="AM4440" s="394"/>
      <c r="AN4440" s="394"/>
      <c r="AO4440" s="394"/>
      <c r="AP4440" s="394"/>
      <c r="AQ4440" s="394"/>
      <c r="AR4440" s="394"/>
      <c r="AS4440" s="402"/>
      <c r="AT4440" s="404"/>
      <c r="AU4440" s="394"/>
      <c r="AV4440" s="394"/>
    </row>
    <row r="4441" spans="1:48" ht="15" customHeight="1">
      <c r="A4441" s="404" t="s">
        <v>4668</v>
      </c>
      <c r="B4441" s="402" t="s">
        <v>55</v>
      </c>
      <c r="C4441" s="113" t="s">
        <v>55</v>
      </c>
      <c r="D4441" s="393" t="s">
        <v>56</v>
      </c>
      <c r="E4441" s="394" t="s">
        <v>95</v>
      </c>
      <c r="F4441" s="401" t="s">
        <v>6531</v>
      </c>
      <c r="G4441" s="405" t="s">
        <v>58</v>
      </c>
      <c r="H4441" s="404">
        <v>3441</v>
      </c>
      <c r="I4441" s="402" t="s">
        <v>1</v>
      </c>
      <c r="J4441" s="406" t="s">
        <v>6565</v>
      </c>
      <c r="K4441" s="403">
        <v>41710</v>
      </c>
      <c r="L4441" s="398">
        <v>41674</v>
      </c>
      <c r="M4441" s="402">
        <f t="shared" si="261"/>
        <v>36</v>
      </c>
      <c r="N4441" s="402" t="s">
        <v>1</v>
      </c>
      <c r="O4441" s="404">
        <f>5/2</f>
        <v>2.5</v>
      </c>
      <c r="P4441" s="402">
        <v>6.41</v>
      </c>
      <c r="Q4441" s="404">
        <v>5.96</v>
      </c>
      <c r="R4441" s="402">
        <v>34</v>
      </c>
      <c r="S4441" s="404">
        <f>5/2</f>
        <v>2.5</v>
      </c>
      <c r="T4441" s="402">
        <f>0.1/2</f>
        <v>0.05</v>
      </c>
      <c r="U4441" s="395">
        <v>1.9</v>
      </c>
      <c r="V4441" s="402">
        <v>1</v>
      </c>
      <c r="W4441" s="404">
        <f>0.04/2</f>
        <v>0.02</v>
      </c>
      <c r="X4441" s="402">
        <v>0.3</v>
      </c>
      <c r="Y4441" s="404">
        <v>0.1</v>
      </c>
      <c r="Z4441" s="397">
        <v>0.91700000000000004</v>
      </c>
      <c r="AA4441" s="399">
        <v>0.55500000000000005</v>
      </c>
      <c r="AB4441" s="394">
        <v>6.9</v>
      </c>
      <c r="AC4441" s="402">
        <v>76</v>
      </c>
      <c r="AD4441" s="399">
        <v>0</v>
      </c>
      <c r="AE4441" s="402"/>
      <c r="AF4441" s="391"/>
      <c r="AG4441" s="394"/>
      <c r="AH4441" s="394"/>
      <c r="AI4441" s="394">
        <f>10/2</f>
        <v>5</v>
      </c>
      <c r="AJ4441" s="394">
        <v>20</v>
      </c>
      <c r="AK4441" s="394"/>
      <c r="AL4441" s="394"/>
      <c r="AM4441" s="394"/>
      <c r="AN4441" s="394"/>
      <c r="AO4441" s="394"/>
      <c r="AP4441" s="394"/>
      <c r="AQ4441" s="394"/>
      <c r="AR4441" s="394"/>
      <c r="AS4441" s="402"/>
      <c r="AT4441" s="404"/>
      <c r="AU4441" s="394"/>
      <c r="AV4441" s="394"/>
    </row>
    <row r="4442" spans="1:48" ht="15" customHeight="1">
      <c r="A4442" s="404" t="s">
        <v>4668</v>
      </c>
      <c r="B4442" s="402" t="s">
        <v>55</v>
      </c>
      <c r="C4442" s="113" t="s">
        <v>55</v>
      </c>
      <c r="D4442" s="393" t="s">
        <v>56</v>
      </c>
      <c r="E4442" s="394" t="s">
        <v>95</v>
      </c>
      <c r="F4442" s="401" t="s">
        <v>6531</v>
      </c>
      <c r="G4442" s="405" t="s">
        <v>58</v>
      </c>
      <c r="H4442" s="404">
        <v>3441</v>
      </c>
      <c r="I4442" s="402" t="s">
        <v>1</v>
      </c>
      <c r="J4442" s="406" t="s">
        <v>6566</v>
      </c>
      <c r="K4442" s="403">
        <v>41710</v>
      </c>
      <c r="L4442" s="398">
        <v>41674</v>
      </c>
      <c r="M4442" s="402">
        <f t="shared" si="261"/>
        <v>36</v>
      </c>
      <c r="N4442" s="402" t="s">
        <v>1</v>
      </c>
      <c r="O4442" s="404">
        <f>5/2</f>
        <v>2.5</v>
      </c>
      <c r="P4442" s="402">
        <v>6.41</v>
      </c>
      <c r="Q4442" s="404">
        <v>6.79</v>
      </c>
      <c r="R4442" s="402">
        <v>43</v>
      </c>
      <c r="S4442" s="404">
        <v>33</v>
      </c>
      <c r="T4442" s="402">
        <f>0.1/2</f>
        <v>0.05</v>
      </c>
      <c r="U4442" s="395">
        <f>1/2</f>
        <v>0.5</v>
      </c>
      <c r="V4442" s="402">
        <v>0.49</v>
      </c>
      <c r="W4442" s="404">
        <f>0.04/2</f>
        <v>0.02</v>
      </c>
      <c r="X4442" s="402">
        <v>0.05</v>
      </c>
      <c r="Y4442" s="404">
        <f>0.013/2</f>
        <v>6.4999999999999997E-3</v>
      </c>
      <c r="Z4442" s="397">
        <v>1</v>
      </c>
      <c r="AA4442" s="399">
        <v>1</v>
      </c>
      <c r="AB4442" s="394">
        <v>27</v>
      </c>
      <c r="AC4442" s="402">
        <v>225</v>
      </c>
      <c r="AD4442" s="399">
        <v>0.65</v>
      </c>
      <c r="AE4442" s="402"/>
      <c r="AF4442" s="391"/>
      <c r="AG4442" s="394"/>
      <c r="AH4442" s="394"/>
      <c r="AI4442" s="394">
        <f>10/2</f>
        <v>5</v>
      </c>
      <c r="AJ4442" s="394">
        <v>41</v>
      </c>
      <c r="AK4442" s="394"/>
      <c r="AL4442" s="394"/>
      <c r="AM4442" s="394"/>
      <c r="AN4442" s="394"/>
      <c r="AO4442" s="394"/>
      <c r="AP4442" s="394"/>
      <c r="AQ4442" s="394"/>
      <c r="AR4442" s="394"/>
      <c r="AS4442" s="402"/>
      <c r="AT4442" s="404"/>
      <c r="AU4442" s="394"/>
      <c r="AV4442" s="394"/>
    </row>
    <row r="4443" spans="1:48" ht="15" customHeight="1">
      <c r="A4443" s="404" t="s">
        <v>4668</v>
      </c>
      <c r="B4443" s="402" t="s">
        <v>4427</v>
      </c>
      <c r="C4443" s="113" t="s">
        <v>6202</v>
      </c>
      <c r="D4443" s="393" t="s">
        <v>534</v>
      </c>
      <c r="E4443" s="394" t="s">
        <v>304</v>
      </c>
      <c r="F4443" s="402">
        <v>6000</v>
      </c>
      <c r="G4443" s="405" t="s">
        <v>4429</v>
      </c>
      <c r="H4443" s="404"/>
      <c r="I4443" s="402" t="s">
        <v>1</v>
      </c>
      <c r="J4443" s="406" t="s">
        <v>6202</v>
      </c>
      <c r="K4443" s="403">
        <v>41744</v>
      </c>
      <c r="L4443" s="398">
        <v>41737</v>
      </c>
      <c r="M4443" s="402">
        <f t="shared" si="261"/>
        <v>7</v>
      </c>
      <c r="N4443" s="402" t="s">
        <v>2</v>
      </c>
      <c r="O4443" s="404">
        <v>0.5</v>
      </c>
      <c r="P4443" s="402">
        <v>4.92</v>
      </c>
      <c r="Q4443" s="404">
        <v>6.8</v>
      </c>
      <c r="R4443" s="402">
        <v>1240</v>
      </c>
      <c r="S4443" s="404">
        <v>1080</v>
      </c>
      <c r="T4443" s="402">
        <v>1.94</v>
      </c>
      <c r="U4443" s="395">
        <v>16.600000000000001</v>
      </c>
      <c r="V4443" s="402">
        <f>0.05/2</f>
        <v>2.5000000000000001E-2</v>
      </c>
      <c r="W4443" s="404">
        <v>0.04</v>
      </c>
      <c r="X4443" s="402">
        <v>7.0000000000000007E-2</v>
      </c>
      <c r="Y4443" s="404">
        <v>0.01</v>
      </c>
      <c r="Z4443" s="397"/>
      <c r="AA4443" s="399"/>
      <c r="AB4443" s="394"/>
      <c r="AC4443" s="402"/>
      <c r="AD4443" s="399"/>
      <c r="AE4443" s="402" t="s">
        <v>5688</v>
      </c>
      <c r="AF4443" s="391"/>
      <c r="AG4443" s="394"/>
      <c r="AH4443" s="394"/>
      <c r="AI4443" s="394"/>
      <c r="AJ4443" s="394"/>
      <c r="AK4443" s="394"/>
      <c r="AL4443" s="394"/>
      <c r="AM4443" s="394"/>
      <c r="AN4443" s="394"/>
      <c r="AO4443" s="394"/>
      <c r="AP4443" s="394"/>
      <c r="AQ4443" s="394"/>
      <c r="AR4443" s="394"/>
      <c r="AS4443" s="402"/>
      <c r="AT4443" s="404"/>
      <c r="AU4443" s="394"/>
      <c r="AV4443" s="394"/>
    </row>
    <row r="4444" spans="1:48" ht="15" customHeight="1">
      <c r="A4444" s="404" t="s">
        <v>4668</v>
      </c>
      <c r="B4444" s="402" t="s">
        <v>4427</v>
      </c>
      <c r="C4444" s="113" t="s">
        <v>6202</v>
      </c>
      <c r="D4444" s="393" t="s">
        <v>534</v>
      </c>
      <c r="E4444" s="394" t="s">
        <v>304</v>
      </c>
      <c r="F4444" s="402">
        <v>6000</v>
      </c>
      <c r="G4444" s="405" t="s">
        <v>4429</v>
      </c>
      <c r="H4444" s="404"/>
      <c r="I4444" s="402" t="s">
        <v>1</v>
      </c>
      <c r="J4444" s="406" t="s">
        <v>6567</v>
      </c>
      <c r="K4444" s="403">
        <v>41744</v>
      </c>
      <c r="L4444" s="398">
        <v>41737</v>
      </c>
      <c r="M4444" s="402">
        <f>K4444-L4444</f>
        <v>7</v>
      </c>
      <c r="N4444" s="402" t="s">
        <v>2</v>
      </c>
      <c r="O4444" s="404">
        <f>0.5/2</f>
        <v>0.25</v>
      </c>
      <c r="P4444" s="402">
        <v>4.92</v>
      </c>
      <c r="Q4444" s="404">
        <v>6.5</v>
      </c>
      <c r="R4444" s="402">
        <v>480</v>
      </c>
      <c r="S4444" s="404">
        <v>560</v>
      </c>
      <c r="T4444" s="402">
        <v>0.52</v>
      </c>
      <c r="U4444" s="395">
        <v>13.3</v>
      </c>
      <c r="V4444" s="402">
        <v>0.11</v>
      </c>
      <c r="W4444" s="404">
        <v>0.02</v>
      </c>
      <c r="X4444" s="402">
        <v>0.01</v>
      </c>
      <c r="Y4444" s="404">
        <f>0.001/2</f>
        <v>5.0000000000000001E-4</v>
      </c>
      <c r="Z4444" s="397"/>
      <c r="AA4444" s="399"/>
      <c r="AB4444" s="394"/>
      <c r="AC4444" s="402"/>
      <c r="AD4444" s="399"/>
      <c r="AE4444" s="402" t="s">
        <v>5688</v>
      </c>
      <c r="AF4444" s="391" t="s">
        <v>2667</v>
      </c>
      <c r="AG4444" s="394"/>
      <c r="AH4444" s="394"/>
      <c r="AI4444" s="394"/>
      <c r="AJ4444" s="394"/>
      <c r="AK4444" s="394"/>
      <c r="AL4444" s="394"/>
      <c r="AM4444" s="394"/>
      <c r="AN4444" s="394"/>
      <c r="AO4444" s="394"/>
      <c r="AP4444" s="394"/>
      <c r="AQ4444" s="394"/>
      <c r="AR4444" s="394"/>
      <c r="AS4444" s="402"/>
      <c r="AT4444" s="404"/>
      <c r="AU4444" s="394"/>
      <c r="AV4444" s="394"/>
    </row>
    <row r="4445" spans="1:48" ht="15" customHeight="1">
      <c r="A4445" s="404" t="s">
        <v>4668</v>
      </c>
      <c r="B4445" s="402" t="s">
        <v>5133</v>
      </c>
      <c r="D4445" s="393" t="s">
        <v>2921</v>
      </c>
      <c r="E4445" s="394" t="s">
        <v>815</v>
      </c>
      <c r="F4445" s="402" t="s">
        <v>5134</v>
      </c>
      <c r="G4445" s="405" t="s">
        <v>5135</v>
      </c>
      <c r="H4445" s="404">
        <v>3089</v>
      </c>
      <c r="I4445" s="402" t="s">
        <v>1</v>
      </c>
      <c r="J4445" s="404" t="s">
        <v>1392</v>
      </c>
      <c r="K4445" s="403">
        <v>41767</v>
      </c>
      <c r="L4445" s="398">
        <v>41760</v>
      </c>
      <c r="M4445" s="402">
        <f t="shared" si="261"/>
        <v>7</v>
      </c>
      <c r="N4445" s="402" t="s">
        <v>2</v>
      </c>
      <c r="O4445" s="404">
        <v>1.6</v>
      </c>
      <c r="P4445" s="402">
        <v>6.6</v>
      </c>
      <c r="Q4445" s="404">
        <v>7.2</v>
      </c>
      <c r="R4445" s="402">
        <v>70</v>
      </c>
      <c r="S4445" s="404">
        <v>39</v>
      </c>
      <c r="T4445" s="402">
        <v>0.21</v>
      </c>
      <c r="U4445" s="395">
        <v>21.1</v>
      </c>
      <c r="V4445" s="402">
        <v>0.56000000000000005</v>
      </c>
      <c r="W4445" s="404">
        <v>1.0999999999999999E-2</v>
      </c>
      <c r="X4445" s="402">
        <v>4.4999999999999998E-2</v>
      </c>
      <c r="Y4445" s="404">
        <f>0.002/2</f>
        <v>1E-3</v>
      </c>
      <c r="Z4445" s="397">
        <v>1</v>
      </c>
      <c r="AA4445" s="399">
        <v>1</v>
      </c>
      <c r="AB4445" s="394">
        <v>2</v>
      </c>
      <c r="AC4445" s="402">
        <v>19</v>
      </c>
      <c r="AD4445" s="399">
        <v>0.8</v>
      </c>
      <c r="AE4445" s="402"/>
      <c r="AF4445" s="391"/>
      <c r="AG4445" s="394"/>
      <c r="AH4445" s="394"/>
      <c r="AI4445" s="394">
        <f>10/2</f>
        <v>5</v>
      </c>
      <c r="AJ4445" s="394"/>
      <c r="AK4445" s="394"/>
      <c r="AL4445" s="394"/>
      <c r="AM4445" s="394"/>
      <c r="AN4445" s="394"/>
      <c r="AO4445" s="394"/>
      <c r="AP4445" s="394"/>
      <c r="AQ4445" s="394"/>
      <c r="AR4445" s="394"/>
      <c r="AS4445" s="402"/>
      <c r="AT4445" s="404"/>
      <c r="AU4445" s="394"/>
      <c r="AV4445" s="394"/>
    </row>
    <row r="4446" spans="1:48" ht="15" customHeight="1">
      <c r="A4446" s="404" t="s">
        <v>4668</v>
      </c>
      <c r="B4446" s="385" t="s">
        <v>4399</v>
      </c>
      <c r="C4446" s="18" t="s">
        <v>4399</v>
      </c>
      <c r="D4446" s="393" t="s">
        <v>268</v>
      </c>
      <c r="E4446" s="20" t="s">
        <v>252</v>
      </c>
      <c r="F4446" s="385" t="s">
        <v>4400</v>
      </c>
      <c r="G4446" s="405" t="s">
        <v>4401</v>
      </c>
      <c r="H4446" s="404" t="s">
        <v>5802</v>
      </c>
      <c r="I4446" s="402" t="s">
        <v>2</v>
      </c>
      <c r="J4446" s="344" t="s">
        <v>3251</v>
      </c>
      <c r="K4446" s="403">
        <v>41726</v>
      </c>
      <c r="L4446" s="398">
        <v>41718</v>
      </c>
      <c r="M4446" s="402">
        <f t="shared" si="261"/>
        <v>8</v>
      </c>
      <c r="N4446" s="402" t="s">
        <v>2</v>
      </c>
      <c r="O4446" s="404">
        <f>2/2</f>
        <v>1</v>
      </c>
      <c r="P4446" s="402">
        <v>6.1</v>
      </c>
      <c r="Q4446" s="404">
        <v>6.3</v>
      </c>
      <c r="R4446" s="402">
        <v>120</v>
      </c>
      <c r="S4446" s="404">
        <v>14</v>
      </c>
      <c r="T4446" s="402">
        <v>13.2</v>
      </c>
      <c r="U4446" s="395">
        <v>2.87</v>
      </c>
      <c r="V4446" s="402">
        <v>0.97</v>
      </c>
      <c r="W4446" s="404">
        <v>1.0999999999999999E-2</v>
      </c>
      <c r="X4446" s="402">
        <v>0.315</v>
      </c>
      <c r="Y4446" s="404">
        <f>0.03/2</f>
        <v>1.4999999999999999E-2</v>
      </c>
      <c r="Z4446" s="397"/>
      <c r="AA4446" s="399"/>
      <c r="AB4446" s="394"/>
      <c r="AC4446" s="402"/>
      <c r="AD4446" s="399"/>
      <c r="AE4446" s="402"/>
      <c r="AF4446" s="391"/>
      <c r="AG4446" s="394"/>
      <c r="AH4446" s="394"/>
      <c r="AI4446" s="394"/>
      <c r="AJ4446" s="394"/>
      <c r="AK4446" s="394"/>
      <c r="AL4446" s="394"/>
      <c r="AM4446" s="394"/>
      <c r="AN4446" s="394"/>
      <c r="AO4446" s="394"/>
      <c r="AP4446" s="394"/>
      <c r="AQ4446" s="394"/>
      <c r="AR4446" s="394"/>
      <c r="AS4446" s="402"/>
      <c r="AT4446" s="404"/>
      <c r="AU4446" s="394"/>
      <c r="AV4446" s="394"/>
    </row>
    <row r="4447" spans="1:48" ht="15" customHeight="1">
      <c r="A4447" s="404" t="s">
        <v>4668</v>
      </c>
      <c r="B4447" s="385" t="s">
        <v>4399</v>
      </c>
      <c r="C4447" s="18" t="s">
        <v>4399</v>
      </c>
      <c r="D4447" s="393" t="s">
        <v>268</v>
      </c>
      <c r="E4447" s="20" t="s">
        <v>252</v>
      </c>
      <c r="F4447" s="385" t="s">
        <v>4400</v>
      </c>
      <c r="G4447" s="405" t="s">
        <v>4401</v>
      </c>
      <c r="H4447" s="404" t="s">
        <v>5802</v>
      </c>
      <c r="I4447" s="402" t="s">
        <v>2</v>
      </c>
      <c r="J4447" s="344" t="s">
        <v>2494</v>
      </c>
      <c r="K4447" s="403">
        <v>41726</v>
      </c>
      <c r="L4447" s="398">
        <v>41718</v>
      </c>
      <c r="M4447" s="402">
        <f t="shared" si="261"/>
        <v>8</v>
      </c>
      <c r="N4447" s="402" t="s">
        <v>2</v>
      </c>
      <c r="O4447" s="404">
        <f>2/2</f>
        <v>1</v>
      </c>
      <c r="P4447" s="402">
        <v>6.1</v>
      </c>
      <c r="Q4447" s="404">
        <v>6.8</v>
      </c>
      <c r="R4447" s="402">
        <v>159</v>
      </c>
      <c r="S4447" s="404">
        <v>59</v>
      </c>
      <c r="T4447" s="402">
        <v>1.23</v>
      </c>
      <c r="U4447" s="395">
        <v>4.5999999999999996</v>
      </c>
      <c r="V4447" s="402">
        <v>2.76</v>
      </c>
      <c r="W4447" s="404">
        <v>5.8000000000000003E-2</v>
      </c>
      <c r="X4447" s="402">
        <v>0.35799999999999998</v>
      </c>
      <c r="Y4447" s="404">
        <v>4.4999999999999998E-2</v>
      </c>
      <c r="Z4447" s="397"/>
      <c r="AA4447" s="399"/>
      <c r="AB4447" s="394"/>
      <c r="AC4447" s="402"/>
      <c r="AD4447" s="399"/>
      <c r="AE4447" s="402"/>
      <c r="AF4447" s="391"/>
      <c r="AG4447" s="394"/>
      <c r="AH4447" s="394"/>
      <c r="AI4447" s="394"/>
      <c r="AJ4447" s="394"/>
      <c r="AK4447" s="394"/>
      <c r="AL4447" s="394"/>
      <c r="AM4447" s="394"/>
      <c r="AN4447" s="394"/>
      <c r="AO4447" s="394"/>
      <c r="AP4447" s="394"/>
      <c r="AQ4447" s="394"/>
      <c r="AR4447" s="394"/>
      <c r="AS4447" s="402"/>
      <c r="AT4447" s="404"/>
      <c r="AU4447" s="394"/>
      <c r="AV4447" s="394"/>
    </row>
    <row r="4448" spans="1:48" ht="15" customHeight="1">
      <c r="A4448" s="404" t="s">
        <v>4668</v>
      </c>
      <c r="B4448" s="402" t="s">
        <v>956</v>
      </c>
      <c r="C4448" s="113" t="s">
        <v>6532</v>
      </c>
      <c r="D4448" s="393" t="s">
        <v>1896</v>
      </c>
      <c r="E4448" s="394" t="s">
        <v>2412</v>
      </c>
      <c r="G4448" s="405" t="s">
        <v>3724</v>
      </c>
      <c r="H4448" s="404">
        <v>4151</v>
      </c>
      <c r="I4448" s="402" t="s">
        <v>2</v>
      </c>
      <c r="J4448" s="406" t="s">
        <v>3144</v>
      </c>
      <c r="K4448" s="403">
        <v>41729</v>
      </c>
      <c r="L4448" s="398">
        <v>41718</v>
      </c>
      <c r="M4448" s="402">
        <f t="shared" si="261"/>
        <v>11</v>
      </c>
      <c r="N4448" s="402" t="s">
        <v>2</v>
      </c>
      <c r="O4448" s="404"/>
      <c r="P4448" s="402"/>
      <c r="Q4448" s="404"/>
      <c r="R4448" s="402"/>
      <c r="S4448" s="404"/>
      <c r="T4448" s="402"/>
      <c r="U4448" s="395"/>
      <c r="V4448" s="402">
        <v>0.2</v>
      </c>
      <c r="W4448" s="404">
        <v>1.6E-2</v>
      </c>
      <c r="X4448" s="402"/>
      <c r="Y4448" s="404"/>
      <c r="Z4448" s="397"/>
      <c r="AA4448" s="399"/>
      <c r="AB4448" s="394"/>
      <c r="AC4448" s="402"/>
      <c r="AD4448" s="399"/>
      <c r="AE4448" s="402"/>
      <c r="AF4448" s="391"/>
      <c r="AG4448" s="394"/>
      <c r="AH4448" s="394"/>
      <c r="AI4448" s="394"/>
      <c r="AJ4448" s="394"/>
      <c r="AK4448" s="394"/>
      <c r="AL4448" s="394"/>
      <c r="AM4448" s="394"/>
      <c r="AN4448" s="394"/>
      <c r="AO4448" s="394"/>
      <c r="AP4448" s="394"/>
      <c r="AQ4448" s="394"/>
      <c r="AR4448" s="394"/>
      <c r="AS4448" s="402"/>
      <c r="AT4448" s="404"/>
      <c r="AU4448" s="394"/>
      <c r="AV4448" s="394"/>
    </row>
    <row r="4449" spans="1:48" ht="15" customHeight="1">
      <c r="A4449" s="404" t="s">
        <v>4668</v>
      </c>
      <c r="B4449" s="402" t="s">
        <v>956</v>
      </c>
      <c r="C4449" s="113" t="s">
        <v>6532</v>
      </c>
      <c r="D4449" s="393" t="s">
        <v>1896</v>
      </c>
      <c r="E4449" s="394" t="s">
        <v>2412</v>
      </c>
      <c r="G4449" s="405" t="s">
        <v>3724</v>
      </c>
      <c r="H4449" s="404">
        <v>4151</v>
      </c>
      <c r="I4449" s="402" t="s">
        <v>2</v>
      </c>
      <c r="J4449" s="406" t="s">
        <v>3144</v>
      </c>
      <c r="K4449" s="403">
        <v>41759</v>
      </c>
      <c r="L4449" s="398">
        <v>41755</v>
      </c>
      <c r="M4449" s="402">
        <f>K4449-L4449</f>
        <v>4</v>
      </c>
      <c r="N4449" s="402" t="s">
        <v>2</v>
      </c>
      <c r="O4449" s="404"/>
      <c r="P4449" s="402"/>
      <c r="Q4449" s="404"/>
      <c r="R4449" s="402"/>
      <c r="S4449" s="404"/>
      <c r="T4449" s="402"/>
      <c r="U4449" s="395"/>
      <c r="V4449" s="402">
        <v>0.2</v>
      </c>
      <c r="W4449" s="404">
        <v>0.08</v>
      </c>
      <c r="X4449" s="402"/>
      <c r="Y4449" s="404"/>
      <c r="Z4449" s="397"/>
      <c r="AA4449" s="399"/>
      <c r="AB4449" s="394"/>
      <c r="AC4449" s="402"/>
      <c r="AD4449" s="399"/>
      <c r="AE4449" s="402"/>
      <c r="AF4449" s="391"/>
      <c r="AG4449" s="394"/>
      <c r="AH4449" s="394"/>
      <c r="AI4449" s="394"/>
      <c r="AJ4449" s="394"/>
      <c r="AK4449" s="394"/>
      <c r="AL4449" s="394"/>
      <c r="AM4449" s="394"/>
      <c r="AN4449" s="394"/>
      <c r="AO4449" s="394"/>
      <c r="AP4449" s="394"/>
      <c r="AQ4449" s="394"/>
      <c r="AR4449" s="394"/>
      <c r="AS4449" s="402"/>
      <c r="AT4449" s="404"/>
      <c r="AU4449" s="394"/>
      <c r="AV4449" s="394"/>
    </row>
    <row r="4450" spans="1:48" ht="15" customHeight="1">
      <c r="A4450" s="404" t="s">
        <v>4668</v>
      </c>
      <c r="B4450" s="402" t="s">
        <v>5844</v>
      </c>
      <c r="C4450" s="113" t="s">
        <v>5845</v>
      </c>
      <c r="D4450" s="393" t="s">
        <v>379</v>
      </c>
      <c r="E4450" s="394" t="s">
        <v>5846</v>
      </c>
      <c r="F4450" s="401" t="s">
        <v>6533</v>
      </c>
      <c r="G4450" s="405" t="s">
        <v>5847</v>
      </c>
      <c r="H4450" s="404">
        <v>4953</v>
      </c>
      <c r="I4450" s="402"/>
      <c r="J4450" s="406" t="s">
        <v>5848</v>
      </c>
      <c r="K4450" s="403">
        <v>41759</v>
      </c>
      <c r="L4450" s="398">
        <v>41755</v>
      </c>
      <c r="M4450" s="402">
        <f t="shared" si="261"/>
        <v>4</v>
      </c>
      <c r="N4450" s="402" t="s">
        <v>2</v>
      </c>
      <c r="O4450" s="404">
        <v>1.6</v>
      </c>
      <c r="P4450" s="402"/>
      <c r="Q4450" s="404">
        <v>5.05</v>
      </c>
      <c r="R4450" s="402">
        <v>33.9</v>
      </c>
      <c r="S4450" s="404">
        <v>15.5</v>
      </c>
      <c r="T4450" s="402">
        <v>0.35</v>
      </c>
      <c r="U4450" s="395">
        <v>2.02</v>
      </c>
      <c r="V4450" s="402">
        <f>0.2/2</f>
        <v>0.1</v>
      </c>
      <c r="W4450" s="404">
        <f>0.01/2</f>
        <v>5.0000000000000001E-3</v>
      </c>
      <c r="X4450" s="402">
        <v>0.05</v>
      </c>
      <c r="Y4450" s="404">
        <f>0.02/2</f>
        <v>0.01</v>
      </c>
      <c r="Z4450" s="397"/>
      <c r="AA4450" s="399"/>
      <c r="AB4450" s="394"/>
      <c r="AC4450" s="402"/>
      <c r="AD4450" s="399"/>
      <c r="AE4450" s="402"/>
      <c r="AF4450" s="391"/>
      <c r="AG4450" s="394"/>
      <c r="AH4450" s="394"/>
      <c r="AI4450" s="394"/>
      <c r="AJ4450" s="394"/>
      <c r="AK4450" s="394"/>
      <c r="AL4450" s="394"/>
      <c r="AM4450" s="394"/>
      <c r="AN4450" s="394"/>
      <c r="AO4450" s="394"/>
      <c r="AP4450" s="394"/>
      <c r="AQ4450" s="394"/>
      <c r="AR4450" s="394"/>
      <c r="AS4450" s="402"/>
      <c r="AT4450" s="404"/>
      <c r="AU4450" s="394"/>
      <c r="AV4450" s="394"/>
    </row>
    <row r="4451" spans="1:48" ht="15" customHeight="1">
      <c r="A4451" s="404" t="s">
        <v>4668</v>
      </c>
      <c r="B4451" s="402" t="s">
        <v>6310</v>
      </c>
      <c r="C4451" s="113" t="s">
        <v>6310</v>
      </c>
      <c r="D4451" s="393" t="s">
        <v>379</v>
      </c>
      <c r="F4451" s="402" t="s">
        <v>6024</v>
      </c>
      <c r="G4451" s="405" t="s">
        <v>6311</v>
      </c>
      <c r="H4451" s="404">
        <v>3493</v>
      </c>
      <c r="I4451" s="402" t="s">
        <v>2</v>
      </c>
      <c r="J4451" s="406" t="s">
        <v>1061</v>
      </c>
      <c r="K4451" s="403">
        <v>41744</v>
      </c>
      <c r="L4451" s="398" t="s">
        <v>5380</v>
      </c>
      <c r="M4451" s="402"/>
      <c r="N4451" s="402" t="s">
        <v>2</v>
      </c>
      <c r="O4451" s="404">
        <f>5/2</f>
        <v>2.5</v>
      </c>
      <c r="P4451" s="402">
        <v>6.89</v>
      </c>
      <c r="Q4451" s="404">
        <v>8.32</v>
      </c>
      <c r="R4451" s="402">
        <v>50</v>
      </c>
      <c r="S4451" s="404">
        <v>36</v>
      </c>
      <c r="T4451" s="402">
        <f>0.1/2</f>
        <v>0.05</v>
      </c>
      <c r="U4451" s="395">
        <f>1/2</f>
        <v>0.5</v>
      </c>
      <c r="V4451" s="402">
        <v>0.31</v>
      </c>
      <c r="W4451" s="404">
        <f>0.04/2</f>
        <v>0.02</v>
      </c>
      <c r="X4451" s="402">
        <v>0.32</v>
      </c>
      <c r="Y4451" s="404">
        <f>0.013/2</f>
        <v>6.4999999999999997E-3</v>
      </c>
      <c r="Z4451" s="397">
        <v>1</v>
      </c>
      <c r="AA4451" s="399">
        <v>0.83</v>
      </c>
      <c r="AB4451" s="394">
        <v>8.3000000000000007</v>
      </c>
      <c r="AC4451" s="402">
        <v>23</v>
      </c>
      <c r="AD4451" s="399">
        <v>0.25</v>
      </c>
      <c r="AE4451" s="402"/>
      <c r="AF4451" s="391"/>
      <c r="AG4451" s="394"/>
      <c r="AH4451" s="394"/>
      <c r="AI4451" s="394"/>
      <c r="AJ4451" s="394"/>
      <c r="AK4451" s="394"/>
      <c r="AL4451" s="394"/>
      <c r="AM4451" s="394"/>
      <c r="AN4451" s="394"/>
      <c r="AO4451" s="394"/>
      <c r="AP4451" s="394"/>
      <c r="AQ4451" s="394"/>
      <c r="AR4451" s="394"/>
      <c r="AS4451" s="402"/>
      <c r="AT4451" s="404"/>
      <c r="AU4451" s="394"/>
      <c r="AV4451" s="394"/>
    </row>
    <row r="4452" spans="1:48" ht="15" customHeight="1">
      <c r="A4452" s="404" t="s">
        <v>4668</v>
      </c>
      <c r="B4452" s="402" t="s">
        <v>6310</v>
      </c>
      <c r="C4452" s="113" t="s">
        <v>6310</v>
      </c>
      <c r="D4452" s="393" t="s">
        <v>379</v>
      </c>
      <c r="F4452" s="402" t="s">
        <v>6024</v>
      </c>
      <c r="G4452" s="405" t="s">
        <v>6311</v>
      </c>
      <c r="H4452" s="404">
        <v>3493</v>
      </c>
      <c r="I4452" s="402" t="s">
        <v>2</v>
      </c>
      <c r="J4452" s="406" t="s">
        <v>1062</v>
      </c>
      <c r="K4452" s="403">
        <v>41744</v>
      </c>
      <c r="L4452" s="398" t="s">
        <v>5380</v>
      </c>
      <c r="M4452" s="402"/>
      <c r="N4452" s="402" t="s">
        <v>2</v>
      </c>
      <c r="O4452" s="404">
        <f>5/2</f>
        <v>2.5</v>
      </c>
      <c r="P4452" s="402">
        <v>6.89</v>
      </c>
      <c r="Q4452" s="404">
        <v>8.81</v>
      </c>
      <c r="R4452" s="402">
        <v>6</v>
      </c>
      <c r="S4452" s="404">
        <v>16</v>
      </c>
      <c r="T4452" s="402">
        <f>0.1/2</f>
        <v>0.05</v>
      </c>
      <c r="U4452" s="395">
        <f>1/2</f>
        <v>0.5</v>
      </c>
      <c r="V4452" s="402">
        <f>0.1/2</f>
        <v>0.05</v>
      </c>
      <c r="W4452" s="404">
        <f>0.04/2</f>
        <v>0.02</v>
      </c>
      <c r="X4452" s="402">
        <v>0.15</v>
      </c>
      <c r="Y4452" s="404">
        <f>0.013/2</f>
        <v>6.4999999999999997E-3</v>
      </c>
      <c r="Z4452" s="397">
        <v>1</v>
      </c>
      <c r="AA4452" s="399">
        <v>0.68799999999999994</v>
      </c>
      <c r="AB4452" s="394">
        <v>4.8</v>
      </c>
      <c r="AC4452" s="402">
        <v>8</v>
      </c>
      <c r="AD4452" s="399">
        <v>0.2</v>
      </c>
      <c r="AE4452" s="402"/>
      <c r="AF4452" s="391"/>
      <c r="AG4452" s="394"/>
      <c r="AH4452" s="394"/>
      <c r="AI4452" s="394"/>
      <c r="AJ4452" s="394"/>
      <c r="AK4452" s="394"/>
      <c r="AL4452" s="394"/>
      <c r="AM4452" s="394"/>
      <c r="AN4452" s="394"/>
      <c r="AO4452" s="394"/>
      <c r="AP4452" s="394"/>
      <c r="AQ4452" s="394"/>
      <c r="AR4452" s="394"/>
      <c r="AS4452" s="402"/>
      <c r="AT4452" s="404"/>
      <c r="AU4452" s="394"/>
      <c r="AV4452" s="394"/>
    </row>
    <row r="4453" spans="1:48" ht="15" customHeight="1">
      <c r="A4453" s="404" t="s">
        <v>4668</v>
      </c>
      <c r="B4453" s="402" t="s">
        <v>4433</v>
      </c>
      <c r="C4453" s="113" t="s">
        <v>4433</v>
      </c>
      <c r="D4453" s="393" t="s">
        <v>314</v>
      </c>
      <c r="E4453" s="394" t="s">
        <v>49</v>
      </c>
      <c r="F4453" s="402" t="s">
        <v>6283</v>
      </c>
      <c r="G4453" s="405" t="s">
        <v>4434</v>
      </c>
      <c r="H4453" s="404">
        <v>3479</v>
      </c>
      <c r="I4453" s="402" t="s">
        <v>2</v>
      </c>
      <c r="J4453" s="406" t="s">
        <v>255</v>
      </c>
      <c r="K4453" s="403">
        <v>41727</v>
      </c>
      <c r="L4453" s="398">
        <v>41718</v>
      </c>
      <c r="M4453" s="402">
        <f t="shared" si="261"/>
        <v>9</v>
      </c>
      <c r="N4453" s="402" t="s">
        <v>2</v>
      </c>
      <c r="O4453" s="404"/>
      <c r="P4453" s="402"/>
      <c r="Q4453" s="404"/>
      <c r="R4453" s="402"/>
      <c r="S4453" s="404"/>
      <c r="T4453" s="402"/>
      <c r="U4453" s="395"/>
      <c r="V4453" s="402"/>
      <c r="W4453" s="404">
        <v>5.8000000000000003E-2</v>
      </c>
      <c r="X4453" s="402">
        <v>0.33200000000000002</v>
      </c>
      <c r="Y4453" s="404"/>
      <c r="Z4453" s="397"/>
      <c r="AA4453" s="399"/>
      <c r="AB4453" s="394"/>
      <c r="AC4453" s="402"/>
      <c r="AD4453" s="399"/>
      <c r="AE4453" s="402"/>
      <c r="AF4453" s="391"/>
      <c r="AG4453" s="394"/>
      <c r="AH4453" s="394"/>
      <c r="AI4453" s="394"/>
      <c r="AJ4453" s="394"/>
      <c r="AK4453" s="394"/>
      <c r="AL4453" s="394"/>
      <c r="AM4453" s="394"/>
      <c r="AN4453" s="394"/>
      <c r="AO4453" s="394"/>
      <c r="AP4453" s="394"/>
      <c r="AQ4453" s="394"/>
      <c r="AR4453" s="394"/>
      <c r="AS4453" s="402"/>
      <c r="AT4453" s="404"/>
      <c r="AU4453" s="394"/>
      <c r="AV4453" s="394"/>
    </row>
    <row r="4454" spans="1:48" ht="15" customHeight="1">
      <c r="A4454" s="404" t="s">
        <v>4668</v>
      </c>
      <c r="B4454" s="402" t="s">
        <v>4712</v>
      </c>
      <c r="D4454" s="392" t="s">
        <v>209</v>
      </c>
      <c r="E4454" s="394" t="s">
        <v>4713</v>
      </c>
      <c r="F4454" s="402">
        <v>5200</v>
      </c>
      <c r="G4454" s="405" t="s">
        <v>4748</v>
      </c>
      <c r="H4454" s="404">
        <v>3279</v>
      </c>
      <c r="I4454" s="402" t="s">
        <v>1</v>
      </c>
      <c r="J4454" s="406" t="s">
        <v>890</v>
      </c>
      <c r="K4454" s="403">
        <v>41727</v>
      </c>
      <c r="L4454" s="398">
        <v>41718</v>
      </c>
      <c r="M4454" s="402">
        <f t="shared" si="261"/>
        <v>9</v>
      </c>
      <c r="N4454" s="402" t="s">
        <v>2</v>
      </c>
      <c r="O4454" s="404"/>
      <c r="P4454" s="402"/>
      <c r="Q4454" s="404"/>
      <c r="R4454" s="402"/>
      <c r="S4454" s="404"/>
      <c r="T4454" s="402"/>
      <c r="U4454" s="395"/>
      <c r="V4454" s="402"/>
      <c r="W4454" s="404"/>
      <c r="X4454" s="402">
        <v>0.223</v>
      </c>
      <c r="Y4454" s="404"/>
      <c r="Z4454" s="397"/>
      <c r="AA4454" s="399"/>
      <c r="AB4454" s="394"/>
      <c r="AC4454" s="402"/>
      <c r="AD4454" s="399"/>
      <c r="AE4454" s="402"/>
      <c r="AF4454" s="391"/>
      <c r="AG4454" s="394"/>
      <c r="AH4454" s="394"/>
      <c r="AI4454" s="394"/>
      <c r="AJ4454" s="394"/>
      <c r="AK4454" s="394"/>
      <c r="AL4454" s="394"/>
      <c r="AM4454" s="394"/>
      <c r="AN4454" s="394"/>
      <c r="AO4454" s="394"/>
      <c r="AP4454" s="394"/>
      <c r="AQ4454" s="394"/>
      <c r="AR4454" s="394"/>
      <c r="AS4454" s="402"/>
      <c r="AT4454" s="404"/>
      <c r="AU4454" s="394"/>
      <c r="AV4454" s="394"/>
    </row>
    <row r="4455" spans="1:48" ht="15" customHeight="1">
      <c r="A4455" s="404" t="s">
        <v>4668</v>
      </c>
      <c r="B4455" s="402" t="s">
        <v>1415</v>
      </c>
      <c r="C4455" s="113" t="s">
        <v>1416</v>
      </c>
      <c r="D4455" s="393" t="s">
        <v>78</v>
      </c>
      <c r="E4455" s="394" t="s">
        <v>1417</v>
      </c>
      <c r="G4455" s="405" t="s">
        <v>1418</v>
      </c>
      <c r="H4455" s="404">
        <v>3272</v>
      </c>
      <c r="I4455" s="402" t="s">
        <v>2</v>
      </c>
      <c r="J4455" s="404" t="s">
        <v>130</v>
      </c>
      <c r="K4455" s="403">
        <v>41710</v>
      </c>
      <c r="L4455" s="398">
        <v>41707</v>
      </c>
      <c r="M4455" s="402">
        <f t="shared" si="261"/>
        <v>3</v>
      </c>
      <c r="N4455" s="402" t="s">
        <v>1</v>
      </c>
      <c r="O4455" s="404"/>
      <c r="P4455" s="402"/>
      <c r="Q4455" s="404"/>
      <c r="R4455" s="402"/>
      <c r="S4455" s="404"/>
      <c r="T4455" s="402"/>
      <c r="U4455" s="395"/>
      <c r="V4455" s="402">
        <v>1.5</v>
      </c>
      <c r="W4455" s="404"/>
      <c r="X4455" s="402"/>
      <c r="Y4455" s="404"/>
      <c r="Z4455" s="397"/>
      <c r="AA4455" s="399"/>
      <c r="AB4455" s="394"/>
      <c r="AC4455" s="402"/>
      <c r="AD4455" s="399"/>
      <c r="AE4455" s="402"/>
      <c r="AF4455" s="391"/>
      <c r="AG4455" s="394"/>
      <c r="AH4455" s="394"/>
      <c r="AI4455" s="394"/>
      <c r="AJ4455" s="394"/>
      <c r="AK4455" s="394"/>
      <c r="AL4455" s="394"/>
      <c r="AM4455" s="394"/>
      <c r="AN4455" s="394"/>
      <c r="AO4455" s="394"/>
      <c r="AP4455" s="394"/>
      <c r="AQ4455" s="394"/>
      <c r="AR4455" s="394"/>
      <c r="AS4455" s="402"/>
      <c r="AT4455" s="404"/>
      <c r="AU4455" s="394"/>
      <c r="AV4455" s="394"/>
    </row>
    <row r="4456" spans="1:48" ht="15" customHeight="1">
      <c r="A4456" s="404" t="s">
        <v>4668</v>
      </c>
      <c r="B4456" s="402" t="s">
        <v>3213</v>
      </c>
      <c r="C4456" s="113" t="s">
        <v>3213</v>
      </c>
      <c r="D4456" s="393" t="s">
        <v>2691</v>
      </c>
      <c r="E4456" s="394" t="s">
        <v>4233</v>
      </c>
      <c r="F4456" s="402">
        <v>4707</v>
      </c>
      <c r="G4456" s="405" t="s">
        <v>3215</v>
      </c>
      <c r="H4456" s="404">
        <v>4142</v>
      </c>
      <c r="I4456" s="402" t="s">
        <v>2</v>
      </c>
      <c r="J4456" s="406" t="s">
        <v>81</v>
      </c>
      <c r="K4456" s="403">
        <v>41736</v>
      </c>
      <c r="L4456" s="398">
        <v>41733</v>
      </c>
      <c r="M4456" s="402">
        <f t="shared" si="261"/>
        <v>3</v>
      </c>
      <c r="N4456" s="402" t="s">
        <v>2</v>
      </c>
      <c r="O4456" s="404"/>
      <c r="P4456" s="402"/>
      <c r="Q4456" s="404"/>
      <c r="R4456" s="402"/>
      <c r="S4456" s="404"/>
      <c r="T4456" s="402"/>
      <c r="U4456" s="395"/>
      <c r="V4456" s="402"/>
      <c r="W4456" s="404">
        <v>2.1000000000000001E-2</v>
      </c>
      <c r="X4456" s="402"/>
      <c r="Y4456" s="404"/>
      <c r="Z4456" s="397"/>
      <c r="AA4456" s="399"/>
      <c r="AB4456" s="394"/>
      <c r="AC4456" s="402"/>
      <c r="AD4456" s="399"/>
      <c r="AE4456" s="402"/>
      <c r="AF4456" s="391"/>
      <c r="AG4456" s="394"/>
      <c r="AH4456" s="394"/>
      <c r="AI4456" s="394"/>
      <c r="AJ4456" s="394"/>
      <c r="AK4456" s="394"/>
      <c r="AL4456" s="394"/>
      <c r="AM4456" s="394"/>
      <c r="AN4456" s="394"/>
      <c r="AO4456" s="394"/>
      <c r="AP4456" s="394"/>
      <c r="AQ4456" s="394"/>
      <c r="AR4456" s="394"/>
      <c r="AS4456" s="402"/>
      <c r="AT4456" s="404"/>
      <c r="AU4456" s="394"/>
      <c r="AV4456" s="394"/>
    </row>
    <row r="4457" spans="1:48" ht="15" customHeight="1">
      <c r="A4457" s="404" t="s">
        <v>4668</v>
      </c>
      <c r="B4457" s="402" t="s">
        <v>4845</v>
      </c>
      <c r="C4457" s="113" t="s">
        <v>4846</v>
      </c>
      <c r="D4457" s="393" t="s">
        <v>290</v>
      </c>
      <c r="E4457" s="394" t="s">
        <v>112</v>
      </c>
      <c r="F4457" s="401" t="s">
        <v>6534</v>
      </c>
      <c r="G4457" s="405" t="s">
        <v>4847</v>
      </c>
      <c r="H4457" s="404"/>
      <c r="I4457" s="402" t="s">
        <v>2</v>
      </c>
      <c r="J4457" s="406" t="s">
        <v>4850</v>
      </c>
      <c r="K4457" s="403">
        <v>41744</v>
      </c>
      <c r="L4457" s="398">
        <v>41736</v>
      </c>
      <c r="M4457" s="402">
        <f t="shared" si="261"/>
        <v>8</v>
      </c>
      <c r="N4457" s="402" t="s">
        <v>2</v>
      </c>
      <c r="O4457" s="404">
        <v>2</v>
      </c>
      <c r="P4457" s="402">
        <v>6.43</v>
      </c>
      <c r="Q4457" s="404">
        <v>6.5</v>
      </c>
      <c r="R4457" s="402">
        <v>47.3</v>
      </c>
      <c r="S4457" s="404">
        <v>61</v>
      </c>
      <c r="T4457" s="402">
        <v>0.12</v>
      </c>
      <c r="U4457" s="395">
        <v>1.4</v>
      </c>
      <c r="V4457" s="402">
        <v>0.24</v>
      </c>
      <c r="W4457" s="404">
        <v>2.7E-2</v>
      </c>
      <c r="X4457" s="402">
        <v>0.12</v>
      </c>
      <c r="Y4457" s="404">
        <v>5.0000000000000001E-3</v>
      </c>
      <c r="Z4457" s="397"/>
      <c r="AA4457" s="399"/>
      <c r="AB4457" s="394"/>
      <c r="AC4457" s="402"/>
      <c r="AD4457" s="399"/>
      <c r="AE4457" s="402"/>
      <c r="AF4457" s="391"/>
      <c r="AG4457" s="394"/>
      <c r="AH4457" s="394"/>
      <c r="AI4457" s="394"/>
      <c r="AJ4457" s="394"/>
      <c r="AK4457" s="394"/>
      <c r="AL4457" s="394"/>
      <c r="AM4457" s="394"/>
      <c r="AN4457" s="394"/>
      <c r="AO4457" s="394"/>
      <c r="AP4457" s="394"/>
      <c r="AQ4457" s="394"/>
      <c r="AR4457" s="394"/>
      <c r="AS4457" s="402"/>
      <c r="AT4457" s="404"/>
      <c r="AU4457" s="394"/>
      <c r="AV4457" s="394"/>
    </row>
    <row r="4458" spans="1:48" ht="15" customHeight="1">
      <c r="A4458" s="404" t="s">
        <v>4668</v>
      </c>
      <c r="B4458" s="402" t="s">
        <v>4845</v>
      </c>
      <c r="C4458" s="113" t="s">
        <v>4846</v>
      </c>
      <c r="D4458" s="393" t="s">
        <v>290</v>
      </c>
      <c r="E4458" s="394" t="s">
        <v>112</v>
      </c>
      <c r="F4458" s="401" t="s">
        <v>6534</v>
      </c>
      <c r="G4458" s="405" t="s">
        <v>4847</v>
      </c>
      <c r="H4458" s="404"/>
      <c r="I4458" s="402" t="s">
        <v>2</v>
      </c>
      <c r="J4458" s="406" t="s">
        <v>4849</v>
      </c>
      <c r="K4458" s="403">
        <v>41744</v>
      </c>
      <c r="L4458" s="398">
        <v>41736</v>
      </c>
      <c r="M4458" s="402">
        <f>K4458-L4458</f>
        <v>8</v>
      </c>
      <c r="N4458" s="402" t="s">
        <v>2</v>
      </c>
      <c r="O4458" s="404">
        <v>2</v>
      </c>
      <c r="P4458" s="402">
        <v>6.43</v>
      </c>
      <c r="Q4458" s="404">
        <v>6.72</v>
      </c>
      <c r="R4458" s="402">
        <v>22.2</v>
      </c>
      <c r="S4458" s="404">
        <v>24</v>
      </c>
      <c r="T4458" s="402">
        <v>0.11</v>
      </c>
      <c r="U4458" s="395">
        <v>1.22</v>
      </c>
      <c r="V4458" s="402">
        <v>0.2</v>
      </c>
      <c r="W4458" s="404">
        <v>1.4999999999999999E-2</v>
      </c>
      <c r="X4458" s="402">
        <v>0.10199999999999999</v>
      </c>
      <c r="Y4458" s="404">
        <v>2E-3</v>
      </c>
      <c r="Z4458" s="397"/>
      <c r="AA4458" s="399"/>
      <c r="AB4458" s="394"/>
      <c r="AC4458" s="402"/>
      <c r="AD4458" s="399"/>
      <c r="AE4458" s="402"/>
      <c r="AF4458" s="391"/>
      <c r="AG4458" s="394"/>
      <c r="AH4458" s="394"/>
      <c r="AI4458" s="394"/>
      <c r="AJ4458" s="394"/>
      <c r="AK4458" s="394"/>
      <c r="AL4458" s="394"/>
      <c r="AM4458" s="394"/>
      <c r="AN4458" s="394"/>
      <c r="AO4458" s="394"/>
      <c r="AP4458" s="394"/>
      <c r="AQ4458" s="394"/>
      <c r="AR4458" s="394"/>
      <c r="AS4458" s="402"/>
      <c r="AT4458" s="404"/>
      <c r="AU4458" s="394"/>
      <c r="AV4458" s="394"/>
    </row>
    <row r="4459" spans="1:48" ht="15" customHeight="1">
      <c r="A4459" s="404" t="s">
        <v>4668</v>
      </c>
      <c r="B4459" s="402" t="s">
        <v>4845</v>
      </c>
      <c r="C4459" s="113" t="s">
        <v>4846</v>
      </c>
      <c r="D4459" s="393" t="s">
        <v>290</v>
      </c>
      <c r="E4459" s="394" t="s">
        <v>112</v>
      </c>
      <c r="F4459" s="401" t="s">
        <v>6534</v>
      </c>
      <c r="G4459" s="405" t="s">
        <v>4847</v>
      </c>
      <c r="H4459" s="404"/>
      <c r="I4459" s="402" t="s">
        <v>2</v>
      </c>
      <c r="J4459" s="406" t="s">
        <v>4848</v>
      </c>
      <c r="K4459" s="403">
        <v>41744</v>
      </c>
      <c r="L4459" s="398">
        <v>41736</v>
      </c>
      <c r="M4459" s="402">
        <f>K4459-L4459</f>
        <v>8</v>
      </c>
      <c r="N4459" s="402" t="s">
        <v>2</v>
      </c>
      <c r="O4459" s="404">
        <v>1.6</v>
      </c>
      <c r="P4459" s="402">
        <v>6.43</v>
      </c>
      <c r="Q4459" s="404">
        <v>6.56</v>
      </c>
      <c r="R4459" s="402">
        <v>58.5</v>
      </c>
      <c r="S4459" s="404">
        <v>53</v>
      </c>
      <c r="T4459" s="402">
        <v>0.13</v>
      </c>
      <c r="U4459" s="395">
        <v>1.2</v>
      </c>
      <c r="V4459" s="402">
        <v>0.28999999999999998</v>
      </c>
      <c r="W4459" s="404">
        <v>2.5000000000000001E-2</v>
      </c>
      <c r="X4459" s="402">
        <v>0.11700000000000001</v>
      </c>
      <c r="Y4459" s="404">
        <v>5.0000000000000001E-3</v>
      </c>
      <c r="Z4459" s="397"/>
      <c r="AA4459" s="399"/>
      <c r="AB4459" s="394"/>
      <c r="AC4459" s="402"/>
      <c r="AD4459" s="399"/>
      <c r="AE4459" s="402"/>
      <c r="AF4459" s="391"/>
      <c r="AG4459" s="394"/>
      <c r="AH4459" s="394"/>
      <c r="AI4459" s="394"/>
      <c r="AJ4459" s="394"/>
      <c r="AK4459" s="394"/>
      <c r="AL4459" s="394"/>
      <c r="AM4459" s="394"/>
      <c r="AN4459" s="394"/>
      <c r="AO4459" s="394"/>
      <c r="AP4459" s="394"/>
      <c r="AQ4459" s="394"/>
      <c r="AR4459" s="394"/>
      <c r="AS4459" s="402"/>
      <c r="AT4459" s="404"/>
      <c r="AU4459" s="394"/>
      <c r="AV4459" s="394"/>
    </row>
    <row r="4460" spans="1:48" ht="15" customHeight="1">
      <c r="A4460" s="404" t="s">
        <v>4668</v>
      </c>
      <c r="B4460" s="402" t="s">
        <v>5622</v>
      </c>
      <c r="C4460" s="113" t="s">
        <v>5622</v>
      </c>
      <c r="D4460" s="393" t="s">
        <v>89</v>
      </c>
      <c r="E4460" s="394" t="s">
        <v>5624</v>
      </c>
      <c r="F4460" s="401" t="s">
        <v>6535</v>
      </c>
      <c r="G4460" s="405" t="s">
        <v>5625</v>
      </c>
      <c r="H4460" s="404">
        <v>3499</v>
      </c>
      <c r="I4460" s="402" t="s">
        <v>2</v>
      </c>
      <c r="J4460" s="406" t="s">
        <v>5714</v>
      </c>
      <c r="K4460" s="403">
        <v>41726</v>
      </c>
      <c r="L4460" s="398">
        <v>41717</v>
      </c>
      <c r="M4460" s="402">
        <f t="shared" si="261"/>
        <v>9</v>
      </c>
      <c r="N4460" s="402" t="s">
        <v>2</v>
      </c>
      <c r="O4460" s="404"/>
      <c r="P4460" s="402">
        <v>5.19</v>
      </c>
      <c r="Q4460" s="404"/>
      <c r="R4460" s="402"/>
      <c r="S4460" s="404"/>
      <c r="T4460" s="402"/>
      <c r="U4460" s="395"/>
      <c r="V4460" s="402"/>
      <c r="W4460" s="404"/>
      <c r="X4460" s="402">
        <v>0.46</v>
      </c>
      <c r="Y4460" s="404"/>
      <c r="Z4460" s="397"/>
      <c r="AA4460" s="399"/>
      <c r="AB4460" s="394"/>
      <c r="AC4460" s="402"/>
      <c r="AD4460" s="399"/>
      <c r="AE4460" s="402"/>
      <c r="AF4460" s="391"/>
      <c r="AG4460" s="394"/>
      <c r="AH4460" s="394"/>
      <c r="AI4460" s="394"/>
      <c r="AJ4460" s="394"/>
      <c r="AK4460" s="394"/>
      <c r="AL4460" s="394"/>
      <c r="AM4460" s="394"/>
      <c r="AN4460" s="394"/>
      <c r="AO4460" s="394"/>
      <c r="AP4460" s="394"/>
      <c r="AQ4460" s="394"/>
      <c r="AR4460" s="394"/>
      <c r="AS4460" s="402"/>
      <c r="AT4460" s="404"/>
      <c r="AU4460" s="394"/>
      <c r="AV4460" s="394"/>
    </row>
    <row r="4461" spans="1:48" ht="15" customHeight="1">
      <c r="A4461" s="404" t="s">
        <v>4668</v>
      </c>
      <c r="B4461" s="402" t="s">
        <v>5622</v>
      </c>
      <c r="C4461" s="113" t="s">
        <v>5622</v>
      </c>
      <c r="D4461" s="393" t="s">
        <v>89</v>
      </c>
      <c r="E4461" s="394" t="s">
        <v>5624</v>
      </c>
      <c r="F4461" s="401" t="s">
        <v>6535</v>
      </c>
      <c r="G4461" s="405" t="s">
        <v>5625</v>
      </c>
      <c r="H4461" s="404">
        <v>3499</v>
      </c>
      <c r="I4461" s="402" t="s">
        <v>2</v>
      </c>
      <c r="J4461" s="406" t="s">
        <v>5725</v>
      </c>
      <c r="K4461" s="403">
        <v>41726</v>
      </c>
      <c r="L4461" s="398">
        <v>41717</v>
      </c>
      <c r="M4461" s="402">
        <f>K4461-L4461</f>
        <v>9</v>
      </c>
      <c r="N4461" s="402" t="s">
        <v>2</v>
      </c>
      <c r="O4461" s="404">
        <f>0.5/2</f>
        <v>0.25</v>
      </c>
      <c r="P4461" s="402">
        <v>5.19</v>
      </c>
      <c r="Q4461" s="404"/>
      <c r="R4461" s="402"/>
      <c r="S4461" s="404"/>
      <c r="T4461" s="402"/>
      <c r="U4461" s="395"/>
      <c r="V4461" s="402"/>
      <c r="W4461" s="404"/>
      <c r="X4461" s="402"/>
      <c r="Y4461" s="404"/>
      <c r="Z4461" s="397"/>
      <c r="AA4461" s="399"/>
      <c r="AB4461" s="394"/>
      <c r="AC4461" s="402"/>
      <c r="AD4461" s="399"/>
      <c r="AE4461" s="402"/>
      <c r="AF4461" s="391"/>
      <c r="AG4461" s="394"/>
      <c r="AH4461" s="394"/>
      <c r="AI4461" s="394"/>
      <c r="AJ4461" s="394"/>
      <c r="AK4461" s="394"/>
      <c r="AL4461" s="394"/>
      <c r="AM4461" s="394"/>
      <c r="AN4461" s="394"/>
      <c r="AO4461" s="394"/>
      <c r="AP4461" s="394"/>
      <c r="AQ4461" s="394"/>
      <c r="AR4461" s="394"/>
      <c r="AS4461" s="402"/>
      <c r="AT4461" s="404"/>
      <c r="AU4461" s="394"/>
      <c r="AV4461" s="394"/>
    </row>
    <row r="4462" spans="1:48" ht="15" customHeight="1">
      <c r="A4462" s="404" t="s">
        <v>4668</v>
      </c>
      <c r="B4462" s="402" t="s">
        <v>5231</v>
      </c>
      <c r="C4462" s="113" t="s">
        <v>2285</v>
      </c>
      <c r="D4462" s="393" t="s">
        <v>41</v>
      </c>
      <c r="E4462" s="394" t="s">
        <v>2286</v>
      </c>
      <c r="F4462" s="402" t="s">
        <v>961</v>
      </c>
      <c r="G4462" s="405" t="s">
        <v>2287</v>
      </c>
      <c r="H4462" s="404">
        <v>4225</v>
      </c>
      <c r="I4462" s="402" t="s">
        <v>2</v>
      </c>
      <c r="J4462" s="401" t="s">
        <v>1126</v>
      </c>
      <c r="K4462" s="403">
        <v>41727</v>
      </c>
      <c r="L4462" s="398">
        <v>41718</v>
      </c>
      <c r="M4462" s="402">
        <f t="shared" si="261"/>
        <v>9</v>
      </c>
      <c r="N4462" s="402" t="s">
        <v>2</v>
      </c>
      <c r="O4462" s="404"/>
      <c r="P4462" s="402"/>
      <c r="Q4462" s="404"/>
      <c r="R4462" s="402"/>
      <c r="S4462" s="404"/>
      <c r="T4462" s="402"/>
      <c r="U4462" s="395"/>
      <c r="V4462" s="402"/>
      <c r="W4462" s="404"/>
      <c r="X4462" s="402">
        <v>0.36499999999999999</v>
      </c>
      <c r="Y4462" s="404"/>
      <c r="Z4462" s="397"/>
      <c r="AA4462" s="399"/>
      <c r="AB4462" s="394"/>
      <c r="AC4462" s="402"/>
      <c r="AD4462" s="399"/>
      <c r="AE4462" s="402"/>
      <c r="AF4462" s="391"/>
      <c r="AG4462" s="394"/>
      <c r="AH4462" s="394"/>
      <c r="AI4462" s="394"/>
      <c r="AJ4462" s="394"/>
      <c r="AK4462" s="394"/>
      <c r="AL4462" s="394"/>
      <c r="AM4462" s="394"/>
      <c r="AN4462" s="394"/>
      <c r="AO4462" s="394"/>
      <c r="AP4462" s="394"/>
      <c r="AQ4462" s="394"/>
      <c r="AR4462" s="394"/>
      <c r="AS4462" s="402"/>
      <c r="AT4462" s="404"/>
      <c r="AU4462" s="394"/>
      <c r="AV4462" s="394"/>
    </row>
    <row r="4463" spans="1:48" ht="15" customHeight="1">
      <c r="A4463" s="404" t="s">
        <v>4668</v>
      </c>
      <c r="B4463" s="402" t="s">
        <v>4788</v>
      </c>
      <c r="C4463" s="113" t="s">
        <v>4788</v>
      </c>
      <c r="D4463" s="393" t="s">
        <v>1837</v>
      </c>
      <c r="E4463" s="394" t="s">
        <v>2087</v>
      </c>
      <c r="F4463" s="401" t="s">
        <v>6536</v>
      </c>
      <c r="G4463" s="405" t="s">
        <v>4789</v>
      </c>
      <c r="H4463" s="404">
        <v>3965</v>
      </c>
      <c r="I4463" s="402" t="s">
        <v>1</v>
      </c>
      <c r="J4463" s="406" t="s">
        <v>5099</v>
      </c>
      <c r="K4463" s="403">
        <v>41710</v>
      </c>
      <c r="L4463" s="398">
        <v>41691</v>
      </c>
      <c r="M4463" s="402">
        <f t="shared" si="261"/>
        <v>19</v>
      </c>
      <c r="N4463" s="402" t="s">
        <v>2</v>
      </c>
      <c r="O4463" s="404">
        <v>6.7</v>
      </c>
      <c r="P4463" s="402">
        <v>6.4</v>
      </c>
      <c r="Q4463" s="404">
        <v>6.4</v>
      </c>
      <c r="R4463" s="402">
        <v>12</v>
      </c>
      <c r="S4463" s="404">
        <v>440</v>
      </c>
      <c r="T4463" s="402">
        <v>0.76</v>
      </c>
      <c r="U4463" s="395">
        <v>1.65</v>
      </c>
      <c r="V4463" s="402">
        <v>0.15</v>
      </c>
      <c r="W4463" s="404">
        <v>8.4000000000000005E-2</v>
      </c>
      <c r="X4463" s="402">
        <v>0.13200000000000001</v>
      </c>
      <c r="Y4463" s="404">
        <v>2E-3</v>
      </c>
      <c r="Z4463" s="397">
        <v>1</v>
      </c>
      <c r="AA4463" s="399">
        <v>1</v>
      </c>
      <c r="AB4463" s="394">
        <v>4</v>
      </c>
      <c r="AC4463" s="402">
        <v>169</v>
      </c>
      <c r="AD4463" s="399">
        <v>1</v>
      </c>
      <c r="AE4463" s="402"/>
      <c r="AF4463" s="391"/>
      <c r="AG4463" s="394"/>
      <c r="AH4463" s="394"/>
      <c r="AI4463" s="394"/>
      <c r="AJ4463" s="394"/>
      <c r="AK4463" s="394"/>
      <c r="AL4463" s="394"/>
      <c r="AM4463" s="394"/>
      <c r="AN4463" s="394"/>
      <c r="AO4463" s="394"/>
      <c r="AP4463" s="394"/>
      <c r="AQ4463" s="394"/>
      <c r="AR4463" s="394"/>
      <c r="AS4463" s="402"/>
      <c r="AT4463" s="404"/>
      <c r="AU4463" s="394"/>
      <c r="AV4463" s="394"/>
    </row>
    <row r="4464" spans="1:48" ht="15" customHeight="1">
      <c r="A4464" s="404" t="s">
        <v>4668</v>
      </c>
      <c r="B4464" s="385" t="s">
        <v>4287</v>
      </c>
      <c r="C4464" s="18" t="s">
        <v>4287</v>
      </c>
      <c r="D4464" s="377" t="s">
        <v>564</v>
      </c>
      <c r="E4464" s="20" t="s">
        <v>4288</v>
      </c>
      <c r="F4464" s="401" t="s">
        <v>5856</v>
      </c>
      <c r="G4464" s="405" t="s">
        <v>4289</v>
      </c>
      <c r="H4464" s="404">
        <v>3089</v>
      </c>
      <c r="I4464" s="402" t="s">
        <v>2</v>
      </c>
      <c r="J4464" s="344" t="s">
        <v>4290</v>
      </c>
      <c r="K4464" s="403">
        <v>41760</v>
      </c>
      <c r="L4464" s="398" t="s">
        <v>3434</v>
      </c>
      <c r="M4464" s="402"/>
      <c r="N4464" s="402" t="s">
        <v>2</v>
      </c>
      <c r="O4464" s="404">
        <f>2/2</f>
        <v>1</v>
      </c>
      <c r="P4464" s="402"/>
      <c r="Q4464" s="404">
        <v>6</v>
      </c>
      <c r="R4464" s="402">
        <f>10/2</f>
        <v>5</v>
      </c>
      <c r="S4464" s="404">
        <v>3</v>
      </c>
      <c r="T4464" s="402">
        <f>0.05/2</f>
        <v>2.5000000000000001E-2</v>
      </c>
      <c r="U4464" s="395">
        <v>0.56000000000000005</v>
      </c>
      <c r="V4464" s="402">
        <v>0.15</v>
      </c>
      <c r="W4464" s="404">
        <f>0.01/2</f>
        <v>5.0000000000000001E-3</v>
      </c>
      <c r="X4464" s="402">
        <v>0.95799999999999996</v>
      </c>
      <c r="Y4464" s="404">
        <f>0.03/2</f>
        <v>1.4999999999999999E-2</v>
      </c>
      <c r="Z4464" s="397">
        <v>0.35399999999999998</v>
      </c>
      <c r="AA4464" s="399">
        <v>0.183</v>
      </c>
      <c r="AB4464" s="394"/>
      <c r="AC4464" s="402"/>
      <c r="AD4464" s="399"/>
      <c r="AE4464" s="402"/>
      <c r="AF4464" s="391"/>
      <c r="AG4464" s="394"/>
      <c r="AH4464" s="394"/>
      <c r="AI4464" s="394"/>
      <c r="AJ4464" s="394"/>
      <c r="AK4464" s="394"/>
      <c r="AL4464" s="394"/>
      <c r="AM4464" s="394"/>
      <c r="AN4464" s="394"/>
      <c r="AO4464" s="394"/>
      <c r="AP4464" s="394"/>
      <c r="AQ4464" s="394"/>
      <c r="AR4464" s="394"/>
      <c r="AS4464" s="402"/>
      <c r="AT4464" s="404"/>
      <c r="AU4464" s="394"/>
      <c r="AV4464" s="394"/>
    </row>
    <row r="4465" spans="1:48" ht="15" customHeight="1">
      <c r="A4465" s="404" t="s">
        <v>4668</v>
      </c>
      <c r="B4465" s="402" t="s">
        <v>4379</v>
      </c>
      <c r="C4465" s="113" t="s">
        <v>4379</v>
      </c>
      <c r="D4465" s="393" t="s">
        <v>3869</v>
      </c>
      <c r="E4465" s="394" t="s">
        <v>5095</v>
      </c>
      <c r="F4465" s="402">
        <v>4204</v>
      </c>
      <c r="G4465" s="405" t="s">
        <v>4381</v>
      </c>
      <c r="H4465" s="404">
        <v>3491</v>
      </c>
      <c r="I4465" s="402" t="s">
        <v>2</v>
      </c>
      <c r="J4465" s="404" t="s">
        <v>3144</v>
      </c>
      <c r="K4465" s="403">
        <v>41718</v>
      </c>
      <c r="L4465" s="398">
        <v>41710</v>
      </c>
      <c r="M4465" s="402">
        <f t="shared" si="261"/>
        <v>8</v>
      </c>
      <c r="N4465" s="402" t="s">
        <v>2</v>
      </c>
      <c r="O4465" s="404"/>
      <c r="P4465" s="402"/>
      <c r="Q4465" s="404"/>
      <c r="R4465" s="402">
        <f>20/2</f>
        <v>10</v>
      </c>
      <c r="S4465" s="404">
        <v>7.6</v>
      </c>
      <c r="T4465" s="402"/>
      <c r="U4465" s="395"/>
      <c r="V4465" s="402"/>
      <c r="W4465" s="404"/>
      <c r="X4465" s="402"/>
      <c r="Y4465" s="404"/>
      <c r="Z4465" s="397"/>
      <c r="AA4465" s="399"/>
      <c r="AB4465" s="394"/>
      <c r="AC4465" s="402"/>
      <c r="AD4465" s="399"/>
      <c r="AE4465" s="402"/>
      <c r="AF4465" s="391"/>
      <c r="AG4465" s="394"/>
      <c r="AH4465" s="394"/>
      <c r="AI4465" s="394"/>
      <c r="AJ4465" s="394"/>
      <c r="AK4465" s="394"/>
      <c r="AL4465" s="394"/>
      <c r="AM4465" s="394"/>
      <c r="AN4465" s="394"/>
      <c r="AO4465" s="394"/>
      <c r="AP4465" s="394"/>
      <c r="AQ4465" s="394"/>
      <c r="AR4465" s="394"/>
      <c r="AS4465" s="402"/>
      <c r="AT4465" s="404"/>
      <c r="AU4465" s="394"/>
      <c r="AV4465" s="394"/>
    </row>
    <row r="4466" spans="1:48" ht="15" customHeight="1">
      <c r="A4466" s="404" t="s">
        <v>4668</v>
      </c>
      <c r="B4466" s="402" t="s">
        <v>956</v>
      </c>
      <c r="C4466" s="113" t="s">
        <v>1842</v>
      </c>
      <c r="D4466" s="393" t="s">
        <v>247</v>
      </c>
      <c r="E4466" s="394" t="s">
        <v>382</v>
      </c>
      <c r="F4466" s="401" t="s">
        <v>6537</v>
      </c>
      <c r="G4466" s="405" t="s">
        <v>1808</v>
      </c>
      <c r="H4466" s="404">
        <v>4151</v>
      </c>
      <c r="I4466" s="402" t="s">
        <v>2</v>
      </c>
      <c r="J4466" s="406" t="s">
        <v>81</v>
      </c>
      <c r="K4466" s="403">
        <v>41744</v>
      </c>
      <c r="L4466" s="398">
        <v>41738</v>
      </c>
      <c r="M4466" s="402">
        <f t="shared" si="261"/>
        <v>6</v>
      </c>
      <c r="N4466" s="402" t="s">
        <v>2</v>
      </c>
      <c r="O4466" s="404">
        <v>5.0999999999999996</v>
      </c>
      <c r="P4466" s="402">
        <v>7.01</v>
      </c>
      <c r="Q4466" s="404">
        <v>7.01</v>
      </c>
      <c r="R4466" s="402">
        <v>18.600000000000001</v>
      </c>
      <c r="S4466" s="404">
        <v>171.5</v>
      </c>
      <c r="T4466" s="402">
        <v>0.19</v>
      </c>
      <c r="U4466" s="395">
        <v>1.32</v>
      </c>
      <c r="V4466" s="402">
        <v>0.35</v>
      </c>
      <c r="W4466" s="404">
        <v>0.02</v>
      </c>
      <c r="X4466" s="402">
        <v>0.13</v>
      </c>
      <c r="Y4466" s="404">
        <f>0.02/2</f>
        <v>0.01</v>
      </c>
      <c r="Z4466" s="397">
        <v>1</v>
      </c>
      <c r="AA4466" s="399">
        <v>1</v>
      </c>
      <c r="AB4466" s="394">
        <v>16.47</v>
      </c>
      <c r="AC4466" s="402">
        <v>13.8</v>
      </c>
      <c r="AD4466" s="399">
        <v>0.75</v>
      </c>
      <c r="AE4466" s="402"/>
      <c r="AF4466" s="391"/>
      <c r="AG4466" s="394"/>
      <c r="AH4466" s="394"/>
      <c r="AI4466" s="394"/>
      <c r="AJ4466" s="394"/>
      <c r="AK4466" s="394"/>
      <c r="AL4466" s="394"/>
      <c r="AM4466" s="394"/>
      <c r="AN4466" s="394"/>
      <c r="AO4466" s="394"/>
      <c r="AP4466" s="394"/>
      <c r="AQ4466" s="394"/>
      <c r="AR4466" s="394"/>
      <c r="AS4466" s="402"/>
      <c r="AT4466" s="404"/>
      <c r="AU4466" s="394"/>
      <c r="AV4466" s="394"/>
    </row>
    <row r="4467" spans="1:48" ht="15" customHeight="1">
      <c r="A4467" s="404" t="s">
        <v>4668</v>
      </c>
      <c r="B4467" s="402" t="s">
        <v>1869</v>
      </c>
      <c r="C4467" s="113" t="s">
        <v>2653</v>
      </c>
      <c r="D4467" s="393" t="s">
        <v>534</v>
      </c>
      <c r="E4467" s="394" t="s">
        <v>304</v>
      </c>
      <c r="G4467" s="405" t="s">
        <v>1871</v>
      </c>
      <c r="H4467" s="404">
        <v>4952</v>
      </c>
      <c r="I4467" s="402" t="s">
        <v>1</v>
      </c>
      <c r="J4467" s="406" t="s">
        <v>431</v>
      </c>
      <c r="K4467" s="403">
        <v>41744</v>
      </c>
      <c r="L4467" s="398">
        <v>41740</v>
      </c>
      <c r="M4467" s="402">
        <f t="shared" si="261"/>
        <v>4</v>
      </c>
      <c r="N4467" s="402" t="s">
        <v>2</v>
      </c>
      <c r="O4467" s="404">
        <f>5/2</f>
        <v>2.5</v>
      </c>
      <c r="P4467" s="402">
        <v>4</v>
      </c>
      <c r="Q4467" s="404">
        <v>8.1300000000000008</v>
      </c>
      <c r="R4467" s="402">
        <v>79</v>
      </c>
      <c r="S4467" s="404">
        <v>67</v>
      </c>
      <c r="T4467" s="402">
        <v>0.14000000000000001</v>
      </c>
      <c r="U4467" s="395">
        <f>1/2</f>
        <v>0.5</v>
      </c>
      <c r="V4467" s="402">
        <v>0.14000000000000001</v>
      </c>
      <c r="W4467" s="404">
        <f>0.04/2</f>
        <v>0.02</v>
      </c>
      <c r="X4467" s="402">
        <v>7.3999999999999996E-2</v>
      </c>
      <c r="Y4467" s="404">
        <f>0.013/2</f>
        <v>6.4999999999999997E-3</v>
      </c>
      <c r="Z4467" s="397">
        <v>1</v>
      </c>
      <c r="AA4467" s="399">
        <v>1</v>
      </c>
      <c r="AB4467" s="394"/>
      <c r="AC4467" s="402"/>
      <c r="AD4467" s="399"/>
      <c r="AE4467" s="402"/>
      <c r="AF4467" s="391"/>
      <c r="AG4467" s="394">
        <f>0.2/2</f>
        <v>0.1</v>
      </c>
      <c r="AH4467" s="394"/>
      <c r="AI4467" s="394"/>
      <c r="AJ4467" s="394"/>
      <c r="AK4467" s="394"/>
      <c r="AL4467" s="394"/>
      <c r="AM4467" s="394"/>
      <c r="AN4467" s="394"/>
      <c r="AO4467" s="394"/>
      <c r="AP4467" s="394"/>
      <c r="AQ4467" s="394"/>
      <c r="AR4467" s="394"/>
      <c r="AS4467" s="402"/>
      <c r="AT4467" s="404"/>
      <c r="AU4467" s="394"/>
      <c r="AV4467" s="394"/>
    </row>
    <row r="4468" spans="1:48" ht="15" customHeight="1">
      <c r="A4468" s="404" t="s">
        <v>4668</v>
      </c>
      <c r="B4468" s="402" t="s">
        <v>4994</v>
      </c>
      <c r="C4468" s="113" t="s">
        <v>1945</v>
      </c>
      <c r="D4468" s="393" t="s">
        <v>372</v>
      </c>
      <c r="E4468" s="394" t="s">
        <v>1946</v>
      </c>
      <c r="F4468" s="402">
        <v>6914</v>
      </c>
      <c r="G4468" s="405" t="s">
        <v>1947</v>
      </c>
      <c r="H4468" s="404">
        <v>3465</v>
      </c>
      <c r="I4468" s="402"/>
      <c r="J4468" s="406" t="s">
        <v>5757</v>
      </c>
      <c r="K4468" s="403">
        <v>41727</v>
      </c>
      <c r="L4468" s="398">
        <v>41720</v>
      </c>
      <c r="M4468" s="402">
        <f t="shared" si="261"/>
        <v>7</v>
      </c>
      <c r="N4468" s="402" t="s">
        <v>1</v>
      </c>
      <c r="O4468" s="404"/>
      <c r="P4468" s="402"/>
      <c r="Q4468" s="404"/>
      <c r="R4468" s="402"/>
      <c r="S4468" s="404"/>
      <c r="T4468" s="402"/>
      <c r="U4468" s="395"/>
      <c r="V4468" s="402">
        <v>0.11</v>
      </c>
      <c r="W4468" s="404"/>
      <c r="X4468" s="402">
        <v>3.5999999999999997E-2</v>
      </c>
      <c r="Y4468" s="404"/>
      <c r="Z4468" s="397"/>
      <c r="AA4468" s="399"/>
      <c r="AB4468" s="394"/>
      <c r="AC4468" s="402"/>
      <c r="AD4468" s="399"/>
      <c r="AE4468" s="402"/>
      <c r="AF4468" s="391"/>
      <c r="AG4468" s="394"/>
      <c r="AH4468" s="394"/>
      <c r="AI4468" s="394"/>
      <c r="AJ4468" s="394"/>
      <c r="AK4468" s="394"/>
      <c r="AL4468" s="394"/>
      <c r="AM4468" s="394"/>
      <c r="AN4468" s="394"/>
      <c r="AO4468" s="394"/>
      <c r="AP4468" s="394"/>
      <c r="AQ4468" s="394"/>
      <c r="AR4468" s="394"/>
      <c r="AS4468" s="402"/>
      <c r="AT4468" s="404"/>
      <c r="AU4468" s="394"/>
      <c r="AV4468" s="394"/>
    </row>
    <row r="4469" spans="1:48" ht="15" customHeight="1">
      <c r="A4469" s="404" t="s">
        <v>4668</v>
      </c>
      <c r="B4469" s="402" t="s">
        <v>4994</v>
      </c>
      <c r="C4469" s="113" t="s">
        <v>1945</v>
      </c>
      <c r="D4469" s="393" t="s">
        <v>372</v>
      </c>
      <c r="E4469" s="394" t="s">
        <v>1946</v>
      </c>
      <c r="F4469" s="402">
        <v>6914</v>
      </c>
      <c r="G4469" s="405" t="s">
        <v>1947</v>
      </c>
      <c r="H4469" s="404">
        <v>3465</v>
      </c>
      <c r="I4469" s="402"/>
      <c r="J4469" s="406" t="s">
        <v>6568</v>
      </c>
      <c r="K4469" s="403">
        <v>41727</v>
      </c>
      <c r="L4469" s="398">
        <v>41720</v>
      </c>
      <c r="M4469" s="402">
        <f>K4469-L4469</f>
        <v>7</v>
      </c>
      <c r="N4469" s="402" t="s">
        <v>1</v>
      </c>
      <c r="O4469" s="404"/>
      <c r="P4469" s="402"/>
      <c r="Q4469" s="404"/>
      <c r="R4469" s="402"/>
      <c r="S4469" s="404"/>
      <c r="T4469" s="402"/>
      <c r="U4469" s="395">
        <v>0.49</v>
      </c>
      <c r="V4469" s="402">
        <v>0.15</v>
      </c>
      <c r="W4469" s="404"/>
      <c r="X4469" s="402"/>
      <c r="Y4469" s="404"/>
      <c r="Z4469" s="397"/>
      <c r="AA4469" s="399"/>
      <c r="AB4469" s="394"/>
      <c r="AC4469" s="402"/>
      <c r="AD4469" s="399"/>
      <c r="AE4469" s="402"/>
      <c r="AF4469" s="391"/>
      <c r="AG4469" s="394"/>
      <c r="AH4469" s="394"/>
      <c r="AI4469" s="394"/>
      <c r="AJ4469" s="394"/>
      <c r="AK4469" s="394"/>
      <c r="AL4469" s="394"/>
      <c r="AM4469" s="394"/>
      <c r="AN4469" s="394"/>
      <c r="AO4469" s="394"/>
      <c r="AP4469" s="394"/>
      <c r="AQ4469" s="394"/>
      <c r="AR4469" s="394"/>
      <c r="AS4469" s="402"/>
      <c r="AT4469" s="404"/>
      <c r="AU4469" s="394"/>
      <c r="AV4469" s="394"/>
    </row>
    <row r="4470" spans="1:48" ht="15" customHeight="1">
      <c r="A4470" s="404" t="s">
        <v>4668</v>
      </c>
      <c r="B4470" s="402" t="s">
        <v>436</v>
      </c>
      <c r="C4470" s="113" t="s">
        <v>436</v>
      </c>
      <c r="D4470" s="393" t="s">
        <v>347</v>
      </c>
      <c r="E4470" s="394" t="s">
        <v>437</v>
      </c>
      <c r="G4470" s="405" t="s">
        <v>1677</v>
      </c>
      <c r="H4470" s="404">
        <v>3829</v>
      </c>
      <c r="I4470" s="402" t="s">
        <v>2</v>
      </c>
      <c r="J4470" s="406" t="s">
        <v>366</v>
      </c>
      <c r="K4470" s="403">
        <v>41710</v>
      </c>
      <c r="L4470" s="398">
        <v>41690</v>
      </c>
      <c r="M4470" s="402">
        <f t="shared" si="261"/>
        <v>20</v>
      </c>
      <c r="N4470" s="402" t="s">
        <v>1</v>
      </c>
      <c r="O4470" s="404"/>
      <c r="P4470" s="402"/>
      <c r="Q4470" s="404"/>
      <c r="R4470" s="402">
        <v>252</v>
      </c>
      <c r="S4470" s="404"/>
      <c r="T4470" s="402"/>
      <c r="U4470" s="395"/>
      <c r="V4470" s="402"/>
      <c r="W4470" s="404"/>
      <c r="X4470" s="402"/>
      <c r="Y4470" s="404">
        <v>0.10100000000000001</v>
      </c>
      <c r="Z4470" s="397"/>
      <c r="AA4470" s="399"/>
      <c r="AB4470" s="394"/>
      <c r="AC4470" s="402"/>
      <c r="AD4470" s="399"/>
      <c r="AE4470" s="402"/>
      <c r="AF4470" s="391"/>
      <c r="AG4470" s="394"/>
      <c r="AH4470" s="394"/>
      <c r="AI4470" s="394"/>
      <c r="AJ4470" s="394"/>
      <c r="AK4470" s="394"/>
      <c r="AL4470" s="394"/>
      <c r="AM4470" s="394"/>
      <c r="AN4470" s="394"/>
      <c r="AO4470" s="394"/>
      <c r="AP4470" s="394"/>
      <c r="AQ4470" s="394"/>
      <c r="AR4470" s="394"/>
      <c r="AS4470" s="402"/>
      <c r="AT4470" s="404"/>
      <c r="AU4470" s="394"/>
      <c r="AV4470" s="394"/>
    </row>
    <row r="4471" spans="1:48" ht="15" customHeight="1">
      <c r="A4471" s="404" t="s">
        <v>4668</v>
      </c>
      <c r="B4471" s="402" t="s">
        <v>5026</v>
      </c>
      <c r="C4471" s="113" t="s">
        <v>5027</v>
      </c>
      <c r="D4471" s="393" t="s">
        <v>89</v>
      </c>
      <c r="E4471" s="394" t="s">
        <v>1240</v>
      </c>
      <c r="F4471" s="402">
        <v>6600</v>
      </c>
      <c r="G4471" s="405" t="s">
        <v>5028</v>
      </c>
      <c r="H4471" s="404">
        <v>5171</v>
      </c>
      <c r="I4471" s="402" t="s">
        <v>2</v>
      </c>
      <c r="J4471" s="406" t="s">
        <v>5029</v>
      </c>
      <c r="K4471" s="403">
        <v>41781</v>
      </c>
      <c r="L4471" s="398">
        <v>41775</v>
      </c>
      <c r="M4471" s="402">
        <f t="shared" si="261"/>
        <v>6</v>
      </c>
      <c r="N4471" s="402" t="s">
        <v>2</v>
      </c>
      <c r="O4471" s="404">
        <f>5/2</f>
        <v>2.5</v>
      </c>
      <c r="P4471" s="402">
        <v>6.62</v>
      </c>
      <c r="Q4471" s="404">
        <v>7.07</v>
      </c>
      <c r="R4471" s="402">
        <v>52</v>
      </c>
      <c r="S4471" s="404">
        <v>18</v>
      </c>
      <c r="T4471" s="402">
        <v>1.5</v>
      </c>
      <c r="U4471" s="395">
        <v>14</v>
      </c>
      <c r="V4471" s="402">
        <f>0.1/2</f>
        <v>0.05</v>
      </c>
      <c r="W4471" s="404">
        <f>0.04/2</f>
        <v>0.02</v>
      </c>
      <c r="X4471" s="402">
        <v>7.0999999999999994E-2</v>
      </c>
      <c r="Y4471" s="404">
        <f>0.013/2</f>
        <v>6.4999999999999997E-3</v>
      </c>
      <c r="Z4471" s="397">
        <v>1</v>
      </c>
      <c r="AA4471" s="399">
        <v>1</v>
      </c>
      <c r="AB4471" s="394">
        <v>24</v>
      </c>
      <c r="AC4471" s="402">
        <v>296</v>
      </c>
      <c r="AD4471" s="399">
        <v>0.75</v>
      </c>
      <c r="AE4471" s="402"/>
      <c r="AF4471" s="391"/>
      <c r="AG4471" s="394"/>
      <c r="AH4471" s="394"/>
      <c r="AI4471" s="394"/>
      <c r="AJ4471" s="394"/>
      <c r="AK4471" s="394"/>
      <c r="AL4471" s="394"/>
      <c r="AM4471" s="394"/>
      <c r="AN4471" s="394"/>
      <c r="AO4471" s="394"/>
      <c r="AP4471" s="394"/>
      <c r="AQ4471" s="394"/>
      <c r="AR4471" s="394"/>
      <c r="AS4471" s="402"/>
      <c r="AT4471" s="404"/>
      <c r="AU4471" s="394"/>
      <c r="AV4471" s="394"/>
    </row>
    <row r="4472" spans="1:48" ht="15" customHeight="1">
      <c r="A4472" s="404" t="s">
        <v>4668</v>
      </c>
      <c r="B4472" s="402" t="s">
        <v>5177</v>
      </c>
      <c r="C4472" s="113" t="s">
        <v>5178</v>
      </c>
      <c r="D4472" s="393" t="s">
        <v>205</v>
      </c>
      <c r="E4472" s="394" t="s">
        <v>5179</v>
      </c>
      <c r="F4472" s="402" t="s">
        <v>6538</v>
      </c>
      <c r="G4472" s="405" t="s">
        <v>5180</v>
      </c>
      <c r="H4472" s="404"/>
      <c r="I4472" s="402"/>
      <c r="J4472" s="406" t="s">
        <v>5179</v>
      </c>
      <c r="K4472" s="403">
        <v>41759</v>
      </c>
      <c r="L4472" s="398">
        <v>41755</v>
      </c>
      <c r="M4472" s="402">
        <f t="shared" si="261"/>
        <v>4</v>
      </c>
      <c r="N4472" s="402" t="s">
        <v>2</v>
      </c>
      <c r="O4472" s="404">
        <f>1.4/2</f>
        <v>0.7</v>
      </c>
      <c r="P4472" s="402">
        <v>6.8</v>
      </c>
      <c r="Q4472" s="404">
        <v>6.35</v>
      </c>
      <c r="R4472" s="402">
        <f>10/2</f>
        <v>5</v>
      </c>
      <c r="S4472" s="404">
        <v>8.5</v>
      </c>
      <c r="T4472" s="402">
        <v>0.04</v>
      </c>
      <c r="U4472" s="395">
        <v>0.53</v>
      </c>
      <c r="V4472" s="402">
        <v>0.36</v>
      </c>
      <c r="W4472" s="404">
        <f>0.005/2</f>
        <v>2.5000000000000001E-3</v>
      </c>
      <c r="X4472" s="402">
        <v>3.5000000000000003E-2</v>
      </c>
      <c r="Y4472" s="404">
        <f>0.002/2</f>
        <v>1E-3</v>
      </c>
      <c r="Z4472" s="397">
        <v>1</v>
      </c>
      <c r="AA4472" s="399">
        <v>0.72</v>
      </c>
      <c r="AB4472" s="394">
        <f>2/2</f>
        <v>1</v>
      </c>
      <c r="AC4472" s="402">
        <v>13</v>
      </c>
      <c r="AD4472" s="399">
        <v>0.05</v>
      </c>
      <c r="AE4472" s="402"/>
      <c r="AF4472" s="391"/>
      <c r="AG4472" s="394"/>
      <c r="AH4472" s="394"/>
      <c r="AI4472" s="394"/>
      <c r="AJ4472" s="394"/>
      <c r="AK4472" s="394"/>
      <c r="AL4472" s="394"/>
      <c r="AM4472" s="394"/>
      <c r="AN4472" s="394"/>
      <c r="AO4472" s="394"/>
      <c r="AP4472" s="394"/>
      <c r="AQ4472" s="394"/>
      <c r="AR4472" s="394"/>
      <c r="AS4472" s="402"/>
      <c r="AT4472" s="404"/>
      <c r="AU4472" s="394"/>
      <c r="AV4472" s="394"/>
    </row>
    <row r="4473" spans="1:48" ht="15" customHeight="1">
      <c r="A4473" s="404" t="s">
        <v>4668</v>
      </c>
      <c r="B4473" s="402" t="s">
        <v>2022</v>
      </c>
      <c r="C4473" s="113" t="s">
        <v>2022</v>
      </c>
      <c r="D4473" s="393" t="s">
        <v>636</v>
      </c>
      <c r="E4473" s="394" t="s">
        <v>1859</v>
      </c>
      <c r="F4473" s="402">
        <v>3700</v>
      </c>
      <c r="G4473" s="405" t="s">
        <v>2023</v>
      </c>
      <c r="H4473" s="404">
        <v>3965</v>
      </c>
      <c r="I4473" s="402" t="s">
        <v>2</v>
      </c>
      <c r="J4473" s="406" t="s">
        <v>6408</v>
      </c>
      <c r="K4473" s="403">
        <v>41795</v>
      </c>
      <c r="L4473" s="398">
        <v>41775</v>
      </c>
      <c r="M4473" s="402">
        <f t="shared" si="261"/>
        <v>20</v>
      </c>
      <c r="N4473" s="402" t="s">
        <v>2</v>
      </c>
      <c r="O4473" s="404"/>
      <c r="P4473" s="402">
        <v>5.2</v>
      </c>
      <c r="Q4473" s="404"/>
      <c r="R4473" s="402"/>
      <c r="S4473" s="404"/>
      <c r="T4473" s="402"/>
      <c r="U4473" s="395">
        <v>2</v>
      </c>
      <c r="V4473" s="402"/>
      <c r="W4473" s="404"/>
      <c r="X4473" s="402"/>
      <c r="Y4473" s="404"/>
      <c r="Z4473" s="397"/>
      <c r="AA4473" s="399"/>
      <c r="AB4473" s="394"/>
      <c r="AC4473" s="402"/>
      <c r="AD4473" s="399"/>
      <c r="AE4473" s="402"/>
      <c r="AF4473" s="391"/>
      <c r="AG4473" s="394"/>
      <c r="AH4473" s="394"/>
      <c r="AI4473" s="394"/>
      <c r="AJ4473" s="394"/>
      <c r="AK4473" s="394"/>
      <c r="AL4473" s="394"/>
      <c r="AM4473" s="394"/>
      <c r="AN4473" s="394"/>
      <c r="AO4473" s="394"/>
      <c r="AP4473" s="394"/>
      <c r="AQ4473" s="394"/>
      <c r="AR4473" s="394"/>
      <c r="AS4473" s="402"/>
      <c r="AT4473" s="404"/>
      <c r="AU4473" s="394"/>
      <c r="AV4473" s="394"/>
    </row>
    <row r="4474" spans="1:48" ht="15" customHeight="1">
      <c r="A4474" s="404" t="s">
        <v>4668</v>
      </c>
      <c r="B4474" s="385" t="s">
        <v>4330</v>
      </c>
      <c r="C4474" s="18" t="s">
        <v>4331</v>
      </c>
      <c r="D4474" s="377" t="s">
        <v>1683</v>
      </c>
      <c r="E4474" s="20" t="s">
        <v>953</v>
      </c>
      <c r="F4474" s="385" t="s">
        <v>4332</v>
      </c>
      <c r="G4474" s="393" t="s">
        <v>263</v>
      </c>
      <c r="H4474" s="404">
        <v>3826</v>
      </c>
      <c r="I4474" s="402" t="s">
        <v>2</v>
      </c>
      <c r="J4474" s="406" t="s">
        <v>271</v>
      </c>
      <c r="K4474" s="403">
        <v>41795</v>
      </c>
      <c r="L4474" s="398">
        <v>41787</v>
      </c>
      <c r="M4474" s="402">
        <f t="shared" si="261"/>
        <v>8</v>
      </c>
      <c r="N4474" s="402" t="s">
        <v>2</v>
      </c>
      <c r="O4474" s="404"/>
      <c r="P4474" s="402"/>
      <c r="Q4474" s="404"/>
      <c r="R4474" s="402"/>
      <c r="S4474" s="404"/>
      <c r="T4474" s="402"/>
      <c r="U4474" s="395"/>
      <c r="V4474" s="402"/>
      <c r="W4474" s="404"/>
      <c r="X4474" s="402">
        <v>2.7E-2</v>
      </c>
      <c r="Y4474" s="404"/>
      <c r="Z4474" s="397"/>
      <c r="AA4474" s="399"/>
      <c r="AB4474" s="394"/>
      <c r="AC4474" s="402"/>
      <c r="AD4474" s="399"/>
      <c r="AE4474" s="402"/>
      <c r="AF4474" s="391"/>
      <c r="AG4474" s="394"/>
      <c r="AH4474" s="394"/>
      <c r="AI4474" s="394"/>
      <c r="AJ4474" s="394"/>
      <c r="AK4474" s="394"/>
      <c r="AL4474" s="394"/>
      <c r="AM4474" s="394"/>
      <c r="AN4474" s="394"/>
      <c r="AO4474" s="394"/>
      <c r="AP4474" s="394"/>
      <c r="AQ4474" s="394"/>
      <c r="AR4474" s="394"/>
      <c r="AS4474" s="402"/>
      <c r="AT4474" s="404"/>
      <c r="AU4474" s="394"/>
      <c r="AV4474" s="394"/>
    </row>
    <row r="4475" spans="1:48" ht="15" customHeight="1">
      <c r="A4475" s="404" t="s">
        <v>4668</v>
      </c>
      <c r="B4475" s="385" t="s">
        <v>4330</v>
      </c>
      <c r="C4475" s="18" t="s">
        <v>4331</v>
      </c>
      <c r="D4475" s="377" t="s">
        <v>1683</v>
      </c>
      <c r="E4475" s="20" t="s">
        <v>953</v>
      </c>
      <c r="F4475" s="385" t="s">
        <v>4332</v>
      </c>
      <c r="G4475" s="393" t="s">
        <v>263</v>
      </c>
      <c r="H4475" s="404">
        <v>3826</v>
      </c>
      <c r="I4475" s="402" t="s">
        <v>2</v>
      </c>
      <c r="J4475" s="406" t="s">
        <v>272</v>
      </c>
      <c r="K4475" s="403">
        <v>41795</v>
      </c>
      <c r="L4475" s="398">
        <v>41787</v>
      </c>
      <c r="M4475" s="402">
        <f>K4475-L4475</f>
        <v>8</v>
      </c>
      <c r="N4475" s="402" t="s">
        <v>2</v>
      </c>
      <c r="O4475" s="404"/>
      <c r="P4475" s="402"/>
      <c r="Q4475" s="404"/>
      <c r="R4475" s="402">
        <v>35</v>
      </c>
      <c r="S4475" s="404"/>
      <c r="T4475" s="402"/>
      <c r="U4475" s="395"/>
      <c r="V4475" s="402"/>
      <c r="W4475" s="404"/>
      <c r="X4475" s="402">
        <f>0.02/2</f>
        <v>0.01</v>
      </c>
      <c r="Y4475" s="404"/>
      <c r="Z4475" s="397"/>
      <c r="AA4475" s="399"/>
      <c r="AB4475" s="394"/>
      <c r="AC4475" s="402"/>
      <c r="AD4475" s="399"/>
      <c r="AE4475" s="402"/>
      <c r="AF4475" s="391"/>
      <c r="AG4475" s="394"/>
      <c r="AH4475" s="394"/>
      <c r="AI4475" s="394"/>
      <c r="AJ4475" s="394"/>
      <c r="AK4475" s="394"/>
      <c r="AL4475" s="394"/>
      <c r="AM4475" s="394"/>
      <c r="AN4475" s="394"/>
      <c r="AO4475" s="394"/>
      <c r="AP4475" s="394"/>
      <c r="AQ4475" s="394"/>
      <c r="AR4475" s="394"/>
      <c r="AS4475" s="402"/>
      <c r="AT4475" s="404"/>
      <c r="AU4475" s="394"/>
      <c r="AV4475" s="394"/>
    </row>
    <row r="4476" spans="1:48" ht="15" customHeight="1">
      <c r="A4476" s="404" t="s">
        <v>4668</v>
      </c>
      <c r="B4476" s="385" t="s">
        <v>4330</v>
      </c>
      <c r="C4476" s="18" t="s">
        <v>4331</v>
      </c>
      <c r="D4476" s="377" t="s">
        <v>1683</v>
      </c>
      <c r="E4476" s="20" t="s">
        <v>953</v>
      </c>
      <c r="F4476" s="385" t="s">
        <v>4332</v>
      </c>
      <c r="G4476" s="393" t="s">
        <v>263</v>
      </c>
      <c r="H4476" s="404">
        <v>3826</v>
      </c>
      <c r="I4476" s="402" t="s">
        <v>2</v>
      </c>
      <c r="J4476" s="406" t="s">
        <v>273</v>
      </c>
      <c r="K4476" s="403">
        <v>41795</v>
      </c>
      <c r="L4476" s="398">
        <v>41787</v>
      </c>
      <c r="M4476" s="402">
        <f>K4476-L4476</f>
        <v>8</v>
      </c>
      <c r="N4476" s="402" t="s">
        <v>2</v>
      </c>
      <c r="O4476" s="404"/>
      <c r="P4476" s="402"/>
      <c r="Q4476" s="404"/>
      <c r="R4476" s="402">
        <v>45</v>
      </c>
      <c r="S4476" s="404"/>
      <c r="T4476" s="402">
        <v>0.14000000000000001</v>
      </c>
      <c r="U4476" s="395">
        <f>1/2</f>
        <v>0.5</v>
      </c>
      <c r="V4476" s="402"/>
      <c r="W4476" s="404"/>
      <c r="X4476" s="402"/>
      <c r="Y4476" s="404"/>
      <c r="Z4476" s="397"/>
      <c r="AA4476" s="399"/>
      <c r="AB4476" s="394"/>
      <c r="AC4476" s="402"/>
      <c r="AD4476" s="399"/>
      <c r="AE4476" s="402"/>
      <c r="AF4476" s="391"/>
      <c r="AG4476" s="394"/>
      <c r="AH4476" s="394"/>
      <c r="AI4476" s="394"/>
      <c r="AJ4476" s="394"/>
      <c r="AK4476" s="394"/>
      <c r="AL4476" s="394"/>
      <c r="AM4476" s="394"/>
      <c r="AN4476" s="394"/>
      <c r="AO4476" s="394"/>
      <c r="AP4476" s="394"/>
      <c r="AQ4476" s="394"/>
      <c r="AR4476" s="394"/>
      <c r="AS4476" s="402"/>
      <c r="AT4476" s="404"/>
      <c r="AU4476" s="394"/>
      <c r="AV4476" s="394"/>
    </row>
    <row r="4477" spans="1:48" ht="15" customHeight="1">
      <c r="A4477" s="404" t="s">
        <v>4668</v>
      </c>
      <c r="B4477" s="402" t="s">
        <v>3062</v>
      </c>
      <c r="C4477" s="113" t="s">
        <v>3063</v>
      </c>
      <c r="D4477" s="393" t="s">
        <v>735</v>
      </c>
      <c r="E4477" s="394" t="s">
        <v>1293</v>
      </c>
      <c r="F4477" s="86" t="s">
        <v>6420</v>
      </c>
      <c r="G4477" s="405" t="s">
        <v>3064</v>
      </c>
      <c r="H4477" s="404">
        <v>4952</v>
      </c>
      <c r="I4477" s="402" t="s">
        <v>2</v>
      </c>
      <c r="J4477" s="401" t="s">
        <v>3066</v>
      </c>
      <c r="K4477" s="403">
        <v>41760</v>
      </c>
      <c r="L4477" s="398"/>
      <c r="M4477" s="402"/>
      <c r="N4477" s="402" t="s">
        <v>2</v>
      </c>
      <c r="O4477" s="404">
        <f>5/2</f>
        <v>2.5</v>
      </c>
      <c r="P4477" s="402">
        <v>5.37</v>
      </c>
      <c r="Q4477" s="404">
        <v>6.7</v>
      </c>
      <c r="R4477" s="402">
        <v>58</v>
      </c>
      <c r="S4477" s="404">
        <v>65</v>
      </c>
      <c r="T4477" s="402">
        <v>0.19</v>
      </c>
      <c r="U4477" s="395">
        <v>1.1000000000000001</v>
      </c>
      <c r="V4477" s="402">
        <v>0.67</v>
      </c>
      <c r="W4477" s="404">
        <v>3.3000000000000002E-2</v>
      </c>
      <c r="X4477" s="402">
        <v>0.06</v>
      </c>
      <c r="Y4477" s="404">
        <v>2.4E-2</v>
      </c>
      <c r="Z4477" s="397">
        <v>1</v>
      </c>
      <c r="AA4477" s="399">
        <v>0.629</v>
      </c>
      <c r="AB4477" s="394">
        <v>11</v>
      </c>
      <c r="AC4477" s="402">
        <v>26</v>
      </c>
      <c r="AD4477" s="399">
        <v>0.35</v>
      </c>
      <c r="AE4477" s="402"/>
      <c r="AF4477" s="391"/>
      <c r="AG4477" s="394"/>
      <c r="AH4477" s="394"/>
      <c r="AI4477" s="394"/>
      <c r="AJ4477" s="394"/>
      <c r="AK4477" s="394"/>
      <c r="AL4477" s="394"/>
      <c r="AM4477" s="394"/>
      <c r="AN4477" s="394"/>
      <c r="AO4477" s="394"/>
      <c r="AP4477" s="394"/>
      <c r="AQ4477" s="394"/>
      <c r="AR4477" s="394"/>
      <c r="AS4477" s="402"/>
      <c r="AT4477" s="404"/>
      <c r="AU4477" s="394"/>
      <c r="AV4477" s="394"/>
    </row>
    <row r="4478" spans="1:48" ht="15" customHeight="1">
      <c r="A4478" s="404" t="s">
        <v>4668</v>
      </c>
      <c r="B4478" s="402" t="s">
        <v>3062</v>
      </c>
      <c r="C4478" s="113" t="s">
        <v>3063</v>
      </c>
      <c r="D4478" s="393" t="s">
        <v>735</v>
      </c>
      <c r="E4478" s="394" t="s">
        <v>1293</v>
      </c>
      <c r="F4478" s="86" t="s">
        <v>6420</v>
      </c>
      <c r="G4478" s="405" t="s">
        <v>3064</v>
      </c>
      <c r="H4478" s="404">
        <v>4952</v>
      </c>
      <c r="I4478" s="402" t="s">
        <v>2</v>
      </c>
      <c r="J4478" s="401" t="s">
        <v>3065</v>
      </c>
      <c r="K4478" s="403">
        <v>41760</v>
      </c>
      <c r="L4478" s="398"/>
      <c r="M4478" s="402"/>
      <c r="N4478" s="402" t="s">
        <v>2</v>
      </c>
      <c r="O4478" s="404">
        <f>5/2</f>
        <v>2.5</v>
      </c>
      <c r="P4478" s="402">
        <v>5.66</v>
      </c>
      <c r="Q4478" s="404">
        <v>5.9</v>
      </c>
      <c r="R4478" s="402">
        <v>14</v>
      </c>
      <c r="S4478" s="404">
        <f>1/2</f>
        <v>0.5</v>
      </c>
      <c r="T4478" s="402">
        <f>0.04/2</f>
        <v>0.02</v>
      </c>
      <c r="U4478" s="395">
        <v>0.61</v>
      </c>
      <c r="V4478" s="402">
        <v>1.32</v>
      </c>
      <c r="W4478" s="404">
        <v>7.0000000000000001E-3</v>
      </c>
      <c r="X4478" s="402">
        <v>0.22</v>
      </c>
      <c r="Y4478" s="404">
        <f>0.001/2</f>
        <v>5.0000000000000001E-4</v>
      </c>
      <c r="Z4478" s="397">
        <v>0.68300000000000005</v>
      </c>
      <c r="AA4478" s="399">
        <v>0.46700000000000003</v>
      </c>
      <c r="AB4478" s="394">
        <v>15.7</v>
      </c>
      <c r="AC4478" s="402">
        <v>49</v>
      </c>
      <c r="AD4478" s="399"/>
      <c r="AE4478" s="402"/>
      <c r="AF4478" s="391"/>
      <c r="AG4478" s="394"/>
      <c r="AH4478" s="394"/>
      <c r="AI4478" s="394"/>
      <c r="AJ4478" s="394"/>
      <c r="AK4478" s="394"/>
      <c r="AL4478" s="394"/>
      <c r="AM4478" s="394"/>
      <c r="AN4478" s="394"/>
      <c r="AO4478" s="394"/>
      <c r="AP4478" s="394"/>
      <c r="AQ4478" s="394"/>
      <c r="AR4478" s="394"/>
      <c r="AS4478" s="402"/>
      <c r="AT4478" s="404"/>
      <c r="AU4478" s="394"/>
      <c r="AV4478" s="394"/>
    </row>
    <row r="4479" spans="1:48" ht="15" customHeight="1">
      <c r="A4479" s="404" t="s">
        <v>4668</v>
      </c>
      <c r="B4479" s="402" t="s">
        <v>1940</v>
      </c>
      <c r="C4479" s="113" t="s">
        <v>1940</v>
      </c>
      <c r="D4479" s="393" t="s">
        <v>1837</v>
      </c>
      <c r="E4479" s="394" t="s">
        <v>6539</v>
      </c>
      <c r="F4479" s="401" t="s">
        <v>6540</v>
      </c>
      <c r="G4479" s="405" t="s">
        <v>1942</v>
      </c>
      <c r="H4479" s="404">
        <v>3812</v>
      </c>
      <c r="I4479" s="402" t="s">
        <v>2</v>
      </c>
      <c r="J4479" s="406" t="s">
        <v>425</v>
      </c>
      <c r="K4479" s="403">
        <v>41799</v>
      </c>
      <c r="L4479" s="398">
        <v>41795</v>
      </c>
      <c r="M4479" s="402">
        <f t="shared" si="261"/>
        <v>4</v>
      </c>
      <c r="N4479" s="402" t="s">
        <v>2</v>
      </c>
      <c r="O4479" s="404"/>
      <c r="P4479" s="402"/>
      <c r="Q4479" s="404"/>
      <c r="R4479" s="402"/>
      <c r="S4479" s="404"/>
      <c r="T4479" s="402"/>
      <c r="U4479" s="395"/>
      <c r="V4479" s="402"/>
      <c r="W4479" s="404"/>
      <c r="X4479" s="402">
        <v>0.39300000000000002</v>
      </c>
      <c r="Y4479" s="404"/>
      <c r="Z4479" s="397"/>
      <c r="AA4479" s="399"/>
      <c r="AB4479" s="394"/>
      <c r="AC4479" s="402"/>
      <c r="AD4479" s="399"/>
      <c r="AE4479" s="402"/>
      <c r="AF4479" s="391"/>
      <c r="AG4479" s="394"/>
      <c r="AH4479" s="394"/>
      <c r="AI4479" s="394"/>
      <c r="AJ4479" s="394"/>
      <c r="AK4479" s="394"/>
      <c r="AL4479" s="394"/>
      <c r="AM4479" s="394"/>
      <c r="AN4479" s="394"/>
      <c r="AO4479" s="394"/>
      <c r="AP4479" s="394"/>
      <c r="AQ4479" s="394"/>
      <c r="AR4479" s="394"/>
      <c r="AS4479" s="402"/>
      <c r="AT4479" s="404"/>
      <c r="AU4479" s="394"/>
      <c r="AV4479" s="394"/>
    </row>
    <row r="4480" spans="1:48" ht="15" customHeight="1">
      <c r="A4480" s="404" t="s">
        <v>4668</v>
      </c>
      <c r="B4480" s="402" t="s">
        <v>5071</v>
      </c>
      <c r="C4480" s="113" t="s">
        <v>5071</v>
      </c>
      <c r="D4480" s="393" t="s">
        <v>372</v>
      </c>
      <c r="E4480" s="394" t="s">
        <v>2224</v>
      </c>
      <c r="F4480" s="401" t="s">
        <v>2225</v>
      </c>
      <c r="G4480" s="405" t="s">
        <v>5072</v>
      </c>
      <c r="H4480" s="404">
        <v>2842</v>
      </c>
      <c r="I4480" s="402" t="s">
        <v>2</v>
      </c>
      <c r="J4480" s="406" t="s">
        <v>1125</v>
      </c>
      <c r="K4480" s="403">
        <v>41744</v>
      </c>
      <c r="L4480" s="398">
        <v>41737</v>
      </c>
      <c r="M4480" s="402">
        <f t="shared" si="261"/>
        <v>7</v>
      </c>
      <c r="N4480" s="402" t="s">
        <v>2</v>
      </c>
      <c r="O4480" s="404">
        <f>2/2</f>
        <v>1</v>
      </c>
      <c r="P4480" s="402">
        <v>7</v>
      </c>
      <c r="Q4480" s="404">
        <v>6.6</v>
      </c>
      <c r="R4480" s="402">
        <f>10/2</f>
        <v>5</v>
      </c>
      <c r="S4480" s="404">
        <v>86</v>
      </c>
      <c r="T4480" s="402">
        <v>0.28000000000000003</v>
      </c>
      <c r="U4480" s="395">
        <v>0.38</v>
      </c>
      <c r="V4480" s="402">
        <v>0.18</v>
      </c>
      <c r="W4480" s="404">
        <v>0.02</v>
      </c>
      <c r="X4480" s="402">
        <v>6.9000000000000006E-2</v>
      </c>
      <c r="Y4480" s="404">
        <f>0.03/2</f>
        <v>1.4999999999999999E-2</v>
      </c>
      <c r="Z4480" s="397"/>
      <c r="AA4480" s="399"/>
      <c r="AB4480" s="394"/>
      <c r="AC4480" s="402"/>
      <c r="AD4480" s="399"/>
      <c r="AE4480" s="402"/>
      <c r="AF4480" s="391"/>
      <c r="AG4480" s="394"/>
      <c r="AH4480" s="394"/>
      <c r="AI4480" s="394"/>
      <c r="AJ4480" s="394"/>
      <c r="AK4480" s="394"/>
      <c r="AL4480" s="394"/>
      <c r="AM4480" s="394"/>
      <c r="AN4480" s="394"/>
      <c r="AO4480" s="394"/>
      <c r="AP4480" s="394"/>
      <c r="AQ4480" s="394"/>
      <c r="AR4480" s="394"/>
      <c r="AS4480" s="402"/>
      <c r="AT4480" s="404"/>
      <c r="AU4480" s="394"/>
      <c r="AV4480" s="394"/>
    </row>
    <row r="4481" spans="1:48" ht="15" customHeight="1">
      <c r="A4481" s="404" t="s">
        <v>4668</v>
      </c>
      <c r="B4481" s="402" t="s">
        <v>5689</v>
      </c>
      <c r="C4481" s="113" t="s">
        <v>5689</v>
      </c>
      <c r="D4481" s="393" t="s">
        <v>338</v>
      </c>
      <c r="E4481" s="394" t="s">
        <v>4295</v>
      </c>
      <c r="F4481" s="401" t="s">
        <v>6329</v>
      </c>
      <c r="G4481" s="405" t="s">
        <v>4296</v>
      </c>
      <c r="H4481" s="404">
        <v>3469</v>
      </c>
      <c r="I4481" s="402" t="s">
        <v>2</v>
      </c>
      <c r="J4481" s="406" t="s">
        <v>1943</v>
      </c>
      <c r="K4481" s="403">
        <v>41744</v>
      </c>
      <c r="L4481" s="398">
        <v>41737</v>
      </c>
      <c r="M4481" s="402">
        <f t="shared" si="261"/>
        <v>7</v>
      </c>
      <c r="N4481" s="402" t="s">
        <v>2</v>
      </c>
      <c r="O4481" s="404">
        <f>1.4/2</f>
        <v>0.7</v>
      </c>
      <c r="P4481" s="402">
        <v>5.9</v>
      </c>
      <c r="Q4481" s="404">
        <v>6.8</v>
      </c>
      <c r="R4481" s="402">
        <v>30</v>
      </c>
      <c r="S4481" s="404">
        <v>20</v>
      </c>
      <c r="T4481" s="402">
        <f>0.062/2</f>
        <v>3.1E-2</v>
      </c>
      <c r="U4481" s="395">
        <f>1/2</f>
        <v>0.5</v>
      </c>
      <c r="V4481" s="402">
        <v>0.09</v>
      </c>
      <c r="W4481" s="404">
        <f>0.005/2</f>
        <v>2.5000000000000001E-3</v>
      </c>
      <c r="X4481" s="402">
        <v>1.7000000000000001E-2</v>
      </c>
      <c r="Y4481" s="404">
        <f>0.005/2</f>
        <v>2.5000000000000001E-3</v>
      </c>
      <c r="Z4481" s="397"/>
      <c r="AA4481" s="399"/>
      <c r="AB4481" s="394"/>
      <c r="AC4481" s="402"/>
      <c r="AD4481" s="399"/>
      <c r="AE4481" s="402"/>
      <c r="AF4481" s="391"/>
      <c r="AG4481" s="394"/>
      <c r="AH4481" s="394"/>
      <c r="AI4481" s="394"/>
      <c r="AJ4481" s="394"/>
      <c r="AK4481" s="394"/>
      <c r="AL4481" s="394"/>
      <c r="AM4481" s="394"/>
      <c r="AN4481" s="394"/>
      <c r="AO4481" s="394"/>
      <c r="AP4481" s="394"/>
      <c r="AQ4481" s="394"/>
      <c r="AR4481" s="394"/>
      <c r="AS4481" s="402"/>
      <c r="AT4481" s="404"/>
      <c r="AU4481" s="394"/>
      <c r="AV4481" s="394"/>
    </row>
    <row r="4482" spans="1:48" ht="15" customHeight="1">
      <c r="A4482" s="404" t="s">
        <v>4668</v>
      </c>
      <c r="B4482" s="402" t="s">
        <v>1967</v>
      </c>
      <c r="C4482" s="113" t="s">
        <v>1967</v>
      </c>
      <c r="D4482" s="393" t="s">
        <v>188</v>
      </c>
      <c r="E4482" s="394" t="s">
        <v>1968</v>
      </c>
      <c r="G4482" s="405" t="s">
        <v>1969</v>
      </c>
      <c r="H4482" s="404">
        <v>2891</v>
      </c>
      <c r="I4482" s="402" t="s">
        <v>2</v>
      </c>
      <c r="J4482" s="406" t="s">
        <v>1125</v>
      </c>
      <c r="K4482" s="403">
        <v>41727</v>
      </c>
      <c r="L4482" s="398">
        <v>41718</v>
      </c>
      <c r="M4482" s="402">
        <f t="shared" si="261"/>
        <v>9</v>
      </c>
      <c r="N4482" s="402" t="s">
        <v>2</v>
      </c>
      <c r="O4482" s="404">
        <v>2.4</v>
      </c>
      <c r="P4482" s="402">
        <v>7.4</v>
      </c>
      <c r="Q4482" s="404">
        <v>6.8</v>
      </c>
      <c r="R4482" s="402">
        <v>30</v>
      </c>
      <c r="S4482" s="404">
        <v>20</v>
      </c>
      <c r="T4482" s="402">
        <v>0.08</v>
      </c>
      <c r="U4482" s="395">
        <v>0.87</v>
      </c>
      <c r="V4482" s="402">
        <v>0.57999999999999996</v>
      </c>
      <c r="W4482" s="404">
        <v>1.4999999999999999E-2</v>
      </c>
      <c r="X4482" s="402">
        <v>5.2999999999999999E-2</v>
      </c>
      <c r="Y4482" s="404">
        <f>0.03/2</f>
        <v>1.4999999999999999E-2</v>
      </c>
      <c r="Z4482" s="397"/>
      <c r="AA4482" s="399"/>
      <c r="AB4482" s="394"/>
      <c r="AC4482" s="402"/>
      <c r="AD4482" s="399"/>
      <c r="AE4482" s="402"/>
      <c r="AF4482" s="391"/>
      <c r="AG4482" s="394"/>
      <c r="AH4482" s="394"/>
      <c r="AI4482" s="394"/>
      <c r="AJ4482" s="394"/>
      <c r="AK4482" s="394"/>
      <c r="AL4482" s="394"/>
      <c r="AM4482" s="394"/>
      <c r="AN4482" s="394"/>
      <c r="AO4482" s="394"/>
      <c r="AP4482" s="394"/>
      <c r="AQ4482" s="394"/>
      <c r="AR4482" s="394"/>
      <c r="AS4482" s="402"/>
      <c r="AT4482" s="404"/>
      <c r="AU4482" s="394"/>
      <c r="AV4482" s="394"/>
    </row>
    <row r="4483" spans="1:48" ht="15" customHeight="1">
      <c r="A4483" s="404" t="s">
        <v>4668</v>
      </c>
      <c r="B4483" s="402" t="s">
        <v>1967</v>
      </c>
      <c r="C4483" s="113" t="s">
        <v>1967</v>
      </c>
      <c r="D4483" s="393" t="s">
        <v>188</v>
      </c>
      <c r="E4483" s="394" t="s">
        <v>1968</v>
      </c>
      <c r="G4483" s="405" t="s">
        <v>1969</v>
      </c>
      <c r="H4483" s="404">
        <v>2891</v>
      </c>
      <c r="I4483" s="402" t="s">
        <v>2</v>
      </c>
      <c r="J4483" s="406" t="s">
        <v>1126</v>
      </c>
      <c r="K4483" s="403">
        <v>41727</v>
      </c>
      <c r="L4483" s="398">
        <v>41718</v>
      </c>
      <c r="M4483" s="402">
        <f t="shared" si="261"/>
        <v>9</v>
      </c>
      <c r="N4483" s="402" t="s">
        <v>2</v>
      </c>
      <c r="O4483" s="404">
        <f>2/2</f>
        <v>1</v>
      </c>
      <c r="P4483" s="402">
        <v>7.4</v>
      </c>
      <c r="Q4483" s="404">
        <v>6.7</v>
      </c>
      <c r="R4483" s="402">
        <f>10/2</f>
        <v>5</v>
      </c>
      <c r="S4483" s="404">
        <v>1</v>
      </c>
      <c r="T4483" s="402">
        <f>0.05/2</f>
        <v>2.5000000000000001E-2</v>
      </c>
      <c r="U4483" s="395">
        <v>0.31</v>
      </c>
      <c r="V4483" s="402">
        <v>3.93</v>
      </c>
      <c r="W4483" s="404">
        <f>0.01/2</f>
        <v>5.0000000000000001E-3</v>
      </c>
      <c r="X4483" s="402">
        <v>5.2999999999999999E-2</v>
      </c>
      <c r="Y4483" s="404">
        <f>0.03/2</f>
        <v>1.4999999999999999E-2</v>
      </c>
      <c r="Z4483" s="397"/>
      <c r="AA4483" s="399"/>
      <c r="AB4483" s="394"/>
      <c r="AC4483" s="402"/>
      <c r="AD4483" s="399"/>
      <c r="AE4483" s="402"/>
      <c r="AF4483" s="391"/>
      <c r="AG4483" s="394"/>
      <c r="AH4483" s="394"/>
      <c r="AI4483" s="394"/>
      <c r="AJ4483" s="394"/>
      <c r="AK4483" s="394"/>
      <c r="AL4483" s="394"/>
      <c r="AM4483" s="394"/>
      <c r="AN4483" s="394"/>
      <c r="AO4483" s="394"/>
      <c r="AP4483" s="394"/>
      <c r="AQ4483" s="394"/>
      <c r="AR4483" s="394"/>
      <c r="AS4483" s="402"/>
      <c r="AT4483" s="404"/>
      <c r="AU4483" s="394"/>
      <c r="AV4483" s="394"/>
    </row>
    <row r="4484" spans="1:48" ht="15" customHeight="1">
      <c r="A4484" s="404" t="s">
        <v>4668</v>
      </c>
      <c r="B4484" s="402" t="s">
        <v>40</v>
      </c>
      <c r="C4484" s="113" t="s">
        <v>40</v>
      </c>
      <c r="D4484" s="393" t="s">
        <v>41</v>
      </c>
      <c r="E4484" s="394" t="s">
        <v>42</v>
      </c>
      <c r="F4484" s="47" t="s">
        <v>5216</v>
      </c>
      <c r="G4484" s="405" t="s">
        <v>43</v>
      </c>
      <c r="H4484" s="404">
        <v>3728</v>
      </c>
      <c r="I4484" s="402" t="s">
        <v>2</v>
      </c>
      <c r="J4484" s="401" t="s">
        <v>45</v>
      </c>
      <c r="K4484" s="403">
        <v>41799</v>
      </c>
      <c r="L4484" s="398">
        <v>41795</v>
      </c>
      <c r="M4484" s="402">
        <f t="shared" si="261"/>
        <v>4</v>
      </c>
      <c r="N4484" s="402" t="s">
        <v>2</v>
      </c>
      <c r="O4484" s="404"/>
      <c r="P4484" s="402">
        <v>7.12</v>
      </c>
      <c r="Q4484" s="404"/>
      <c r="R4484" s="402"/>
      <c r="S4484" s="404"/>
      <c r="T4484" s="402"/>
      <c r="U4484" s="395">
        <v>4.82</v>
      </c>
      <c r="V4484" s="402"/>
      <c r="W4484" s="404"/>
      <c r="X4484" s="402">
        <v>0.24</v>
      </c>
      <c r="Y4484" s="404"/>
      <c r="Z4484" s="397"/>
      <c r="AA4484" s="399"/>
      <c r="AB4484" s="394"/>
      <c r="AC4484" s="402"/>
      <c r="AD4484" s="399"/>
      <c r="AE4484" s="402"/>
      <c r="AF4484" s="391"/>
      <c r="AG4484" s="394"/>
      <c r="AH4484" s="394"/>
      <c r="AI4484" s="394"/>
      <c r="AJ4484" s="394"/>
      <c r="AK4484" s="394"/>
      <c r="AL4484" s="394"/>
      <c r="AM4484" s="394"/>
      <c r="AN4484" s="394"/>
      <c r="AO4484" s="394"/>
      <c r="AP4484" s="394"/>
      <c r="AQ4484" s="394"/>
      <c r="AR4484" s="394"/>
      <c r="AS4484" s="402"/>
      <c r="AT4484" s="404"/>
      <c r="AU4484" s="394"/>
      <c r="AV4484" s="394"/>
    </row>
    <row r="4485" spans="1:48" ht="15" customHeight="1">
      <c r="A4485" s="404" t="s">
        <v>4668</v>
      </c>
      <c r="B4485" s="402" t="s">
        <v>40</v>
      </c>
      <c r="C4485" s="113" t="s">
        <v>40</v>
      </c>
      <c r="D4485" s="393" t="s">
        <v>41</v>
      </c>
      <c r="E4485" s="394" t="s">
        <v>42</v>
      </c>
      <c r="F4485" s="47" t="s">
        <v>5216</v>
      </c>
      <c r="G4485" s="405" t="s">
        <v>43</v>
      </c>
      <c r="H4485" s="404">
        <v>3728</v>
      </c>
      <c r="I4485" s="402" t="s">
        <v>2</v>
      </c>
      <c r="J4485" s="401" t="s">
        <v>46</v>
      </c>
      <c r="K4485" s="403">
        <v>41799</v>
      </c>
      <c r="L4485" s="398">
        <v>41795</v>
      </c>
      <c r="M4485" s="402">
        <f t="shared" si="261"/>
        <v>4</v>
      </c>
      <c r="N4485" s="402" t="s">
        <v>2</v>
      </c>
      <c r="O4485" s="404"/>
      <c r="P4485" s="402">
        <v>7.12</v>
      </c>
      <c r="Q4485" s="404"/>
      <c r="R4485" s="402">
        <v>105</v>
      </c>
      <c r="S4485" s="404"/>
      <c r="T4485" s="402"/>
      <c r="U4485" s="395"/>
      <c r="V4485" s="402"/>
      <c r="W4485" s="404"/>
      <c r="X4485" s="402"/>
      <c r="Y4485" s="404"/>
      <c r="Z4485" s="397"/>
      <c r="AA4485" s="399"/>
      <c r="AB4485" s="394"/>
      <c r="AC4485" s="402"/>
      <c r="AD4485" s="399"/>
      <c r="AE4485" s="402"/>
      <c r="AF4485" s="391"/>
      <c r="AG4485" s="394"/>
      <c r="AH4485" s="394"/>
      <c r="AI4485" s="394"/>
      <c r="AJ4485" s="394"/>
      <c r="AK4485" s="394"/>
      <c r="AL4485" s="394"/>
      <c r="AM4485" s="394"/>
      <c r="AN4485" s="394"/>
      <c r="AO4485" s="394"/>
      <c r="AP4485" s="394"/>
      <c r="AQ4485" s="394"/>
      <c r="AR4485" s="394"/>
      <c r="AS4485" s="402"/>
      <c r="AT4485" s="404"/>
      <c r="AU4485" s="394"/>
      <c r="AV4485" s="394"/>
    </row>
    <row r="4486" spans="1:48" ht="15" customHeight="1">
      <c r="A4486" s="404" t="s">
        <v>4668</v>
      </c>
      <c r="B4486" s="402" t="s">
        <v>40</v>
      </c>
      <c r="C4486" s="113" t="s">
        <v>40</v>
      </c>
      <c r="D4486" s="393" t="s">
        <v>41</v>
      </c>
      <c r="E4486" s="394" t="s">
        <v>42</v>
      </c>
      <c r="F4486" s="47" t="s">
        <v>5216</v>
      </c>
      <c r="G4486" s="405" t="s">
        <v>43</v>
      </c>
      <c r="H4486" s="404">
        <v>3728</v>
      </c>
      <c r="I4486" s="402" t="s">
        <v>2</v>
      </c>
      <c r="J4486" s="401" t="s">
        <v>6569</v>
      </c>
      <c r="K4486" s="403">
        <v>41799</v>
      </c>
      <c r="L4486" s="398">
        <v>41795</v>
      </c>
      <c r="M4486" s="402">
        <f t="shared" si="261"/>
        <v>4</v>
      </c>
      <c r="N4486" s="402" t="s">
        <v>2</v>
      </c>
      <c r="O4486" s="404"/>
      <c r="P4486" s="402">
        <v>7.12</v>
      </c>
      <c r="Q4486" s="404"/>
      <c r="R4486" s="402"/>
      <c r="S4486" s="404"/>
      <c r="T4486" s="402"/>
      <c r="U4486" s="395">
        <v>1.97</v>
      </c>
      <c r="V4486" s="402"/>
      <c r="W4486" s="404"/>
      <c r="X4486" s="402"/>
      <c r="Y4486" s="404"/>
      <c r="Z4486" s="397"/>
      <c r="AA4486" s="399"/>
      <c r="AB4486" s="394"/>
      <c r="AC4486" s="402"/>
      <c r="AD4486" s="399"/>
      <c r="AE4486" s="402"/>
      <c r="AF4486" s="391"/>
      <c r="AG4486" s="394"/>
      <c r="AH4486" s="394"/>
      <c r="AI4486" s="394"/>
      <c r="AJ4486" s="394"/>
      <c r="AK4486" s="394"/>
      <c r="AL4486" s="394"/>
      <c r="AM4486" s="394"/>
      <c r="AN4486" s="394"/>
      <c r="AO4486" s="394"/>
      <c r="AP4486" s="394"/>
      <c r="AQ4486" s="394"/>
      <c r="AR4486" s="394"/>
      <c r="AS4486" s="402"/>
      <c r="AT4486" s="404"/>
      <c r="AU4486" s="394"/>
      <c r="AV4486" s="394"/>
    </row>
    <row r="4487" spans="1:48" ht="15" customHeight="1">
      <c r="A4487" s="404" t="s">
        <v>4668</v>
      </c>
      <c r="B4487" s="386" t="s">
        <v>666</v>
      </c>
      <c r="C4487" s="149" t="s">
        <v>6244</v>
      </c>
      <c r="D4487" s="392" t="s">
        <v>251</v>
      </c>
      <c r="E4487" s="258" t="s">
        <v>823</v>
      </c>
      <c r="F4487" s="402">
        <v>4401</v>
      </c>
      <c r="G4487" s="405" t="s">
        <v>824</v>
      </c>
      <c r="H4487" s="404">
        <v>3724</v>
      </c>
      <c r="I4487" s="402" t="s">
        <v>2</v>
      </c>
      <c r="J4487" s="392" t="s">
        <v>669</v>
      </c>
      <c r="K4487" s="403">
        <v>41759</v>
      </c>
      <c r="L4487" s="398">
        <v>41755</v>
      </c>
      <c r="M4487" s="402">
        <f t="shared" si="261"/>
        <v>4</v>
      </c>
      <c r="N4487" s="402" t="s">
        <v>2</v>
      </c>
      <c r="O4487" s="404">
        <f>5/2</f>
        <v>2.5</v>
      </c>
      <c r="P4487" s="402">
        <v>5.07</v>
      </c>
      <c r="Q4487" s="404">
        <v>5.99</v>
      </c>
      <c r="R4487" s="402">
        <v>6</v>
      </c>
      <c r="S4487" s="404">
        <v>8</v>
      </c>
      <c r="T4487" s="402">
        <f>0.1/2</f>
        <v>0.05</v>
      </c>
      <c r="U4487" s="395">
        <f>1/2</f>
        <v>0.5</v>
      </c>
      <c r="V4487" s="402">
        <v>0.15</v>
      </c>
      <c r="W4487" s="404">
        <f>0.04/2</f>
        <v>0.02</v>
      </c>
      <c r="X4487" s="402">
        <v>4.4999999999999998E-2</v>
      </c>
      <c r="Y4487" s="404">
        <f>0.013/2</f>
        <v>6.4999999999999997E-3</v>
      </c>
      <c r="Z4487" s="397"/>
      <c r="AA4487" s="399"/>
      <c r="AB4487" s="394"/>
      <c r="AC4487" s="402"/>
      <c r="AD4487" s="399"/>
      <c r="AE4487" s="402"/>
      <c r="AF4487" s="391"/>
      <c r="AG4487" s="394"/>
      <c r="AH4487" s="394"/>
      <c r="AI4487" s="394"/>
      <c r="AJ4487" s="394"/>
      <c r="AK4487" s="394"/>
      <c r="AL4487" s="394"/>
      <c r="AM4487" s="394"/>
      <c r="AN4487" s="394"/>
      <c r="AO4487" s="394"/>
      <c r="AP4487" s="394"/>
      <c r="AQ4487" s="394"/>
      <c r="AR4487" s="394"/>
      <c r="AS4487" s="402"/>
      <c r="AT4487" s="404"/>
      <c r="AU4487" s="394"/>
      <c r="AV4487" s="394"/>
    </row>
    <row r="4488" spans="1:48" ht="15" customHeight="1">
      <c r="A4488" s="404" t="s">
        <v>4668</v>
      </c>
      <c r="B4488" s="386" t="s">
        <v>666</v>
      </c>
      <c r="C4488" s="149" t="s">
        <v>6244</v>
      </c>
      <c r="D4488" s="392" t="s">
        <v>251</v>
      </c>
      <c r="E4488" s="258" t="s">
        <v>823</v>
      </c>
      <c r="F4488" s="402">
        <v>4401</v>
      </c>
      <c r="G4488" s="405" t="s">
        <v>824</v>
      </c>
      <c r="H4488" s="404">
        <v>3724</v>
      </c>
      <c r="I4488" s="402" t="s">
        <v>2</v>
      </c>
      <c r="J4488" s="392" t="s">
        <v>676</v>
      </c>
      <c r="K4488" s="403">
        <v>41759</v>
      </c>
      <c r="L4488" s="398">
        <v>41755</v>
      </c>
      <c r="M4488" s="402">
        <f t="shared" si="261"/>
        <v>4</v>
      </c>
      <c r="N4488" s="402" t="s">
        <v>2</v>
      </c>
      <c r="O4488" s="404">
        <f>5/2</f>
        <v>2.5</v>
      </c>
      <c r="P4488" s="402">
        <v>5.07</v>
      </c>
      <c r="Q4488" s="404">
        <v>7.24</v>
      </c>
      <c r="R4488" s="402">
        <v>33</v>
      </c>
      <c r="S4488" s="404">
        <v>29</v>
      </c>
      <c r="T4488" s="402">
        <v>0.11</v>
      </c>
      <c r="U4488" s="395">
        <f>1/2</f>
        <v>0.5</v>
      </c>
      <c r="V4488" s="402">
        <v>0.5</v>
      </c>
      <c r="W4488" s="404">
        <f>0.04/2</f>
        <v>0.02</v>
      </c>
      <c r="X4488" s="402">
        <v>6.6000000000000003E-2</v>
      </c>
      <c r="Y4488" s="404">
        <f>0.013/2</f>
        <v>6.4999999999999997E-3</v>
      </c>
      <c r="Z4488" s="397"/>
      <c r="AA4488" s="399"/>
      <c r="AB4488" s="394"/>
      <c r="AC4488" s="402"/>
      <c r="AD4488" s="399"/>
      <c r="AE4488" s="402"/>
      <c r="AF4488" s="391"/>
      <c r="AG4488" s="394"/>
      <c r="AH4488" s="394"/>
      <c r="AI4488" s="394"/>
      <c r="AJ4488" s="394"/>
      <c r="AK4488" s="394"/>
      <c r="AL4488" s="394"/>
      <c r="AM4488" s="394"/>
      <c r="AN4488" s="394"/>
      <c r="AO4488" s="394"/>
      <c r="AP4488" s="394"/>
      <c r="AQ4488" s="394"/>
      <c r="AR4488" s="394"/>
      <c r="AS4488" s="402"/>
      <c r="AT4488" s="404"/>
      <c r="AU4488" s="394"/>
      <c r="AV4488" s="394"/>
    </row>
    <row r="4489" spans="1:48" ht="15" customHeight="1">
      <c r="A4489" s="404" t="s">
        <v>4668</v>
      </c>
      <c r="B4489" s="386" t="s">
        <v>666</v>
      </c>
      <c r="C4489" s="149" t="s">
        <v>6245</v>
      </c>
      <c r="D4489" s="393" t="s">
        <v>251</v>
      </c>
      <c r="E4489" s="394" t="s">
        <v>6246</v>
      </c>
      <c r="F4489" s="402">
        <v>4401</v>
      </c>
      <c r="G4489" s="405" t="s">
        <v>668</v>
      </c>
      <c r="H4489" s="404">
        <v>3724</v>
      </c>
      <c r="I4489" s="402" t="s">
        <v>2</v>
      </c>
      <c r="J4489" s="406" t="s">
        <v>669</v>
      </c>
      <c r="K4489" s="403">
        <v>41759</v>
      </c>
      <c r="L4489" s="398">
        <v>41755</v>
      </c>
      <c r="M4489" s="402">
        <f t="shared" si="261"/>
        <v>4</v>
      </c>
      <c r="N4489" s="402" t="s">
        <v>2</v>
      </c>
      <c r="O4489" s="404">
        <f>5/2</f>
        <v>2.5</v>
      </c>
      <c r="P4489" s="402">
        <v>5.07</v>
      </c>
      <c r="Q4489" s="404">
        <v>4.04</v>
      </c>
      <c r="R4489" s="402">
        <f>5/2</f>
        <v>2.5</v>
      </c>
      <c r="S4489" s="404">
        <v>12</v>
      </c>
      <c r="T4489" s="402">
        <f>0.1/2</f>
        <v>0.05</v>
      </c>
      <c r="U4489" s="395">
        <f>1/2</f>
        <v>0.5</v>
      </c>
      <c r="V4489" s="402">
        <v>0.15</v>
      </c>
      <c r="W4489" s="404">
        <f>0.04/2</f>
        <v>0.02</v>
      </c>
      <c r="X4489" s="402">
        <v>0.12</v>
      </c>
      <c r="Y4489" s="404">
        <f>0.013/2</f>
        <v>6.4999999999999997E-3</v>
      </c>
      <c r="Z4489" s="397"/>
      <c r="AA4489" s="399"/>
      <c r="AB4489" s="394"/>
      <c r="AC4489" s="402"/>
      <c r="AD4489" s="399"/>
      <c r="AE4489" s="402"/>
      <c r="AF4489" s="391"/>
      <c r="AG4489" s="394"/>
      <c r="AH4489" s="394"/>
      <c r="AI4489" s="394"/>
      <c r="AJ4489" s="394"/>
      <c r="AK4489" s="394"/>
      <c r="AL4489" s="394"/>
      <c r="AM4489" s="394"/>
      <c r="AN4489" s="394"/>
      <c r="AO4489" s="394"/>
      <c r="AP4489" s="394"/>
      <c r="AQ4489" s="394"/>
      <c r="AR4489" s="394"/>
      <c r="AS4489" s="402"/>
      <c r="AT4489" s="404"/>
      <c r="AU4489" s="394"/>
      <c r="AV4489" s="394"/>
    </row>
    <row r="4490" spans="1:48" ht="15" customHeight="1">
      <c r="A4490" s="404" t="s">
        <v>4668</v>
      </c>
      <c r="B4490" s="402" t="s">
        <v>666</v>
      </c>
      <c r="C4490" s="113" t="s">
        <v>666</v>
      </c>
      <c r="D4490" s="393" t="s">
        <v>213</v>
      </c>
      <c r="E4490" s="394" t="s">
        <v>2087</v>
      </c>
      <c r="F4490" s="402">
        <v>4315</v>
      </c>
      <c r="G4490" s="405" t="s">
        <v>6328</v>
      </c>
      <c r="H4490" s="404">
        <v>3724</v>
      </c>
      <c r="I4490" s="402" t="s">
        <v>1</v>
      </c>
      <c r="J4490" s="406" t="s">
        <v>510</v>
      </c>
      <c r="K4490" s="403">
        <v>41759</v>
      </c>
      <c r="L4490" s="398">
        <v>41755</v>
      </c>
      <c r="M4490" s="402">
        <f t="shared" ref="M4490:M4550" si="262">K4490-L4490</f>
        <v>4</v>
      </c>
      <c r="N4490" s="402" t="s">
        <v>2</v>
      </c>
      <c r="O4490" s="404">
        <f>1.4/2</f>
        <v>0.7</v>
      </c>
      <c r="P4490" s="402">
        <v>5.07</v>
      </c>
      <c r="Q4490" s="404">
        <v>7.19</v>
      </c>
      <c r="R4490" s="402">
        <v>48</v>
      </c>
      <c r="S4490" s="404">
        <f>5/2</f>
        <v>2.5</v>
      </c>
      <c r="T4490" s="402">
        <v>0.02</v>
      </c>
      <c r="U4490" s="395">
        <v>0.53</v>
      </c>
      <c r="V4490" s="402">
        <v>0.49</v>
      </c>
      <c r="W4490" s="404">
        <f>0.005/2</f>
        <v>2.5000000000000001E-3</v>
      </c>
      <c r="X4490" s="402">
        <v>7.1999999999999995E-2</v>
      </c>
      <c r="Y4490" s="404">
        <f>0.002/2</f>
        <v>1E-3</v>
      </c>
      <c r="Z4490" s="397"/>
      <c r="AA4490" s="399"/>
      <c r="AB4490" s="394"/>
      <c r="AC4490" s="402"/>
      <c r="AD4490" s="399"/>
      <c r="AE4490" s="402"/>
      <c r="AF4490" s="391"/>
      <c r="AG4490" s="394"/>
      <c r="AH4490" s="394"/>
      <c r="AI4490" s="394"/>
      <c r="AJ4490" s="394"/>
      <c r="AK4490" s="394"/>
      <c r="AL4490" s="394"/>
      <c r="AM4490" s="394"/>
      <c r="AN4490" s="394"/>
      <c r="AO4490" s="394"/>
      <c r="AP4490" s="394"/>
      <c r="AQ4490" s="394"/>
      <c r="AR4490" s="394"/>
      <c r="AS4490" s="402"/>
      <c r="AT4490" s="404"/>
      <c r="AU4490" s="394"/>
      <c r="AV4490" s="394"/>
    </row>
    <row r="4491" spans="1:48" ht="15" customHeight="1">
      <c r="A4491" s="404" t="s">
        <v>4668</v>
      </c>
      <c r="B4491" s="402" t="s">
        <v>4439</v>
      </c>
      <c r="C4491" s="113" t="s">
        <v>4439</v>
      </c>
      <c r="D4491" s="393" t="s">
        <v>251</v>
      </c>
      <c r="E4491" s="394" t="s">
        <v>4440</v>
      </c>
      <c r="F4491" s="402">
        <v>4402</v>
      </c>
      <c r="G4491" s="405" t="s">
        <v>4441</v>
      </c>
      <c r="H4491" s="404">
        <v>3724</v>
      </c>
      <c r="I4491" s="402" t="s">
        <v>1</v>
      </c>
      <c r="J4491" s="406" t="s">
        <v>115</v>
      </c>
      <c r="K4491" s="403">
        <v>41781</v>
      </c>
      <c r="L4491" s="398">
        <v>41776</v>
      </c>
      <c r="M4491" s="402">
        <f t="shared" si="262"/>
        <v>5</v>
      </c>
      <c r="N4491" s="402" t="s">
        <v>2</v>
      </c>
      <c r="O4491" s="404"/>
      <c r="P4491" s="402"/>
      <c r="Q4491" s="404"/>
      <c r="R4491" s="402"/>
      <c r="S4491" s="404"/>
      <c r="T4491" s="402"/>
      <c r="U4491" s="395"/>
      <c r="V4491" s="402">
        <v>0.34</v>
      </c>
      <c r="W4491" s="404"/>
      <c r="X4491" s="402"/>
      <c r="Y4491" s="404"/>
      <c r="Z4491" s="397"/>
      <c r="AA4491" s="399"/>
      <c r="AB4491" s="394"/>
      <c r="AC4491" s="402"/>
      <c r="AD4491" s="399"/>
      <c r="AE4491" s="402"/>
      <c r="AF4491" s="391"/>
      <c r="AG4491" s="394"/>
      <c r="AH4491" s="394"/>
      <c r="AI4491" s="394"/>
      <c r="AJ4491" s="394"/>
      <c r="AK4491" s="394"/>
      <c r="AL4491" s="394"/>
      <c r="AM4491" s="394"/>
      <c r="AN4491" s="394"/>
      <c r="AO4491" s="394"/>
      <c r="AP4491" s="394"/>
      <c r="AQ4491" s="394"/>
      <c r="AR4491" s="394"/>
      <c r="AS4491" s="402"/>
      <c r="AT4491" s="404"/>
      <c r="AU4491" s="394"/>
      <c r="AV4491" s="394"/>
    </row>
    <row r="4492" spans="1:48" ht="15" customHeight="1">
      <c r="A4492" s="404" t="s">
        <v>4668</v>
      </c>
      <c r="B4492" s="402" t="s">
        <v>232</v>
      </c>
      <c r="C4492" s="113" t="s">
        <v>232</v>
      </c>
      <c r="D4492" s="393" t="s">
        <v>234</v>
      </c>
      <c r="E4492" s="394" t="s">
        <v>235</v>
      </c>
      <c r="F4492" s="401" t="s">
        <v>6223</v>
      </c>
      <c r="G4492" s="405" t="s">
        <v>236</v>
      </c>
      <c r="H4492" s="404">
        <v>4952</v>
      </c>
      <c r="I4492" s="402" t="s">
        <v>1</v>
      </c>
      <c r="J4492" s="401" t="s">
        <v>238</v>
      </c>
      <c r="K4492" s="403">
        <v>41781</v>
      </c>
      <c r="L4492" s="398">
        <v>41775</v>
      </c>
      <c r="M4492" s="402">
        <f t="shared" si="262"/>
        <v>6</v>
      </c>
      <c r="N4492" s="402" t="s">
        <v>2</v>
      </c>
      <c r="O4492" s="404">
        <f>1/2</f>
        <v>0.5</v>
      </c>
      <c r="P4492" s="402">
        <v>6.08</v>
      </c>
      <c r="Q4492" s="404">
        <v>7.06</v>
      </c>
      <c r="R4492" s="402">
        <v>36.799999999999997</v>
      </c>
      <c r="S4492" s="404">
        <v>6</v>
      </c>
      <c r="T4492" s="402">
        <v>0.18</v>
      </c>
      <c r="U4492" s="395">
        <v>1.71</v>
      </c>
      <c r="V4492" s="402">
        <v>0.67</v>
      </c>
      <c r="W4492" s="404">
        <v>0.03</v>
      </c>
      <c r="X4492" s="402">
        <v>0.05</v>
      </c>
      <c r="Y4492" s="404">
        <f>0.02/2</f>
        <v>0.01</v>
      </c>
      <c r="Z4492" s="397"/>
      <c r="AA4492" s="399"/>
      <c r="AB4492" s="394"/>
      <c r="AC4492" s="402"/>
      <c r="AD4492" s="399"/>
      <c r="AE4492" s="402"/>
      <c r="AF4492" s="391"/>
      <c r="AG4492" s="394"/>
      <c r="AH4492" s="394"/>
      <c r="AI4492" s="394"/>
      <c r="AJ4492" s="394"/>
      <c r="AK4492" s="394"/>
      <c r="AL4492" s="394"/>
      <c r="AM4492" s="394"/>
      <c r="AN4492" s="394"/>
      <c r="AO4492" s="394"/>
      <c r="AP4492" s="394"/>
      <c r="AQ4492" s="394"/>
      <c r="AR4492" s="394"/>
      <c r="AS4492" s="402"/>
      <c r="AT4492" s="404"/>
      <c r="AU4492" s="394"/>
      <c r="AV4492" s="394"/>
    </row>
    <row r="4493" spans="1:48" ht="15" customHeight="1">
      <c r="A4493" s="404" t="s">
        <v>4668</v>
      </c>
      <c r="B4493" s="402" t="s">
        <v>232</v>
      </c>
      <c r="C4493" s="113" t="s">
        <v>232</v>
      </c>
      <c r="D4493" s="393" t="s">
        <v>234</v>
      </c>
      <c r="E4493" s="394" t="s">
        <v>235</v>
      </c>
      <c r="F4493" s="401" t="s">
        <v>6223</v>
      </c>
      <c r="G4493" s="405" t="s">
        <v>236</v>
      </c>
      <c r="H4493" s="404">
        <v>4952</v>
      </c>
      <c r="I4493" s="402" t="s">
        <v>1</v>
      </c>
      <c r="J4493" s="401" t="s">
        <v>237</v>
      </c>
      <c r="K4493" s="403">
        <v>41781</v>
      </c>
      <c r="L4493" s="398">
        <v>41775</v>
      </c>
      <c r="M4493" s="402">
        <f t="shared" si="262"/>
        <v>6</v>
      </c>
      <c r="N4493" s="402" t="s">
        <v>2</v>
      </c>
      <c r="O4493" s="404">
        <f>1/2</f>
        <v>0.5</v>
      </c>
      <c r="P4493" s="402">
        <v>6.32</v>
      </c>
      <c r="Q4493" s="404">
        <v>6.86</v>
      </c>
      <c r="R4493" s="402">
        <v>28</v>
      </c>
      <c r="S4493" s="404">
        <v>6</v>
      </c>
      <c r="T4493" s="402">
        <v>0.1</v>
      </c>
      <c r="U4493" s="395">
        <v>1.82</v>
      </c>
      <c r="V4493" s="402">
        <v>0.7</v>
      </c>
      <c r="W4493" s="404">
        <v>0.02</v>
      </c>
      <c r="X4493" s="402">
        <v>0.04</v>
      </c>
      <c r="Y4493" s="404">
        <f>0.02/2</f>
        <v>0.01</v>
      </c>
      <c r="Z4493" s="397"/>
      <c r="AA4493" s="399"/>
      <c r="AB4493" s="394"/>
      <c r="AC4493" s="402"/>
      <c r="AD4493" s="399"/>
      <c r="AE4493" s="402"/>
      <c r="AF4493" s="391"/>
      <c r="AG4493" s="394"/>
      <c r="AH4493" s="394"/>
      <c r="AI4493" s="394"/>
      <c r="AJ4493" s="394"/>
      <c r="AK4493" s="394"/>
      <c r="AL4493" s="394"/>
      <c r="AM4493" s="394"/>
      <c r="AN4493" s="394"/>
      <c r="AO4493" s="394"/>
      <c r="AP4493" s="394"/>
      <c r="AQ4493" s="394"/>
      <c r="AR4493" s="394"/>
      <c r="AS4493" s="402"/>
      <c r="AT4493" s="404"/>
      <c r="AU4493" s="394"/>
      <c r="AV4493" s="394"/>
    </row>
    <row r="4494" spans="1:48" ht="15" customHeight="1">
      <c r="A4494" s="404" t="s">
        <v>4668</v>
      </c>
      <c r="B4494" s="402" t="s">
        <v>2175</v>
      </c>
      <c r="C4494" s="113" t="s">
        <v>2175</v>
      </c>
      <c r="D4494" s="393" t="s">
        <v>559</v>
      </c>
      <c r="E4494" s="394" t="s">
        <v>2176</v>
      </c>
      <c r="F4494" s="401" t="s">
        <v>6541</v>
      </c>
      <c r="G4494" s="405" t="s">
        <v>2177</v>
      </c>
      <c r="H4494" s="404">
        <v>3492</v>
      </c>
      <c r="I4494" s="402" t="s">
        <v>2</v>
      </c>
      <c r="J4494" s="401" t="s">
        <v>2178</v>
      </c>
      <c r="K4494" s="403">
        <v>41744</v>
      </c>
      <c r="L4494" s="398">
        <v>41737</v>
      </c>
      <c r="M4494" s="402">
        <f t="shared" si="262"/>
        <v>7</v>
      </c>
      <c r="N4494" s="402" t="s">
        <v>2</v>
      </c>
      <c r="O4494" s="404"/>
      <c r="P4494" s="402"/>
      <c r="Q4494" s="404"/>
      <c r="R4494" s="402">
        <v>6.7</v>
      </c>
      <c r="S4494" s="404"/>
      <c r="T4494" s="402"/>
      <c r="U4494" s="395"/>
      <c r="V4494" s="402"/>
      <c r="W4494" s="404"/>
      <c r="X4494" s="402">
        <v>0.56599999999999995</v>
      </c>
      <c r="Y4494" s="404"/>
      <c r="Z4494" s="397">
        <v>0.46800000000000003</v>
      </c>
      <c r="AA4494" s="399">
        <v>0.377</v>
      </c>
      <c r="AB4494" s="394">
        <v>14</v>
      </c>
      <c r="AC4494" s="402">
        <v>145</v>
      </c>
      <c r="AD4494" s="399">
        <v>0</v>
      </c>
      <c r="AE4494" s="402"/>
      <c r="AF4494" s="391"/>
      <c r="AG4494" s="394"/>
      <c r="AH4494" s="394"/>
      <c r="AI4494" s="394"/>
      <c r="AJ4494" s="394"/>
      <c r="AK4494" s="394"/>
      <c r="AL4494" s="394"/>
      <c r="AM4494" s="394"/>
      <c r="AN4494" s="394"/>
      <c r="AO4494" s="394"/>
      <c r="AP4494" s="394"/>
      <c r="AQ4494" s="394"/>
      <c r="AR4494" s="394"/>
      <c r="AS4494" s="402"/>
      <c r="AT4494" s="404"/>
      <c r="AU4494" s="394"/>
      <c r="AV4494" s="394"/>
    </row>
    <row r="4495" spans="1:48" ht="15" customHeight="1">
      <c r="A4495" s="404" t="s">
        <v>4668</v>
      </c>
      <c r="B4495" s="402" t="s">
        <v>2175</v>
      </c>
      <c r="C4495" s="113" t="s">
        <v>2175</v>
      </c>
      <c r="D4495" s="393" t="s">
        <v>559</v>
      </c>
      <c r="E4495" s="394" t="s">
        <v>2176</v>
      </c>
      <c r="F4495" s="401" t="s">
        <v>6541</v>
      </c>
      <c r="G4495" s="405" t="s">
        <v>2177</v>
      </c>
      <c r="H4495" s="404">
        <v>3492</v>
      </c>
      <c r="I4495" s="402" t="s">
        <v>2</v>
      </c>
      <c r="J4495" s="401" t="s">
        <v>6570</v>
      </c>
      <c r="K4495" s="403">
        <v>41744</v>
      </c>
      <c r="L4495" s="398">
        <v>41737</v>
      </c>
      <c r="M4495" s="402">
        <f t="shared" si="262"/>
        <v>7</v>
      </c>
      <c r="N4495" s="402" t="s">
        <v>2</v>
      </c>
      <c r="O4495" s="404"/>
      <c r="P4495" s="402"/>
      <c r="Q4495" s="404"/>
      <c r="R4495" s="402">
        <v>6.6</v>
      </c>
      <c r="S4495" s="404"/>
      <c r="T4495" s="402"/>
      <c r="U4495" s="395"/>
      <c r="V4495" s="402"/>
      <c r="W4495" s="404"/>
      <c r="X4495" s="402">
        <v>0.23200000000000001</v>
      </c>
      <c r="Y4495" s="404"/>
      <c r="Z4495" s="397">
        <v>1</v>
      </c>
      <c r="AA4495" s="399">
        <v>1</v>
      </c>
      <c r="AB4495" s="394">
        <v>16</v>
      </c>
      <c r="AC4495" s="402">
        <v>128</v>
      </c>
      <c r="AD4495" s="399">
        <v>1</v>
      </c>
      <c r="AE4495" s="402"/>
      <c r="AF4495" s="391"/>
      <c r="AG4495" s="394"/>
      <c r="AH4495" s="394"/>
      <c r="AI4495" s="394"/>
      <c r="AJ4495" s="394"/>
      <c r="AK4495" s="394"/>
      <c r="AL4495" s="394"/>
      <c r="AM4495" s="394"/>
      <c r="AN4495" s="394"/>
      <c r="AO4495" s="394"/>
      <c r="AP4495" s="394"/>
      <c r="AQ4495" s="394"/>
      <c r="AR4495" s="394"/>
      <c r="AS4495" s="402"/>
      <c r="AT4495" s="404"/>
      <c r="AU4495" s="394"/>
      <c r="AV4495" s="394"/>
    </row>
    <row r="4496" spans="1:48" ht="15" customHeight="1">
      <c r="A4496" s="404" t="s">
        <v>4668</v>
      </c>
      <c r="B4496" s="402" t="s">
        <v>2175</v>
      </c>
      <c r="C4496" s="113" t="s">
        <v>2175</v>
      </c>
      <c r="D4496" s="393" t="s">
        <v>559</v>
      </c>
      <c r="E4496" s="394" t="s">
        <v>2176</v>
      </c>
      <c r="F4496" s="401" t="s">
        <v>6541</v>
      </c>
      <c r="G4496" s="405" t="s">
        <v>2177</v>
      </c>
      <c r="H4496" s="404">
        <v>3492</v>
      </c>
      <c r="I4496" s="402" t="s">
        <v>2</v>
      </c>
      <c r="J4496" s="401" t="s">
        <v>6570</v>
      </c>
      <c r="K4496" s="403">
        <v>41710</v>
      </c>
      <c r="L4496" s="398">
        <v>41706</v>
      </c>
      <c r="M4496" s="402">
        <f t="shared" si="262"/>
        <v>4</v>
      </c>
      <c r="N4496" s="402" t="s">
        <v>2</v>
      </c>
      <c r="O4496" s="404">
        <v>0.7</v>
      </c>
      <c r="P4496" s="402">
        <v>6.85</v>
      </c>
      <c r="Q4496" s="404">
        <v>7.69</v>
      </c>
      <c r="R4496" s="402">
        <v>17</v>
      </c>
      <c r="S4496" s="404">
        <v>16</v>
      </c>
      <c r="T4496" s="402">
        <v>0.04</v>
      </c>
      <c r="U4496" s="395">
        <v>0.31</v>
      </c>
      <c r="V4496" s="402">
        <v>0.1</v>
      </c>
      <c r="W4496" s="404">
        <v>2.5000000000000001E-3</v>
      </c>
      <c r="X4496" s="402">
        <v>1.7999999999999999E-2</v>
      </c>
      <c r="Y4496" s="404">
        <v>1E-3</v>
      </c>
      <c r="Z4496" s="397"/>
      <c r="AA4496" s="399"/>
      <c r="AB4496" s="394"/>
      <c r="AC4496" s="402"/>
      <c r="AD4496" s="399"/>
      <c r="AE4496" s="402"/>
      <c r="AF4496" s="391"/>
      <c r="AG4496" s="394"/>
      <c r="AH4496" s="394"/>
      <c r="AI4496" s="394"/>
      <c r="AJ4496" s="394"/>
      <c r="AK4496" s="394"/>
      <c r="AL4496" s="394"/>
      <c r="AM4496" s="394"/>
      <c r="AN4496" s="394"/>
      <c r="AO4496" s="394"/>
      <c r="AP4496" s="394"/>
      <c r="AQ4496" s="394"/>
      <c r="AR4496" s="394"/>
      <c r="AS4496" s="402"/>
      <c r="AT4496" s="404"/>
      <c r="AU4496" s="394"/>
      <c r="AV4496" s="394"/>
    </row>
    <row r="4497" spans="1:48" ht="15" customHeight="1">
      <c r="A4497" s="404" t="s">
        <v>4668</v>
      </c>
      <c r="B4497" s="402" t="s">
        <v>2175</v>
      </c>
      <c r="C4497" s="113" t="s">
        <v>2175</v>
      </c>
      <c r="D4497" s="393" t="s">
        <v>559</v>
      </c>
      <c r="E4497" s="394" t="s">
        <v>2176</v>
      </c>
      <c r="F4497" s="401" t="s">
        <v>6541</v>
      </c>
      <c r="G4497" s="405" t="s">
        <v>2177</v>
      </c>
      <c r="H4497" s="404">
        <v>3492</v>
      </c>
      <c r="I4497" s="402" t="s">
        <v>2</v>
      </c>
      <c r="J4497" s="401" t="s">
        <v>2178</v>
      </c>
      <c r="K4497" s="403">
        <v>41710</v>
      </c>
      <c r="L4497" s="398">
        <v>41706</v>
      </c>
      <c r="M4497" s="402">
        <f t="shared" si="262"/>
        <v>4</v>
      </c>
      <c r="N4497" s="402" t="s">
        <v>2</v>
      </c>
      <c r="O4497" s="404">
        <f>1.4/2</f>
        <v>0.7</v>
      </c>
      <c r="P4497" s="402">
        <v>6.4</v>
      </c>
      <c r="Q4497" s="404">
        <v>7.39</v>
      </c>
      <c r="R4497" s="402">
        <v>10</v>
      </c>
      <c r="S4497" s="404">
        <v>36</v>
      </c>
      <c r="T4497" s="402">
        <v>0.06</v>
      </c>
      <c r="U4497" s="395">
        <v>0.87</v>
      </c>
      <c r="V4497" s="402">
        <v>0.39</v>
      </c>
      <c r="W4497" s="404">
        <v>4.8000000000000001E-2</v>
      </c>
      <c r="X4497" s="402">
        <v>0.33500000000000002</v>
      </c>
      <c r="Y4497" s="404">
        <v>0.125</v>
      </c>
      <c r="Z4497" s="397"/>
      <c r="AA4497" s="399"/>
      <c r="AB4497" s="394"/>
      <c r="AC4497" s="402"/>
      <c r="AD4497" s="399"/>
      <c r="AE4497" s="402"/>
      <c r="AF4497" s="391"/>
      <c r="AG4497" s="394"/>
      <c r="AH4497" s="394"/>
      <c r="AI4497" s="394"/>
      <c r="AJ4497" s="394"/>
      <c r="AK4497" s="394"/>
      <c r="AL4497" s="394"/>
      <c r="AM4497" s="394"/>
      <c r="AN4497" s="394"/>
      <c r="AO4497" s="394"/>
      <c r="AP4497" s="394"/>
      <c r="AQ4497" s="394"/>
      <c r="AR4497" s="394"/>
      <c r="AS4497" s="402"/>
      <c r="AT4497" s="404"/>
      <c r="AU4497" s="394"/>
      <c r="AV4497" s="394"/>
    </row>
    <row r="4498" spans="1:48" ht="15" customHeight="1">
      <c r="A4498" s="404" t="s">
        <v>4668</v>
      </c>
      <c r="B4498" s="402" t="s">
        <v>2182</v>
      </c>
      <c r="C4498" s="113" t="s">
        <v>2182</v>
      </c>
      <c r="D4498" s="393" t="s">
        <v>2377</v>
      </c>
      <c r="E4498" s="394" t="s">
        <v>2183</v>
      </c>
      <c r="G4498" s="405" t="s">
        <v>2184</v>
      </c>
      <c r="H4498" s="404">
        <v>3499</v>
      </c>
      <c r="I4498" s="402" t="s">
        <v>2</v>
      </c>
      <c r="J4498" s="406" t="s">
        <v>114</v>
      </c>
      <c r="K4498" s="403">
        <v>41710</v>
      </c>
      <c r="L4498" s="398">
        <v>41675</v>
      </c>
      <c r="M4498" s="402">
        <f t="shared" si="262"/>
        <v>35</v>
      </c>
      <c r="N4498" s="402" t="s">
        <v>2</v>
      </c>
      <c r="O4498" s="404"/>
      <c r="P4498" s="402"/>
      <c r="Q4498" s="404"/>
      <c r="R4498" s="402"/>
      <c r="S4498" s="404"/>
      <c r="T4498" s="402"/>
      <c r="U4498" s="395"/>
      <c r="V4498" s="402"/>
      <c r="W4498" s="404"/>
      <c r="X4498" s="402">
        <v>0.114</v>
      </c>
      <c r="Y4498" s="404"/>
      <c r="Z4498" s="397"/>
      <c r="AA4498" s="399"/>
      <c r="AB4498" s="394"/>
      <c r="AC4498" s="402"/>
      <c r="AD4498" s="399"/>
      <c r="AE4498" s="402"/>
      <c r="AF4498" s="391"/>
      <c r="AG4498" s="394"/>
      <c r="AH4498" s="394"/>
      <c r="AI4498" s="394"/>
      <c r="AJ4498" s="394"/>
      <c r="AK4498" s="394"/>
      <c r="AL4498" s="394"/>
      <c r="AM4498" s="394"/>
      <c r="AN4498" s="394"/>
      <c r="AO4498" s="394"/>
      <c r="AP4498" s="394"/>
      <c r="AQ4498" s="394"/>
      <c r="AR4498" s="394"/>
      <c r="AS4498" s="402"/>
      <c r="AT4498" s="404"/>
      <c r="AU4498" s="394"/>
      <c r="AV4498" s="394"/>
    </row>
    <row r="4499" spans="1:48" ht="15" customHeight="1">
      <c r="A4499" s="404" t="s">
        <v>4668</v>
      </c>
      <c r="B4499" s="402" t="s">
        <v>5002</v>
      </c>
      <c r="C4499" s="113" t="s">
        <v>5002</v>
      </c>
      <c r="D4499" s="393" t="s">
        <v>6281</v>
      </c>
      <c r="E4499" s="394" t="s">
        <v>5003</v>
      </c>
      <c r="F4499" s="402" t="s">
        <v>5004</v>
      </c>
      <c r="G4499" s="405" t="s">
        <v>6282</v>
      </c>
      <c r="H4499" s="404" t="s">
        <v>5006</v>
      </c>
      <c r="I4499" s="402" t="s">
        <v>2</v>
      </c>
      <c r="J4499" s="406" t="s">
        <v>6571</v>
      </c>
      <c r="K4499" s="403">
        <v>41781</v>
      </c>
      <c r="L4499" s="398">
        <v>41777</v>
      </c>
      <c r="M4499" s="402">
        <f t="shared" si="262"/>
        <v>4</v>
      </c>
      <c r="N4499" s="402" t="s">
        <v>2</v>
      </c>
      <c r="O4499" s="404">
        <f>5/2</f>
        <v>2.5</v>
      </c>
      <c r="P4499" s="402">
        <v>6.48</v>
      </c>
      <c r="Q4499" s="404">
        <v>6.38</v>
      </c>
      <c r="R4499" s="402">
        <v>30</v>
      </c>
      <c r="S4499" s="404">
        <v>14</v>
      </c>
      <c r="T4499" s="402">
        <v>0.16</v>
      </c>
      <c r="U4499" s="395">
        <v>1.1000000000000001</v>
      </c>
      <c r="V4499" s="402">
        <v>0.32</v>
      </c>
      <c r="W4499" s="404">
        <f>0.04/2</f>
        <v>0.02</v>
      </c>
      <c r="X4499" s="402">
        <v>2.1999999999999999E-2</v>
      </c>
      <c r="Y4499" s="404">
        <f>0.013/2</f>
        <v>6.4999999999999997E-3</v>
      </c>
      <c r="Z4499" s="397">
        <v>1</v>
      </c>
      <c r="AA4499" s="399">
        <v>1</v>
      </c>
      <c r="AB4499" s="394">
        <v>3.9</v>
      </c>
      <c r="AC4499" s="402">
        <v>28</v>
      </c>
      <c r="AD4499" s="399">
        <v>1</v>
      </c>
      <c r="AE4499" s="402"/>
      <c r="AF4499" s="391"/>
      <c r="AG4499" s="394"/>
      <c r="AH4499" s="394"/>
      <c r="AI4499" s="394"/>
      <c r="AJ4499" s="394"/>
      <c r="AK4499" s="394"/>
      <c r="AL4499" s="394"/>
      <c r="AM4499" s="394"/>
      <c r="AN4499" s="394"/>
      <c r="AO4499" s="394"/>
      <c r="AP4499" s="394"/>
      <c r="AQ4499" s="394"/>
      <c r="AR4499" s="394"/>
      <c r="AS4499" s="402"/>
      <c r="AT4499" s="404"/>
      <c r="AU4499" s="394"/>
      <c r="AV4499" s="394"/>
    </row>
    <row r="4500" spans="1:48" ht="15" customHeight="1">
      <c r="A4500" s="404" t="s">
        <v>4668</v>
      </c>
      <c r="B4500" s="402" t="s">
        <v>4730</v>
      </c>
      <c r="C4500" s="113" t="s">
        <v>5298</v>
      </c>
      <c r="D4500" s="393" t="s">
        <v>4743</v>
      </c>
      <c r="E4500" s="394" t="s">
        <v>4732</v>
      </c>
      <c r="G4500" s="405" t="s">
        <v>4733</v>
      </c>
      <c r="H4500" s="404">
        <v>2421</v>
      </c>
      <c r="I4500" s="402" t="s">
        <v>2</v>
      </c>
      <c r="J4500" s="406" t="s">
        <v>1943</v>
      </c>
      <c r="K4500" s="403">
        <v>41775</v>
      </c>
      <c r="L4500" s="398">
        <v>41775</v>
      </c>
      <c r="M4500" s="402">
        <f t="shared" si="262"/>
        <v>0</v>
      </c>
      <c r="N4500" s="402" t="s">
        <v>2</v>
      </c>
      <c r="O4500" s="404">
        <f>2.7/2</f>
        <v>1.35</v>
      </c>
      <c r="P4500" s="402">
        <v>5.4</v>
      </c>
      <c r="Q4500" s="404">
        <v>6.27</v>
      </c>
      <c r="R4500" s="402">
        <v>13</v>
      </c>
      <c r="S4500" s="404">
        <v>17</v>
      </c>
      <c r="T4500" s="402">
        <v>0.03</v>
      </c>
      <c r="U4500" s="395">
        <v>0.46</v>
      </c>
      <c r="V4500" s="402">
        <f>0.01/2</f>
        <v>5.0000000000000001E-3</v>
      </c>
      <c r="W4500" s="404">
        <f>0.001/2</f>
        <v>5.0000000000000001E-4</v>
      </c>
      <c r="X4500" s="402">
        <v>3.0000000000000001E-3</v>
      </c>
      <c r="Y4500" s="404">
        <v>5.0000000000000001E-4</v>
      </c>
      <c r="Z4500" s="397"/>
      <c r="AA4500" s="399"/>
      <c r="AB4500" s="394"/>
      <c r="AC4500" s="402"/>
      <c r="AD4500" s="399"/>
      <c r="AE4500" s="402"/>
      <c r="AF4500" s="391"/>
      <c r="AG4500" s="394"/>
      <c r="AH4500" s="394"/>
      <c r="AI4500" s="394"/>
      <c r="AJ4500" s="394"/>
      <c r="AK4500" s="394"/>
      <c r="AL4500" s="394"/>
      <c r="AM4500" s="394"/>
      <c r="AN4500" s="394"/>
      <c r="AO4500" s="394"/>
      <c r="AP4500" s="394"/>
      <c r="AQ4500" s="394"/>
      <c r="AR4500" s="394"/>
      <c r="AS4500" s="402"/>
      <c r="AT4500" s="404"/>
      <c r="AU4500" s="394"/>
      <c r="AV4500" s="394"/>
    </row>
    <row r="4501" spans="1:48" ht="15" customHeight="1">
      <c r="A4501" s="404" t="s">
        <v>4668</v>
      </c>
      <c r="B4501" s="402" t="s">
        <v>956</v>
      </c>
      <c r="C4501" s="113" t="s">
        <v>4468</v>
      </c>
      <c r="D4501" s="393" t="s">
        <v>1896</v>
      </c>
      <c r="E4501" s="394" t="s">
        <v>4469</v>
      </c>
      <c r="G4501" s="405" t="s">
        <v>4470</v>
      </c>
      <c r="H4501" s="404">
        <v>4151</v>
      </c>
      <c r="I4501" s="402" t="s">
        <v>2</v>
      </c>
      <c r="J4501" s="406" t="s">
        <v>3144</v>
      </c>
      <c r="K4501" s="403">
        <v>41728</v>
      </c>
      <c r="L4501" s="398">
        <v>41718</v>
      </c>
      <c r="M4501" s="402">
        <f t="shared" si="262"/>
        <v>10</v>
      </c>
      <c r="N4501" s="402" t="s">
        <v>2</v>
      </c>
      <c r="O4501" s="404">
        <f>2/2</f>
        <v>1</v>
      </c>
      <c r="P4501" s="402">
        <v>6.4</v>
      </c>
      <c r="Q4501" s="404">
        <v>7.8</v>
      </c>
      <c r="R4501" s="402">
        <v>13</v>
      </c>
      <c r="S4501" s="404">
        <v>26</v>
      </c>
      <c r="T4501" s="402">
        <v>0.17</v>
      </c>
      <c r="U4501" s="395">
        <v>0.3</v>
      </c>
      <c r="V4501" s="402">
        <v>0.48</v>
      </c>
      <c r="W4501" s="404">
        <v>2.4E-2</v>
      </c>
      <c r="X4501" s="402">
        <v>4.2999999999999997E-2</v>
      </c>
      <c r="Y4501" s="404">
        <f>0.03/2</f>
        <v>1.4999999999999999E-2</v>
      </c>
      <c r="Z4501" s="397"/>
      <c r="AA4501" s="399"/>
      <c r="AB4501" s="394"/>
      <c r="AC4501" s="402"/>
      <c r="AD4501" s="399"/>
      <c r="AE4501" s="402"/>
      <c r="AF4501" s="391"/>
      <c r="AG4501" s="394"/>
      <c r="AH4501" s="394"/>
      <c r="AI4501" s="394"/>
      <c r="AJ4501" s="394"/>
      <c r="AK4501" s="394"/>
      <c r="AL4501" s="394"/>
      <c r="AM4501" s="394"/>
      <c r="AN4501" s="394"/>
      <c r="AO4501" s="394"/>
      <c r="AP4501" s="394"/>
      <c r="AQ4501" s="394"/>
      <c r="AR4501" s="394"/>
      <c r="AS4501" s="402"/>
      <c r="AT4501" s="404"/>
      <c r="AU4501" s="394"/>
      <c r="AV4501" s="394"/>
    </row>
    <row r="4502" spans="1:48" ht="15" customHeight="1">
      <c r="A4502" s="404" t="s">
        <v>4668</v>
      </c>
      <c r="B4502" s="402" t="s">
        <v>956</v>
      </c>
      <c r="C4502" s="113" t="s">
        <v>2218</v>
      </c>
      <c r="D4502" s="393" t="s">
        <v>1537</v>
      </c>
      <c r="E4502" s="394" t="s">
        <v>3722</v>
      </c>
      <c r="G4502" s="405" t="s">
        <v>2503</v>
      </c>
      <c r="H4502" s="404">
        <v>4151</v>
      </c>
      <c r="I4502" s="402" t="s">
        <v>2</v>
      </c>
      <c r="J4502" s="406" t="s">
        <v>3144</v>
      </c>
      <c r="K4502" s="403">
        <v>41744</v>
      </c>
      <c r="L4502" s="398">
        <v>41738</v>
      </c>
      <c r="M4502" s="402">
        <f t="shared" si="262"/>
        <v>6</v>
      </c>
      <c r="N4502" s="402" t="s">
        <v>2</v>
      </c>
      <c r="O4502" s="404">
        <v>5</v>
      </c>
      <c r="P4502" s="402"/>
      <c r="Q4502" s="404">
        <v>7.01</v>
      </c>
      <c r="R4502" s="402">
        <v>112.9</v>
      </c>
      <c r="S4502" s="404">
        <v>23</v>
      </c>
      <c r="T4502" s="402">
        <v>0.13</v>
      </c>
      <c r="U4502" s="395">
        <v>1.85</v>
      </c>
      <c r="V4502" s="402">
        <v>0.53</v>
      </c>
      <c r="W4502" s="404">
        <v>0.01</v>
      </c>
      <c r="X4502" s="402">
        <f>0.01/2</f>
        <v>5.0000000000000001E-3</v>
      </c>
      <c r="Y4502" s="404">
        <f>0.02/2</f>
        <v>0.01</v>
      </c>
      <c r="Z4502" s="397"/>
      <c r="AA4502" s="399"/>
      <c r="AB4502" s="394"/>
      <c r="AC4502" s="402"/>
      <c r="AD4502" s="399"/>
      <c r="AE4502" s="402"/>
      <c r="AF4502" s="391"/>
      <c r="AG4502" s="394"/>
      <c r="AH4502" s="394"/>
      <c r="AI4502" s="394"/>
      <c r="AJ4502" s="394"/>
      <c r="AK4502" s="394"/>
      <c r="AL4502" s="394"/>
      <c r="AM4502" s="394"/>
      <c r="AN4502" s="394"/>
      <c r="AO4502" s="394"/>
      <c r="AP4502" s="394"/>
      <c r="AQ4502" s="394"/>
      <c r="AR4502" s="394"/>
      <c r="AS4502" s="402"/>
      <c r="AT4502" s="404"/>
      <c r="AU4502" s="394"/>
      <c r="AV4502" s="394"/>
    </row>
    <row r="4503" spans="1:48" ht="15" customHeight="1">
      <c r="A4503" s="404" t="s">
        <v>4668</v>
      </c>
      <c r="B4503" s="402" t="s">
        <v>900</v>
      </c>
      <c r="C4503" s="113" t="s">
        <v>901</v>
      </c>
      <c r="D4503" s="393" t="s">
        <v>452</v>
      </c>
      <c r="E4503" s="394" t="s">
        <v>398</v>
      </c>
      <c r="G4503" s="405" t="s">
        <v>902</v>
      </c>
      <c r="H4503" s="404">
        <v>4491</v>
      </c>
      <c r="I4503" s="402" t="s">
        <v>2</v>
      </c>
      <c r="J4503" s="406" t="s">
        <v>366</v>
      </c>
      <c r="K4503" s="403">
        <v>41736</v>
      </c>
      <c r="L4503" s="398">
        <v>41728</v>
      </c>
      <c r="M4503" s="402">
        <f t="shared" si="262"/>
        <v>8</v>
      </c>
      <c r="N4503" s="402" t="s">
        <v>2</v>
      </c>
      <c r="O4503" s="404"/>
      <c r="P4503" s="402"/>
      <c r="Q4503" s="404"/>
      <c r="R4503" s="402">
        <v>32.1</v>
      </c>
      <c r="S4503" s="404"/>
      <c r="T4503" s="402">
        <v>0.25</v>
      </c>
      <c r="U4503" s="395">
        <v>2.6</v>
      </c>
      <c r="V4503" s="402"/>
      <c r="W4503" s="404">
        <v>8.7999999999999995E-2</v>
      </c>
      <c r="X4503" s="402">
        <v>0.12</v>
      </c>
      <c r="Y4503" s="404"/>
      <c r="Z4503" s="397"/>
      <c r="AA4503" s="399"/>
      <c r="AB4503" s="394"/>
      <c r="AC4503" s="402"/>
      <c r="AD4503" s="399"/>
      <c r="AE4503" s="402"/>
      <c r="AF4503" s="391"/>
      <c r="AG4503" s="394"/>
      <c r="AH4503" s="394"/>
      <c r="AI4503" s="394"/>
      <c r="AJ4503" s="394"/>
      <c r="AK4503" s="394"/>
      <c r="AL4503" s="394"/>
      <c r="AM4503" s="394"/>
      <c r="AN4503" s="394"/>
      <c r="AO4503" s="394"/>
      <c r="AP4503" s="394"/>
      <c r="AQ4503" s="394"/>
      <c r="AR4503" s="394"/>
      <c r="AS4503" s="402"/>
      <c r="AT4503" s="404"/>
      <c r="AU4503" s="394"/>
      <c r="AV4503" s="394"/>
    </row>
    <row r="4504" spans="1:48" ht="15" customHeight="1">
      <c r="A4504" s="404" t="s">
        <v>4668</v>
      </c>
      <c r="B4504" s="402" t="s">
        <v>900</v>
      </c>
      <c r="C4504" s="113" t="s">
        <v>901</v>
      </c>
      <c r="D4504" s="393" t="s">
        <v>452</v>
      </c>
      <c r="E4504" s="394" t="s">
        <v>398</v>
      </c>
      <c r="G4504" s="405" t="s">
        <v>902</v>
      </c>
      <c r="H4504" s="404">
        <v>4491</v>
      </c>
      <c r="I4504" s="402" t="s">
        <v>2</v>
      </c>
      <c r="J4504" s="406" t="s">
        <v>903</v>
      </c>
      <c r="K4504" s="403">
        <v>41736</v>
      </c>
      <c r="L4504" s="398">
        <v>41728</v>
      </c>
      <c r="M4504" s="402">
        <f t="shared" si="262"/>
        <v>8</v>
      </c>
      <c r="N4504" s="402" t="s">
        <v>2</v>
      </c>
      <c r="O4504" s="404"/>
      <c r="P4504" s="402"/>
      <c r="Q4504" s="404"/>
      <c r="R4504" s="402">
        <v>61.2</v>
      </c>
      <c r="S4504" s="404"/>
      <c r="T4504" s="402">
        <v>0.85</v>
      </c>
      <c r="U4504" s="395">
        <v>4.5999999999999996</v>
      </c>
      <c r="V4504" s="402">
        <v>12.03</v>
      </c>
      <c r="W4504" s="404">
        <v>0.13600000000000001</v>
      </c>
      <c r="X4504" s="402">
        <v>0.104</v>
      </c>
      <c r="Y4504" s="404"/>
      <c r="Z4504" s="397"/>
      <c r="AA4504" s="399"/>
      <c r="AB4504" s="394"/>
      <c r="AC4504" s="402"/>
      <c r="AD4504" s="399"/>
      <c r="AE4504" s="402"/>
      <c r="AF4504" s="391"/>
      <c r="AG4504" s="394"/>
      <c r="AH4504" s="394"/>
      <c r="AI4504" s="394"/>
      <c r="AJ4504" s="394"/>
      <c r="AK4504" s="394"/>
      <c r="AL4504" s="394"/>
      <c r="AM4504" s="394"/>
      <c r="AN4504" s="394"/>
      <c r="AO4504" s="394"/>
      <c r="AP4504" s="394"/>
      <c r="AQ4504" s="394"/>
      <c r="AR4504" s="394"/>
      <c r="AS4504" s="402"/>
      <c r="AT4504" s="404"/>
      <c r="AU4504" s="394"/>
      <c r="AV4504" s="394"/>
    </row>
    <row r="4505" spans="1:48" ht="15" customHeight="1">
      <c r="A4505" s="404" t="s">
        <v>4668</v>
      </c>
      <c r="B4505" s="402" t="s">
        <v>900</v>
      </c>
      <c r="C4505" s="113" t="s">
        <v>901</v>
      </c>
      <c r="D4505" s="393" t="s">
        <v>452</v>
      </c>
      <c r="E4505" s="394" t="s">
        <v>398</v>
      </c>
      <c r="G4505" s="405" t="s">
        <v>902</v>
      </c>
      <c r="H4505" s="404">
        <v>4491</v>
      </c>
      <c r="I4505" s="402" t="s">
        <v>2</v>
      </c>
      <c r="J4505" s="406" t="s">
        <v>904</v>
      </c>
      <c r="K4505" s="403">
        <v>41736</v>
      </c>
      <c r="L4505" s="398">
        <v>41728</v>
      </c>
      <c r="M4505" s="402">
        <f t="shared" si="262"/>
        <v>8</v>
      </c>
      <c r="N4505" s="402" t="s">
        <v>2</v>
      </c>
      <c r="O4505" s="404"/>
      <c r="P4505" s="402"/>
      <c r="Q4505" s="404"/>
      <c r="R4505" s="402">
        <v>44.4</v>
      </c>
      <c r="S4505" s="404"/>
      <c r="T4505" s="402">
        <v>0.83</v>
      </c>
      <c r="U4505" s="395">
        <v>5.2</v>
      </c>
      <c r="V4505" s="402">
        <v>10.07</v>
      </c>
      <c r="W4505" s="404">
        <v>8.6999999999999994E-2</v>
      </c>
      <c r="X4505" s="402">
        <v>7.0000000000000007E-2</v>
      </c>
      <c r="Y4505" s="404"/>
      <c r="Z4505" s="397"/>
      <c r="AA4505" s="399"/>
      <c r="AB4505" s="394"/>
      <c r="AC4505" s="402"/>
      <c r="AD4505" s="399"/>
      <c r="AE4505" s="402"/>
      <c r="AF4505" s="391"/>
      <c r="AG4505" s="394"/>
      <c r="AH4505" s="394"/>
      <c r="AI4505" s="394"/>
      <c r="AJ4505" s="394"/>
      <c r="AK4505" s="394"/>
      <c r="AL4505" s="394"/>
      <c r="AM4505" s="394"/>
      <c r="AN4505" s="394"/>
      <c r="AO4505" s="394"/>
      <c r="AP4505" s="394"/>
      <c r="AQ4505" s="394"/>
      <c r="AR4505" s="394"/>
      <c r="AS4505" s="402"/>
      <c r="AT4505" s="404"/>
      <c r="AU4505" s="394"/>
      <c r="AV4505" s="394"/>
    </row>
    <row r="4506" spans="1:48" ht="15" customHeight="1">
      <c r="A4506" s="404" t="s">
        <v>4668</v>
      </c>
      <c r="B4506" s="402" t="s">
        <v>4569</v>
      </c>
      <c r="C4506" s="113" t="s">
        <v>4569</v>
      </c>
      <c r="D4506" s="393" t="s">
        <v>41</v>
      </c>
      <c r="E4506" s="394" t="s">
        <v>6542</v>
      </c>
      <c r="F4506" s="402">
        <v>4404</v>
      </c>
      <c r="G4506" s="405" t="s">
        <v>4571</v>
      </c>
      <c r="H4506" s="404">
        <v>3827</v>
      </c>
      <c r="I4506" s="402" t="s">
        <v>2</v>
      </c>
      <c r="J4506" s="406" t="s">
        <v>255</v>
      </c>
      <c r="K4506" s="403">
        <v>41759</v>
      </c>
      <c r="L4506" s="398">
        <v>41755</v>
      </c>
      <c r="M4506" s="402">
        <f t="shared" si="262"/>
        <v>4</v>
      </c>
      <c r="N4506" s="402" t="s">
        <v>2</v>
      </c>
      <c r="O4506" s="404">
        <v>1.9</v>
      </c>
      <c r="P4506" s="402">
        <v>6.5</v>
      </c>
      <c r="Q4506" s="404">
        <v>7.41</v>
      </c>
      <c r="R4506" s="402">
        <v>13</v>
      </c>
      <c r="S4506" s="404">
        <v>52</v>
      </c>
      <c r="T4506" s="402">
        <v>0.23</v>
      </c>
      <c r="U4506" s="395">
        <v>0.91</v>
      </c>
      <c r="V4506" s="402">
        <v>0.11</v>
      </c>
      <c r="W4506" s="404">
        <v>7.0000000000000001E-3</v>
      </c>
      <c r="X4506" s="402">
        <v>0.161</v>
      </c>
      <c r="Y4506" s="404">
        <f>0.002/2</f>
        <v>1E-3</v>
      </c>
      <c r="Z4506" s="397"/>
      <c r="AA4506" s="399"/>
      <c r="AB4506" s="394"/>
      <c r="AC4506" s="402"/>
      <c r="AD4506" s="399"/>
      <c r="AE4506" s="402"/>
      <c r="AF4506" s="391"/>
      <c r="AG4506" s="394"/>
      <c r="AH4506" s="394"/>
      <c r="AI4506" s="394"/>
      <c r="AJ4506" s="394"/>
      <c r="AK4506" s="394"/>
      <c r="AL4506" s="394"/>
      <c r="AM4506" s="394"/>
      <c r="AN4506" s="394"/>
      <c r="AO4506" s="394"/>
      <c r="AP4506" s="394"/>
      <c r="AQ4506" s="394"/>
      <c r="AR4506" s="394"/>
      <c r="AS4506" s="402"/>
      <c r="AT4506" s="404"/>
      <c r="AU4506" s="394"/>
      <c r="AV4506" s="394"/>
    </row>
    <row r="4507" spans="1:48" ht="15" customHeight="1">
      <c r="A4507" s="404" t="s">
        <v>4668</v>
      </c>
      <c r="B4507" s="402" t="s">
        <v>2647</v>
      </c>
      <c r="C4507" s="113" t="s">
        <v>2648</v>
      </c>
      <c r="D4507" s="393" t="s">
        <v>1896</v>
      </c>
      <c r="E4507" s="394" t="s">
        <v>1538</v>
      </c>
      <c r="G4507" s="405" t="s">
        <v>2649</v>
      </c>
      <c r="H4507" s="404">
        <v>4952</v>
      </c>
      <c r="I4507" s="402" t="s">
        <v>1</v>
      </c>
      <c r="J4507" s="401" t="s">
        <v>460</v>
      </c>
      <c r="K4507" s="403">
        <v>41744</v>
      </c>
      <c r="L4507" s="398">
        <v>41737</v>
      </c>
      <c r="M4507" s="402">
        <f t="shared" si="262"/>
        <v>7</v>
      </c>
      <c r="N4507" s="402" t="s">
        <v>2</v>
      </c>
      <c r="O4507" s="404">
        <v>3.2</v>
      </c>
      <c r="P4507" s="402">
        <v>5.83</v>
      </c>
      <c r="Q4507" s="404">
        <v>7.24</v>
      </c>
      <c r="R4507" s="402">
        <v>223</v>
      </c>
      <c r="S4507" s="404">
        <v>203</v>
      </c>
      <c r="T4507" s="402">
        <v>0.61</v>
      </c>
      <c r="U4507" s="395">
        <v>2.92</v>
      </c>
      <c r="V4507" s="402">
        <v>0.53</v>
      </c>
      <c r="W4507" s="404">
        <v>4.2000000000000003E-2</v>
      </c>
      <c r="X4507" s="402">
        <v>0.20699999999999999</v>
      </c>
      <c r="Y4507" s="404">
        <v>0.03</v>
      </c>
      <c r="Z4507" s="397"/>
      <c r="AA4507" s="399"/>
      <c r="AB4507" s="394"/>
      <c r="AC4507" s="402"/>
      <c r="AD4507" s="399"/>
      <c r="AE4507" s="402"/>
      <c r="AF4507" s="391"/>
      <c r="AG4507" s="394"/>
      <c r="AH4507" s="394"/>
      <c r="AI4507" s="394">
        <v>4000</v>
      </c>
      <c r="AJ4507" s="394"/>
      <c r="AK4507" s="394"/>
      <c r="AL4507" s="394"/>
      <c r="AM4507" s="394"/>
      <c r="AN4507" s="394"/>
      <c r="AO4507" s="394"/>
      <c r="AP4507" s="394"/>
      <c r="AQ4507" s="394"/>
      <c r="AR4507" s="394"/>
      <c r="AS4507" s="402"/>
      <c r="AT4507" s="404"/>
      <c r="AU4507" s="394"/>
      <c r="AV4507" s="394"/>
    </row>
    <row r="4508" spans="1:48" ht="15" customHeight="1">
      <c r="A4508" s="404" t="s">
        <v>4668</v>
      </c>
      <c r="B4508" s="402" t="s">
        <v>2647</v>
      </c>
      <c r="C4508" s="113" t="s">
        <v>2648</v>
      </c>
      <c r="D4508" s="393" t="s">
        <v>1896</v>
      </c>
      <c r="E4508" s="394" t="s">
        <v>1538</v>
      </c>
      <c r="G4508" s="405" t="s">
        <v>2649</v>
      </c>
      <c r="H4508" s="404">
        <v>4352</v>
      </c>
      <c r="I4508" s="402" t="s">
        <v>1</v>
      </c>
      <c r="J4508" s="401" t="s">
        <v>460</v>
      </c>
      <c r="K4508" s="403">
        <v>41487</v>
      </c>
      <c r="L4508" s="398">
        <v>41477</v>
      </c>
      <c r="M4508" s="402">
        <f t="shared" si="262"/>
        <v>10</v>
      </c>
      <c r="N4508" s="402" t="s">
        <v>2</v>
      </c>
      <c r="O4508" s="404">
        <v>9.8000000000000007</v>
      </c>
      <c r="P4508" s="402">
        <v>4.91</v>
      </c>
      <c r="Q4508" s="404">
        <v>7.04</v>
      </c>
      <c r="R4508" s="402">
        <v>230</v>
      </c>
      <c r="S4508" s="404">
        <v>60</v>
      </c>
      <c r="T4508" s="402">
        <v>0.88</v>
      </c>
      <c r="U4508" s="395">
        <v>7.78</v>
      </c>
      <c r="V4508" s="402">
        <v>0.98</v>
      </c>
      <c r="W4508" s="404">
        <v>5.0999999999999997E-2</v>
      </c>
      <c r="X4508" s="402">
        <v>0.17899999999999999</v>
      </c>
      <c r="Y4508" s="404">
        <v>2.9000000000000001E-2</v>
      </c>
      <c r="Z4508" s="397"/>
      <c r="AA4508" s="399"/>
      <c r="AB4508" s="394"/>
      <c r="AC4508" s="402"/>
      <c r="AD4508" s="399"/>
      <c r="AE4508" s="402"/>
      <c r="AF4508" s="391"/>
      <c r="AG4508" s="394"/>
      <c r="AH4508" s="394"/>
      <c r="AI4508" s="394">
        <v>135000</v>
      </c>
      <c r="AJ4508" s="394"/>
      <c r="AK4508" s="394"/>
      <c r="AL4508" s="394"/>
      <c r="AM4508" s="394"/>
      <c r="AN4508" s="394"/>
      <c r="AO4508" s="394"/>
      <c r="AP4508" s="394"/>
      <c r="AQ4508" s="394"/>
      <c r="AR4508" s="394"/>
      <c r="AS4508" s="402"/>
      <c r="AT4508" s="404"/>
      <c r="AU4508" s="394"/>
      <c r="AV4508" s="394"/>
    </row>
    <row r="4509" spans="1:48" ht="15" customHeight="1">
      <c r="A4509" s="404" t="s">
        <v>4668</v>
      </c>
      <c r="B4509" s="402" t="s">
        <v>6543</v>
      </c>
      <c r="C4509" s="113" t="s">
        <v>6543</v>
      </c>
      <c r="D4509" s="393" t="s">
        <v>1633</v>
      </c>
      <c r="E4509" s="394" t="s">
        <v>467</v>
      </c>
      <c r="G4509" s="405" t="s">
        <v>6572</v>
      </c>
      <c r="H4509" s="404">
        <v>5171</v>
      </c>
      <c r="I4509" s="402" t="s">
        <v>2</v>
      </c>
      <c r="J4509" s="406" t="s">
        <v>81</v>
      </c>
      <c r="K4509" s="403">
        <v>41710</v>
      </c>
      <c r="L4509" s="398">
        <v>41691</v>
      </c>
      <c r="M4509" s="402">
        <f t="shared" si="262"/>
        <v>19</v>
      </c>
      <c r="N4509" s="402" t="s">
        <v>2</v>
      </c>
      <c r="O4509" s="404">
        <v>4.8</v>
      </c>
      <c r="P4509" s="402">
        <v>6.59</v>
      </c>
      <c r="Q4509" s="404">
        <v>7.53</v>
      </c>
      <c r="R4509" s="402">
        <v>34</v>
      </c>
      <c r="S4509" s="404">
        <v>120</v>
      </c>
      <c r="T4509" s="402">
        <v>0.59</v>
      </c>
      <c r="U4509" s="395">
        <v>2.94</v>
      </c>
      <c r="V4509" s="402">
        <v>0.56999999999999995</v>
      </c>
      <c r="W4509" s="404">
        <v>1.4E-2</v>
      </c>
      <c r="X4509" s="402">
        <v>0.189</v>
      </c>
      <c r="Y4509" s="404">
        <v>1.0999999999999999E-2</v>
      </c>
      <c r="Z4509" s="397">
        <v>1</v>
      </c>
      <c r="AA4509" s="399">
        <v>1</v>
      </c>
      <c r="AB4509" s="394">
        <v>26</v>
      </c>
      <c r="AC4509" s="402">
        <v>393</v>
      </c>
      <c r="AD4509" s="399">
        <v>1</v>
      </c>
      <c r="AE4509" s="402"/>
      <c r="AF4509" s="391"/>
      <c r="AG4509" s="394"/>
      <c r="AH4509" s="394"/>
      <c r="AI4509" s="394"/>
      <c r="AJ4509" s="394"/>
      <c r="AK4509" s="394"/>
      <c r="AL4509" s="394"/>
      <c r="AM4509" s="394"/>
      <c r="AN4509" s="394"/>
      <c r="AO4509" s="394"/>
      <c r="AP4509" s="394"/>
      <c r="AQ4509" s="394"/>
      <c r="AR4509" s="394"/>
      <c r="AS4509" s="402"/>
      <c r="AT4509" s="404"/>
      <c r="AU4509" s="394"/>
      <c r="AV4509" s="394"/>
    </row>
    <row r="4510" spans="1:48" ht="15" customHeight="1">
      <c r="A4510" s="404" t="s">
        <v>4668</v>
      </c>
      <c r="B4510" s="385" t="s">
        <v>4324</v>
      </c>
      <c r="C4510" s="18" t="s">
        <v>4210</v>
      </c>
      <c r="D4510" s="377" t="s">
        <v>462</v>
      </c>
      <c r="E4510" s="394" t="s">
        <v>5843</v>
      </c>
      <c r="F4510" s="402" t="s">
        <v>4211</v>
      </c>
      <c r="G4510" s="405" t="s">
        <v>4212</v>
      </c>
      <c r="H4510" s="404">
        <v>3273</v>
      </c>
      <c r="I4510" s="402" t="s">
        <v>2</v>
      </c>
      <c r="J4510" s="344" t="s">
        <v>510</v>
      </c>
      <c r="K4510" s="403">
        <v>41759</v>
      </c>
      <c r="L4510" s="398"/>
      <c r="M4510" s="402"/>
      <c r="N4510" s="385" t="s">
        <v>2</v>
      </c>
      <c r="O4510" s="404"/>
      <c r="P4510" s="402">
        <v>6.5</v>
      </c>
      <c r="Q4510" s="404">
        <v>10.54</v>
      </c>
      <c r="R4510" s="402"/>
      <c r="S4510" s="404">
        <v>1900</v>
      </c>
      <c r="T4510" s="402">
        <v>1.8</v>
      </c>
      <c r="U4510" s="395"/>
      <c r="V4510" s="402"/>
      <c r="W4510" s="404">
        <v>0.187</v>
      </c>
      <c r="X4510" s="402">
        <v>0.42</v>
      </c>
      <c r="Y4510" s="404">
        <v>4.7E-2</v>
      </c>
      <c r="Z4510" s="397"/>
      <c r="AA4510" s="399"/>
      <c r="AB4510" s="394"/>
      <c r="AC4510" s="402"/>
      <c r="AD4510" s="399"/>
      <c r="AE4510" s="402"/>
      <c r="AF4510" s="391"/>
      <c r="AG4510" s="394"/>
      <c r="AH4510" s="394"/>
      <c r="AI4510" s="394"/>
      <c r="AJ4510" s="394"/>
      <c r="AK4510" s="394"/>
      <c r="AL4510" s="394"/>
      <c r="AM4510" s="394"/>
      <c r="AN4510" s="394"/>
      <c r="AO4510" s="394"/>
      <c r="AP4510" s="394"/>
      <c r="AQ4510" s="394"/>
      <c r="AR4510" s="394"/>
      <c r="AS4510" s="402"/>
      <c r="AT4510" s="404"/>
      <c r="AU4510" s="394"/>
      <c r="AV4510" s="394"/>
    </row>
    <row r="4511" spans="1:48" ht="15" customHeight="1">
      <c r="A4511" s="404" t="s">
        <v>4668</v>
      </c>
      <c r="B4511" s="402" t="s">
        <v>2499</v>
      </c>
      <c r="C4511" s="113" t="s">
        <v>3193</v>
      </c>
      <c r="D4511" s="393" t="s">
        <v>1490</v>
      </c>
      <c r="E4511" s="394" t="s">
        <v>1859</v>
      </c>
      <c r="G4511" s="405" t="s">
        <v>3192</v>
      </c>
      <c r="H4511" s="404"/>
      <c r="I4511" s="402" t="s">
        <v>1</v>
      </c>
      <c r="J4511" s="401" t="s">
        <v>2905</v>
      </c>
      <c r="K4511" s="403">
        <v>41752</v>
      </c>
      <c r="L4511" s="398">
        <v>41746</v>
      </c>
      <c r="M4511" s="402">
        <f t="shared" si="262"/>
        <v>6</v>
      </c>
      <c r="N4511" s="402" t="s">
        <v>1</v>
      </c>
      <c r="O4511" s="404">
        <f>1/2</f>
        <v>0.5</v>
      </c>
      <c r="P4511" s="402">
        <v>6.35</v>
      </c>
      <c r="Q4511" s="404">
        <v>5.6</v>
      </c>
      <c r="R4511" s="402">
        <v>11</v>
      </c>
      <c r="S4511" s="404">
        <v>18</v>
      </c>
      <c r="T4511" s="402">
        <v>9.6000000000000002E-2</v>
      </c>
      <c r="U4511" s="395">
        <v>1.2</v>
      </c>
      <c r="V4511" s="402">
        <v>0.64</v>
      </c>
      <c r="W4511" s="404">
        <v>6.7000000000000002E-3</v>
      </c>
      <c r="X4511" s="402">
        <v>0.1</v>
      </c>
      <c r="Y4511" s="404">
        <f>0.002/2</f>
        <v>1E-3</v>
      </c>
      <c r="Z4511" s="397">
        <v>1</v>
      </c>
      <c r="AA4511" s="399">
        <v>0.78700000000000003</v>
      </c>
      <c r="AB4511" s="394">
        <v>4</v>
      </c>
      <c r="AC4511" s="402">
        <v>37</v>
      </c>
      <c r="AD4511" s="399">
        <v>0.25</v>
      </c>
      <c r="AE4511" s="402"/>
      <c r="AF4511" s="391"/>
      <c r="AG4511" s="394"/>
      <c r="AH4511" s="394"/>
      <c r="AI4511" s="394"/>
      <c r="AJ4511" s="394"/>
      <c r="AK4511" s="394"/>
      <c r="AL4511" s="394"/>
      <c r="AM4511" s="394"/>
      <c r="AN4511" s="394"/>
      <c r="AO4511" s="394"/>
      <c r="AP4511" s="394"/>
      <c r="AQ4511" s="394"/>
      <c r="AR4511" s="394"/>
      <c r="AS4511" s="402"/>
      <c r="AT4511" s="404"/>
      <c r="AU4511" s="394"/>
      <c r="AV4511" s="394"/>
    </row>
    <row r="4512" spans="1:48" ht="15" customHeight="1">
      <c r="A4512" s="404" t="s">
        <v>4668</v>
      </c>
      <c r="B4512" s="402" t="s">
        <v>2499</v>
      </c>
      <c r="C4512" s="113" t="s">
        <v>3193</v>
      </c>
      <c r="D4512" s="393" t="s">
        <v>1490</v>
      </c>
      <c r="E4512" s="394" t="s">
        <v>1859</v>
      </c>
      <c r="G4512" s="405" t="s">
        <v>3192</v>
      </c>
      <c r="H4512" s="404"/>
      <c r="I4512" s="402" t="s">
        <v>1</v>
      </c>
      <c r="J4512" s="406" t="s">
        <v>2084</v>
      </c>
      <c r="K4512" s="403">
        <v>41752</v>
      </c>
      <c r="L4512" s="398">
        <v>41746</v>
      </c>
      <c r="M4512" s="402">
        <f t="shared" si="262"/>
        <v>6</v>
      </c>
      <c r="N4512" s="402" t="s">
        <v>1</v>
      </c>
      <c r="O4512" s="404">
        <f>1/2</f>
        <v>0.5</v>
      </c>
      <c r="P4512" s="402">
        <v>6.35</v>
      </c>
      <c r="Q4512" s="404">
        <v>4.8</v>
      </c>
      <c r="R4512" s="402">
        <v>12</v>
      </c>
      <c r="S4512" s="404">
        <f>2/2</f>
        <v>1</v>
      </c>
      <c r="T4512" s="402">
        <v>3.9E-2</v>
      </c>
      <c r="U4512" s="395">
        <v>1.3</v>
      </c>
      <c r="V4512" s="402">
        <v>0.8</v>
      </c>
      <c r="W4512" s="404">
        <v>6.1000000000000004E-3</v>
      </c>
      <c r="X4512" s="402">
        <v>0.22</v>
      </c>
      <c r="Y4512" s="404">
        <f>0.002/2</f>
        <v>1E-3</v>
      </c>
      <c r="Z4512" s="397">
        <v>0.70399999999999996</v>
      </c>
      <c r="AA4512" s="399">
        <v>0.70399999999999996</v>
      </c>
      <c r="AB4512" s="394">
        <v>6</v>
      </c>
      <c r="AC4512" s="402">
        <v>32</v>
      </c>
      <c r="AD4512" s="399">
        <v>0</v>
      </c>
      <c r="AE4512" s="402"/>
      <c r="AF4512" s="391"/>
      <c r="AG4512" s="394"/>
      <c r="AH4512" s="394"/>
      <c r="AI4512" s="394"/>
      <c r="AJ4512" s="394"/>
      <c r="AK4512" s="394"/>
      <c r="AL4512" s="394"/>
      <c r="AM4512" s="394"/>
      <c r="AN4512" s="394"/>
      <c r="AO4512" s="394"/>
      <c r="AP4512" s="394"/>
      <c r="AQ4512" s="394"/>
      <c r="AR4512" s="394"/>
      <c r="AS4512" s="402"/>
      <c r="AT4512" s="404"/>
      <c r="AU4512" s="394"/>
      <c r="AV4512" s="394"/>
    </row>
    <row r="4513" spans="1:48" ht="15" customHeight="1">
      <c r="A4513" s="404" t="s">
        <v>4668</v>
      </c>
      <c r="B4513" s="402" t="s">
        <v>2499</v>
      </c>
      <c r="C4513" s="113" t="s">
        <v>3193</v>
      </c>
      <c r="D4513" s="393" t="s">
        <v>1490</v>
      </c>
      <c r="E4513" s="394" t="s">
        <v>1859</v>
      </c>
      <c r="G4513" s="405" t="s">
        <v>3192</v>
      </c>
      <c r="H4513" s="404"/>
      <c r="I4513" s="402" t="s">
        <v>1</v>
      </c>
      <c r="J4513" s="406" t="s">
        <v>3194</v>
      </c>
      <c r="K4513" s="403">
        <v>41752</v>
      </c>
      <c r="L4513" s="398">
        <v>41746</v>
      </c>
      <c r="M4513" s="402">
        <v>6</v>
      </c>
      <c r="N4513" s="402" t="s">
        <v>1</v>
      </c>
      <c r="O4513" s="404">
        <f>1/2</f>
        <v>0.5</v>
      </c>
      <c r="P4513" s="402">
        <v>6.35</v>
      </c>
      <c r="Q4513" s="404">
        <v>4.8</v>
      </c>
      <c r="R4513" s="402">
        <v>12</v>
      </c>
      <c r="S4513" s="404">
        <f>2/2</f>
        <v>1</v>
      </c>
      <c r="T4513" s="402">
        <v>2.1000000000000001E-2</v>
      </c>
      <c r="U4513" s="395">
        <v>0.94</v>
      </c>
      <c r="V4513" s="402">
        <v>0.6</v>
      </c>
      <c r="W4513" s="404">
        <v>5.3E-3</v>
      </c>
      <c r="X4513" s="402">
        <v>7.3999999999999996E-2</v>
      </c>
      <c r="Y4513" s="404">
        <v>6.1000000000000004E-3</v>
      </c>
      <c r="Z4513" s="397">
        <v>0.71399999999999997</v>
      </c>
      <c r="AA4513" s="399">
        <v>0.70399999999999996</v>
      </c>
      <c r="AB4513" s="394">
        <v>4</v>
      </c>
      <c r="AC4513" s="402">
        <v>192</v>
      </c>
      <c r="AD4513" s="399">
        <v>0</v>
      </c>
      <c r="AE4513" s="402"/>
      <c r="AF4513" s="391"/>
      <c r="AG4513" s="394"/>
      <c r="AH4513" s="394"/>
      <c r="AI4513" s="394"/>
      <c r="AJ4513" s="394"/>
      <c r="AK4513" s="394"/>
      <c r="AL4513" s="394"/>
      <c r="AM4513" s="394"/>
      <c r="AN4513" s="394"/>
      <c r="AO4513" s="394"/>
      <c r="AP4513" s="394"/>
      <c r="AQ4513" s="394"/>
      <c r="AR4513" s="394"/>
      <c r="AS4513" s="402"/>
      <c r="AT4513" s="404"/>
      <c r="AU4513" s="394"/>
      <c r="AV4513" s="394"/>
    </row>
    <row r="4514" spans="1:48" ht="15" customHeight="1">
      <c r="A4514" s="404" t="s">
        <v>4668</v>
      </c>
      <c r="B4514" s="402" t="s">
        <v>2125</v>
      </c>
      <c r="C4514" s="113" t="s">
        <v>5743</v>
      </c>
      <c r="D4514" s="393" t="s">
        <v>1881</v>
      </c>
      <c r="E4514" s="394" t="s">
        <v>512</v>
      </c>
      <c r="G4514" s="405" t="s">
        <v>3612</v>
      </c>
      <c r="H4514" s="404">
        <v>3724</v>
      </c>
      <c r="I4514" s="402" t="s">
        <v>2</v>
      </c>
      <c r="J4514" s="406" t="s">
        <v>6573</v>
      </c>
      <c r="K4514" s="403">
        <v>41795</v>
      </c>
      <c r="L4514" s="398">
        <v>41789</v>
      </c>
      <c r="M4514" s="402">
        <f t="shared" si="262"/>
        <v>6</v>
      </c>
      <c r="N4514" s="402" t="s">
        <v>2</v>
      </c>
      <c r="O4514" s="404"/>
      <c r="P4514" s="402"/>
      <c r="Q4514" s="404"/>
      <c r="R4514" s="402">
        <v>104.3</v>
      </c>
      <c r="S4514" s="404">
        <v>164</v>
      </c>
      <c r="T4514" s="402"/>
      <c r="U4514" s="395">
        <v>3</v>
      </c>
      <c r="V4514" s="402"/>
      <c r="W4514" s="404"/>
      <c r="X4514" s="402"/>
      <c r="Y4514" s="404"/>
      <c r="Z4514" s="397"/>
      <c r="AA4514" s="399"/>
      <c r="AB4514" s="394"/>
      <c r="AC4514" s="402"/>
      <c r="AD4514" s="399"/>
      <c r="AE4514" s="402"/>
      <c r="AF4514" s="391"/>
      <c r="AG4514" s="394"/>
      <c r="AH4514" s="394"/>
      <c r="AI4514" s="394"/>
      <c r="AJ4514" s="394"/>
      <c r="AK4514" s="394"/>
      <c r="AL4514" s="394"/>
      <c r="AM4514" s="394"/>
      <c r="AN4514" s="394"/>
      <c r="AO4514" s="394"/>
      <c r="AP4514" s="394"/>
      <c r="AQ4514" s="394"/>
      <c r="AR4514" s="394"/>
      <c r="AS4514" s="402"/>
      <c r="AT4514" s="404"/>
      <c r="AU4514" s="394"/>
      <c r="AV4514" s="394"/>
    </row>
    <row r="4515" spans="1:48" ht="15" customHeight="1">
      <c r="A4515" s="404" t="s">
        <v>4668</v>
      </c>
      <c r="B4515" s="402" t="s">
        <v>6521</v>
      </c>
      <c r="C4515" s="113" t="s">
        <v>6521</v>
      </c>
      <c r="D4515" s="393" t="s">
        <v>150</v>
      </c>
      <c r="F4515" s="402" t="s">
        <v>6522</v>
      </c>
      <c r="G4515" s="405" t="s">
        <v>6557</v>
      </c>
      <c r="H4515" s="404">
        <v>3479</v>
      </c>
      <c r="I4515" s="402" t="s">
        <v>2</v>
      </c>
      <c r="J4515" s="406" t="s">
        <v>510</v>
      </c>
      <c r="K4515" s="403">
        <v>41727</v>
      </c>
      <c r="L4515" s="398"/>
      <c r="M4515" s="402"/>
      <c r="N4515" s="402" t="s">
        <v>2</v>
      </c>
      <c r="O4515" s="404">
        <f>2/2</f>
        <v>1</v>
      </c>
      <c r="P4515" s="402"/>
      <c r="Q4515" s="404">
        <v>6.6</v>
      </c>
      <c r="R4515" s="402">
        <f>10/2</f>
        <v>5</v>
      </c>
      <c r="S4515" s="404">
        <v>1</v>
      </c>
      <c r="T4515" s="402">
        <v>0.06</v>
      </c>
      <c r="U4515" s="395">
        <v>0.18</v>
      </c>
      <c r="V4515" s="402">
        <v>0.49</v>
      </c>
      <c r="W4515" s="404">
        <f>0.01/2</f>
        <v>5.0000000000000001E-3</v>
      </c>
      <c r="X4515" s="402">
        <v>0.17199999999999999</v>
      </c>
      <c r="Y4515" s="404">
        <f>0.03/2</f>
        <v>1.4999999999999999E-2</v>
      </c>
      <c r="Z4515" s="397"/>
      <c r="AA4515" s="399"/>
      <c r="AB4515" s="394"/>
      <c r="AC4515" s="402"/>
      <c r="AD4515" s="399"/>
      <c r="AE4515" s="402"/>
      <c r="AF4515" s="391"/>
      <c r="AG4515" s="394"/>
      <c r="AH4515" s="394"/>
      <c r="AI4515" s="394"/>
      <c r="AJ4515" s="394"/>
      <c r="AK4515" s="394"/>
      <c r="AL4515" s="394"/>
      <c r="AM4515" s="394"/>
      <c r="AN4515" s="394"/>
      <c r="AO4515" s="394"/>
      <c r="AP4515" s="394"/>
      <c r="AQ4515" s="394"/>
      <c r="AR4515" s="394"/>
      <c r="AS4515" s="402"/>
      <c r="AT4515" s="404"/>
      <c r="AU4515" s="394"/>
      <c r="AV4515" s="394"/>
    </row>
    <row r="4516" spans="1:48" ht="15" customHeight="1">
      <c r="A4516" s="404" t="s">
        <v>4668</v>
      </c>
      <c r="B4516" s="402" t="s">
        <v>6521</v>
      </c>
      <c r="C4516" s="113" t="s">
        <v>6521</v>
      </c>
      <c r="D4516" s="393" t="s">
        <v>150</v>
      </c>
      <c r="F4516" s="402" t="s">
        <v>6522</v>
      </c>
      <c r="G4516" s="405" t="s">
        <v>6558</v>
      </c>
      <c r="H4516" s="404">
        <v>3479</v>
      </c>
      <c r="I4516" s="402" t="s">
        <v>2</v>
      </c>
      <c r="J4516" s="406" t="s">
        <v>255</v>
      </c>
      <c r="K4516" s="403">
        <v>41727</v>
      </c>
      <c r="L4516" s="398"/>
      <c r="M4516" s="402"/>
      <c r="N4516" s="402" t="s">
        <v>2</v>
      </c>
      <c r="O4516" s="404">
        <f>2/2</f>
        <v>1</v>
      </c>
      <c r="P4516" s="402"/>
      <c r="Q4516" s="404">
        <v>6.3</v>
      </c>
      <c r="R4516" s="402">
        <f>10/2</f>
        <v>5</v>
      </c>
      <c r="S4516" s="404">
        <v>3</v>
      </c>
      <c r="T4516" s="402">
        <f>0.05/2</f>
        <v>2.5000000000000001E-2</v>
      </c>
      <c r="U4516" s="395">
        <v>0.34</v>
      </c>
      <c r="V4516" s="402">
        <v>0.15</v>
      </c>
      <c r="W4516" s="404">
        <f>0.01/2</f>
        <v>5.0000000000000001E-3</v>
      </c>
      <c r="X4516" s="402">
        <v>0.10199999999999999</v>
      </c>
      <c r="Y4516" s="404">
        <f>0.03/2</f>
        <v>1.4999999999999999E-2</v>
      </c>
      <c r="Z4516" s="397"/>
      <c r="AA4516" s="399"/>
      <c r="AB4516" s="394"/>
      <c r="AC4516" s="402"/>
      <c r="AD4516" s="399"/>
      <c r="AE4516" s="402"/>
      <c r="AF4516" s="391"/>
      <c r="AG4516" s="394"/>
      <c r="AH4516" s="394"/>
      <c r="AI4516" s="394"/>
      <c r="AJ4516" s="394"/>
      <c r="AK4516" s="394"/>
      <c r="AL4516" s="394"/>
      <c r="AM4516" s="394"/>
      <c r="AN4516" s="394"/>
      <c r="AO4516" s="394"/>
      <c r="AP4516" s="394"/>
      <c r="AQ4516" s="394"/>
      <c r="AR4516" s="394"/>
      <c r="AS4516" s="402"/>
      <c r="AT4516" s="404"/>
      <c r="AU4516" s="394"/>
      <c r="AV4516" s="394"/>
    </row>
    <row r="4517" spans="1:48" ht="15" customHeight="1">
      <c r="A4517" s="404" t="s">
        <v>4668</v>
      </c>
      <c r="B4517" s="402" t="s">
        <v>6521</v>
      </c>
      <c r="C4517" s="113" t="s">
        <v>6521</v>
      </c>
      <c r="D4517" s="393" t="s">
        <v>150</v>
      </c>
      <c r="F4517" s="402" t="s">
        <v>6522</v>
      </c>
      <c r="G4517" s="405" t="s">
        <v>6558</v>
      </c>
      <c r="H4517" s="404">
        <v>3479</v>
      </c>
      <c r="I4517" s="402" t="s">
        <v>2</v>
      </c>
      <c r="J4517" s="406" t="s">
        <v>96</v>
      </c>
      <c r="K4517" s="403">
        <v>41727</v>
      </c>
      <c r="L4517" s="398"/>
      <c r="M4517" s="402"/>
      <c r="N4517" s="402" t="s">
        <v>2</v>
      </c>
      <c r="O4517" s="404">
        <f>2/2</f>
        <v>1</v>
      </c>
      <c r="P4517" s="402">
        <v>6.8</v>
      </c>
      <c r="Q4517" s="404">
        <v>7.2</v>
      </c>
      <c r="R4517" s="402">
        <v>10</v>
      </c>
      <c r="S4517" s="404">
        <v>1</v>
      </c>
      <c r="T4517" s="402">
        <f>0.05/2</f>
        <v>2.5000000000000001E-2</v>
      </c>
      <c r="U4517" s="395">
        <v>0.31</v>
      </c>
      <c r="V4517" s="402">
        <v>0.82</v>
      </c>
      <c r="W4517" s="404">
        <f>0.01/2</f>
        <v>5.0000000000000001E-3</v>
      </c>
      <c r="X4517" s="402">
        <v>0.193</v>
      </c>
      <c r="Y4517" s="404">
        <f>0.03/2</f>
        <v>1.4999999999999999E-2</v>
      </c>
      <c r="Z4517" s="397">
        <v>1</v>
      </c>
      <c r="AA4517" s="399">
        <v>1</v>
      </c>
      <c r="AB4517" s="394">
        <v>58</v>
      </c>
      <c r="AC4517" s="402">
        <v>237</v>
      </c>
      <c r="AD4517" s="399">
        <v>0.65</v>
      </c>
      <c r="AE4517" s="402"/>
      <c r="AF4517" s="391"/>
      <c r="AG4517" s="394"/>
      <c r="AH4517" s="394"/>
      <c r="AI4517" s="394"/>
      <c r="AJ4517" s="394"/>
      <c r="AK4517" s="394"/>
      <c r="AL4517" s="394"/>
      <c r="AM4517" s="394"/>
      <c r="AN4517" s="394"/>
      <c r="AO4517" s="394"/>
      <c r="AP4517" s="394"/>
      <c r="AQ4517" s="394"/>
      <c r="AR4517" s="394"/>
      <c r="AS4517" s="402"/>
      <c r="AT4517" s="404"/>
      <c r="AU4517" s="394"/>
      <c r="AV4517" s="394"/>
    </row>
    <row r="4518" spans="1:48" ht="15" customHeight="1">
      <c r="A4518" s="404" t="s">
        <v>4668</v>
      </c>
      <c r="B4518" s="402" t="s">
        <v>5081</v>
      </c>
      <c r="C4518" s="113" t="s">
        <v>5082</v>
      </c>
      <c r="D4518" s="393" t="s">
        <v>356</v>
      </c>
      <c r="E4518" s="394" t="s">
        <v>6236</v>
      </c>
      <c r="F4518" s="402" t="s">
        <v>1051</v>
      </c>
      <c r="G4518" s="405" t="s">
        <v>5083</v>
      </c>
      <c r="H4518" s="404">
        <v>2051</v>
      </c>
      <c r="I4518" s="402" t="s">
        <v>2</v>
      </c>
      <c r="J4518" s="406" t="s">
        <v>6574</v>
      </c>
      <c r="K4518" s="403">
        <v>41864</v>
      </c>
      <c r="L4518" s="398">
        <v>41835</v>
      </c>
      <c r="M4518" s="402">
        <f t="shared" si="262"/>
        <v>29</v>
      </c>
      <c r="N4518" s="402" t="s">
        <v>2</v>
      </c>
      <c r="O4518" s="404"/>
      <c r="P4518" s="402"/>
      <c r="Q4518" s="404"/>
      <c r="R4518" s="402"/>
      <c r="S4518" s="404"/>
      <c r="T4518" s="402"/>
      <c r="U4518" s="395"/>
      <c r="V4518" s="402"/>
      <c r="W4518" s="404"/>
      <c r="X4518" s="402"/>
      <c r="Y4518" s="404"/>
      <c r="Z4518" s="397">
        <v>1</v>
      </c>
      <c r="AA4518" s="399">
        <v>0.89100000000000001</v>
      </c>
      <c r="AB4518" s="394">
        <v>4</v>
      </c>
      <c r="AC4518" s="402">
        <v>11</v>
      </c>
      <c r="AD4518" s="399">
        <v>0.4</v>
      </c>
      <c r="AE4518" s="402"/>
      <c r="AF4518" s="391"/>
      <c r="AG4518" s="394"/>
      <c r="AH4518" s="394"/>
      <c r="AI4518" s="394"/>
      <c r="AJ4518" s="394"/>
      <c r="AK4518" s="394"/>
      <c r="AL4518" s="394"/>
      <c r="AM4518" s="394"/>
      <c r="AN4518" s="394"/>
      <c r="AO4518" s="394"/>
      <c r="AP4518" s="394"/>
      <c r="AQ4518" s="394"/>
      <c r="AR4518" s="394"/>
      <c r="AS4518" s="402"/>
      <c r="AT4518" s="404"/>
      <c r="AU4518" s="394"/>
      <c r="AV4518" s="394"/>
    </row>
    <row r="4519" spans="1:48" ht="15" customHeight="1">
      <c r="A4519" s="404" t="s">
        <v>4668</v>
      </c>
      <c r="B4519" s="386" t="s">
        <v>666</v>
      </c>
      <c r="C4519" s="149" t="s">
        <v>6544</v>
      </c>
      <c r="D4519" s="393" t="s">
        <v>213</v>
      </c>
      <c r="E4519" s="394" t="s">
        <v>467</v>
      </c>
      <c r="G4519" s="405" t="s">
        <v>672</v>
      </c>
      <c r="H4519" s="404">
        <v>3724</v>
      </c>
      <c r="I4519" s="402" t="s">
        <v>2</v>
      </c>
      <c r="J4519" s="406" t="s">
        <v>510</v>
      </c>
      <c r="K4519" s="403">
        <v>41795</v>
      </c>
      <c r="L4519" s="398">
        <v>41789</v>
      </c>
      <c r="M4519" s="402">
        <f t="shared" si="262"/>
        <v>6</v>
      </c>
      <c r="N4519" s="402" t="s">
        <v>2</v>
      </c>
      <c r="O4519" s="404">
        <f>5/2</f>
        <v>2.5</v>
      </c>
      <c r="P4519" s="402">
        <v>4.7699999999999996</v>
      </c>
      <c r="Q4519" s="404">
        <v>5.18</v>
      </c>
      <c r="R4519" s="402">
        <v>230</v>
      </c>
      <c r="S4519" s="404">
        <v>69</v>
      </c>
      <c r="T4519" s="402">
        <v>0.56999999999999995</v>
      </c>
      <c r="U4519" s="395">
        <v>6.5</v>
      </c>
      <c r="V4519" s="402">
        <v>1.6</v>
      </c>
      <c r="W4519" s="404">
        <f>0.04/2</f>
        <v>0.02</v>
      </c>
      <c r="X4519" s="402">
        <v>1.2</v>
      </c>
      <c r="Y4519" s="404">
        <f>0.013/2</f>
        <v>6.4999999999999997E-3</v>
      </c>
      <c r="Z4519" s="397"/>
      <c r="AA4519" s="399"/>
      <c r="AB4519" s="394"/>
      <c r="AC4519" s="402"/>
      <c r="AD4519" s="399"/>
      <c r="AE4519" s="402"/>
      <c r="AF4519" s="391"/>
      <c r="AG4519" s="394"/>
      <c r="AH4519" s="394"/>
      <c r="AI4519" s="394"/>
      <c r="AJ4519" s="394"/>
      <c r="AK4519" s="394"/>
      <c r="AL4519" s="394"/>
      <c r="AM4519" s="394"/>
      <c r="AN4519" s="394"/>
      <c r="AO4519" s="394"/>
      <c r="AP4519" s="394"/>
      <c r="AQ4519" s="394"/>
      <c r="AR4519" s="394"/>
      <c r="AS4519" s="402"/>
      <c r="AT4519" s="404"/>
      <c r="AU4519" s="394"/>
      <c r="AV4519" s="394"/>
    </row>
    <row r="4520" spans="1:48" ht="15" customHeight="1">
      <c r="A4520" s="404" t="s">
        <v>4668</v>
      </c>
      <c r="B4520" s="386" t="s">
        <v>666</v>
      </c>
      <c r="C4520" s="149" t="s">
        <v>6545</v>
      </c>
      <c r="D4520" s="392" t="s">
        <v>213</v>
      </c>
      <c r="E4520" s="258" t="s">
        <v>674</v>
      </c>
      <c r="F4520" s="401" t="s">
        <v>3258</v>
      </c>
      <c r="G4520" s="405" t="s">
        <v>675</v>
      </c>
      <c r="H4520" s="404">
        <v>3724</v>
      </c>
      <c r="I4520" s="402" t="s">
        <v>2</v>
      </c>
      <c r="J4520" s="406" t="s">
        <v>669</v>
      </c>
      <c r="K4520" s="403">
        <v>41795</v>
      </c>
      <c r="L4520" s="398">
        <v>41789</v>
      </c>
      <c r="M4520" s="402">
        <f t="shared" si="262"/>
        <v>6</v>
      </c>
      <c r="N4520" s="402" t="s">
        <v>2</v>
      </c>
      <c r="O4520" s="404">
        <f>5/2</f>
        <v>2.5</v>
      </c>
      <c r="P4520" s="402">
        <v>4.7699999999999996</v>
      </c>
      <c r="Q4520" s="404">
        <v>5.82</v>
      </c>
      <c r="R4520" s="402">
        <v>110</v>
      </c>
      <c r="S4520" s="404">
        <v>14</v>
      </c>
      <c r="T4520" s="402">
        <f>0.1/2</f>
        <v>0.05</v>
      </c>
      <c r="U4520" s="395">
        <v>4.0999999999999996</v>
      </c>
      <c r="V4520" s="402">
        <v>0.53</v>
      </c>
      <c r="W4520" s="404">
        <f>0.04/2</f>
        <v>0.02</v>
      </c>
      <c r="X4520" s="402">
        <v>0.28000000000000003</v>
      </c>
      <c r="Y4520" s="404">
        <f>0.013/2</f>
        <v>6.4999999999999997E-3</v>
      </c>
      <c r="Z4520" s="397"/>
      <c r="AA4520" s="399"/>
      <c r="AB4520" s="394"/>
      <c r="AC4520" s="402"/>
      <c r="AD4520" s="399"/>
      <c r="AE4520" s="402"/>
      <c r="AF4520" s="391"/>
      <c r="AG4520" s="394"/>
      <c r="AH4520" s="394"/>
      <c r="AI4520" s="394"/>
      <c r="AJ4520" s="394"/>
      <c r="AK4520" s="394"/>
      <c r="AL4520" s="394"/>
      <c r="AM4520" s="394"/>
      <c r="AN4520" s="394"/>
      <c r="AO4520" s="394"/>
      <c r="AP4520" s="394"/>
      <c r="AQ4520" s="394"/>
      <c r="AR4520" s="394"/>
      <c r="AS4520" s="402"/>
      <c r="AT4520" s="404"/>
      <c r="AU4520" s="394"/>
      <c r="AV4520" s="394"/>
    </row>
    <row r="4521" spans="1:48" ht="15" customHeight="1">
      <c r="A4521" s="404" t="s">
        <v>4668</v>
      </c>
      <c r="B4521" s="386" t="s">
        <v>666</v>
      </c>
      <c r="C4521" s="149" t="s">
        <v>6545</v>
      </c>
      <c r="D4521" s="392" t="s">
        <v>213</v>
      </c>
      <c r="E4521" s="258" t="s">
        <v>674</v>
      </c>
      <c r="F4521" s="401" t="s">
        <v>3258</v>
      </c>
      <c r="G4521" s="405" t="s">
        <v>675</v>
      </c>
      <c r="H4521" s="404">
        <v>3724</v>
      </c>
      <c r="I4521" s="402" t="s">
        <v>2</v>
      </c>
      <c r="J4521" s="406" t="s">
        <v>676</v>
      </c>
      <c r="K4521" s="403">
        <v>41795</v>
      </c>
      <c r="L4521" s="398">
        <v>41789</v>
      </c>
      <c r="M4521" s="402">
        <f t="shared" si="262"/>
        <v>6</v>
      </c>
      <c r="N4521" s="402" t="s">
        <v>2</v>
      </c>
      <c r="O4521" s="404">
        <f>5/2</f>
        <v>2.5</v>
      </c>
      <c r="P4521" s="402">
        <v>4.7699999999999996</v>
      </c>
      <c r="Q4521" s="404">
        <v>6.59</v>
      </c>
      <c r="R4521" s="402">
        <v>210</v>
      </c>
      <c r="S4521" s="404">
        <v>98</v>
      </c>
      <c r="T4521" s="402">
        <v>0.23</v>
      </c>
      <c r="U4521" s="395">
        <v>5.4</v>
      </c>
      <c r="V4521" s="402">
        <v>7</v>
      </c>
      <c r="W4521" s="404">
        <v>6.9000000000000006E-2</v>
      </c>
      <c r="X4521" s="402">
        <v>8.8999999999999996E-2</v>
      </c>
      <c r="Y4521" s="404">
        <f>0.013/2</f>
        <v>6.4999999999999997E-3</v>
      </c>
      <c r="Z4521" s="397"/>
      <c r="AA4521" s="399"/>
      <c r="AB4521" s="394"/>
      <c r="AC4521" s="402"/>
      <c r="AD4521" s="399"/>
      <c r="AE4521" s="402"/>
      <c r="AF4521" s="391"/>
      <c r="AG4521" s="394"/>
      <c r="AH4521" s="394"/>
      <c r="AI4521" s="394"/>
      <c r="AJ4521" s="394"/>
      <c r="AK4521" s="394"/>
      <c r="AL4521" s="394"/>
      <c r="AM4521" s="394"/>
      <c r="AN4521" s="394"/>
      <c r="AO4521" s="394"/>
      <c r="AP4521" s="394"/>
      <c r="AQ4521" s="394"/>
      <c r="AR4521" s="394"/>
      <c r="AS4521" s="402"/>
      <c r="AT4521" s="404"/>
      <c r="AU4521" s="394"/>
      <c r="AV4521" s="394"/>
    </row>
    <row r="4522" spans="1:48" ht="15" customHeight="1">
      <c r="A4522" s="404" t="s">
        <v>4668</v>
      </c>
      <c r="B4522" s="402" t="s">
        <v>4982</v>
      </c>
      <c r="C4522" s="113" t="s">
        <v>4982</v>
      </c>
      <c r="D4522" s="393" t="s">
        <v>636</v>
      </c>
      <c r="E4522" s="394" t="s">
        <v>686</v>
      </c>
      <c r="F4522" s="393" t="s">
        <v>6619</v>
      </c>
      <c r="G4522" s="405" t="s">
        <v>1790</v>
      </c>
      <c r="H4522" s="404">
        <v>3471</v>
      </c>
      <c r="I4522" s="402" t="s">
        <v>2</v>
      </c>
      <c r="J4522" s="404" t="s">
        <v>4983</v>
      </c>
      <c r="K4522" s="403">
        <v>41744</v>
      </c>
      <c r="L4522" s="398">
        <v>41737</v>
      </c>
      <c r="M4522" s="402">
        <f t="shared" si="262"/>
        <v>7</v>
      </c>
      <c r="N4522" s="402" t="s">
        <v>2</v>
      </c>
      <c r="O4522" s="404">
        <v>1.4</v>
      </c>
      <c r="P4522" s="402">
        <v>6</v>
      </c>
      <c r="Q4522" s="404">
        <v>6.9</v>
      </c>
      <c r="R4522" s="402">
        <v>5.6</v>
      </c>
      <c r="S4522" s="404">
        <f>2/2</f>
        <v>1</v>
      </c>
      <c r="T4522" s="402">
        <v>1.4E-2</v>
      </c>
      <c r="U4522" s="395">
        <f>0.5/2</f>
        <v>0.25</v>
      </c>
      <c r="V4522" s="402">
        <v>0.22</v>
      </c>
      <c r="W4522" s="404">
        <f>0.002/2</f>
        <v>1E-3</v>
      </c>
      <c r="X4522" s="402">
        <v>0.08</v>
      </c>
      <c r="Y4522" s="404">
        <f>0.002/2</f>
        <v>1E-3</v>
      </c>
      <c r="Z4522" s="397"/>
      <c r="AA4522" s="399"/>
      <c r="AB4522" s="394"/>
      <c r="AC4522" s="402"/>
      <c r="AD4522" s="399"/>
      <c r="AE4522" s="402">
        <f>10/2</f>
        <v>5</v>
      </c>
      <c r="AF4522" s="391"/>
      <c r="AG4522" s="394"/>
      <c r="AH4522" s="394"/>
      <c r="AI4522" s="394"/>
      <c r="AJ4522" s="394"/>
      <c r="AK4522" s="394"/>
      <c r="AL4522" s="394"/>
      <c r="AM4522" s="394"/>
      <c r="AN4522" s="394"/>
      <c r="AO4522" s="394"/>
      <c r="AP4522" s="394"/>
      <c r="AQ4522" s="394"/>
      <c r="AR4522" s="394"/>
      <c r="AS4522" s="402"/>
      <c r="AT4522" s="404"/>
      <c r="AU4522" s="394"/>
      <c r="AV4522" s="394"/>
    </row>
    <row r="4523" spans="1:48" ht="15" customHeight="1">
      <c r="A4523" s="404" t="s">
        <v>4668</v>
      </c>
      <c r="B4523" s="402" t="s">
        <v>956</v>
      </c>
      <c r="C4523" s="113" t="s">
        <v>367</v>
      </c>
      <c r="D4523" s="393" t="s">
        <v>368</v>
      </c>
      <c r="E4523" s="394" t="s">
        <v>369</v>
      </c>
      <c r="G4523" s="405" t="s">
        <v>370</v>
      </c>
      <c r="H4523" s="404">
        <v>4151</v>
      </c>
      <c r="I4523" s="402" t="s">
        <v>2</v>
      </c>
      <c r="J4523" s="406" t="s">
        <v>3144</v>
      </c>
      <c r="K4523" s="403">
        <v>41759</v>
      </c>
      <c r="L4523" s="398">
        <v>41755</v>
      </c>
      <c r="M4523" s="402">
        <f t="shared" si="262"/>
        <v>4</v>
      </c>
      <c r="N4523" s="402" t="s">
        <v>2</v>
      </c>
      <c r="O4523" s="404"/>
      <c r="P4523" s="402"/>
      <c r="Q4523" s="404"/>
      <c r="R4523" s="402"/>
      <c r="S4523" s="404"/>
      <c r="T4523" s="402"/>
      <c r="U4523" s="395"/>
      <c r="V4523" s="402"/>
      <c r="W4523" s="404"/>
      <c r="X4523" s="402">
        <v>0.23</v>
      </c>
      <c r="Y4523" s="404"/>
      <c r="Z4523" s="397">
        <v>1</v>
      </c>
      <c r="AA4523" s="399">
        <v>0.5</v>
      </c>
      <c r="AB4523" s="394">
        <v>15</v>
      </c>
      <c r="AC4523" s="402"/>
      <c r="AD4523" s="399"/>
      <c r="AE4523" s="402"/>
      <c r="AF4523" s="391"/>
      <c r="AG4523" s="394"/>
      <c r="AH4523" s="394"/>
      <c r="AI4523" s="394"/>
      <c r="AJ4523" s="394"/>
      <c r="AK4523" s="394"/>
      <c r="AL4523" s="394"/>
      <c r="AM4523" s="394"/>
      <c r="AN4523" s="394"/>
      <c r="AO4523" s="394"/>
      <c r="AP4523" s="394"/>
      <c r="AQ4523" s="394"/>
      <c r="AR4523" s="394"/>
      <c r="AS4523" s="402"/>
      <c r="AT4523" s="404"/>
      <c r="AU4523" s="394"/>
      <c r="AV4523" s="394"/>
    </row>
    <row r="4524" spans="1:48" ht="15" customHeight="1">
      <c r="A4524" s="404" t="s">
        <v>4668</v>
      </c>
      <c r="B4524" s="402" t="s">
        <v>5749</v>
      </c>
      <c r="C4524" s="113" t="s">
        <v>5749</v>
      </c>
      <c r="D4524" s="393" t="s">
        <v>379</v>
      </c>
      <c r="E4524" s="394" t="s">
        <v>214</v>
      </c>
      <c r="F4524" s="393" t="s">
        <v>6620</v>
      </c>
      <c r="G4524" s="405" t="s">
        <v>5486</v>
      </c>
      <c r="H4524" s="404">
        <v>3316</v>
      </c>
      <c r="I4524" s="402" t="s">
        <v>2</v>
      </c>
      <c r="J4524" s="406" t="s">
        <v>1999</v>
      </c>
      <c r="K4524" s="403">
        <v>41744</v>
      </c>
      <c r="L4524" s="398">
        <v>41740</v>
      </c>
      <c r="M4524" s="402">
        <f t="shared" si="262"/>
        <v>4</v>
      </c>
      <c r="N4524" s="402" t="s">
        <v>2</v>
      </c>
      <c r="O4524" s="404">
        <f>2/2</f>
        <v>1</v>
      </c>
      <c r="P4524" s="402">
        <v>5.3</v>
      </c>
      <c r="Q4524" s="404">
        <v>6</v>
      </c>
      <c r="R4524" s="402">
        <f>20/2</f>
        <v>10</v>
      </c>
      <c r="S4524" s="404">
        <v>4</v>
      </c>
      <c r="T4524" s="402">
        <v>5.2999999999999999E-2</v>
      </c>
      <c r="U4524" s="395">
        <f>1.6/2</f>
        <v>0.8</v>
      </c>
      <c r="V4524" s="402">
        <f>0.46/2</f>
        <v>0.23</v>
      </c>
      <c r="W4524" s="404">
        <f>0.005/2</f>
        <v>2.5000000000000001E-3</v>
      </c>
      <c r="X4524" s="402">
        <v>0.13400000000000001</v>
      </c>
      <c r="Y4524" s="404">
        <f>0.005/2</f>
        <v>2.5000000000000001E-3</v>
      </c>
      <c r="Z4524" s="397">
        <v>1</v>
      </c>
      <c r="AA4524" s="399">
        <v>0.66</v>
      </c>
      <c r="AB4524" s="394">
        <f>2/2</f>
        <v>1</v>
      </c>
      <c r="AC4524" s="402">
        <v>7</v>
      </c>
      <c r="AD4524" s="399">
        <v>0</v>
      </c>
      <c r="AE4524" s="402">
        <f>50/2</f>
        <v>25</v>
      </c>
      <c r="AF4524" s="391">
        <f>50/2</f>
        <v>25</v>
      </c>
      <c r="AG4524" s="394"/>
      <c r="AH4524" s="394"/>
      <c r="AI4524" s="394"/>
      <c r="AJ4524" s="394"/>
      <c r="AK4524" s="394"/>
      <c r="AL4524" s="394"/>
      <c r="AM4524" s="394"/>
      <c r="AN4524" s="394"/>
      <c r="AO4524" s="394"/>
      <c r="AP4524" s="394"/>
      <c r="AQ4524" s="394"/>
      <c r="AR4524" s="394"/>
      <c r="AS4524" s="402"/>
      <c r="AT4524" s="404"/>
      <c r="AU4524" s="394"/>
      <c r="AV4524" s="394"/>
    </row>
    <row r="4525" spans="1:48" ht="15" customHeight="1">
      <c r="A4525" s="404" t="s">
        <v>4668</v>
      </c>
      <c r="B4525" s="402" t="s">
        <v>1834</v>
      </c>
      <c r="C4525" s="113" t="s">
        <v>1834</v>
      </c>
      <c r="D4525" s="393" t="s">
        <v>379</v>
      </c>
      <c r="E4525" s="394" t="s">
        <v>1835</v>
      </c>
      <c r="F4525" s="402">
        <v>4315</v>
      </c>
      <c r="G4525" s="405" t="s">
        <v>1802</v>
      </c>
      <c r="H4525" s="404">
        <v>3441</v>
      </c>
      <c r="I4525" s="402" t="s">
        <v>2</v>
      </c>
      <c r="J4525" s="260" t="s">
        <v>1803</v>
      </c>
      <c r="K4525" s="403">
        <v>41799</v>
      </c>
      <c r="L4525" s="398">
        <v>41795</v>
      </c>
      <c r="M4525" s="402">
        <f t="shared" si="262"/>
        <v>4</v>
      </c>
      <c r="N4525" s="402" t="s">
        <v>2</v>
      </c>
      <c r="O4525" s="404">
        <f>1.8/2</f>
        <v>0.9</v>
      </c>
      <c r="P4525" s="402">
        <v>6.4</v>
      </c>
      <c r="Q4525" s="404">
        <v>8.1</v>
      </c>
      <c r="R4525" s="402">
        <f>20/2</f>
        <v>10</v>
      </c>
      <c r="S4525" s="404">
        <v>3.2</v>
      </c>
      <c r="T4525" s="402">
        <v>3.3000000000000002E-2</v>
      </c>
      <c r="U4525" s="395">
        <f>1.6/2</f>
        <v>0.8</v>
      </c>
      <c r="V4525" s="402">
        <v>0.85</v>
      </c>
      <c r="W4525" s="404">
        <f>0.005/2</f>
        <v>2.5000000000000001E-3</v>
      </c>
      <c r="X4525" s="402">
        <v>4.8000000000000001E-2</v>
      </c>
      <c r="Y4525" s="404">
        <f>0.005/2</f>
        <v>2.5000000000000001E-3</v>
      </c>
      <c r="Z4525" s="397"/>
      <c r="AA4525" s="399"/>
      <c r="AB4525" s="394"/>
      <c r="AC4525" s="402"/>
      <c r="AD4525" s="399"/>
      <c r="AE4525" s="402"/>
      <c r="AF4525" s="391"/>
      <c r="AG4525" s="394"/>
      <c r="AH4525" s="394"/>
      <c r="AI4525" s="394"/>
      <c r="AJ4525" s="394"/>
      <c r="AK4525" s="394"/>
      <c r="AL4525" s="394"/>
      <c r="AM4525" s="394"/>
      <c r="AN4525" s="394"/>
      <c r="AO4525" s="394"/>
      <c r="AP4525" s="394"/>
      <c r="AQ4525" s="394"/>
      <c r="AR4525" s="394"/>
      <c r="AS4525" s="402"/>
      <c r="AT4525" s="404"/>
      <c r="AU4525" s="394"/>
      <c r="AV4525" s="394"/>
    </row>
    <row r="4526" spans="1:48" ht="15" customHeight="1">
      <c r="A4526" s="404" t="s">
        <v>4668</v>
      </c>
      <c r="B4526" s="386" t="s">
        <v>820</v>
      </c>
      <c r="C4526" s="149" t="s">
        <v>820</v>
      </c>
      <c r="D4526" s="392" t="s">
        <v>756</v>
      </c>
      <c r="F4526" s="64" t="s">
        <v>984</v>
      </c>
      <c r="G4526" s="405" t="s">
        <v>821</v>
      </c>
      <c r="H4526" s="404">
        <v>2759</v>
      </c>
      <c r="I4526" s="402" t="s">
        <v>2</v>
      </c>
      <c r="J4526" s="392" t="s">
        <v>700</v>
      </c>
      <c r="K4526" s="403">
        <v>41786</v>
      </c>
      <c r="L4526" s="398">
        <v>41782</v>
      </c>
      <c r="M4526" s="402">
        <f t="shared" si="262"/>
        <v>4</v>
      </c>
      <c r="N4526" s="402" t="s">
        <v>2</v>
      </c>
      <c r="O4526" s="404"/>
      <c r="P4526" s="402"/>
      <c r="Q4526" s="404"/>
      <c r="R4526" s="402"/>
      <c r="S4526" s="404"/>
      <c r="T4526" s="402"/>
      <c r="U4526" s="395">
        <v>5.5</v>
      </c>
      <c r="V4526" s="402"/>
      <c r="W4526" s="404"/>
      <c r="X4526" s="402"/>
      <c r="Y4526" s="404"/>
      <c r="Z4526" s="397"/>
      <c r="AA4526" s="399"/>
      <c r="AB4526" s="394"/>
      <c r="AC4526" s="402"/>
      <c r="AD4526" s="399"/>
      <c r="AE4526" s="402"/>
      <c r="AF4526" s="391"/>
      <c r="AG4526" s="394"/>
      <c r="AH4526" s="394"/>
      <c r="AI4526" s="394"/>
      <c r="AJ4526" s="394"/>
      <c r="AK4526" s="394"/>
      <c r="AL4526" s="394"/>
      <c r="AM4526" s="394"/>
      <c r="AN4526" s="394"/>
      <c r="AO4526" s="394"/>
      <c r="AP4526" s="394"/>
      <c r="AQ4526" s="394"/>
      <c r="AR4526" s="394"/>
      <c r="AS4526" s="402"/>
      <c r="AT4526" s="404"/>
      <c r="AU4526" s="394"/>
      <c r="AV4526" s="394"/>
    </row>
    <row r="4527" spans="1:48" ht="15" customHeight="1">
      <c r="A4527" s="404" t="s">
        <v>4668</v>
      </c>
      <c r="B4527" s="402" t="s">
        <v>3707</v>
      </c>
      <c r="C4527" s="113" t="s">
        <v>3707</v>
      </c>
      <c r="D4527" s="393" t="s">
        <v>150</v>
      </c>
      <c r="E4527" s="394" t="s">
        <v>686</v>
      </c>
      <c r="F4527" s="402" t="s">
        <v>6422</v>
      </c>
      <c r="G4527" s="405" t="s">
        <v>3709</v>
      </c>
      <c r="H4527" s="404">
        <v>3272</v>
      </c>
      <c r="I4527" s="402" t="s">
        <v>2</v>
      </c>
      <c r="J4527" s="401" t="s">
        <v>3144</v>
      </c>
      <c r="K4527" s="403">
        <v>41822</v>
      </c>
      <c r="L4527" s="398" t="s">
        <v>3434</v>
      </c>
      <c r="M4527" s="402"/>
      <c r="N4527" s="402" t="s">
        <v>2</v>
      </c>
      <c r="O4527" s="404"/>
      <c r="P4527" s="402"/>
      <c r="Q4527" s="404"/>
      <c r="R4527" s="402"/>
      <c r="S4527" s="404"/>
      <c r="T4527" s="402"/>
      <c r="U4527" s="395"/>
      <c r="V4527" s="402"/>
      <c r="W4527" s="404">
        <v>0.06</v>
      </c>
      <c r="X4527" s="402">
        <v>7.0000000000000007E-2</v>
      </c>
      <c r="Y4527" s="404"/>
      <c r="Z4527" s="397"/>
      <c r="AA4527" s="399"/>
      <c r="AB4527" s="394"/>
      <c r="AC4527" s="402"/>
      <c r="AD4527" s="399"/>
      <c r="AE4527" s="402"/>
      <c r="AF4527" s="391"/>
      <c r="AG4527" s="394"/>
      <c r="AH4527" s="394"/>
      <c r="AI4527" s="394"/>
      <c r="AJ4527" s="394"/>
      <c r="AK4527" s="394"/>
      <c r="AL4527" s="394"/>
      <c r="AM4527" s="394"/>
      <c r="AN4527" s="394"/>
      <c r="AO4527" s="394"/>
      <c r="AP4527" s="394"/>
      <c r="AQ4527" s="394"/>
      <c r="AR4527" s="394"/>
      <c r="AS4527" s="402"/>
      <c r="AT4527" s="404"/>
      <c r="AU4527" s="394"/>
      <c r="AV4527" s="394"/>
    </row>
    <row r="4528" spans="1:48" ht="15" customHeight="1">
      <c r="A4528" s="404" t="s">
        <v>4668</v>
      </c>
      <c r="B4528" s="402" t="s">
        <v>5236</v>
      </c>
      <c r="C4528" s="113" t="s">
        <v>5236</v>
      </c>
      <c r="D4528" s="393" t="s">
        <v>268</v>
      </c>
      <c r="E4528" s="394" t="s">
        <v>5237</v>
      </c>
      <c r="G4528" s="405" t="s">
        <v>5238</v>
      </c>
      <c r="H4528" s="404">
        <v>3471</v>
      </c>
      <c r="I4528" s="402" t="s">
        <v>2</v>
      </c>
      <c r="J4528" s="406" t="s">
        <v>249</v>
      </c>
      <c r="K4528" s="403">
        <v>41781</v>
      </c>
      <c r="L4528" s="398">
        <v>41776</v>
      </c>
      <c r="M4528" s="402">
        <f t="shared" si="262"/>
        <v>5</v>
      </c>
      <c r="N4528" s="402" t="s">
        <v>2</v>
      </c>
      <c r="O4528" s="404"/>
      <c r="P4528" s="402"/>
      <c r="Q4528" s="404"/>
      <c r="R4528" s="402"/>
      <c r="S4528" s="404"/>
      <c r="T4528" s="402">
        <v>0.81799999999999995</v>
      </c>
      <c r="U4528" s="395">
        <f>1.6/2</f>
        <v>0.8</v>
      </c>
      <c r="V4528" s="402"/>
      <c r="W4528" s="404"/>
      <c r="X4528" s="402">
        <v>5.6000000000000001E-2</v>
      </c>
      <c r="Y4528" s="404"/>
      <c r="Z4528" s="397"/>
      <c r="AA4528" s="399"/>
      <c r="AB4528" s="394"/>
      <c r="AC4528" s="402"/>
      <c r="AD4528" s="399"/>
      <c r="AE4528" s="402"/>
      <c r="AF4528" s="391"/>
      <c r="AG4528" s="394"/>
      <c r="AH4528" s="394"/>
      <c r="AI4528" s="394"/>
      <c r="AJ4528" s="394"/>
      <c r="AK4528" s="394"/>
      <c r="AL4528" s="394"/>
      <c r="AM4528" s="394"/>
      <c r="AN4528" s="394"/>
      <c r="AO4528" s="394"/>
      <c r="AP4528" s="394"/>
      <c r="AQ4528" s="394"/>
      <c r="AR4528" s="394"/>
      <c r="AS4528" s="402"/>
      <c r="AT4528" s="404"/>
      <c r="AU4528" s="394"/>
      <c r="AV4528" s="394"/>
    </row>
    <row r="4529" spans="1:48" ht="15" customHeight="1">
      <c r="A4529" s="404" t="s">
        <v>4668</v>
      </c>
      <c r="B4529" s="402" t="s">
        <v>1342</v>
      </c>
      <c r="C4529" s="113" t="s">
        <v>1342</v>
      </c>
      <c r="D4529" s="393" t="s">
        <v>2328</v>
      </c>
      <c r="E4529" s="394" t="s">
        <v>1343</v>
      </c>
      <c r="F4529" s="401"/>
      <c r="G4529" s="405" t="s">
        <v>1344</v>
      </c>
      <c r="H4529" s="404">
        <v>3829</v>
      </c>
      <c r="I4529" s="402" t="s">
        <v>2</v>
      </c>
      <c r="J4529" s="393" t="s">
        <v>1345</v>
      </c>
      <c r="K4529" s="403">
        <v>41774</v>
      </c>
      <c r="L4529" s="398">
        <v>41769</v>
      </c>
      <c r="M4529" s="402">
        <f t="shared" si="262"/>
        <v>5</v>
      </c>
      <c r="N4529" s="402" t="s">
        <v>2</v>
      </c>
      <c r="O4529" s="404"/>
      <c r="P4529" s="402"/>
      <c r="Q4529" s="404"/>
      <c r="R4529" s="402"/>
      <c r="S4529" s="404">
        <v>140</v>
      </c>
      <c r="T4529" s="402"/>
      <c r="U4529" s="395"/>
      <c r="V4529" s="402"/>
      <c r="W4529" s="404"/>
      <c r="X4529" s="402"/>
      <c r="Y4529" s="404"/>
      <c r="Z4529" s="397"/>
      <c r="AA4529" s="399"/>
      <c r="AB4529" s="394"/>
      <c r="AC4529" s="402"/>
      <c r="AD4529" s="399"/>
      <c r="AE4529" s="402"/>
      <c r="AF4529" s="391"/>
      <c r="AG4529" s="394"/>
      <c r="AH4529" s="394"/>
      <c r="AI4529" s="394"/>
      <c r="AJ4529" s="394"/>
      <c r="AK4529" s="394"/>
      <c r="AL4529" s="394"/>
      <c r="AM4529" s="394"/>
      <c r="AN4529" s="394"/>
      <c r="AO4529" s="394"/>
      <c r="AP4529" s="394"/>
      <c r="AQ4529" s="394"/>
      <c r="AR4529" s="394"/>
      <c r="AS4529" s="402"/>
      <c r="AT4529" s="404"/>
      <c r="AU4529" s="394"/>
      <c r="AV4529" s="394"/>
    </row>
    <row r="4530" spans="1:48" ht="15" customHeight="1">
      <c r="A4530" s="404" t="s">
        <v>4668</v>
      </c>
      <c r="B4530" s="386" t="s">
        <v>123</v>
      </c>
      <c r="C4530" s="149" t="s">
        <v>123</v>
      </c>
      <c r="D4530" s="392" t="s">
        <v>41</v>
      </c>
      <c r="E4530" s="258" t="s">
        <v>960</v>
      </c>
      <c r="F4530" s="386" t="s">
        <v>961</v>
      </c>
      <c r="G4530" s="363" t="s">
        <v>153</v>
      </c>
      <c r="H4530" s="387">
        <v>3471</v>
      </c>
      <c r="I4530" s="386" t="s">
        <v>2</v>
      </c>
      <c r="J4530" s="392" t="s">
        <v>4247</v>
      </c>
      <c r="K4530" s="403">
        <v>41816</v>
      </c>
      <c r="L4530" s="398">
        <v>41809</v>
      </c>
      <c r="M4530" s="402">
        <f t="shared" si="262"/>
        <v>7</v>
      </c>
      <c r="N4530" s="402" t="s">
        <v>2</v>
      </c>
      <c r="O4530" s="404"/>
      <c r="P4530" s="402"/>
      <c r="Q4530" s="404">
        <v>6.22</v>
      </c>
      <c r="R4530" s="402"/>
      <c r="S4530" s="404"/>
      <c r="T4530" s="402"/>
      <c r="U4530" s="395"/>
      <c r="V4530" s="402"/>
      <c r="W4530" s="404"/>
      <c r="X4530" s="402">
        <v>0.106</v>
      </c>
      <c r="Y4530" s="404"/>
      <c r="Z4530" s="397"/>
      <c r="AA4530" s="399"/>
      <c r="AB4530" s="394"/>
      <c r="AC4530" s="402"/>
      <c r="AD4530" s="399"/>
      <c r="AE4530" s="402"/>
      <c r="AF4530" s="391"/>
      <c r="AG4530" s="394"/>
      <c r="AH4530" s="394"/>
      <c r="AI4530" s="394"/>
      <c r="AJ4530" s="394"/>
      <c r="AK4530" s="394"/>
      <c r="AL4530" s="394"/>
      <c r="AM4530" s="394"/>
      <c r="AN4530" s="394"/>
      <c r="AO4530" s="394"/>
      <c r="AP4530" s="394"/>
      <c r="AQ4530" s="394"/>
      <c r="AR4530" s="394"/>
      <c r="AS4530" s="402"/>
      <c r="AT4530" s="404"/>
      <c r="AU4530" s="394"/>
      <c r="AV4530" s="394"/>
    </row>
    <row r="4531" spans="1:48" ht="15" customHeight="1">
      <c r="A4531" s="404" t="s">
        <v>4668</v>
      </c>
      <c r="B4531" s="402" t="s">
        <v>4766</v>
      </c>
      <c r="C4531" s="113" t="s">
        <v>4767</v>
      </c>
      <c r="D4531" s="393" t="s">
        <v>406</v>
      </c>
      <c r="E4531" s="394" t="s">
        <v>4768</v>
      </c>
      <c r="G4531" s="405" t="s">
        <v>4769</v>
      </c>
      <c r="H4531" s="404">
        <v>4011</v>
      </c>
      <c r="I4531" s="402" t="s">
        <v>2</v>
      </c>
      <c r="J4531" s="406" t="s">
        <v>4770</v>
      </c>
      <c r="K4531" s="403">
        <v>41809</v>
      </c>
      <c r="L4531" s="398">
        <v>41799</v>
      </c>
      <c r="M4531" s="402">
        <f t="shared" si="262"/>
        <v>10</v>
      </c>
      <c r="N4531" s="402" t="s">
        <v>2</v>
      </c>
      <c r="O4531" s="404"/>
      <c r="P4531" s="402"/>
      <c r="Q4531" s="404"/>
      <c r="R4531" s="402"/>
      <c r="S4531" s="404"/>
      <c r="T4531" s="402"/>
      <c r="U4531" s="395"/>
      <c r="V4531" s="402"/>
      <c r="W4531" s="404"/>
      <c r="X4531" s="402">
        <v>0.224</v>
      </c>
      <c r="Y4531" s="404"/>
      <c r="Z4531" s="397"/>
      <c r="AA4531" s="399"/>
      <c r="AB4531" s="394"/>
      <c r="AC4531" s="402"/>
      <c r="AD4531" s="399"/>
      <c r="AE4531" s="402"/>
      <c r="AF4531" s="391"/>
      <c r="AG4531" s="394"/>
      <c r="AH4531" s="394"/>
      <c r="AI4531" s="394"/>
      <c r="AJ4531" s="394"/>
      <c r="AK4531" s="394"/>
      <c r="AL4531" s="394"/>
      <c r="AM4531" s="394"/>
      <c r="AN4531" s="394"/>
      <c r="AO4531" s="394"/>
      <c r="AP4531" s="394"/>
      <c r="AQ4531" s="394"/>
      <c r="AR4531" s="394"/>
      <c r="AS4531" s="402"/>
      <c r="AT4531" s="404"/>
      <c r="AU4531" s="394"/>
      <c r="AV4531" s="394"/>
    </row>
    <row r="4532" spans="1:48" ht="15" customHeight="1">
      <c r="A4532" s="404" t="s">
        <v>4668</v>
      </c>
      <c r="B4532" s="402" t="s">
        <v>5414</v>
      </c>
      <c r="C4532" s="113" t="s">
        <v>5414</v>
      </c>
      <c r="D4532" s="393" t="s">
        <v>1129</v>
      </c>
      <c r="E4532" s="394" t="s">
        <v>4703</v>
      </c>
      <c r="F4532" s="402">
        <v>3003</v>
      </c>
      <c r="G4532" s="405" t="s">
        <v>4704</v>
      </c>
      <c r="H4532" s="404">
        <v>4173</v>
      </c>
      <c r="I4532" s="402" t="s">
        <v>2</v>
      </c>
      <c r="J4532" s="406" t="s">
        <v>81</v>
      </c>
      <c r="K4532" s="403">
        <v>41768</v>
      </c>
      <c r="L4532" s="398">
        <v>41760</v>
      </c>
      <c r="M4532" s="402">
        <f t="shared" si="262"/>
        <v>8</v>
      </c>
      <c r="N4532" s="402" t="s">
        <v>2</v>
      </c>
      <c r="O4532" s="404">
        <f>1.4/2</f>
        <v>0.7</v>
      </c>
      <c r="P4532" s="402"/>
      <c r="Q4532" s="404">
        <v>6.62</v>
      </c>
      <c r="R4532" s="402">
        <v>19</v>
      </c>
      <c r="S4532" s="404">
        <v>6</v>
      </c>
      <c r="T4532" s="402">
        <v>0.06</v>
      </c>
      <c r="U4532" s="395">
        <v>1.21</v>
      </c>
      <c r="V4532" s="402">
        <v>0.72</v>
      </c>
      <c r="W4532" s="404">
        <f>0.025/2</f>
        <v>1.2500000000000001E-2</v>
      </c>
      <c r="X4532" s="402">
        <v>2.0099999999999998</v>
      </c>
      <c r="Y4532" s="404">
        <f>0.01/2</f>
        <v>5.0000000000000001E-3</v>
      </c>
      <c r="Z4532" s="397">
        <v>0.66</v>
      </c>
      <c r="AA4532" s="399">
        <v>0.27</v>
      </c>
      <c r="AB4532" s="394">
        <v>8</v>
      </c>
      <c r="AC4532" s="402">
        <v>64</v>
      </c>
      <c r="AD4532" s="399">
        <v>0</v>
      </c>
      <c r="AE4532" s="402"/>
      <c r="AF4532" s="391"/>
      <c r="AG4532" s="394"/>
      <c r="AH4532" s="394"/>
      <c r="AI4532" s="394"/>
      <c r="AJ4532" s="394"/>
      <c r="AK4532" s="394"/>
      <c r="AL4532" s="394"/>
      <c r="AM4532" s="394"/>
      <c r="AN4532" s="394"/>
      <c r="AO4532" s="394"/>
      <c r="AP4532" s="394"/>
      <c r="AQ4532" s="394"/>
      <c r="AR4532" s="394"/>
      <c r="AS4532" s="402"/>
      <c r="AT4532" s="404"/>
      <c r="AU4532" s="394"/>
      <c r="AV4532" s="394"/>
    </row>
    <row r="4533" spans="1:48" ht="15" customHeight="1">
      <c r="A4533" s="404" t="s">
        <v>4668</v>
      </c>
      <c r="B4533" s="402" t="s">
        <v>1910</v>
      </c>
      <c r="C4533" s="113" t="s">
        <v>1243</v>
      </c>
      <c r="D4533" s="393" t="s">
        <v>133</v>
      </c>
      <c r="E4533" s="394" t="s">
        <v>1546</v>
      </c>
      <c r="F4533" s="393" t="s">
        <v>2609</v>
      </c>
      <c r="G4533" s="405" t="s">
        <v>1810</v>
      </c>
      <c r="H4533" s="404">
        <v>4151</v>
      </c>
      <c r="I4533" s="402" t="s">
        <v>2</v>
      </c>
      <c r="J4533" s="406" t="s">
        <v>1786</v>
      </c>
      <c r="K4533" s="403">
        <v>41744</v>
      </c>
      <c r="L4533" s="398">
        <v>41737</v>
      </c>
      <c r="M4533" s="402">
        <f t="shared" si="262"/>
        <v>7</v>
      </c>
      <c r="N4533" s="402" t="s">
        <v>2</v>
      </c>
      <c r="O4533" s="404">
        <v>8.6</v>
      </c>
      <c r="P4533" s="402">
        <v>6.96</v>
      </c>
      <c r="Q4533" s="404">
        <v>8.48</v>
      </c>
      <c r="R4533" s="402">
        <v>45</v>
      </c>
      <c r="S4533" s="404">
        <v>1100</v>
      </c>
      <c r="T4533" s="402">
        <v>0.97</v>
      </c>
      <c r="U4533" s="395">
        <v>0.6</v>
      </c>
      <c r="V4533" s="402">
        <f>0.01/2</f>
        <v>5.0000000000000001E-3</v>
      </c>
      <c r="W4533" s="404">
        <v>0.14599999999999999</v>
      </c>
      <c r="X4533" s="402">
        <v>0.35699999999999998</v>
      </c>
      <c r="Y4533" s="404">
        <v>8.7999999999999995E-2</v>
      </c>
      <c r="Z4533" s="397"/>
      <c r="AA4533" s="399"/>
      <c r="AB4533" s="394"/>
      <c r="AC4533" s="402"/>
      <c r="AD4533" s="399"/>
      <c r="AE4533" s="402"/>
      <c r="AF4533" s="391"/>
      <c r="AG4533" s="394"/>
      <c r="AH4533" s="394"/>
      <c r="AI4533" s="394"/>
      <c r="AJ4533" s="394"/>
      <c r="AK4533" s="394"/>
      <c r="AL4533" s="394"/>
      <c r="AM4533" s="394"/>
      <c r="AN4533" s="394"/>
      <c r="AO4533" s="394"/>
      <c r="AP4533" s="394"/>
      <c r="AQ4533" s="394"/>
      <c r="AR4533" s="394"/>
      <c r="AS4533" s="402"/>
      <c r="AT4533" s="404"/>
      <c r="AU4533" s="394"/>
      <c r="AV4533" s="394"/>
    </row>
    <row r="4534" spans="1:48" ht="15" customHeight="1">
      <c r="A4534" s="404" t="s">
        <v>4668</v>
      </c>
      <c r="B4534" s="402" t="s">
        <v>1910</v>
      </c>
      <c r="C4534" s="113" t="s">
        <v>1243</v>
      </c>
      <c r="D4534" s="393" t="s">
        <v>133</v>
      </c>
      <c r="E4534" s="394" t="s">
        <v>1546</v>
      </c>
      <c r="F4534" s="393" t="s">
        <v>2609</v>
      </c>
      <c r="G4534" s="405" t="s">
        <v>1810</v>
      </c>
      <c r="H4534" s="404">
        <v>4151</v>
      </c>
      <c r="I4534" s="402" t="s">
        <v>2</v>
      </c>
      <c r="J4534" s="406" t="s">
        <v>641</v>
      </c>
      <c r="K4534" s="403">
        <v>41744</v>
      </c>
      <c r="L4534" s="398">
        <v>41737</v>
      </c>
      <c r="M4534" s="402">
        <f t="shared" si="262"/>
        <v>7</v>
      </c>
      <c r="N4534" s="402" t="s">
        <v>2</v>
      </c>
      <c r="O4534" s="404">
        <v>2.7</v>
      </c>
      <c r="P4534" s="402">
        <v>6.96</v>
      </c>
      <c r="Q4534" s="404">
        <v>7.65</v>
      </c>
      <c r="R4534" s="402">
        <v>14</v>
      </c>
      <c r="S4534" s="404">
        <v>120</v>
      </c>
      <c r="T4534" s="402">
        <v>0.14000000000000001</v>
      </c>
      <c r="U4534" s="395">
        <v>0.6</v>
      </c>
      <c r="V4534" s="402">
        <v>7.0000000000000007E-2</v>
      </c>
      <c r="W4534" s="404">
        <v>1.7000000000000001E-2</v>
      </c>
      <c r="X4534" s="402">
        <v>7.8E-2</v>
      </c>
      <c r="Y4534" s="404">
        <v>1.4999999999999999E-2</v>
      </c>
      <c r="Z4534" s="397"/>
      <c r="AA4534" s="399"/>
      <c r="AB4534" s="394"/>
      <c r="AC4534" s="402"/>
      <c r="AD4534" s="399"/>
      <c r="AE4534" s="402"/>
      <c r="AF4534" s="391"/>
      <c r="AG4534" s="394"/>
      <c r="AH4534" s="394"/>
      <c r="AI4534" s="394"/>
      <c r="AJ4534" s="394"/>
      <c r="AK4534" s="394"/>
      <c r="AL4534" s="394"/>
      <c r="AM4534" s="394"/>
      <c r="AN4534" s="394"/>
      <c r="AO4534" s="394"/>
      <c r="AP4534" s="394"/>
      <c r="AQ4534" s="394"/>
      <c r="AR4534" s="394"/>
      <c r="AS4534" s="402"/>
      <c r="AT4534" s="404"/>
      <c r="AU4534" s="394"/>
      <c r="AV4534" s="394"/>
    </row>
    <row r="4535" spans="1:48" ht="15" customHeight="1">
      <c r="A4535" s="404" t="s">
        <v>4668</v>
      </c>
      <c r="B4535" s="402" t="s">
        <v>1910</v>
      </c>
      <c r="C4535" s="113" t="s">
        <v>1243</v>
      </c>
      <c r="D4535" s="393" t="s">
        <v>133</v>
      </c>
      <c r="E4535" s="394" t="s">
        <v>1546</v>
      </c>
      <c r="F4535" s="393" t="s">
        <v>2609</v>
      </c>
      <c r="G4535" s="405" t="s">
        <v>1810</v>
      </c>
      <c r="H4535" s="404">
        <v>4151</v>
      </c>
      <c r="I4535" s="402" t="s">
        <v>2</v>
      </c>
      <c r="J4535" s="406" t="s">
        <v>643</v>
      </c>
      <c r="K4535" s="403">
        <v>41744</v>
      </c>
      <c r="L4535" s="398">
        <v>41737</v>
      </c>
      <c r="M4535" s="402">
        <f t="shared" si="262"/>
        <v>7</v>
      </c>
      <c r="N4535" s="402" t="s">
        <v>2</v>
      </c>
      <c r="O4535" s="404">
        <v>2.2000000000000002</v>
      </c>
      <c r="P4535" s="402">
        <v>6.96</v>
      </c>
      <c r="Q4535" s="404">
        <v>7.45</v>
      </c>
      <c r="R4535" s="402">
        <v>41</v>
      </c>
      <c r="S4535" s="404">
        <v>94</v>
      </c>
      <c r="T4535" s="402">
        <v>0.14000000000000001</v>
      </c>
      <c r="U4535" s="395">
        <v>0.79</v>
      </c>
      <c r="V4535" s="402">
        <v>0.05</v>
      </c>
      <c r="W4535" s="404">
        <v>1.7000000000000001E-2</v>
      </c>
      <c r="X4535" s="402">
        <v>5.6000000000000001E-2</v>
      </c>
      <c r="Y4535" s="404">
        <v>1.2999999999999999E-2</v>
      </c>
      <c r="Z4535" s="397"/>
      <c r="AA4535" s="399"/>
      <c r="AB4535" s="394"/>
      <c r="AC4535" s="402"/>
      <c r="AD4535" s="399"/>
      <c r="AE4535" s="402"/>
      <c r="AF4535" s="391"/>
      <c r="AG4535" s="394"/>
      <c r="AH4535" s="394"/>
      <c r="AI4535" s="394"/>
      <c r="AJ4535" s="394"/>
      <c r="AK4535" s="394"/>
      <c r="AL4535" s="394"/>
      <c r="AM4535" s="394"/>
      <c r="AN4535" s="394"/>
      <c r="AO4535" s="394"/>
      <c r="AP4535" s="394"/>
      <c r="AQ4535" s="394"/>
      <c r="AR4535" s="394"/>
      <c r="AS4535" s="402"/>
      <c r="AT4535" s="404"/>
      <c r="AU4535" s="394"/>
      <c r="AV4535" s="394"/>
    </row>
    <row r="4536" spans="1:48" ht="15" customHeight="1">
      <c r="A4536" s="404" t="s">
        <v>4668</v>
      </c>
      <c r="B4536" s="402" t="s">
        <v>956</v>
      </c>
      <c r="C4536" s="113" t="s">
        <v>4468</v>
      </c>
      <c r="D4536" s="393" t="s">
        <v>1896</v>
      </c>
      <c r="E4536" s="394" t="s">
        <v>4469</v>
      </c>
      <c r="G4536" s="405" t="s">
        <v>4470</v>
      </c>
      <c r="H4536" s="404">
        <v>4151</v>
      </c>
      <c r="I4536" s="402" t="s">
        <v>2</v>
      </c>
      <c r="J4536" s="406" t="s">
        <v>3144</v>
      </c>
      <c r="K4536" s="403">
        <v>41799</v>
      </c>
      <c r="L4536" s="398">
        <v>41795</v>
      </c>
      <c r="M4536" s="402">
        <f t="shared" si="262"/>
        <v>4</v>
      </c>
      <c r="N4536" s="402" t="s">
        <v>2</v>
      </c>
      <c r="O4536" s="404">
        <v>2.9</v>
      </c>
      <c r="P4536" s="402">
        <v>6.2</v>
      </c>
      <c r="Q4536" s="404">
        <v>6.8</v>
      </c>
      <c r="R4536" s="402">
        <v>92</v>
      </c>
      <c r="S4536" s="404">
        <v>164</v>
      </c>
      <c r="T4536" s="402">
        <v>0.28000000000000003</v>
      </c>
      <c r="U4536" s="395">
        <v>1.93</v>
      </c>
      <c r="V4536" s="402">
        <f>0.1/2</f>
        <v>0.05</v>
      </c>
      <c r="W4536" s="404">
        <v>2.7E-2</v>
      </c>
      <c r="X4536" s="402">
        <v>0.17399999999999999</v>
      </c>
      <c r="Y4536" s="404">
        <f>0.03/2</f>
        <v>1.4999999999999999E-2</v>
      </c>
      <c r="Z4536" s="397">
        <v>1</v>
      </c>
      <c r="AA4536" s="399">
        <v>1</v>
      </c>
      <c r="AB4536" s="394">
        <v>34</v>
      </c>
      <c r="AC4536" s="402">
        <v>26</v>
      </c>
      <c r="AD4536" s="399">
        <v>1</v>
      </c>
      <c r="AE4536" s="402"/>
      <c r="AF4536" s="391"/>
      <c r="AG4536" s="394"/>
      <c r="AH4536" s="394"/>
      <c r="AI4536" s="394"/>
      <c r="AJ4536" s="394"/>
      <c r="AK4536" s="394"/>
      <c r="AL4536" s="394"/>
      <c r="AM4536" s="394"/>
      <c r="AN4536" s="394"/>
      <c r="AO4536" s="394"/>
      <c r="AP4536" s="394"/>
      <c r="AQ4536" s="394"/>
      <c r="AR4536" s="394"/>
      <c r="AS4536" s="402"/>
      <c r="AT4536" s="404"/>
      <c r="AU4536" s="394"/>
      <c r="AV4536" s="394"/>
    </row>
    <row r="4537" spans="1:48" ht="15" customHeight="1">
      <c r="A4537" s="404" t="s">
        <v>4668</v>
      </c>
      <c r="B4537" s="386" t="s">
        <v>537</v>
      </c>
      <c r="C4537" s="149" t="s">
        <v>538</v>
      </c>
      <c r="D4537" s="392" t="s">
        <v>89</v>
      </c>
      <c r="E4537" s="258" t="s">
        <v>116</v>
      </c>
      <c r="G4537" s="405" t="s">
        <v>539</v>
      </c>
      <c r="H4537" s="404">
        <v>3451</v>
      </c>
      <c r="I4537" s="402" t="s">
        <v>1</v>
      </c>
      <c r="J4537" s="392" t="s">
        <v>249</v>
      </c>
      <c r="K4537" s="403">
        <v>41803</v>
      </c>
      <c r="L4537" s="398">
        <v>41799</v>
      </c>
      <c r="M4537" s="402">
        <f t="shared" si="262"/>
        <v>4</v>
      </c>
      <c r="N4537" s="402" t="s">
        <v>2</v>
      </c>
      <c r="O4537" s="404"/>
      <c r="P4537" s="402"/>
      <c r="Q4537" s="404"/>
      <c r="R4537" s="402"/>
      <c r="S4537" s="404"/>
      <c r="T4537" s="402"/>
      <c r="U4537" s="395"/>
      <c r="V4537" s="402"/>
      <c r="W4537" s="404">
        <v>7.5999999999999998E-2</v>
      </c>
      <c r="X4537" s="402"/>
      <c r="Y4537" s="404"/>
      <c r="Z4537" s="397"/>
      <c r="AA4537" s="399"/>
      <c r="AB4537" s="394"/>
      <c r="AC4537" s="402"/>
      <c r="AD4537" s="399"/>
      <c r="AE4537" s="402"/>
      <c r="AF4537" s="391"/>
      <c r="AG4537" s="394"/>
      <c r="AH4537" s="394"/>
      <c r="AI4537" s="394"/>
      <c r="AJ4537" s="394"/>
      <c r="AK4537" s="394"/>
      <c r="AL4537" s="394"/>
      <c r="AM4537" s="394"/>
      <c r="AN4537" s="394"/>
      <c r="AO4537" s="394"/>
      <c r="AP4537" s="394"/>
      <c r="AQ4537" s="394"/>
      <c r="AR4537" s="394"/>
      <c r="AS4537" s="402"/>
      <c r="AT4537" s="404"/>
      <c r="AU4537" s="394"/>
      <c r="AV4537" s="394"/>
    </row>
    <row r="4538" spans="1:48" ht="15" customHeight="1">
      <c r="A4538" s="404" t="s">
        <v>4668</v>
      </c>
      <c r="B4538" s="402" t="s">
        <v>3198</v>
      </c>
      <c r="C4538" s="113" t="s">
        <v>3199</v>
      </c>
      <c r="D4538" s="393" t="s">
        <v>443</v>
      </c>
      <c r="E4538" s="394" t="s">
        <v>3200</v>
      </c>
      <c r="G4538" s="405" t="s">
        <v>3201</v>
      </c>
      <c r="H4538" s="404">
        <v>4151</v>
      </c>
      <c r="I4538" s="402" t="s">
        <v>2</v>
      </c>
      <c r="J4538" s="406" t="s">
        <v>3144</v>
      </c>
      <c r="K4538" s="403">
        <v>41809</v>
      </c>
      <c r="L4538" s="398">
        <v>41803</v>
      </c>
      <c r="M4538" s="402">
        <f t="shared" si="262"/>
        <v>6</v>
      </c>
      <c r="N4538" s="402" t="s">
        <v>2</v>
      </c>
      <c r="O4538" s="404"/>
      <c r="P4538" s="402"/>
      <c r="Q4538" s="404"/>
      <c r="R4538" s="402"/>
      <c r="S4538" s="404">
        <v>302</v>
      </c>
      <c r="T4538" s="402"/>
      <c r="U4538" s="395"/>
      <c r="V4538" s="402"/>
      <c r="W4538" s="404"/>
      <c r="X4538" s="402"/>
      <c r="Y4538" s="404"/>
      <c r="Z4538" s="397"/>
      <c r="AA4538" s="399"/>
      <c r="AB4538" s="394"/>
      <c r="AC4538" s="402"/>
      <c r="AD4538" s="399"/>
      <c r="AE4538" s="402"/>
      <c r="AF4538" s="391"/>
      <c r="AG4538" s="394"/>
      <c r="AH4538" s="394"/>
      <c r="AI4538" s="394"/>
      <c r="AJ4538" s="394"/>
      <c r="AK4538" s="394"/>
      <c r="AL4538" s="394"/>
      <c r="AM4538" s="394"/>
      <c r="AN4538" s="394"/>
      <c r="AO4538" s="394"/>
      <c r="AP4538" s="394"/>
      <c r="AQ4538" s="394"/>
      <c r="AR4538" s="394"/>
      <c r="AS4538" s="402"/>
      <c r="AT4538" s="404"/>
      <c r="AU4538" s="394"/>
      <c r="AV4538" s="394"/>
    </row>
    <row r="4539" spans="1:48" ht="15" customHeight="1">
      <c r="A4539" s="404" t="s">
        <v>4668</v>
      </c>
      <c r="B4539" s="402" t="s">
        <v>3198</v>
      </c>
      <c r="C4539" s="113" t="s">
        <v>3202</v>
      </c>
      <c r="D4539" s="393" t="s">
        <v>559</v>
      </c>
      <c r="E4539" s="394" t="s">
        <v>560</v>
      </c>
      <c r="G4539" s="405" t="s">
        <v>3203</v>
      </c>
      <c r="H4539" s="404">
        <v>4151</v>
      </c>
      <c r="I4539" s="402" t="s">
        <v>2</v>
      </c>
      <c r="J4539" s="406" t="s">
        <v>3144</v>
      </c>
      <c r="K4539" s="403">
        <v>41809</v>
      </c>
      <c r="L4539" s="398">
        <v>41803</v>
      </c>
      <c r="M4539" s="402">
        <f t="shared" si="262"/>
        <v>6</v>
      </c>
      <c r="N4539" s="402" t="s">
        <v>1</v>
      </c>
      <c r="O4539" s="404"/>
      <c r="P4539" s="402"/>
      <c r="Q4539" s="404"/>
      <c r="R4539" s="402"/>
      <c r="S4539" s="404">
        <v>153</v>
      </c>
      <c r="T4539" s="402"/>
      <c r="U4539" s="395"/>
      <c r="V4539" s="402"/>
      <c r="W4539" s="404"/>
      <c r="X4539" s="402"/>
      <c r="Y4539" s="404"/>
      <c r="Z4539" s="397"/>
      <c r="AA4539" s="399"/>
      <c r="AB4539" s="394"/>
      <c r="AC4539" s="402"/>
      <c r="AD4539" s="399"/>
      <c r="AE4539" s="402"/>
      <c r="AF4539" s="391"/>
      <c r="AG4539" s="394"/>
      <c r="AH4539" s="394"/>
      <c r="AI4539" s="394"/>
      <c r="AJ4539" s="394"/>
      <c r="AK4539" s="394"/>
      <c r="AL4539" s="394"/>
      <c r="AM4539" s="394"/>
      <c r="AN4539" s="394"/>
      <c r="AO4539" s="394"/>
      <c r="AP4539" s="394"/>
      <c r="AQ4539" s="394"/>
      <c r="AR4539" s="394"/>
      <c r="AS4539" s="402"/>
      <c r="AT4539" s="404"/>
      <c r="AU4539" s="394"/>
      <c r="AV4539" s="394"/>
    </row>
    <row r="4540" spans="1:48" ht="15" customHeight="1">
      <c r="A4540" s="404" t="s">
        <v>4668</v>
      </c>
      <c r="B4540" s="402" t="s">
        <v>6546</v>
      </c>
      <c r="C4540" s="113" t="s">
        <v>6546</v>
      </c>
      <c r="D4540" s="393" t="s">
        <v>2377</v>
      </c>
      <c r="E4540" s="394" t="s">
        <v>6547</v>
      </c>
      <c r="F4540" s="393" t="s">
        <v>6621</v>
      </c>
      <c r="G4540" s="405" t="s">
        <v>6575</v>
      </c>
      <c r="H4540" s="404">
        <v>3469</v>
      </c>
      <c r="I4540" s="402" t="s">
        <v>2</v>
      </c>
      <c r="J4540" s="406" t="s">
        <v>1030</v>
      </c>
      <c r="K4540" s="403">
        <v>41795</v>
      </c>
      <c r="L4540" s="398">
        <v>41786</v>
      </c>
      <c r="M4540" s="402">
        <f t="shared" si="262"/>
        <v>9</v>
      </c>
      <c r="N4540" s="402" t="s">
        <v>2</v>
      </c>
      <c r="O4540" s="404">
        <v>2.8</v>
      </c>
      <c r="P4540" s="402">
        <v>5</v>
      </c>
      <c r="Q4540" s="404">
        <v>6.59</v>
      </c>
      <c r="R4540" s="402">
        <f>1/2</f>
        <v>0.5</v>
      </c>
      <c r="S4540" s="404">
        <v>6</v>
      </c>
      <c r="T4540" s="402">
        <v>0.05</v>
      </c>
      <c r="U4540" s="395">
        <v>1.2</v>
      </c>
      <c r="V4540" s="402">
        <v>0.24</v>
      </c>
      <c r="W4540" s="404">
        <v>1.7000000000000001E-2</v>
      </c>
      <c r="X4540" s="402">
        <v>6.7000000000000004E-2</v>
      </c>
      <c r="Y4540" s="404">
        <f>0.002/2</f>
        <v>1E-3</v>
      </c>
      <c r="Z4540" s="397">
        <v>1</v>
      </c>
      <c r="AA4540" s="399">
        <v>1</v>
      </c>
      <c r="AB4540" s="394">
        <v>12.06</v>
      </c>
      <c r="AC4540" s="402">
        <v>45</v>
      </c>
      <c r="AD4540" s="399">
        <v>1</v>
      </c>
      <c r="AE4540" s="402"/>
      <c r="AF4540" s="391"/>
      <c r="AG4540" s="394"/>
      <c r="AH4540" s="394"/>
      <c r="AI4540" s="394"/>
      <c r="AJ4540" s="394"/>
      <c r="AK4540" s="394"/>
      <c r="AL4540" s="394"/>
      <c r="AM4540" s="394"/>
      <c r="AN4540" s="394"/>
      <c r="AO4540" s="394"/>
      <c r="AP4540" s="394"/>
      <c r="AQ4540" s="394"/>
      <c r="AR4540" s="394"/>
      <c r="AS4540" s="402"/>
      <c r="AT4540" s="404"/>
      <c r="AU4540" s="394"/>
      <c r="AV4540" s="394"/>
    </row>
    <row r="4541" spans="1:48" ht="15" customHeight="1">
      <c r="A4541" s="404" t="s">
        <v>4668</v>
      </c>
      <c r="B4541" s="386" t="s">
        <v>432</v>
      </c>
      <c r="C4541" s="149" t="s">
        <v>432</v>
      </c>
      <c r="D4541" s="392" t="s">
        <v>434</v>
      </c>
      <c r="E4541" s="258" t="s">
        <v>433</v>
      </c>
      <c r="F4541" s="386"/>
      <c r="G4541" s="405" t="s">
        <v>435</v>
      </c>
      <c r="H4541" s="404">
        <v>3644</v>
      </c>
      <c r="I4541" s="402" t="s">
        <v>2</v>
      </c>
      <c r="J4541" s="392" t="s">
        <v>81</v>
      </c>
      <c r="K4541" s="403">
        <v>41710</v>
      </c>
      <c r="L4541" s="398">
        <v>41707</v>
      </c>
      <c r="M4541" s="402">
        <f t="shared" si="262"/>
        <v>3</v>
      </c>
      <c r="N4541" s="402" t="s">
        <v>2</v>
      </c>
      <c r="O4541" s="404"/>
      <c r="P4541" s="402"/>
      <c r="Q4541" s="404"/>
      <c r="R4541" s="402"/>
      <c r="S4541" s="404"/>
      <c r="T4541" s="402"/>
      <c r="U4541" s="395">
        <v>7.5</v>
      </c>
      <c r="V4541" s="402"/>
      <c r="W4541" s="404"/>
      <c r="X4541" s="402">
        <v>5.9</v>
      </c>
      <c r="Y4541" s="404"/>
      <c r="Z4541" s="397"/>
      <c r="AA4541" s="399"/>
      <c r="AB4541" s="394"/>
      <c r="AC4541" s="402"/>
      <c r="AD4541" s="399"/>
      <c r="AE4541" s="402"/>
      <c r="AF4541" s="391"/>
      <c r="AG4541" s="394"/>
      <c r="AH4541" s="394"/>
      <c r="AI4541" s="394"/>
      <c r="AJ4541" s="394"/>
      <c r="AK4541" s="394"/>
      <c r="AL4541" s="394"/>
      <c r="AM4541" s="394"/>
      <c r="AN4541" s="394"/>
      <c r="AO4541" s="394"/>
      <c r="AP4541" s="394"/>
      <c r="AQ4541" s="394"/>
      <c r="AR4541" s="394"/>
      <c r="AS4541" s="402"/>
      <c r="AT4541" s="404"/>
      <c r="AU4541" s="394"/>
      <c r="AV4541" s="394"/>
    </row>
    <row r="4542" spans="1:48" ht="15" customHeight="1">
      <c r="A4542" s="404" t="s">
        <v>4668</v>
      </c>
      <c r="B4542" s="402" t="s">
        <v>3235</v>
      </c>
      <c r="C4542" s="113" t="s">
        <v>5270</v>
      </c>
      <c r="D4542" s="393" t="s">
        <v>111</v>
      </c>
      <c r="E4542" s="394" t="s">
        <v>112</v>
      </c>
      <c r="G4542" s="405" t="s">
        <v>3236</v>
      </c>
      <c r="H4542" s="404">
        <v>3273</v>
      </c>
      <c r="I4542" s="402" t="s">
        <v>1</v>
      </c>
      <c r="J4542" s="407" t="s">
        <v>3144</v>
      </c>
      <c r="K4542" s="403">
        <v>41744</v>
      </c>
      <c r="L4542" s="398">
        <v>41737</v>
      </c>
      <c r="M4542" s="402">
        <f t="shared" si="262"/>
        <v>7</v>
      </c>
      <c r="N4542" s="402" t="s">
        <v>2</v>
      </c>
      <c r="O4542" s="404"/>
      <c r="P4542" s="402"/>
      <c r="Q4542" s="404"/>
      <c r="R4542" s="402">
        <v>130</v>
      </c>
      <c r="S4542" s="404">
        <v>950</v>
      </c>
      <c r="T4542" s="402">
        <v>0.68</v>
      </c>
      <c r="U4542" s="395"/>
      <c r="V4542" s="402"/>
      <c r="W4542" s="404"/>
      <c r="X4542" s="402"/>
      <c r="Y4542" s="404"/>
      <c r="Z4542" s="397"/>
      <c r="AA4542" s="399"/>
      <c r="AB4542" s="394"/>
      <c r="AC4542" s="402"/>
      <c r="AD4542" s="399"/>
      <c r="AE4542" s="402"/>
      <c r="AF4542" s="391"/>
      <c r="AG4542" s="394"/>
      <c r="AH4542" s="394"/>
      <c r="AI4542" s="394"/>
      <c r="AJ4542" s="394"/>
      <c r="AK4542" s="394"/>
      <c r="AL4542" s="394"/>
      <c r="AM4542" s="394"/>
      <c r="AN4542" s="394"/>
      <c r="AO4542" s="394"/>
      <c r="AP4542" s="394"/>
      <c r="AQ4542" s="394"/>
      <c r="AR4542" s="394"/>
      <c r="AS4542" s="402"/>
      <c r="AT4542" s="404"/>
      <c r="AU4542" s="394"/>
      <c r="AV4542" s="394"/>
    </row>
    <row r="4543" spans="1:48" ht="15" customHeight="1">
      <c r="A4543" s="404" t="s">
        <v>4668</v>
      </c>
      <c r="B4543" s="402" t="s">
        <v>5766</v>
      </c>
      <c r="C4543" s="113" t="s">
        <v>5766</v>
      </c>
      <c r="D4543" s="393" t="s">
        <v>559</v>
      </c>
      <c r="E4543" s="394" t="s">
        <v>5767</v>
      </c>
      <c r="F4543" s="402">
        <v>5102</v>
      </c>
      <c r="G4543" s="405" t="s">
        <v>5768</v>
      </c>
      <c r="H4543" s="404">
        <v>3273</v>
      </c>
      <c r="I4543" s="402"/>
      <c r="J4543" s="404" t="s">
        <v>5767</v>
      </c>
      <c r="K4543" s="403">
        <v>41781</v>
      </c>
      <c r="L4543" s="398">
        <v>41775</v>
      </c>
      <c r="M4543" s="402">
        <f t="shared" si="262"/>
        <v>6</v>
      </c>
      <c r="N4543" s="402" t="s">
        <v>2</v>
      </c>
      <c r="O4543" s="404">
        <f>1/2</f>
        <v>0.5</v>
      </c>
      <c r="P4543" s="402">
        <v>6.05</v>
      </c>
      <c r="Q4543" s="404">
        <v>7.94</v>
      </c>
      <c r="R4543" s="402">
        <v>60</v>
      </c>
      <c r="S4543" s="404">
        <v>11.5</v>
      </c>
      <c r="T4543" s="402">
        <v>0.14000000000000001</v>
      </c>
      <c r="U4543" s="395">
        <v>2.06</v>
      </c>
      <c r="V4543" s="402">
        <v>0.21</v>
      </c>
      <c r="W4543" s="404">
        <f>0.01/2</f>
        <v>5.0000000000000001E-3</v>
      </c>
      <c r="X4543" s="402">
        <v>0.06</v>
      </c>
      <c r="Y4543" s="404">
        <f>0.02/2</f>
        <v>0.01</v>
      </c>
      <c r="Z4543" s="397"/>
      <c r="AA4543" s="399"/>
      <c r="AB4543" s="394"/>
      <c r="AC4543" s="402"/>
      <c r="AD4543" s="399"/>
      <c r="AE4543" s="402"/>
      <c r="AF4543" s="391"/>
      <c r="AG4543" s="394"/>
      <c r="AH4543" s="394"/>
      <c r="AI4543" s="394"/>
      <c r="AJ4543" s="394"/>
      <c r="AK4543" s="394"/>
      <c r="AL4543" s="394"/>
      <c r="AM4543" s="394"/>
      <c r="AN4543" s="394"/>
      <c r="AO4543" s="394"/>
      <c r="AP4543" s="394"/>
      <c r="AQ4543" s="394"/>
      <c r="AR4543" s="394"/>
      <c r="AS4543" s="402"/>
      <c r="AT4543" s="404"/>
      <c r="AU4543" s="394"/>
      <c r="AV4543" s="394"/>
    </row>
    <row r="4544" spans="1:48" ht="15" customHeight="1">
      <c r="A4544" s="404" t="s">
        <v>4668</v>
      </c>
      <c r="B4544" s="402" t="s">
        <v>2088</v>
      </c>
      <c r="C4544" s="113" t="s">
        <v>2092</v>
      </c>
      <c r="D4544" s="393" t="s">
        <v>303</v>
      </c>
      <c r="E4544" s="394" t="s">
        <v>2093</v>
      </c>
      <c r="F4544" s="393" t="s">
        <v>6481</v>
      </c>
      <c r="G4544" s="405" t="s">
        <v>3599</v>
      </c>
      <c r="H4544" s="404">
        <v>4213</v>
      </c>
      <c r="I4544" s="402" t="s">
        <v>2</v>
      </c>
      <c r="J4544" s="401" t="s">
        <v>1119</v>
      </c>
      <c r="K4544" s="403">
        <v>41795</v>
      </c>
      <c r="L4544" s="398">
        <v>41787</v>
      </c>
      <c r="M4544" s="402">
        <f t="shared" si="262"/>
        <v>8</v>
      </c>
      <c r="N4544" s="402" t="s">
        <v>2</v>
      </c>
      <c r="O4544" s="404">
        <v>9</v>
      </c>
      <c r="P4544" s="402">
        <v>7.23</v>
      </c>
      <c r="Q4544" s="404">
        <v>6.87</v>
      </c>
      <c r="R4544" s="402">
        <v>10.199999999999999</v>
      </c>
      <c r="S4544" s="404">
        <v>8.5</v>
      </c>
      <c r="T4544" s="402">
        <v>0.09</v>
      </c>
      <c r="U4544" s="395">
        <v>10.7</v>
      </c>
      <c r="V4544" s="402">
        <v>0.61</v>
      </c>
      <c r="W4544" s="404">
        <v>0.05</v>
      </c>
      <c r="X4544" s="402">
        <v>7.0000000000000007E-2</v>
      </c>
      <c r="Y4544" s="404">
        <f>0.04/2</f>
        <v>0.02</v>
      </c>
      <c r="Z4544" s="397"/>
      <c r="AA4544" s="399"/>
      <c r="AB4544" s="394"/>
      <c r="AC4544" s="402"/>
      <c r="AD4544" s="399"/>
      <c r="AE4544" s="402"/>
      <c r="AF4544" s="391"/>
      <c r="AG4544" s="394"/>
      <c r="AH4544" s="394"/>
      <c r="AI4544" s="394"/>
      <c r="AJ4544" s="394"/>
      <c r="AK4544" s="394"/>
      <c r="AL4544" s="394"/>
      <c r="AM4544" s="394"/>
      <c r="AN4544" s="394"/>
      <c r="AO4544" s="394"/>
      <c r="AP4544" s="394"/>
      <c r="AQ4544" s="394"/>
      <c r="AR4544" s="394"/>
      <c r="AS4544" s="402"/>
      <c r="AT4544" s="404"/>
      <c r="AU4544" s="394"/>
      <c r="AV4544" s="394"/>
    </row>
    <row r="4545" spans="1:79" ht="15" customHeight="1">
      <c r="A4545" s="404" t="s">
        <v>4668</v>
      </c>
      <c r="B4545" s="402" t="s">
        <v>2088</v>
      </c>
      <c r="C4545" s="113" t="s">
        <v>3760</v>
      </c>
      <c r="D4545" s="393" t="s">
        <v>303</v>
      </c>
      <c r="E4545" s="394" t="s">
        <v>2091</v>
      </c>
      <c r="G4545" s="405" t="s">
        <v>3598</v>
      </c>
      <c r="H4545" s="404">
        <v>4213</v>
      </c>
      <c r="I4545" s="402" t="s">
        <v>2</v>
      </c>
      <c r="J4545" s="401" t="s">
        <v>1119</v>
      </c>
      <c r="K4545" s="403">
        <v>41795</v>
      </c>
      <c r="L4545" s="398">
        <v>41787</v>
      </c>
      <c r="M4545" s="402">
        <f t="shared" si="262"/>
        <v>8</v>
      </c>
      <c r="N4545" s="402" t="s">
        <v>2</v>
      </c>
      <c r="O4545" s="404"/>
      <c r="P4545" s="402"/>
      <c r="Q4545" s="404"/>
      <c r="R4545" s="402"/>
      <c r="S4545" s="404"/>
      <c r="T4545" s="402"/>
      <c r="U4545" s="395"/>
      <c r="V4545" s="402"/>
      <c r="W4545" s="404"/>
      <c r="X4545" s="402">
        <v>7.0000000000000007E-2</v>
      </c>
      <c r="Y4545" s="404"/>
      <c r="Z4545" s="397"/>
      <c r="AA4545" s="399"/>
      <c r="AB4545" s="394"/>
      <c r="AC4545" s="402"/>
      <c r="AD4545" s="399"/>
      <c r="AE4545" s="402"/>
      <c r="AF4545" s="391"/>
      <c r="AG4545" s="394"/>
      <c r="AH4545" s="394"/>
      <c r="AI4545" s="394"/>
      <c r="AJ4545" s="394"/>
      <c r="AK4545" s="394"/>
      <c r="AL4545" s="394"/>
      <c r="AM4545" s="394"/>
      <c r="AN4545" s="394"/>
      <c r="AO4545" s="394"/>
      <c r="AP4545" s="394"/>
      <c r="AQ4545" s="394"/>
      <c r="AR4545" s="394"/>
      <c r="AS4545" s="402"/>
      <c r="AT4545" s="404"/>
      <c r="AU4545" s="394"/>
      <c r="AV4545" s="394"/>
    </row>
    <row r="4546" spans="1:79" ht="15" customHeight="1">
      <c r="A4546" s="404" t="s">
        <v>4668</v>
      </c>
      <c r="B4546" s="402" t="s">
        <v>2088</v>
      </c>
      <c r="C4546" s="113" t="s">
        <v>1318</v>
      </c>
      <c r="D4546" s="393" t="s">
        <v>372</v>
      </c>
      <c r="E4546" s="394" t="s">
        <v>6548</v>
      </c>
      <c r="G4546" s="405" t="s">
        <v>4032</v>
      </c>
      <c r="H4546" s="404">
        <v>4213</v>
      </c>
      <c r="I4546" s="402" t="s">
        <v>2</v>
      </c>
      <c r="J4546" s="406" t="s">
        <v>3778</v>
      </c>
      <c r="K4546" s="403">
        <v>41795</v>
      </c>
      <c r="L4546" s="398">
        <v>41787</v>
      </c>
      <c r="M4546" s="402">
        <f t="shared" si="262"/>
        <v>8</v>
      </c>
      <c r="N4546" s="402" t="s">
        <v>2</v>
      </c>
      <c r="O4546" s="404"/>
      <c r="P4546" s="402"/>
      <c r="Q4546" s="404"/>
      <c r="R4546" s="402"/>
      <c r="S4546" s="404"/>
      <c r="T4546" s="402"/>
      <c r="U4546" s="395"/>
      <c r="V4546" s="402">
        <f>0.02/2</f>
        <v>0.01</v>
      </c>
      <c r="W4546" s="404"/>
      <c r="X4546" s="402"/>
      <c r="Y4546" s="404"/>
      <c r="Z4546" s="397"/>
      <c r="AA4546" s="399"/>
      <c r="AB4546" s="394"/>
      <c r="AC4546" s="402"/>
      <c r="AD4546" s="399"/>
      <c r="AE4546" s="402"/>
      <c r="AF4546" s="391"/>
      <c r="AG4546" s="394"/>
      <c r="AH4546" s="394"/>
      <c r="AI4546" s="394"/>
      <c r="AJ4546" s="394"/>
      <c r="AK4546" s="394"/>
      <c r="AL4546" s="394"/>
      <c r="AM4546" s="394"/>
      <c r="AN4546" s="394"/>
      <c r="AO4546" s="394"/>
      <c r="AP4546" s="394"/>
      <c r="AQ4546" s="394"/>
      <c r="AR4546" s="394"/>
      <c r="AS4546" s="402"/>
      <c r="AT4546" s="404"/>
      <c r="AU4546" s="394"/>
      <c r="AV4546" s="394"/>
    </row>
    <row r="4547" spans="1:79" ht="15" customHeight="1">
      <c r="A4547" s="404" t="s">
        <v>4668</v>
      </c>
      <c r="B4547" s="402" t="s">
        <v>4241</v>
      </c>
      <c r="C4547" s="113" t="s">
        <v>4241</v>
      </c>
      <c r="D4547" s="393" t="s">
        <v>434</v>
      </c>
      <c r="E4547" s="394" t="s">
        <v>304</v>
      </c>
      <c r="G4547" s="405" t="s">
        <v>4240</v>
      </c>
      <c r="H4547" s="404">
        <v>8744</v>
      </c>
      <c r="I4547" s="402" t="s">
        <v>1</v>
      </c>
      <c r="J4547" s="406" t="s">
        <v>4557</v>
      </c>
      <c r="K4547" s="403">
        <v>41795</v>
      </c>
      <c r="L4547" s="398" t="s">
        <v>6199</v>
      </c>
      <c r="M4547" s="402"/>
      <c r="N4547" s="402" t="s">
        <v>2</v>
      </c>
      <c r="O4547" s="404"/>
      <c r="P4547" s="402">
        <v>6.8</v>
      </c>
      <c r="Q4547" s="404"/>
      <c r="R4547" s="402"/>
      <c r="S4547" s="404"/>
      <c r="T4547" s="402"/>
      <c r="U4547" s="395"/>
      <c r="V4547" s="402"/>
      <c r="W4547" s="404"/>
      <c r="X4547" s="402"/>
      <c r="Y4547" s="404"/>
      <c r="Z4547" s="397"/>
      <c r="AA4547" s="399"/>
      <c r="AB4547" s="394"/>
      <c r="AC4547" s="402"/>
      <c r="AD4547" s="399"/>
      <c r="AE4547" s="402"/>
      <c r="AF4547" s="391"/>
      <c r="AG4547" s="394"/>
      <c r="AH4547" s="394"/>
      <c r="AI4547" s="394">
        <v>180</v>
      </c>
      <c r="AJ4547" s="394">
        <v>10</v>
      </c>
      <c r="AK4547" s="394"/>
      <c r="AL4547" s="394"/>
      <c r="AM4547" s="394"/>
      <c r="AN4547" s="394"/>
      <c r="AO4547" s="394"/>
      <c r="AP4547" s="394"/>
      <c r="AQ4547" s="394"/>
      <c r="AR4547" s="394"/>
      <c r="AS4547" s="402"/>
      <c r="AT4547" s="404"/>
      <c r="AU4547" s="394"/>
      <c r="AV4547" s="394"/>
      <c r="CA4547" s="5">
        <f>2/2</f>
        <v>1</v>
      </c>
    </row>
    <row r="4548" spans="1:79" ht="15" customHeight="1">
      <c r="A4548" s="404" t="s">
        <v>4668</v>
      </c>
      <c r="B4548" s="402" t="s">
        <v>4241</v>
      </c>
      <c r="C4548" s="113" t="s">
        <v>4241</v>
      </c>
      <c r="D4548" s="393" t="s">
        <v>434</v>
      </c>
      <c r="E4548" s="394" t="s">
        <v>304</v>
      </c>
      <c r="G4548" s="405" t="s">
        <v>4240</v>
      </c>
      <c r="H4548" s="404">
        <v>8744</v>
      </c>
      <c r="I4548" s="402" t="s">
        <v>1</v>
      </c>
      <c r="J4548" s="406" t="s">
        <v>6576</v>
      </c>
      <c r="K4548" s="403">
        <v>41795</v>
      </c>
      <c r="L4548" s="398" t="s">
        <v>6199</v>
      </c>
      <c r="M4548" s="402"/>
      <c r="N4548" s="402" t="s">
        <v>2</v>
      </c>
      <c r="O4548" s="404"/>
      <c r="P4548" s="402">
        <v>6.8</v>
      </c>
      <c r="Q4548" s="404"/>
      <c r="R4548" s="402"/>
      <c r="S4548" s="404"/>
      <c r="T4548" s="402"/>
      <c r="U4548" s="395"/>
      <c r="V4548" s="402"/>
      <c r="W4548" s="404"/>
      <c r="X4548" s="402">
        <v>0.14000000000000001</v>
      </c>
      <c r="Y4548" s="404"/>
      <c r="Z4548" s="397"/>
      <c r="AA4548" s="399"/>
      <c r="AB4548" s="394"/>
      <c r="AC4548" s="402"/>
      <c r="AD4548" s="399"/>
      <c r="AE4548" s="402"/>
      <c r="AF4548" s="391"/>
      <c r="AG4548" s="394"/>
      <c r="AH4548" s="394"/>
      <c r="AI4548" s="394">
        <v>10</v>
      </c>
      <c r="AJ4548" s="394">
        <f>10/2</f>
        <v>5</v>
      </c>
      <c r="AK4548" s="394"/>
      <c r="AL4548" s="394"/>
      <c r="AM4548" s="394"/>
      <c r="AN4548" s="394"/>
      <c r="AO4548" s="394"/>
      <c r="AP4548" s="394"/>
      <c r="AQ4548" s="394"/>
      <c r="AR4548" s="394"/>
      <c r="AS4548" s="402"/>
      <c r="AT4548" s="404"/>
      <c r="AU4548" s="394"/>
      <c r="AV4548" s="394"/>
      <c r="CA4548" s="5">
        <f>2/2</f>
        <v>1</v>
      </c>
    </row>
    <row r="4549" spans="1:79" ht="15" customHeight="1">
      <c r="A4549" s="404" t="s">
        <v>4668</v>
      </c>
      <c r="B4549" s="402" t="s">
        <v>4241</v>
      </c>
      <c r="C4549" s="113" t="s">
        <v>4241</v>
      </c>
      <c r="D4549" s="393" t="s">
        <v>434</v>
      </c>
      <c r="E4549" s="394" t="s">
        <v>304</v>
      </c>
      <c r="G4549" s="405" t="s">
        <v>4240</v>
      </c>
      <c r="H4549" s="404">
        <v>8744</v>
      </c>
      <c r="I4549" s="402" t="s">
        <v>1</v>
      </c>
      <c r="J4549" s="406" t="s">
        <v>6577</v>
      </c>
      <c r="K4549" s="403">
        <v>41795</v>
      </c>
      <c r="L4549" s="398" t="s">
        <v>6199</v>
      </c>
      <c r="M4549" s="402"/>
      <c r="N4549" s="402" t="s">
        <v>2</v>
      </c>
      <c r="O4549" s="404"/>
      <c r="P4549" s="402">
        <v>6.8</v>
      </c>
      <c r="Q4549" s="404"/>
      <c r="R4549" s="402"/>
      <c r="S4549" s="404"/>
      <c r="T4549" s="402"/>
      <c r="U4549" s="395"/>
      <c r="V4549" s="402"/>
      <c r="W4549" s="404"/>
      <c r="X4549" s="402">
        <v>0.36</v>
      </c>
      <c r="Y4549" s="404"/>
      <c r="Z4549" s="397"/>
      <c r="AA4549" s="399"/>
      <c r="AB4549" s="394"/>
      <c r="AC4549" s="402"/>
      <c r="AD4549" s="399"/>
      <c r="AE4549" s="402"/>
      <c r="AF4549" s="391"/>
      <c r="AG4549" s="394"/>
      <c r="AH4549" s="394"/>
      <c r="AI4549" s="394">
        <v>450</v>
      </c>
      <c r="AJ4549" s="394">
        <v>15531</v>
      </c>
      <c r="AK4549" s="394"/>
      <c r="AL4549" s="394"/>
      <c r="AM4549" s="394"/>
      <c r="AN4549" s="394"/>
      <c r="AO4549" s="394"/>
      <c r="AP4549" s="394"/>
      <c r="AQ4549" s="394"/>
      <c r="AR4549" s="394"/>
      <c r="AS4549" s="402"/>
      <c r="AT4549" s="404"/>
      <c r="AU4549" s="394"/>
      <c r="AV4549" s="394"/>
      <c r="CA4549" s="5">
        <f>2/2</f>
        <v>1</v>
      </c>
    </row>
    <row r="4550" spans="1:79" ht="15" customHeight="1">
      <c r="A4550" s="404" t="s">
        <v>4668</v>
      </c>
      <c r="B4550" s="402" t="s">
        <v>4584</v>
      </c>
      <c r="C4550" s="113" t="s">
        <v>4584</v>
      </c>
      <c r="D4550" s="393" t="s">
        <v>710</v>
      </c>
      <c r="E4550" s="394" t="s">
        <v>4585</v>
      </c>
      <c r="F4550" s="402" t="s">
        <v>5865</v>
      </c>
      <c r="G4550" s="405" t="s">
        <v>4586</v>
      </c>
      <c r="H4550" s="404">
        <v>2653</v>
      </c>
      <c r="I4550" s="402"/>
      <c r="J4550" s="393" t="s">
        <v>5866</v>
      </c>
      <c r="K4550" s="403">
        <v>41816</v>
      </c>
      <c r="L4550" s="398">
        <v>41816</v>
      </c>
      <c r="M4550" s="402">
        <f t="shared" si="262"/>
        <v>0</v>
      </c>
      <c r="N4550" s="402" t="s">
        <v>2</v>
      </c>
      <c r="O4550" s="404">
        <v>3</v>
      </c>
      <c r="P4550" s="402">
        <v>6</v>
      </c>
      <c r="Q4550" s="404">
        <v>7</v>
      </c>
      <c r="R4550" s="402">
        <v>50</v>
      </c>
      <c r="S4550" s="404">
        <v>85</v>
      </c>
      <c r="T4550" s="402">
        <v>0.22</v>
      </c>
      <c r="U4550" s="395">
        <v>2</v>
      </c>
      <c r="V4550" s="402">
        <v>0.55000000000000004</v>
      </c>
      <c r="W4550" s="404">
        <v>1.2E-2</v>
      </c>
      <c r="X4550" s="402">
        <v>0.23</v>
      </c>
      <c r="Y4550" s="404">
        <f>0.002/2</f>
        <v>1E-3</v>
      </c>
      <c r="Z4550" s="397">
        <v>1</v>
      </c>
      <c r="AA4550" s="399">
        <v>1</v>
      </c>
      <c r="AB4550" s="394">
        <v>40</v>
      </c>
      <c r="AC4550" s="402">
        <v>200</v>
      </c>
      <c r="AD4550" s="399">
        <v>1</v>
      </c>
      <c r="AE4550" s="402"/>
      <c r="AF4550" s="391"/>
      <c r="AG4550" s="394"/>
      <c r="AH4550" s="394"/>
      <c r="AI4550" s="394"/>
      <c r="AJ4550" s="394"/>
      <c r="AK4550" s="394"/>
      <c r="AL4550" s="394"/>
      <c r="AM4550" s="394"/>
      <c r="AN4550" s="394"/>
      <c r="AO4550" s="394"/>
      <c r="AP4550" s="394"/>
      <c r="AQ4550" s="394"/>
      <c r="AR4550" s="394"/>
      <c r="AS4550" s="402"/>
      <c r="AT4550" s="404"/>
      <c r="AU4550" s="394"/>
      <c r="AV4550" s="394"/>
    </row>
    <row r="4551" spans="1:79" ht="15" customHeight="1">
      <c r="A4551" s="404" t="s">
        <v>4668</v>
      </c>
      <c r="B4551" s="402" t="s">
        <v>5158</v>
      </c>
      <c r="C4551" s="113" t="s">
        <v>126</v>
      </c>
      <c r="D4551" s="393" t="s">
        <v>127</v>
      </c>
      <c r="E4551" s="394" t="s">
        <v>128</v>
      </c>
      <c r="G4551" s="405" t="s">
        <v>129</v>
      </c>
      <c r="H4551" s="404">
        <v>2841</v>
      </c>
      <c r="I4551" s="402" t="s">
        <v>2</v>
      </c>
      <c r="J4551" s="406" t="s">
        <v>130</v>
      </c>
      <c r="K4551" s="403">
        <v>41793</v>
      </c>
      <c r="L4551" s="398">
        <v>41789</v>
      </c>
      <c r="M4551" s="402">
        <f t="shared" ref="M4551:M4557" si="263">K4551-L4551</f>
        <v>4</v>
      </c>
      <c r="N4551" s="402" t="s">
        <v>2</v>
      </c>
      <c r="O4551" s="404"/>
      <c r="P4551" s="402"/>
      <c r="Q4551" s="404"/>
      <c r="R4551" s="402"/>
      <c r="S4551" s="404"/>
      <c r="T4551" s="402"/>
      <c r="U4551" s="395"/>
      <c r="V4551" s="402"/>
      <c r="W4551" s="404"/>
      <c r="X4551" s="402">
        <v>0.28000000000000003</v>
      </c>
      <c r="Y4551" s="404"/>
      <c r="Z4551" s="397"/>
      <c r="AA4551" s="399"/>
      <c r="AB4551" s="394"/>
      <c r="AC4551" s="402"/>
      <c r="AD4551" s="399"/>
      <c r="AE4551" s="402"/>
      <c r="AF4551" s="391"/>
      <c r="AG4551" s="394"/>
      <c r="AH4551" s="394"/>
      <c r="AI4551" s="394"/>
      <c r="AJ4551" s="394"/>
      <c r="AK4551" s="394"/>
      <c r="AL4551" s="394"/>
      <c r="AM4551" s="394"/>
      <c r="AN4551" s="394"/>
      <c r="AO4551" s="394"/>
      <c r="AP4551" s="394"/>
      <c r="AQ4551" s="394"/>
      <c r="AR4551" s="394"/>
      <c r="AS4551" s="402"/>
      <c r="AT4551" s="404"/>
      <c r="AU4551" s="394"/>
      <c r="AV4551" s="394"/>
    </row>
    <row r="4552" spans="1:79" ht="15" customHeight="1">
      <c r="A4552" s="404" t="s">
        <v>4668</v>
      </c>
      <c r="B4552" s="402" t="s">
        <v>956</v>
      </c>
      <c r="C4552" s="113" t="s">
        <v>4231</v>
      </c>
      <c r="D4552" s="393" t="s">
        <v>1830</v>
      </c>
      <c r="E4552" s="394" t="s">
        <v>3271</v>
      </c>
      <c r="F4552" s="402">
        <v>7000</v>
      </c>
      <c r="G4552" s="405" t="s">
        <v>3272</v>
      </c>
      <c r="H4552" s="404">
        <v>4151</v>
      </c>
      <c r="I4552" s="402" t="s">
        <v>2</v>
      </c>
      <c r="J4552" s="406" t="s">
        <v>81</v>
      </c>
      <c r="K4552" s="403">
        <v>41795</v>
      </c>
      <c r="L4552" s="398">
        <v>41782</v>
      </c>
      <c r="M4552" s="402">
        <f t="shared" si="263"/>
        <v>13</v>
      </c>
      <c r="N4552" s="402" t="s">
        <v>2</v>
      </c>
      <c r="O4552" s="404">
        <v>2</v>
      </c>
      <c r="P4552" s="402">
        <v>7.54</v>
      </c>
      <c r="Q4552" s="404">
        <v>7.15</v>
      </c>
      <c r="R4552" s="402">
        <v>25</v>
      </c>
      <c r="S4552" s="404">
        <v>2</v>
      </c>
      <c r="T4552" s="402">
        <v>0.08</v>
      </c>
      <c r="U4552" s="395">
        <v>1.22</v>
      </c>
      <c r="V4552" s="402">
        <v>0.28000000000000003</v>
      </c>
      <c r="W4552" s="404">
        <v>0.03</v>
      </c>
      <c r="X4552" s="402">
        <v>0.02</v>
      </c>
      <c r="Y4552" s="404">
        <f>0.02/2</f>
        <v>0.01</v>
      </c>
      <c r="Z4552" s="397"/>
      <c r="AA4552" s="399"/>
      <c r="AB4552" s="394"/>
      <c r="AC4552" s="402"/>
      <c r="AD4552" s="399"/>
      <c r="AE4552" s="402"/>
      <c r="AF4552" s="391"/>
      <c r="AG4552" s="394"/>
      <c r="AH4552" s="394"/>
      <c r="AI4552" s="394"/>
      <c r="AJ4552" s="394"/>
      <c r="AK4552" s="394"/>
      <c r="AL4552" s="394"/>
      <c r="AM4552" s="394"/>
      <c r="AN4552" s="394"/>
      <c r="AO4552" s="394"/>
      <c r="AP4552" s="394"/>
      <c r="AQ4552" s="394"/>
      <c r="AR4552" s="394"/>
      <c r="AS4552" s="402"/>
      <c r="AT4552" s="404"/>
      <c r="AU4552" s="394"/>
      <c r="AV4552" s="394"/>
    </row>
    <row r="4553" spans="1:79" ht="15" customHeight="1">
      <c r="A4553" s="404" t="s">
        <v>4668</v>
      </c>
      <c r="B4553" s="402" t="s">
        <v>5693</v>
      </c>
      <c r="C4553" s="113" t="s">
        <v>5693</v>
      </c>
      <c r="D4553" s="393" t="s">
        <v>372</v>
      </c>
      <c r="E4553" s="394" t="s">
        <v>599</v>
      </c>
      <c r="F4553" s="402">
        <v>6900</v>
      </c>
      <c r="G4553" s="405" t="s">
        <v>1319</v>
      </c>
      <c r="H4553" s="404">
        <v>3356</v>
      </c>
      <c r="I4553" s="402"/>
      <c r="J4553" s="406" t="s">
        <v>1320</v>
      </c>
      <c r="K4553" s="403">
        <v>41809</v>
      </c>
      <c r="L4553" s="398">
        <v>41799</v>
      </c>
      <c r="M4553" s="402">
        <f t="shared" si="263"/>
        <v>10</v>
      </c>
      <c r="N4553" s="402" t="s">
        <v>2</v>
      </c>
      <c r="O4553" s="404">
        <f>1/2</f>
        <v>0.5</v>
      </c>
      <c r="P4553" s="402">
        <v>5.47</v>
      </c>
      <c r="Q4553" s="404">
        <v>5.22</v>
      </c>
      <c r="R4553" s="402">
        <v>12</v>
      </c>
      <c r="S4553" s="404">
        <f>1/2</f>
        <v>0.5</v>
      </c>
      <c r="T4553" s="402">
        <v>0.12</v>
      </c>
      <c r="U4553" s="395">
        <v>0.72</v>
      </c>
      <c r="V4553" s="402">
        <f>0.2/2</f>
        <v>0.1</v>
      </c>
      <c r="W4553" s="404">
        <f>0.01/2</f>
        <v>5.0000000000000001E-3</v>
      </c>
      <c r="X4553" s="402">
        <v>0.17</v>
      </c>
      <c r="Y4553" s="404">
        <f>0.02/2</f>
        <v>0.01</v>
      </c>
      <c r="Z4553" s="397">
        <v>1</v>
      </c>
      <c r="AA4553" s="399">
        <v>0.88500000000000001</v>
      </c>
      <c r="AB4553" s="394">
        <f>1/2</f>
        <v>0.5</v>
      </c>
      <c r="AC4553" s="402">
        <v>6.2</v>
      </c>
      <c r="AD4553" s="399">
        <v>0.35</v>
      </c>
      <c r="AE4553" s="402"/>
      <c r="AF4553" s="391"/>
      <c r="AG4553" s="394"/>
      <c r="AH4553" s="394"/>
      <c r="AI4553" s="394"/>
      <c r="AJ4553" s="394"/>
      <c r="AK4553" s="394"/>
      <c r="AL4553" s="394"/>
      <c r="AM4553" s="394"/>
      <c r="AN4553" s="394"/>
      <c r="AO4553" s="394"/>
      <c r="AP4553" s="394"/>
      <c r="AQ4553" s="394"/>
      <c r="AR4553" s="394"/>
      <c r="AS4553" s="402"/>
      <c r="AT4553" s="404"/>
      <c r="AU4553" s="394"/>
      <c r="AV4553" s="394"/>
    </row>
    <row r="4554" spans="1:79" ht="15" customHeight="1">
      <c r="A4554" s="404" t="s">
        <v>4668</v>
      </c>
      <c r="B4554" s="402" t="s">
        <v>3255</v>
      </c>
      <c r="C4554" s="113" t="s">
        <v>3255</v>
      </c>
      <c r="D4554" s="393" t="s">
        <v>1490</v>
      </c>
      <c r="F4554" s="402" t="s">
        <v>3256</v>
      </c>
      <c r="G4554" s="405" t="s">
        <v>3257</v>
      </c>
      <c r="H4554" s="404">
        <v>3089</v>
      </c>
      <c r="I4554" s="402" t="s">
        <v>1</v>
      </c>
      <c r="J4554" s="401" t="s">
        <v>700</v>
      </c>
      <c r="K4554" s="403">
        <v>41781</v>
      </c>
      <c r="L4554" s="398">
        <v>41776</v>
      </c>
      <c r="M4554" s="402">
        <f t="shared" si="263"/>
        <v>5</v>
      </c>
      <c r="N4554" s="402" t="s">
        <v>2</v>
      </c>
      <c r="O4554" s="404"/>
      <c r="P4554" s="402"/>
      <c r="Q4554" s="404"/>
      <c r="R4554" s="402"/>
      <c r="S4554" s="404"/>
      <c r="T4554" s="402"/>
      <c r="U4554" s="395"/>
      <c r="V4554" s="402"/>
      <c r="W4554" s="404"/>
      <c r="X4554" s="402">
        <v>0.183</v>
      </c>
      <c r="Y4554" s="404"/>
      <c r="Z4554" s="397"/>
      <c r="AA4554" s="399"/>
      <c r="AB4554" s="394"/>
      <c r="AC4554" s="402"/>
      <c r="AD4554" s="399"/>
      <c r="AE4554" s="402">
        <f>50/2</f>
        <v>25</v>
      </c>
      <c r="AF4554" s="391"/>
      <c r="AG4554" s="394"/>
      <c r="AH4554" s="394"/>
      <c r="AI4554" s="394"/>
      <c r="AJ4554" s="394"/>
      <c r="AK4554" s="394"/>
      <c r="AL4554" s="394"/>
      <c r="AM4554" s="394"/>
      <c r="AN4554" s="394"/>
      <c r="AO4554" s="394"/>
      <c r="AP4554" s="394"/>
      <c r="AQ4554" s="394"/>
      <c r="AR4554" s="394"/>
      <c r="AS4554" s="402"/>
      <c r="AT4554" s="404"/>
      <c r="AU4554" s="394"/>
      <c r="AV4554" s="394"/>
    </row>
    <row r="4555" spans="1:79" ht="15" customHeight="1">
      <c r="A4555" s="404" t="s">
        <v>4668</v>
      </c>
      <c r="B4555" s="402" t="s">
        <v>2260</v>
      </c>
      <c r="C4555" s="113" t="s">
        <v>2260</v>
      </c>
      <c r="D4555" s="393" t="s">
        <v>347</v>
      </c>
      <c r="E4555" s="394" t="s">
        <v>1874</v>
      </c>
      <c r="F4555" s="402">
        <v>5206</v>
      </c>
      <c r="G4555" s="405" t="s">
        <v>1875</v>
      </c>
      <c r="H4555" s="404">
        <v>3569</v>
      </c>
      <c r="I4555" s="402" t="s">
        <v>2</v>
      </c>
      <c r="J4555" s="406" t="s">
        <v>6578</v>
      </c>
      <c r="K4555" s="403">
        <v>41795</v>
      </c>
      <c r="L4555" s="398">
        <v>41789</v>
      </c>
      <c r="M4555" s="402">
        <f t="shared" si="263"/>
        <v>6</v>
      </c>
      <c r="N4555" s="402" t="s">
        <v>2</v>
      </c>
      <c r="O4555" s="404">
        <f>1/2</f>
        <v>0.5</v>
      </c>
      <c r="P4555" s="402">
        <v>4.99</v>
      </c>
      <c r="Q4555" s="404">
        <v>6.9</v>
      </c>
      <c r="R4555" s="402">
        <v>549</v>
      </c>
      <c r="S4555" s="404">
        <v>48</v>
      </c>
      <c r="T4555" s="402">
        <v>0.33</v>
      </c>
      <c r="U4555" s="395">
        <v>5.39</v>
      </c>
      <c r="V4555" s="402">
        <v>0.86</v>
      </c>
      <c r="W4555" s="404">
        <v>0.08</v>
      </c>
      <c r="X4555" s="402">
        <v>0.92</v>
      </c>
      <c r="Y4555" s="404">
        <f>0.05/2</f>
        <v>2.5000000000000001E-2</v>
      </c>
      <c r="Z4555" s="397">
        <v>1</v>
      </c>
      <c r="AA4555" s="399">
        <v>0.70699999999999996</v>
      </c>
      <c r="AB4555" s="394">
        <v>28</v>
      </c>
      <c r="AC4555" s="402">
        <v>122</v>
      </c>
      <c r="AD4555" s="399">
        <v>0.3</v>
      </c>
      <c r="AE4555" s="402"/>
      <c r="AF4555" s="391"/>
      <c r="AG4555" s="394"/>
      <c r="AH4555" s="394"/>
      <c r="AI4555" s="394"/>
      <c r="AJ4555" s="394"/>
      <c r="AK4555" s="394"/>
      <c r="AL4555" s="394"/>
      <c r="AM4555" s="394"/>
      <c r="AN4555" s="394"/>
      <c r="AO4555" s="394"/>
      <c r="AP4555" s="394"/>
      <c r="AQ4555" s="394"/>
      <c r="AR4555" s="394"/>
      <c r="AS4555" s="402"/>
      <c r="AT4555" s="404"/>
      <c r="AU4555" s="394"/>
      <c r="AV4555" s="394"/>
    </row>
    <row r="4556" spans="1:79" ht="15" customHeight="1">
      <c r="A4556" s="404" t="s">
        <v>4668</v>
      </c>
      <c r="B4556" s="402" t="s">
        <v>2260</v>
      </c>
      <c r="C4556" s="113" t="s">
        <v>2260</v>
      </c>
      <c r="D4556" s="393" t="s">
        <v>347</v>
      </c>
      <c r="E4556" s="394" t="s">
        <v>1874</v>
      </c>
      <c r="F4556" s="402">
        <v>5206</v>
      </c>
      <c r="G4556" s="405" t="s">
        <v>1875</v>
      </c>
      <c r="H4556" s="404">
        <v>3569</v>
      </c>
      <c r="I4556" s="402" t="s">
        <v>2</v>
      </c>
      <c r="J4556" s="406" t="s">
        <v>6579</v>
      </c>
      <c r="K4556" s="403">
        <v>41795</v>
      </c>
      <c r="L4556" s="398">
        <v>41789</v>
      </c>
      <c r="M4556" s="402">
        <f t="shared" si="263"/>
        <v>6</v>
      </c>
      <c r="N4556" s="402" t="s">
        <v>2</v>
      </c>
      <c r="O4556" s="404"/>
      <c r="P4556" s="402"/>
      <c r="Q4556" s="404"/>
      <c r="R4556" s="402"/>
      <c r="S4556" s="404"/>
      <c r="T4556" s="402"/>
      <c r="U4556" s="395"/>
      <c r="V4556" s="402"/>
      <c r="W4556" s="404"/>
      <c r="X4556" s="402">
        <v>0.4</v>
      </c>
      <c r="Y4556" s="404"/>
      <c r="Z4556" s="397"/>
      <c r="AA4556" s="399"/>
      <c r="AB4556" s="394"/>
      <c r="AC4556" s="402"/>
      <c r="AD4556" s="399"/>
      <c r="AE4556" s="402"/>
      <c r="AF4556" s="391"/>
      <c r="AG4556" s="394"/>
      <c r="AH4556" s="394"/>
      <c r="AI4556" s="394"/>
      <c r="AJ4556" s="394"/>
      <c r="AK4556" s="394"/>
      <c r="AL4556" s="394"/>
      <c r="AM4556" s="394"/>
      <c r="AN4556" s="394"/>
      <c r="AO4556" s="394"/>
      <c r="AP4556" s="394"/>
      <c r="AQ4556" s="394"/>
      <c r="AR4556" s="394"/>
      <c r="AS4556" s="402"/>
      <c r="AT4556" s="404"/>
      <c r="AU4556" s="394"/>
      <c r="AV4556" s="394"/>
    </row>
    <row r="4557" spans="1:79" ht="15" customHeight="1">
      <c r="A4557" s="404" t="s">
        <v>4668</v>
      </c>
      <c r="B4557" s="402" t="s">
        <v>4079</v>
      </c>
      <c r="C4557" s="113" t="s">
        <v>4079</v>
      </c>
      <c r="D4557" s="393" t="s">
        <v>251</v>
      </c>
      <c r="E4557" s="394" t="s">
        <v>5215</v>
      </c>
      <c r="F4557" s="402">
        <v>4402</v>
      </c>
      <c r="G4557" s="405" t="s">
        <v>4078</v>
      </c>
      <c r="H4557" s="404">
        <v>3471</v>
      </c>
      <c r="I4557" s="402"/>
      <c r="J4557" s="406" t="s">
        <v>510</v>
      </c>
      <c r="K4557" s="403">
        <v>41809</v>
      </c>
      <c r="L4557" s="398">
        <v>41802</v>
      </c>
      <c r="M4557" s="402">
        <f t="shared" si="263"/>
        <v>7</v>
      </c>
      <c r="N4557" s="402" t="s">
        <v>2</v>
      </c>
      <c r="O4557" s="404"/>
      <c r="P4557" s="402"/>
      <c r="Q4557" s="404"/>
      <c r="R4557" s="402"/>
      <c r="S4557" s="404"/>
      <c r="T4557" s="402">
        <v>1.08</v>
      </c>
      <c r="U4557" s="395">
        <v>3.32</v>
      </c>
      <c r="V4557" s="402"/>
      <c r="W4557" s="404"/>
      <c r="X4557" s="402"/>
      <c r="Y4557" s="404"/>
      <c r="Z4557" s="397"/>
      <c r="AA4557" s="399"/>
      <c r="AB4557" s="394"/>
      <c r="AC4557" s="402"/>
      <c r="AD4557" s="399"/>
      <c r="AE4557" s="402"/>
      <c r="AF4557" s="391"/>
      <c r="AG4557" s="394"/>
      <c r="AH4557" s="394"/>
      <c r="AI4557" s="394"/>
      <c r="AJ4557" s="394"/>
      <c r="AK4557" s="394"/>
      <c r="AL4557" s="394"/>
      <c r="AM4557" s="394"/>
      <c r="AN4557" s="394"/>
      <c r="AO4557" s="394"/>
      <c r="AP4557" s="394"/>
      <c r="AQ4557" s="394"/>
      <c r="AR4557" s="394"/>
      <c r="AS4557" s="402"/>
      <c r="AT4557" s="404"/>
      <c r="AU4557" s="394"/>
      <c r="AV4557" s="394"/>
    </row>
    <row r="4558" spans="1:79" ht="15" customHeight="1">
      <c r="A4558" s="41" t="s">
        <v>183</v>
      </c>
      <c r="B4558" s="402" t="s">
        <v>532</v>
      </c>
      <c r="C4558" s="113" t="s">
        <v>1077</v>
      </c>
      <c r="D4558" s="393" t="s">
        <v>262</v>
      </c>
      <c r="E4558" s="394" t="s">
        <v>664</v>
      </c>
      <c r="G4558" s="405" t="s">
        <v>1078</v>
      </c>
      <c r="H4558" s="391">
        <v>2951</v>
      </c>
      <c r="I4558" s="402" t="s">
        <v>1</v>
      </c>
      <c r="J4558" s="402" t="s">
        <v>593</v>
      </c>
      <c r="K4558" s="403">
        <v>41585</v>
      </c>
      <c r="L4558" s="379">
        <v>41579</v>
      </c>
      <c r="M4558" s="402"/>
      <c r="N4558" s="402" t="s">
        <v>2</v>
      </c>
      <c r="O4558" s="404"/>
      <c r="P4558" s="380">
        <v>6.3</v>
      </c>
      <c r="Q4558" s="395">
        <v>9.51</v>
      </c>
      <c r="R4558" s="381"/>
      <c r="S4558" s="382">
        <v>40</v>
      </c>
      <c r="T4558" s="402"/>
      <c r="U4558" s="404"/>
      <c r="V4558" s="402">
        <v>0.19</v>
      </c>
      <c r="Z4558" s="165"/>
      <c r="AI4558" s="404">
        <f>100/2</f>
        <v>50</v>
      </c>
      <c r="AJ4558" s="404">
        <v>638</v>
      </c>
      <c r="AK4558" s="404"/>
      <c r="AL4558" s="404"/>
      <c r="AM4558" s="404"/>
      <c r="AN4558" s="404"/>
      <c r="AQ4558" s="404">
        <f>1/2</f>
        <v>0.5</v>
      </c>
    </row>
    <row r="4559" spans="1:79" ht="15" customHeight="1">
      <c r="A4559" s="41" t="s">
        <v>183</v>
      </c>
      <c r="B4559" s="402" t="s">
        <v>532</v>
      </c>
      <c r="C4559" s="113" t="s">
        <v>1077</v>
      </c>
      <c r="D4559" s="393" t="s">
        <v>262</v>
      </c>
      <c r="E4559" s="394" t="s">
        <v>664</v>
      </c>
      <c r="G4559" s="405" t="s">
        <v>1078</v>
      </c>
      <c r="H4559" s="404">
        <v>2951</v>
      </c>
      <c r="I4559" s="402" t="s">
        <v>1</v>
      </c>
      <c r="J4559" s="402" t="s">
        <v>504</v>
      </c>
      <c r="K4559" s="403">
        <v>41585</v>
      </c>
      <c r="L4559" s="379">
        <v>41579</v>
      </c>
      <c r="M4559" s="402"/>
      <c r="N4559" s="402" t="s">
        <v>2</v>
      </c>
      <c r="O4559" s="404"/>
      <c r="P4559" s="380"/>
      <c r="Q4559" s="395"/>
      <c r="R4559" s="381"/>
      <c r="S4559" s="382"/>
      <c r="T4559" s="402"/>
      <c r="U4559" s="404"/>
      <c r="V4559" s="402"/>
      <c r="Z4559" s="165"/>
      <c r="AI4559" s="404">
        <f>100/2</f>
        <v>50</v>
      </c>
      <c r="AJ4559" s="404">
        <f>10/2</f>
        <v>5</v>
      </c>
      <c r="AK4559" s="404"/>
      <c r="AL4559" s="404"/>
      <c r="AM4559" s="404"/>
      <c r="AN4559" s="404"/>
      <c r="AQ4559" s="404">
        <f>1/2</f>
        <v>0.5</v>
      </c>
    </row>
    <row r="4560" spans="1:79" ht="15" customHeight="1">
      <c r="A4560" s="41" t="s">
        <v>183</v>
      </c>
      <c r="B4560" s="402" t="s">
        <v>2007</v>
      </c>
      <c r="D4560" s="393" t="s">
        <v>195</v>
      </c>
      <c r="E4560" s="394" t="s">
        <v>112</v>
      </c>
      <c r="G4560" s="405" t="s">
        <v>2008</v>
      </c>
      <c r="H4560" s="113"/>
      <c r="I4560" s="391" t="s">
        <v>2</v>
      </c>
      <c r="J4560" s="401" t="s">
        <v>2009</v>
      </c>
      <c r="K4560" s="51">
        <v>41799</v>
      </c>
      <c r="L4560" s="173">
        <v>41795</v>
      </c>
      <c r="N4560" s="50" t="s">
        <v>2</v>
      </c>
      <c r="O4560" s="74">
        <f>1.4/2</f>
        <v>0.7</v>
      </c>
      <c r="P4560" s="50">
        <v>6.4</v>
      </c>
      <c r="Q4560" s="74">
        <v>5.94</v>
      </c>
      <c r="R4560" s="50">
        <v>24</v>
      </c>
      <c r="S4560" s="74">
        <f>5/2</f>
        <v>2.5</v>
      </c>
      <c r="T4560" s="50">
        <v>0.04</v>
      </c>
      <c r="U4560" s="131">
        <v>0.96</v>
      </c>
      <c r="V4560" s="50">
        <v>0.64</v>
      </c>
      <c r="W4560" s="74">
        <v>1.2E-2</v>
      </c>
      <c r="X4560" s="50">
        <v>0.26400000000000001</v>
      </c>
      <c r="Y4560" s="74">
        <f>0.002/2</f>
        <v>1E-3</v>
      </c>
      <c r="Z4560" s="165">
        <v>1</v>
      </c>
      <c r="AA4560" s="271">
        <v>0.70699999999999996</v>
      </c>
      <c r="AB4560" s="114">
        <v>8</v>
      </c>
      <c r="AC4560" s="50">
        <v>14</v>
      </c>
      <c r="AD4560" s="271">
        <v>0</v>
      </c>
    </row>
    <row r="4561" spans="1:79" ht="15" customHeight="1">
      <c r="A4561" s="41" t="s">
        <v>183</v>
      </c>
      <c r="B4561" s="402" t="s">
        <v>1863</v>
      </c>
      <c r="C4561" s="113" t="s">
        <v>4990</v>
      </c>
      <c r="D4561" s="393" t="s">
        <v>1864</v>
      </c>
      <c r="E4561" s="394" t="s">
        <v>1865</v>
      </c>
      <c r="G4561" s="405" t="s">
        <v>1866</v>
      </c>
      <c r="H4561" s="404">
        <v>2611</v>
      </c>
      <c r="I4561" s="402" t="s">
        <v>2</v>
      </c>
      <c r="J4561" s="404" t="s">
        <v>1867</v>
      </c>
      <c r="K4561" s="51">
        <v>41728</v>
      </c>
      <c r="L4561" s="173">
        <v>41717</v>
      </c>
      <c r="N4561" s="50" t="s">
        <v>2</v>
      </c>
      <c r="O4561" s="74">
        <f>1.4/2</f>
        <v>0.7</v>
      </c>
      <c r="P4561" s="50">
        <v>5.25</v>
      </c>
      <c r="Q4561" s="74">
        <v>7.13</v>
      </c>
      <c r="R4561" s="50">
        <v>77</v>
      </c>
      <c r="S4561" s="74">
        <v>22</v>
      </c>
      <c r="T4561" s="50">
        <v>0.09</v>
      </c>
      <c r="U4561" s="131">
        <v>1.04</v>
      </c>
      <c r="V4561" s="50">
        <v>0.1</v>
      </c>
      <c r="W4561" s="74">
        <v>6.0000000000000001E-3</v>
      </c>
      <c r="X4561" s="50">
        <v>2.9000000000000001E-2</v>
      </c>
      <c r="Y4561" s="74">
        <v>3.0000000000000001E-3</v>
      </c>
      <c r="Z4561" s="165"/>
    </row>
    <row r="4562" spans="1:79" ht="15" customHeight="1">
      <c r="A4562" s="41" t="s">
        <v>183</v>
      </c>
      <c r="B4562" s="402" t="s">
        <v>1863</v>
      </c>
      <c r="C4562" s="113" t="s">
        <v>4990</v>
      </c>
      <c r="D4562" s="393" t="s">
        <v>1864</v>
      </c>
      <c r="E4562" s="394" t="s">
        <v>1865</v>
      </c>
      <c r="G4562" s="405" t="s">
        <v>1866</v>
      </c>
      <c r="H4562" s="404">
        <v>2611</v>
      </c>
      <c r="I4562" s="402" t="s">
        <v>2</v>
      </c>
      <c r="J4562" s="404" t="s">
        <v>1291</v>
      </c>
      <c r="K4562" s="51">
        <v>41728</v>
      </c>
      <c r="L4562" s="173">
        <v>41717</v>
      </c>
      <c r="N4562" s="50" t="s">
        <v>2</v>
      </c>
      <c r="O4562" s="74">
        <f>1.4/2</f>
        <v>0.7</v>
      </c>
      <c r="P4562" s="50">
        <v>5.25</v>
      </c>
      <c r="Q4562" s="74">
        <v>7.05</v>
      </c>
      <c r="R4562" s="50">
        <v>14</v>
      </c>
      <c r="S4562" s="74">
        <f>5/2</f>
        <v>2.5</v>
      </c>
      <c r="T4562" s="50">
        <v>0.03</v>
      </c>
      <c r="U4562" s="131">
        <v>0.55000000000000004</v>
      </c>
      <c r="V4562" s="50">
        <v>0.56999999999999995</v>
      </c>
      <c r="W4562" s="74">
        <v>5.0000000000000001E-3</v>
      </c>
      <c r="X4562" s="50">
        <v>5.8000000000000003E-2</v>
      </c>
      <c r="Y4562" s="74">
        <v>4.0000000000000001E-3</v>
      </c>
      <c r="Z4562" s="165"/>
    </row>
    <row r="4563" spans="1:79" ht="15" customHeight="1">
      <c r="A4563" s="41" t="s">
        <v>183</v>
      </c>
      <c r="B4563" s="402" t="s">
        <v>4584</v>
      </c>
      <c r="C4563" s="113" t="s">
        <v>4584</v>
      </c>
      <c r="D4563" s="393" t="s">
        <v>710</v>
      </c>
      <c r="E4563" s="394" t="s">
        <v>4585</v>
      </c>
      <c r="F4563" s="402" t="s">
        <v>5865</v>
      </c>
      <c r="G4563" s="405" t="s">
        <v>4586</v>
      </c>
      <c r="H4563" s="404">
        <v>2653</v>
      </c>
      <c r="I4563" s="402" t="s">
        <v>2</v>
      </c>
      <c r="J4563" s="393" t="s">
        <v>6582</v>
      </c>
      <c r="K4563" s="51">
        <v>41864</v>
      </c>
      <c r="L4563" s="173">
        <v>41823</v>
      </c>
      <c r="N4563" s="50" t="s">
        <v>2</v>
      </c>
      <c r="O4563" s="74">
        <f>1.8/2</f>
        <v>0.9</v>
      </c>
      <c r="P4563" s="50">
        <v>6</v>
      </c>
      <c r="Q4563" s="74">
        <v>6.8</v>
      </c>
      <c r="R4563" s="50">
        <v>46</v>
      </c>
      <c r="S4563" s="74">
        <v>18</v>
      </c>
      <c r="T4563" s="50">
        <v>0.15</v>
      </c>
      <c r="U4563" s="131">
        <v>2.5</v>
      </c>
      <c r="V4563" s="50">
        <v>0.34</v>
      </c>
      <c r="W4563" s="74">
        <v>9.5999999999999992E-3</v>
      </c>
      <c r="X4563" s="50">
        <v>0.27</v>
      </c>
      <c r="Y4563" s="74">
        <f>0.002/2</f>
        <v>1E-3</v>
      </c>
      <c r="Z4563" s="165">
        <v>1</v>
      </c>
      <c r="AA4563" s="271">
        <v>1</v>
      </c>
      <c r="AB4563" s="114">
        <v>42</v>
      </c>
      <c r="AC4563" s="50">
        <v>193</v>
      </c>
      <c r="AD4563" s="271">
        <v>1</v>
      </c>
    </row>
    <row r="4564" spans="1:79" ht="15" customHeight="1">
      <c r="A4564" s="41" t="s">
        <v>183</v>
      </c>
      <c r="B4564" s="402" t="s">
        <v>956</v>
      </c>
      <c r="C4564" s="113" t="s">
        <v>5249</v>
      </c>
      <c r="D4564" s="393" t="s">
        <v>133</v>
      </c>
      <c r="E4564" s="394" t="s">
        <v>44</v>
      </c>
      <c r="G4564" s="405" t="s">
        <v>5250</v>
      </c>
      <c r="H4564" s="404">
        <v>4111</v>
      </c>
      <c r="I4564" s="402" t="s">
        <v>1</v>
      </c>
      <c r="J4564" s="406" t="s">
        <v>1125</v>
      </c>
      <c r="K4564" s="51">
        <v>41554</v>
      </c>
      <c r="L4564" s="173">
        <v>41508</v>
      </c>
      <c r="N4564" s="50" t="s">
        <v>2</v>
      </c>
      <c r="O4564" s="74">
        <f>1/2</f>
        <v>0.5</v>
      </c>
      <c r="P4564" s="50">
        <v>5.28</v>
      </c>
      <c r="Q4564" s="74">
        <v>2</v>
      </c>
      <c r="R4564" s="50">
        <f>2/2</f>
        <v>1</v>
      </c>
      <c r="S4564" s="74">
        <f>1/2</f>
        <v>0.5</v>
      </c>
      <c r="T4564" s="50">
        <f>0.05/2</f>
        <v>2.5000000000000001E-2</v>
      </c>
      <c r="U4564" s="131">
        <v>0.2</v>
      </c>
      <c r="V4564" s="50">
        <f>0.2/2</f>
        <v>0.1</v>
      </c>
      <c r="W4564" s="74">
        <f>0.01/2</f>
        <v>5.0000000000000001E-3</v>
      </c>
      <c r="X4564" s="50">
        <v>0.13</v>
      </c>
      <c r="Y4564" s="74">
        <f>0.02/2</f>
        <v>0.01</v>
      </c>
      <c r="Z4564" s="165"/>
    </row>
    <row r="4565" spans="1:79" s="400" customFormat="1" ht="15" customHeight="1">
      <c r="A4565" s="41" t="s">
        <v>183</v>
      </c>
      <c r="B4565" s="402" t="s">
        <v>5772</v>
      </c>
      <c r="C4565" s="402" t="s">
        <v>5772</v>
      </c>
      <c r="D4565" s="405" t="s">
        <v>861</v>
      </c>
      <c r="E4565" s="404" t="s">
        <v>5773</v>
      </c>
      <c r="F4565" s="402"/>
      <c r="G4565" s="401" t="s">
        <v>5774</v>
      </c>
      <c r="H4565" s="404">
        <v>3273</v>
      </c>
      <c r="I4565" s="402" t="s">
        <v>2</v>
      </c>
      <c r="J4565" s="406" t="s">
        <v>5775</v>
      </c>
      <c r="K4565" s="403">
        <v>41402</v>
      </c>
      <c r="L4565" s="398">
        <v>41384</v>
      </c>
      <c r="M4565" s="402">
        <f t="shared" ref="M4565:M4566" si="264">K4565-L4565</f>
        <v>18</v>
      </c>
      <c r="N4565" s="402" t="s">
        <v>2</v>
      </c>
      <c r="O4565" s="404">
        <v>20.2</v>
      </c>
      <c r="P4565" s="402">
        <v>5.5</v>
      </c>
      <c r="Q4565" s="404">
        <v>8.8000000000000007</v>
      </c>
      <c r="R4565" s="402">
        <v>50.1</v>
      </c>
      <c r="S4565" s="404">
        <v>64</v>
      </c>
      <c r="T4565" s="402">
        <f>0.01/2</f>
        <v>5.0000000000000001E-3</v>
      </c>
      <c r="U4565" s="395">
        <v>1.36</v>
      </c>
      <c r="V4565" s="402">
        <v>0.25</v>
      </c>
      <c r="W4565" s="404">
        <f>0.02/2</f>
        <v>0.01</v>
      </c>
      <c r="X4565" s="402">
        <f>0.05/2</f>
        <v>2.5000000000000001E-2</v>
      </c>
      <c r="Y4565" s="404">
        <v>4.0000000000000001E-3</v>
      </c>
      <c r="Z4565" s="397">
        <v>1</v>
      </c>
      <c r="AA4565" s="399">
        <v>1</v>
      </c>
      <c r="AB4565" s="394">
        <v>54</v>
      </c>
      <c r="AC4565" s="402">
        <v>255</v>
      </c>
      <c r="AD4565" s="399">
        <v>1</v>
      </c>
      <c r="AE4565" s="402"/>
      <c r="AF4565" s="391"/>
      <c r="AG4565" s="394"/>
      <c r="AH4565" s="394"/>
      <c r="AI4565" s="394"/>
      <c r="AJ4565" s="394"/>
      <c r="AK4565" s="394"/>
      <c r="AL4565" s="394"/>
      <c r="AM4565" s="394"/>
      <c r="AN4565" s="394"/>
      <c r="AO4565" s="394"/>
      <c r="AP4565" s="394"/>
      <c r="AQ4565" s="394"/>
      <c r="AR4565" s="394"/>
      <c r="AS4565" s="402"/>
      <c r="AT4565" s="404"/>
      <c r="AU4565" s="394"/>
      <c r="AV4565" s="394"/>
      <c r="AW4565" s="394"/>
      <c r="AX4565" s="5"/>
      <c r="AY4565" s="5"/>
      <c r="AZ4565" s="5"/>
      <c r="BA4565" s="5"/>
      <c r="BB4565" s="5"/>
      <c r="BC4565" s="5"/>
      <c r="BD4565" s="5"/>
      <c r="BE4565" s="5"/>
      <c r="BF4565" s="5"/>
      <c r="BG4565" s="5"/>
      <c r="BH4565" s="5"/>
      <c r="BI4565" s="5"/>
      <c r="BJ4565" s="5"/>
      <c r="BK4565" s="5"/>
      <c r="BL4565" s="5"/>
      <c r="BM4565" s="5"/>
      <c r="BN4565" s="5"/>
      <c r="BO4565" s="5"/>
      <c r="BP4565" s="5"/>
      <c r="BQ4565" s="5"/>
      <c r="BR4565" s="5"/>
      <c r="BS4565" s="5"/>
      <c r="BT4565" s="5"/>
      <c r="BU4565" s="5"/>
      <c r="BV4565" s="5"/>
      <c r="BW4565" s="5"/>
      <c r="BX4565" s="5"/>
      <c r="BY4565" s="5"/>
      <c r="BZ4565" s="5"/>
      <c r="CA4565" s="5"/>
    </row>
    <row r="4566" spans="1:79" s="400" customFormat="1" ht="15" customHeight="1">
      <c r="A4566" s="41" t="s">
        <v>183</v>
      </c>
      <c r="B4566" s="402" t="s">
        <v>5777</v>
      </c>
      <c r="C4566" s="402" t="s">
        <v>5777</v>
      </c>
      <c r="D4566" s="405" t="s">
        <v>640</v>
      </c>
      <c r="E4566" s="394" t="s">
        <v>2031</v>
      </c>
      <c r="F4566" s="402"/>
      <c r="G4566" s="401" t="s">
        <v>2035</v>
      </c>
      <c r="H4566" s="404">
        <v>3231</v>
      </c>
      <c r="I4566" s="402" t="s">
        <v>2</v>
      </c>
      <c r="J4566" s="406" t="s">
        <v>74</v>
      </c>
      <c r="K4566" s="403">
        <v>41240</v>
      </c>
      <c r="L4566" s="398">
        <v>41237</v>
      </c>
      <c r="M4566" s="402">
        <f t="shared" si="264"/>
        <v>3</v>
      </c>
      <c r="N4566" s="402" t="s">
        <v>2</v>
      </c>
      <c r="O4566" s="404">
        <f>1.4/2</f>
        <v>0.7</v>
      </c>
      <c r="P4566" s="402">
        <v>6.97</v>
      </c>
      <c r="Q4566" s="404">
        <v>7.51</v>
      </c>
      <c r="R4566" s="402">
        <v>12</v>
      </c>
      <c r="S4566" s="404">
        <f>5/2</f>
        <v>2.5</v>
      </c>
      <c r="T4566" s="402">
        <v>0.03</v>
      </c>
      <c r="U4566" s="395">
        <v>0.65</v>
      </c>
      <c r="V4566" s="402">
        <v>0.9</v>
      </c>
      <c r="W4566" s="404">
        <f>0.005/2</f>
        <v>2.5000000000000001E-3</v>
      </c>
      <c r="X4566" s="402">
        <v>5.1999999999999998E-2</v>
      </c>
      <c r="Y4566" s="404">
        <v>6.0000000000000001E-3</v>
      </c>
      <c r="Z4566" s="397">
        <v>1</v>
      </c>
      <c r="AA4566" s="399">
        <v>1</v>
      </c>
      <c r="AB4566" s="394">
        <v>114</v>
      </c>
      <c r="AC4566" s="402">
        <v>328</v>
      </c>
      <c r="AD4566" s="399">
        <v>1</v>
      </c>
      <c r="AE4566" s="402"/>
      <c r="AF4566" s="391"/>
      <c r="AG4566" s="394"/>
      <c r="AH4566" s="394"/>
      <c r="AI4566" s="394"/>
      <c r="AJ4566" s="394"/>
      <c r="AK4566" s="394"/>
      <c r="AL4566" s="394"/>
      <c r="AM4566" s="394"/>
      <c r="AN4566" s="394"/>
      <c r="AO4566" s="394"/>
      <c r="AP4566" s="394"/>
      <c r="AQ4566" s="394"/>
      <c r="AR4566" s="394"/>
      <c r="AS4566" s="402"/>
      <c r="AT4566" s="404"/>
      <c r="AU4566" s="394"/>
      <c r="AV4566" s="394"/>
      <c r="AW4566" s="394"/>
      <c r="AX4566" s="5"/>
      <c r="AY4566" s="5"/>
      <c r="AZ4566" s="5"/>
      <c r="BA4566" s="5"/>
      <c r="BB4566" s="5"/>
      <c r="BC4566" s="5"/>
      <c r="BD4566" s="5"/>
      <c r="BE4566" s="5"/>
      <c r="BF4566" s="5"/>
      <c r="BG4566" s="5"/>
      <c r="BH4566" s="5"/>
      <c r="BI4566" s="5"/>
      <c r="BJ4566" s="5"/>
      <c r="BK4566" s="5"/>
      <c r="BL4566" s="5"/>
      <c r="BM4566" s="5"/>
      <c r="BN4566" s="5"/>
      <c r="BO4566" s="5"/>
      <c r="BP4566" s="5"/>
      <c r="BQ4566" s="5"/>
      <c r="BR4566" s="5"/>
      <c r="BS4566" s="5"/>
      <c r="BT4566" s="5"/>
      <c r="BU4566" s="5"/>
      <c r="BV4566" s="5"/>
      <c r="BW4566" s="5"/>
      <c r="BX4566" s="5"/>
      <c r="BY4566" s="5"/>
      <c r="BZ4566" s="5"/>
      <c r="CA4566" s="5"/>
    </row>
    <row r="4567" spans="1:79" ht="15" customHeight="1">
      <c r="A4567" s="404" t="s">
        <v>4668</v>
      </c>
      <c r="B4567" s="402" t="s">
        <v>1071</v>
      </c>
      <c r="C4567" s="402" t="s">
        <v>1071</v>
      </c>
      <c r="D4567" s="405" t="s">
        <v>372</v>
      </c>
      <c r="E4567" s="391" t="s">
        <v>1072</v>
      </c>
      <c r="F4567" s="402">
        <v>6900</v>
      </c>
      <c r="G4567" s="401" t="s">
        <v>1073</v>
      </c>
      <c r="H4567" s="404">
        <v>3471</v>
      </c>
      <c r="I4567" s="402" t="s">
        <v>2</v>
      </c>
      <c r="J4567" s="393" t="s">
        <v>1030</v>
      </c>
      <c r="K4567" s="403">
        <v>41795</v>
      </c>
      <c r="L4567" s="398">
        <v>41786</v>
      </c>
      <c r="M4567" s="402">
        <f t="shared" ref="M4567:M4627" si="265">K4567-L4567</f>
        <v>9</v>
      </c>
      <c r="N4567" s="402" t="s">
        <v>2</v>
      </c>
      <c r="O4567" s="404"/>
      <c r="P4567" s="402">
        <v>4.8600000000000003</v>
      </c>
      <c r="Q4567" s="404"/>
      <c r="R4567" s="402"/>
      <c r="S4567" s="404"/>
      <c r="T4567" s="402">
        <v>0.28000000000000003</v>
      </c>
      <c r="U4567" s="395"/>
      <c r="V4567" s="402"/>
      <c r="W4567" s="404">
        <f>0.04/2</f>
        <v>0.02</v>
      </c>
      <c r="X4567" s="402">
        <v>0.11</v>
      </c>
      <c r="Y4567" s="404"/>
      <c r="Z4567" s="397"/>
      <c r="AA4567" s="399"/>
      <c r="AB4567" s="394"/>
      <c r="AC4567" s="402"/>
      <c r="AD4567" s="399"/>
      <c r="AE4567" s="402"/>
      <c r="AF4567" s="391"/>
      <c r="AG4567" s="394"/>
      <c r="AH4567" s="394"/>
      <c r="AI4567" s="394"/>
      <c r="AJ4567" s="394"/>
      <c r="AK4567" s="394"/>
      <c r="AL4567" s="394"/>
      <c r="AM4567" s="394"/>
      <c r="AN4567" s="394"/>
      <c r="AO4567" s="394"/>
      <c r="AP4567" s="394"/>
      <c r="AQ4567" s="394"/>
      <c r="AR4567" s="394"/>
      <c r="AS4567" s="402"/>
      <c r="AT4567" s="404"/>
      <c r="AU4567" s="394"/>
      <c r="AV4567" s="394"/>
    </row>
    <row r="4568" spans="1:79" ht="15" customHeight="1">
      <c r="A4568" s="404" t="s">
        <v>4668</v>
      </c>
      <c r="B4568" s="402" t="s">
        <v>1920</v>
      </c>
      <c r="C4568" s="402" t="s">
        <v>1920</v>
      </c>
      <c r="D4568" s="405" t="s">
        <v>4157</v>
      </c>
      <c r="E4568" s="394" t="s">
        <v>1859</v>
      </c>
      <c r="G4568" s="401" t="s">
        <v>1921</v>
      </c>
      <c r="H4568" s="404">
        <v>3087</v>
      </c>
      <c r="I4568" s="402" t="s">
        <v>1</v>
      </c>
      <c r="J4568" s="401" t="s">
        <v>255</v>
      </c>
      <c r="K4568" s="403">
        <v>41795</v>
      </c>
      <c r="L4568" s="398">
        <v>41794</v>
      </c>
      <c r="M4568" s="402">
        <f t="shared" si="265"/>
        <v>1</v>
      </c>
      <c r="N4568" s="402" t="s">
        <v>2</v>
      </c>
      <c r="O4568" s="404"/>
      <c r="P4568" s="402"/>
      <c r="Q4568" s="404"/>
      <c r="R4568" s="402"/>
      <c r="S4568" s="404"/>
      <c r="T4568" s="402"/>
      <c r="U4568" s="395"/>
      <c r="V4568" s="402"/>
      <c r="W4568" s="404"/>
      <c r="X4568" s="402">
        <v>0.86</v>
      </c>
      <c r="Y4568" s="404"/>
      <c r="Z4568" s="397"/>
      <c r="AA4568" s="399"/>
      <c r="AB4568" s="394"/>
      <c r="AC4568" s="402"/>
      <c r="AD4568" s="399"/>
      <c r="AE4568" s="402">
        <v>30</v>
      </c>
      <c r="AF4568" s="391"/>
      <c r="AG4568" s="394"/>
      <c r="AH4568" s="394"/>
      <c r="AI4568" s="394"/>
      <c r="AJ4568" s="394"/>
      <c r="AK4568" s="394"/>
      <c r="AL4568" s="394"/>
      <c r="AM4568" s="394"/>
      <c r="AN4568" s="394"/>
      <c r="AO4568" s="394"/>
      <c r="AP4568" s="394"/>
      <c r="AQ4568" s="394"/>
      <c r="AR4568" s="394"/>
      <c r="AS4568" s="402"/>
      <c r="AT4568" s="404"/>
      <c r="AU4568" s="394"/>
      <c r="AV4568" s="394"/>
    </row>
    <row r="4569" spans="1:79" ht="15" customHeight="1">
      <c r="A4569" s="404" t="s">
        <v>4668</v>
      </c>
      <c r="B4569" s="386" t="s">
        <v>680</v>
      </c>
      <c r="C4569" s="386" t="s">
        <v>680</v>
      </c>
      <c r="D4569" s="405" t="s">
        <v>303</v>
      </c>
      <c r="E4569" s="404" t="s">
        <v>3156</v>
      </c>
      <c r="F4569" s="401" t="s">
        <v>6201</v>
      </c>
      <c r="G4569" s="401" t="s">
        <v>682</v>
      </c>
      <c r="H4569" s="404">
        <v>3999</v>
      </c>
      <c r="I4569" s="402" t="s">
        <v>2</v>
      </c>
      <c r="J4569" s="406" t="s">
        <v>81</v>
      </c>
      <c r="K4569" s="403">
        <v>41781</v>
      </c>
      <c r="L4569" s="398">
        <v>41776</v>
      </c>
      <c r="M4569" s="402">
        <f t="shared" si="265"/>
        <v>5</v>
      </c>
      <c r="N4569" s="402" t="s">
        <v>2</v>
      </c>
      <c r="O4569" s="404"/>
      <c r="P4569" s="402"/>
      <c r="Q4569" s="404"/>
      <c r="R4569" s="402"/>
      <c r="S4569" s="404"/>
      <c r="T4569" s="402"/>
      <c r="U4569" s="395"/>
      <c r="V4569" s="402">
        <v>1.2</v>
      </c>
      <c r="W4569" s="404"/>
      <c r="X4569" s="402">
        <v>0.83</v>
      </c>
      <c r="Y4569" s="404"/>
      <c r="Z4569" s="397"/>
      <c r="AA4569" s="399"/>
      <c r="AB4569" s="394"/>
      <c r="AC4569" s="402"/>
      <c r="AD4569" s="399"/>
      <c r="AE4569" s="402"/>
      <c r="AF4569" s="391"/>
      <c r="AG4569" s="394"/>
      <c r="AH4569" s="394"/>
      <c r="AI4569" s="394"/>
      <c r="AJ4569" s="394"/>
      <c r="AK4569" s="394"/>
      <c r="AL4569" s="394"/>
      <c r="AM4569" s="394"/>
      <c r="AN4569" s="394"/>
      <c r="AO4569" s="394"/>
      <c r="AP4569" s="394"/>
      <c r="AQ4569" s="394"/>
      <c r="AR4569" s="394"/>
      <c r="AS4569" s="402"/>
      <c r="AT4569" s="404"/>
      <c r="AU4569" s="394"/>
      <c r="AV4569" s="394"/>
    </row>
    <row r="4570" spans="1:79" ht="15" customHeight="1">
      <c r="A4570" s="404" t="s">
        <v>4668</v>
      </c>
      <c r="B4570" s="402" t="s">
        <v>5812</v>
      </c>
      <c r="C4570" s="402" t="s">
        <v>5812</v>
      </c>
      <c r="D4570" s="405" t="s">
        <v>836</v>
      </c>
      <c r="E4570" s="404" t="s">
        <v>5481</v>
      </c>
      <c r="F4570" s="401" t="s">
        <v>6597</v>
      </c>
      <c r="G4570" s="401" t="s">
        <v>5482</v>
      </c>
      <c r="H4570" s="404">
        <v>3357</v>
      </c>
      <c r="I4570" s="402" t="s">
        <v>2</v>
      </c>
      <c r="J4570" s="406" t="s">
        <v>75</v>
      </c>
      <c r="K4570" s="403">
        <v>41710</v>
      </c>
      <c r="L4570" s="398"/>
      <c r="M4570" s="402"/>
      <c r="N4570" s="402" t="s">
        <v>1</v>
      </c>
      <c r="O4570" s="404">
        <f>1.9/2</f>
        <v>0.95</v>
      </c>
      <c r="P4570" s="402">
        <v>5.7</v>
      </c>
      <c r="Q4570" s="404">
        <v>6.4</v>
      </c>
      <c r="R4570" s="402">
        <v>36</v>
      </c>
      <c r="S4570" s="404">
        <v>44.8</v>
      </c>
      <c r="T4570" s="402">
        <v>0.107</v>
      </c>
      <c r="U4570" s="395">
        <f>1.6/2</f>
        <v>0.8</v>
      </c>
      <c r="V4570" s="402">
        <v>0.56999999999999995</v>
      </c>
      <c r="W4570" s="404">
        <v>1.2999999999999999E-2</v>
      </c>
      <c r="X4570" s="402">
        <v>6.6000000000000003E-2</v>
      </c>
      <c r="Y4570" s="404">
        <v>1.2699999999999999E-2</v>
      </c>
      <c r="Z4570" s="397"/>
      <c r="AA4570" s="399"/>
      <c r="AB4570" s="394"/>
      <c r="AC4570" s="402"/>
      <c r="AD4570" s="399"/>
      <c r="AE4570" s="402"/>
      <c r="AF4570" s="391"/>
      <c r="AG4570" s="394"/>
      <c r="AH4570" s="394"/>
      <c r="AI4570" s="394"/>
      <c r="AJ4570" s="394"/>
      <c r="AK4570" s="394"/>
      <c r="AL4570" s="394"/>
      <c r="AM4570" s="394"/>
      <c r="AN4570" s="394"/>
      <c r="AO4570" s="394"/>
      <c r="AP4570" s="394"/>
      <c r="AQ4570" s="394"/>
      <c r="AR4570" s="394"/>
      <c r="AS4570" s="402"/>
      <c r="AT4570" s="404"/>
      <c r="AU4570" s="394"/>
      <c r="AV4570" s="394"/>
    </row>
    <row r="4571" spans="1:79" ht="15" customHeight="1">
      <c r="A4571" s="404" t="s">
        <v>4668</v>
      </c>
      <c r="B4571" s="113" t="s">
        <v>2495</v>
      </c>
      <c r="C4571" s="402" t="s">
        <v>2495</v>
      </c>
      <c r="D4571" s="401" t="s">
        <v>41</v>
      </c>
      <c r="E4571" s="394" t="s">
        <v>2496</v>
      </c>
      <c r="F4571" s="401" t="s">
        <v>6598</v>
      </c>
      <c r="G4571" s="401" t="s">
        <v>2497</v>
      </c>
      <c r="H4571" s="404">
        <v>3454</v>
      </c>
      <c r="I4571" s="402" t="s">
        <v>2</v>
      </c>
      <c r="J4571" s="406" t="s">
        <v>2498</v>
      </c>
      <c r="K4571" s="403">
        <v>41799</v>
      </c>
      <c r="L4571" s="398">
        <v>41795</v>
      </c>
      <c r="M4571" s="402">
        <f t="shared" si="265"/>
        <v>4</v>
      </c>
      <c r="N4571" s="402" t="s">
        <v>2</v>
      </c>
      <c r="O4571" s="404"/>
      <c r="P4571" s="402"/>
      <c r="Q4571" s="404"/>
      <c r="R4571" s="402"/>
      <c r="S4571" s="404"/>
      <c r="T4571" s="402"/>
      <c r="U4571" s="395"/>
      <c r="V4571" s="402"/>
      <c r="W4571" s="404"/>
      <c r="X4571" s="402">
        <v>0.77900000000000003</v>
      </c>
      <c r="Y4571" s="404"/>
      <c r="Z4571" s="397"/>
      <c r="AA4571" s="399"/>
      <c r="AB4571" s="394"/>
      <c r="AC4571" s="402"/>
      <c r="AD4571" s="399"/>
      <c r="AE4571" s="402"/>
      <c r="AF4571" s="391"/>
      <c r="AG4571" s="394"/>
      <c r="AH4571" s="394"/>
      <c r="AI4571" s="394"/>
      <c r="AJ4571" s="394"/>
      <c r="AK4571" s="394"/>
      <c r="AL4571" s="394"/>
      <c r="AM4571" s="394"/>
      <c r="AN4571" s="394"/>
      <c r="AO4571" s="394"/>
      <c r="AP4571" s="394"/>
      <c r="AQ4571" s="394"/>
      <c r="AR4571" s="394"/>
      <c r="AS4571" s="402"/>
      <c r="AT4571" s="404"/>
      <c r="AU4571" s="394"/>
      <c r="AV4571" s="394"/>
    </row>
    <row r="4572" spans="1:79" ht="15" customHeight="1">
      <c r="A4572" s="404" t="s">
        <v>4668</v>
      </c>
      <c r="B4572" s="113" t="s">
        <v>2495</v>
      </c>
      <c r="C4572" s="402" t="s">
        <v>2495</v>
      </c>
      <c r="D4572" s="401" t="s">
        <v>41</v>
      </c>
      <c r="E4572" s="394" t="s">
        <v>2496</v>
      </c>
      <c r="F4572" s="401" t="s">
        <v>6598</v>
      </c>
      <c r="G4572" s="401" t="s">
        <v>2497</v>
      </c>
      <c r="H4572" s="404">
        <v>3454</v>
      </c>
      <c r="I4572" s="402" t="s">
        <v>2</v>
      </c>
      <c r="J4572" s="406" t="s">
        <v>5342</v>
      </c>
      <c r="K4572" s="403">
        <v>41799</v>
      </c>
      <c r="L4572" s="398">
        <v>41795</v>
      </c>
      <c r="M4572" s="402">
        <f t="shared" si="265"/>
        <v>4</v>
      </c>
      <c r="N4572" s="402" t="s">
        <v>2</v>
      </c>
      <c r="O4572" s="404"/>
      <c r="P4572" s="402"/>
      <c r="Q4572" s="404"/>
      <c r="R4572" s="402">
        <v>65</v>
      </c>
      <c r="S4572" s="404"/>
      <c r="T4572" s="402"/>
      <c r="U4572" s="395"/>
      <c r="V4572" s="402"/>
      <c r="W4572" s="404"/>
      <c r="X4572" s="402"/>
      <c r="Y4572" s="404"/>
      <c r="Z4572" s="397"/>
      <c r="AA4572" s="399"/>
      <c r="AB4572" s="394"/>
      <c r="AC4572" s="402"/>
      <c r="AD4572" s="399"/>
      <c r="AE4572" s="402"/>
      <c r="AF4572" s="391"/>
      <c r="AG4572" s="394"/>
      <c r="AH4572" s="394"/>
      <c r="AI4572" s="394"/>
      <c r="AJ4572" s="394"/>
      <c r="AK4572" s="394"/>
      <c r="AL4572" s="394"/>
      <c r="AM4572" s="394"/>
      <c r="AN4572" s="394"/>
      <c r="AO4572" s="394"/>
      <c r="AP4572" s="394"/>
      <c r="AQ4572" s="394"/>
      <c r="AR4572" s="394"/>
      <c r="AS4572" s="402"/>
      <c r="AT4572" s="404"/>
      <c r="AU4572" s="394"/>
      <c r="AV4572" s="394"/>
    </row>
    <row r="4573" spans="1:79" ht="15" customHeight="1">
      <c r="A4573" s="404" t="s">
        <v>4668</v>
      </c>
      <c r="B4573" s="402" t="s">
        <v>4567</v>
      </c>
      <c r="C4573" s="402" t="s">
        <v>4567</v>
      </c>
      <c r="D4573" s="405" t="s">
        <v>251</v>
      </c>
      <c r="E4573" s="404"/>
      <c r="F4573" s="402">
        <v>4603</v>
      </c>
      <c r="G4573" s="401" t="s">
        <v>4568</v>
      </c>
      <c r="H4573" s="404"/>
      <c r="I4573" s="402" t="s">
        <v>2</v>
      </c>
      <c r="J4573" s="406" t="s">
        <v>3144</v>
      </c>
      <c r="K4573" s="403">
        <v>41795</v>
      </c>
      <c r="L4573" s="398">
        <v>41782</v>
      </c>
      <c r="M4573" s="402">
        <f t="shared" si="265"/>
        <v>13</v>
      </c>
      <c r="N4573" s="402" t="s">
        <v>2</v>
      </c>
      <c r="O4573" s="404">
        <v>24.3</v>
      </c>
      <c r="P4573" s="402"/>
      <c r="Q4573" s="404"/>
      <c r="R4573" s="402">
        <v>44.1</v>
      </c>
      <c r="S4573" s="404"/>
      <c r="T4573" s="402"/>
      <c r="U4573" s="395"/>
      <c r="V4573" s="402"/>
      <c r="W4573" s="404">
        <f>0.02/2</f>
        <v>0.01</v>
      </c>
      <c r="X4573" s="402"/>
      <c r="Y4573" s="404"/>
      <c r="Z4573" s="397">
        <v>1</v>
      </c>
      <c r="AA4573" s="399">
        <v>1</v>
      </c>
      <c r="AB4573" s="394">
        <v>24</v>
      </c>
      <c r="AC4573" s="402">
        <v>45</v>
      </c>
      <c r="AD4573" s="399">
        <v>1</v>
      </c>
      <c r="AE4573" s="402"/>
      <c r="AF4573" s="391"/>
      <c r="AG4573" s="394"/>
      <c r="AH4573" s="394"/>
      <c r="AI4573" s="394"/>
      <c r="AJ4573" s="394"/>
      <c r="AK4573" s="394"/>
      <c r="AL4573" s="394"/>
      <c r="AM4573" s="394"/>
      <c r="AN4573" s="394"/>
      <c r="AO4573" s="394"/>
      <c r="AP4573" s="394"/>
      <c r="AQ4573" s="394"/>
      <c r="AR4573" s="394"/>
      <c r="AS4573" s="402"/>
      <c r="AT4573" s="404"/>
      <c r="AU4573" s="394"/>
      <c r="AV4573" s="394"/>
    </row>
    <row r="4574" spans="1:79" ht="15" customHeight="1">
      <c r="A4574" s="404" t="s">
        <v>4668</v>
      </c>
      <c r="B4574" s="402" t="s">
        <v>5749</v>
      </c>
      <c r="C4574" s="402" t="s">
        <v>5749</v>
      </c>
      <c r="D4574" s="405" t="s">
        <v>379</v>
      </c>
      <c r="E4574" s="404" t="s">
        <v>214</v>
      </c>
      <c r="F4574" s="393" t="s">
        <v>6620</v>
      </c>
      <c r="G4574" s="401" t="s">
        <v>5486</v>
      </c>
      <c r="H4574" s="404">
        <v>3316</v>
      </c>
      <c r="I4574" s="402" t="s">
        <v>1</v>
      </c>
      <c r="J4574" s="406" t="s">
        <v>249</v>
      </c>
      <c r="K4574" s="403">
        <v>41744</v>
      </c>
      <c r="L4574" s="398">
        <v>41740</v>
      </c>
      <c r="M4574" s="402">
        <f t="shared" si="265"/>
        <v>4</v>
      </c>
      <c r="N4574" s="402" t="s">
        <v>2</v>
      </c>
      <c r="O4574" s="404">
        <f>1.9/2</f>
        <v>0.95</v>
      </c>
      <c r="P4574" s="402">
        <v>5.3</v>
      </c>
      <c r="Q4574" s="404">
        <v>6</v>
      </c>
      <c r="R4574" s="402">
        <f>20/2</f>
        <v>10</v>
      </c>
      <c r="S4574" s="404">
        <v>4</v>
      </c>
      <c r="T4574" s="402">
        <v>1.7999999999999999E-2</v>
      </c>
      <c r="U4574" s="395">
        <f>1.6/2</f>
        <v>0.8</v>
      </c>
      <c r="V4574" s="402">
        <v>0.87</v>
      </c>
      <c r="W4574" s="404">
        <v>0.01</v>
      </c>
      <c r="X4574" s="402">
        <v>7.4999999999999997E-2</v>
      </c>
      <c r="Y4574" s="404">
        <v>2.4400000000000002E-2</v>
      </c>
      <c r="Z4574" s="397">
        <v>0.79100000000000004</v>
      </c>
      <c r="AA4574" s="399">
        <v>0.69699999999999995</v>
      </c>
      <c r="AB4574" s="394">
        <v>10</v>
      </c>
      <c r="AC4574" s="402">
        <v>34</v>
      </c>
      <c r="AD4574" s="399">
        <v>0</v>
      </c>
      <c r="AE4574" s="402">
        <v>610</v>
      </c>
      <c r="AF4574" s="391">
        <v>5100</v>
      </c>
      <c r="AG4574" s="394"/>
      <c r="AH4574" s="394"/>
      <c r="AI4574" s="394"/>
      <c r="AJ4574" s="394"/>
      <c r="AK4574" s="394"/>
      <c r="AL4574" s="394"/>
      <c r="AM4574" s="394"/>
      <c r="AN4574" s="394"/>
      <c r="AO4574" s="394"/>
      <c r="AP4574" s="394"/>
      <c r="AQ4574" s="394"/>
      <c r="AR4574" s="394"/>
      <c r="AS4574" s="402"/>
      <c r="AT4574" s="404"/>
      <c r="AU4574" s="394"/>
      <c r="AV4574" s="394"/>
    </row>
    <row r="4575" spans="1:79" ht="15" customHeight="1">
      <c r="A4575" s="404" t="s">
        <v>4668</v>
      </c>
      <c r="B4575" s="402" t="s">
        <v>1351</v>
      </c>
      <c r="C4575" s="402" t="s">
        <v>1357</v>
      </c>
      <c r="D4575" s="405" t="s">
        <v>684</v>
      </c>
      <c r="E4575" s="391" t="s">
        <v>112</v>
      </c>
      <c r="F4575" s="401" t="s">
        <v>6339</v>
      </c>
      <c r="G4575" s="401" t="s">
        <v>1358</v>
      </c>
      <c r="H4575" s="404">
        <v>4513</v>
      </c>
      <c r="I4575" s="402" t="s">
        <v>1</v>
      </c>
      <c r="J4575" s="393" t="s">
        <v>1355</v>
      </c>
      <c r="K4575" s="403">
        <v>41781</v>
      </c>
      <c r="L4575" s="398">
        <v>41776</v>
      </c>
      <c r="M4575" s="402">
        <f t="shared" si="265"/>
        <v>5</v>
      </c>
      <c r="N4575" s="402" t="s">
        <v>2</v>
      </c>
      <c r="O4575" s="404"/>
      <c r="P4575" s="402"/>
      <c r="Q4575" s="404"/>
      <c r="R4575" s="402">
        <v>130</v>
      </c>
      <c r="S4575" s="404">
        <v>150</v>
      </c>
      <c r="T4575" s="402">
        <v>0.31</v>
      </c>
      <c r="U4575" s="395">
        <v>3.4</v>
      </c>
      <c r="V4575" s="402">
        <v>0.36</v>
      </c>
      <c r="W4575" s="404">
        <v>2.9000000000000001E-2</v>
      </c>
      <c r="X4575" s="402">
        <v>5.6000000000000001E-2</v>
      </c>
      <c r="Y4575" s="404"/>
      <c r="Z4575" s="397"/>
      <c r="AA4575" s="399"/>
      <c r="AB4575" s="394"/>
      <c r="AC4575" s="402"/>
      <c r="AD4575" s="399"/>
      <c r="AE4575" s="402"/>
      <c r="AF4575" s="391"/>
      <c r="AG4575" s="394"/>
      <c r="AH4575" s="394"/>
      <c r="AI4575" s="394"/>
      <c r="AJ4575" s="394"/>
      <c r="AK4575" s="394"/>
      <c r="AL4575" s="394"/>
      <c r="AM4575" s="394"/>
      <c r="AN4575" s="394"/>
      <c r="AO4575" s="394"/>
      <c r="AP4575" s="394"/>
      <c r="AQ4575" s="394"/>
      <c r="AR4575" s="394"/>
      <c r="AS4575" s="402"/>
      <c r="AT4575" s="404"/>
      <c r="AU4575" s="394"/>
      <c r="AV4575" s="394"/>
    </row>
    <row r="4576" spans="1:79" ht="15" customHeight="1">
      <c r="A4576" s="404" t="s">
        <v>4668</v>
      </c>
      <c r="B4576" s="402" t="s">
        <v>1351</v>
      </c>
      <c r="C4576" s="402" t="s">
        <v>1357</v>
      </c>
      <c r="D4576" s="405" t="s">
        <v>684</v>
      </c>
      <c r="E4576" s="391" t="s">
        <v>112</v>
      </c>
      <c r="F4576" s="401" t="s">
        <v>6339</v>
      </c>
      <c r="G4576" s="401" t="s">
        <v>1358</v>
      </c>
      <c r="H4576" s="404">
        <v>4513</v>
      </c>
      <c r="I4576" s="402" t="s">
        <v>1</v>
      </c>
      <c r="J4576" s="393" t="s">
        <v>1356</v>
      </c>
      <c r="K4576" s="403">
        <v>41781</v>
      </c>
      <c r="L4576" s="398">
        <v>41776</v>
      </c>
      <c r="M4576" s="402">
        <f t="shared" si="265"/>
        <v>5</v>
      </c>
      <c r="N4576" s="402" t="s">
        <v>2</v>
      </c>
      <c r="O4576" s="404">
        <f>5/2</f>
        <v>2.5</v>
      </c>
      <c r="P4576" s="402"/>
      <c r="Q4576" s="404"/>
      <c r="R4576" s="402">
        <v>65</v>
      </c>
      <c r="S4576" s="404">
        <v>33</v>
      </c>
      <c r="T4576" s="402">
        <f>0.6/2</f>
        <v>0.3</v>
      </c>
      <c r="U4576" s="395">
        <v>1.8</v>
      </c>
      <c r="V4576" s="402">
        <v>0.32</v>
      </c>
      <c r="W4576" s="404"/>
      <c r="X4576" s="402"/>
      <c r="Y4576" s="404"/>
      <c r="Z4576" s="397"/>
      <c r="AA4576" s="399"/>
      <c r="AB4576" s="394"/>
      <c r="AC4576" s="402"/>
      <c r="AD4576" s="399"/>
      <c r="AE4576" s="402"/>
      <c r="AF4576" s="391"/>
      <c r="AG4576" s="394"/>
      <c r="AH4576" s="394"/>
      <c r="AI4576" s="394"/>
      <c r="AJ4576" s="394"/>
      <c r="AK4576" s="394"/>
      <c r="AL4576" s="394"/>
      <c r="AM4576" s="394"/>
      <c r="AN4576" s="394"/>
      <c r="AO4576" s="394"/>
      <c r="AP4576" s="394"/>
      <c r="AQ4576" s="394"/>
      <c r="AR4576" s="394"/>
      <c r="AS4576" s="402"/>
      <c r="AT4576" s="404"/>
      <c r="AU4576" s="394"/>
      <c r="AV4576" s="394"/>
    </row>
    <row r="4577" spans="1:48" ht="15" customHeight="1">
      <c r="A4577" s="404" t="s">
        <v>4668</v>
      </c>
      <c r="B4577" s="402" t="s">
        <v>1351</v>
      </c>
      <c r="C4577" s="402" t="s">
        <v>1365</v>
      </c>
      <c r="D4577" s="405" t="s">
        <v>735</v>
      </c>
      <c r="E4577" s="404"/>
      <c r="F4577" s="401" t="s">
        <v>6599</v>
      </c>
      <c r="G4577" s="401" t="s">
        <v>1366</v>
      </c>
      <c r="H4577" s="404">
        <v>4513</v>
      </c>
      <c r="I4577" s="402" t="s">
        <v>2</v>
      </c>
      <c r="J4577" s="406" t="s">
        <v>1355</v>
      </c>
      <c r="K4577" s="403">
        <v>41781</v>
      </c>
      <c r="L4577" s="398">
        <v>41776</v>
      </c>
      <c r="M4577" s="402">
        <f t="shared" si="265"/>
        <v>5</v>
      </c>
      <c r="N4577" s="402" t="s">
        <v>2</v>
      </c>
      <c r="O4577" s="404">
        <f>6/2</f>
        <v>3</v>
      </c>
      <c r="P4577" s="402"/>
      <c r="Q4577" s="404"/>
      <c r="R4577" s="402">
        <v>490</v>
      </c>
      <c r="S4577" s="404">
        <v>170</v>
      </c>
      <c r="T4577" s="402"/>
      <c r="U4577" s="395">
        <v>0.9</v>
      </c>
      <c r="V4577" s="402">
        <v>0.71</v>
      </c>
      <c r="W4577" s="404"/>
      <c r="X4577" s="402">
        <v>0.15</v>
      </c>
      <c r="Y4577" s="404"/>
      <c r="Z4577" s="397"/>
      <c r="AA4577" s="399"/>
      <c r="AB4577" s="394"/>
      <c r="AC4577" s="402"/>
      <c r="AD4577" s="399"/>
      <c r="AE4577" s="402"/>
      <c r="AF4577" s="391"/>
      <c r="AG4577" s="394"/>
      <c r="AH4577" s="394"/>
      <c r="AI4577" s="394"/>
      <c r="AJ4577" s="394"/>
      <c r="AK4577" s="394"/>
      <c r="AL4577" s="394"/>
      <c r="AM4577" s="394"/>
      <c r="AN4577" s="394"/>
      <c r="AO4577" s="394"/>
      <c r="AP4577" s="394"/>
      <c r="AQ4577" s="394"/>
      <c r="AR4577" s="394"/>
      <c r="AS4577" s="402"/>
      <c r="AT4577" s="404"/>
      <c r="AU4577" s="394"/>
      <c r="AV4577" s="394"/>
    </row>
    <row r="4578" spans="1:48" ht="15" customHeight="1">
      <c r="A4578" s="404" t="s">
        <v>4668</v>
      </c>
      <c r="B4578" s="385" t="s">
        <v>4324</v>
      </c>
      <c r="C4578" s="385" t="s">
        <v>4210</v>
      </c>
      <c r="D4578" s="390" t="s">
        <v>462</v>
      </c>
      <c r="E4578" s="404" t="s">
        <v>5843</v>
      </c>
      <c r="F4578" s="402" t="s">
        <v>4211</v>
      </c>
      <c r="G4578" s="401" t="s">
        <v>4212</v>
      </c>
      <c r="H4578" s="404">
        <v>3273</v>
      </c>
      <c r="I4578" s="402" t="s">
        <v>2</v>
      </c>
      <c r="J4578" s="344" t="s">
        <v>510</v>
      </c>
      <c r="K4578" s="403">
        <v>41653</v>
      </c>
      <c r="L4578" s="398">
        <v>41650</v>
      </c>
      <c r="M4578" s="402">
        <f t="shared" si="265"/>
        <v>3</v>
      </c>
      <c r="N4578" s="402" t="s">
        <v>2</v>
      </c>
      <c r="O4578" s="404">
        <v>2.8</v>
      </c>
      <c r="P4578" s="402">
        <v>6.5</v>
      </c>
      <c r="Q4578" s="404">
        <v>9.7200000000000006</v>
      </c>
      <c r="R4578" s="402">
        <v>34</v>
      </c>
      <c r="S4578" s="404"/>
      <c r="T4578" s="402">
        <v>1.43</v>
      </c>
      <c r="U4578" s="395"/>
      <c r="V4578" s="402"/>
      <c r="W4578" s="404">
        <v>0.17100000000000001</v>
      </c>
      <c r="X4578" s="402">
        <v>0.308</v>
      </c>
      <c r="Y4578" s="404">
        <v>3.6999999999999998E-2</v>
      </c>
      <c r="Z4578" s="397"/>
      <c r="AA4578" s="399"/>
      <c r="AB4578" s="394"/>
      <c r="AC4578" s="402"/>
      <c r="AD4578" s="399"/>
      <c r="AE4578" s="402"/>
      <c r="AF4578" s="391"/>
      <c r="AG4578" s="394"/>
      <c r="AH4578" s="394"/>
      <c r="AI4578" s="394"/>
      <c r="AJ4578" s="394"/>
      <c r="AK4578" s="394"/>
      <c r="AL4578" s="394"/>
      <c r="AM4578" s="394"/>
      <c r="AN4578" s="394"/>
      <c r="AO4578" s="394"/>
      <c r="AP4578" s="394"/>
      <c r="AQ4578" s="394"/>
      <c r="AR4578" s="394"/>
      <c r="AS4578" s="402"/>
      <c r="AT4578" s="404"/>
      <c r="AU4578" s="394"/>
      <c r="AV4578" s="394"/>
    </row>
    <row r="4579" spans="1:48" ht="15" customHeight="1">
      <c r="A4579" s="404" t="s">
        <v>4668</v>
      </c>
      <c r="B4579" s="385" t="s">
        <v>4324</v>
      </c>
      <c r="C4579" s="385" t="s">
        <v>4210</v>
      </c>
      <c r="D4579" s="390" t="s">
        <v>462</v>
      </c>
      <c r="E4579" s="404" t="s">
        <v>5843</v>
      </c>
      <c r="F4579" s="402" t="s">
        <v>4211</v>
      </c>
      <c r="G4579" s="401" t="s">
        <v>4212</v>
      </c>
      <c r="H4579" s="404">
        <v>3273</v>
      </c>
      <c r="I4579" s="402" t="s">
        <v>2</v>
      </c>
      <c r="J4579" s="344" t="s">
        <v>510</v>
      </c>
      <c r="K4579" s="403">
        <v>41727</v>
      </c>
      <c r="L4579" s="398">
        <v>41718</v>
      </c>
      <c r="M4579" s="402">
        <f t="shared" si="265"/>
        <v>9</v>
      </c>
      <c r="N4579" s="402" t="s">
        <v>2</v>
      </c>
      <c r="O4579" s="404"/>
      <c r="P4579" s="402">
        <v>6.5</v>
      </c>
      <c r="Q4579" s="404"/>
      <c r="R4579" s="402"/>
      <c r="S4579" s="404">
        <v>61</v>
      </c>
      <c r="T4579" s="402"/>
      <c r="U4579" s="395">
        <v>0.51</v>
      </c>
      <c r="V4579" s="402">
        <v>0.56000000000000005</v>
      </c>
      <c r="W4579" s="404"/>
      <c r="X4579" s="402"/>
      <c r="Y4579" s="404"/>
      <c r="Z4579" s="397"/>
      <c r="AA4579" s="399"/>
      <c r="AB4579" s="394"/>
      <c r="AC4579" s="402"/>
      <c r="AD4579" s="399"/>
      <c r="AE4579" s="402"/>
      <c r="AF4579" s="391"/>
      <c r="AG4579" s="394"/>
      <c r="AH4579" s="394"/>
      <c r="AI4579" s="394"/>
      <c r="AJ4579" s="394"/>
      <c r="AK4579" s="394"/>
      <c r="AL4579" s="394"/>
      <c r="AM4579" s="394"/>
      <c r="AN4579" s="394"/>
      <c r="AO4579" s="394"/>
      <c r="AP4579" s="394"/>
      <c r="AQ4579" s="394"/>
      <c r="AR4579" s="394"/>
      <c r="AS4579" s="402"/>
      <c r="AT4579" s="404"/>
      <c r="AU4579" s="394"/>
      <c r="AV4579" s="394"/>
    </row>
    <row r="4580" spans="1:48" ht="15" customHeight="1">
      <c r="A4580" s="404" t="s">
        <v>4668</v>
      </c>
      <c r="B4580" s="386" t="s">
        <v>155</v>
      </c>
      <c r="C4580" s="386" t="s">
        <v>155</v>
      </c>
      <c r="D4580" s="389" t="s">
        <v>156</v>
      </c>
      <c r="E4580" s="387" t="s">
        <v>157</v>
      </c>
      <c r="F4580" s="56" t="s">
        <v>6600</v>
      </c>
      <c r="G4580" s="401" t="s">
        <v>158</v>
      </c>
      <c r="H4580" s="387">
        <v>3429</v>
      </c>
      <c r="I4580" s="386" t="s">
        <v>1</v>
      </c>
      <c r="J4580" s="392" t="s">
        <v>159</v>
      </c>
      <c r="K4580" s="403">
        <v>41710</v>
      </c>
      <c r="L4580" s="398">
        <v>41691</v>
      </c>
      <c r="M4580" s="402">
        <f>K4580-L4580</f>
        <v>19</v>
      </c>
      <c r="N4580" s="402" t="s">
        <v>1</v>
      </c>
      <c r="O4580" s="404">
        <f>5/2</f>
        <v>2.5</v>
      </c>
      <c r="P4580" s="402">
        <v>5.7</v>
      </c>
      <c r="Q4580" s="404">
        <v>6.6</v>
      </c>
      <c r="R4580" s="402">
        <v>89</v>
      </c>
      <c r="S4580" s="404">
        <v>140</v>
      </c>
      <c r="T4580" s="402">
        <v>0.15</v>
      </c>
      <c r="U4580" s="395">
        <v>2.1</v>
      </c>
      <c r="V4580" s="402">
        <v>2</v>
      </c>
      <c r="W4580" s="404">
        <v>0.16</v>
      </c>
      <c r="X4580" s="402">
        <v>0.32</v>
      </c>
      <c r="Y4580" s="404">
        <v>3.7999999999999999E-2</v>
      </c>
      <c r="Z4580" s="397">
        <v>1</v>
      </c>
      <c r="AA4580" s="399">
        <v>1</v>
      </c>
      <c r="AB4580" s="394">
        <v>41</v>
      </c>
      <c r="AC4580" s="402">
        <v>176</v>
      </c>
      <c r="AD4580" s="399">
        <v>0.6</v>
      </c>
      <c r="AE4580" s="402">
        <v>79.400000000000006</v>
      </c>
      <c r="AF4580" s="391"/>
      <c r="AG4580" s="394"/>
      <c r="AH4580" s="394"/>
      <c r="AI4580" s="394"/>
      <c r="AJ4580" s="394"/>
      <c r="AK4580" s="394"/>
      <c r="AL4580" s="394"/>
      <c r="AM4580" s="394"/>
      <c r="AN4580" s="394"/>
      <c r="AO4580" s="394"/>
      <c r="AP4580" s="394"/>
      <c r="AQ4580" s="394"/>
      <c r="AR4580" s="394"/>
      <c r="AS4580" s="402"/>
      <c r="AT4580" s="404"/>
      <c r="AU4580" s="394"/>
      <c r="AV4580" s="394"/>
    </row>
    <row r="4581" spans="1:48" ht="15" customHeight="1">
      <c r="A4581" s="404" t="s">
        <v>4668</v>
      </c>
      <c r="B4581" s="386" t="s">
        <v>155</v>
      </c>
      <c r="C4581" s="386" t="s">
        <v>155</v>
      </c>
      <c r="D4581" s="389" t="s">
        <v>156</v>
      </c>
      <c r="E4581" s="387" t="s">
        <v>157</v>
      </c>
      <c r="F4581" s="56" t="s">
        <v>6600</v>
      </c>
      <c r="G4581" s="401" t="s">
        <v>158</v>
      </c>
      <c r="H4581" s="387">
        <v>3429</v>
      </c>
      <c r="I4581" s="386" t="s">
        <v>1</v>
      </c>
      <c r="J4581" s="392" t="s">
        <v>160</v>
      </c>
      <c r="K4581" s="403">
        <v>41710</v>
      </c>
      <c r="L4581" s="398">
        <v>41691</v>
      </c>
      <c r="M4581" s="402">
        <f>K4581-L4581</f>
        <v>19</v>
      </c>
      <c r="N4581" s="402" t="s">
        <v>1</v>
      </c>
      <c r="O4581" s="404">
        <f>5/2</f>
        <v>2.5</v>
      </c>
      <c r="P4581" s="402">
        <v>5.7</v>
      </c>
      <c r="Q4581" s="404">
        <v>6.88</v>
      </c>
      <c r="R4581" s="402">
        <v>20</v>
      </c>
      <c r="S4581" s="404">
        <f>5/2</f>
        <v>2.5</v>
      </c>
      <c r="T4581" s="402">
        <f>0.1/2</f>
        <v>0.05</v>
      </c>
      <c r="U4581" s="395">
        <f>1/2</f>
        <v>0.5</v>
      </c>
      <c r="V4581" s="402">
        <v>0.13</v>
      </c>
      <c r="W4581" s="404">
        <v>7.4999999999999997E-2</v>
      </c>
      <c r="X4581" s="402">
        <v>5.2999999999999999E-2</v>
      </c>
      <c r="Y4581" s="404">
        <f>0.013/2</f>
        <v>6.4999999999999997E-3</v>
      </c>
      <c r="Z4581" s="397">
        <v>1</v>
      </c>
      <c r="AA4581" s="399">
        <v>1</v>
      </c>
      <c r="AB4581" s="394">
        <v>14</v>
      </c>
      <c r="AC4581" s="402">
        <v>135</v>
      </c>
      <c r="AD4581" s="399">
        <v>0.7</v>
      </c>
      <c r="AE4581" s="402">
        <v>22.3</v>
      </c>
      <c r="AF4581" s="391"/>
      <c r="AG4581" s="394"/>
      <c r="AH4581" s="394"/>
      <c r="AI4581" s="394"/>
      <c r="AJ4581" s="394"/>
      <c r="AK4581" s="394"/>
      <c r="AL4581" s="394"/>
      <c r="AM4581" s="394"/>
      <c r="AN4581" s="394"/>
      <c r="AO4581" s="394"/>
      <c r="AP4581" s="394"/>
      <c r="AQ4581" s="394"/>
      <c r="AR4581" s="394"/>
      <c r="AS4581" s="402"/>
      <c r="AT4581" s="404"/>
      <c r="AU4581" s="394"/>
      <c r="AV4581" s="394"/>
    </row>
    <row r="4582" spans="1:48" ht="15" customHeight="1">
      <c r="A4582" s="404" t="s">
        <v>4668</v>
      </c>
      <c r="B4582" s="386" t="s">
        <v>155</v>
      </c>
      <c r="C4582" s="386" t="s">
        <v>155</v>
      </c>
      <c r="D4582" s="389" t="s">
        <v>156</v>
      </c>
      <c r="E4582" s="387" t="s">
        <v>157</v>
      </c>
      <c r="F4582" s="56" t="s">
        <v>6600</v>
      </c>
      <c r="G4582" s="401" t="s">
        <v>158</v>
      </c>
      <c r="H4582" s="387">
        <v>3429</v>
      </c>
      <c r="I4582" s="386" t="s">
        <v>1</v>
      </c>
      <c r="J4582" s="392" t="s">
        <v>161</v>
      </c>
      <c r="K4582" s="403">
        <v>41710</v>
      </c>
      <c r="L4582" s="398">
        <v>41691</v>
      </c>
      <c r="M4582" s="402">
        <f>K4582-L4582</f>
        <v>19</v>
      </c>
      <c r="N4582" s="402" t="s">
        <v>1</v>
      </c>
      <c r="O4582" s="404">
        <f>5/2</f>
        <v>2.5</v>
      </c>
      <c r="P4582" s="402">
        <v>5.7</v>
      </c>
      <c r="Q4582" s="404">
        <v>5.71</v>
      </c>
      <c r="R4582" s="402">
        <v>150</v>
      </c>
      <c r="S4582" s="404">
        <v>150</v>
      </c>
      <c r="T4582" s="402">
        <v>1.4</v>
      </c>
      <c r="U4582" s="395">
        <v>4.2</v>
      </c>
      <c r="V4582" s="402">
        <v>2.4</v>
      </c>
      <c r="W4582" s="404">
        <v>0.83</v>
      </c>
      <c r="X4582" s="402">
        <v>0.89</v>
      </c>
      <c r="Y4582" s="404">
        <v>2.8000000000000001E-2</v>
      </c>
      <c r="Z4582" s="397">
        <v>6.25E-2</v>
      </c>
      <c r="AA4582" s="399">
        <v>6.25E-2</v>
      </c>
      <c r="AB4582" s="394">
        <v>40</v>
      </c>
      <c r="AC4582" s="402">
        <v>493</v>
      </c>
      <c r="AD4582" s="399">
        <v>0</v>
      </c>
      <c r="AE4582" s="402">
        <f>2/2</f>
        <v>1</v>
      </c>
      <c r="AF4582" s="391"/>
      <c r="AG4582" s="394"/>
      <c r="AH4582" s="394"/>
      <c r="AI4582" s="394"/>
      <c r="AJ4582" s="394"/>
      <c r="AK4582" s="394"/>
      <c r="AL4582" s="394"/>
      <c r="AM4582" s="394"/>
      <c r="AN4582" s="394"/>
      <c r="AO4582" s="394"/>
      <c r="AP4582" s="394"/>
      <c r="AQ4582" s="394"/>
      <c r="AR4582" s="394"/>
      <c r="AS4582" s="402"/>
      <c r="AT4582" s="404"/>
      <c r="AU4582" s="394"/>
      <c r="AV4582" s="394"/>
    </row>
    <row r="4583" spans="1:48" ht="15" customHeight="1">
      <c r="A4583" s="404" t="s">
        <v>4668</v>
      </c>
      <c r="B4583" s="386" t="s">
        <v>155</v>
      </c>
      <c r="C4583" s="386" t="s">
        <v>155</v>
      </c>
      <c r="D4583" s="389" t="s">
        <v>156</v>
      </c>
      <c r="E4583" s="387" t="s">
        <v>157</v>
      </c>
      <c r="F4583" s="56" t="s">
        <v>6600</v>
      </c>
      <c r="G4583" s="401" t="s">
        <v>158</v>
      </c>
      <c r="H4583" s="387">
        <v>3429</v>
      </c>
      <c r="I4583" s="386" t="s">
        <v>1</v>
      </c>
      <c r="J4583" s="392" t="s">
        <v>162</v>
      </c>
      <c r="K4583" s="403">
        <v>41710</v>
      </c>
      <c r="L4583" s="398">
        <v>41691</v>
      </c>
      <c r="M4583" s="402">
        <f>K4583-L4583</f>
        <v>19</v>
      </c>
      <c r="N4583" s="402" t="s">
        <v>1</v>
      </c>
      <c r="O4583" s="404">
        <f>5/2</f>
        <v>2.5</v>
      </c>
      <c r="P4583" s="402">
        <v>5.7</v>
      </c>
      <c r="Q4583" s="404">
        <v>6.93</v>
      </c>
      <c r="R4583" s="402">
        <v>61</v>
      </c>
      <c r="S4583" s="404">
        <v>74</v>
      </c>
      <c r="T4583" s="402">
        <v>0.1</v>
      </c>
      <c r="U4583" s="395">
        <v>1.3</v>
      </c>
      <c r="V4583" s="402">
        <v>0.77</v>
      </c>
      <c r="W4583" s="404">
        <v>0.27</v>
      </c>
      <c r="X4583" s="402">
        <v>0.3</v>
      </c>
      <c r="Y4583" s="404">
        <v>1.2999999999999999E-2</v>
      </c>
      <c r="Z4583" s="397">
        <v>0.45100000000000001</v>
      </c>
      <c r="AA4583" s="399">
        <v>6.25E-2</v>
      </c>
      <c r="AB4583" s="394">
        <v>68</v>
      </c>
      <c r="AC4583" s="402">
        <v>485</v>
      </c>
      <c r="AD4583" s="399">
        <v>0</v>
      </c>
      <c r="AE4583" s="402">
        <v>4.0999999999999996</v>
      </c>
      <c r="AF4583" s="391"/>
      <c r="AG4583" s="394"/>
      <c r="AH4583" s="394"/>
      <c r="AI4583" s="394"/>
      <c r="AJ4583" s="394"/>
      <c r="AK4583" s="394"/>
      <c r="AL4583" s="394"/>
      <c r="AM4583" s="394"/>
      <c r="AN4583" s="394"/>
      <c r="AO4583" s="394"/>
      <c r="AP4583" s="394"/>
      <c r="AQ4583" s="394"/>
      <c r="AR4583" s="394"/>
      <c r="AS4583" s="402"/>
      <c r="AT4583" s="404"/>
      <c r="AU4583" s="394"/>
      <c r="AV4583" s="394"/>
    </row>
    <row r="4584" spans="1:48" ht="15" customHeight="1">
      <c r="A4584" s="404" t="s">
        <v>4668</v>
      </c>
      <c r="B4584" s="402" t="s">
        <v>2125</v>
      </c>
      <c r="C4584" s="402" t="s">
        <v>5743</v>
      </c>
      <c r="D4584" s="405" t="s">
        <v>1881</v>
      </c>
      <c r="E4584" s="404" t="s">
        <v>512</v>
      </c>
      <c r="F4584" s="401" t="s">
        <v>6601</v>
      </c>
      <c r="G4584" s="401" t="s">
        <v>3612</v>
      </c>
      <c r="H4584" s="404">
        <v>3724</v>
      </c>
      <c r="I4584" s="402" t="s">
        <v>2</v>
      </c>
      <c r="J4584" s="406" t="s">
        <v>2160</v>
      </c>
      <c r="K4584" s="403">
        <v>41751</v>
      </c>
      <c r="L4584" s="398">
        <v>41745</v>
      </c>
      <c r="M4584" s="402">
        <f t="shared" si="265"/>
        <v>6</v>
      </c>
      <c r="N4584" s="402" t="s">
        <v>2</v>
      </c>
      <c r="O4584" s="404"/>
      <c r="P4584" s="402"/>
      <c r="Q4584" s="404"/>
      <c r="R4584" s="402">
        <f>1/2</f>
        <v>0.5</v>
      </c>
      <c r="S4584" s="404">
        <v>11</v>
      </c>
      <c r="T4584" s="402"/>
      <c r="U4584" s="395">
        <v>0.54</v>
      </c>
      <c r="V4584" s="402"/>
      <c r="W4584" s="404"/>
      <c r="X4584" s="402">
        <v>5.1999999999999998E-2</v>
      </c>
      <c r="Y4584" s="404"/>
      <c r="Z4584" s="397"/>
      <c r="AA4584" s="399"/>
      <c r="AB4584" s="394"/>
      <c r="AC4584" s="402"/>
      <c r="AD4584" s="399"/>
      <c r="AE4584" s="402"/>
      <c r="AF4584" s="391"/>
      <c r="AG4584" s="394"/>
      <c r="AH4584" s="394"/>
      <c r="AI4584" s="394"/>
      <c r="AJ4584" s="394"/>
      <c r="AK4584" s="394"/>
      <c r="AL4584" s="394"/>
      <c r="AM4584" s="394"/>
      <c r="AN4584" s="394"/>
      <c r="AO4584" s="394"/>
      <c r="AP4584" s="394"/>
      <c r="AQ4584" s="394"/>
      <c r="AR4584" s="394"/>
      <c r="AS4584" s="402"/>
      <c r="AT4584" s="404"/>
      <c r="AU4584" s="394"/>
      <c r="AV4584" s="394"/>
    </row>
    <row r="4585" spans="1:48" ht="15" customHeight="1">
      <c r="A4585" s="404" t="s">
        <v>4668</v>
      </c>
      <c r="B4585" s="402" t="s">
        <v>2125</v>
      </c>
      <c r="C4585" s="402" t="s">
        <v>5744</v>
      </c>
      <c r="D4585" s="405" t="s">
        <v>1881</v>
      </c>
      <c r="E4585" s="404" t="s">
        <v>1546</v>
      </c>
      <c r="F4585" s="401" t="s">
        <v>6601</v>
      </c>
      <c r="G4585" s="401" t="s">
        <v>3073</v>
      </c>
      <c r="H4585" s="404">
        <v>3724</v>
      </c>
      <c r="I4585" s="402" t="s">
        <v>1</v>
      </c>
      <c r="J4585" s="406" t="s">
        <v>4322</v>
      </c>
      <c r="K4585" s="403">
        <v>41781</v>
      </c>
      <c r="L4585" s="398">
        <v>41776</v>
      </c>
      <c r="M4585" s="402">
        <f t="shared" si="265"/>
        <v>5</v>
      </c>
      <c r="N4585" s="402" t="s">
        <v>2</v>
      </c>
      <c r="O4585" s="404"/>
      <c r="P4585" s="402"/>
      <c r="Q4585" s="404"/>
      <c r="R4585" s="402"/>
      <c r="S4585" s="404"/>
      <c r="T4585" s="402"/>
      <c r="U4585" s="395"/>
      <c r="V4585" s="402">
        <v>1.87</v>
      </c>
      <c r="W4585" s="404"/>
      <c r="X4585" s="402"/>
      <c r="Y4585" s="404"/>
      <c r="Z4585" s="397"/>
      <c r="AA4585" s="399"/>
      <c r="AB4585" s="394"/>
      <c r="AC4585" s="402"/>
      <c r="AD4585" s="399"/>
      <c r="AE4585" s="402">
        <v>19</v>
      </c>
      <c r="AF4585" s="391"/>
      <c r="AG4585" s="394"/>
      <c r="AH4585" s="394"/>
      <c r="AI4585" s="394"/>
      <c r="AJ4585" s="394"/>
      <c r="AK4585" s="394"/>
      <c r="AL4585" s="394"/>
      <c r="AM4585" s="394"/>
      <c r="AN4585" s="394"/>
      <c r="AO4585" s="394"/>
      <c r="AP4585" s="394"/>
      <c r="AQ4585" s="394"/>
      <c r="AR4585" s="394"/>
      <c r="AS4585" s="402"/>
      <c r="AT4585" s="404"/>
      <c r="AU4585" s="394"/>
      <c r="AV4585" s="394"/>
    </row>
    <row r="4586" spans="1:48" ht="15" customHeight="1">
      <c r="A4586" s="404" t="s">
        <v>4668</v>
      </c>
      <c r="B4586" s="402" t="s">
        <v>4758</v>
      </c>
      <c r="C4586" s="402" t="s">
        <v>4758</v>
      </c>
      <c r="D4586" s="405" t="s">
        <v>251</v>
      </c>
      <c r="E4586" s="404" t="s">
        <v>823</v>
      </c>
      <c r="F4586" s="402">
        <v>4603</v>
      </c>
      <c r="G4586" s="401" t="s">
        <v>4759</v>
      </c>
      <c r="H4586" s="404">
        <v>3471</v>
      </c>
      <c r="I4586" s="402" t="s">
        <v>2</v>
      </c>
      <c r="J4586" s="406" t="s">
        <v>1943</v>
      </c>
      <c r="K4586" s="403">
        <v>41795</v>
      </c>
      <c r="L4586" s="398">
        <v>41793</v>
      </c>
      <c r="M4586" s="402">
        <f t="shared" si="265"/>
        <v>2</v>
      </c>
      <c r="N4586" s="402" t="s">
        <v>2</v>
      </c>
      <c r="O4586" s="404">
        <v>2.2999999999999998</v>
      </c>
      <c r="P4586" s="402">
        <v>6.8</v>
      </c>
      <c r="Q4586" s="404">
        <v>6.9</v>
      </c>
      <c r="R4586" s="402">
        <v>26</v>
      </c>
      <c r="S4586" s="404">
        <v>5</v>
      </c>
      <c r="T4586" s="402">
        <f>0.05/2</f>
        <v>2.5000000000000001E-2</v>
      </c>
      <c r="U4586" s="395">
        <v>0.76</v>
      </c>
      <c r="V4586" s="402">
        <v>0.17</v>
      </c>
      <c r="W4586" s="404">
        <v>2.9000000000000001E-2</v>
      </c>
      <c r="X4586" s="402">
        <f>0.03/2</f>
        <v>1.4999999999999999E-2</v>
      </c>
      <c r="Y4586" s="404">
        <f>0.03/2</f>
        <v>1.4999999999999999E-2</v>
      </c>
      <c r="Z4586" s="397">
        <v>1</v>
      </c>
      <c r="AA4586" s="399">
        <v>1</v>
      </c>
      <c r="AB4586" s="394">
        <v>20</v>
      </c>
      <c r="AC4586" s="402">
        <v>73</v>
      </c>
      <c r="AD4586" s="399">
        <v>0.65</v>
      </c>
      <c r="AE4586" s="402"/>
      <c r="AF4586" s="391"/>
      <c r="AG4586" s="394"/>
      <c r="AH4586" s="394"/>
      <c r="AI4586" s="394"/>
      <c r="AJ4586" s="394"/>
      <c r="AK4586" s="394"/>
      <c r="AL4586" s="394"/>
      <c r="AM4586" s="394"/>
      <c r="AN4586" s="394"/>
      <c r="AO4586" s="394"/>
      <c r="AP4586" s="394"/>
      <c r="AQ4586" s="394"/>
      <c r="AR4586" s="394"/>
      <c r="AS4586" s="402"/>
      <c r="AT4586" s="404"/>
      <c r="AU4586" s="394"/>
      <c r="AV4586" s="394"/>
    </row>
    <row r="4587" spans="1:48" ht="15" customHeight="1">
      <c r="A4587" s="404" t="s">
        <v>4668</v>
      </c>
      <c r="B4587" s="402" t="s">
        <v>5129</v>
      </c>
      <c r="C4587" s="402" t="s">
        <v>5129</v>
      </c>
      <c r="D4587" s="405" t="s">
        <v>1484</v>
      </c>
      <c r="E4587" s="404" t="s">
        <v>235</v>
      </c>
      <c r="F4587" s="401" t="s">
        <v>6223</v>
      </c>
      <c r="G4587" s="401" t="s">
        <v>5130</v>
      </c>
      <c r="H4587" s="404">
        <v>3399</v>
      </c>
      <c r="I4587" s="402" t="s">
        <v>2</v>
      </c>
      <c r="J4587" s="406" t="s">
        <v>2238</v>
      </c>
      <c r="K4587" s="403">
        <v>41803</v>
      </c>
      <c r="L4587" s="398">
        <v>41799</v>
      </c>
      <c r="M4587" s="402">
        <f t="shared" si="265"/>
        <v>4</v>
      </c>
      <c r="N4587" s="402" t="s">
        <v>2</v>
      </c>
      <c r="O4587" s="404">
        <f>1/2</f>
        <v>0.5</v>
      </c>
      <c r="P4587" s="402">
        <v>5.0199999999999996</v>
      </c>
      <c r="Q4587" s="404">
        <v>5.45</v>
      </c>
      <c r="R4587" s="402">
        <v>4.9000000000000004</v>
      </c>
      <c r="S4587" s="404">
        <v>1</v>
      </c>
      <c r="T4587" s="402">
        <v>0.05</v>
      </c>
      <c r="U4587" s="395">
        <v>0.21</v>
      </c>
      <c r="V4587" s="402">
        <v>1.3</v>
      </c>
      <c r="W4587" s="404">
        <v>0.02</v>
      </c>
      <c r="X4587" s="402">
        <v>0.03</v>
      </c>
      <c r="Y4587" s="404">
        <f>0.02/2</f>
        <v>0.01</v>
      </c>
      <c r="Z4587" s="397">
        <v>1</v>
      </c>
      <c r="AA4587" s="399">
        <v>0.45</v>
      </c>
      <c r="AB4587" s="394">
        <f>1/2</f>
        <v>0.5</v>
      </c>
      <c r="AC4587" s="402">
        <v>7</v>
      </c>
      <c r="AD4587" s="399">
        <v>0.05</v>
      </c>
      <c r="AE4587" s="402"/>
      <c r="AF4587" s="391"/>
      <c r="AG4587" s="394"/>
      <c r="AH4587" s="394"/>
      <c r="AI4587" s="394"/>
      <c r="AJ4587" s="394"/>
      <c r="AK4587" s="394"/>
      <c r="AL4587" s="394"/>
      <c r="AM4587" s="394"/>
      <c r="AN4587" s="394"/>
      <c r="AO4587" s="394"/>
      <c r="AP4587" s="394"/>
      <c r="AQ4587" s="394"/>
      <c r="AR4587" s="394"/>
      <c r="AS4587" s="402"/>
      <c r="AT4587" s="404"/>
      <c r="AU4587" s="394"/>
      <c r="AV4587" s="394"/>
    </row>
    <row r="4588" spans="1:48" ht="15" customHeight="1">
      <c r="A4588" s="404" t="s">
        <v>4668</v>
      </c>
      <c r="B4588" s="402" t="s">
        <v>2185</v>
      </c>
      <c r="C4588" s="402" t="s">
        <v>2185</v>
      </c>
      <c r="D4588" s="405" t="s">
        <v>262</v>
      </c>
      <c r="E4588" s="394" t="s">
        <v>2186</v>
      </c>
      <c r="F4588" s="401" t="s">
        <v>6602</v>
      </c>
      <c r="G4588" s="401" t="s">
        <v>2187</v>
      </c>
      <c r="H4588" s="404">
        <v>4226</v>
      </c>
      <c r="I4588" s="402" t="s">
        <v>1</v>
      </c>
      <c r="J4588" s="401" t="s">
        <v>2188</v>
      </c>
      <c r="K4588" s="403">
        <v>41799</v>
      </c>
      <c r="L4588" s="398"/>
      <c r="M4588" s="402"/>
      <c r="N4588" s="402" t="s">
        <v>2</v>
      </c>
      <c r="O4588" s="404"/>
      <c r="P4588" s="402"/>
      <c r="Q4588" s="404"/>
      <c r="R4588" s="402"/>
      <c r="S4588" s="404"/>
      <c r="T4588" s="402"/>
      <c r="U4588" s="395"/>
      <c r="V4588" s="402"/>
      <c r="W4588" s="404"/>
      <c r="X4588" s="402"/>
      <c r="Y4588" s="404"/>
      <c r="Z4588" s="397"/>
      <c r="AA4588" s="399"/>
      <c r="AB4588" s="394"/>
      <c r="AC4588" s="402"/>
      <c r="AD4588" s="399"/>
      <c r="AE4588" s="402"/>
      <c r="AF4588" s="391"/>
      <c r="AG4588" s="394"/>
      <c r="AH4588" s="394"/>
      <c r="AI4588" s="394">
        <f>1/2</f>
        <v>0.5</v>
      </c>
      <c r="AJ4588" s="394">
        <f>1/2</f>
        <v>0.5</v>
      </c>
      <c r="AK4588" s="394"/>
      <c r="AL4588" s="394"/>
      <c r="AM4588" s="394"/>
      <c r="AN4588" s="394"/>
      <c r="AO4588" s="394"/>
      <c r="AP4588" s="394"/>
      <c r="AQ4588" s="394">
        <v>0.04</v>
      </c>
      <c r="AR4588" s="394"/>
      <c r="AS4588" s="402"/>
      <c r="AT4588" s="404"/>
      <c r="AU4588" s="394"/>
      <c r="AV4588" s="394"/>
    </row>
    <row r="4589" spans="1:48" ht="15" customHeight="1">
      <c r="A4589" s="404" t="s">
        <v>4668</v>
      </c>
      <c r="B4589" s="402" t="s">
        <v>2269</v>
      </c>
      <c r="C4589" s="402" t="s">
        <v>2269</v>
      </c>
      <c r="D4589" s="405" t="s">
        <v>372</v>
      </c>
      <c r="E4589" s="404" t="s">
        <v>2270</v>
      </c>
      <c r="F4589" s="401" t="s">
        <v>6603</v>
      </c>
      <c r="G4589" s="401" t="s">
        <v>2272</v>
      </c>
      <c r="H4589" s="404">
        <v>3398</v>
      </c>
      <c r="I4589" s="402" t="s">
        <v>2</v>
      </c>
      <c r="J4589" s="406" t="s">
        <v>249</v>
      </c>
      <c r="K4589" s="403">
        <v>41795</v>
      </c>
      <c r="L4589" s="398">
        <v>41786</v>
      </c>
      <c r="M4589" s="402">
        <f t="shared" si="265"/>
        <v>9</v>
      </c>
      <c r="N4589" s="402" t="s">
        <v>2</v>
      </c>
      <c r="O4589" s="404"/>
      <c r="P4589" s="402"/>
      <c r="Q4589" s="404"/>
      <c r="R4589" s="402">
        <v>18.2</v>
      </c>
      <c r="S4589" s="404"/>
      <c r="T4589" s="402"/>
      <c r="U4589" s="395"/>
      <c r="V4589" s="402">
        <v>1.79</v>
      </c>
      <c r="W4589" s="404"/>
      <c r="X4589" s="402"/>
      <c r="Y4589" s="404"/>
      <c r="Z4589" s="397"/>
      <c r="AA4589" s="399"/>
      <c r="AB4589" s="394"/>
      <c r="AC4589" s="402"/>
      <c r="AD4589" s="399"/>
      <c r="AE4589" s="402"/>
      <c r="AF4589" s="391"/>
      <c r="AG4589" s="394"/>
      <c r="AH4589" s="394"/>
      <c r="AI4589" s="394"/>
      <c r="AJ4589" s="394"/>
      <c r="AK4589" s="394"/>
      <c r="AL4589" s="394"/>
      <c r="AM4589" s="394"/>
      <c r="AN4589" s="394"/>
      <c r="AO4589" s="394"/>
      <c r="AP4589" s="394"/>
      <c r="AQ4589" s="394"/>
      <c r="AR4589" s="394"/>
      <c r="AS4589" s="402"/>
      <c r="AT4589" s="404"/>
      <c r="AU4589" s="394"/>
      <c r="AV4589" s="394"/>
    </row>
    <row r="4590" spans="1:48" ht="15" customHeight="1">
      <c r="A4590" s="404" t="s">
        <v>4668</v>
      </c>
      <c r="B4590" s="402" t="s">
        <v>1841</v>
      </c>
      <c r="C4590" s="402" t="s">
        <v>1841</v>
      </c>
      <c r="D4590" s="405" t="s">
        <v>195</v>
      </c>
      <c r="E4590" s="391" t="s">
        <v>1831</v>
      </c>
      <c r="F4590" s="402" t="s">
        <v>1916</v>
      </c>
      <c r="G4590" s="401" t="s">
        <v>1807</v>
      </c>
      <c r="H4590" s="404">
        <v>2893</v>
      </c>
      <c r="I4590" s="402" t="s">
        <v>2</v>
      </c>
      <c r="J4590" s="260" t="s">
        <v>81</v>
      </c>
      <c r="K4590" s="403">
        <v>41727</v>
      </c>
      <c r="L4590" s="398">
        <v>41718</v>
      </c>
      <c r="M4590" s="402">
        <f t="shared" si="265"/>
        <v>9</v>
      </c>
      <c r="N4590" s="402" t="s">
        <v>2</v>
      </c>
      <c r="O4590" s="404">
        <f>2/2</f>
        <v>1</v>
      </c>
      <c r="P4590" s="402">
        <v>7</v>
      </c>
      <c r="Q4590" s="404">
        <v>6.7</v>
      </c>
      <c r="R4590" s="402">
        <v>19</v>
      </c>
      <c r="S4590" s="404">
        <v>11</v>
      </c>
      <c r="T4590" s="402">
        <v>0.13</v>
      </c>
      <c r="U4590" s="395">
        <v>0.88</v>
      </c>
      <c r="V4590" s="402">
        <v>1.55</v>
      </c>
      <c r="W4590" s="404">
        <v>8.1000000000000003E-2</v>
      </c>
      <c r="X4590" s="402">
        <v>0.25</v>
      </c>
      <c r="Y4590" s="404">
        <f>0.03/2</f>
        <v>1.4999999999999999E-2</v>
      </c>
      <c r="Z4590" s="397"/>
      <c r="AA4590" s="399"/>
      <c r="AB4590" s="394"/>
      <c r="AC4590" s="402"/>
      <c r="AD4590" s="399"/>
      <c r="AE4590" s="402"/>
      <c r="AF4590" s="391"/>
      <c r="AG4590" s="394"/>
      <c r="AH4590" s="394"/>
      <c r="AI4590" s="394"/>
      <c r="AJ4590" s="394"/>
      <c r="AK4590" s="394"/>
      <c r="AL4590" s="394"/>
      <c r="AM4590" s="394"/>
      <c r="AN4590" s="394"/>
      <c r="AO4590" s="394"/>
      <c r="AP4590" s="394"/>
      <c r="AQ4590" s="394"/>
      <c r="AR4590" s="394"/>
      <c r="AS4590" s="402"/>
      <c r="AT4590" s="404"/>
      <c r="AU4590" s="394"/>
      <c r="AV4590" s="394"/>
    </row>
    <row r="4591" spans="1:48" ht="15" customHeight="1">
      <c r="A4591" s="404" t="s">
        <v>4668</v>
      </c>
      <c r="B4591" s="402" t="s">
        <v>6583</v>
      </c>
      <c r="C4591" s="402" t="s">
        <v>6583</v>
      </c>
      <c r="D4591" s="405" t="s">
        <v>462</v>
      </c>
      <c r="E4591" s="404"/>
      <c r="F4591" s="402">
        <v>4000</v>
      </c>
      <c r="G4591" s="401" t="s">
        <v>6588</v>
      </c>
      <c r="H4591" s="404">
        <v>3361</v>
      </c>
      <c r="I4591" s="402" t="s">
        <v>2</v>
      </c>
      <c r="J4591" s="406" t="s">
        <v>6589</v>
      </c>
      <c r="K4591" s="403">
        <v>41744</v>
      </c>
      <c r="L4591" s="398" t="s">
        <v>5380</v>
      </c>
      <c r="M4591" s="402"/>
      <c r="N4591" s="402" t="s">
        <v>2</v>
      </c>
      <c r="O4591" s="404"/>
      <c r="P4591" s="402"/>
      <c r="Q4591" s="404">
        <v>6.8</v>
      </c>
      <c r="R4591" s="402">
        <v>26</v>
      </c>
      <c r="S4591" s="404"/>
      <c r="T4591" s="402"/>
      <c r="U4591" s="395"/>
      <c r="V4591" s="402">
        <v>7.0000000000000007E-2</v>
      </c>
      <c r="W4591" s="404">
        <v>3.5999999999999997E-2</v>
      </c>
      <c r="X4591" s="402">
        <v>9.9000000000000005E-2</v>
      </c>
      <c r="Y4591" s="404"/>
      <c r="Z4591" s="397">
        <v>1</v>
      </c>
      <c r="AA4591" s="399">
        <v>1</v>
      </c>
      <c r="AB4591" s="394">
        <v>8</v>
      </c>
      <c r="AC4591" s="402">
        <v>30</v>
      </c>
      <c r="AD4591" s="399">
        <v>0.75</v>
      </c>
      <c r="AE4591" s="402"/>
      <c r="AF4591" s="391"/>
      <c r="AG4591" s="394"/>
      <c r="AH4591" s="394"/>
      <c r="AI4591" s="394"/>
      <c r="AJ4591" s="394"/>
      <c r="AK4591" s="394"/>
      <c r="AL4591" s="394"/>
      <c r="AM4591" s="394"/>
      <c r="AN4591" s="394"/>
      <c r="AO4591" s="394"/>
      <c r="AP4591" s="394"/>
      <c r="AQ4591" s="394"/>
      <c r="AR4591" s="394"/>
      <c r="AS4591" s="402"/>
      <c r="AT4591" s="404"/>
      <c r="AU4591" s="394"/>
      <c r="AV4591" s="394"/>
    </row>
    <row r="4592" spans="1:48" ht="15" customHeight="1">
      <c r="A4592" s="404" t="s">
        <v>4668</v>
      </c>
      <c r="B4592" s="385" t="s">
        <v>6407</v>
      </c>
      <c r="C4592" s="385" t="s">
        <v>6407</v>
      </c>
      <c r="D4592" s="390" t="s">
        <v>1524</v>
      </c>
      <c r="E4592" s="384" t="s">
        <v>686</v>
      </c>
      <c r="F4592" s="402" t="s">
        <v>5422</v>
      </c>
      <c r="G4592" s="401" t="s">
        <v>4384</v>
      </c>
      <c r="H4592" s="404">
        <v>2671</v>
      </c>
      <c r="I4592" s="402" t="s">
        <v>2</v>
      </c>
      <c r="J4592" s="406" t="s">
        <v>5423</v>
      </c>
      <c r="K4592" s="403">
        <v>41781</v>
      </c>
      <c r="L4592" s="398">
        <v>41775</v>
      </c>
      <c r="M4592" s="402">
        <f t="shared" si="265"/>
        <v>6</v>
      </c>
      <c r="N4592" s="402" t="s">
        <v>2</v>
      </c>
      <c r="O4592" s="404">
        <v>2.4</v>
      </c>
      <c r="P4592" s="402">
        <v>6</v>
      </c>
      <c r="Q4592" s="404">
        <v>6.6</v>
      </c>
      <c r="R4592" s="402">
        <v>50</v>
      </c>
      <c r="S4592" s="404">
        <f>2/2</f>
        <v>1</v>
      </c>
      <c r="T4592" s="402">
        <v>9.0999999999999998E-2</v>
      </c>
      <c r="U4592" s="395">
        <v>2.6</v>
      </c>
      <c r="V4592" s="402">
        <v>0.51</v>
      </c>
      <c r="W4592" s="404">
        <v>7.1000000000000004E-3</v>
      </c>
      <c r="X4592" s="402">
        <v>0.2</v>
      </c>
      <c r="Y4592" s="404">
        <f>0.002/2</f>
        <v>1E-3</v>
      </c>
      <c r="Z4592" s="397">
        <v>0.93899999999999995</v>
      </c>
      <c r="AA4592" s="399">
        <v>0.68300000000000005</v>
      </c>
      <c r="AB4592" s="394">
        <v>2</v>
      </c>
      <c r="AC4592" s="402">
        <v>24</v>
      </c>
      <c r="AD4592" s="399">
        <v>0</v>
      </c>
      <c r="AE4592" s="402"/>
      <c r="AF4592" s="391"/>
      <c r="AG4592" s="394"/>
      <c r="AH4592" s="394"/>
      <c r="AI4592" s="394"/>
      <c r="AJ4592" s="394"/>
      <c r="AK4592" s="394"/>
      <c r="AL4592" s="394"/>
      <c r="AM4592" s="394"/>
      <c r="AN4592" s="394"/>
      <c r="AO4592" s="394"/>
      <c r="AP4592" s="394"/>
      <c r="AQ4592" s="394"/>
      <c r="AR4592" s="394"/>
      <c r="AS4592" s="402"/>
      <c r="AT4592" s="404"/>
      <c r="AU4592" s="394"/>
      <c r="AV4592" s="394"/>
    </row>
    <row r="4593" spans="1:79" ht="15" customHeight="1">
      <c r="A4593" s="404" t="s">
        <v>4668</v>
      </c>
      <c r="B4593" s="402" t="s">
        <v>6336</v>
      </c>
      <c r="C4593" s="402" t="s">
        <v>6336</v>
      </c>
      <c r="D4593" s="405" t="s">
        <v>1881</v>
      </c>
      <c r="E4593" s="404" t="s">
        <v>6337</v>
      </c>
      <c r="F4593" s="402">
        <v>4004</v>
      </c>
      <c r="G4593" s="401" t="s">
        <v>6338</v>
      </c>
      <c r="H4593" s="404">
        <v>3599</v>
      </c>
      <c r="I4593" s="402" t="s">
        <v>2</v>
      </c>
      <c r="J4593" s="406" t="s">
        <v>74</v>
      </c>
      <c r="K4593" s="403">
        <v>41795</v>
      </c>
      <c r="L4593" s="398">
        <v>41789</v>
      </c>
      <c r="M4593" s="402">
        <f t="shared" si="265"/>
        <v>6</v>
      </c>
      <c r="N4593" s="402" t="s">
        <v>2</v>
      </c>
      <c r="O4593" s="404">
        <f>1.4/2</f>
        <v>0.7</v>
      </c>
      <c r="P4593" s="402">
        <v>6.5</v>
      </c>
      <c r="Q4593" s="404">
        <v>6.6</v>
      </c>
      <c r="R4593" s="402">
        <v>52</v>
      </c>
      <c r="S4593" s="404">
        <v>32</v>
      </c>
      <c r="T4593" s="402">
        <v>0.12</v>
      </c>
      <c r="U4593" s="395">
        <v>0.85</v>
      </c>
      <c r="V4593" s="402">
        <v>0.14000000000000001</v>
      </c>
      <c r="W4593" s="404">
        <f>0.005/2</f>
        <v>2.5000000000000001E-3</v>
      </c>
      <c r="X4593" s="402">
        <v>7.0000000000000001E-3</v>
      </c>
      <c r="Y4593" s="404">
        <f>0.002/2</f>
        <v>1E-3</v>
      </c>
      <c r="Z4593" s="397"/>
      <c r="AA4593" s="399"/>
      <c r="AB4593" s="394"/>
      <c r="AC4593" s="402"/>
      <c r="AD4593" s="399"/>
      <c r="AE4593" s="402"/>
      <c r="AF4593" s="391"/>
      <c r="AG4593" s="394"/>
      <c r="AH4593" s="394"/>
      <c r="AI4593" s="394"/>
      <c r="AJ4593" s="394"/>
      <c r="AK4593" s="394"/>
      <c r="AL4593" s="394"/>
      <c r="AM4593" s="394"/>
      <c r="AN4593" s="394"/>
      <c r="AO4593" s="394"/>
      <c r="AP4593" s="394"/>
      <c r="AQ4593" s="394"/>
      <c r="AR4593" s="394"/>
      <c r="AS4593" s="402"/>
      <c r="AT4593" s="404"/>
      <c r="AU4593" s="394"/>
      <c r="AV4593" s="394"/>
    </row>
    <row r="4594" spans="1:79" ht="15" customHeight="1">
      <c r="A4594" s="404" t="s">
        <v>4668</v>
      </c>
      <c r="B4594" s="385" t="s">
        <v>4355</v>
      </c>
      <c r="C4594" s="385" t="s">
        <v>4355</v>
      </c>
      <c r="D4594" s="390" t="s">
        <v>1881</v>
      </c>
      <c r="E4594" s="384" t="s">
        <v>1329</v>
      </c>
      <c r="F4594" s="401" t="s">
        <v>6222</v>
      </c>
      <c r="G4594" s="401" t="s">
        <v>1330</v>
      </c>
      <c r="H4594" s="404">
        <v>3398</v>
      </c>
      <c r="I4594" s="402" t="s">
        <v>2</v>
      </c>
      <c r="J4594" s="406" t="s">
        <v>75</v>
      </c>
      <c r="K4594" s="403">
        <v>41795</v>
      </c>
      <c r="L4594" s="398">
        <v>41789</v>
      </c>
      <c r="M4594" s="402">
        <f t="shared" si="265"/>
        <v>6</v>
      </c>
      <c r="N4594" s="402" t="s">
        <v>2</v>
      </c>
      <c r="O4594" s="404">
        <f>1.4/2</f>
        <v>0.7</v>
      </c>
      <c r="P4594" s="402"/>
      <c r="Q4594" s="404"/>
      <c r="R4594" s="402">
        <v>52</v>
      </c>
      <c r="S4594" s="404">
        <v>29</v>
      </c>
      <c r="T4594" s="402">
        <v>0.16</v>
      </c>
      <c r="U4594" s="395">
        <v>1.08</v>
      </c>
      <c r="V4594" s="402"/>
      <c r="W4594" s="404"/>
      <c r="X4594" s="402"/>
      <c r="Y4594" s="404"/>
      <c r="Z4594" s="397"/>
      <c r="AA4594" s="399"/>
      <c r="AB4594" s="394"/>
      <c r="AC4594" s="402"/>
      <c r="AD4594" s="399"/>
      <c r="AE4594" s="402"/>
      <c r="AF4594" s="391"/>
      <c r="AG4594" s="394"/>
      <c r="AH4594" s="394"/>
      <c r="AI4594" s="394"/>
      <c r="AJ4594" s="394"/>
      <c r="AK4594" s="394"/>
      <c r="AL4594" s="394"/>
      <c r="AM4594" s="394"/>
      <c r="AN4594" s="394"/>
      <c r="AO4594" s="394"/>
      <c r="AP4594" s="394"/>
      <c r="AQ4594" s="394"/>
      <c r="AR4594" s="394"/>
      <c r="AS4594" s="402"/>
      <c r="AT4594" s="404"/>
      <c r="AU4594" s="394"/>
      <c r="AV4594" s="394"/>
    </row>
    <row r="4595" spans="1:79" ht="15" customHeight="1">
      <c r="A4595" s="404" t="s">
        <v>4668</v>
      </c>
      <c r="B4595" s="402" t="s">
        <v>4548</v>
      </c>
      <c r="C4595" s="402" t="s">
        <v>1037</v>
      </c>
      <c r="D4595" s="405" t="s">
        <v>4549</v>
      </c>
      <c r="E4595" s="404" t="s">
        <v>1859</v>
      </c>
      <c r="G4595" s="401" t="s">
        <v>4550</v>
      </c>
      <c r="H4595" s="404">
        <v>4952</v>
      </c>
      <c r="I4595" s="402" t="s">
        <v>2</v>
      </c>
      <c r="J4595" s="406" t="s">
        <v>4552</v>
      </c>
      <c r="K4595" s="403">
        <v>41579</v>
      </c>
      <c r="L4595" s="398">
        <v>41552</v>
      </c>
      <c r="M4595" s="402">
        <f t="shared" si="265"/>
        <v>27</v>
      </c>
      <c r="N4595" s="402" t="s">
        <v>2</v>
      </c>
      <c r="O4595" s="404">
        <f>1.4/2</f>
        <v>0.7</v>
      </c>
      <c r="P4595" s="402">
        <v>5.94</v>
      </c>
      <c r="Q4595" s="404">
        <v>5.94</v>
      </c>
      <c r="R4595" s="402">
        <v>19</v>
      </c>
      <c r="S4595" s="404">
        <f>5/2</f>
        <v>2.5</v>
      </c>
      <c r="T4595" s="402">
        <v>0.1</v>
      </c>
      <c r="U4595" s="395">
        <v>1.1200000000000001</v>
      </c>
      <c r="V4595" s="402">
        <v>0.55000000000000004</v>
      </c>
      <c r="W4595" s="404"/>
      <c r="X4595" s="402"/>
      <c r="Y4595" s="404"/>
      <c r="Z4595" s="397">
        <v>1</v>
      </c>
      <c r="AA4595" s="399">
        <v>1</v>
      </c>
      <c r="AB4595" s="394">
        <v>10</v>
      </c>
      <c r="AC4595" s="402">
        <v>50</v>
      </c>
      <c r="AD4595" s="399">
        <v>1</v>
      </c>
      <c r="AE4595" s="402"/>
      <c r="AF4595" s="391"/>
      <c r="AG4595" s="394"/>
      <c r="AH4595" s="394"/>
      <c r="AI4595" s="394"/>
      <c r="AJ4595" s="394"/>
      <c r="AK4595" s="394"/>
      <c r="AL4595" s="394"/>
      <c r="AM4595" s="394"/>
      <c r="AN4595" s="394"/>
      <c r="AO4595" s="394"/>
      <c r="AP4595" s="394"/>
      <c r="AQ4595" s="394"/>
      <c r="AR4595" s="394"/>
      <c r="AS4595" s="402"/>
      <c r="AT4595" s="404"/>
      <c r="AU4595" s="394"/>
      <c r="AV4595" s="394"/>
    </row>
    <row r="4596" spans="1:79" ht="15" customHeight="1">
      <c r="A4596" s="404" t="s">
        <v>4668</v>
      </c>
      <c r="B4596" s="402" t="s">
        <v>4548</v>
      </c>
      <c r="C4596" s="402" t="s">
        <v>1037</v>
      </c>
      <c r="D4596" s="405" t="s">
        <v>4549</v>
      </c>
      <c r="E4596" s="404" t="s">
        <v>1859</v>
      </c>
      <c r="G4596" s="401" t="s">
        <v>4550</v>
      </c>
      <c r="H4596" s="404">
        <v>4952</v>
      </c>
      <c r="I4596" s="402" t="s">
        <v>2</v>
      </c>
      <c r="J4596" s="406" t="s">
        <v>4551</v>
      </c>
      <c r="K4596" s="403">
        <v>41579</v>
      </c>
      <c r="L4596" s="398">
        <v>41552</v>
      </c>
      <c r="M4596" s="402">
        <f t="shared" si="265"/>
        <v>27</v>
      </c>
      <c r="N4596" s="402" t="s">
        <v>2</v>
      </c>
      <c r="O4596" s="404">
        <f>1.4/2</f>
        <v>0.7</v>
      </c>
      <c r="P4596" s="402">
        <v>5.78</v>
      </c>
      <c r="Q4596" s="404">
        <v>5.74</v>
      </c>
      <c r="R4596" s="402">
        <v>15</v>
      </c>
      <c r="S4596" s="404">
        <f>5/2</f>
        <v>2.5</v>
      </c>
      <c r="T4596" s="402">
        <v>0.11</v>
      </c>
      <c r="U4596" s="395">
        <v>1.01</v>
      </c>
      <c r="V4596" s="402">
        <v>0.41</v>
      </c>
      <c r="W4596" s="404"/>
      <c r="X4596" s="402"/>
      <c r="Y4596" s="404"/>
      <c r="Z4596" s="397">
        <v>1</v>
      </c>
      <c r="AA4596" s="399">
        <v>1</v>
      </c>
      <c r="AB4596" s="394">
        <v>4</v>
      </c>
      <c r="AC4596" s="402">
        <v>36</v>
      </c>
      <c r="AD4596" s="399">
        <v>1</v>
      </c>
      <c r="AE4596" s="402"/>
      <c r="AF4596" s="391"/>
      <c r="AG4596" s="394"/>
      <c r="AH4596" s="394"/>
      <c r="AI4596" s="394"/>
      <c r="AJ4596" s="394"/>
      <c r="AK4596" s="394"/>
      <c r="AL4596" s="394"/>
      <c r="AM4596" s="394"/>
      <c r="AN4596" s="394"/>
      <c r="AO4596" s="394"/>
      <c r="AP4596" s="394"/>
      <c r="AQ4596" s="394"/>
      <c r="AR4596" s="394"/>
      <c r="AS4596" s="402"/>
      <c r="AT4596" s="404"/>
      <c r="AU4596" s="394"/>
      <c r="AV4596" s="394"/>
    </row>
    <row r="4597" spans="1:79" ht="15" customHeight="1">
      <c r="A4597" s="404" t="s">
        <v>4668</v>
      </c>
      <c r="B4597" s="402" t="s">
        <v>1839</v>
      </c>
      <c r="C4597" s="402" t="s">
        <v>1840</v>
      </c>
      <c r="D4597" s="405" t="s">
        <v>406</v>
      </c>
      <c r="E4597" s="391" t="s">
        <v>398</v>
      </c>
      <c r="F4597" s="401" t="s">
        <v>6604</v>
      </c>
      <c r="G4597" s="401" t="s">
        <v>1806</v>
      </c>
      <c r="H4597" s="404"/>
      <c r="I4597" s="402" t="s">
        <v>1</v>
      </c>
      <c r="J4597" s="406" t="s">
        <v>5916</v>
      </c>
      <c r="K4597" s="403">
        <v>41795</v>
      </c>
      <c r="L4597" s="398">
        <v>41789</v>
      </c>
      <c r="M4597" s="402">
        <f t="shared" si="265"/>
        <v>6</v>
      </c>
      <c r="N4597" s="402" t="s">
        <v>2</v>
      </c>
      <c r="O4597" s="404">
        <v>1.4</v>
      </c>
      <c r="P4597" s="402">
        <v>6.3</v>
      </c>
      <c r="Q4597" s="404">
        <v>6.5</v>
      </c>
      <c r="R4597" s="402">
        <v>43</v>
      </c>
      <c r="S4597" s="404">
        <v>23</v>
      </c>
      <c r="T4597" s="402">
        <v>0.23</v>
      </c>
      <c r="U4597" s="395">
        <v>2.5</v>
      </c>
      <c r="V4597" s="402">
        <v>1.64</v>
      </c>
      <c r="W4597" s="404">
        <v>1.2999999999999999E-2</v>
      </c>
      <c r="X4597" s="402">
        <v>0.122</v>
      </c>
      <c r="Y4597" s="404">
        <v>4.0000000000000001E-3</v>
      </c>
      <c r="Z4597" s="397">
        <v>1</v>
      </c>
      <c r="AA4597" s="399">
        <v>1</v>
      </c>
      <c r="AB4597" s="394">
        <v>8</v>
      </c>
      <c r="AC4597" s="402">
        <v>43</v>
      </c>
      <c r="AD4597" s="399">
        <v>0.95</v>
      </c>
      <c r="AE4597" s="402"/>
      <c r="AF4597" s="391"/>
      <c r="AG4597" s="394"/>
      <c r="AH4597" s="394"/>
      <c r="AI4597" s="394"/>
      <c r="AJ4597" s="394"/>
      <c r="AK4597" s="394"/>
      <c r="AL4597" s="394"/>
      <c r="AM4597" s="394"/>
      <c r="AN4597" s="394"/>
      <c r="AO4597" s="394"/>
      <c r="AP4597" s="394"/>
      <c r="AQ4597" s="394"/>
      <c r="AR4597" s="394"/>
      <c r="AS4597" s="402"/>
      <c r="AT4597" s="404"/>
      <c r="AU4597" s="394"/>
      <c r="AV4597" s="394"/>
    </row>
    <row r="4598" spans="1:79" ht="15" customHeight="1">
      <c r="A4598" s="404" t="s">
        <v>4668</v>
      </c>
      <c r="B4598" s="402" t="s">
        <v>519</v>
      </c>
      <c r="C4598" s="402" t="s">
        <v>1332</v>
      </c>
      <c r="D4598" s="405" t="s">
        <v>499</v>
      </c>
      <c r="E4598" s="404" t="s">
        <v>49</v>
      </c>
      <c r="F4598" s="401" t="s">
        <v>5860</v>
      </c>
      <c r="G4598" s="401" t="s">
        <v>1333</v>
      </c>
      <c r="H4598" s="404">
        <v>4952</v>
      </c>
      <c r="I4598" s="402" t="s">
        <v>2</v>
      </c>
      <c r="J4598" s="401" t="s">
        <v>81</v>
      </c>
      <c r="K4598" s="403">
        <v>41795</v>
      </c>
      <c r="L4598" s="398">
        <v>41786</v>
      </c>
      <c r="M4598" s="402">
        <f t="shared" si="265"/>
        <v>9</v>
      </c>
      <c r="N4598" s="402" t="s">
        <v>2</v>
      </c>
      <c r="O4598" s="404">
        <f>1.4/2</f>
        <v>0.7</v>
      </c>
      <c r="P4598" s="402"/>
      <c r="Q4598" s="404">
        <v>7.06</v>
      </c>
      <c r="R4598" s="402">
        <v>122</v>
      </c>
      <c r="S4598" s="404">
        <v>41</v>
      </c>
      <c r="T4598" s="402">
        <v>0.32</v>
      </c>
      <c r="U4598" s="395">
        <v>3.1</v>
      </c>
      <c r="V4598" s="402">
        <v>1.17</v>
      </c>
      <c r="W4598" s="404">
        <v>1.6E-2</v>
      </c>
      <c r="X4598" s="402">
        <v>0.125</v>
      </c>
      <c r="Y4598" s="404">
        <v>1E-3</v>
      </c>
      <c r="Z4598" s="397">
        <v>1</v>
      </c>
      <c r="AA4598" s="399">
        <v>1</v>
      </c>
      <c r="AB4598" s="394">
        <v>14</v>
      </c>
      <c r="AC4598" s="402">
        <v>74</v>
      </c>
      <c r="AD4598" s="399">
        <v>1</v>
      </c>
      <c r="AE4598" s="402">
        <v>19860</v>
      </c>
      <c r="AF4598" s="391"/>
      <c r="AG4598" s="394"/>
      <c r="AH4598" s="394"/>
      <c r="AI4598" s="394"/>
      <c r="AJ4598" s="394"/>
      <c r="AK4598" s="394"/>
      <c r="AL4598" s="394"/>
      <c r="AM4598" s="394"/>
      <c r="AN4598" s="394"/>
      <c r="AO4598" s="394"/>
      <c r="AP4598" s="394"/>
      <c r="AQ4598" s="394"/>
      <c r="AR4598" s="394"/>
      <c r="AS4598" s="402"/>
      <c r="AT4598" s="404"/>
      <c r="AU4598" s="394"/>
      <c r="AV4598" s="394"/>
    </row>
    <row r="4599" spans="1:79" ht="15" customHeight="1">
      <c r="A4599" s="404" t="s">
        <v>4668</v>
      </c>
      <c r="B4599" s="402" t="s">
        <v>6468</v>
      </c>
      <c r="C4599" s="402" t="s">
        <v>6468</v>
      </c>
      <c r="D4599" s="405" t="s">
        <v>1217</v>
      </c>
      <c r="E4599" s="404"/>
      <c r="F4599" s="402" t="s">
        <v>1051</v>
      </c>
      <c r="G4599" s="401" t="s">
        <v>6469</v>
      </c>
      <c r="H4599" s="404">
        <v>3724</v>
      </c>
      <c r="I4599" s="402" t="s">
        <v>2</v>
      </c>
      <c r="J4599" s="406" t="s">
        <v>1053</v>
      </c>
      <c r="K4599" s="403">
        <v>41809</v>
      </c>
      <c r="L4599" s="398">
        <v>41803</v>
      </c>
      <c r="M4599" s="402">
        <f t="shared" si="265"/>
        <v>6</v>
      </c>
      <c r="N4599" s="402" t="s">
        <v>2</v>
      </c>
      <c r="O4599" s="404">
        <f>1.7/2</f>
        <v>0.85</v>
      </c>
      <c r="P4599" s="402"/>
      <c r="Q4599" s="404">
        <v>6.7</v>
      </c>
      <c r="R4599" s="402">
        <v>45</v>
      </c>
      <c r="S4599" s="404">
        <v>9.6</v>
      </c>
      <c r="T4599" s="402">
        <v>0.109</v>
      </c>
      <c r="U4599" s="395">
        <f>1.6/2</f>
        <v>0.8</v>
      </c>
      <c r="V4599" s="402">
        <v>1.1499999999999999</v>
      </c>
      <c r="W4599" s="404">
        <v>2.7E-2</v>
      </c>
      <c r="X4599" s="402">
        <v>0.04</v>
      </c>
      <c r="Y4599" s="404">
        <f>0.005/2</f>
        <v>2.5000000000000001E-3</v>
      </c>
      <c r="Z4599" s="397"/>
      <c r="AA4599" s="399"/>
      <c r="AB4599" s="394"/>
      <c r="AC4599" s="402"/>
      <c r="AD4599" s="399"/>
      <c r="AE4599" s="402"/>
      <c r="AF4599" s="391"/>
      <c r="AG4599" s="394"/>
      <c r="AH4599" s="394"/>
      <c r="AI4599" s="394"/>
      <c r="AJ4599" s="394"/>
      <c r="AK4599" s="394"/>
      <c r="AL4599" s="394"/>
      <c r="AM4599" s="394"/>
      <c r="AN4599" s="394"/>
      <c r="AO4599" s="394"/>
      <c r="AP4599" s="394"/>
      <c r="AQ4599" s="394"/>
      <c r="AR4599" s="394"/>
      <c r="AS4599" s="402"/>
      <c r="AT4599" s="404"/>
      <c r="AU4599" s="394"/>
      <c r="AV4599" s="394"/>
    </row>
    <row r="4600" spans="1:79" ht="15" customHeight="1">
      <c r="A4600" s="404" t="s">
        <v>4668</v>
      </c>
      <c r="B4600" s="402" t="s">
        <v>6584</v>
      </c>
      <c r="C4600" s="402" t="s">
        <v>6584</v>
      </c>
      <c r="D4600" s="405" t="s">
        <v>425</v>
      </c>
      <c r="E4600" s="404"/>
      <c r="F4600" s="401" t="s">
        <v>6223</v>
      </c>
      <c r="G4600" s="401" t="s">
        <v>6590</v>
      </c>
      <c r="H4600" s="404">
        <v>3559</v>
      </c>
      <c r="I4600" s="402"/>
      <c r="J4600" s="406" t="s">
        <v>6591</v>
      </c>
      <c r="K4600" s="403">
        <v>41304</v>
      </c>
      <c r="L4600" s="398">
        <v>41285</v>
      </c>
      <c r="M4600" s="402">
        <f t="shared" si="265"/>
        <v>19</v>
      </c>
      <c r="N4600" s="402" t="s">
        <v>2</v>
      </c>
      <c r="O4600" s="404">
        <f>1/2</f>
        <v>0.5</v>
      </c>
      <c r="P4600" s="402">
        <v>4.5599999999999996</v>
      </c>
      <c r="Q4600" s="404">
        <v>4.57</v>
      </c>
      <c r="R4600" s="402">
        <v>16</v>
      </c>
      <c r="S4600" s="404">
        <v>3</v>
      </c>
      <c r="T4600" s="402">
        <f>0.1/2</f>
        <v>0.05</v>
      </c>
      <c r="U4600" s="395">
        <v>1.98</v>
      </c>
      <c r="V4600" s="402">
        <v>1.39</v>
      </c>
      <c r="W4600" s="404">
        <v>0.43</v>
      </c>
      <c r="X4600" s="402">
        <v>0.43</v>
      </c>
      <c r="Y4600" s="404">
        <f>0.05/2</f>
        <v>2.5000000000000001E-2</v>
      </c>
      <c r="Z4600" s="397">
        <v>6.25E-2</v>
      </c>
      <c r="AA4600" s="399">
        <v>6.25E-2</v>
      </c>
      <c r="AB4600" s="394">
        <v>15</v>
      </c>
      <c r="AC4600" s="402">
        <v>66</v>
      </c>
      <c r="AD4600" s="399">
        <v>0</v>
      </c>
      <c r="AE4600" s="402"/>
      <c r="AF4600" s="391"/>
      <c r="AG4600" s="394"/>
      <c r="AH4600" s="394"/>
      <c r="AI4600" s="394"/>
      <c r="AJ4600" s="394"/>
      <c r="AK4600" s="394"/>
      <c r="AL4600" s="394"/>
      <c r="AM4600" s="394"/>
      <c r="AN4600" s="394"/>
      <c r="AO4600" s="394"/>
      <c r="AP4600" s="394"/>
      <c r="AQ4600" s="394"/>
      <c r="AR4600" s="394"/>
      <c r="AS4600" s="402"/>
      <c r="AT4600" s="404"/>
      <c r="AU4600" s="394"/>
      <c r="AV4600" s="394"/>
    </row>
    <row r="4601" spans="1:79" ht="15" customHeight="1">
      <c r="A4601" s="404" t="s">
        <v>4668</v>
      </c>
      <c r="B4601" s="402" t="s">
        <v>4771</v>
      </c>
      <c r="C4601" s="402" t="s">
        <v>4771</v>
      </c>
      <c r="D4601" s="405" t="s">
        <v>111</v>
      </c>
      <c r="E4601" s="404" t="s">
        <v>4772</v>
      </c>
      <c r="F4601" s="401" t="s">
        <v>6339</v>
      </c>
      <c r="G4601" s="401" t="s">
        <v>4773</v>
      </c>
      <c r="H4601" s="404">
        <v>3446</v>
      </c>
      <c r="I4601" s="402"/>
      <c r="J4601" s="406" t="s">
        <v>4772</v>
      </c>
      <c r="K4601" s="403">
        <v>41834</v>
      </c>
      <c r="L4601" s="398">
        <v>41824</v>
      </c>
      <c r="M4601" s="402">
        <f t="shared" si="265"/>
        <v>10</v>
      </c>
      <c r="N4601" s="402" t="s">
        <v>2</v>
      </c>
      <c r="O4601" s="404">
        <v>2</v>
      </c>
      <c r="P4601" s="402"/>
      <c r="Q4601" s="404">
        <v>5.53</v>
      </c>
      <c r="R4601" s="402">
        <v>63.8</v>
      </c>
      <c r="S4601" s="404">
        <v>15</v>
      </c>
      <c r="T4601" s="402">
        <v>0.14000000000000001</v>
      </c>
      <c r="U4601" s="395">
        <v>1.08</v>
      </c>
      <c r="V4601" s="402">
        <v>0.44</v>
      </c>
      <c r="W4601" s="404">
        <v>1.7000000000000001E-2</v>
      </c>
      <c r="X4601" s="402">
        <v>9.1999999999999998E-2</v>
      </c>
      <c r="Y4601" s="404">
        <v>5.0000000000000001E-3</v>
      </c>
      <c r="Z4601" s="397"/>
      <c r="AA4601" s="399"/>
      <c r="AB4601" s="394"/>
      <c r="AC4601" s="402"/>
      <c r="AD4601" s="399"/>
      <c r="AE4601" s="402"/>
      <c r="AF4601" s="391"/>
      <c r="AG4601" s="394"/>
      <c r="AH4601" s="394"/>
      <c r="AI4601" s="394"/>
      <c r="AJ4601" s="394"/>
      <c r="AK4601" s="394"/>
      <c r="AL4601" s="394"/>
      <c r="AM4601" s="394"/>
      <c r="AN4601" s="394"/>
      <c r="AO4601" s="394"/>
      <c r="AP4601" s="394"/>
      <c r="AQ4601" s="394"/>
      <c r="AR4601" s="394"/>
      <c r="AS4601" s="402"/>
      <c r="AT4601" s="404"/>
      <c r="AU4601" s="394"/>
      <c r="AV4601" s="394"/>
    </row>
    <row r="4602" spans="1:79" ht="15" customHeight="1">
      <c r="A4602" s="404" t="s">
        <v>4668</v>
      </c>
      <c r="B4602" s="402" t="s">
        <v>5088</v>
      </c>
      <c r="C4602" s="402" t="s">
        <v>5088</v>
      </c>
      <c r="D4602" s="405" t="s">
        <v>338</v>
      </c>
      <c r="E4602" s="404" t="s">
        <v>5089</v>
      </c>
      <c r="F4602" s="402">
        <v>6912</v>
      </c>
      <c r="G4602" s="401" t="s">
        <v>5090</v>
      </c>
      <c r="H4602" s="404">
        <v>3469</v>
      </c>
      <c r="I4602" s="402" t="s">
        <v>2</v>
      </c>
      <c r="J4602" s="406" t="s">
        <v>5091</v>
      </c>
      <c r="K4602" s="403">
        <v>41710</v>
      </c>
      <c r="L4602" s="398">
        <v>41710</v>
      </c>
      <c r="M4602" s="402">
        <f t="shared" si="265"/>
        <v>0</v>
      </c>
      <c r="N4602" s="402" t="s">
        <v>2</v>
      </c>
      <c r="O4602" s="404"/>
      <c r="P4602" s="402"/>
      <c r="Q4602" s="404"/>
      <c r="R4602" s="402">
        <v>430</v>
      </c>
      <c r="S4602" s="404">
        <v>88.8</v>
      </c>
      <c r="T4602" s="402">
        <v>0.61099999999999999</v>
      </c>
      <c r="U4602" s="395">
        <v>3.5</v>
      </c>
      <c r="V4602" s="402"/>
      <c r="W4602" s="404">
        <v>0.107</v>
      </c>
      <c r="X4602" s="402">
        <v>1.22</v>
      </c>
      <c r="Y4602" s="404"/>
      <c r="Z4602" s="397"/>
      <c r="AA4602" s="399"/>
      <c r="AB4602" s="394"/>
      <c r="AC4602" s="402"/>
      <c r="AD4602" s="399"/>
      <c r="AE4602" s="402"/>
      <c r="AF4602" s="391"/>
      <c r="AG4602" s="394"/>
      <c r="AH4602" s="394"/>
      <c r="AI4602" s="394"/>
      <c r="AJ4602" s="394"/>
      <c r="AK4602" s="394"/>
      <c r="AL4602" s="394"/>
      <c r="AM4602" s="394"/>
      <c r="AN4602" s="394"/>
      <c r="AO4602" s="394"/>
      <c r="AP4602" s="394"/>
      <c r="AQ4602" s="394"/>
      <c r="AR4602" s="394"/>
      <c r="AS4602" s="402"/>
      <c r="AT4602" s="404"/>
      <c r="AU4602" s="394"/>
      <c r="AV4602" s="394"/>
    </row>
    <row r="4603" spans="1:79" s="400" customFormat="1" ht="15" customHeight="1">
      <c r="A4603" s="41" t="s">
        <v>183</v>
      </c>
      <c r="B4603" s="402" t="s">
        <v>5772</v>
      </c>
      <c r="C4603" s="402" t="s">
        <v>5772</v>
      </c>
      <c r="D4603" s="405" t="s">
        <v>861</v>
      </c>
      <c r="E4603" s="404" t="s">
        <v>5773</v>
      </c>
      <c r="F4603" s="401" t="s">
        <v>6605</v>
      </c>
      <c r="G4603" s="401" t="s">
        <v>5774</v>
      </c>
      <c r="H4603" s="404">
        <v>3273</v>
      </c>
      <c r="I4603" s="402" t="s">
        <v>2</v>
      </c>
      <c r="J4603" s="406" t="s">
        <v>5775</v>
      </c>
      <c r="K4603" s="403">
        <v>41834</v>
      </c>
      <c r="L4603" s="398">
        <v>41824</v>
      </c>
      <c r="M4603" s="402">
        <f t="shared" si="265"/>
        <v>10</v>
      </c>
      <c r="N4603" s="402" t="s">
        <v>2</v>
      </c>
      <c r="O4603" s="404">
        <v>15.7</v>
      </c>
      <c r="P4603" s="402"/>
      <c r="Q4603" s="404"/>
      <c r="R4603" s="402"/>
      <c r="S4603" s="404"/>
      <c r="T4603" s="402"/>
      <c r="U4603" s="395"/>
      <c r="V4603" s="402"/>
      <c r="W4603" s="404"/>
      <c r="X4603" s="402"/>
      <c r="Y4603" s="404"/>
      <c r="Z4603" s="397"/>
      <c r="AA4603" s="399"/>
      <c r="AB4603" s="394"/>
      <c r="AC4603" s="402"/>
      <c r="AD4603" s="399"/>
      <c r="AE4603" s="402"/>
      <c r="AF4603" s="391"/>
      <c r="AG4603" s="394"/>
      <c r="AH4603" s="394"/>
      <c r="AI4603" s="394"/>
      <c r="AJ4603" s="394"/>
      <c r="AK4603" s="394"/>
      <c r="AL4603" s="394"/>
      <c r="AM4603" s="394"/>
      <c r="AN4603" s="394"/>
      <c r="AO4603" s="394"/>
      <c r="AP4603" s="394"/>
      <c r="AQ4603" s="394"/>
      <c r="AR4603" s="394"/>
      <c r="AS4603" s="402"/>
      <c r="AT4603" s="404"/>
      <c r="AU4603" s="394"/>
      <c r="AV4603" s="394"/>
      <c r="AW4603" s="394"/>
      <c r="AX4603" s="5"/>
      <c r="AY4603" s="5"/>
      <c r="AZ4603" s="5"/>
      <c r="BA4603" s="5"/>
      <c r="BB4603" s="5"/>
      <c r="BC4603" s="5"/>
      <c r="BD4603" s="5"/>
      <c r="BE4603" s="5"/>
      <c r="BF4603" s="5"/>
      <c r="BG4603" s="5"/>
      <c r="BH4603" s="5"/>
      <c r="BI4603" s="5"/>
      <c r="BJ4603" s="5"/>
      <c r="BK4603" s="5"/>
      <c r="BL4603" s="5"/>
      <c r="BM4603" s="5"/>
      <c r="BN4603" s="5"/>
      <c r="BO4603" s="5"/>
      <c r="BP4603" s="5"/>
      <c r="BQ4603" s="5"/>
      <c r="BR4603" s="5"/>
      <c r="BS4603" s="5"/>
      <c r="BT4603" s="5"/>
      <c r="BU4603" s="5"/>
      <c r="BV4603" s="5"/>
      <c r="BW4603" s="5"/>
      <c r="BX4603" s="5"/>
      <c r="BY4603" s="5"/>
      <c r="BZ4603" s="5"/>
      <c r="CA4603" s="5"/>
    </row>
    <row r="4604" spans="1:79" ht="15" customHeight="1">
      <c r="A4604" s="404" t="s">
        <v>4668</v>
      </c>
      <c r="B4604" s="402" t="s">
        <v>442</v>
      </c>
      <c r="C4604" s="402" t="s">
        <v>442</v>
      </c>
      <c r="D4604" s="405" t="s">
        <v>443</v>
      </c>
      <c r="E4604" s="391" t="s">
        <v>1852</v>
      </c>
      <c r="F4604" s="401" t="s">
        <v>6361</v>
      </c>
      <c r="G4604" s="401" t="s">
        <v>444</v>
      </c>
      <c r="H4604" s="404">
        <v>2689</v>
      </c>
      <c r="I4604" s="402" t="s">
        <v>2</v>
      </c>
      <c r="J4604" s="393" t="s">
        <v>445</v>
      </c>
      <c r="K4604" s="403">
        <v>41767</v>
      </c>
      <c r="L4604" s="398">
        <v>41763</v>
      </c>
      <c r="M4604" s="402">
        <f t="shared" si="265"/>
        <v>4</v>
      </c>
      <c r="N4604" s="402" t="s">
        <v>2</v>
      </c>
      <c r="O4604" s="404">
        <v>2.2000000000000002</v>
      </c>
      <c r="P4604" s="402">
        <v>6.2</v>
      </c>
      <c r="Q4604" s="404">
        <v>6.9</v>
      </c>
      <c r="R4604" s="402">
        <v>55</v>
      </c>
      <c r="S4604" s="404">
        <v>44</v>
      </c>
      <c r="T4604" s="402">
        <v>0.13</v>
      </c>
      <c r="U4604" s="395">
        <v>1.75</v>
      </c>
      <c r="V4604" s="402">
        <v>0.37</v>
      </c>
      <c r="W4604" s="404">
        <v>1.4999999999999999E-2</v>
      </c>
      <c r="X4604" s="402">
        <v>3.5999999999999997E-2</v>
      </c>
      <c r="Y4604" s="404">
        <f>0.03/2</f>
        <v>1.4999999999999999E-2</v>
      </c>
      <c r="Z4604" s="397">
        <v>1</v>
      </c>
      <c r="AA4604" s="399">
        <v>1</v>
      </c>
      <c r="AB4604" s="394">
        <v>26</v>
      </c>
      <c r="AC4604" s="402">
        <v>89</v>
      </c>
      <c r="AD4604" s="399">
        <v>0.8</v>
      </c>
      <c r="AE4604" s="402"/>
      <c r="AF4604" s="391"/>
      <c r="AG4604" s="394"/>
      <c r="AH4604" s="394"/>
      <c r="AI4604" s="394"/>
      <c r="AJ4604" s="394"/>
      <c r="AK4604" s="394"/>
      <c r="AL4604" s="394"/>
      <c r="AM4604" s="394"/>
      <c r="AN4604" s="394"/>
      <c r="AO4604" s="394"/>
      <c r="AP4604" s="394"/>
      <c r="AQ4604" s="394"/>
      <c r="AR4604" s="394"/>
      <c r="AS4604" s="402"/>
      <c r="AT4604" s="404"/>
      <c r="AU4604" s="394"/>
      <c r="AV4604" s="394"/>
    </row>
    <row r="4605" spans="1:79" ht="15" customHeight="1">
      <c r="A4605" s="404" t="s">
        <v>4668</v>
      </c>
      <c r="B4605" s="402" t="s">
        <v>442</v>
      </c>
      <c r="C4605" s="402" t="s">
        <v>442</v>
      </c>
      <c r="D4605" s="405" t="s">
        <v>443</v>
      </c>
      <c r="E4605" s="391" t="s">
        <v>1852</v>
      </c>
      <c r="F4605" s="401" t="s">
        <v>6361</v>
      </c>
      <c r="G4605" s="401" t="s">
        <v>444</v>
      </c>
      <c r="H4605" s="404">
        <v>2689</v>
      </c>
      <c r="I4605" s="402" t="s">
        <v>2</v>
      </c>
      <c r="J4605" s="393" t="s">
        <v>249</v>
      </c>
      <c r="K4605" s="403">
        <v>41767</v>
      </c>
      <c r="L4605" s="398">
        <v>41763</v>
      </c>
      <c r="M4605" s="402">
        <f t="shared" si="265"/>
        <v>4</v>
      </c>
      <c r="N4605" s="402" t="s">
        <v>2</v>
      </c>
      <c r="O4605" s="404">
        <f>2/2</f>
        <v>1</v>
      </c>
      <c r="P4605" s="402">
        <v>6.2</v>
      </c>
      <c r="Q4605" s="404">
        <v>7.6</v>
      </c>
      <c r="R4605" s="402">
        <v>44</v>
      </c>
      <c r="S4605" s="404">
        <v>28</v>
      </c>
      <c r="T4605" s="402">
        <v>0.06</v>
      </c>
      <c r="U4605" s="395">
        <v>9.42</v>
      </c>
      <c r="V4605" s="402">
        <v>0.72</v>
      </c>
      <c r="W4605" s="404">
        <f>0.01/2</f>
        <v>5.0000000000000001E-3</v>
      </c>
      <c r="X4605" s="402">
        <v>3.4000000000000002E-2</v>
      </c>
      <c r="Y4605" s="404">
        <f>0.03/2</f>
        <v>1.4999999999999999E-2</v>
      </c>
      <c r="Z4605" s="397">
        <v>1</v>
      </c>
      <c r="AA4605" s="399">
        <v>1</v>
      </c>
      <c r="AB4605" s="394">
        <v>32</v>
      </c>
      <c r="AC4605" s="402">
        <v>132</v>
      </c>
      <c r="AD4605" s="399">
        <v>0.85</v>
      </c>
      <c r="AE4605" s="402"/>
      <c r="AF4605" s="391"/>
      <c r="AG4605" s="394"/>
      <c r="AH4605" s="394"/>
      <c r="AI4605" s="394"/>
      <c r="AJ4605" s="394"/>
      <c r="AK4605" s="394"/>
      <c r="AL4605" s="394"/>
      <c r="AM4605" s="394"/>
      <c r="AN4605" s="394"/>
      <c r="AO4605" s="394"/>
      <c r="AP4605" s="394"/>
      <c r="AQ4605" s="394"/>
      <c r="AR4605" s="394"/>
      <c r="AS4605" s="402"/>
      <c r="AT4605" s="404"/>
      <c r="AU4605" s="394"/>
      <c r="AV4605" s="394"/>
    </row>
    <row r="4606" spans="1:79" ht="15" customHeight="1">
      <c r="A4606" s="404" t="s">
        <v>4668</v>
      </c>
      <c r="B4606" s="402" t="s">
        <v>1267</v>
      </c>
      <c r="C4606" s="402" t="s">
        <v>6585</v>
      </c>
      <c r="D4606" s="405" t="s">
        <v>205</v>
      </c>
      <c r="E4606" s="391" t="s">
        <v>1269</v>
      </c>
      <c r="F4606" s="401" t="s">
        <v>6606</v>
      </c>
      <c r="G4606" s="401" t="s">
        <v>1270</v>
      </c>
      <c r="H4606" s="404">
        <v>3724</v>
      </c>
      <c r="I4606" s="402" t="s">
        <v>2</v>
      </c>
      <c r="J4606" s="406" t="s">
        <v>1062</v>
      </c>
      <c r="K4606" s="403">
        <v>41799</v>
      </c>
      <c r="L4606" s="398">
        <v>41795</v>
      </c>
      <c r="M4606" s="402">
        <f t="shared" si="265"/>
        <v>4</v>
      </c>
      <c r="N4606" s="402" t="s">
        <v>2</v>
      </c>
      <c r="O4606" s="404">
        <f>2.3/2</f>
        <v>1.1499999999999999</v>
      </c>
      <c r="P4606" s="402">
        <v>6.4</v>
      </c>
      <c r="Q4606" s="404">
        <v>6.93</v>
      </c>
      <c r="R4606" s="402">
        <v>670</v>
      </c>
      <c r="S4606" s="404">
        <v>23</v>
      </c>
      <c r="T4606" s="402">
        <v>0.22700000000000001</v>
      </c>
      <c r="U4606" s="395">
        <v>20</v>
      </c>
      <c r="V4606" s="402">
        <f>0.46/2</f>
        <v>0.23</v>
      </c>
      <c r="W4606" s="404">
        <v>1.7999999999999999E-2</v>
      </c>
      <c r="X4606" s="402">
        <v>4.7E-2</v>
      </c>
      <c r="Y4606" s="404">
        <v>8.3999999999999995E-3</v>
      </c>
      <c r="Z4606" s="397"/>
      <c r="AA4606" s="399"/>
      <c r="AB4606" s="394"/>
      <c r="AC4606" s="402"/>
      <c r="AD4606" s="399"/>
      <c r="AE4606" s="402"/>
      <c r="AF4606" s="391"/>
      <c r="AG4606" s="394"/>
      <c r="AH4606" s="394"/>
      <c r="AI4606" s="394"/>
      <c r="AJ4606" s="394"/>
      <c r="AK4606" s="394"/>
      <c r="AL4606" s="394"/>
      <c r="AM4606" s="394"/>
      <c r="AN4606" s="394"/>
      <c r="AO4606" s="394"/>
      <c r="AP4606" s="394"/>
      <c r="AQ4606" s="394"/>
      <c r="AR4606" s="394"/>
      <c r="AS4606" s="402"/>
      <c r="AT4606" s="404"/>
      <c r="AU4606" s="394"/>
      <c r="AV4606" s="394"/>
    </row>
    <row r="4607" spans="1:79" ht="15" customHeight="1">
      <c r="A4607" s="404" t="s">
        <v>4668</v>
      </c>
      <c r="B4607" s="402" t="s">
        <v>1267</v>
      </c>
      <c r="C4607" s="402" t="s">
        <v>6585</v>
      </c>
      <c r="D4607" s="405" t="s">
        <v>205</v>
      </c>
      <c r="E4607" s="391" t="s">
        <v>1269</v>
      </c>
      <c r="F4607" s="401" t="s">
        <v>6606</v>
      </c>
      <c r="G4607" s="401" t="s">
        <v>1270</v>
      </c>
      <c r="H4607" s="404">
        <v>3724</v>
      </c>
      <c r="I4607" s="402" t="s">
        <v>2</v>
      </c>
      <c r="J4607" s="406" t="s">
        <v>6409</v>
      </c>
      <c r="K4607" s="403">
        <v>41799</v>
      </c>
      <c r="L4607" s="398">
        <v>41795</v>
      </c>
      <c r="M4607" s="402">
        <f t="shared" si="265"/>
        <v>4</v>
      </c>
      <c r="N4607" s="402" t="s">
        <v>2</v>
      </c>
      <c r="O4607" s="404">
        <v>7.9</v>
      </c>
      <c r="P4607" s="402">
        <v>6.4</v>
      </c>
      <c r="Q4607" s="404">
        <v>6.93</v>
      </c>
      <c r="R4607" s="402">
        <v>870</v>
      </c>
      <c r="S4607" s="404">
        <v>554</v>
      </c>
      <c r="T4607" s="402">
        <v>2.0099999999999998</v>
      </c>
      <c r="U4607" s="395">
        <v>13</v>
      </c>
      <c r="V4607" s="402">
        <v>1.05</v>
      </c>
      <c r="W4607" s="404">
        <v>3.4000000000000002E-2</v>
      </c>
      <c r="X4607" s="402">
        <v>0.20699999999999999</v>
      </c>
      <c r="Y4607" s="404">
        <v>1.41E-2</v>
      </c>
      <c r="Z4607" s="397"/>
      <c r="AA4607" s="399"/>
      <c r="AB4607" s="394"/>
      <c r="AC4607" s="402"/>
      <c r="AD4607" s="399"/>
      <c r="AE4607" s="402"/>
      <c r="AF4607" s="391"/>
      <c r="AG4607" s="394"/>
      <c r="AH4607" s="394"/>
      <c r="AI4607" s="394"/>
      <c r="AJ4607" s="394"/>
      <c r="AK4607" s="394"/>
      <c r="AL4607" s="394"/>
      <c r="AM4607" s="394"/>
      <c r="AN4607" s="394"/>
      <c r="AO4607" s="394"/>
      <c r="AP4607" s="394"/>
      <c r="AQ4607" s="394"/>
      <c r="AR4607" s="394"/>
      <c r="AS4607" s="402"/>
      <c r="AT4607" s="404"/>
      <c r="AU4607" s="394"/>
      <c r="AV4607" s="394"/>
    </row>
    <row r="4608" spans="1:79" ht="15" customHeight="1">
      <c r="A4608" s="404" t="s">
        <v>4668</v>
      </c>
      <c r="B4608" s="402" t="s">
        <v>1974</v>
      </c>
      <c r="C4608" s="402" t="s">
        <v>1975</v>
      </c>
      <c r="D4608" s="405" t="s">
        <v>262</v>
      </c>
      <c r="E4608" s="404" t="s">
        <v>1976</v>
      </c>
      <c r="F4608" s="402">
        <v>7000</v>
      </c>
      <c r="G4608" s="401" t="s">
        <v>1977</v>
      </c>
      <c r="H4608" s="404">
        <v>3728</v>
      </c>
      <c r="I4608" s="402" t="s">
        <v>1</v>
      </c>
      <c r="J4608" s="401" t="s">
        <v>1978</v>
      </c>
      <c r="K4608" s="403">
        <v>41816</v>
      </c>
      <c r="L4608" s="398">
        <v>41809</v>
      </c>
      <c r="M4608" s="402">
        <f t="shared" si="265"/>
        <v>7</v>
      </c>
      <c r="N4608" s="402" t="s">
        <v>2</v>
      </c>
      <c r="O4608" s="404"/>
      <c r="P4608" s="402"/>
      <c r="Q4608" s="404"/>
      <c r="R4608" s="402">
        <v>590</v>
      </c>
      <c r="S4608" s="404"/>
      <c r="T4608" s="402"/>
      <c r="U4608" s="395"/>
      <c r="V4608" s="402"/>
      <c r="W4608" s="404"/>
      <c r="X4608" s="402">
        <v>0.11</v>
      </c>
      <c r="Y4608" s="404"/>
      <c r="Z4608" s="397"/>
      <c r="AA4608" s="399"/>
      <c r="AB4608" s="394"/>
      <c r="AC4608" s="402"/>
      <c r="AD4608" s="399"/>
      <c r="AE4608" s="402"/>
      <c r="AF4608" s="391"/>
      <c r="AG4608" s="394"/>
      <c r="AH4608" s="394"/>
      <c r="AI4608" s="394"/>
      <c r="AJ4608" s="394">
        <v>20</v>
      </c>
      <c r="AK4608" s="394"/>
      <c r="AL4608" s="394"/>
      <c r="AM4608" s="394"/>
      <c r="AN4608" s="394"/>
      <c r="AO4608" s="394"/>
      <c r="AP4608" s="394"/>
      <c r="AQ4608" s="394"/>
      <c r="AR4608" s="394"/>
      <c r="AS4608" s="402"/>
      <c r="AT4608" s="404"/>
      <c r="AU4608" s="394"/>
      <c r="AV4608" s="394"/>
      <c r="AY4608" s="5">
        <f t="shared" ref="AY4608:AZ4610" si="266">1/2</f>
        <v>0.5</v>
      </c>
      <c r="AZ4608" s="5">
        <f t="shared" si="266"/>
        <v>0.5</v>
      </c>
      <c r="BA4608" s="5">
        <f>0.3/2</f>
        <v>0.15</v>
      </c>
      <c r="BB4608" s="5">
        <f t="shared" ref="BB4608:BC4610" si="267">1/2</f>
        <v>0.5</v>
      </c>
      <c r="BC4608" s="5">
        <f t="shared" si="267"/>
        <v>0.5</v>
      </c>
      <c r="BD4608" s="5">
        <v>1.2</v>
      </c>
      <c r="BE4608" s="5">
        <f>1/2</f>
        <v>0.5</v>
      </c>
      <c r="BF4608" s="5">
        <v>2.6</v>
      </c>
      <c r="BG4608" s="5">
        <v>2</v>
      </c>
      <c r="BH4608" s="5">
        <v>1.1000000000000001</v>
      </c>
      <c r="BI4608" s="5">
        <v>1.4</v>
      </c>
      <c r="BJ4608" s="5">
        <v>2.2000000000000002</v>
      </c>
      <c r="BK4608" s="5">
        <v>0.51</v>
      </c>
      <c r="BL4608" s="5">
        <v>1.3</v>
      </c>
      <c r="BM4608" s="5">
        <v>1.6</v>
      </c>
      <c r="BN4608" s="5">
        <v>0.37</v>
      </c>
      <c r="BO4608" s="5">
        <v>1.3</v>
      </c>
    </row>
    <row r="4609" spans="1:67" ht="15" customHeight="1">
      <c r="A4609" s="404" t="s">
        <v>4668</v>
      </c>
      <c r="B4609" s="402" t="s">
        <v>1974</v>
      </c>
      <c r="C4609" s="402" t="s">
        <v>1975</v>
      </c>
      <c r="D4609" s="405" t="s">
        <v>262</v>
      </c>
      <c r="E4609" s="404" t="s">
        <v>1976</v>
      </c>
      <c r="F4609" s="402">
        <v>7000</v>
      </c>
      <c r="G4609" s="401" t="s">
        <v>1977</v>
      </c>
      <c r="H4609" s="404">
        <v>3728</v>
      </c>
      <c r="I4609" s="402" t="s">
        <v>1</v>
      </c>
      <c r="J4609" s="401" t="s">
        <v>1979</v>
      </c>
      <c r="K4609" s="403">
        <v>41816</v>
      </c>
      <c r="L4609" s="398">
        <v>41809</v>
      </c>
      <c r="M4609" s="402">
        <f t="shared" si="265"/>
        <v>7</v>
      </c>
      <c r="N4609" s="402" t="s">
        <v>2</v>
      </c>
      <c r="O4609" s="404"/>
      <c r="P4609" s="402"/>
      <c r="Q4609" s="404"/>
      <c r="R4609" s="402">
        <v>540</v>
      </c>
      <c r="S4609" s="404"/>
      <c r="T4609" s="402"/>
      <c r="U4609" s="395"/>
      <c r="V4609" s="402"/>
      <c r="W4609" s="404"/>
      <c r="X4609" s="402">
        <v>6.8000000000000005E-2</v>
      </c>
      <c r="Y4609" s="404"/>
      <c r="Z4609" s="397"/>
      <c r="AA4609" s="399"/>
      <c r="AB4609" s="394"/>
      <c r="AC4609" s="402"/>
      <c r="AD4609" s="399"/>
      <c r="AE4609" s="402"/>
      <c r="AF4609" s="391"/>
      <c r="AG4609" s="394"/>
      <c r="AH4609" s="394"/>
      <c r="AI4609" s="394"/>
      <c r="AJ4609" s="394">
        <v>10</v>
      </c>
      <c r="AK4609" s="394"/>
      <c r="AL4609" s="394"/>
      <c r="AM4609" s="394"/>
      <c r="AN4609" s="394"/>
      <c r="AO4609" s="394"/>
      <c r="AP4609" s="394"/>
      <c r="AQ4609" s="394"/>
      <c r="AR4609" s="394"/>
      <c r="AS4609" s="402"/>
      <c r="AT4609" s="404"/>
      <c r="AU4609" s="394"/>
      <c r="AV4609" s="394"/>
      <c r="AY4609" s="5">
        <f t="shared" si="266"/>
        <v>0.5</v>
      </c>
      <c r="AZ4609" s="5">
        <f t="shared" si="266"/>
        <v>0.5</v>
      </c>
      <c r="BA4609" s="5">
        <f>0.3/2</f>
        <v>0.15</v>
      </c>
      <c r="BB4609" s="5">
        <f t="shared" si="267"/>
        <v>0.5</v>
      </c>
      <c r="BC4609" s="5">
        <f t="shared" si="267"/>
        <v>0.5</v>
      </c>
      <c r="BD4609" s="5">
        <f>0.077/2</f>
        <v>3.85E-2</v>
      </c>
      <c r="BE4609" s="5">
        <f>1/2</f>
        <v>0.5</v>
      </c>
      <c r="BF4609" s="5">
        <f>1/2</f>
        <v>0.5</v>
      </c>
      <c r="BG4609" s="5">
        <f>1/2</f>
        <v>0.5</v>
      </c>
      <c r="BH4609" s="5">
        <f>0.06/2</f>
        <v>0.03</v>
      </c>
      <c r="BI4609" s="5">
        <f>1/2</f>
        <v>0.5</v>
      </c>
      <c r="BJ4609" s="5">
        <f>0.08/2</f>
        <v>0.04</v>
      </c>
      <c r="BK4609" s="5">
        <f>0.3/2</f>
        <v>0.15</v>
      </c>
      <c r="BL4609" s="5">
        <f>0.2/2</f>
        <v>0.1</v>
      </c>
      <c r="BM4609" s="5">
        <f>0.2/2</f>
        <v>0.1</v>
      </c>
      <c r="BN4609" s="5">
        <f>2/2</f>
        <v>1</v>
      </c>
      <c r="BO4609" s="5">
        <f>1/2</f>
        <v>0.5</v>
      </c>
    </row>
    <row r="4610" spans="1:67" ht="15" customHeight="1">
      <c r="A4610" s="404" t="s">
        <v>4668</v>
      </c>
      <c r="B4610" s="402" t="s">
        <v>1974</v>
      </c>
      <c r="C4610" s="402" t="s">
        <v>1975</v>
      </c>
      <c r="D4610" s="405" t="s">
        <v>262</v>
      </c>
      <c r="E4610" s="404" t="s">
        <v>1976</v>
      </c>
      <c r="F4610" s="402">
        <v>7000</v>
      </c>
      <c r="G4610" s="401" t="s">
        <v>1977</v>
      </c>
      <c r="H4610" s="404">
        <v>3728</v>
      </c>
      <c r="I4610" s="402" t="s">
        <v>1</v>
      </c>
      <c r="J4610" s="401" t="s">
        <v>1979</v>
      </c>
      <c r="K4610" s="403">
        <v>41816</v>
      </c>
      <c r="L4610" s="398">
        <v>41809</v>
      </c>
      <c r="M4610" s="402">
        <f t="shared" si="265"/>
        <v>7</v>
      </c>
      <c r="N4610" s="402" t="s">
        <v>2</v>
      </c>
      <c r="O4610" s="404"/>
      <c r="P4610" s="402"/>
      <c r="Q4610" s="404"/>
      <c r="R4610" s="402"/>
      <c r="S4610" s="404"/>
      <c r="T4610" s="402"/>
      <c r="U4610" s="395"/>
      <c r="V4610" s="402">
        <v>0.95</v>
      </c>
      <c r="W4610" s="404"/>
      <c r="X4610" s="402"/>
      <c r="Y4610" s="404"/>
      <c r="Z4610" s="397"/>
      <c r="AA4610" s="399"/>
      <c r="AB4610" s="394"/>
      <c r="AC4610" s="402"/>
      <c r="AD4610" s="399"/>
      <c r="AE4610" s="402"/>
      <c r="AF4610" s="391"/>
      <c r="AG4610" s="394"/>
      <c r="AH4610" s="394"/>
      <c r="AI4610" s="394"/>
      <c r="AJ4610" s="394">
        <f>10/2</f>
        <v>5</v>
      </c>
      <c r="AK4610" s="394"/>
      <c r="AL4610" s="394"/>
      <c r="AM4610" s="394"/>
      <c r="AN4610" s="394"/>
      <c r="AO4610" s="394"/>
      <c r="AP4610" s="394"/>
      <c r="AQ4610" s="394"/>
      <c r="AR4610" s="394"/>
      <c r="AS4610" s="402"/>
      <c r="AT4610" s="404"/>
      <c r="AU4610" s="394"/>
      <c r="AV4610" s="394"/>
      <c r="AY4610" s="5">
        <f t="shared" si="266"/>
        <v>0.5</v>
      </c>
      <c r="AZ4610" s="5">
        <f t="shared" si="266"/>
        <v>0.5</v>
      </c>
      <c r="BA4610" s="5">
        <f>0.3/2</f>
        <v>0.15</v>
      </c>
      <c r="BB4610" s="5">
        <f t="shared" si="267"/>
        <v>0.5</v>
      </c>
      <c r="BC4610" s="5">
        <f t="shared" si="267"/>
        <v>0.5</v>
      </c>
      <c r="BD4610" s="5">
        <f>0.077/2</f>
        <v>3.85E-2</v>
      </c>
      <c r="BE4610" s="5">
        <f>1/2</f>
        <v>0.5</v>
      </c>
      <c r="BF4610" s="5">
        <f>1/2</f>
        <v>0.5</v>
      </c>
      <c r="BG4610" s="5">
        <f>1/2</f>
        <v>0.5</v>
      </c>
      <c r="BH4610" s="5">
        <f>0.06/2</f>
        <v>0.03</v>
      </c>
      <c r="BI4610" s="5">
        <f>1/2</f>
        <v>0.5</v>
      </c>
      <c r="BJ4610" s="5">
        <f>0.08/2</f>
        <v>0.04</v>
      </c>
      <c r="BK4610" s="5">
        <f>0.3/2</f>
        <v>0.15</v>
      </c>
      <c r="BL4610" s="5">
        <f>0.2/2</f>
        <v>0.1</v>
      </c>
      <c r="BM4610" s="5">
        <f>0.2/2</f>
        <v>0.1</v>
      </c>
      <c r="BN4610" s="5">
        <f>0.2/2</f>
        <v>0.1</v>
      </c>
      <c r="BO4610" s="5">
        <f>1/2</f>
        <v>0.5</v>
      </c>
    </row>
    <row r="4611" spans="1:67" ht="15" customHeight="1">
      <c r="A4611" s="404" t="s">
        <v>4668</v>
      </c>
      <c r="B4611" s="386" t="s">
        <v>413</v>
      </c>
      <c r="C4611" s="386" t="s">
        <v>413</v>
      </c>
      <c r="D4611" s="389" t="s">
        <v>372</v>
      </c>
      <c r="E4611" s="387" t="s">
        <v>414</v>
      </c>
      <c r="F4611" s="386">
        <v>6912</v>
      </c>
      <c r="G4611" s="401" t="s">
        <v>415</v>
      </c>
      <c r="H4611" s="404">
        <v>5051</v>
      </c>
      <c r="I4611" s="402"/>
      <c r="J4611" s="392" t="s">
        <v>335</v>
      </c>
      <c r="K4611" s="403">
        <v>41834</v>
      </c>
      <c r="L4611" s="398">
        <v>41827</v>
      </c>
      <c r="M4611" s="402">
        <f t="shared" si="265"/>
        <v>7</v>
      </c>
      <c r="N4611" s="386" t="s">
        <v>2</v>
      </c>
      <c r="O4611" s="404">
        <v>2.2999999999999998</v>
      </c>
      <c r="P4611" s="402">
        <v>4.7</v>
      </c>
      <c r="Q4611" s="404">
        <v>5.83</v>
      </c>
      <c r="R4611" s="402">
        <v>39.6</v>
      </c>
      <c r="S4611" s="404">
        <v>37.5</v>
      </c>
      <c r="T4611" s="402">
        <v>0.17</v>
      </c>
      <c r="U4611" s="395">
        <v>1.26</v>
      </c>
      <c r="V4611" s="402">
        <v>0.57999999999999996</v>
      </c>
      <c r="W4611" s="404">
        <f>0.01/2</f>
        <v>5.0000000000000001E-3</v>
      </c>
      <c r="X4611" s="402">
        <v>0.12</v>
      </c>
      <c r="Y4611" s="404">
        <f>0.02/2</f>
        <v>0.01</v>
      </c>
      <c r="Z4611" s="397"/>
      <c r="AA4611" s="399"/>
      <c r="AB4611" s="394"/>
      <c r="AC4611" s="402"/>
      <c r="AD4611" s="399"/>
      <c r="AE4611" s="402"/>
      <c r="AF4611" s="391"/>
      <c r="AG4611" s="394"/>
      <c r="AH4611" s="394"/>
      <c r="AI4611" s="394"/>
      <c r="AJ4611" s="394"/>
      <c r="AK4611" s="394"/>
      <c r="AL4611" s="394"/>
      <c r="AM4611" s="394"/>
      <c r="AN4611" s="394"/>
      <c r="AO4611" s="394"/>
      <c r="AP4611" s="394"/>
      <c r="AQ4611" s="394"/>
      <c r="AR4611" s="394"/>
      <c r="AS4611" s="402"/>
      <c r="AT4611" s="404"/>
      <c r="AU4611" s="394"/>
      <c r="AV4611" s="394"/>
    </row>
    <row r="4612" spans="1:67" ht="15" customHeight="1">
      <c r="A4612" s="404" t="s">
        <v>4668</v>
      </c>
      <c r="B4612" s="386" t="s">
        <v>413</v>
      </c>
      <c r="C4612" s="386" t="s">
        <v>413</v>
      </c>
      <c r="D4612" s="389" t="s">
        <v>372</v>
      </c>
      <c r="E4612" s="387" t="s">
        <v>414</v>
      </c>
      <c r="F4612" s="386">
        <v>6912</v>
      </c>
      <c r="G4612" s="401" t="s">
        <v>415</v>
      </c>
      <c r="H4612" s="404">
        <v>5051</v>
      </c>
      <c r="I4612" s="402"/>
      <c r="J4612" s="392" t="s">
        <v>335</v>
      </c>
      <c r="K4612" s="403">
        <v>41727</v>
      </c>
      <c r="L4612" s="398">
        <v>41717</v>
      </c>
      <c r="M4612" s="402">
        <f t="shared" si="265"/>
        <v>10</v>
      </c>
      <c r="N4612" s="386" t="s">
        <v>2</v>
      </c>
      <c r="O4612" s="404">
        <v>23</v>
      </c>
      <c r="P4612" s="402">
        <v>6.26</v>
      </c>
      <c r="Q4612" s="404">
        <v>7.1</v>
      </c>
      <c r="R4612" s="402">
        <v>81.7</v>
      </c>
      <c r="S4612" s="404">
        <v>626</v>
      </c>
      <c r="T4612" s="402">
        <v>1.04</v>
      </c>
      <c r="U4612" s="395">
        <v>2.92</v>
      </c>
      <c r="V4612" s="402">
        <f>0.2/2</f>
        <v>0.1</v>
      </c>
      <c r="W4612" s="404">
        <v>0.11</v>
      </c>
      <c r="X4612" s="402">
        <v>0.61</v>
      </c>
      <c r="Y4612" s="404">
        <v>7.0000000000000007E-2</v>
      </c>
      <c r="Z4612" s="397"/>
      <c r="AA4612" s="399"/>
      <c r="AB4612" s="394"/>
      <c r="AC4612" s="402"/>
      <c r="AD4612" s="399"/>
      <c r="AE4612" s="402"/>
      <c r="AF4612" s="391"/>
      <c r="AG4612" s="394"/>
      <c r="AH4612" s="394"/>
      <c r="AI4612" s="394"/>
      <c r="AJ4612" s="394"/>
      <c r="AK4612" s="394"/>
      <c r="AL4612" s="394"/>
      <c r="AM4612" s="394"/>
      <c r="AN4612" s="394"/>
      <c r="AO4612" s="394"/>
      <c r="AP4612" s="394"/>
      <c r="AQ4612" s="394"/>
      <c r="AR4612" s="394"/>
      <c r="AS4612" s="402"/>
      <c r="AT4612" s="404"/>
      <c r="AU4612" s="394"/>
      <c r="AV4612" s="394"/>
    </row>
    <row r="4613" spans="1:67" ht="15" customHeight="1">
      <c r="A4613" s="404" t="s">
        <v>4668</v>
      </c>
      <c r="B4613" s="402" t="s">
        <v>2273</v>
      </c>
      <c r="C4613" s="402" t="s">
        <v>2000</v>
      </c>
      <c r="D4613" s="405" t="s">
        <v>2274</v>
      </c>
      <c r="E4613" s="394" t="s">
        <v>2275</v>
      </c>
      <c r="F4613" s="401" t="s">
        <v>6607</v>
      </c>
      <c r="G4613" s="401" t="s">
        <v>2276</v>
      </c>
      <c r="H4613" s="404">
        <v>9511</v>
      </c>
      <c r="I4613" s="402" t="s">
        <v>1</v>
      </c>
      <c r="J4613" s="406" t="s">
        <v>510</v>
      </c>
      <c r="K4613" s="403">
        <v>41834</v>
      </c>
      <c r="L4613" s="398">
        <v>41828</v>
      </c>
      <c r="M4613" s="402">
        <f t="shared" si="265"/>
        <v>6</v>
      </c>
      <c r="N4613" s="402" t="s">
        <v>2</v>
      </c>
      <c r="O4613" s="404"/>
      <c r="P4613" s="402"/>
      <c r="Q4613" s="404"/>
      <c r="R4613" s="402"/>
      <c r="S4613" s="404"/>
      <c r="T4613" s="402"/>
      <c r="U4613" s="395"/>
      <c r="V4613" s="402">
        <v>0.31</v>
      </c>
      <c r="W4613" s="404"/>
      <c r="X4613" s="402"/>
      <c r="Y4613" s="404"/>
      <c r="Z4613" s="397"/>
      <c r="AA4613" s="399"/>
      <c r="AB4613" s="394"/>
      <c r="AC4613" s="402"/>
      <c r="AD4613" s="399"/>
      <c r="AE4613" s="402"/>
      <c r="AF4613" s="391"/>
      <c r="AG4613" s="394"/>
      <c r="AH4613" s="394"/>
      <c r="AI4613" s="394"/>
      <c r="AJ4613" s="394"/>
      <c r="AK4613" s="394"/>
      <c r="AL4613" s="394"/>
      <c r="AM4613" s="394"/>
      <c r="AN4613" s="394"/>
      <c r="AO4613" s="394"/>
      <c r="AP4613" s="394"/>
      <c r="AQ4613" s="394"/>
      <c r="AR4613" s="394"/>
      <c r="AS4613" s="402"/>
      <c r="AT4613" s="404"/>
      <c r="AU4613" s="394"/>
      <c r="AV4613" s="394"/>
    </row>
    <row r="4614" spans="1:67" ht="15" customHeight="1">
      <c r="A4614" s="404" t="s">
        <v>4668</v>
      </c>
      <c r="B4614" s="402" t="s">
        <v>4931</v>
      </c>
      <c r="C4614" s="402" t="s">
        <v>6303</v>
      </c>
      <c r="D4614" s="405" t="s">
        <v>1896</v>
      </c>
      <c r="E4614" s="404"/>
      <c r="F4614" s="402" t="s">
        <v>6304</v>
      </c>
      <c r="G4614" s="401" t="s">
        <v>4934</v>
      </c>
      <c r="H4614" s="404">
        <v>4151</v>
      </c>
      <c r="I4614" s="402" t="s">
        <v>2</v>
      </c>
      <c r="J4614" s="406" t="s">
        <v>249</v>
      </c>
      <c r="K4614" s="403">
        <v>41768</v>
      </c>
      <c r="L4614" s="398"/>
      <c r="M4614" s="402"/>
      <c r="N4614" s="402" t="s">
        <v>2</v>
      </c>
      <c r="O4614" s="404">
        <f>5/2</f>
        <v>2.5</v>
      </c>
      <c r="P4614" s="402">
        <v>6.98</v>
      </c>
      <c r="Q4614" s="404">
        <v>8.42</v>
      </c>
      <c r="R4614" s="402">
        <v>59</v>
      </c>
      <c r="S4614" s="404">
        <v>100</v>
      </c>
      <c r="T4614" s="402">
        <v>0.19</v>
      </c>
      <c r="U4614" s="395">
        <f>1/2</f>
        <v>0.5</v>
      </c>
      <c r="V4614" s="402">
        <v>0.34</v>
      </c>
      <c r="W4614" s="404">
        <f>0.04/2</f>
        <v>0.02</v>
      </c>
      <c r="X4614" s="402">
        <v>8.5999999999999993E-2</v>
      </c>
      <c r="Y4614" s="404">
        <f>0.013/2</f>
        <v>6.4999999999999997E-3</v>
      </c>
      <c r="Z4614" s="397">
        <v>1</v>
      </c>
      <c r="AA4614" s="399">
        <v>1</v>
      </c>
      <c r="AB4614" s="394">
        <v>9.4</v>
      </c>
      <c r="AC4614" s="402">
        <v>55</v>
      </c>
      <c r="AD4614" s="399">
        <v>1</v>
      </c>
      <c r="AE4614" s="402"/>
      <c r="AF4614" s="391"/>
      <c r="AG4614" s="394"/>
      <c r="AH4614" s="394"/>
      <c r="AI4614" s="394"/>
      <c r="AJ4614" s="394"/>
      <c r="AK4614" s="394"/>
      <c r="AL4614" s="394"/>
      <c r="AM4614" s="394"/>
      <c r="AN4614" s="394"/>
      <c r="AO4614" s="394"/>
      <c r="AP4614" s="394"/>
      <c r="AQ4614" s="394"/>
      <c r="AR4614" s="394"/>
      <c r="AS4614" s="402"/>
      <c r="AT4614" s="404"/>
      <c r="AU4614" s="394"/>
      <c r="AV4614" s="394"/>
    </row>
    <row r="4615" spans="1:67" ht="15" customHeight="1">
      <c r="A4615" s="404" t="s">
        <v>4668</v>
      </c>
      <c r="B4615" s="402" t="s">
        <v>4931</v>
      </c>
      <c r="C4615" s="402" t="s">
        <v>6303</v>
      </c>
      <c r="D4615" s="405" t="s">
        <v>1896</v>
      </c>
      <c r="E4615" s="404"/>
      <c r="F4615" s="402" t="s">
        <v>6304</v>
      </c>
      <c r="G4615" s="401" t="s">
        <v>4934</v>
      </c>
      <c r="H4615" s="404">
        <v>4151</v>
      </c>
      <c r="I4615" s="402" t="s">
        <v>2</v>
      </c>
      <c r="J4615" s="406" t="s">
        <v>1999</v>
      </c>
      <c r="K4615" s="403">
        <v>41768</v>
      </c>
      <c r="L4615" s="398"/>
      <c r="M4615" s="402"/>
      <c r="N4615" s="402" t="s">
        <v>2</v>
      </c>
      <c r="O4615" s="404">
        <f>5/2</f>
        <v>2.5</v>
      </c>
      <c r="P4615" s="402">
        <v>6.98</v>
      </c>
      <c r="Q4615" s="404">
        <v>7.44</v>
      </c>
      <c r="R4615" s="402">
        <v>54</v>
      </c>
      <c r="S4615" s="404">
        <v>90</v>
      </c>
      <c r="T4615" s="402">
        <v>0.16</v>
      </c>
      <c r="U4615" s="395">
        <f>1/2</f>
        <v>0.5</v>
      </c>
      <c r="V4615" s="402">
        <v>0.36</v>
      </c>
      <c r="W4615" s="404">
        <f>0.04/2</f>
        <v>0.02</v>
      </c>
      <c r="X4615" s="402">
        <v>0.15</v>
      </c>
      <c r="Y4615" s="404">
        <f>0.013/2</f>
        <v>6.4999999999999997E-3</v>
      </c>
      <c r="Z4615" s="397">
        <v>1</v>
      </c>
      <c r="AA4615" s="399">
        <v>1</v>
      </c>
      <c r="AB4615" s="394">
        <v>8</v>
      </c>
      <c r="AC4615" s="402">
        <v>28</v>
      </c>
      <c r="AD4615" s="399">
        <v>1</v>
      </c>
      <c r="AE4615" s="402"/>
      <c r="AF4615" s="391"/>
      <c r="AG4615" s="394"/>
      <c r="AH4615" s="394"/>
      <c r="AI4615" s="394"/>
      <c r="AJ4615" s="394"/>
      <c r="AK4615" s="394"/>
      <c r="AL4615" s="394"/>
      <c r="AM4615" s="394"/>
      <c r="AN4615" s="394"/>
      <c r="AO4615" s="394"/>
      <c r="AP4615" s="394"/>
      <c r="AQ4615" s="394"/>
      <c r="AR4615" s="394"/>
      <c r="AS4615" s="402"/>
      <c r="AT4615" s="404"/>
      <c r="AU4615" s="394"/>
      <c r="AV4615" s="394"/>
    </row>
    <row r="4616" spans="1:67" ht="15" customHeight="1">
      <c r="A4616" s="404" t="s">
        <v>4668</v>
      </c>
      <c r="B4616" s="402" t="s">
        <v>4931</v>
      </c>
      <c r="C4616" s="402" t="s">
        <v>6300</v>
      </c>
      <c r="D4616" s="405" t="s">
        <v>406</v>
      </c>
      <c r="E4616" s="404"/>
      <c r="F4616" s="402" t="s">
        <v>6301</v>
      </c>
      <c r="G4616" s="401" t="s">
        <v>6302</v>
      </c>
      <c r="H4616" s="404">
        <v>4151</v>
      </c>
      <c r="I4616" s="402" t="s">
        <v>2</v>
      </c>
      <c r="J4616" s="406" t="s">
        <v>249</v>
      </c>
      <c r="K4616" s="403">
        <v>41781</v>
      </c>
      <c r="L4616" s="398">
        <v>41710</v>
      </c>
      <c r="M4616" s="402">
        <f>K4616-L4616</f>
        <v>71</v>
      </c>
      <c r="N4616" s="402" t="s">
        <v>2</v>
      </c>
      <c r="O4616" s="404">
        <f>5.2/2</f>
        <v>2.6</v>
      </c>
      <c r="P4616" s="402">
        <v>6.2</v>
      </c>
      <c r="Q4616" s="404">
        <v>6.3</v>
      </c>
      <c r="R4616" s="402">
        <v>12</v>
      </c>
      <c r="S4616" s="404">
        <v>20</v>
      </c>
      <c r="T4616" s="402">
        <v>7.6999999999999999E-2</v>
      </c>
      <c r="U4616" s="395">
        <v>0.8</v>
      </c>
      <c r="V4616" s="402">
        <v>0.13</v>
      </c>
      <c r="W4616" s="404">
        <v>4.0000000000000001E-3</v>
      </c>
      <c r="X4616" s="402">
        <v>3.5999999999999997E-2</v>
      </c>
      <c r="Y4616" s="404">
        <f>0.01/2</f>
        <v>5.0000000000000001E-3</v>
      </c>
      <c r="Z4616" s="397">
        <v>1</v>
      </c>
      <c r="AA4616" s="399">
        <v>1</v>
      </c>
      <c r="AB4616" s="394">
        <f>2/2</f>
        <v>1</v>
      </c>
      <c r="AC4616" s="402">
        <v>10</v>
      </c>
      <c r="AD4616" s="399">
        <v>1</v>
      </c>
      <c r="AE4616" s="402"/>
      <c r="AF4616" s="391"/>
      <c r="AG4616" s="394"/>
      <c r="AH4616" s="394"/>
      <c r="AI4616" s="394"/>
      <c r="AJ4616" s="394"/>
      <c r="AK4616" s="394"/>
      <c r="AL4616" s="394"/>
      <c r="AM4616" s="394"/>
      <c r="AN4616" s="394"/>
      <c r="AO4616" s="394"/>
      <c r="AP4616" s="394"/>
      <c r="AQ4616" s="394"/>
      <c r="AR4616" s="394"/>
      <c r="AS4616" s="402"/>
      <c r="AT4616" s="404"/>
      <c r="AU4616" s="394"/>
      <c r="AV4616" s="394"/>
    </row>
    <row r="4617" spans="1:67" ht="15" customHeight="1">
      <c r="A4617" s="404" t="s">
        <v>4668</v>
      </c>
      <c r="B4617" s="402" t="s">
        <v>4931</v>
      </c>
      <c r="C4617" s="402" t="s">
        <v>6300</v>
      </c>
      <c r="D4617" s="405" t="s">
        <v>406</v>
      </c>
      <c r="E4617" s="404"/>
      <c r="F4617" s="402" t="s">
        <v>6301</v>
      </c>
      <c r="G4617" s="401" t="s">
        <v>6302</v>
      </c>
      <c r="H4617" s="404">
        <v>4151</v>
      </c>
      <c r="I4617" s="402" t="s">
        <v>2</v>
      </c>
      <c r="J4617" s="406" t="s">
        <v>1999</v>
      </c>
      <c r="K4617" s="403">
        <v>41781</v>
      </c>
      <c r="L4617" s="398">
        <v>41710</v>
      </c>
      <c r="M4617" s="402">
        <f>K4617-L4617</f>
        <v>71</v>
      </c>
      <c r="N4617" s="402" t="s">
        <v>2</v>
      </c>
      <c r="O4617" s="404">
        <f>7.2/2</f>
        <v>3.6</v>
      </c>
      <c r="P4617" s="402">
        <v>6.2</v>
      </c>
      <c r="Q4617" s="404">
        <v>6.5</v>
      </c>
      <c r="R4617" s="402">
        <v>32</v>
      </c>
      <c r="S4617" s="404">
        <v>11</v>
      </c>
      <c r="T4617" s="402">
        <v>8.4000000000000005E-2</v>
      </c>
      <c r="U4617" s="395">
        <v>0.47</v>
      </c>
      <c r="V4617" s="402">
        <v>0.12</v>
      </c>
      <c r="W4617" s="404">
        <v>6.0000000000000001E-3</v>
      </c>
      <c r="X4617" s="402">
        <v>4.4999999999999998E-2</v>
      </c>
      <c r="Y4617" s="404">
        <v>4.0000000000000001E-3</v>
      </c>
      <c r="Z4617" s="397">
        <v>1</v>
      </c>
      <c r="AA4617" s="399">
        <v>1</v>
      </c>
      <c r="AB4617" s="394">
        <f>2/2</f>
        <v>1</v>
      </c>
      <c r="AC4617" s="402">
        <v>12</v>
      </c>
      <c r="AD4617" s="399">
        <v>0.95</v>
      </c>
      <c r="AE4617" s="402"/>
      <c r="AF4617" s="391"/>
      <c r="AG4617" s="394"/>
      <c r="AH4617" s="394"/>
      <c r="AI4617" s="394"/>
      <c r="AJ4617" s="394"/>
      <c r="AK4617" s="394"/>
      <c r="AL4617" s="394"/>
      <c r="AM4617" s="394"/>
      <c r="AN4617" s="394"/>
      <c r="AO4617" s="394"/>
      <c r="AP4617" s="394"/>
      <c r="AQ4617" s="394"/>
      <c r="AR4617" s="394"/>
      <c r="AS4617" s="402"/>
      <c r="AT4617" s="404"/>
      <c r="AU4617" s="394"/>
      <c r="AV4617" s="394"/>
    </row>
    <row r="4618" spans="1:67" ht="15" customHeight="1">
      <c r="A4618" s="404" t="s">
        <v>4668</v>
      </c>
      <c r="B4618" s="402" t="s">
        <v>4931</v>
      </c>
      <c r="C4618" s="402" t="s">
        <v>6289</v>
      </c>
      <c r="D4618" s="405" t="s">
        <v>4549</v>
      </c>
      <c r="E4618" s="404"/>
      <c r="F4618" s="401" t="s">
        <v>6608</v>
      </c>
      <c r="G4618" s="401" t="s">
        <v>6290</v>
      </c>
      <c r="H4618" s="404">
        <v>4151</v>
      </c>
      <c r="I4618" s="402" t="s">
        <v>2</v>
      </c>
      <c r="J4618" s="406" t="s">
        <v>492</v>
      </c>
      <c r="K4618" s="403">
        <v>41781</v>
      </c>
      <c r="L4618" s="398">
        <v>41694</v>
      </c>
      <c r="M4618" s="402">
        <f t="shared" si="265"/>
        <v>87</v>
      </c>
      <c r="N4618" s="402" t="s">
        <v>2</v>
      </c>
      <c r="O4618" s="404">
        <f>4.4/2</f>
        <v>2.2000000000000002</v>
      </c>
      <c r="P4618" s="402">
        <v>6.2</v>
      </c>
      <c r="Q4618" s="404">
        <v>6.6</v>
      </c>
      <c r="R4618" s="402">
        <v>140</v>
      </c>
      <c r="S4618" s="404">
        <v>470</v>
      </c>
      <c r="T4618" s="402">
        <v>0.7</v>
      </c>
      <c r="U4618" s="395">
        <v>1.1399999999999999</v>
      </c>
      <c r="V4618" s="402">
        <v>0.48</v>
      </c>
      <c r="W4618" s="404">
        <v>7.6999999999999999E-2</v>
      </c>
      <c r="X4618" s="402">
        <v>8.5999999999999993E-2</v>
      </c>
      <c r="Y4618" s="404">
        <v>8.0000000000000002E-3</v>
      </c>
      <c r="Z4618" s="397">
        <v>1</v>
      </c>
      <c r="AA4618" s="399">
        <v>1</v>
      </c>
      <c r="AB4618" s="394">
        <v>82</v>
      </c>
      <c r="AC4618" s="402">
        <v>3390</v>
      </c>
      <c r="AD4618" s="399">
        <v>1</v>
      </c>
      <c r="AE4618" s="402"/>
      <c r="AF4618" s="391"/>
      <c r="AG4618" s="394"/>
      <c r="AH4618" s="394"/>
      <c r="AI4618" s="394"/>
      <c r="AJ4618" s="394"/>
      <c r="AK4618" s="394"/>
      <c r="AL4618" s="394"/>
      <c r="AM4618" s="394"/>
      <c r="AN4618" s="394"/>
      <c r="AO4618" s="394"/>
      <c r="AP4618" s="394"/>
      <c r="AQ4618" s="394"/>
      <c r="AR4618" s="394"/>
      <c r="AS4618" s="402"/>
      <c r="AT4618" s="404"/>
      <c r="AU4618" s="394"/>
      <c r="AV4618" s="394"/>
    </row>
    <row r="4619" spans="1:67" ht="15" customHeight="1">
      <c r="A4619" s="404" t="s">
        <v>4668</v>
      </c>
      <c r="B4619" s="402" t="s">
        <v>5680</v>
      </c>
      <c r="C4619" s="402" t="s">
        <v>5680</v>
      </c>
      <c r="D4619" s="405" t="s">
        <v>268</v>
      </c>
      <c r="E4619" s="404" t="s">
        <v>269</v>
      </c>
      <c r="G4619" s="401" t="s">
        <v>5681</v>
      </c>
      <c r="H4619" s="404">
        <v>3484</v>
      </c>
      <c r="I4619" s="402"/>
      <c r="J4619" s="406" t="s">
        <v>271</v>
      </c>
      <c r="K4619" s="403">
        <v>41834</v>
      </c>
      <c r="L4619" s="398" t="s">
        <v>5380</v>
      </c>
      <c r="M4619" s="402"/>
      <c r="N4619" s="402" t="s">
        <v>2</v>
      </c>
      <c r="O4619" s="404"/>
      <c r="P4619" s="402"/>
      <c r="Q4619" s="404"/>
      <c r="R4619" s="402"/>
      <c r="S4619" s="404"/>
      <c r="T4619" s="402"/>
      <c r="U4619" s="395"/>
      <c r="V4619" s="402"/>
      <c r="W4619" s="404">
        <f>0.01/2</f>
        <v>5.0000000000000001E-3</v>
      </c>
      <c r="X4619" s="402">
        <v>0.05</v>
      </c>
      <c r="Y4619" s="404">
        <v>0.03</v>
      </c>
      <c r="Z4619" s="397">
        <v>1</v>
      </c>
      <c r="AA4619" s="399">
        <v>0.76500000000000001</v>
      </c>
      <c r="AB4619" s="394"/>
      <c r="AC4619" s="402"/>
      <c r="AD4619" s="399"/>
      <c r="AE4619" s="402"/>
      <c r="AF4619" s="391"/>
      <c r="AG4619" s="394"/>
      <c r="AH4619" s="394"/>
      <c r="AI4619" s="394"/>
      <c r="AJ4619" s="394"/>
      <c r="AK4619" s="394"/>
      <c r="AL4619" s="394"/>
      <c r="AM4619" s="394"/>
      <c r="AN4619" s="394"/>
      <c r="AO4619" s="394"/>
      <c r="AP4619" s="394"/>
      <c r="AQ4619" s="394"/>
      <c r="AR4619" s="394"/>
      <c r="AS4619" s="402"/>
      <c r="AT4619" s="404"/>
      <c r="AU4619" s="394"/>
      <c r="AV4619" s="394"/>
    </row>
    <row r="4620" spans="1:67" ht="15" customHeight="1">
      <c r="A4620" s="404" t="s">
        <v>4668</v>
      </c>
      <c r="B4620" s="402" t="s">
        <v>5680</v>
      </c>
      <c r="C4620" s="402" t="s">
        <v>5680</v>
      </c>
      <c r="D4620" s="405" t="s">
        <v>268</v>
      </c>
      <c r="E4620" s="404" t="s">
        <v>269</v>
      </c>
      <c r="G4620" s="401" t="s">
        <v>5681</v>
      </c>
      <c r="H4620" s="404">
        <v>3484</v>
      </c>
      <c r="I4620" s="402"/>
      <c r="J4620" s="406" t="s">
        <v>272</v>
      </c>
      <c r="K4620" s="403">
        <v>41834</v>
      </c>
      <c r="L4620" s="398" t="s">
        <v>5380</v>
      </c>
      <c r="M4620" s="402"/>
      <c r="N4620" s="402" t="s">
        <v>2</v>
      </c>
      <c r="O4620" s="404"/>
      <c r="P4620" s="402"/>
      <c r="Q4620" s="404"/>
      <c r="R4620" s="402"/>
      <c r="S4620" s="404"/>
      <c r="T4620" s="402"/>
      <c r="U4620" s="395"/>
      <c r="V4620" s="402"/>
      <c r="W4620" s="404">
        <v>0.03</v>
      </c>
      <c r="X4620" s="402">
        <v>0.09</v>
      </c>
      <c r="Y4620" s="404">
        <v>0.05</v>
      </c>
      <c r="Z4620" s="397">
        <v>1</v>
      </c>
      <c r="AA4620" s="399">
        <v>1</v>
      </c>
      <c r="AB4620" s="394"/>
      <c r="AC4620" s="402"/>
      <c r="AD4620" s="399"/>
      <c r="AE4620" s="402"/>
      <c r="AF4620" s="391"/>
      <c r="AG4620" s="394"/>
      <c r="AH4620" s="394"/>
      <c r="AI4620" s="394"/>
      <c r="AJ4620" s="394"/>
      <c r="AK4620" s="394"/>
      <c r="AL4620" s="394"/>
      <c r="AM4620" s="394"/>
      <c r="AN4620" s="394"/>
      <c r="AO4620" s="394"/>
      <c r="AP4620" s="394"/>
      <c r="AQ4620" s="394"/>
      <c r="AR4620" s="394"/>
      <c r="AS4620" s="402"/>
      <c r="AT4620" s="404"/>
      <c r="AU4620" s="394"/>
      <c r="AV4620" s="394"/>
    </row>
    <row r="4621" spans="1:67" ht="15" customHeight="1">
      <c r="A4621" s="404" t="s">
        <v>4668</v>
      </c>
      <c r="B4621" s="402" t="s">
        <v>5680</v>
      </c>
      <c r="C4621" s="402" t="s">
        <v>5680</v>
      </c>
      <c r="D4621" s="405" t="s">
        <v>268</v>
      </c>
      <c r="E4621" s="404" t="s">
        <v>269</v>
      </c>
      <c r="F4621" s="401"/>
      <c r="G4621" s="401" t="s">
        <v>274</v>
      </c>
      <c r="H4621" s="404">
        <v>3484</v>
      </c>
      <c r="I4621" s="402"/>
      <c r="J4621" s="406" t="s">
        <v>270</v>
      </c>
      <c r="K4621" s="403">
        <v>41834</v>
      </c>
      <c r="L4621" s="398" t="s">
        <v>5380</v>
      </c>
      <c r="M4621" s="402"/>
      <c r="N4621" s="402" t="s">
        <v>2</v>
      </c>
      <c r="O4621" s="404"/>
      <c r="P4621" s="402"/>
      <c r="Q4621" s="404"/>
      <c r="R4621" s="402">
        <v>4.9000000000000004</v>
      </c>
      <c r="S4621" s="404"/>
      <c r="T4621" s="402"/>
      <c r="U4621" s="395"/>
      <c r="V4621" s="402"/>
      <c r="W4621" s="404">
        <v>0.02</v>
      </c>
      <c r="X4621" s="402">
        <v>0.11</v>
      </c>
      <c r="Y4621" s="404">
        <v>0.12</v>
      </c>
      <c r="Z4621" s="397">
        <v>0.77800000000000002</v>
      </c>
      <c r="AA4621" s="399">
        <v>0.66700000000000004</v>
      </c>
      <c r="AB4621" s="394"/>
      <c r="AC4621" s="402"/>
      <c r="AD4621" s="399"/>
      <c r="AE4621" s="402"/>
      <c r="AF4621" s="391"/>
      <c r="AG4621" s="394"/>
      <c r="AH4621" s="394"/>
      <c r="AI4621" s="394"/>
      <c r="AJ4621" s="394"/>
      <c r="AK4621" s="394"/>
      <c r="AL4621" s="394"/>
      <c r="AM4621" s="394"/>
      <c r="AN4621" s="394"/>
      <c r="AO4621" s="394"/>
      <c r="AP4621" s="394"/>
      <c r="AQ4621" s="394"/>
      <c r="AR4621" s="394"/>
      <c r="AS4621" s="402"/>
      <c r="AT4621" s="404"/>
      <c r="AU4621" s="394"/>
      <c r="AV4621" s="394"/>
    </row>
    <row r="4622" spans="1:67" ht="15" customHeight="1">
      <c r="A4622" s="404" t="s">
        <v>4668</v>
      </c>
      <c r="B4622" s="402" t="s">
        <v>5680</v>
      </c>
      <c r="C4622" s="402" t="s">
        <v>5680</v>
      </c>
      <c r="D4622" s="405" t="s">
        <v>268</v>
      </c>
      <c r="E4622" s="404" t="s">
        <v>269</v>
      </c>
      <c r="G4622" s="401" t="s">
        <v>5681</v>
      </c>
      <c r="H4622" s="404">
        <v>3484</v>
      </c>
      <c r="I4622" s="402"/>
      <c r="J4622" s="406" t="s">
        <v>273</v>
      </c>
      <c r="K4622" s="403">
        <v>41834</v>
      </c>
      <c r="L4622" s="398" t="s">
        <v>5380</v>
      </c>
      <c r="M4622" s="402"/>
      <c r="N4622" s="402" t="s">
        <v>2</v>
      </c>
      <c r="O4622" s="404"/>
      <c r="P4622" s="402"/>
      <c r="Q4622" s="404"/>
      <c r="R4622" s="402"/>
      <c r="S4622" s="404"/>
      <c r="T4622" s="402"/>
      <c r="U4622" s="395"/>
      <c r="V4622" s="402"/>
      <c r="W4622" s="404">
        <v>0.03</v>
      </c>
      <c r="X4622" s="402">
        <v>0.05</v>
      </c>
      <c r="Y4622" s="404">
        <v>0.37</v>
      </c>
      <c r="Z4622" s="397">
        <v>0.73499999999999999</v>
      </c>
      <c r="AA4622" s="399">
        <v>0.64300000000000002</v>
      </c>
      <c r="AB4622" s="394"/>
      <c r="AC4622" s="402"/>
      <c r="AD4622" s="399"/>
      <c r="AE4622" s="402"/>
      <c r="AF4622" s="391"/>
      <c r="AG4622" s="394"/>
      <c r="AH4622" s="394"/>
      <c r="AI4622" s="394"/>
      <c r="AJ4622" s="394"/>
      <c r="AK4622" s="394"/>
      <c r="AL4622" s="394"/>
      <c r="AM4622" s="394"/>
      <c r="AN4622" s="394"/>
      <c r="AO4622" s="394"/>
      <c r="AP4622" s="394"/>
      <c r="AQ4622" s="394"/>
      <c r="AR4622" s="394"/>
      <c r="AS4622" s="402"/>
      <c r="AT4622" s="404"/>
      <c r="AU4622" s="394"/>
      <c r="AV4622" s="394"/>
    </row>
    <row r="4623" spans="1:67" ht="15" customHeight="1">
      <c r="A4623" s="404" t="s">
        <v>4668</v>
      </c>
      <c r="B4623" s="402" t="s">
        <v>4263</v>
      </c>
      <c r="C4623" s="402" t="s">
        <v>6586</v>
      </c>
      <c r="D4623" s="405" t="s">
        <v>251</v>
      </c>
      <c r="E4623" s="404" t="s">
        <v>252</v>
      </c>
      <c r="F4623" s="402" t="s">
        <v>2816</v>
      </c>
      <c r="G4623" s="401" t="s">
        <v>4264</v>
      </c>
      <c r="H4623" s="404">
        <v>2023</v>
      </c>
      <c r="I4623" s="402" t="s">
        <v>1</v>
      </c>
      <c r="J4623" s="406" t="s">
        <v>2905</v>
      </c>
      <c r="K4623" s="403">
        <v>41795</v>
      </c>
      <c r="L4623" s="398">
        <v>41789</v>
      </c>
      <c r="M4623" s="402">
        <f t="shared" si="265"/>
        <v>6</v>
      </c>
      <c r="N4623" s="402" t="s">
        <v>2</v>
      </c>
      <c r="O4623" s="404">
        <v>7.5</v>
      </c>
      <c r="P4623" s="402">
        <v>6.45</v>
      </c>
      <c r="Q4623" s="404">
        <v>6.71</v>
      </c>
      <c r="R4623" s="402">
        <v>540</v>
      </c>
      <c r="S4623" s="404">
        <v>300</v>
      </c>
      <c r="T4623" s="402">
        <v>0.46</v>
      </c>
      <c r="U4623" s="395">
        <v>4.9000000000000004</v>
      </c>
      <c r="V4623" s="402">
        <f>0.1/2</f>
        <v>0.05</v>
      </c>
      <c r="W4623" s="404">
        <v>0.53</v>
      </c>
      <c r="X4623" s="402">
        <v>0.43</v>
      </c>
      <c r="Y4623" s="404">
        <f>0.013/2</f>
        <v>6.4999999999999997E-3</v>
      </c>
      <c r="Z4623" s="397">
        <v>0.67300000000000004</v>
      </c>
      <c r="AA4623" s="399">
        <v>0.61599999999999999</v>
      </c>
      <c r="AB4623" s="394">
        <v>54</v>
      </c>
      <c r="AC4623" s="402">
        <v>377</v>
      </c>
      <c r="AD4623" s="399">
        <v>0.45</v>
      </c>
      <c r="AE4623" s="402">
        <v>820</v>
      </c>
      <c r="AF4623" s="391"/>
      <c r="AG4623" s="394"/>
      <c r="AH4623" s="394"/>
      <c r="AI4623" s="394"/>
      <c r="AJ4623" s="394"/>
      <c r="AK4623" s="394"/>
      <c r="AL4623" s="394"/>
      <c r="AM4623" s="394"/>
      <c r="AN4623" s="394"/>
      <c r="AO4623" s="394"/>
      <c r="AP4623" s="394"/>
      <c r="AQ4623" s="394"/>
      <c r="AR4623" s="394"/>
      <c r="AS4623" s="402"/>
      <c r="AT4623" s="404"/>
      <c r="AU4623" s="394"/>
      <c r="AV4623" s="394"/>
    </row>
    <row r="4624" spans="1:67" ht="15" customHeight="1">
      <c r="A4624" s="404" t="s">
        <v>4668</v>
      </c>
      <c r="B4624" s="402" t="s">
        <v>4263</v>
      </c>
      <c r="C4624" s="402" t="s">
        <v>6586</v>
      </c>
      <c r="D4624" s="405" t="s">
        <v>251</v>
      </c>
      <c r="E4624" s="404" t="s">
        <v>252</v>
      </c>
      <c r="F4624" s="402" t="s">
        <v>2816</v>
      </c>
      <c r="G4624" s="401" t="s">
        <v>4264</v>
      </c>
      <c r="H4624" s="404">
        <v>2023</v>
      </c>
      <c r="I4624" s="402" t="s">
        <v>1</v>
      </c>
      <c r="J4624" s="406" t="s">
        <v>6592</v>
      </c>
      <c r="K4624" s="403">
        <v>41795</v>
      </c>
      <c r="L4624" s="398">
        <v>41789</v>
      </c>
      <c r="M4624" s="402">
        <f t="shared" si="265"/>
        <v>6</v>
      </c>
      <c r="N4624" s="402" t="s">
        <v>2</v>
      </c>
      <c r="O4624" s="404">
        <f>5/2</f>
        <v>2.5</v>
      </c>
      <c r="P4624" s="402">
        <v>6.71</v>
      </c>
      <c r="Q4624" s="404">
        <v>6.37</v>
      </c>
      <c r="R4624" s="402">
        <v>130</v>
      </c>
      <c r="S4624" s="404">
        <v>32</v>
      </c>
      <c r="T4624" s="402">
        <v>0.41</v>
      </c>
      <c r="U4624" s="395">
        <v>4.5999999999999996</v>
      </c>
      <c r="V4624" s="402">
        <v>0.86</v>
      </c>
      <c r="W4624" s="404">
        <f>0.04/2</f>
        <v>0.02</v>
      </c>
      <c r="X4624" s="402">
        <v>0.67</v>
      </c>
      <c r="Y4624" s="404">
        <f>0.013/2</f>
        <v>6.4999999999999997E-3</v>
      </c>
      <c r="Z4624" s="397">
        <v>0.70699999999999996</v>
      </c>
      <c r="AA4624" s="399">
        <v>0.68300000000000005</v>
      </c>
      <c r="AB4624" s="394">
        <v>6</v>
      </c>
      <c r="AC4624" s="402">
        <v>98</v>
      </c>
      <c r="AD4624" s="399">
        <v>0</v>
      </c>
      <c r="AE4624" s="402">
        <f>10/2</f>
        <v>5</v>
      </c>
      <c r="AF4624" s="391"/>
      <c r="AG4624" s="394"/>
      <c r="AH4624" s="394"/>
      <c r="AI4624" s="394"/>
      <c r="AJ4624" s="394"/>
      <c r="AK4624" s="394"/>
      <c r="AL4624" s="394"/>
      <c r="AM4624" s="394"/>
      <c r="AN4624" s="394"/>
      <c r="AO4624" s="394"/>
      <c r="AP4624" s="394"/>
      <c r="AQ4624" s="394"/>
      <c r="AR4624" s="394"/>
      <c r="AS4624" s="402"/>
      <c r="AT4624" s="404"/>
      <c r="AU4624" s="394"/>
      <c r="AV4624" s="394"/>
    </row>
    <row r="4625" spans="1:48" ht="15" customHeight="1">
      <c r="A4625" s="404" t="s">
        <v>4668</v>
      </c>
      <c r="B4625" s="402" t="s">
        <v>4263</v>
      </c>
      <c r="C4625" s="402" t="s">
        <v>6586</v>
      </c>
      <c r="D4625" s="405" t="s">
        <v>251</v>
      </c>
      <c r="E4625" s="404" t="s">
        <v>252</v>
      </c>
      <c r="F4625" s="402" t="s">
        <v>2816</v>
      </c>
      <c r="G4625" s="401" t="s">
        <v>4264</v>
      </c>
      <c r="H4625" s="404">
        <v>2023</v>
      </c>
      <c r="I4625" s="402" t="s">
        <v>1</v>
      </c>
      <c r="J4625" s="406" t="s">
        <v>5833</v>
      </c>
      <c r="K4625" s="403">
        <v>41795</v>
      </c>
      <c r="L4625" s="398">
        <v>41789</v>
      </c>
      <c r="M4625" s="402">
        <f t="shared" si="265"/>
        <v>6</v>
      </c>
      <c r="N4625" s="402" t="s">
        <v>2</v>
      </c>
      <c r="O4625" s="404">
        <f>5/2</f>
        <v>2.5</v>
      </c>
      <c r="P4625" s="402">
        <v>6.71</v>
      </c>
      <c r="Q4625" s="404">
        <v>7.14</v>
      </c>
      <c r="R4625" s="402">
        <v>150</v>
      </c>
      <c r="S4625" s="404">
        <v>30</v>
      </c>
      <c r="T4625" s="402">
        <v>0.35</v>
      </c>
      <c r="U4625" s="395">
        <v>6.4</v>
      </c>
      <c r="V4625" s="402">
        <v>1</v>
      </c>
      <c r="W4625" s="404">
        <f>0.04/2</f>
        <v>0.02</v>
      </c>
      <c r="X4625" s="402">
        <v>0.48</v>
      </c>
      <c r="Y4625" s="404">
        <f>0.013/2</f>
        <v>6.4999999999999997E-3</v>
      </c>
      <c r="Z4625" s="397">
        <v>1</v>
      </c>
      <c r="AA4625" s="399">
        <v>1</v>
      </c>
      <c r="AB4625" s="394">
        <v>33</v>
      </c>
      <c r="AC4625" s="402">
        <v>269</v>
      </c>
      <c r="AD4625" s="399">
        <v>1</v>
      </c>
      <c r="AE4625" s="402">
        <v>1750</v>
      </c>
      <c r="AF4625" s="391"/>
      <c r="AG4625" s="394"/>
      <c r="AH4625" s="394"/>
      <c r="AI4625" s="394"/>
      <c r="AJ4625" s="394"/>
      <c r="AK4625" s="394"/>
      <c r="AL4625" s="394"/>
      <c r="AM4625" s="394"/>
      <c r="AN4625" s="394"/>
      <c r="AO4625" s="394"/>
      <c r="AP4625" s="394"/>
      <c r="AQ4625" s="394"/>
      <c r="AR4625" s="394"/>
      <c r="AS4625" s="402"/>
      <c r="AT4625" s="404"/>
      <c r="AU4625" s="394"/>
      <c r="AV4625" s="394"/>
    </row>
    <row r="4626" spans="1:48" ht="15" customHeight="1">
      <c r="A4626" s="404" t="s">
        <v>4668</v>
      </c>
      <c r="B4626" s="402" t="s">
        <v>5026</v>
      </c>
      <c r="C4626" s="402" t="s">
        <v>5027</v>
      </c>
      <c r="D4626" s="405" t="s">
        <v>89</v>
      </c>
      <c r="E4626" s="404" t="s">
        <v>1240</v>
      </c>
      <c r="F4626" s="402">
        <v>6600</v>
      </c>
      <c r="G4626" s="401" t="s">
        <v>5028</v>
      </c>
      <c r="H4626" s="404">
        <v>5171</v>
      </c>
      <c r="I4626" s="402" t="s">
        <v>2</v>
      </c>
      <c r="J4626" s="406" t="s">
        <v>5029</v>
      </c>
      <c r="K4626" s="403">
        <v>41827</v>
      </c>
      <c r="L4626" s="398">
        <v>41823</v>
      </c>
      <c r="M4626" s="402">
        <f t="shared" si="265"/>
        <v>4</v>
      </c>
      <c r="N4626" s="402" t="s">
        <v>2</v>
      </c>
      <c r="O4626" s="404">
        <f>5/2</f>
        <v>2.5</v>
      </c>
      <c r="P4626" s="402"/>
      <c r="Q4626" s="404">
        <v>7.37</v>
      </c>
      <c r="R4626" s="402">
        <v>16</v>
      </c>
      <c r="S4626" s="404">
        <v>14</v>
      </c>
      <c r="T4626" s="402">
        <f>0.1/2</f>
        <v>0.05</v>
      </c>
      <c r="U4626" s="395">
        <f>1/2</f>
        <v>0.5</v>
      </c>
      <c r="V4626" s="402">
        <v>0.36</v>
      </c>
      <c r="W4626" s="404">
        <f>0.04/2</f>
        <v>0.02</v>
      </c>
      <c r="X4626" s="402">
        <v>8.2000000000000003E-2</v>
      </c>
      <c r="Y4626" s="404">
        <f>0.013/2</f>
        <v>6.4999999999999997E-3</v>
      </c>
      <c r="Z4626" s="397"/>
      <c r="AA4626" s="399"/>
      <c r="AB4626" s="394"/>
      <c r="AC4626" s="402"/>
      <c r="AD4626" s="399"/>
      <c r="AE4626" s="402"/>
      <c r="AF4626" s="391"/>
      <c r="AG4626" s="394"/>
      <c r="AH4626" s="394"/>
      <c r="AI4626" s="394"/>
      <c r="AJ4626" s="394"/>
      <c r="AK4626" s="394"/>
      <c r="AL4626" s="394"/>
      <c r="AM4626" s="394"/>
      <c r="AN4626" s="394"/>
      <c r="AO4626" s="394"/>
      <c r="AP4626" s="394"/>
      <c r="AQ4626" s="394"/>
      <c r="AR4626" s="394"/>
      <c r="AS4626" s="402"/>
      <c r="AT4626" s="404"/>
      <c r="AU4626" s="394"/>
      <c r="AV4626" s="394"/>
    </row>
    <row r="4627" spans="1:48" ht="15" customHeight="1">
      <c r="A4627" s="404" t="s">
        <v>4668</v>
      </c>
      <c r="B4627" s="402" t="s">
        <v>102</v>
      </c>
      <c r="C4627" s="402" t="s">
        <v>102</v>
      </c>
      <c r="D4627" s="405" t="s">
        <v>103</v>
      </c>
      <c r="E4627" s="404" t="s">
        <v>104</v>
      </c>
      <c r="F4627" s="402" t="s">
        <v>6400</v>
      </c>
      <c r="G4627" s="401" t="s">
        <v>105</v>
      </c>
      <c r="H4627" s="404">
        <v>4952</v>
      </c>
      <c r="I4627" s="402" t="s">
        <v>2</v>
      </c>
      <c r="J4627" s="401" t="s">
        <v>2012</v>
      </c>
      <c r="K4627" s="403">
        <v>41863</v>
      </c>
      <c r="L4627" s="398">
        <v>41853</v>
      </c>
      <c r="M4627" s="402">
        <f t="shared" si="265"/>
        <v>10</v>
      </c>
      <c r="N4627" s="402" t="s">
        <v>2</v>
      </c>
      <c r="O4627" s="404"/>
      <c r="P4627" s="402"/>
      <c r="Q4627" s="404"/>
      <c r="R4627" s="402"/>
      <c r="S4627" s="404">
        <v>356</v>
      </c>
      <c r="T4627" s="402"/>
      <c r="U4627" s="395"/>
      <c r="V4627" s="402"/>
      <c r="W4627" s="404"/>
      <c r="X4627" s="402"/>
      <c r="Y4627" s="404"/>
      <c r="Z4627" s="397"/>
      <c r="AA4627" s="399"/>
      <c r="AB4627" s="394"/>
      <c r="AC4627" s="402"/>
      <c r="AD4627" s="399"/>
      <c r="AE4627" s="402"/>
      <c r="AF4627" s="391"/>
      <c r="AG4627" s="394"/>
      <c r="AH4627" s="394"/>
      <c r="AI4627" s="394"/>
      <c r="AJ4627" s="394"/>
      <c r="AK4627" s="394"/>
      <c r="AL4627" s="394"/>
      <c r="AM4627" s="394"/>
      <c r="AN4627" s="394"/>
      <c r="AO4627" s="394"/>
      <c r="AP4627" s="394"/>
      <c r="AQ4627" s="394"/>
      <c r="AR4627" s="394"/>
      <c r="AS4627" s="402"/>
      <c r="AT4627" s="404"/>
      <c r="AU4627" s="394"/>
      <c r="AV4627" s="394"/>
    </row>
    <row r="4628" spans="1:48" ht="15" customHeight="1">
      <c r="A4628" s="404" t="s">
        <v>4668</v>
      </c>
      <c r="B4628" s="402" t="s">
        <v>102</v>
      </c>
      <c r="C4628" s="402" t="s">
        <v>102</v>
      </c>
      <c r="D4628" s="405" t="s">
        <v>103</v>
      </c>
      <c r="E4628" s="404" t="s">
        <v>104</v>
      </c>
      <c r="F4628" s="402" t="s">
        <v>6400</v>
      </c>
      <c r="G4628" s="401" t="s">
        <v>105</v>
      </c>
      <c r="H4628" s="404">
        <v>4952</v>
      </c>
      <c r="I4628" s="402" t="s">
        <v>2</v>
      </c>
      <c r="J4628" s="401" t="s">
        <v>2012</v>
      </c>
      <c r="K4628" s="403">
        <v>41863</v>
      </c>
      <c r="L4628" s="398">
        <v>41853</v>
      </c>
      <c r="M4628" s="402">
        <f t="shared" ref="M4628:M4648" si="268">K4628-L4628</f>
        <v>10</v>
      </c>
      <c r="N4628" s="402" t="s">
        <v>2</v>
      </c>
      <c r="O4628" s="404"/>
      <c r="P4628" s="402"/>
      <c r="Q4628" s="404"/>
      <c r="R4628" s="402"/>
      <c r="S4628" s="404">
        <v>92</v>
      </c>
      <c r="T4628" s="402"/>
      <c r="U4628" s="395"/>
      <c r="V4628" s="402"/>
      <c r="W4628" s="404"/>
      <c r="X4628" s="402"/>
      <c r="Y4628" s="404"/>
      <c r="Z4628" s="397"/>
      <c r="AA4628" s="399"/>
      <c r="AB4628" s="394"/>
      <c r="AC4628" s="402"/>
      <c r="AD4628" s="399"/>
      <c r="AE4628" s="402"/>
      <c r="AF4628" s="391"/>
      <c r="AG4628" s="394"/>
      <c r="AH4628" s="394"/>
      <c r="AI4628" s="394"/>
      <c r="AJ4628" s="394"/>
      <c r="AK4628" s="394"/>
      <c r="AL4628" s="394"/>
      <c r="AM4628" s="394"/>
      <c r="AN4628" s="394"/>
      <c r="AO4628" s="394"/>
      <c r="AP4628" s="394"/>
      <c r="AQ4628" s="394"/>
      <c r="AR4628" s="394"/>
      <c r="AS4628" s="402"/>
      <c r="AT4628" s="404"/>
      <c r="AU4628" s="394"/>
      <c r="AV4628" s="394"/>
    </row>
    <row r="4629" spans="1:48" ht="15" customHeight="1">
      <c r="A4629" s="404" t="s">
        <v>4668</v>
      </c>
      <c r="B4629" s="402" t="s">
        <v>4868</v>
      </c>
      <c r="C4629" s="402" t="s">
        <v>5745</v>
      </c>
      <c r="D4629" s="405" t="s">
        <v>56</v>
      </c>
      <c r="E4629" s="404" t="s">
        <v>95</v>
      </c>
      <c r="F4629" s="401" t="s">
        <v>6478</v>
      </c>
      <c r="G4629" s="401" t="s">
        <v>3622</v>
      </c>
      <c r="H4629" s="404">
        <v>4426</v>
      </c>
      <c r="I4629" s="402" t="s">
        <v>1</v>
      </c>
      <c r="J4629" s="406" t="s">
        <v>4872</v>
      </c>
      <c r="K4629" s="403">
        <v>41795</v>
      </c>
      <c r="L4629" s="398">
        <v>41787</v>
      </c>
      <c r="M4629" s="402">
        <f t="shared" si="268"/>
        <v>8</v>
      </c>
      <c r="N4629" s="402" t="s">
        <v>2</v>
      </c>
      <c r="O4629" s="404"/>
      <c r="P4629" s="402"/>
      <c r="Q4629" s="404"/>
      <c r="R4629" s="402"/>
      <c r="S4629" s="404">
        <v>15</v>
      </c>
      <c r="T4629" s="402"/>
      <c r="U4629" s="395"/>
      <c r="V4629" s="402"/>
      <c r="W4629" s="404"/>
      <c r="X4629" s="402">
        <v>0.09</v>
      </c>
      <c r="Y4629" s="404">
        <f>0.013/2</f>
        <v>6.4999999999999997E-3</v>
      </c>
      <c r="Z4629" s="397"/>
      <c r="AA4629" s="399"/>
      <c r="AB4629" s="394"/>
      <c r="AC4629" s="402"/>
      <c r="AD4629" s="399"/>
      <c r="AE4629" s="402"/>
      <c r="AF4629" s="391"/>
      <c r="AG4629" s="394"/>
      <c r="AH4629" s="394"/>
      <c r="AI4629" s="394"/>
      <c r="AJ4629" s="394"/>
      <c r="AK4629" s="394"/>
      <c r="AL4629" s="394"/>
      <c r="AM4629" s="394"/>
      <c r="AN4629" s="394"/>
      <c r="AO4629" s="394"/>
      <c r="AP4629" s="394"/>
      <c r="AQ4629" s="394"/>
      <c r="AR4629" s="394"/>
      <c r="AS4629" s="402"/>
      <c r="AT4629" s="404"/>
      <c r="AU4629" s="394"/>
      <c r="AV4629" s="394"/>
    </row>
    <row r="4630" spans="1:48" ht="15" customHeight="1">
      <c r="A4630" s="404" t="s">
        <v>4668</v>
      </c>
      <c r="B4630" s="402" t="s">
        <v>693</v>
      </c>
      <c r="C4630" s="402" t="s">
        <v>1894</v>
      </c>
      <c r="D4630" s="405" t="s">
        <v>262</v>
      </c>
      <c r="E4630" s="404" t="s">
        <v>694</v>
      </c>
      <c r="F4630" s="402" t="s">
        <v>6414</v>
      </c>
      <c r="G4630" s="401" t="s">
        <v>695</v>
      </c>
      <c r="H4630" s="404">
        <v>3471</v>
      </c>
      <c r="I4630" s="402" t="s">
        <v>2</v>
      </c>
      <c r="J4630" s="406" t="s">
        <v>696</v>
      </c>
      <c r="K4630" s="403">
        <v>41834</v>
      </c>
      <c r="L4630" s="398">
        <v>41828</v>
      </c>
      <c r="M4630" s="402">
        <f t="shared" si="268"/>
        <v>6</v>
      </c>
      <c r="N4630" s="402" t="s">
        <v>2</v>
      </c>
      <c r="O4630" s="404">
        <v>1.2</v>
      </c>
      <c r="P4630" s="402">
        <v>6.53</v>
      </c>
      <c r="Q4630" s="404">
        <v>6.08</v>
      </c>
      <c r="R4630" s="402">
        <v>38.4</v>
      </c>
      <c r="S4630" s="404">
        <v>45</v>
      </c>
      <c r="T4630" s="402">
        <v>0.15</v>
      </c>
      <c r="U4630" s="395">
        <v>2.4</v>
      </c>
      <c r="V4630" s="402">
        <v>0.68</v>
      </c>
      <c r="W4630" s="404">
        <v>0.13400000000000001</v>
      </c>
      <c r="X4630" s="402">
        <v>5.8999999999999997E-2</v>
      </c>
      <c r="Y4630" s="404">
        <v>8.0000000000000002E-3</v>
      </c>
      <c r="Z4630" s="397"/>
      <c r="AA4630" s="399"/>
      <c r="AB4630" s="394"/>
      <c r="AC4630" s="402"/>
      <c r="AD4630" s="399"/>
      <c r="AE4630" s="402"/>
      <c r="AF4630" s="391"/>
      <c r="AG4630" s="394"/>
      <c r="AH4630" s="394"/>
      <c r="AI4630" s="394"/>
      <c r="AJ4630" s="394"/>
      <c r="AK4630" s="394"/>
      <c r="AL4630" s="394"/>
      <c r="AM4630" s="394"/>
      <c r="AN4630" s="394"/>
      <c r="AO4630" s="394"/>
      <c r="AP4630" s="394"/>
      <c r="AQ4630" s="394"/>
      <c r="AR4630" s="394"/>
      <c r="AS4630" s="402"/>
      <c r="AT4630" s="404"/>
      <c r="AU4630" s="394"/>
      <c r="AV4630" s="394"/>
    </row>
    <row r="4631" spans="1:48" ht="15" customHeight="1">
      <c r="A4631" s="404" t="s">
        <v>4668</v>
      </c>
      <c r="B4631" s="402" t="s">
        <v>1415</v>
      </c>
      <c r="C4631" s="402" t="s">
        <v>1416</v>
      </c>
      <c r="D4631" s="405" t="s">
        <v>78</v>
      </c>
      <c r="E4631" s="404" t="s">
        <v>1417</v>
      </c>
      <c r="F4631" s="401" t="s">
        <v>6609</v>
      </c>
      <c r="G4631" s="401" t="s">
        <v>1418</v>
      </c>
      <c r="H4631" s="404">
        <v>3272</v>
      </c>
      <c r="I4631" s="402" t="s">
        <v>2</v>
      </c>
      <c r="J4631" s="406" t="s">
        <v>552</v>
      </c>
      <c r="K4631" s="403">
        <v>41795</v>
      </c>
      <c r="L4631" s="398">
        <v>41790</v>
      </c>
      <c r="M4631" s="402">
        <f t="shared" si="268"/>
        <v>5</v>
      </c>
      <c r="N4631" s="402" t="s">
        <v>2</v>
      </c>
      <c r="O4631" s="404"/>
      <c r="P4631" s="402"/>
      <c r="Q4631" s="404"/>
      <c r="R4631" s="402"/>
      <c r="S4631" s="404"/>
      <c r="T4631" s="402"/>
      <c r="U4631" s="395"/>
      <c r="V4631" s="402">
        <v>2.1</v>
      </c>
      <c r="W4631" s="404"/>
      <c r="X4631" s="402"/>
      <c r="Y4631" s="404"/>
      <c r="Z4631" s="397"/>
      <c r="AA4631" s="399"/>
      <c r="AB4631" s="394"/>
      <c r="AC4631" s="402"/>
      <c r="AD4631" s="399"/>
      <c r="AE4631" s="402"/>
      <c r="AF4631" s="391"/>
      <c r="AG4631" s="394"/>
      <c r="AH4631" s="394"/>
      <c r="AI4631" s="394"/>
      <c r="AJ4631" s="394"/>
      <c r="AK4631" s="394"/>
      <c r="AL4631" s="394"/>
      <c r="AM4631" s="394"/>
      <c r="AN4631" s="394"/>
      <c r="AO4631" s="394"/>
      <c r="AP4631" s="394"/>
      <c r="AQ4631" s="394"/>
      <c r="AR4631" s="394"/>
      <c r="AS4631" s="402"/>
      <c r="AT4631" s="404"/>
      <c r="AU4631" s="394"/>
      <c r="AV4631" s="394"/>
    </row>
    <row r="4632" spans="1:48" ht="15" customHeight="1">
      <c r="A4632" s="404" t="s">
        <v>4668</v>
      </c>
      <c r="B4632" s="402" t="s">
        <v>4439</v>
      </c>
      <c r="C4632" s="402" t="s">
        <v>4439</v>
      </c>
      <c r="D4632" s="405" t="s">
        <v>251</v>
      </c>
      <c r="E4632" s="404" t="s">
        <v>4440</v>
      </c>
      <c r="F4632" s="402">
        <v>4402</v>
      </c>
      <c r="G4632" s="401" t="s">
        <v>4441</v>
      </c>
      <c r="H4632" s="404">
        <v>3724</v>
      </c>
      <c r="I4632" s="402" t="s">
        <v>2</v>
      </c>
      <c r="J4632" s="406" t="s">
        <v>5803</v>
      </c>
      <c r="K4632" s="403">
        <v>41795</v>
      </c>
      <c r="L4632" s="398">
        <v>41789</v>
      </c>
      <c r="M4632" s="402">
        <f t="shared" si="268"/>
        <v>6</v>
      </c>
      <c r="N4632" s="402" t="s">
        <v>2</v>
      </c>
      <c r="O4632" s="404">
        <f>2/2</f>
        <v>1</v>
      </c>
      <c r="P4632" s="402">
        <v>7.42</v>
      </c>
      <c r="Q4632" s="404">
        <v>6.3</v>
      </c>
      <c r="R4632" s="402">
        <v>101</v>
      </c>
      <c r="S4632" s="404">
        <v>21</v>
      </c>
      <c r="T4632" s="402">
        <v>0.23</v>
      </c>
      <c r="U4632" s="395">
        <v>2.68</v>
      </c>
      <c r="V4632" s="402">
        <v>0.52</v>
      </c>
      <c r="W4632" s="404">
        <v>6.6000000000000003E-2</v>
      </c>
      <c r="X4632" s="402">
        <v>0.16</v>
      </c>
      <c r="Y4632" s="404">
        <f>0.03/2</f>
        <v>1.4999999999999999E-2</v>
      </c>
      <c r="Z4632" s="397">
        <v>1</v>
      </c>
      <c r="AA4632" s="399">
        <v>1</v>
      </c>
      <c r="AB4632" s="394">
        <v>53</v>
      </c>
      <c r="AC4632" s="402">
        <v>596</v>
      </c>
      <c r="AD4632" s="399">
        <v>1</v>
      </c>
      <c r="AE4632" s="402"/>
      <c r="AF4632" s="391"/>
      <c r="AG4632" s="394"/>
      <c r="AH4632" s="394"/>
      <c r="AI4632" s="394"/>
      <c r="AJ4632" s="394"/>
      <c r="AK4632" s="394"/>
      <c r="AL4632" s="394"/>
      <c r="AM4632" s="394"/>
      <c r="AN4632" s="394"/>
      <c r="AO4632" s="394"/>
      <c r="AP4632" s="394"/>
      <c r="AQ4632" s="394"/>
      <c r="AR4632" s="394"/>
      <c r="AS4632" s="402"/>
      <c r="AT4632" s="404"/>
      <c r="AU4632" s="394"/>
      <c r="AV4632" s="394"/>
    </row>
    <row r="4633" spans="1:48" ht="15" customHeight="1">
      <c r="A4633" s="404" t="s">
        <v>4668</v>
      </c>
      <c r="B4633" s="402" t="s">
        <v>4940</v>
      </c>
      <c r="C4633" s="402" t="s">
        <v>4940</v>
      </c>
      <c r="D4633" s="405" t="s">
        <v>1537</v>
      </c>
      <c r="E4633" s="404" t="s">
        <v>4941</v>
      </c>
      <c r="F4633" s="401" t="s">
        <v>6610</v>
      </c>
      <c r="G4633" s="401" t="s">
        <v>4942</v>
      </c>
      <c r="H4633" s="404" t="s">
        <v>4943</v>
      </c>
      <c r="I4633" s="402" t="s">
        <v>1</v>
      </c>
      <c r="J4633" s="406" t="s">
        <v>1392</v>
      </c>
      <c r="K4633" s="403">
        <v>41816</v>
      </c>
      <c r="L4633" s="398">
        <v>41809</v>
      </c>
      <c r="M4633" s="402">
        <f t="shared" si="268"/>
        <v>7</v>
      </c>
      <c r="N4633" s="402" t="s">
        <v>2</v>
      </c>
      <c r="O4633" s="404">
        <f>5/2</f>
        <v>2.5</v>
      </c>
      <c r="P4633" s="402">
        <v>6</v>
      </c>
      <c r="Q4633" s="404">
        <v>8.9600000000000009</v>
      </c>
      <c r="R4633" s="402">
        <v>45</v>
      </c>
      <c r="S4633" s="404">
        <v>25</v>
      </c>
      <c r="T4633" s="402">
        <v>0.1</v>
      </c>
      <c r="U4633" s="395">
        <f>1/2</f>
        <v>0.5</v>
      </c>
      <c r="V4633" s="402">
        <f>0.1/2</f>
        <v>0.05</v>
      </c>
      <c r="W4633" s="404">
        <f>0.04/2</f>
        <v>0.02</v>
      </c>
      <c r="X4633" s="402">
        <f>0.02/2</f>
        <v>0.01</v>
      </c>
      <c r="Y4633" s="404">
        <f>0.013/2</f>
        <v>6.4999999999999997E-3</v>
      </c>
      <c r="Z4633" s="397"/>
      <c r="AA4633" s="399"/>
      <c r="AB4633" s="394"/>
      <c r="AC4633" s="402"/>
      <c r="AD4633" s="399"/>
      <c r="AE4633" s="402"/>
      <c r="AF4633" s="391"/>
      <c r="AG4633" s="394"/>
      <c r="AH4633" s="394"/>
      <c r="AI4633" s="394"/>
      <c r="AJ4633" s="394"/>
      <c r="AK4633" s="394"/>
      <c r="AL4633" s="394"/>
      <c r="AM4633" s="394"/>
      <c r="AN4633" s="394"/>
      <c r="AO4633" s="394"/>
      <c r="AP4633" s="394"/>
      <c r="AQ4633" s="394"/>
      <c r="AR4633" s="394"/>
      <c r="AS4633" s="402"/>
      <c r="AT4633" s="404"/>
      <c r="AU4633" s="394"/>
      <c r="AV4633" s="394"/>
    </row>
    <row r="4634" spans="1:48" ht="15" customHeight="1">
      <c r="A4634" s="404" t="s">
        <v>4668</v>
      </c>
      <c r="B4634" s="402" t="s">
        <v>3967</v>
      </c>
      <c r="C4634" s="402" t="s">
        <v>3967</v>
      </c>
      <c r="D4634" s="405" t="s">
        <v>262</v>
      </c>
      <c r="E4634" s="404" t="s">
        <v>3978</v>
      </c>
      <c r="F4634" s="402">
        <v>7103</v>
      </c>
      <c r="G4634" s="401" t="s">
        <v>3981</v>
      </c>
      <c r="H4634" s="404">
        <v>4119</v>
      </c>
      <c r="I4634" s="402" t="s">
        <v>2</v>
      </c>
      <c r="J4634" s="406" t="s">
        <v>3982</v>
      </c>
      <c r="K4634" s="403">
        <v>41799</v>
      </c>
      <c r="L4634" s="398">
        <v>41795</v>
      </c>
      <c r="M4634" s="402">
        <f t="shared" si="268"/>
        <v>4</v>
      </c>
      <c r="N4634" s="402" t="s">
        <v>2</v>
      </c>
      <c r="O4634" s="404">
        <f>5/2</f>
        <v>2.5</v>
      </c>
      <c r="P4634" s="402">
        <v>6.22</v>
      </c>
      <c r="Q4634" s="404">
        <v>6.66</v>
      </c>
      <c r="R4634" s="402">
        <v>26</v>
      </c>
      <c r="S4634" s="404">
        <v>29</v>
      </c>
      <c r="T4634" s="402">
        <v>0.12</v>
      </c>
      <c r="U4634" s="395">
        <v>0.98</v>
      </c>
      <c r="V4634" s="402">
        <v>0.26</v>
      </c>
      <c r="W4634" s="404">
        <v>7.0000000000000001E-3</v>
      </c>
      <c r="X4634" s="402">
        <f>0.02/2</f>
        <v>0.01</v>
      </c>
      <c r="Y4634" s="404">
        <v>3.0000000000000001E-3</v>
      </c>
      <c r="Z4634" s="397"/>
      <c r="AA4634" s="399"/>
      <c r="AB4634" s="394"/>
      <c r="AC4634" s="402"/>
      <c r="AD4634" s="399"/>
      <c r="AE4634" s="402"/>
      <c r="AF4634" s="391"/>
      <c r="AG4634" s="394"/>
      <c r="AH4634" s="394"/>
      <c r="AI4634" s="394"/>
      <c r="AJ4634" s="394"/>
      <c r="AK4634" s="394"/>
      <c r="AL4634" s="394"/>
      <c r="AM4634" s="394"/>
      <c r="AN4634" s="394"/>
      <c r="AO4634" s="394"/>
      <c r="AP4634" s="394"/>
      <c r="AQ4634" s="394"/>
      <c r="AR4634" s="394"/>
      <c r="AS4634" s="402"/>
      <c r="AT4634" s="404"/>
      <c r="AU4634" s="394"/>
      <c r="AV4634" s="394"/>
    </row>
    <row r="4635" spans="1:48" ht="15" customHeight="1">
      <c r="A4635" s="404" t="s">
        <v>4668</v>
      </c>
      <c r="B4635" s="402" t="s">
        <v>3967</v>
      </c>
      <c r="C4635" s="402" t="s">
        <v>3967</v>
      </c>
      <c r="D4635" s="405" t="s">
        <v>262</v>
      </c>
      <c r="E4635" s="404" t="s">
        <v>3978</v>
      </c>
      <c r="F4635" s="402">
        <v>7103</v>
      </c>
      <c r="G4635" s="401" t="s">
        <v>3979</v>
      </c>
      <c r="H4635" s="404">
        <v>4119</v>
      </c>
      <c r="I4635" s="402" t="s">
        <v>2</v>
      </c>
      <c r="J4635" s="406" t="s">
        <v>5867</v>
      </c>
      <c r="K4635" s="403">
        <v>41799</v>
      </c>
      <c r="L4635" s="398">
        <v>41795</v>
      </c>
      <c r="M4635" s="402">
        <f t="shared" si="268"/>
        <v>4</v>
      </c>
      <c r="N4635" s="402" t="s">
        <v>2</v>
      </c>
      <c r="O4635" s="404">
        <v>8.9</v>
      </c>
      <c r="P4635" s="402">
        <v>6.26</v>
      </c>
      <c r="Q4635" s="404">
        <v>7.24</v>
      </c>
      <c r="R4635" s="402">
        <v>76</v>
      </c>
      <c r="S4635" s="404">
        <v>64</v>
      </c>
      <c r="T4635" s="402">
        <v>0.14000000000000001</v>
      </c>
      <c r="U4635" s="395">
        <v>1.37</v>
      </c>
      <c r="V4635" s="402">
        <v>0.28999999999999998</v>
      </c>
      <c r="W4635" s="404">
        <v>1.2E-2</v>
      </c>
      <c r="X4635" s="402">
        <v>0.05</v>
      </c>
      <c r="Y4635" s="404">
        <v>8.0000000000000002E-3</v>
      </c>
      <c r="Z4635" s="397"/>
      <c r="AA4635" s="399"/>
      <c r="AB4635" s="394"/>
      <c r="AC4635" s="402"/>
      <c r="AD4635" s="399"/>
      <c r="AE4635" s="402"/>
      <c r="AF4635" s="391"/>
      <c r="AG4635" s="394"/>
      <c r="AH4635" s="394"/>
      <c r="AI4635" s="394"/>
      <c r="AJ4635" s="394"/>
      <c r="AK4635" s="394"/>
      <c r="AL4635" s="394"/>
      <c r="AM4635" s="394"/>
      <c r="AN4635" s="394"/>
      <c r="AO4635" s="394"/>
      <c r="AP4635" s="394"/>
      <c r="AQ4635" s="394"/>
      <c r="AR4635" s="394"/>
      <c r="AS4635" s="402"/>
      <c r="AT4635" s="404"/>
      <c r="AU4635" s="394"/>
      <c r="AV4635" s="394"/>
    </row>
    <row r="4636" spans="1:48" ht="15" customHeight="1">
      <c r="A4636" s="404" t="s">
        <v>4668</v>
      </c>
      <c r="B4636" s="402" t="s">
        <v>3967</v>
      </c>
      <c r="C4636" s="402" t="s">
        <v>3967</v>
      </c>
      <c r="D4636" s="405" t="s">
        <v>372</v>
      </c>
      <c r="E4636" s="404" t="s">
        <v>112</v>
      </c>
      <c r="F4636" s="402">
        <v>6900</v>
      </c>
      <c r="G4636" s="401" t="s">
        <v>5086</v>
      </c>
      <c r="H4636" s="404">
        <v>4119</v>
      </c>
      <c r="I4636" s="402" t="s">
        <v>2</v>
      </c>
      <c r="J4636" s="406" t="s">
        <v>74</v>
      </c>
      <c r="K4636" s="403">
        <v>41795</v>
      </c>
      <c r="L4636" s="398">
        <v>41789</v>
      </c>
      <c r="M4636" s="402">
        <f t="shared" si="268"/>
        <v>6</v>
      </c>
      <c r="N4636" s="402" t="s">
        <v>2</v>
      </c>
      <c r="O4636" s="404">
        <f>5/2</f>
        <v>2.5</v>
      </c>
      <c r="P4636" s="402">
        <v>6.37</v>
      </c>
      <c r="Q4636" s="404">
        <v>6.5</v>
      </c>
      <c r="R4636" s="402">
        <v>27</v>
      </c>
      <c r="S4636" s="404">
        <v>22</v>
      </c>
      <c r="T4636" s="402">
        <v>0.06</v>
      </c>
      <c r="U4636" s="395">
        <v>1.57</v>
      </c>
      <c r="V4636" s="402">
        <v>0.65</v>
      </c>
      <c r="W4636" s="404">
        <v>7.0000000000000001E-3</v>
      </c>
      <c r="X4636" s="402">
        <f>0.02/2</f>
        <v>0.01</v>
      </c>
      <c r="Y4636" s="404">
        <v>5.0000000000000001E-3</v>
      </c>
      <c r="Z4636" s="397"/>
      <c r="AA4636" s="399"/>
      <c r="AB4636" s="394"/>
      <c r="AC4636" s="402"/>
      <c r="AD4636" s="399"/>
      <c r="AE4636" s="402"/>
      <c r="AF4636" s="391"/>
      <c r="AG4636" s="394"/>
      <c r="AH4636" s="394"/>
      <c r="AI4636" s="394"/>
      <c r="AJ4636" s="394"/>
      <c r="AK4636" s="394"/>
      <c r="AL4636" s="394"/>
      <c r="AM4636" s="394"/>
      <c r="AN4636" s="394"/>
      <c r="AO4636" s="394"/>
      <c r="AP4636" s="394"/>
      <c r="AQ4636" s="394"/>
      <c r="AR4636" s="394"/>
      <c r="AS4636" s="402"/>
      <c r="AT4636" s="404"/>
      <c r="AU4636" s="394"/>
      <c r="AV4636" s="394"/>
    </row>
    <row r="4637" spans="1:48" ht="15" customHeight="1">
      <c r="A4637" s="404" t="s">
        <v>4668</v>
      </c>
      <c r="B4637" s="402" t="s">
        <v>3967</v>
      </c>
      <c r="C4637" s="402" t="s">
        <v>3967</v>
      </c>
      <c r="D4637" s="405" t="s">
        <v>268</v>
      </c>
      <c r="E4637" s="404" t="s">
        <v>252</v>
      </c>
      <c r="F4637" s="402">
        <v>4402</v>
      </c>
      <c r="G4637" s="401" t="s">
        <v>3966</v>
      </c>
      <c r="H4637" s="404">
        <v>4119</v>
      </c>
      <c r="I4637" s="402" t="s">
        <v>2</v>
      </c>
      <c r="J4637" s="406" t="s">
        <v>5871</v>
      </c>
      <c r="K4637" s="403">
        <v>41803</v>
      </c>
      <c r="L4637" s="398">
        <v>41796</v>
      </c>
      <c r="M4637" s="402">
        <f t="shared" si="268"/>
        <v>7</v>
      </c>
      <c r="N4637" s="402" t="s">
        <v>2</v>
      </c>
      <c r="O4637" s="404">
        <f>5/2</f>
        <v>2.5</v>
      </c>
      <c r="P4637" s="402">
        <v>5.45</v>
      </c>
      <c r="Q4637" s="404">
        <v>6.58</v>
      </c>
      <c r="R4637" s="402">
        <v>226</v>
      </c>
      <c r="S4637" s="404">
        <v>212</v>
      </c>
      <c r="T4637" s="402">
        <v>0.5</v>
      </c>
      <c r="U4637" s="395">
        <v>3.75</v>
      </c>
      <c r="V4637" s="402">
        <v>0.68</v>
      </c>
      <c r="W4637" s="404">
        <v>2.1000000000000001E-2</v>
      </c>
      <c r="X4637" s="402">
        <v>0.17</v>
      </c>
      <c r="Y4637" s="404">
        <v>1.9E-2</v>
      </c>
      <c r="Z4637" s="397"/>
      <c r="AA4637" s="399"/>
      <c r="AB4637" s="394"/>
      <c r="AC4637" s="402"/>
      <c r="AD4637" s="399"/>
      <c r="AE4637" s="402"/>
      <c r="AF4637" s="391"/>
      <c r="AG4637" s="394"/>
      <c r="AH4637" s="394"/>
      <c r="AI4637" s="394"/>
      <c r="AJ4637" s="394"/>
      <c r="AK4637" s="394"/>
      <c r="AL4637" s="394"/>
      <c r="AM4637" s="394"/>
      <c r="AN4637" s="394"/>
      <c r="AO4637" s="394"/>
      <c r="AP4637" s="394"/>
      <c r="AQ4637" s="394"/>
      <c r="AR4637" s="394"/>
      <c r="AS4637" s="402"/>
      <c r="AT4637" s="404"/>
      <c r="AU4637" s="394"/>
      <c r="AV4637" s="394"/>
    </row>
    <row r="4638" spans="1:48" ht="15" customHeight="1">
      <c r="A4638" s="404" t="s">
        <v>4668</v>
      </c>
      <c r="B4638" s="402" t="s">
        <v>3967</v>
      </c>
      <c r="C4638" s="402" t="s">
        <v>3967</v>
      </c>
      <c r="D4638" s="405" t="s">
        <v>56</v>
      </c>
      <c r="E4638" s="404" t="s">
        <v>112</v>
      </c>
      <c r="F4638" s="402">
        <v>5200</v>
      </c>
      <c r="G4638" s="401" t="s">
        <v>6593</v>
      </c>
      <c r="H4638" s="404">
        <v>4119</v>
      </c>
      <c r="I4638" s="402" t="s">
        <v>2</v>
      </c>
      <c r="J4638" s="406" t="s">
        <v>114</v>
      </c>
      <c r="K4638" s="403">
        <v>41799</v>
      </c>
      <c r="L4638" s="398">
        <v>41795</v>
      </c>
      <c r="M4638" s="402">
        <f t="shared" si="268"/>
        <v>4</v>
      </c>
      <c r="N4638" s="402" t="s">
        <v>2</v>
      </c>
      <c r="O4638" s="404">
        <v>6.9</v>
      </c>
      <c r="P4638" s="402">
        <v>5.57</v>
      </c>
      <c r="Q4638" s="404">
        <v>5.97</v>
      </c>
      <c r="R4638" s="402">
        <v>275</v>
      </c>
      <c r="S4638" s="404">
        <v>247</v>
      </c>
      <c r="T4638" s="402">
        <v>0.34</v>
      </c>
      <c r="U4638" s="395">
        <v>3.03</v>
      </c>
      <c r="V4638" s="402">
        <v>0.49</v>
      </c>
      <c r="W4638" s="404">
        <v>5.1999999999999998E-2</v>
      </c>
      <c r="X4638" s="402">
        <v>0.21</v>
      </c>
      <c r="Y4638" s="404">
        <v>3.4000000000000002E-2</v>
      </c>
      <c r="Z4638" s="397"/>
      <c r="AA4638" s="399"/>
      <c r="AB4638" s="394"/>
      <c r="AC4638" s="402"/>
      <c r="AD4638" s="399"/>
      <c r="AE4638" s="402"/>
      <c r="AF4638" s="391"/>
      <c r="AG4638" s="394"/>
      <c r="AH4638" s="394"/>
      <c r="AI4638" s="394"/>
      <c r="AJ4638" s="394"/>
      <c r="AK4638" s="394"/>
      <c r="AL4638" s="394"/>
      <c r="AM4638" s="394"/>
      <c r="AN4638" s="394"/>
      <c r="AO4638" s="394"/>
      <c r="AP4638" s="394"/>
      <c r="AQ4638" s="394"/>
      <c r="AR4638" s="394"/>
      <c r="AS4638" s="402"/>
      <c r="AT4638" s="404"/>
      <c r="AU4638" s="394"/>
      <c r="AV4638" s="394"/>
    </row>
    <row r="4639" spans="1:48" ht="15" customHeight="1">
      <c r="A4639" s="404" t="s">
        <v>4668</v>
      </c>
      <c r="B4639" s="402" t="s">
        <v>6587</v>
      </c>
      <c r="C4639" s="402" t="s">
        <v>6587</v>
      </c>
      <c r="D4639" s="405" t="s">
        <v>534</v>
      </c>
      <c r="E4639" s="404" t="s">
        <v>535</v>
      </c>
      <c r="F4639" s="402">
        <v>6600</v>
      </c>
      <c r="G4639" s="401" t="s">
        <v>6594</v>
      </c>
      <c r="H4639" s="404">
        <v>4119</v>
      </c>
      <c r="I4639" s="402"/>
      <c r="J4639" s="406" t="s">
        <v>75</v>
      </c>
      <c r="K4639" s="403">
        <v>41744</v>
      </c>
      <c r="L4639" s="398">
        <v>41737</v>
      </c>
      <c r="M4639" s="402">
        <f t="shared" si="268"/>
        <v>7</v>
      </c>
      <c r="N4639" s="402" t="s">
        <v>2</v>
      </c>
      <c r="O4639" s="404">
        <v>0.8</v>
      </c>
      <c r="P4639" s="402">
        <v>4.92</v>
      </c>
      <c r="Q4639" s="404">
        <v>6.8</v>
      </c>
      <c r="R4639" s="402">
        <v>121</v>
      </c>
      <c r="S4639" s="404">
        <v>480</v>
      </c>
      <c r="T4639" s="402">
        <v>0.09</v>
      </c>
      <c r="U4639" s="395">
        <v>0.95</v>
      </c>
      <c r="V4639" s="402">
        <f>0.05/2</f>
        <v>2.5000000000000001E-2</v>
      </c>
      <c r="W4639" s="404">
        <v>0.02</v>
      </c>
      <c r="X4639" s="402">
        <v>0.03</v>
      </c>
      <c r="Y4639" s="404">
        <v>2E-3</v>
      </c>
      <c r="Z4639" s="397">
        <v>1</v>
      </c>
      <c r="AA4639" s="399">
        <v>1</v>
      </c>
      <c r="AB4639" s="394">
        <v>60</v>
      </c>
      <c r="AC4639" s="402">
        <v>103</v>
      </c>
      <c r="AD4639" s="399">
        <v>1</v>
      </c>
      <c r="AE4639" s="402"/>
      <c r="AF4639" s="391"/>
      <c r="AG4639" s="394"/>
      <c r="AH4639" s="394"/>
      <c r="AI4639" s="394"/>
      <c r="AJ4639" s="394"/>
      <c r="AK4639" s="394"/>
      <c r="AL4639" s="394"/>
      <c r="AM4639" s="394"/>
      <c r="AN4639" s="394"/>
      <c r="AO4639" s="394"/>
      <c r="AP4639" s="394"/>
      <c r="AQ4639" s="394"/>
      <c r="AR4639" s="394"/>
      <c r="AS4639" s="402"/>
      <c r="AT4639" s="404"/>
      <c r="AU4639" s="394"/>
      <c r="AV4639" s="394"/>
    </row>
    <row r="4640" spans="1:48" ht="15" customHeight="1">
      <c r="A4640" s="404" t="s">
        <v>4668</v>
      </c>
      <c r="B4640" s="385" t="s">
        <v>4345</v>
      </c>
      <c r="C4640" s="385" t="s">
        <v>4345</v>
      </c>
      <c r="D4640" s="390" t="s">
        <v>303</v>
      </c>
      <c r="E4640" s="384" t="s">
        <v>4346</v>
      </c>
      <c r="F4640" s="385">
        <v>5306</v>
      </c>
      <c r="G4640" s="401" t="s">
        <v>455</v>
      </c>
      <c r="H4640" s="404">
        <v>3421</v>
      </c>
      <c r="I4640" s="402" t="s">
        <v>1</v>
      </c>
      <c r="J4640" s="406" t="s">
        <v>271</v>
      </c>
      <c r="K4640" s="403">
        <v>41795</v>
      </c>
      <c r="L4640" s="398">
        <v>41789</v>
      </c>
      <c r="M4640" s="402">
        <f t="shared" si="268"/>
        <v>6</v>
      </c>
      <c r="N4640" s="402" t="s">
        <v>2</v>
      </c>
      <c r="O4640" s="404"/>
      <c r="P4640" s="402"/>
      <c r="Q4640" s="404"/>
      <c r="R4640" s="402"/>
      <c r="S4640" s="404"/>
      <c r="T4640" s="402"/>
      <c r="U4640" s="395"/>
      <c r="V4640" s="402"/>
      <c r="W4640" s="404"/>
      <c r="X4640" s="402"/>
      <c r="Y4640" s="404"/>
      <c r="Z4640" s="397"/>
      <c r="AA4640" s="399"/>
      <c r="AB4640" s="394"/>
      <c r="AC4640" s="402"/>
      <c r="AD4640" s="399"/>
      <c r="AE4640" s="402"/>
      <c r="AF4640" s="391"/>
      <c r="AG4640" s="394"/>
      <c r="AH4640" s="394"/>
      <c r="AI4640" s="394">
        <v>650</v>
      </c>
      <c r="AJ4640" s="394"/>
      <c r="AK4640" s="394"/>
      <c r="AL4640" s="394"/>
      <c r="AM4640" s="394"/>
      <c r="AN4640" s="394"/>
      <c r="AO4640" s="394"/>
      <c r="AP4640" s="394"/>
      <c r="AQ4640" s="394"/>
      <c r="AR4640" s="394"/>
      <c r="AS4640" s="402"/>
      <c r="AT4640" s="404"/>
      <c r="AU4640" s="394"/>
      <c r="AV4640" s="394"/>
    </row>
    <row r="4641" spans="1:48" ht="15" customHeight="1">
      <c r="A4641" s="404" t="s">
        <v>4668</v>
      </c>
      <c r="B4641" s="385" t="s">
        <v>4345</v>
      </c>
      <c r="C4641" s="385" t="s">
        <v>4345</v>
      </c>
      <c r="D4641" s="390" t="s">
        <v>303</v>
      </c>
      <c r="E4641" s="384" t="s">
        <v>4346</v>
      </c>
      <c r="F4641" s="385">
        <v>5306</v>
      </c>
      <c r="G4641" s="401" t="s">
        <v>455</v>
      </c>
      <c r="H4641" s="404">
        <v>3421</v>
      </c>
      <c r="I4641" s="402" t="s">
        <v>1</v>
      </c>
      <c r="J4641" s="406" t="s">
        <v>272</v>
      </c>
      <c r="K4641" s="403">
        <v>41795</v>
      </c>
      <c r="L4641" s="398">
        <v>41789</v>
      </c>
      <c r="M4641" s="402">
        <f t="shared" si="268"/>
        <v>6</v>
      </c>
      <c r="N4641" s="402" t="s">
        <v>2</v>
      </c>
      <c r="O4641" s="404"/>
      <c r="P4641" s="402"/>
      <c r="Q4641" s="404"/>
      <c r="R4641" s="402"/>
      <c r="S4641" s="404"/>
      <c r="T4641" s="402"/>
      <c r="U4641" s="395"/>
      <c r="V4641" s="402"/>
      <c r="W4641" s="404"/>
      <c r="X4641" s="402"/>
      <c r="Y4641" s="404"/>
      <c r="Z4641" s="397"/>
      <c r="AA4641" s="399"/>
      <c r="AB4641" s="394"/>
      <c r="AC4641" s="402"/>
      <c r="AD4641" s="399"/>
      <c r="AE4641" s="402"/>
      <c r="AF4641" s="391"/>
      <c r="AG4641" s="394"/>
      <c r="AH4641" s="394"/>
      <c r="AI4641" s="394">
        <v>220</v>
      </c>
      <c r="AJ4641" s="394"/>
      <c r="AK4641" s="394"/>
      <c r="AL4641" s="394"/>
      <c r="AM4641" s="394"/>
      <c r="AN4641" s="394"/>
      <c r="AO4641" s="394"/>
      <c r="AP4641" s="394"/>
      <c r="AQ4641" s="394"/>
      <c r="AR4641" s="394"/>
      <c r="AS4641" s="402"/>
      <c r="AT4641" s="404"/>
      <c r="AU4641" s="394"/>
      <c r="AV4641" s="394"/>
    </row>
    <row r="4642" spans="1:48" ht="15" customHeight="1">
      <c r="A4642" s="404" t="s">
        <v>4668</v>
      </c>
      <c r="B4642" s="402" t="s">
        <v>4063</v>
      </c>
      <c r="C4642" s="402" t="s">
        <v>4064</v>
      </c>
      <c r="D4642" s="405" t="s">
        <v>1683</v>
      </c>
      <c r="E4642" s="404" t="s">
        <v>304</v>
      </c>
      <c r="F4642" s="402">
        <v>6000</v>
      </c>
      <c r="G4642" s="401" t="s">
        <v>4065</v>
      </c>
      <c r="H4642" s="404">
        <v>5952</v>
      </c>
      <c r="I4642" s="402" t="s">
        <v>2</v>
      </c>
      <c r="J4642" s="406" t="s">
        <v>641</v>
      </c>
      <c r="K4642" s="403">
        <v>41843</v>
      </c>
      <c r="L4642" s="398">
        <v>41836</v>
      </c>
      <c r="M4642" s="402">
        <f t="shared" si="268"/>
        <v>7</v>
      </c>
      <c r="N4642" s="402" t="s">
        <v>2</v>
      </c>
      <c r="O4642" s="404">
        <v>1.8</v>
      </c>
      <c r="P4642" s="402">
        <v>6.43</v>
      </c>
      <c r="Q4642" s="404">
        <v>7.3</v>
      </c>
      <c r="R4642" s="402">
        <v>21.8</v>
      </c>
      <c r="S4642" s="404">
        <v>26</v>
      </c>
      <c r="T4642" s="402">
        <v>0.46</v>
      </c>
      <c r="U4642" s="395">
        <v>3.44</v>
      </c>
      <c r="V4642" s="402">
        <v>0.55000000000000004</v>
      </c>
      <c r="W4642" s="404">
        <v>0.04</v>
      </c>
      <c r="X4642" s="402">
        <v>0.31</v>
      </c>
      <c r="Y4642" s="404">
        <f>0.02/2</f>
        <v>0.01</v>
      </c>
      <c r="Z4642" s="397"/>
      <c r="AA4642" s="399"/>
      <c r="AB4642" s="394"/>
      <c r="AC4642" s="402"/>
      <c r="AD4642" s="399"/>
      <c r="AE4642" s="402"/>
      <c r="AF4642" s="391"/>
      <c r="AG4642" s="394"/>
      <c r="AH4642" s="394"/>
      <c r="AI4642" s="394"/>
      <c r="AJ4642" s="394"/>
      <c r="AK4642" s="394"/>
      <c r="AL4642" s="394"/>
      <c r="AM4642" s="394"/>
      <c r="AN4642" s="394"/>
      <c r="AO4642" s="394"/>
      <c r="AP4642" s="394"/>
      <c r="AQ4642" s="394"/>
      <c r="AR4642" s="394"/>
      <c r="AS4642" s="402"/>
      <c r="AT4642" s="404"/>
      <c r="AU4642" s="394"/>
      <c r="AV4642" s="394"/>
    </row>
    <row r="4643" spans="1:48" ht="15" customHeight="1">
      <c r="A4643" s="404" t="s">
        <v>4668</v>
      </c>
      <c r="B4643" s="402" t="s">
        <v>2317</v>
      </c>
      <c r="C4643" s="402" t="s">
        <v>2317</v>
      </c>
      <c r="D4643" s="405" t="s">
        <v>268</v>
      </c>
      <c r="E4643" s="404" t="s">
        <v>269</v>
      </c>
      <c r="F4643" s="402">
        <v>4403</v>
      </c>
      <c r="G4643" s="401" t="s">
        <v>2318</v>
      </c>
      <c r="H4643" s="404">
        <v>3471</v>
      </c>
      <c r="I4643" s="402" t="s">
        <v>2</v>
      </c>
      <c r="J4643" s="406" t="s">
        <v>249</v>
      </c>
      <c r="K4643" s="403">
        <v>41834</v>
      </c>
      <c r="L4643" s="398">
        <v>41824</v>
      </c>
      <c r="M4643" s="402">
        <f t="shared" si="268"/>
        <v>10</v>
      </c>
      <c r="N4643" s="402" t="s">
        <v>2</v>
      </c>
      <c r="O4643" s="404"/>
      <c r="P4643" s="402"/>
      <c r="Q4643" s="404"/>
      <c r="R4643" s="402"/>
      <c r="S4643" s="404"/>
      <c r="T4643" s="402"/>
      <c r="U4643" s="395"/>
      <c r="V4643" s="402">
        <v>0.48</v>
      </c>
      <c r="W4643" s="404"/>
      <c r="X4643" s="402">
        <v>7.5999999999999998E-2</v>
      </c>
      <c r="Y4643" s="404"/>
      <c r="Z4643" s="397"/>
      <c r="AA4643" s="399"/>
      <c r="AB4643" s="394"/>
      <c r="AC4643" s="402"/>
      <c r="AD4643" s="399"/>
      <c r="AE4643" s="402"/>
      <c r="AF4643" s="391"/>
      <c r="AG4643" s="394"/>
      <c r="AH4643" s="394"/>
      <c r="AI4643" s="394"/>
      <c r="AJ4643" s="394"/>
      <c r="AK4643" s="394"/>
      <c r="AL4643" s="394"/>
      <c r="AM4643" s="394"/>
      <c r="AN4643" s="394"/>
      <c r="AO4643" s="394"/>
      <c r="AP4643" s="394"/>
      <c r="AQ4643" s="394"/>
      <c r="AR4643" s="394"/>
      <c r="AS4643" s="402"/>
      <c r="AT4643" s="404"/>
      <c r="AU4643" s="394"/>
      <c r="AV4643" s="394"/>
    </row>
    <row r="4644" spans="1:48" ht="15" customHeight="1">
      <c r="A4644" s="404" t="s">
        <v>4668</v>
      </c>
      <c r="B4644" s="402" t="s">
        <v>2317</v>
      </c>
      <c r="C4644" s="402" t="s">
        <v>2317</v>
      </c>
      <c r="D4644" s="405" t="s">
        <v>268</v>
      </c>
      <c r="E4644" s="404" t="s">
        <v>269</v>
      </c>
      <c r="F4644" s="402">
        <v>4403</v>
      </c>
      <c r="G4644" s="401" t="s">
        <v>2318</v>
      </c>
      <c r="H4644" s="404">
        <v>3471</v>
      </c>
      <c r="I4644" s="402" t="s">
        <v>2</v>
      </c>
      <c r="J4644" s="406" t="s">
        <v>1999</v>
      </c>
      <c r="K4644" s="403">
        <v>41834</v>
      </c>
      <c r="L4644" s="398">
        <v>41824</v>
      </c>
      <c r="M4644" s="402">
        <f t="shared" si="268"/>
        <v>10</v>
      </c>
      <c r="N4644" s="402" t="s">
        <v>2</v>
      </c>
      <c r="O4644" s="404"/>
      <c r="P4644" s="402"/>
      <c r="Q4644" s="404"/>
      <c r="R4644" s="402"/>
      <c r="S4644" s="404"/>
      <c r="T4644" s="402"/>
      <c r="U4644" s="395"/>
      <c r="V4644" s="402">
        <v>0.97</v>
      </c>
      <c r="W4644" s="404"/>
      <c r="X4644" s="402">
        <v>0.13100000000000001</v>
      </c>
      <c r="Y4644" s="404"/>
      <c r="Z4644" s="397"/>
      <c r="AA4644" s="399"/>
      <c r="AB4644" s="394"/>
      <c r="AC4644" s="402"/>
      <c r="AD4644" s="399"/>
      <c r="AE4644" s="402"/>
      <c r="AF4644" s="391"/>
      <c r="AG4644" s="394"/>
      <c r="AH4644" s="394"/>
      <c r="AI4644" s="394"/>
      <c r="AJ4644" s="394"/>
      <c r="AK4644" s="394"/>
      <c r="AL4644" s="394"/>
      <c r="AM4644" s="394"/>
      <c r="AN4644" s="394"/>
      <c r="AO4644" s="394"/>
      <c r="AP4644" s="394"/>
      <c r="AQ4644" s="394"/>
      <c r="AR4644" s="394"/>
      <c r="AS4644" s="402"/>
      <c r="AT4644" s="404"/>
      <c r="AU4644" s="394"/>
      <c r="AV4644" s="394"/>
    </row>
    <row r="4645" spans="1:48" ht="15" customHeight="1">
      <c r="A4645" s="404" t="s">
        <v>4668</v>
      </c>
      <c r="B4645" s="402" t="s">
        <v>5416</v>
      </c>
      <c r="C4645" s="391" t="s">
        <v>5416</v>
      </c>
      <c r="D4645" s="393" t="s">
        <v>1490</v>
      </c>
      <c r="E4645" s="391" t="s">
        <v>5431</v>
      </c>
      <c r="G4645" s="401" t="s">
        <v>5417</v>
      </c>
      <c r="H4645" s="402">
        <v>1460</v>
      </c>
      <c r="I4645" s="402" t="s">
        <v>2</v>
      </c>
      <c r="J4645" s="401" t="s">
        <v>5432</v>
      </c>
      <c r="K4645" s="379">
        <v>41848</v>
      </c>
      <c r="L4645" s="366">
        <v>41844</v>
      </c>
      <c r="M4645" s="402">
        <f t="shared" si="268"/>
        <v>4</v>
      </c>
      <c r="N4645" s="113" t="s">
        <v>2</v>
      </c>
      <c r="O4645" s="404">
        <f>3.3/2</f>
        <v>1.65</v>
      </c>
      <c r="P4645" s="402">
        <v>6</v>
      </c>
      <c r="Q4645" s="404">
        <v>7.3</v>
      </c>
      <c r="R4645" s="402">
        <v>160</v>
      </c>
      <c r="S4645" s="404">
        <v>660</v>
      </c>
      <c r="T4645" s="402">
        <v>0.89</v>
      </c>
      <c r="U4645" s="395">
        <v>1.5</v>
      </c>
      <c r="V4645" s="402">
        <v>0.4</v>
      </c>
      <c r="W4645" s="404">
        <v>4.4999999999999998E-2</v>
      </c>
      <c r="X4645" s="402">
        <v>0.14000000000000001</v>
      </c>
      <c r="Y4645" s="404">
        <v>1.7000000000000001E-2</v>
      </c>
      <c r="Z4645" s="397">
        <v>1</v>
      </c>
      <c r="AA4645" s="399">
        <v>1</v>
      </c>
      <c r="AB4645" s="394">
        <v>50</v>
      </c>
      <c r="AC4645" s="402">
        <v>132</v>
      </c>
      <c r="AD4645" s="399">
        <v>1</v>
      </c>
      <c r="AE4645" s="402"/>
      <c r="AF4645" s="391"/>
      <c r="AG4645" s="394"/>
      <c r="AH4645" s="394"/>
      <c r="AI4645" s="394"/>
      <c r="AJ4645" s="394"/>
      <c r="AK4645" s="394"/>
      <c r="AL4645" s="394"/>
      <c r="AM4645" s="394"/>
      <c r="AN4645" s="394"/>
      <c r="AO4645" s="394"/>
      <c r="AP4645" s="394"/>
      <c r="AQ4645" s="394"/>
      <c r="AR4645" s="394"/>
      <c r="AS4645" s="402"/>
      <c r="AT4645" s="404"/>
      <c r="AU4645" s="394"/>
      <c r="AV4645" s="394"/>
    </row>
    <row r="4646" spans="1:48" ht="15" customHeight="1">
      <c r="A4646" s="404" t="s">
        <v>4668</v>
      </c>
      <c r="B4646" s="402" t="s">
        <v>3282</v>
      </c>
      <c r="C4646" s="402" t="s">
        <v>3282</v>
      </c>
      <c r="D4646" s="405" t="s">
        <v>213</v>
      </c>
      <c r="E4646" s="404" t="s">
        <v>671</v>
      </c>
      <c r="F4646" s="402" t="s">
        <v>3258</v>
      </c>
      <c r="G4646" s="401" t="s">
        <v>3259</v>
      </c>
      <c r="H4646" s="404">
        <v>3829</v>
      </c>
      <c r="I4646" s="402" t="s">
        <v>2</v>
      </c>
      <c r="J4646" s="406" t="s">
        <v>700</v>
      </c>
      <c r="K4646" s="403">
        <v>41809</v>
      </c>
      <c r="L4646" s="398">
        <v>41803</v>
      </c>
      <c r="M4646" s="402">
        <f t="shared" si="268"/>
        <v>6</v>
      </c>
      <c r="N4646" s="402" t="s">
        <v>2</v>
      </c>
      <c r="O4646" s="404"/>
      <c r="P4646" s="402"/>
      <c r="Q4646" s="404"/>
      <c r="R4646" s="402">
        <v>420</v>
      </c>
      <c r="S4646" s="404"/>
      <c r="T4646" s="402"/>
      <c r="U4646" s="395"/>
      <c r="V4646" s="402"/>
      <c r="W4646" s="404"/>
      <c r="X4646" s="402"/>
      <c r="Y4646" s="404"/>
      <c r="Z4646" s="397"/>
      <c r="AA4646" s="399"/>
      <c r="AB4646" s="394"/>
      <c r="AC4646" s="402"/>
      <c r="AD4646" s="399"/>
      <c r="AE4646" s="402"/>
      <c r="AF4646" s="391"/>
      <c r="AG4646" s="394"/>
      <c r="AH4646" s="394"/>
      <c r="AI4646" s="394"/>
      <c r="AJ4646" s="394"/>
      <c r="AK4646" s="394"/>
      <c r="AL4646" s="394"/>
      <c r="AM4646" s="394"/>
      <c r="AN4646" s="394"/>
      <c r="AO4646" s="394"/>
      <c r="AP4646" s="394"/>
      <c r="AQ4646" s="394"/>
      <c r="AR4646" s="394"/>
      <c r="AS4646" s="402"/>
      <c r="AT4646" s="404"/>
      <c r="AU4646" s="394"/>
      <c r="AV4646" s="394"/>
    </row>
    <row r="4647" spans="1:48" ht="15" customHeight="1">
      <c r="A4647" s="404" t="s">
        <v>4668</v>
      </c>
      <c r="B4647" s="402" t="s">
        <v>438</v>
      </c>
      <c r="C4647" s="402" t="s">
        <v>4863</v>
      </c>
      <c r="D4647" s="405" t="s">
        <v>251</v>
      </c>
      <c r="E4647" s="404" t="s">
        <v>4864</v>
      </c>
      <c r="F4647" s="402">
        <v>4402</v>
      </c>
      <c r="G4647" s="401" t="s">
        <v>440</v>
      </c>
      <c r="H4647" s="404">
        <v>3471</v>
      </c>
      <c r="I4647" s="402" t="s">
        <v>2</v>
      </c>
      <c r="J4647" s="406" t="s">
        <v>4865</v>
      </c>
      <c r="K4647" s="403">
        <v>41795</v>
      </c>
      <c r="L4647" s="398">
        <v>41789</v>
      </c>
      <c r="M4647" s="402">
        <f t="shared" si="268"/>
        <v>6</v>
      </c>
      <c r="N4647" s="402" t="s">
        <v>2</v>
      </c>
      <c r="O4647" s="404"/>
      <c r="P4647" s="402"/>
      <c r="Q4647" s="404"/>
      <c r="R4647" s="402"/>
      <c r="S4647" s="404"/>
      <c r="T4647" s="402"/>
      <c r="U4647" s="395"/>
      <c r="V4647" s="402"/>
      <c r="W4647" s="404">
        <v>5.5E-2</v>
      </c>
      <c r="X4647" s="402">
        <v>0.11700000000000001</v>
      </c>
      <c r="Y4647" s="404"/>
      <c r="Z4647" s="397"/>
      <c r="AA4647" s="399"/>
      <c r="AB4647" s="394"/>
      <c r="AC4647" s="402"/>
      <c r="AD4647" s="399"/>
      <c r="AE4647" s="402"/>
      <c r="AF4647" s="391"/>
      <c r="AG4647" s="394"/>
      <c r="AH4647" s="394"/>
      <c r="AI4647" s="394"/>
      <c r="AJ4647" s="394"/>
      <c r="AK4647" s="394"/>
      <c r="AL4647" s="394"/>
      <c r="AM4647" s="394"/>
      <c r="AN4647" s="394"/>
      <c r="AO4647" s="394"/>
      <c r="AP4647" s="394"/>
      <c r="AQ4647" s="394"/>
      <c r="AR4647" s="394"/>
      <c r="AS4647" s="402"/>
      <c r="AT4647" s="404"/>
      <c r="AU4647" s="394"/>
      <c r="AV4647" s="394"/>
    </row>
    <row r="4648" spans="1:48" ht="15" customHeight="1">
      <c r="A4648" s="404" t="s">
        <v>4668</v>
      </c>
      <c r="B4648" s="402" t="s">
        <v>3584</v>
      </c>
      <c r="C4648" s="402" t="s">
        <v>3584</v>
      </c>
      <c r="D4648" s="405" t="s">
        <v>276</v>
      </c>
      <c r="E4648" s="404" t="s">
        <v>214</v>
      </c>
      <c r="F4648" s="401" t="s">
        <v>6611</v>
      </c>
      <c r="G4648" s="401" t="s">
        <v>3585</v>
      </c>
      <c r="H4648" s="404">
        <v>3471</v>
      </c>
      <c r="I4648" s="402" t="s">
        <v>1</v>
      </c>
      <c r="J4648" s="406" t="s">
        <v>255</v>
      </c>
      <c r="K4648" s="403">
        <v>41843</v>
      </c>
      <c r="L4648" s="398">
        <v>41835</v>
      </c>
      <c r="M4648" s="402">
        <f t="shared" si="268"/>
        <v>8</v>
      </c>
      <c r="N4648" s="402" t="s">
        <v>2</v>
      </c>
      <c r="O4648" s="404">
        <f>1.9/2</f>
        <v>0.95</v>
      </c>
      <c r="P4648" s="402">
        <v>6.8</v>
      </c>
      <c r="Q4648" s="404">
        <v>6.3</v>
      </c>
      <c r="R4648" s="402">
        <f>20/2</f>
        <v>10</v>
      </c>
      <c r="S4648" s="404">
        <v>20.8</v>
      </c>
      <c r="T4648" s="402">
        <v>0.10100000000000001</v>
      </c>
      <c r="U4648" s="395">
        <v>0.32</v>
      </c>
      <c r="V4648" s="402">
        <f>0.46/2</f>
        <v>0.23</v>
      </c>
      <c r="W4648" s="404">
        <v>6.0000000000000001E-3</v>
      </c>
      <c r="X4648" s="402">
        <v>9.7000000000000003E-2</v>
      </c>
      <c r="Y4648" s="404">
        <f>0.005/2</f>
        <v>2.5000000000000001E-3</v>
      </c>
      <c r="Z4648" s="397"/>
      <c r="AA4648" s="399"/>
      <c r="AB4648" s="394"/>
      <c r="AC4648" s="402"/>
      <c r="AD4648" s="399"/>
      <c r="AE4648" s="402"/>
      <c r="AF4648" s="391"/>
      <c r="AG4648" s="394"/>
      <c r="AH4648" s="394"/>
      <c r="AI4648" s="394"/>
      <c r="AJ4648" s="394"/>
      <c r="AK4648" s="394"/>
      <c r="AL4648" s="394"/>
      <c r="AM4648" s="394"/>
      <c r="AN4648" s="394"/>
      <c r="AO4648" s="394"/>
      <c r="AP4648" s="394"/>
      <c r="AQ4648" s="394"/>
      <c r="AR4648" s="394"/>
      <c r="AS4648" s="402"/>
      <c r="AT4648" s="404"/>
      <c r="AU4648" s="394"/>
      <c r="AV4648" s="394"/>
    </row>
    <row r="4649" spans="1:48" ht="15" customHeight="1">
      <c r="A4649" s="404" t="s">
        <v>4668</v>
      </c>
      <c r="B4649" s="402" t="s">
        <v>355</v>
      </c>
      <c r="C4649" s="402" t="s">
        <v>355</v>
      </c>
      <c r="D4649" s="405" t="s">
        <v>356</v>
      </c>
      <c r="E4649" s="394" t="s">
        <v>359</v>
      </c>
      <c r="F4649" s="401" t="s">
        <v>6612</v>
      </c>
      <c r="G4649" s="401" t="s">
        <v>358</v>
      </c>
      <c r="H4649" s="404">
        <v>3479</v>
      </c>
      <c r="I4649" s="402" t="s">
        <v>2</v>
      </c>
      <c r="J4649" s="406" t="s">
        <v>357</v>
      </c>
      <c r="K4649" s="403">
        <v>41864</v>
      </c>
      <c r="L4649" s="398" t="s">
        <v>5380</v>
      </c>
      <c r="M4649" s="402"/>
      <c r="N4649" s="402" t="s">
        <v>2</v>
      </c>
      <c r="O4649" s="404"/>
      <c r="P4649" s="402"/>
      <c r="Q4649" s="404"/>
      <c r="R4649" s="402"/>
      <c r="S4649" s="404"/>
      <c r="T4649" s="402"/>
      <c r="U4649" s="395"/>
      <c r="V4649" s="402"/>
      <c r="W4649" s="404"/>
      <c r="X4649" s="402">
        <v>0.2</v>
      </c>
      <c r="Y4649" s="404"/>
      <c r="Z4649" s="397"/>
      <c r="AA4649" s="399"/>
      <c r="AB4649" s="394"/>
      <c r="AC4649" s="402"/>
      <c r="AD4649" s="399"/>
      <c r="AE4649" s="402"/>
      <c r="AF4649" s="391"/>
      <c r="AG4649" s="394"/>
      <c r="AH4649" s="394"/>
      <c r="AI4649" s="394"/>
      <c r="AJ4649" s="394"/>
      <c r="AK4649" s="394"/>
      <c r="AL4649" s="394"/>
      <c r="AM4649" s="394"/>
      <c r="AN4649" s="394"/>
      <c r="AO4649" s="394"/>
      <c r="AP4649" s="394"/>
      <c r="AQ4649" s="394"/>
      <c r="AR4649" s="394"/>
      <c r="AS4649" s="402"/>
      <c r="AT4649" s="404"/>
      <c r="AU4649" s="394"/>
      <c r="AV4649" s="394"/>
    </row>
    <row r="4650" spans="1:48" ht="15" customHeight="1">
      <c r="A4650" s="404" t="s">
        <v>4668</v>
      </c>
      <c r="B4650" s="402" t="s">
        <v>355</v>
      </c>
      <c r="C4650" s="402" t="s">
        <v>355</v>
      </c>
      <c r="D4650" s="405" t="s">
        <v>356</v>
      </c>
      <c r="E4650" s="394" t="s">
        <v>359</v>
      </c>
      <c r="F4650" s="401" t="s">
        <v>6612</v>
      </c>
      <c r="G4650" s="401" t="s">
        <v>358</v>
      </c>
      <c r="H4650" s="404">
        <v>3479</v>
      </c>
      <c r="I4650" s="402" t="s">
        <v>2</v>
      </c>
      <c r="J4650" s="406" t="s">
        <v>357</v>
      </c>
      <c r="K4650" s="403">
        <v>41728</v>
      </c>
      <c r="L4650" s="398" t="s">
        <v>5380</v>
      </c>
      <c r="M4650" s="402"/>
      <c r="N4650" s="402" t="s">
        <v>2</v>
      </c>
      <c r="O4650" s="404"/>
      <c r="P4650" s="402">
        <v>8.48</v>
      </c>
      <c r="Q4650" s="404">
        <v>8.2899999999999991</v>
      </c>
      <c r="R4650" s="402"/>
      <c r="S4650" s="404"/>
      <c r="T4650" s="402"/>
      <c r="U4650" s="395"/>
      <c r="V4650" s="402"/>
      <c r="W4650" s="404"/>
      <c r="X4650" s="402">
        <v>1.4999999999999999E-2</v>
      </c>
      <c r="Y4650" s="404"/>
      <c r="Z4650" s="397"/>
      <c r="AA4650" s="399"/>
      <c r="AB4650" s="394"/>
      <c r="AC4650" s="402"/>
      <c r="AD4650" s="399"/>
      <c r="AE4650" s="402"/>
      <c r="AF4650" s="391"/>
      <c r="AG4650" s="394"/>
      <c r="AH4650" s="394"/>
      <c r="AI4650" s="394"/>
      <c r="AJ4650" s="394"/>
      <c r="AK4650" s="394"/>
      <c r="AL4650" s="394"/>
      <c r="AM4650" s="394"/>
      <c r="AN4650" s="394"/>
      <c r="AO4650" s="394"/>
      <c r="AP4650" s="394"/>
      <c r="AQ4650" s="394"/>
      <c r="AR4650" s="394"/>
      <c r="AS4650" s="402"/>
      <c r="AT4650" s="404"/>
      <c r="AU4650" s="394"/>
      <c r="AV4650" s="394"/>
    </row>
    <row r="4651" spans="1:48" ht="15" customHeight="1">
      <c r="A4651" s="404" t="s">
        <v>4668</v>
      </c>
      <c r="B4651" s="402" t="s">
        <v>355</v>
      </c>
      <c r="C4651" s="402" t="s">
        <v>355</v>
      </c>
      <c r="D4651" s="405" t="s">
        <v>356</v>
      </c>
      <c r="E4651" s="394" t="s">
        <v>359</v>
      </c>
      <c r="F4651" s="401" t="s">
        <v>6612</v>
      </c>
      <c r="G4651" s="401" t="s">
        <v>358</v>
      </c>
      <c r="H4651" s="404">
        <v>3479</v>
      </c>
      <c r="I4651" s="402" t="s">
        <v>2</v>
      </c>
      <c r="J4651" s="406" t="s">
        <v>360</v>
      </c>
      <c r="K4651" s="403">
        <v>41728</v>
      </c>
      <c r="L4651" s="398" t="s">
        <v>5380</v>
      </c>
      <c r="M4651" s="402"/>
      <c r="N4651" s="402" t="s">
        <v>2</v>
      </c>
      <c r="O4651" s="404"/>
      <c r="P4651" s="402">
        <v>8.48</v>
      </c>
      <c r="Q4651" s="404">
        <v>8.59</v>
      </c>
      <c r="R4651" s="402"/>
      <c r="S4651" s="404"/>
      <c r="T4651" s="402"/>
      <c r="U4651" s="395"/>
      <c r="V4651" s="402"/>
      <c r="W4651" s="404"/>
      <c r="X4651" s="402"/>
      <c r="Y4651" s="404"/>
      <c r="Z4651" s="397"/>
      <c r="AA4651" s="399"/>
      <c r="AB4651" s="394"/>
      <c r="AC4651" s="402"/>
      <c r="AD4651" s="399"/>
      <c r="AE4651" s="402"/>
      <c r="AF4651" s="391"/>
      <c r="AG4651" s="394"/>
      <c r="AH4651" s="394"/>
      <c r="AI4651" s="394"/>
      <c r="AJ4651" s="394"/>
      <c r="AK4651" s="394"/>
      <c r="AL4651" s="394"/>
      <c r="AM4651" s="394"/>
      <c r="AN4651" s="394"/>
      <c r="AO4651" s="394"/>
      <c r="AP4651" s="394"/>
      <c r="AQ4651" s="394"/>
      <c r="AR4651" s="394"/>
      <c r="AS4651" s="402"/>
      <c r="AT4651" s="404"/>
      <c r="AU4651" s="394"/>
      <c r="AV4651" s="394"/>
    </row>
    <row r="4652" spans="1:48" ht="15" customHeight="1">
      <c r="A4652" s="404" t="s">
        <v>4668</v>
      </c>
      <c r="B4652" s="402" t="s">
        <v>355</v>
      </c>
      <c r="C4652" s="402" t="s">
        <v>355</v>
      </c>
      <c r="D4652" s="405" t="s">
        <v>356</v>
      </c>
      <c r="E4652" s="394" t="s">
        <v>359</v>
      </c>
      <c r="F4652" s="401" t="s">
        <v>6612</v>
      </c>
      <c r="G4652" s="401" t="s">
        <v>358</v>
      </c>
      <c r="H4652" s="404">
        <v>3479</v>
      </c>
      <c r="I4652" s="402" t="s">
        <v>2</v>
      </c>
      <c r="J4652" s="406" t="s">
        <v>361</v>
      </c>
      <c r="K4652" s="403">
        <v>41728</v>
      </c>
      <c r="L4652" s="398" t="s">
        <v>5380</v>
      </c>
      <c r="M4652" s="402"/>
      <c r="N4652" s="402" t="s">
        <v>2</v>
      </c>
      <c r="O4652" s="404"/>
      <c r="P4652" s="402">
        <v>8.48</v>
      </c>
      <c r="Q4652" s="404">
        <v>7.98</v>
      </c>
      <c r="R4652" s="402"/>
      <c r="S4652" s="404"/>
      <c r="T4652" s="402"/>
      <c r="U4652" s="395"/>
      <c r="V4652" s="402"/>
      <c r="W4652" s="404"/>
      <c r="X4652" s="402"/>
      <c r="Y4652" s="404"/>
      <c r="Z4652" s="397"/>
      <c r="AA4652" s="399"/>
      <c r="AB4652" s="394"/>
      <c r="AC4652" s="402"/>
      <c r="AD4652" s="399"/>
      <c r="AE4652" s="402"/>
      <c r="AF4652" s="391"/>
      <c r="AG4652" s="394"/>
      <c r="AH4652" s="394"/>
      <c r="AI4652" s="394"/>
      <c r="AJ4652" s="394"/>
      <c r="AK4652" s="394"/>
      <c r="AL4652" s="394"/>
      <c r="AM4652" s="394"/>
      <c r="AN4652" s="394"/>
      <c r="AO4652" s="394"/>
      <c r="AP4652" s="394"/>
      <c r="AQ4652" s="394"/>
      <c r="AR4652" s="394"/>
      <c r="AS4652" s="402"/>
      <c r="AT4652" s="404"/>
      <c r="AU4652" s="394"/>
      <c r="AV4652" s="394"/>
    </row>
    <row r="4653" spans="1:48" ht="15" customHeight="1">
      <c r="A4653" s="404" t="s">
        <v>4668</v>
      </c>
      <c r="B4653" s="402" t="s">
        <v>1381</v>
      </c>
      <c r="C4653" s="402" t="s">
        <v>2000</v>
      </c>
      <c r="D4653" s="405" t="s">
        <v>200</v>
      </c>
      <c r="E4653" s="404" t="s">
        <v>214</v>
      </c>
      <c r="F4653" s="401" t="s">
        <v>6613</v>
      </c>
      <c r="G4653" s="401" t="s">
        <v>2840</v>
      </c>
      <c r="H4653" s="404">
        <v>4952</v>
      </c>
      <c r="I4653" s="402" t="s">
        <v>1</v>
      </c>
      <c r="J4653" s="406" t="s">
        <v>2841</v>
      </c>
      <c r="K4653" s="403">
        <v>41864</v>
      </c>
      <c r="L4653" s="398">
        <v>41853</v>
      </c>
      <c r="M4653" s="402">
        <f t="shared" ref="M4653:M4668" si="269">K4653-L4653</f>
        <v>11</v>
      </c>
      <c r="N4653" s="402" t="s">
        <v>2</v>
      </c>
      <c r="O4653" s="404">
        <f>1.4/2</f>
        <v>0.7</v>
      </c>
      <c r="P4653" s="402">
        <v>6.09</v>
      </c>
      <c r="Q4653" s="404">
        <v>7.64</v>
      </c>
      <c r="R4653" s="402">
        <v>21</v>
      </c>
      <c r="S4653" s="404">
        <v>6.5</v>
      </c>
      <c r="T4653" s="402">
        <v>1.17</v>
      </c>
      <c r="U4653" s="395">
        <v>1.27</v>
      </c>
      <c r="V4653" s="402">
        <v>1.23</v>
      </c>
      <c r="W4653" s="404">
        <v>1.2999999999999999E-2</v>
      </c>
      <c r="X4653" s="402">
        <v>3.5000000000000003E-2</v>
      </c>
      <c r="Y4653" s="404">
        <f>0.002/2</f>
        <v>1E-3</v>
      </c>
      <c r="Z4653" s="397"/>
      <c r="AA4653" s="399"/>
      <c r="AB4653" s="394"/>
      <c r="AC4653" s="402"/>
      <c r="AD4653" s="399"/>
      <c r="AE4653" s="402">
        <v>6870</v>
      </c>
      <c r="AF4653" s="391"/>
      <c r="AG4653" s="394"/>
      <c r="AH4653" s="394"/>
      <c r="AI4653" s="394"/>
      <c r="AJ4653" s="394"/>
      <c r="AK4653" s="394"/>
      <c r="AL4653" s="394"/>
      <c r="AM4653" s="394"/>
      <c r="AN4653" s="394"/>
      <c r="AO4653" s="394"/>
      <c r="AP4653" s="394"/>
      <c r="AQ4653" s="394"/>
      <c r="AR4653" s="394"/>
      <c r="AS4653" s="402"/>
      <c r="AT4653" s="404"/>
      <c r="AU4653" s="394"/>
      <c r="AV4653" s="394"/>
    </row>
    <row r="4654" spans="1:48" ht="15" customHeight="1">
      <c r="A4654" s="404" t="s">
        <v>4668</v>
      </c>
      <c r="B4654" s="402" t="s">
        <v>1381</v>
      </c>
      <c r="C4654" s="402" t="s">
        <v>2000</v>
      </c>
      <c r="D4654" s="405" t="s">
        <v>200</v>
      </c>
      <c r="E4654" s="404" t="s">
        <v>214</v>
      </c>
      <c r="F4654" s="401" t="s">
        <v>6613</v>
      </c>
      <c r="G4654" s="401" t="s">
        <v>2840</v>
      </c>
      <c r="H4654" s="404">
        <v>4952</v>
      </c>
      <c r="I4654" s="402" t="s">
        <v>1</v>
      </c>
      <c r="J4654" s="406" t="s">
        <v>2842</v>
      </c>
      <c r="K4654" s="403">
        <v>41864</v>
      </c>
      <c r="L4654" s="398">
        <v>41853</v>
      </c>
      <c r="M4654" s="402">
        <f t="shared" si="269"/>
        <v>11</v>
      </c>
      <c r="N4654" s="402" t="s">
        <v>2</v>
      </c>
      <c r="O4654" s="404">
        <f>1.4/2</f>
        <v>0.7</v>
      </c>
      <c r="P4654" s="402">
        <v>6.09</v>
      </c>
      <c r="Q4654" s="404">
        <v>6.72</v>
      </c>
      <c r="R4654" s="402">
        <f>10/2</f>
        <v>5</v>
      </c>
      <c r="S4654" s="404">
        <v>5.5</v>
      </c>
      <c r="T4654" s="402">
        <v>7.0000000000000007E-2</v>
      </c>
      <c r="U4654" s="395">
        <v>0.56999999999999995</v>
      </c>
      <c r="V4654" s="402">
        <v>0.1</v>
      </c>
      <c r="W4654" s="404">
        <f>0.005/2</f>
        <v>2.5000000000000001E-3</v>
      </c>
      <c r="X4654" s="402">
        <v>2.9000000000000001E-2</v>
      </c>
      <c r="Y4654" s="404">
        <f>0.002/2</f>
        <v>1E-3</v>
      </c>
      <c r="Z4654" s="397"/>
      <c r="AA4654" s="399"/>
      <c r="AB4654" s="394"/>
      <c r="AC4654" s="402"/>
      <c r="AD4654" s="399"/>
      <c r="AE4654" s="402">
        <v>90</v>
      </c>
      <c r="AF4654" s="391"/>
      <c r="AG4654" s="394"/>
      <c r="AH4654" s="394"/>
      <c r="AI4654" s="394"/>
      <c r="AJ4654" s="394"/>
      <c r="AK4654" s="394"/>
      <c r="AL4654" s="394"/>
      <c r="AM4654" s="394"/>
      <c r="AN4654" s="394"/>
      <c r="AO4654" s="394"/>
      <c r="AP4654" s="394"/>
      <c r="AQ4654" s="394"/>
      <c r="AR4654" s="394"/>
      <c r="AS4654" s="402"/>
      <c r="AT4654" s="404"/>
      <c r="AU4654" s="394"/>
      <c r="AV4654" s="394"/>
    </row>
    <row r="4655" spans="1:48" ht="15" customHeight="1">
      <c r="A4655" s="404" t="s">
        <v>4668</v>
      </c>
      <c r="B4655" s="402" t="s">
        <v>1381</v>
      </c>
      <c r="C4655" s="402" t="s">
        <v>2000</v>
      </c>
      <c r="D4655" s="405" t="s">
        <v>200</v>
      </c>
      <c r="E4655" s="404" t="s">
        <v>214</v>
      </c>
      <c r="F4655" s="401" t="s">
        <v>6613</v>
      </c>
      <c r="G4655" s="401" t="s">
        <v>2840</v>
      </c>
      <c r="H4655" s="404">
        <v>4952</v>
      </c>
      <c r="I4655" s="402" t="s">
        <v>1</v>
      </c>
      <c r="J4655" s="406" t="s">
        <v>2843</v>
      </c>
      <c r="K4655" s="403">
        <v>41864</v>
      </c>
      <c r="L4655" s="398">
        <v>41853</v>
      </c>
      <c r="M4655" s="402">
        <f t="shared" si="269"/>
        <v>11</v>
      </c>
      <c r="N4655" s="402" t="s">
        <v>2</v>
      </c>
      <c r="O4655" s="404">
        <f>1.4/2</f>
        <v>0.7</v>
      </c>
      <c r="P4655" s="402">
        <v>6.09</v>
      </c>
      <c r="Q4655" s="404">
        <v>5.34</v>
      </c>
      <c r="R4655" s="402">
        <v>18</v>
      </c>
      <c r="S4655" s="404">
        <v>7.5</v>
      </c>
      <c r="T4655" s="402">
        <v>0.01</v>
      </c>
      <c r="U4655" s="395">
        <v>0.28999999999999998</v>
      </c>
      <c r="V4655" s="402">
        <v>0.06</v>
      </c>
      <c r="W4655" s="404">
        <v>6.0000000000000001E-3</v>
      </c>
      <c r="X4655" s="402">
        <v>2.9000000000000001E-2</v>
      </c>
      <c r="Y4655" s="404">
        <v>1.2E-2</v>
      </c>
      <c r="Z4655" s="397"/>
      <c r="AA4655" s="399"/>
      <c r="AB4655" s="394"/>
      <c r="AC4655" s="402"/>
      <c r="AD4655" s="399"/>
      <c r="AE4655" s="402">
        <v>350</v>
      </c>
      <c r="AF4655" s="391"/>
      <c r="AG4655" s="394"/>
      <c r="AH4655" s="394"/>
      <c r="AI4655" s="394"/>
      <c r="AJ4655" s="394"/>
      <c r="AK4655" s="394"/>
      <c r="AL4655" s="394"/>
      <c r="AM4655" s="394"/>
      <c r="AN4655" s="394"/>
      <c r="AO4655" s="394"/>
      <c r="AP4655" s="394"/>
      <c r="AQ4655" s="394"/>
      <c r="AR4655" s="394"/>
      <c r="AS4655" s="402"/>
      <c r="AT4655" s="404"/>
      <c r="AU4655" s="394"/>
      <c r="AV4655" s="394"/>
    </row>
    <row r="4656" spans="1:48" ht="15" customHeight="1">
      <c r="A4656" s="404" t="s">
        <v>4668</v>
      </c>
      <c r="B4656" s="402" t="s">
        <v>1381</v>
      </c>
      <c r="C4656" s="402" t="s">
        <v>2000</v>
      </c>
      <c r="D4656" s="405" t="s">
        <v>200</v>
      </c>
      <c r="E4656" s="404" t="s">
        <v>214</v>
      </c>
      <c r="F4656" s="401" t="s">
        <v>6613</v>
      </c>
      <c r="G4656" s="401" t="s">
        <v>2840</v>
      </c>
      <c r="H4656" s="404">
        <v>4952</v>
      </c>
      <c r="I4656" s="402" t="s">
        <v>1</v>
      </c>
      <c r="J4656" s="406" t="s">
        <v>2844</v>
      </c>
      <c r="K4656" s="403">
        <v>41864</v>
      </c>
      <c r="L4656" s="398">
        <v>41853</v>
      </c>
      <c r="M4656" s="402">
        <f t="shared" si="269"/>
        <v>11</v>
      </c>
      <c r="N4656" s="402" t="s">
        <v>2</v>
      </c>
      <c r="O4656" s="404">
        <f>1.4/2</f>
        <v>0.7</v>
      </c>
      <c r="P4656" s="402">
        <v>6.09</v>
      </c>
      <c r="Q4656" s="404">
        <v>5.97</v>
      </c>
      <c r="R4656" s="402">
        <v>12</v>
      </c>
      <c r="S4656" s="404">
        <f>5/2</f>
        <v>2.5</v>
      </c>
      <c r="T4656" s="402">
        <v>7.0000000000000007E-2</v>
      </c>
      <c r="U4656" s="395">
        <v>0.48</v>
      </c>
      <c r="V4656" s="402">
        <v>0.05</v>
      </c>
      <c r="W4656" s="404">
        <v>8.9999999999999993E-3</v>
      </c>
      <c r="X4656" s="402">
        <v>2.4E-2</v>
      </c>
      <c r="Y4656" s="404">
        <v>2.4E-2</v>
      </c>
      <c r="Z4656" s="397"/>
      <c r="AA4656" s="399"/>
      <c r="AB4656" s="394"/>
      <c r="AC4656" s="402"/>
      <c r="AD4656" s="399"/>
      <c r="AE4656" s="402">
        <v>560</v>
      </c>
      <c r="AF4656" s="391"/>
      <c r="AG4656" s="394"/>
      <c r="AH4656" s="394"/>
      <c r="AI4656" s="394"/>
      <c r="AJ4656" s="394"/>
      <c r="AK4656" s="394"/>
      <c r="AL4656" s="394"/>
      <c r="AM4656" s="394"/>
      <c r="AN4656" s="394"/>
      <c r="AO4656" s="394"/>
      <c r="AP4656" s="394"/>
      <c r="AQ4656" s="394"/>
      <c r="AR4656" s="394"/>
      <c r="AS4656" s="402"/>
      <c r="AT4656" s="404"/>
      <c r="AU4656" s="394"/>
      <c r="AV4656" s="394"/>
    </row>
    <row r="4657" spans="1:48" ht="15" customHeight="1">
      <c r="A4657" s="404" t="s">
        <v>4668</v>
      </c>
      <c r="B4657" s="402" t="s">
        <v>4979</v>
      </c>
      <c r="C4657" s="402" t="s">
        <v>6343</v>
      </c>
      <c r="D4657" s="405" t="s">
        <v>262</v>
      </c>
      <c r="E4657" s="404" t="s">
        <v>578</v>
      </c>
      <c r="F4657" s="401" t="s">
        <v>6614</v>
      </c>
      <c r="G4657" s="401" t="s">
        <v>6344</v>
      </c>
      <c r="H4657" s="404">
        <v>5171</v>
      </c>
      <c r="I4657" s="402" t="s">
        <v>1</v>
      </c>
      <c r="J4657" s="406" t="s">
        <v>81</v>
      </c>
      <c r="K4657" s="403">
        <v>41767</v>
      </c>
      <c r="L4657" s="398">
        <v>41763</v>
      </c>
      <c r="M4657" s="402">
        <f t="shared" si="269"/>
        <v>4</v>
      </c>
      <c r="N4657" s="402" t="s">
        <v>2</v>
      </c>
      <c r="O4657" s="404">
        <f>5/2</f>
        <v>2.5</v>
      </c>
      <c r="P4657" s="402">
        <v>6.9</v>
      </c>
      <c r="Q4657" s="404">
        <v>8.06</v>
      </c>
      <c r="R4657" s="402">
        <v>47</v>
      </c>
      <c r="S4657" s="404">
        <v>9</v>
      </c>
      <c r="T4657" s="402">
        <f>0.1/2</f>
        <v>0.05</v>
      </c>
      <c r="U4657" s="395">
        <f>1/2</f>
        <v>0.5</v>
      </c>
      <c r="V4657" s="402">
        <v>10</v>
      </c>
      <c r="W4657" s="404">
        <f>0.04/2</f>
        <v>0.02</v>
      </c>
      <c r="X4657" s="402">
        <v>0.09</v>
      </c>
      <c r="Y4657" s="404">
        <f>0.013/2</f>
        <v>6.4999999999999997E-3</v>
      </c>
      <c r="Z4657" s="397"/>
      <c r="AA4657" s="399"/>
      <c r="AB4657" s="394"/>
      <c r="AC4657" s="402"/>
      <c r="AD4657" s="399"/>
      <c r="AE4657" s="402"/>
      <c r="AF4657" s="391"/>
      <c r="AG4657" s="394"/>
      <c r="AH4657" s="394"/>
      <c r="AI4657" s="394"/>
      <c r="AJ4657" s="394"/>
      <c r="AK4657" s="394"/>
      <c r="AL4657" s="394"/>
      <c r="AM4657" s="394"/>
      <c r="AN4657" s="394"/>
      <c r="AO4657" s="394"/>
      <c r="AP4657" s="394"/>
      <c r="AQ4657" s="394"/>
      <c r="AR4657" s="394"/>
      <c r="AS4657" s="402"/>
      <c r="AT4657" s="404"/>
      <c r="AU4657" s="394"/>
      <c r="AV4657" s="394"/>
    </row>
    <row r="4658" spans="1:48" ht="15" customHeight="1">
      <c r="A4658" s="404" t="s">
        <v>4668</v>
      </c>
      <c r="B4658" s="402" t="s">
        <v>4979</v>
      </c>
      <c r="C4658" s="402" t="s">
        <v>6343</v>
      </c>
      <c r="D4658" s="405" t="s">
        <v>262</v>
      </c>
      <c r="E4658" s="404" t="s">
        <v>578</v>
      </c>
      <c r="F4658" s="402">
        <v>7000</v>
      </c>
      <c r="G4658" s="401" t="s">
        <v>6344</v>
      </c>
      <c r="H4658" s="404">
        <v>5171</v>
      </c>
      <c r="I4658" s="402" t="s">
        <v>1</v>
      </c>
      <c r="J4658" s="406" t="s">
        <v>81</v>
      </c>
      <c r="K4658" s="403">
        <v>41809</v>
      </c>
      <c r="L4658" s="398">
        <v>41803</v>
      </c>
      <c r="M4658" s="402">
        <f t="shared" si="269"/>
        <v>6</v>
      </c>
      <c r="N4658" s="402" t="s">
        <v>2</v>
      </c>
      <c r="O4658" s="404"/>
      <c r="P4658" s="402"/>
      <c r="Q4658" s="404"/>
      <c r="R4658" s="402"/>
      <c r="S4658" s="404"/>
      <c r="T4658" s="402"/>
      <c r="U4658" s="395"/>
      <c r="V4658" s="402">
        <v>0.49</v>
      </c>
      <c r="W4658" s="404"/>
      <c r="X4658" s="402"/>
      <c r="Y4658" s="404"/>
      <c r="Z4658" s="397"/>
      <c r="AA4658" s="399"/>
      <c r="AB4658" s="394"/>
      <c r="AC4658" s="402"/>
      <c r="AD4658" s="399"/>
      <c r="AE4658" s="402"/>
      <c r="AF4658" s="391"/>
      <c r="AG4658" s="394"/>
      <c r="AH4658" s="394"/>
      <c r="AI4658" s="394"/>
      <c r="AJ4658" s="394"/>
      <c r="AK4658" s="394"/>
      <c r="AL4658" s="394"/>
      <c r="AM4658" s="394"/>
      <c r="AN4658" s="394"/>
      <c r="AO4658" s="394"/>
      <c r="AP4658" s="394"/>
      <c r="AQ4658" s="394"/>
      <c r="AR4658" s="394"/>
      <c r="AS4658" s="402"/>
      <c r="AT4658" s="404"/>
      <c r="AU4658" s="394"/>
      <c r="AV4658" s="394"/>
    </row>
    <row r="4659" spans="1:48" ht="15" customHeight="1">
      <c r="A4659" s="404" t="s">
        <v>183</v>
      </c>
      <c r="B4659" s="402" t="s">
        <v>325</v>
      </c>
      <c r="C4659" s="402" t="s">
        <v>5037</v>
      </c>
      <c r="D4659" s="405" t="s">
        <v>56</v>
      </c>
      <c r="E4659" s="404" t="s">
        <v>95</v>
      </c>
      <c r="F4659" s="401" t="s">
        <v>6478</v>
      </c>
      <c r="G4659" s="401" t="s">
        <v>995</v>
      </c>
      <c r="H4659" s="404">
        <v>5171</v>
      </c>
      <c r="I4659" s="402" t="s">
        <v>1</v>
      </c>
      <c r="J4659" s="404" t="s">
        <v>5078</v>
      </c>
      <c r="K4659" s="403">
        <v>41744</v>
      </c>
      <c r="L4659" s="398">
        <v>41737</v>
      </c>
      <c r="M4659" s="402">
        <f t="shared" si="269"/>
        <v>7</v>
      </c>
      <c r="N4659" s="402" t="s">
        <v>2</v>
      </c>
      <c r="O4659" s="404"/>
      <c r="P4659" s="402"/>
      <c r="Q4659" s="404"/>
      <c r="R4659" s="402"/>
      <c r="S4659" s="404">
        <v>89</v>
      </c>
      <c r="T4659" s="402">
        <v>0.12</v>
      </c>
      <c r="U4659" s="395"/>
      <c r="V4659" s="402"/>
      <c r="W4659" s="404"/>
      <c r="X4659" s="402">
        <v>0.47</v>
      </c>
      <c r="Y4659" s="404">
        <v>3.3000000000000002E-2</v>
      </c>
      <c r="Z4659" s="397"/>
      <c r="AA4659" s="399"/>
      <c r="AB4659" s="394"/>
      <c r="AC4659" s="402"/>
      <c r="AD4659" s="399"/>
      <c r="AE4659" s="402"/>
      <c r="AF4659" s="391"/>
      <c r="AG4659" s="394"/>
      <c r="AH4659" s="394"/>
      <c r="AI4659" s="394"/>
      <c r="AJ4659" s="394"/>
      <c r="AK4659" s="394"/>
      <c r="AL4659" s="394"/>
      <c r="AM4659" s="394"/>
      <c r="AN4659" s="394"/>
      <c r="AO4659" s="394"/>
      <c r="AP4659" s="394"/>
      <c r="AQ4659" s="394"/>
      <c r="AR4659" s="394"/>
      <c r="AS4659" s="402"/>
      <c r="AT4659" s="404"/>
      <c r="AU4659" s="394"/>
      <c r="AV4659" s="394"/>
    </row>
    <row r="4660" spans="1:48" ht="15" customHeight="1">
      <c r="A4660" s="404" t="s">
        <v>183</v>
      </c>
      <c r="B4660" s="402" t="s">
        <v>5343</v>
      </c>
      <c r="C4660" s="402" t="s">
        <v>5831</v>
      </c>
      <c r="D4660" s="405" t="s">
        <v>406</v>
      </c>
      <c r="E4660" s="404" t="s">
        <v>5344</v>
      </c>
      <c r="F4660" s="401" t="s">
        <v>6380</v>
      </c>
      <c r="G4660" s="401" t="s">
        <v>5345</v>
      </c>
      <c r="H4660" s="404">
        <v>3724</v>
      </c>
      <c r="I4660" s="402" t="s">
        <v>2</v>
      </c>
      <c r="J4660" s="406" t="s">
        <v>96</v>
      </c>
      <c r="K4660" s="403">
        <v>41799</v>
      </c>
      <c r="L4660" s="398">
        <v>41795</v>
      </c>
      <c r="M4660" s="402">
        <f t="shared" si="269"/>
        <v>4</v>
      </c>
      <c r="N4660" s="402" t="s">
        <v>2</v>
      </c>
      <c r="O4660" s="404"/>
      <c r="P4660" s="402"/>
      <c r="Q4660" s="404"/>
      <c r="R4660" s="402">
        <v>239</v>
      </c>
      <c r="S4660" s="404">
        <v>59</v>
      </c>
      <c r="T4660" s="402"/>
      <c r="U4660" s="395"/>
      <c r="V4660" s="402"/>
      <c r="W4660" s="404"/>
      <c r="X4660" s="402"/>
      <c r="Y4660" s="404"/>
      <c r="Z4660" s="397"/>
      <c r="AA4660" s="399"/>
      <c r="AB4660" s="394"/>
      <c r="AC4660" s="402"/>
      <c r="AD4660" s="399"/>
      <c r="AE4660" s="402"/>
      <c r="AF4660" s="391"/>
      <c r="AG4660" s="394"/>
      <c r="AH4660" s="394"/>
      <c r="AI4660" s="394"/>
      <c r="AJ4660" s="394"/>
      <c r="AK4660" s="394"/>
      <c r="AL4660" s="394"/>
      <c r="AM4660" s="394"/>
      <c r="AN4660" s="394"/>
      <c r="AO4660" s="394"/>
      <c r="AP4660" s="394"/>
      <c r="AQ4660" s="394"/>
      <c r="AR4660" s="394"/>
      <c r="AS4660" s="402"/>
      <c r="AT4660" s="404"/>
      <c r="AU4660" s="394"/>
      <c r="AV4660" s="394"/>
    </row>
    <row r="4661" spans="1:48" ht="15" customHeight="1">
      <c r="A4661" s="404" t="s">
        <v>183</v>
      </c>
      <c r="B4661" s="402" t="s">
        <v>5343</v>
      </c>
      <c r="C4661" s="402" t="s">
        <v>5831</v>
      </c>
      <c r="D4661" s="405" t="s">
        <v>406</v>
      </c>
      <c r="E4661" s="404" t="s">
        <v>5344</v>
      </c>
      <c r="F4661" s="401" t="s">
        <v>6380</v>
      </c>
      <c r="G4661" s="401" t="s">
        <v>5345</v>
      </c>
      <c r="H4661" s="404">
        <v>3724</v>
      </c>
      <c r="I4661" s="402" t="s">
        <v>2</v>
      </c>
      <c r="J4661" s="406" t="s">
        <v>690</v>
      </c>
      <c r="K4661" s="403">
        <v>41799</v>
      </c>
      <c r="L4661" s="398">
        <v>41795</v>
      </c>
      <c r="M4661" s="402">
        <f t="shared" si="269"/>
        <v>4</v>
      </c>
      <c r="N4661" s="402" t="s">
        <v>2</v>
      </c>
      <c r="O4661" s="404"/>
      <c r="P4661" s="402"/>
      <c r="Q4661" s="404"/>
      <c r="R4661" s="402"/>
      <c r="S4661" s="404"/>
      <c r="T4661" s="402"/>
      <c r="U4661" s="395">
        <v>5</v>
      </c>
      <c r="V4661" s="402"/>
      <c r="W4661" s="404">
        <v>0.106</v>
      </c>
      <c r="X4661" s="402"/>
      <c r="Y4661" s="404"/>
      <c r="Z4661" s="397"/>
      <c r="AA4661" s="399"/>
      <c r="AB4661" s="394"/>
      <c r="AC4661" s="402"/>
      <c r="AD4661" s="399"/>
      <c r="AE4661" s="402"/>
      <c r="AF4661" s="391"/>
      <c r="AG4661" s="394"/>
      <c r="AH4661" s="394"/>
      <c r="AI4661" s="394"/>
      <c r="AJ4661" s="394"/>
      <c r="AK4661" s="394"/>
      <c r="AL4661" s="394"/>
      <c r="AM4661" s="394"/>
      <c r="AN4661" s="394"/>
      <c r="AO4661" s="394"/>
      <c r="AP4661" s="394"/>
      <c r="AQ4661" s="394"/>
      <c r="AR4661" s="394"/>
      <c r="AS4661" s="402"/>
      <c r="AT4661" s="404"/>
      <c r="AU4661" s="394"/>
      <c r="AV4661" s="394"/>
    </row>
    <row r="4662" spans="1:48" ht="15" customHeight="1">
      <c r="A4662" s="404" t="s">
        <v>183</v>
      </c>
      <c r="B4662" s="402" t="s">
        <v>5343</v>
      </c>
      <c r="C4662" s="402" t="s">
        <v>5831</v>
      </c>
      <c r="D4662" s="405" t="s">
        <v>406</v>
      </c>
      <c r="E4662" s="404" t="s">
        <v>5344</v>
      </c>
      <c r="F4662" s="401" t="s">
        <v>6380</v>
      </c>
      <c r="G4662" s="401" t="s">
        <v>5345</v>
      </c>
      <c r="H4662" s="404">
        <v>3724</v>
      </c>
      <c r="I4662" s="402" t="s">
        <v>2</v>
      </c>
      <c r="J4662" s="406" t="s">
        <v>1867</v>
      </c>
      <c r="K4662" s="403">
        <v>41799</v>
      </c>
      <c r="L4662" s="398">
        <v>41795</v>
      </c>
      <c r="M4662" s="402">
        <f t="shared" si="269"/>
        <v>4</v>
      </c>
      <c r="N4662" s="402" t="s">
        <v>2</v>
      </c>
      <c r="O4662" s="404"/>
      <c r="P4662" s="402"/>
      <c r="Q4662" s="404"/>
      <c r="R4662" s="402">
        <v>131.19999999999999</v>
      </c>
      <c r="S4662" s="404"/>
      <c r="T4662" s="402"/>
      <c r="U4662" s="395">
        <v>2.2000000000000002</v>
      </c>
      <c r="V4662" s="402"/>
      <c r="W4662" s="404"/>
      <c r="X4662" s="402"/>
      <c r="Y4662" s="404"/>
      <c r="Z4662" s="397"/>
      <c r="AA4662" s="399"/>
      <c r="AB4662" s="394"/>
      <c r="AC4662" s="402"/>
      <c r="AD4662" s="399"/>
      <c r="AE4662" s="402"/>
      <c r="AF4662" s="391"/>
      <c r="AG4662" s="394"/>
      <c r="AH4662" s="394"/>
      <c r="AI4662" s="394"/>
      <c r="AJ4662" s="394"/>
      <c r="AK4662" s="394"/>
      <c r="AL4662" s="394"/>
      <c r="AM4662" s="394"/>
      <c r="AN4662" s="394"/>
      <c r="AO4662" s="394"/>
      <c r="AP4662" s="394"/>
      <c r="AQ4662" s="394"/>
      <c r="AR4662" s="394"/>
      <c r="AS4662" s="402"/>
      <c r="AT4662" s="404"/>
      <c r="AU4662" s="394"/>
      <c r="AV4662" s="394"/>
    </row>
    <row r="4663" spans="1:48" ht="15" customHeight="1">
      <c r="A4663" s="404" t="s">
        <v>183</v>
      </c>
      <c r="B4663" s="402" t="s">
        <v>5343</v>
      </c>
      <c r="C4663" s="402" t="s">
        <v>5831</v>
      </c>
      <c r="D4663" s="405" t="s">
        <v>406</v>
      </c>
      <c r="E4663" s="404" t="s">
        <v>5344</v>
      </c>
      <c r="F4663" s="401" t="s">
        <v>6380</v>
      </c>
      <c r="G4663" s="401" t="s">
        <v>5345</v>
      </c>
      <c r="H4663" s="404">
        <v>3724</v>
      </c>
      <c r="I4663" s="402" t="s">
        <v>2</v>
      </c>
      <c r="J4663" s="406" t="s">
        <v>5346</v>
      </c>
      <c r="K4663" s="403">
        <v>41799</v>
      </c>
      <c r="L4663" s="398">
        <v>41795</v>
      </c>
      <c r="M4663" s="402">
        <f t="shared" si="269"/>
        <v>4</v>
      </c>
      <c r="N4663" s="402" t="s">
        <v>2</v>
      </c>
      <c r="O4663" s="404"/>
      <c r="P4663" s="402"/>
      <c r="Q4663" s="404"/>
      <c r="R4663" s="402"/>
      <c r="S4663" s="404"/>
      <c r="T4663" s="402"/>
      <c r="U4663" s="395"/>
      <c r="V4663" s="402">
        <v>1.06</v>
      </c>
      <c r="W4663" s="404"/>
      <c r="X4663" s="402">
        <v>7.5999999999999998E-2</v>
      </c>
      <c r="Y4663" s="404"/>
      <c r="Z4663" s="397"/>
      <c r="AA4663" s="399"/>
      <c r="AB4663" s="394"/>
      <c r="AC4663" s="402"/>
      <c r="AD4663" s="399"/>
      <c r="AE4663" s="402"/>
      <c r="AF4663" s="391"/>
      <c r="AG4663" s="394"/>
      <c r="AH4663" s="394"/>
      <c r="AI4663" s="394"/>
      <c r="AJ4663" s="394"/>
      <c r="AK4663" s="394"/>
      <c r="AL4663" s="394"/>
      <c r="AM4663" s="394"/>
      <c r="AN4663" s="394"/>
      <c r="AO4663" s="394"/>
      <c r="AP4663" s="394"/>
      <c r="AQ4663" s="394"/>
      <c r="AR4663" s="394"/>
      <c r="AS4663" s="402"/>
      <c r="AT4663" s="404"/>
      <c r="AU4663" s="394"/>
      <c r="AV4663" s="394"/>
    </row>
    <row r="4664" spans="1:48" ht="15" customHeight="1">
      <c r="A4664" s="404" t="s">
        <v>183</v>
      </c>
      <c r="B4664" s="402" t="s">
        <v>5343</v>
      </c>
      <c r="C4664" s="402" t="s">
        <v>5831</v>
      </c>
      <c r="D4664" s="405" t="s">
        <v>406</v>
      </c>
      <c r="E4664" s="404" t="s">
        <v>5344</v>
      </c>
      <c r="F4664" s="401" t="s">
        <v>6380</v>
      </c>
      <c r="G4664" s="401" t="s">
        <v>5345</v>
      </c>
      <c r="H4664" s="404">
        <v>3724</v>
      </c>
      <c r="I4664" s="402" t="s">
        <v>2</v>
      </c>
      <c r="J4664" s="406" t="s">
        <v>2097</v>
      </c>
      <c r="K4664" s="403">
        <v>41799</v>
      </c>
      <c r="L4664" s="398">
        <v>41795</v>
      </c>
      <c r="M4664" s="402">
        <f t="shared" si="269"/>
        <v>4</v>
      </c>
      <c r="N4664" s="402" t="s">
        <v>2</v>
      </c>
      <c r="O4664" s="404"/>
      <c r="P4664" s="402"/>
      <c r="Q4664" s="404"/>
      <c r="R4664" s="402">
        <v>121.1</v>
      </c>
      <c r="S4664" s="404"/>
      <c r="T4664" s="402"/>
      <c r="U4664" s="395"/>
      <c r="V4664" s="402"/>
      <c r="W4664" s="404"/>
      <c r="X4664" s="402"/>
      <c r="Y4664" s="404"/>
      <c r="Z4664" s="397"/>
      <c r="AA4664" s="399"/>
      <c r="AB4664" s="394"/>
      <c r="AC4664" s="402"/>
      <c r="AD4664" s="399"/>
      <c r="AE4664" s="402"/>
      <c r="AF4664" s="391"/>
      <c r="AG4664" s="394"/>
      <c r="AH4664" s="394"/>
      <c r="AI4664" s="394"/>
      <c r="AJ4664" s="394"/>
      <c r="AK4664" s="394"/>
      <c r="AL4664" s="394"/>
      <c r="AM4664" s="394"/>
      <c r="AN4664" s="394"/>
      <c r="AO4664" s="394"/>
      <c r="AP4664" s="394"/>
      <c r="AQ4664" s="394"/>
      <c r="AR4664" s="394"/>
      <c r="AS4664" s="402"/>
      <c r="AT4664" s="404"/>
      <c r="AU4664" s="394"/>
      <c r="AV4664" s="394"/>
    </row>
    <row r="4665" spans="1:48" ht="15" customHeight="1">
      <c r="A4665" s="404" t="s">
        <v>183</v>
      </c>
      <c r="B4665" s="402" t="s">
        <v>2942</v>
      </c>
      <c r="C4665" s="402" t="s">
        <v>3031</v>
      </c>
      <c r="D4665" s="405" t="s">
        <v>213</v>
      </c>
      <c r="E4665" s="404" t="s">
        <v>364</v>
      </c>
      <c r="F4665" s="402">
        <v>4300</v>
      </c>
      <c r="G4665" s="401" t="s">
        <v>2944</v>
      </c>
      <c r="H4665" s="404">
        <v>4952</v>
      </c>
      <c r="I4665" s="402"/>
      <c r="J4665" s="406" t="s">
        <v>255</v>
      </c>
      <c r="K4665" s="403">
        <v>41864</v>
      </c>
      <c r="L4665" s="398">
        <v>41857</v>
      </c>
      <c r="M4665" s="402">
        <f t="shared" si="269"/>
        <v>7</v>
      </c>
      <c r="N4665" s="402" t="s">
        <v>2</v>
      </c>
      <c r="O4665" s="404">
        <f>1/2</f>
        <v>0.5</v>
      </c>
      <c r="P4665" s="402">
        <v>6.43</v>
      </c>
      <c r="Q4665" s="404">
        <v>6.97</v>
      </c>
      <c r="R4665" s="402">
        <v>28</v>
      </c>
      <c r="S4665" s="404">
        <v>29.5</v>
      </c>
      <c r="T4665" s="402">
        <v>0.12</v>
      </c>
      <c r="U4665" s="395">
        <v>0.78</v>
      </c>
      <c r="V4665" s="402">
        <v>0.69</v>
      </c>
      <c r="W4665" s="404">
        <v>0.01</v>
      </c>
      <c r="X4665" s="402">
        <v>0.04</v>
      </c>
      <c r="Y4665" s="404">
        <f>0.02/2</f>
        <v>0.01</v>
      </c>
      <c r="Z4665" s="397"/>
      <c r="AA4665" s="399"/>
      <c r="AB4665" s="394"/>
      <c r="AC4665" s="402"/>
      <c r="AD4665" s="399"/>
      <c r="AE4665" s="402"/>
      <c r="AF4665" s="391"/>
      <c r="AG4665" s="394"/>
      <c r="AH4665" s="394"/>
      <c r="AI4665" s="394"/>
      <c r="AJ4665" s="394"/>
      <c r="AK4665" s="394"/>
      <c r="AL4665" s="394"/>
      <c r="AM4665" s="394"/>
      <c r="AN4665" s="394"/>
      <c r="AO4665" s="394"/>
      <c r="AP4665" s="394"/>
      <c r="AQ4665" s="394"/>
      <c r="AR4665" s="394"/>
      <c r="AS4665" s="402"/>
      <c r="AT4665" s="404"/>
      <c r="AU4665" s="394"/>
      <c r="AV4665" s="394"/>
    </row>
    <row r="4666" spans="1:48" ht="15" customHeight="1">
      <c r="A4666" s="404" t="s">
        <v>183</v>
      </c>
      <c r="B4666" s="402" t="s">
        <v>1964</v>
      </c>
      <c r="C4666" s="402" t="s">
        <v>1964</v>
      </c>
      <c r="D4666" s="405" t="s">
        <v>251</v>
      </c>
      <c r="E4666" s="404" t="s">
        <v>252</v>
      </c>
      <c r="F4666" s="402">
        <v>4402</v>
      </c>
      <c r="G4666" s="401" t="s">
        <v>1965</v>
      </c>
      <c r="H4666" s="404">
        <v>2891</v>
      </c>
      <c r="I4666" s="402" t="s">
        <v>2</v>
      </c>
      <c r="J4666" s="401" t="s">
        <v>1966</v>
      </c>
      <c r="K4666" s="403">
        <v>41864</v>
      </c>
      <c r="L4666" s="398">
        <v>41856</v>
      </c>
      <c r="M4666" s="402">
        <f t="shared" si="269"/>
        <v>8</v>
      </c>
      <c r="N4666" s="402" t="s">
        <v>2</v>
      </c>
      <c r="O4666" s="404">
        <f>1.4/2</f>
        <v>0.7</v>
      </c>
      <c r="P4666" s="402">
        <v>6.59</v>
      </c>
      <c r="Q4666" s="404">
        <v>6.59</v>
      </c>
      <c r="R4666" s="402">
        <v>21</v>
      </c>
      <c r="S4666" s="404">
        <f>5/2</f>
        <v>2.5</v>
      </c>
      <c r="T4666" s="402">
        <v>0.1</v>
      </c>
      <c r="U4666" s="395">
        <v>0.57999999999999996</v>
      </c>
      <c r="V4666" s="402">
        <f>0.05/2</f>
        <v>2.5000000000000001E-2</v>
      </c>
      <c r="W4666" s="404">
        <f>0.005/2</f>
        <v>2.5000000000000001E-3</v>
      </c>
      <c r="X4666" s="402">
        <v>0.02</v>
      </c>
      <c r="Y4666" s="404">
        <f>0.002/2</f>
        <v>1E-3</v>
      </c>
      <c r="Z4666" s="397">
        <v>1</v>
      </c>
      <c r="AA4666" s="399">
        <v>1</v>
      </c>
      <c r="AB4666" s="394">
        <v>4</v>
      </c>
      <c r="AC4666" s="402">
        <v>10</v>
      </c>
      <c r="AD4666" s="399">
        <v>0.95</v>
      </c>
      <c r="AE4666" s="402"/>
      <c r="AF4666" s="391"/>
      <c r="AG4666" s="394"/>
      <c r="AH4666" s="394"/>
      <c r="AI4666" s="394"/>
      <c r="AJ4666" s="394"/>
      <c r="AK4666" s="394"/>
      <c r="AL4666" s="394"/>
      <c r="AM4666" s="394"/>
      <c r="AN4666" s="394"/>
      <c r="AO4666" s="394"/>
      <c r="AP4666" s="394"/>
      <c r="AQ4666" s="394"/>
      <c r="AR4666" s="394"/>
      <c r="AS4666" s="402"/>
      <c r="AT4666" s="404"/>
      <c r="AU4666" s="394"/>
      <c r="AV4666" s="394"/>
    </row>
    <row r="4667" spans="1:48" ht="15" customHeight="1">
      <c r="A4667" s="404" t="s">
        <v>183</v>
      </c>
      <c r="B4667" s="402" t="s">
        <v>5811</v>
      </c>
      <c r="C4667" s="402" t="s">
        <v>5811</v>
      </c>
      <c r="D4667" s="405" t="s">
        <v>350</v>
      </c>
      <c r="E4667" s="404"/>
      <c r="F4667" s="401" t="s">
        <v>6224</v>
      </c>
      <c r="G4667" s="401" t="s">
        <v>2323</v>
      </c>
      <c r="H4667" s="404">
        <v>3479</v>
      </c>
      <c r="I4667" s="402" t="s">
        <v>2</v>
      </c>
      <c r="J4667" s="406" t="s">
        <v>829</v>
      </c>
      <c r="K4667" s="403">
        <v>41864</v>
      </c>
      <c r="L4667" s="398">
        <v>41857</v>
      </c>
      <c r="M4667" s="402">
        <f t="shared" si="269"/>
        <v>7</v>
      </c>
      <c r="N4667" s="402" t="s">
        <v>2</v>
      </c>
      <c r="O4667" s="404">
        <f>1.4/2</f>
        <v>0.7</v>
      </c>
      <c r="P4667" s="402">
        <v>5.62</v>
      </c>
      <c r="Q4667" s="404">
        <v>5.69</v>
      </c>
      <c r="R4667" s="402">
        <f>10/2</f>
        <v>5</v>
      </c>
      <c r="S4667" s="404">
        <f>5/2</f>
        <v>2.5</v>
      </c>
      <c r="T4667" s="402">
        <v>0.03</v>
      </c>
      <c r="U4667" s="395">
        <v>0.43</v>
      </c>
      <c r="V4667" s="402">
        <v>0.39</v>
      </c>
      <c r="W4667" s="404">
        <v>1.2999999999999999E-2</v>
      </c>
      <c r="X4667" s="402">
        <v>1.7000000000000001E-2</v>
      </c>
      <c r="Y4667" s="404">
        <f>0.002/2</f>
        <v>1E-3</v>
      </c>
      <c r="Z4667" s="397">
        <v>1</v>
      </c>
      <c r="AA4667" s="399">
        <v>0.70699999999999996</v>
      </c>
      <c r="AB4667" s="394">
        <v>2</v>
      </c>
      <c r="AC4667" s="402">
        <v>4</v>
      </c>
      <c r="AD4667" s="399">
        <v>0</v>
      </c>
      <c r="AE4667" s="402"/>
      <c r="AF4667" s="391"/>
      <c r="AG4667" s="394"/>
      <c r="AH4667" s="394"/>
      <c r="AI4667" s="394"/>
      <c r="AJ4667" s="394"/>
      <c r="AK4667" s="394"/>
      <c r="AL4667" s="394"/>
      <c r="AM4667" s="394"/>
      <c r="AN4667" s="394"/>
      <c r="AO4667" s="394"/>
      <c r="AP4667" s="394"/>
      <c r="AQ4667" s="394"/>
      <c r="AR4667" s="394"/>
      <c r="AS4667" s="402"/>
      <c r="AT4667" s="404"/>
      <c r="AU4667" s="394"/>
      <c r="AV4667" s="394"/>
    </row>
    <row r="4668" spans="1:48" ht="15" customHeight="1">
      <c r="A4668" s="404" t="s">
        <v>183</v>
      </c>
      <c r="B4668" s="385" t="s">
        <v>4410</v>
      </c>
      <c r="C4668" s="385" t="s">
        <v>4411</v>
      </c>
      <c r="D4668" s="390" t="s">
        <v>56</v>
      </c>
      <c r="E4668" s="384" t="s">
        <v>4412</v>
      </c>
      <c r="F4668" s="385"/>
      <c r="G4668" s="401" t="s">
        <v>4413</v>
      </c>
      <c r="H4668" s="404">
        <v>4173</v>
      </c>
      <c r="I4668" s="402" t="s">
        <v>2</v>
      </c>
      <c r="J4668" s="406" t="s">
        <v>5794</v>
      </c>
      <c r="K4668" s="403">
        <v>41864</v>
      </c>
      <c r="L4668" s="398">
        <v>41853</v>
      </c>
      <c r="M4668" s="402">
        <f t="shared" si="269"/>
        <v>11</v>
      </c>
      <c r="N4668" s="402" t="s">
        <v>2</v>
      </c>
      <c r="O4668" s="404"/>
      <c r="P4668" s="402"/>
      <c r="Q4668" s="404">
        <v>6.93</v>
      </c>
      <c r="R4668" s="402"/>
      <c r="S4668" s="404"/>
      <c r="T4668" s="402"/>
      <c r="U4668" s="395"/>
      <c r="V4668" s="402"/>
      <c r="W4668" s="404"/>
      <c r="X4668" s="402">
        <v>9.4E-2</v>
      </c>
      <c r="Y4668" s="404"/>
      <c r="Z4668" s="397">
        <v>0.70699999999999996</v>
      </c>
      <c r="AA4668" s="399">
        <v>0.70699999999999996</v>
      </c>
      <c r="AB4668" s="394">
        <v>0.46</v>
      </c>
      <c r="AC4668" s="402">
        <v>4</v>
      </c>
      <c r="AD4668" s="399">
        <v>0</v>
      </c>
      <c r="AE4668" s="402"/>
      <c r="AF4668" s="391"/>
      <c r="AG4668" s="394"/>
      <c r="AH4668" s="394"/>
      <c r="AI4668" s="394"/>
      <c r="AJ4668" s="394"/>
      <c r="AK4668" s="394"/>
      <c r="AL4668" s="394"/>
      <c r="AM4668" s="394"/>
      <c r="AN4668" s="394"/>
      <c r="AO4668" s="394"/>
      <c r="AP4668" s="394"/>
      <c r="AQ4668" s="394"/>
      <c r="AR4668" s="394"/>
      <c r="AS4668" s="402"/>
      <c r="AT4668" s="404"/>
      <c r="AU4668" s="394"/>
      <c r="AV4668" s="394"/>
    </row>
    <row r="4669" spans="1:48" ht="15" customHeight="1">
      <c r="A4669" s="404" t="s">
        <v>183</v>
      </c>
      <c r="B4669" s="385" t="s">
        <v>1312</v>
      </c>
      <c r="C4669" s="385" t="s">
        <v>1312</v>
      </c>
      <c r="D4669" s="405" t="s">
        <v>262</v>
      </c>
      <c r="E4669" s="384" t="s">
        <v>1314</v>
      </c>
      <c r="F4669" s="401" t="s">
        <v>6616</v>
      </c>
      <c r="G4669" s="401" t="s">
        <v>1315</v>
      </c>
      <c r="H4669" s="404">
        <v>5171</v>
      </c>
      <c r="I4669" s="402"/>
      <c r="J4669" s="406" t="s">
        <v>6595</v>
      </c>
      <c r="K4669" s="403">
        <v>41864</v>
      </c>
      <c r="L4669" s="398"/>
      <c r="M4669" s="402"/>
      <c r="N4669" s="402" t="s">
        <v>2</v>
      </c>
      <c r="O4669" s="404"/>
      <c r="P4669" s="402"/>
      <c r="Q4669" s="404"/>
      <c r="R4669" s="402"/>
      <c r="S4669" s="404"/>
      <c r="T4669" s="402"/>
      <c r="U4669" s="395">
        <v>3.01</v>
      </c>
      <c r="V4669" s="402"/>
      <c r="W4669" s="404">
        <v>0.09</v>
      </c>
      <c r="X4669" s="402">
        <v>1.07</v>
      </c>
      <c r="Y4669" s="404"/>
      <c r="Z4669" s="397"/>
      <c r="AA4669" s="399"/>
      <c r="AB4669" s="394"/>
      <c r="AC4669" s="402"/>
      <c r="AD4669" s="399"/>
      <c r="AE4669" s="402"/>
      <c r="AF4669" s="391"/>
      <c r="AG4669" s="394"/>
      <c r="AH4669" s="394"/>
      <c r="AI4669" s="394"/>
      <c r="AJ4669" s="394"/>
      <c r="AK4669" s="394"/>
      <c r="AL4669" s="394"/>
      <c r="AM4669" s="394"/>
      <c r="AN4669" s="394"/>
      <c r="AO4669" s="394"/>
      <c r="AP4669" s="394"/>
      <c r="AQ4669" s="394"/>
      <c r="AR4669" s="394"/>
      <c r="AS4669" s="402"/>
      <c r="AT4669" s="404"/>
      <c r="AU4669" s="394"/>
      <c r="AV4669" s="394"/>
    </row>
    <row r="4670" spans="1:48" ht="15" customHeight="1">
      <c r="A4670" s="404" t="s">
        <v>183</v>
      </c>
      <c r="B4670" s="402" t="s">
        <v>4328</v>
      </c>
      <c r="C4670" s="402" t="s">
        <v>4328</v>
      </c>
      <c r="D4670" s="405" t="s">
        <v>372</v>
      </c>
      <c r="E4670" s="404" t="s">
        <v>235</v>
      </c>
      <c r="F4670" s="401" t="s">
        <v>6617</v>
      </c>
      <c r="G4670" s="401" t="s">
        <v>4329</v>
      </c>
      <c r="H4670" s="404"/>
      <c r="I4670" s="402"/>
      <c r="J4670" s="406" t="s">
        <v>641</v>
      </c>
      <c r="K4670" s="403">
        <v>41834</v>
      </c>
      <c r="L4670" s="398">
        <v>41827</v>
      </c>
      <c r="M4670" s="402">
        <f t="shared" ref="M4670:M4677" si="270">K4670-L4670</f>
        <v>7</v>
      </c>
      <c r="N4670" s="402" t="s">
        <v>2</v>
      </c>
      <c r="O4670" s="404">
        <v>2.9</v>
      </c>
      <c r="P4670" s="402">
        <v>4.7</v>
      </c>
      <c r="Q4670" s="404">
        <v>5.14</v>
      </c>
      <c r="R4670" s="402">
        <v>15.3</v>
      </c>
      <c r="S4670" s="404">
        <v>22.5</v>
      </c>
      <c r="T4670" s="402">
        <v>0.08</v>
      </c>
      <c r="U4670" s="395">
        <v>0.81</v>
      </c>
      <c r="V4670" s="402">
        <v>0.4</v>
      </c>
      <c r="W4670" s="404">
        <v>0.02</v>
      </c>
      <c r="X4670" s="402">
        <v>0.08</v>
      </c>
      <c r="Y4670" s="404">
        <f>0.02</f>
        <v>0.02</v>
      </c>
      <c r="Z4670" s="397"/>
      <c r="AA4670" s="399"/>
      <c r="AB4670" s="394"/>
      <c r="AC4670" s="402"/>
      <c r="AD4670" s="399"/>
      <c r="AE4670" s="402"/>
      <c r="AF4670" s="391"/>
      <c r="AG4670" s="394"/>
      <c r="AH4670" s="394"/>
      <c r="AI4670" s="394"/>
      <c r="AJ4670" s="394"/>
      <c r="AK4670" s="394"/>
      <c r="AL4670" s="394"/>
      <c r="AM4670" s="394"/>
      <c r="AN4670" s="394"/>
      <c r="AO4670" s="394"/>
      <c r="AP4670" s="394"/>
      <c r="AQ4670" s="394"/>
      <c r="AR4670" s="394"/>
      <c r="AS4670" s="402"/>
      <c r="AT4670" s="404"/>
      <c r="AU4670" s="394"/>
      <c r="AV4670" s="394"/>
    </row>
    <row r="4671" spans="1:48" ht="15" customHeight="1">
      <c r="A4671" s="404" t="s">
        <v>183</v>
      </c>
      <c r="B4671" s="402" t="s">
        <v>5286</v>
      </c>
      <c r="C4671" s="402" t="s">
        <v>5287</v>
      </c>
      <c r="D4671" s="405" t="s">
        <v>2913</v>
      </c>
      <c r="E4671" s="404" t="s">
        <v>6615</v>
      </c>
      <c r="G4671" s="401" t="s">
        <v>5285</v>
      </c>
      <c r="H4671" s="404">
        <v>3499</v>
      </c>
      <c r="I4671" s="402" t="s">
        <v>1</v>
      </c>
      <c r="J4671" s="406" t="s">
        <v>5289</v>
      </c>
      <c r="K4671" s="403">
        <v>41884</v>
      </c>
      <c r="L4671" s="398">
        <v>41882</v>
      </c>
      <c r="M4671" s="402">
        <f t="shared" si="270"/>
        <v>2</v>
      </c>
      <c r="N4671" s="402" t="s">
        <v>2</v>
      </c>
      <c r="O4671" s="404"/>
      <c r="P4671" s="402"/>
      <c r="Q4671" s="404"/>
      <c r="R4671" s="402"/>
      <c r="S4671" s="404"/>
      <c r="T4671" s="402"/>
      <c r="U4671" s="395"/>
      <c r="V4671" s="402"/>
      <c r="W4671" s="404"/>
      <c r="X4671" s="402">
        <v>3.5999999999999997E-2</v>
      </c>
      <c r="Y4671" s="404"/>
      <c r="Z4671" s="397"/>
      <c r="AA4671" s="399"/>
      <c r="AB4671" s="394"/>
      <c r="AC4671" s="402"/>
      <c r="AD4671" s="399"/>
      <c r="AE4671" s="402"/>
      <c r="AF4671" s="391"/>
      <c r="AG4671" s="394"/>
      <c r="AH4671" s="394"/>
      <c r="AI4671" s="394"/>
      <c r="AJ4671" s="394"/>
      <c r="AK4671" s="394"/>
      <c r="AL4671" s="394"/>
      <c r="AM4671" s="394"/>
      <c r="AN4671" s="394"/>
      <c r="AO4671" s="394"/>
      <c r="AP4671" s="394"/>
      <c r="AQ4671" s="394"/>
      <c r="AR4671" s="394"/>
      <c r="AS4671" s="402"/>
      <c r="AT4671" s="404"/>
      <c r="AU4671" s="394"/>
      <c r="AV4671" s="394"/>
    </row>
    <row r="4672" spans="1:48" ht="15" customHeight="1">
      <c r="A4672" s="404" t="s">
        <v>183</v>
      </c>
      <c r="B4672" s="385" t="s">
        <v>4293</v>
      </c>
      <c r="C4672" s="385" t="s">
        <v>4293</v>
      </c>
      <c r="D4672" s="390" t="s">
        <v>372</v>
      </c>
      <c r="E4672" s="384" t="s">
        <v>2258</v>
      </c>
      <c r="F4672" s="401" t="s">
        <v>6618</v>
      </c>
      <c r="G4672" s="401" t="s">
        <v>2259</v>
      </c>
      <c r="H4672" s="404">
        <v>3471</v>
      </c>
      <c r="I4672" s="402" t="s">
        <v>1</v>
      </c>
      <c r="J4672" s="344" t="s">
        <v>3144</v>
      </c>
      <c r="K4672" s="403">
        <v>41864</v>
      </c>
      <c r="L4672" s="398">
        <v>41848</v>
      </c>
      <c r="M4672" s="402">
        <f t="shared" si="270"/>
        <v>16</v>
      </c>
      <c r="N4672" s="402" t="s">
        <v>2</v>
      </c>
      <c r="O4672" s="404">
        <f>2/2</f>
        <v>1</v>
      </c>
      <c r="P4672" s="402">
        <v>6.2</v>
      </c>
      <c r="Q4672" s="404">
        <v>6.8</v>
      </c>
      <c r="R4672" s="402">
        <f>10/2</f>
        <v>5</v>
      </c>
      <c r="S4672" s="404">
        <v>3</v>
      </c>
      <c r="T4672" s="402">
        <v>7.0000000000000007E-2</v>
      </c>
      <c r="U4672" s="395">
        <v>0.25</v>
      </c>
      <c r="V4672" s="402">
        <v>0.36</v>
      </c>
      <c r="W4672" s="404">
        <v>2.5000000000000001E-2</v>
      </c>
      <c r="X4672" s="402">
        <f>0.03/2</f>
        <v>1.4999999999999999E-2</v>
      </c>
      <c r="Y4672" s="404">
        <f>0.03/2</f>
        <v>1.4999999999999999E-2</v>
      </c>
      <c r="Z4672" s="397"/>
      <c r="AA4672" s="399"/>
      <c r="AB4672" s="394"/>
      <c r="AC4672" s="402"/>
      <c r="AD4672" s="399"/>
      <c r="AE4672" s="402" t="s">
        <v>1017</v>
      </c>
      <c r="AF4672" s="391"/>
      <c r="AG4672" s="394"/>
      <c r="AH4672" s="394"/>
      <c r="AI4672" s="394"/>
      <c r="AJ4672" s="394"/>
      <c r="AK4672" s="394"/>
      <c r="AL4672" s="394"/>
      <c r="AM4672" s="394"/>
      <c r="AN4672" s="394">
        <v>0.18</v>
      </c>
      <c r="AO4672" s="394"/>
      <c r="AP4672" s="394"/>
      <c r="AQ4672" s="394"/>
      <c r="AR4672" s="394"/>
      <c r="AS4672" s="402"/>
      <c r="AT4672" s="404"/>
      <c r="AU4672" s="394"/>
      <c r="AV4672" s="394"/>
    </row>
    <row r="4673" spans="1:48" ht="15" customHeight="1">
      <c r="A4673" s="404" t="s">
        <v>183</v>
      </c>
      <c r="B4673" s="385" t="s">
        <v>4293</v>
      </c>
      <c r="C4673" s="385" t="s">
        <v>4293</v>
      </c>
      <c r="D4673" s="390" t="s">
        <v>372</v>
      </c>
      <c r="E4673" s="384" t="s">
        <v>2258</v>
      </c>
      <c r="F4673" s="401" t="s">
        <v>6618</v>
      </c>
      <c r="G4673" s="401" t="s">
        <v>2259</v>
      </c>
      <c r="H4673" s="404">
        <v>3471</v>
      </c>
      <c r="I4673" s="402" t="s">
        <v>1</v>
      </c>
      <c r="J4673" s="344" t="s">
        <v>3145</v>
      </c>
      <c r="K4673" s="403">
        <v>41864</v>
      </c>
      <c r="L4673" s="398">
        <v>41848</v>
      </c>
      <c r="M4673" s="402">
        <f t="shared" si="270"/>
        <v>16</v>
      </c>
      <c r="N4673" s="402" t="s">
        <v>2</v>
      </c>
      <c r="O4673" s="404">
        <f>2/2</f>
        <v>1</v>
      </c>
      <c r="P4673" s="402">
        <v>6.2</v>
      </c>
      <c r="Q4673" s="404">
        <v>5</v>
      </c>
      <c r="R4673" s="402">
        <f>10/2</f>
        <v>5</v>
      </c>
      <c r="S4673" s="404">
        <v>2</v>
      </c>
      <c r="T4673" s="402">
        <v>0.05</v>
      </c>
      <c r="U4673" s="395">
        <v>0.11</v>
      </c>
      <c r="V4673" s="402">
        <v>0.1</v>
      </c>
      <c r="W4673" s="404">
        <v>2.3E-2</v>
      </c>
      <c r="X4673" s="402">
        <v>6.9000000000000006E-2</v>
      </c>
      <c r="Y4673" s="404">
        <f>0.03/2</f>
        <v>1.4999999999999999E-2</v>
      </c>
      <c r="Z4673" s="397"/>
      <c r="AA4673" s="399"/>
      <c r="AB4673" s="394"/>
      <c r="AC4673" s="402"/>
      <c r="AD4673" s="399"/>
      <c r="AE4673" s="402"/>
      <c r="AF4673" s="391"/>
      <c r="AG4673" s="394"/>
      <c r="AH4673" s="394"/>
      <c r="AI4673" s="394"/>
      <c r="AJ4673" s="394"/>
      <c r="AK4673" s="394"/>
      <c r="AL4673" s="394"/>
      <c r="AM4673" s="394"/>
      <c r="AN4673" s="394">
        <v>0.18</v>
      </c>
      <c r="AO4673" s="394"/>
      <c r="AP4673" s="394"/>
      <c r="AQ4673" s="394"/>
      <c r="AR4673" s="394"/>
      <c r="AS4673" s="402"/>
      <c r="AT4673" s="404"/>
      <c r="AU4673" s="394"/>
      <c r="AV4673" s="394"/>
    </row>
    <row r="4674" spans="1:48" ht="15" customHeight="1">
      <c r="A4674" s="404" t="s">
        <v>183</v>
      </c>
      <c r="B4674" s="402" t="s">
        <v>1985</v>
      </c>
      <c r="C4674" s="402" t="s">
        <v>6040</v>
      </c>
      <c r="D4674" s="405" t="s">
        <v>205</v>
      </c>
      <c r="E4674" s="404" t="s">
        <v>364</v>
      </c>
      <c r="F4674" s="402">
        <v>4300</v>
      </c>
      <c r="G4674" s="401" t="s">
        <v>6041</v>
      </c>
      <c r="H4674" s="404">
        <v>4911</v>
      </c>
      <c r="I4674" s="402" t="s">
        <v>2</v>
      </c>
      <c r="J4674" s="406" t="s">
        <v>676</v>
      </c>
      <c r="K4674" s="403">
        <v>41864</v>
      </c>
      <c r="L4674" s="398">
        <v>41843</v>
      </c>
      <c r="M4674" s="402">
        <f t="shared" si="270"/>
        <v>21</v>
      </c>
      <c r="N4674" s="402" t="s">
        <v>2</v>
      </c>
      <c r="O4674" s="404"/>
      <c r="P4674" s="402"/>
      <c r="Q4674" s="404"/>
      <c r="R4674" s="402">
        <v>47</v>
      </c>
      <c r="S4674" s="404"/>
      <c r="T4674" s="402">
        <v>0.39900000000000002</v>
      </c>
      <c r="U4674" s="395">
        <v>1.6</v>
      </c>
      <c r="V4674" s="402"/>
      <c r="W4674" s="404">
        <v>8.0000000000000002E-3</v>
      </c>
      <c r="X4674" s="402">
        <v>4.1000000000000002E-2</v>
      </c>
      <c r="Y4674" s="404">
        <v>5.1000000000000004E-3</v>
      </c>
      <c r="Z4674" s="397"/>
      <c r="AA4674" s="399"/>
      <c r="AB4674" s="394"/>
      <c r="AC4674" s="402"/>
      <c r="AD4674" s="399"/>
      <c r="AE4674" s="402"/>
      <c r="AF4674" s="391"/>
      <c r="AG4674" s="394"/>
      <c r="AH4674" s="394"/>
      <c r="AI4674" s="394"/>
      <c r="AJ4674" s="394"/>
      <c r="AK4674" s="394"/>
      <c r="AL4674" s="394"/>
      <c r="AM4674" s="394"/>
      <c r="AN4674" s="394"/>
      <c r="AO4674" s="394"/>
      <c r="AP4674" s="394"/>
      <c r="AQ4674" s="394"/>
      <c r="AR4674" s="394"/>
      <c r="AS4674" s="402"/>
      <c r="AT4674" s="404"/>
      <c r="AU4674" s="394"/>
      <c r="AV4674" s="394"/>
    </row>
    <row r="4675" spans="1:48" ht="15" customHeight="1">
      <c r="A4675" s="404" t="s">
        <v>183</v>
      </c>
      <c r="B4675" s="402" t="s">
        <v>3696</v>
      </c>
      <c r="C4675" s="402" t="s">
        <v>3696</v>
      </c>
      <c r="D4675" s="405" t="s">
        <v>257</v>
      </c>
      <c r="E4675" s="404" t="s">
        <v>823</v>
      </c>
      <c r="F4675" s="402">
        <v>4603</v>
      </c>
      <c r="G4675" s="401" t="s">
        <v>2215</v>
      </c>
      <c r="H4675" s="404">
        <v>3419</v>
      </c>
      <c r="I4675" s="402" t="s">
        <v>2</v>
      </c>
      <c r="J4675" s="401" t="s">
        <v>3739</v>
      </c>
      <c r="K4675" s="403">
        <v>41864</v>
      </c>
      <c r="L4675" s="398">
        <v>41856</v>
      </c>
      <c r="M4675" s="402">
        <f t="shared" si="270"/>
        <v>8</v>
      </c>
      <c r="N4675" s="402" t="s">
        <v>2</v>
      </c>
      <c r="O4675" s="404">
        <v>2.5</v>
      </c>
      <c r="P4675" s="402"/>
      <c r="Q4675" s="404"/>
      <c r="R4675" s="402"/>
      <c r="S4675" s="404"/>
      <c r="T4675" s="402"/>
      <c r="U4675" s="395"/>
      <c r="V4675" s="402"/>
      <c r="W4675" s="404"/>
      <c r="X4675" s="402"/>
      <c r="Y4675" s="404"/>
      <c r="Z4675" s="397"/>
      <c r="AA4675" s="399"/>
      <c r="AB4675" s="394"/>
      <c r="AC4675" s="402"/>
      <c r="AD4675" s="399"/>
      <c r="AE4675" s="402"/>
      <c r="AF4675" s="391"/>
      <c r="AG4675" s="394"/>
      <c r="AH4675" s="394"/>
      <c r="AI4675" s="394"/>
      <c r="AJ4675" s="394"/>
      <c r="AK4675" s="394"/>
      <c r="AL4675" s="394"/>
      <c r="AM4675" s="394"/>
      <c r="AN4675" s="394"/>
      <c r="AO4675" s="394"/>
      <c r="AP4675" s="394"/>
      <c r="AQ4675" s="394"/>
      <c r="AR4675" s="394"/>
      <c r="AS4675" s="402"/>
      <c r="AT4675" s="404"/>
      <c r="AU4675" s="394"/>
      <c r="AV4675" s="394"/>
    </row>
    <row r="4676" spans="1:48" ht="15" customHeight="1">
      <c r="A4676" s="404" t="s">
        <v>183</v>
      </c>
      <c r="B4676" s="402" t="s">
        <v>3696</v>
      </c>
      <c r="C4676" s="402" t="s">
        <v>3696</v>
      </c>
      <c r="D4676" s="405" t="s">
        <v>257</v>
      </c>
      <c r="E4676" s="404" t="s">
        <v>823</v>
      </c>
      <c r="F4676" s="402">
        <v>4603</v>
      </c>
      <c r="G4676" s="401" t="s">
        <v>2215</v>
      </c>
      <c r="H4676" s="404">
        <v>3419</v>
      </c>
      <c r="I4676" s="402" t="s">
        <v>2</v>
      </c>
      <c r="J4676" s="401" t="s">
        <v>6596</v>
      </c>
      <c r="K4676" s="403">
        <v>41864</v>
      </c>
      <c r="L4676" s="398">
        <v>41856</v>
      </c>
      <c r="M4676" s="402">
        <f t="shared" si="270"/>
        <v>8</v>
      </c>
      <c r="N4676" s="402" t="s">
        <v>2</v>
      </c>
      <c r="O4676" s="404">
        <v>1.1000000000000001</v>
      </c>
      <c r="P4676" s="402"/>
      <c r="Q4676" s="404"/>
      <c r="R4676" s="402"/>
      <c r="S4676" s="404"/>
      <c r="T4676" s="402"/>
      <c r="U4676" s="395"/>
      <c r="V4676" s="402"/>
      <c r="W4676" s="404"/>
      <c r="X4676" s="402"/>
      <c r="Y4676" s="404"/>
      <c r="Z4676" s="397"/>
      <c r="AA4676" s="399"/>
      <c r="AB4676" s="394"/>
      <c r="AC4676" s="402"/>
      <c r="AD4676" s="399"/>
      <c r="AE4676" s="402"/>
      <c r="AF4676" s="391"/>
      <c r="AG4676" s="394"/>
      <c r="AH4676" s="394"/>
      <c r="AI4676" s="394"/>
      <c r="AJ4676" s="394"/>
      <c r="AK4676" s="394"/>
      <c r="AL4676" s="394"/>
      <c r="AM4676" s="394"/>
      <c r="AN4676" s="394"/>
      <c r="AO4676" s="394"/>
      <c r="AP4676" s="394"/>
      <c r="AQ4676" s="394"/>
      <c r="AR4676" s="394"/>
      <c r="AS4676" s="402"/>
      <c r="AT4676" s="404"/>
      <c r="AU4676" s="394"/>
      <c r="AV4676" s="394"/>
    </row>
    <row r="4677" spans="1:48" ht="15" customHeight="1">
      <c r="A4677" s="404" t="s">
        <v>183</v>
      </c>
      <c r="B4677" s="402" t="s">
        <v>5406</v>
      </c>
      <c r="C4677" s="402" t="s">
        <v>5406</v>
      </c>
      <c r="D4677" s="405" t="s">
        <v>684</v>
      </c>
      <c r="E4677" s="404" t="s">
        <v>112</v>
      </c>
      <c r="F4677" s="402">
        <v>5200</v>
      </c>
      <c r="G4677" s="401" t="s">
        <v>4747</v>
      </c>
      <c r="H4677" s="404">
        <v>3279</v>
      </c>
      <c r="I4677" s="402" t="s">
        <v>2</v>
      </c>
      <c r="J4677" s="406" t="s">
        <v>510</v>
      </c>
      <c r="K4677" s="403">
        <v>41884</v>
      </c>
      <c r="L4677" s="398">
        <v>41864</v>
      </c>
      <c r="M4677" s="402">
        <f t="shared" si="270"/>
        <v>20</v>
      </c>
      <c r="N4677" s="402" t="s">
        <v>2</v>
      </c>
      <c r="O4677" s="404">
        <f>2/2</f>
        <v>1</v>
      </c>
      <c r="P4677" s="402">
        <v>3.96</v>
      </c>
      <c r="Q4677" s="404">
        <v>6.1</v>
      </c>
      <c r="R4677" s="402">
        <v>27</v>
      </c>
      <c r="S4677" s="404">
        <v>67</v>
      </c>
      <c r="T4677" s="402">
        <v>0.1</v>
      </c>
      <c r="U4677" s="395">
        <v>1.4</v>
      </c>
      <c r="V4677" s="402">
        <f>0.1/2</f>
        <v>0.05</v>
      </c>
      <c r="W4677" s="404">
        <v>1.7000000000000001E-2</v>
      </c>
      <c r="X4677" s="402">
        <v>9.1999999999999998E-2</v>
      </c>
      <c r="Y4677" s="404">
        <f>0.03/2</f>
        <v>1.4999999999999999E-2</v>
      </c>
      <c r="Z4677" s="397">
        <v>1</v>
      </c>
      <c r="AA4677" s="399">
        <v>1</v>
      </c>
      <c r="AB4677" s="394">
        <v>9</v>
      </c>
      <c r="AC4677" s="402">
        <v>38</v>
      </c>
      <c r="AD4677" s="399">
        <v>1</v>
      </c>
      <c r="AE4677" s="402"/>
      <c r="AF4677" s="391"/>
      <c r="AG4677" s="394"/>
      <c r="AH4677" s="394"/>
      <c r="AI4677" s="394"/>
      <c r="AJ4677" s="394"/>
      <c r="AK4677" s="394"/>
      <c r="AL4677" s="394"/>
      <c r="AM4677" s="394"/>
      <c r="AN4677" s="394"/>
      <c r="AO4677" s="394"/>
      <c r="AP4677" s="394"/>
      <c r="AQ4677" s="394"/>
      <c r="AR4677" s="394"/>
      <c r="AS4677" s="402"/>
      <c r="AT4677" s="404"/>
      <c r="AU4677" s="394"/>
      <c r="AV4677" s="394"/>
    </row>
    <row r="4678" spans="1:48" ht="15" customHeight="1">
      <c r="A4678" s="404" t="s">
        <v>183</v>
      </c>
      <c r="B4678" s="402" t="s">
        <v>4424</v>
      </c>
      <c r="C4678" s="402" t="s">
        <v>4424</v>
      </c>
      <c r="D4678" s="405" t="s">
        <v>2376</v>
      </c>
      <c r="E4678" s="404" t="s">
        <v>364</v>
      </c>
      <c r="F4678" s="402" t="s">
        <v>6203</v>
      </c>
      <c r="G4678" s="401" t="s">
        <v>4425</v>
      </c>
      <c r="H4678" s="404">
        <v>3625</v>
      </c>
      <c r="I4678" s="402" t="s">
        <v>2</v>
      </c>
      <c r="J4678" s="406" t="s">
        <v>81</v>
      </c>
      <c r="K4678" s="403">
        <v>41873</v>
      </c>
      <c r="L4678" s="398" t="s">
        <v>5380</v>
      </c>
      <c r="M4678" s="402"/>
      <c r="N4678" s="402" t="s">
        <v>2</v>
      </c>
      <c r="O4678" s="404"/>
      <c r="P4678" s="402"/>
      <c r="Q4678" s="404"/>
      <c r="R4678" s="402">
        <v>39.799999999999997</v>
      </c>
      <c r="S4678" s="404"/>
      <c r="T4678" s="402"/>
      <c r="U4678" s="395">
        <v>3.22</v>
      </c>
      <c r="V4678" s="402"/>
      <c r="W4678" s="404"/>
      <c r="X4678" s="402">
        <v>0.78300000000000003</v>
      </c>
      <c r="Y4678" s="404"/>
      <c r="Z4678" s="397"/>
      <c r="AA4678" s="399"/>
      <c r="AB4678" s="394"/>
      <c r="AC4678" s="402"/>
      <c r="AD4678" s="399"/>
      <c r="AE4678" s="402"/>
      <c r="AF4678" s="391"/>
      <c r="AG4678" s="394"/>
      <c r="AH4678" s="394"/>
      <c r="AI4678" s="394"/>
      <c r="AJ4678" s="394"/>
      <c r="AK4678" s="394"/>
      <c r="AL4678" s="394"/>
      <c r="AM4678" s="394"/>
      <c r="AN4678" s="394"/>
      <c r="AO4678" s="394"/>
      <c r="AP4678" s="394"/>
      <c r="AQ4678" s="394"/>
      <c r="AR4678" s="394"/>
      <c r="AS4678" s="402"/>
      <c r="AT4678" s="404"/>
      <c r="AU4678" s="394"/>
      <c r="AV4678" s="394"/>
    </row>
    <row r="4679" spans="1:48" ht="15" customHeight="1">
      <c r="A4679" s="404" t="s">
        <v>183</v>
      </c>
      <c r="B4679" s="402" t="s">
        <v>4424</v>
      </c>
      <c r="C4679" s="402" t="s">
        <v>4424</v>
      </c>
      <c r="D4679" s="405" t="s">
        <v>2376</v>
      </c>
      <c r="E4679" s="404" t="s">
        <v>364</v>
      </c>
      <c r="F4679" s="402" t="s">
        <v>6203</v>
      </c>
      <c r="G4679" s="401" t="s">
        <v>4425</v>
      </c>
      <c r="H4679" s="404">
        <v>3625</v>
      </c>
      <c r="I4679" s="402" t="s">
        <v>2</v>
      </c>
      <c r="J4679" s="406" t="s">
        <v>114</v>
      </c>
      <c r="K4679" s="403">
        <v>41873</v>
      </c>
      <c r="L4679" s="398" t="s">
        <v>5380</v>
      </c>
      <c r="M4679" s="402"/>
      <c r="N4679" s="402" t="s">
        <v>2</v>
      </c>
      <c r="O4679" s="404">
        <f>1.05/2</f>
        <v>0.52500000000000002</v>
      </c>
      <c r="P4679" s="402"/>
      <c r="Q4679" s="404"/>
      <c r="R4679" s="402">
        <v>41.5</v>
      </c>
      <c r="S4679" s="404">
        <v>29</v>
      </c>
      <c r="T4679" s="402"/>
      <c r="U4679" s="395"/>
      <c r="V4679" s="402"/>
      <c r="W4679" s="404">
        <f>0.01/2</f>
        <v>5.0000000000000001E-3</v>
      </c>
      <c r="X4679" s="402">
        <v>2.8299999999999999E-2</v>
      </c>
      <c r="Y4679" s="404"/>
      <c r="Z4679" s="397"/>
      <c r="AA4679" s="399"/>
      <c r="AB4679" s="394"/>
      <c r="AC4679" s="402"/>
      <c r="AD4679" s="399"/>
      <c r="AE4679" s="402"/>
      <c r="AF4679" s="391"/>
      <c r="AG4679" s="394"/>
      <c r="AH4679" s="394"/>
      <c r="AI4679" s="394"/>
      <c r="AJ4679" s="394"/>
      <c r="AK4679" s="394"/>
      <c r="AL4679" s="394"/>
      <c r="AM4679" s="394"/>
      <c r="AN4679" s="394"/>
      <c r="AO4679" s="394"/>
      <c r="AP4679" s="394"/>
      <c r="AQ4679" s="394"/>
      <c r="AR4679" s="394"/>
      <c r="AS4679" s="402"/>
      <c r="AT4679" s="404"/>
      <c r="AU4679" s="394"/>
      <c r="AV4679" s="394"/>
    </row>
    <row r="4680" spans="1:48" ht="15" customHeight="1">
      <c r="A4680" s="404" t="s">
        <v>183</v>
      </c>
      <c r="B4680" s="402" t="s">
        <v>5752</v>
      </c>
      <c r="C4680" s="402" t="s">
        <v>5752</v>
      </c>
      <c r="D4680" s="405" t="s">
        <v>156</v>
      </c>
      <c r="E4680" s="404" t="s">
        <v>5753</v>
      </c>
      <c r="F4680" s="402">
        <v>4600</v>
      </c>
      <c r="G4680" s="401" t="s">
        <v>5754</v>
      </c>
      <c r="H4680" s="404" t="s">
        <v>5755</v>
      </c>
      <c r="I4680" s="402" t="s">
        <v>1</v>
      </c>
      <c r="J4680" s="406" t="s">
        <v>255</v>
      </c>
      <c r="K4680" s="403">
        <v>41898</v>
      </c>
      <c r="L4680" s="398">
        <v>41895</v>
      </c>
      <c r="M4680" s="402">
        <f t="shared" ref="M4680:M4687" si="271">K4680-L4680</f>
        <v>3</v>
      </c>
      <c r="N4680" s="402" t="s">
        <v>2</v>
      </c>
      <c r="O4680" s="404"/>
      <c r="P4680" s="402"/>
      <c r="Q4680" s="404"/>
      <c r="R4680" s="402"/>
      <c r="S4680" s="404"/>
      <c r="T4680" s="402">
        <v>0.91</v>
      </c>
      <c r="U4680" s="395"/>
      <c r="V4680" s="402"/>
      <c r="W4680" s="404"/>
      <c r="X4680" s="402"/>
      <c r="Y4680" s="404"/>
      <c r="Z4680" s="397"/>
      <c r="AA4680" s="399"/>
      <c r="AB4680" s="394"/>
      <c r="AC4680" s="402"/>
      <c r="AD4680" s="399"/>
      <c r="AE4680" s="402"/>
      <c r="AF4680" s="391"/>
      <c r="AG4680" s="394"/>
      <c r="AH4680" s="394"/>
      <c r="AI4680" s="394"/>
      <c r="AJ4680" s="394"/>
      <c r="AK4680" s="394"/>
      <c r="AL4680" s="394"/>
      <c r="AM4680" s="394"/>
      <c r="AN4680" s="394"/>
      <c r="AO4680" s="394"/>
      <c r="AP4680" s="394"/>
      <c r="AQ4680" s="394"/>
      <c r="AR4680" s="394"/>
      <c r="AS4680" s="402"/>
      <c r="AT4680" s="404"/>
      <c r="AU4680" s="394"/>
      <c r="AV4680" s="394"/>
    </row>
    <row r="4681" spans="1:48" ht="15" customHeight="1">
      <c r="A4681" s="404" t="s">
        <v>183</v>
      </c>
      <c r="B4681" s="402" t="s">
        <v>5752</v>
      </c>
      <c r="C4681" s="402" t="s">
        <v>5752</v>
      </c>
      <c r="D4681" s="405" t="s">
        <v>156</v>
      </c>
      <c r="E4681" s="404" t="s">
        <v>5753</v>
      </c>
      <c r="F4681" s="402">
        <v>4600</v>
      </c>
      <c r="G4681" s="401" t="s">
        <v>5754</v>
      </c>
      <c r="H4681" s="404" t="s">
        <v>5755</v>
      </c>
      <c r="I4681" s="402" t="s">
        <v>1</v>
      </c>
      <c r="J4681" s="406" t="s">
        <v>690</v>
      </c>
      <c r="K4681" s="403">
        <v>41898</v>
      </c>
      <c r="L4681" s="398">
        <v>41895</v>
      </c>
      <c r="M4681" s="402">
        <f t="shared" si="271"/>
        <v>3</v>
      </c>
      <c r="N4681" s="402" t="s">
        <v>2</v>
      </c>
      <c r="O4681" s="404"/>
      <c r="P4681" s="402"/>
      <c r="Q4681" s="404"/>
      <c r="R4681" s="402"/>
      <c r="S4681" s="404">
        <v>150</v>
      </c>
      <c r="T4681" s="402">
        <v>0.54</v>
      </c>
      <c r="U4681" s="395"/>
      <c r="V4681" s="402"/>
      <c r="W4681" s="404">
        <v>0.13500000000000001</v>
      </c>
      <c r="X4681" s="402">
        <v>0.184</v>
      </c>
      <c r="Y4681" s="404">
        <v>3.5000000000000003E-2</v>
      </c>
      <c r="Z4681" s="397"/>
      <c r="AA4681" s="399"/>
      <c r="AB4681" s="394"/>
      <c r="AC4681" s="402"/>
      <c r="AD4681" s="399"/>
      <c r="AE4681" s="402"/>
      <c r="AF4681" s="391"/>
      <c r="AG4681" s="394"/>
      <c r="AH4681" s="394"/>
      <c r="AI4681" s="394"/>
      <c r="AJ4681" s="394"/>
      <c r="AK4681" s="394"/>
      <c r="AL4681" s="394"/>
      <c r="AM4681" s="394"/>
      <c r="AN4681" s="394"/>
      <c r="AO4681" s="394"/>
      <c r="AP4681" s="394"/>
      <c r="AQ4681" s="394"/>
      <c r="AR4681" s="394"/>
      <c r="AS4681" s="402"/>
      <c r="AT4681" s="404"/>
      <c r="AU4681" s="394"/>
      <c r="AV4681" s="394"/>
    </row>
    <row r="4682" spans="1:48" ht="15" customHeight="1">
      <c r="A4682" s="404" t="s">
        <v>183</v>
      </c>
      <c r="B4682" s="402" t="s">
        <v>5169</v>
      </c>
      <c r="C4682" s="402" t="s">
        <v>5169</v>
      </c>
      <c r="D4682" s="405" t="s">
        <v>234</v>
      </c>
      <c r="E4682" s="404" t="s">
        <v>235</v>
      </c>
      <c r="F4682" s="402">
        <v>6900</v>
      </c>
      <c r="G4682" s="401" t="s">
        <v>5170</v>
      </c>
      <c r="H4682" s="404">
        <v>3471</v>
      </c>
      <c r="I4682" s="402"/>
      <c r="J4682" s="406" t="s">
        <v>5201</v>
      </c>
      <c r="K4682" s="403">
        <v>41834</v>
      </c>
      <c r="L4682" s="398">
        <v>41827</v>
      </c>
      <c r="M4682" s="402">
        <f t="shared" si="271"/>
        <v>7</v>
      </c>
      <c r="N4682" s="402" t="s">
        <v>2</v>
      </c>
      <c r="O4682" s="404">
        <v>1</v>
      </c>
      <c r="P4682" s="402"/>
      <c r="Q4682" s="404"/>
      <c r="R4682" s="402"/>
      <c r="S4682" s="404">
        <v>7.5</v>
      </c>
      <c r="T4682" s="402">
        <v>0.06</v>
      </c>
      <c r="U4682" s="395"/>
      <c r="V4682" s="402"/>
      <c r="W4682" s="404">
        <f>0.01/2</f>
        <v>5.0000000000000001E-3</v>
      </c>
      <c r="X4682" s="402">
        <v>0.15</v>
      </c>
      <c r="Y4682" s="404">
        <v>0.04</v>
      </c>
      <c r="Z4682" s="397"/>
      <c r="AA4682" s="399"/>
      <c r="AB4682" s="394"/>
      <c r="AC4682" s="402"/>
      <c r="AD4682" s="399"/>
      <c r="AE4682" s="402"/>
      <c r="AF4682" s="391"/>
      <c r="AG4682" s="394"/>
      <c r="AH4682" s="394"/>
      <c r="AI4682" s="394"/>
      <c r="AJ4682" s="394"/>
      <c r="AK4682" s="394"/>
      <c r="AL4682" s="394"/>
      <c r="AM4682" s="394"/>
      <c r="AN4682" s="394"/>
      <c r="AO4682" s="394"/>
      <c r="AP4682" s="394"/>
      <c r="AQ4682" s="394"/>
      <c r="AR4682" s="394"/>
      <c r="AS4682" s="402"/>
      <c r="AT4682" s="404"/>
      <c r="AU4682" s="394"/>
      <c r="AV4682" s="394"/>
    </row>
    <row r="4683" spans="1:48" ht="15" customHeight="1">
      <c r="A4683" s="404" t="s">
        <v>183</v>
      </c>
      <c r="B4683" s="402" t="s">
        <v>6319</v>
      </c>
      <c r="C4683" s="402" t="s">
        <v>6319</v>
      </c>
      <c r="D4683" s="405" t="s">
        <v>356</v>
      </c>
      <c r="E4683" s="404" t="s">
        <v>6320</v>
      </c>
      <c r="F4683" s="402" t="s">
        <v>6321</v>
      </c>
      <c r="G4683" s="401" t="s">
        <v>6322</v>
      </c>
      <c r="H4683" s="404">
        <v>3825</v>
      </c>
      <c r="I4683" s="402" t="s">
        <v>2</v>
      </c>
      <c r="J4683" s="406" t="s">
        <v>510</v>
      </c>
      <c r="K4683" s="403">
        <v>41895</v>
      </c>
      <c r="L4683" s="398">
        <v>41884</v>
      </c>
      <c r="M4683" s="402">
        <f t="shared" si="271"/>
        <v>11</v>
      </c>
      <c r="N4683" s="402" t="s">
        <v>2</v>
      </c>
      <c r="O4683" s="404">
        <f>1.5/2</f>
        <v>0.75</v>
      </c>
      <c r="P4683" s="402">
        <v>6.8</v>
      </c>
      <c r="Q4683" s="404">
        <v>6.05</v>
      </c>
      <c r="R4683" s="402">
        <v>12</v>
      </c>
      <c r="S4683" s="404">
        <v>7</v>
      </c>
      <c r="T4683" s="402">
        <v>6.06</v>
      </c>
      <c r="U4683" s="395">
        <v>0.45</v>
      </c>
      <c r="V4683" s="402">
        <v>0.08</v>
      </c>
      <c r="W4683" s="404">
        <f>0.005/2</f>
        <v>2.5000000000000001E-3</v>
      </c>
      <c r="X4683" s="402">
        <v>8.4000000000000005E-2</v>
      </c>
      <c r="Y4683" s="404">
        <f>0.002/2</f>
        <v>1E-3</v>
      </c>
      <c r="Z4683" s="397"/>
      <c r="AA4683" s="399"/>
      <c r="AB4683" s="394"/>
      <c r="AC4683" s="402"/>
      <c r="AD4683" s="399"/>
      <c r="AE4683" s="402"/>
      <c r="AF4683" s="391"/>
      <c r="AG4683" s="394"/>
      <c r="AH4683" s="394"/>
      <c r="AI4683" s="394"/>
      <c r="AJ4683" s="394"/>
      <c r="AK4683" s="394"/>
      <c r="AL4683" s="394"/>
      <c r="AM4683" s="394"/>
      <c r="AN4683" s="394"/>
      <c r="AO4683" s="394"/>
      <c r="AP4683" s="394"/>
      <c r="AQ4683" s="394"/>
      <c r="AR4683" s="394"/>
      <c r="AS4683" s="402"/>
      <c r="AT4683" s="404"/>
      <c r="AU4683" s="394"/>
      <c r="AV4683" s="394"/>
    </row>
    <row r="4684" spans="1:48" ht="15" customHeight="1">
      <c r="A4684" s="404" t="s">
        <v>183</v>
      </c>
      <c r="B4684" s="402" t="s">
        <v>3267</v>
      </c>
      <c r="C4684" s="402" t="s">
        <v>3267</v>
      </c>
      <c r="D4684" s="405" t="s">
        <v>861</v>
      </c>
      <c r="E4684" s="404" t="s">
        <v>304</v>
      </c>
      <c r="F4684" s="402" t="s">
        <v>3406</v>
      </c>
      <c r="G4684" s="401" t="s">
        <v>3268</v>
      </c>
      <c r="H4684" s="404">
        <v>3823</v>
      </c>
      <c r="I4684" s="402" t="s">
        <v>1</v>
      </c>
      <c r="J4684" s="406" t="s">
        <v>3269</v>
      </c>
      <c r="K4684" s="403">
        <v>41898</v>
      </c>
      <c r="L4684" s="398">
        <v>41895</v>
      </c>
      <c r="M4684" s="402">
        <f t="shared" si="271"/>
        <v>3</v>
      </c>
      <c r="N4684" s="402" t="s">
        <v>2</v>
      </c>
      <c r="O4684" s="404"/>
      <c r="P4684" s="402"/>
      <c r="Q4684" s="404"/>
      <c r="R4684" s="402"/>
      <c r="S4684" s="404"/>
      <c r="T4684" s="402"/>
      <c r="U4684" s="395"/>
      <c r="V4684" s="402"/>
      <c r="W4684" s="404"/>
      <c r="X4684" s="402"/>
      <c r="Y4684" s="404"/>
      <c r="Z4684" s="397"/>
      <c r="AA4684" s="399"/>
      <c r="AB4684" s="394"/>
      <c r="AC4684" s="402"/>
      <c r="AD4684" s="399"/>
      <c r="AE4684" s="402"/>
      <c r="AF4684" s="391"/>
      <c r="AG4684" s="394"/>
      <c r="AH4684" s="394"/>
      <c r="AI4684" s="394">
        <v>380</v>
      </c>
      <c r="AJ4684" s="394"/>
      <c r="AK4684" s="394"/>
      <c r="AL4684" s="394"/>
      <c r="AM4684" s="394"/>
      <c r="AN4684" s="394"/>
      <c r="AO4684" s="394"/>
      <c r="AP4684" s="394"/>
      <c r="AQ4684" s="394"/>
      <c r="AR4684" s="394"/>
      <c r="AS4684" s="402"/>
      <c r="AT4684" s="404"/>
      <c r="AU4684" s="394"/>
      <c r="AV4684" s="394"/>
    </row>
    <row r="4685" spans="1:48" ht="15" customHeight="1">
      <c r="A4685" s="404" t="s">
        <v>183</v>
      </c>
      <c r="B4685" s="402" t="s">
        <v>3267</v>
      </c>
      <c r="C4685" s="402" t="s">
        <v>3267</v>
      </c>
      <c r="D4685" s="405" t="s">
        <v>861</v>
      </c>
      <c r="E4685" s="404" t="s">
        <v>304</v>
      </c>
      <c r="F4685" s="402" t="s">
        <v>3406</v>
      </c>
      <c r="G4685" s="401" t="s">
        <v>3268</v>
      </c>
      <c r="H4685" s="404">
        <v>3823</v>
      </c>
      <c r="I4685" s="402" t="s">
        <v>1</v>
      </c>
      <c r="J4685" s="406" t="s">
        <v>3269</v>
      </c>
      <c r="K4685" s="403">
        <v>41689</v>
      </c>
      <c r="L4685" s="398">
        <v>41657</v>
      </c>
      <c r="M4685" s="402">
        <f t="shared" si="271"/>
        <v>32</v>
      </c>
      <c r="N4685" s="402"/>
      <c r="O4685" s="404"/>
      <c r="P4685" s="402"/>
      <c r="Q4685" s="404"/>
      <c r="R4685" s="402"/>
      <c r="S4685" s="404"/>
      <c r="T4685" s="402"/>
      <c r="U4685" s="395"/>
      <c r="V4685" s="402"/>
      <c r="W4685" s="404"/>
      <c r="X4685" s="402"/>
      <c r="Y4685" s="404"/>
      <c r="Z4685" s="397"/>
      <c r="AA4685" s="399"/>
      <c r="AB4685" s="394"/>
      <c r="AC4685" s="402"/>
      <c r="AD4685" s="399"/>
      <c r="AE4685" s="402"/>
      <c r="AF4685" s="391"/>
      <c r="AG4685" s="394"/>
      <c r="AH4685" s="394"/>
      <c r="AI4685" s="394">
        <v>0</v>
      </c>
      <c r="AJ4685" s="394"/>
      <c r="AK4685" s="394"/>
      <c r="AL4685" s="394"/>
      <c r="AM4685" s="394"/>
      <c r="AN4685" s="394"/>
      <c r="AO4685" s="394"/>
      <c r="AP4685" s="394"/>
      <c r="AQ4685" s="394"/>
      <c r="AR4685" s="394"/>
      <c r="AS4685" s="402"/>
      <c r="AT4685" s="404"/>
      <c r="AU4685" s="394"/>
      <c r="AV4685" s="394"/>
    </row>
    <row r="4686" spans="1:48" ht="15" customHeight="1">
      <c r="A4686" s="404" t="s">
        <v>183</v>
      </c>
      <c r="B4686" s="402" t="s">
        <v>4712</v>
      </c>
      <c r="C4686" s="402"/>
      <c r="D4686" s="389" t="s">
        <v>209</v>
      </c>
      <c r="E4686" s="404" t="s">
        <v>4713</v>
      </c>
      <c r="F4686" s="402">
        <v>5200</v>
      </c>
      <c r="G4686" s="401" t="s">
        <v>4748</v>
      </c>
      <c r="H4686" s="404">
        <v>3479</v>
      </c>
      <c r="I4686" s="402" t="s">
        <v>1</v>
      </c>
      <c r="J4686" s="406" t="s">
        <v>890</v>
      </c>
      <c r="K4686" s="403">
        <v>41888</v>
      </c>
      <c r="L4686" s="398">
        <v>41882</v>
      </c>
      <c r="M4686" s="402">
        <f t="shared" si="271"/>
        <v>6</v>
      </c>
      <c r="N4686" s="402" t="s">
        <v>2</v>
      </c>
      <c r="O4686" s="404"/>
      <c r="P4686" s="402"/>
      <c r="Q4686" s="404"/>
      <c r="R4686" s="402"/>
      <c r="S4686" s="404"/>
      <c r="T4686" s="402"/>
      <c r="U4686" s="395"/>
      <c r="V4686" s="402"/>
      <c r="W4686" s="404"/>
      <c r="X4686" s="402">
        <v>0.22500000000000001</v>
      </c>
      <c r="Y4686" s="404"/>
      <c r="Z4686" s="397"/>
      <c r="AA4686" s="399"/>
      <c r="AB4686" s="394"/>
      <c r="AC4686" s="402"/>
      <c r="AD4686" s="399"/>
      <c r="AE4686" s="402"/>
      <c r="AF4686" s="391"/>
      <c r="AG4686" s="394"/>
      <c r="AH4686" s="394"/>
      <c r="AI4686" s="394"/>
      <c r="AJ4686" s="394"/>
      <c r="AK4686" s="394"/>
      <c r="AL4686" s="394"/>
      <c r="AM4686" s="394"/>
      <c r="AN4686" s="394"/>
      <c r="AO4686" s="394"/>
      <c r="AP4686" s="394"/>
      <c r="AQ4686" s="394"/>
      <c r="AR4686" s="394"/>
      <c r="AS4686" s="402"/>
      <c r="AT4686" s="404"/>
      <c r="AU4686" s="394"/>
      <c r="AV4686" s="394"/>
    </row>
    <row r="4687" spans="1:48" ht="15" customHeight="1">
      <c r="A4687" s="404" t="s">
        <v>183</v>
      </c>
      <c r="B4687" s="402" t="s">
        <v>2085</v>
      </c>
      <c r="C4687" s="402" t="s">
        <v>2086</v>
      </c>
      <c r="D4687" s="405" t="s">
        <v>290</v>
      </c>
      <c r="E4687" s="394" t="s">
        <v>2087</v>
      </c>
      <c r="G4687" s="401" t="s">
        <v>3596</v>
      </c>
      <c r="H4687" s="404">
        <v>5541</v>
      </c>
      <c r="I4687" s="402" t="s">
        <v>2</v>
      </c>
      <c r="J4687" s="406" t="s">
        <v>510</v>
      </c>
      <c r="K4687" s="403">
        <v>41882</v>
      </c>
      <c r="L4687" s="398">
        <v>41864</v>
      </c>
      <c r="M4687" s="402">
        <f t="shared" si="271"/>
        <v>18</v>
      </c>
      <c r="N4687" s="402" t="s">
        <v>2</v>
      </c>
      <c r="O4687" s="404"/>
      <c r="P4687" s="402"/>
      <c r="Q4687" s="404"/>
      <c r="R4687" s="402">
        <v>53</v>
      </c>
      <c r="S4687" s="404"/>
      <c r="T4687" s="402"/>
      <c r="U4687" s="395"/>
      <c r="V4687" s="402"/>
      <c r="W4687" s="404"/>
      <c r="X4687" s="402"/>
      <c r="Y4687" s="404"/>
      <c r="Z4687" s="397"/>
      <c r="AA4687" s="399"/>
      <c r="AB4687" s="394"/>
      <c r="AC4687" s="402"/>
      <c r="AD4687" s="399"/>
      <c r="AE4687" s="402"/>
      <c r="AF4687" s="391"/>
      <c r="AG4687" s="394"/>
      <c r="AH4687" s="394"/>
      <c r="AI4687" s="394"/>
      <c r="AJ4687" s="394"/>
      <c r="AK4687" s="394"/>
      <c r="AL4687" s="394"/>
      <c r="AM4687" s="394"/>
      <c r="AN4687" s="394"/>
      <c r="AO4687" s="394"/>
      <c r="AP4687" s="394"/>
      <c r="AQ4687" s="394"/>
      <c r="AR4687" s="394"/>
      <c r="AS4687" s="402"/>
      <c r="AT4687" s="404"/>
      <c r="AU4687" s="394"/>
      <c r="AV4687" s="394"/>
    </row>
    <row r="4688" spans="1:48" ht="15" customHeight="1">
      <c r="A4688" s="404" t="s">
        <v>183</v>
      </c>
      <c r="B4688" s="402" t="s">
        <v>4963</v>
      </c>
      <c r="C4688" s="402" t="s">
        <v>4963</v>
      </c>
      <c r="D4688" s="405" t="s">
        <v>1490</v>
      </c>
      <c r="E4688" s="404" t="s">
        <v>4964</v>
      </c>
      <c r="G4688" s="401" t="s">
        <v>4965</v>
      </c>
      <c r="H4688" s="404">
        <v>3089</v>
      </c>
      <c r="I4688" s="402" t="s">
        <v>2</v>
      </c>
      <c r="J4688" s="406" t="s">
        <v>4967</v>
      </c>
      <c r="K4688" s="403">
        <v>41864</v>
      </c>
      <c r="L4688" s="398"/>
      <c r="M4688" s="402"/>
      <c r="N4688" s="402" t="s">
        <v>2</v>
      </c>
      <c r="O4688" s="404">
        <f>1.5/2</f>
        <v>0.75</v>
      </c>
      <c r="P4688" s="402">
        <v>6.18</v>
      </c>
      <c r="Q4688" s="404">
        <v>6.38</v>
      </c>
      <c r="R4688" s="402">
        <f>10/2</f>
        <v>5</v>
      </c>
      <c r="S4688" s="404">
        <v>46</v>
      </c>
      <c r="T4688" s="402">
        <v>0.08</v>
      </c>
      <c r="U4688" s="395">
        <v>0.81</v>
      </c>
      <c r="V4688" s="402">
        <f>0.001/2</f>
        <v>5.0000000000000001E-4</v>
      </c>
      <c r="W4688" s="404">
        <v>7.0000000000000001E-3</v>
      </c>
      <c r="X4688" s="402">
        <v>0.04</v>
      </c>
      <c r="Y4688" s="404">
        <v>3.0000000000000001E-3</v>
      </c>
      <c r="Z4688" s="397">
        <v>1</v>
      </c>
      <c r="AA4688" s="399">
        <v>1</v>
      </c>
      <c r="AB4688" s="394">
        <v>2</v>
      </c>
      <c r="AC4688" s="402">
        <v>5</v>
      </c>
      <c r="AD4688" s="399">
        <v>1</v>
      </c>
      <c r="AE4688" s="402"/>
      <c r="AF4688" s="391"/>
      <c r="AG4688" s="394"/>
      <c r="AH4688" s="394"/>
      <c r="AI4688" s="394"/>
      <c r="AJ4688" s="394"/>
      <c r="AK4688" s="394"/>
      <c r="AL4688" s="394"/>
      <c r="AM4688" s="394"/>
      <c r="AN4688" s="394"/>
      <c r="AO4688" s="394"/>
      <c r="AP4688" s="394"/>
      <c r="AQ4688" s="394"/>
      <c r="AR4688" s="394"/>
      <c r="AS4688" s="402"/>
      <c r="AT4688" s="404"/>
      <c r="AU4688" s="394"/>
      <c r="AV4688" s="394"/>
    </row>
    <row r="4689" spans="1:49" ht="15" customHeight="1">
      <c r="A4689" s="404" t="s">
        <v>183</v>
      </c>
      <c r="B4689" s="402" t="s">
        <v>4963</v>
      </c>
      <c r="C4689" s="402" t="s">
        <v>4963</v>
      </c>
      <c r="D4689" s="405" t="s">
        <v>1490</v>
      </c>
      <c r="E4689" s="404" t="s">
        <v>4964</v>
      </c>
      <c r="G4689" s="401" t="s">
        <v>4965</v>
      </c>
      <c r="H4689" s="404">
        <v>3089</v>
      </c>
      <c r="I4689" s="402" t="s">
        <v>2</v>
      </c>
      <c r="J4689" s="406" t="s">
        <v>4966</v>
      </c>
      <c r="K4689" s="403">
        <v>41864</v>
      </c>
      <c r="L4689" s="398"/>
      <c r="M4689" s="402"/>
      <c r="N4689" s="402" t="s">
        <v>2</v>
      </c>
      <c r="O4689" s="404">
        <f>1.5/2</f>
        <v>0.75</v>
      </c>
      <c r="P4689" s="402">
        <v>5.96</v>
      </c>
      <c r="Q4689" s="404">
        <v>6.03</v>
      </c>
      <c r="R4689" s="402">
        <f>10/2</f>
        <v>5</v>
      </c>
      <c r="S4689" s="404">
        <f>5/2</f>
        <v>2.5</v>
      </c>
      <c r="T4689" s="402">
        <v>0.04</v>
      </c>
      <c r="U4689" s="395">
        <v>0.26</v>
      </c>
      <c r="V4689" s="402">
        <v>0.02</v>
      </c>
      <c r="W4689" s="404">
        <f>0.005/2</f>
        <v>2.5000000000000001E-3</v>
      </c>
      <c r="X4689" s="402">
        <v>1.0999999999999999E-2</v>
      </c>
      <c r="Y4689" s="404">
        <f>0.002/2</f>
        <v>1E-3</v>
      </c>
      <c r="Z4689" s="397">
        <v>1</v>
      </c>
      <c r="AA4689" s="399">
        <v>1</v>
      </c>
      <c r="AB4689" s="394">
        <f>2/2</f>
        <v>1</v>
      </c>
      <c r="AC4689" s="402">
        <v>3</v>
      </c>
      <c r="AD4689" s="399">
        <v>1</v>
      </c>
      <c r="AE4689" s="402"/>
      <c r="AF4689" s="391"/>
      <c r="AG4689" s="394"/>
      <c r="AH4689" s="394"/>
      <c r="AI4689" s="394"/>
      <c r="AJ4689" s="394"/>
      <c r="AK4689" s="394"/>
      <c r="AL4689" s="394"/>
      <c r="AM4689" s="394"/>
      <c r="AN4689" s="394"/>
      <c r="AO4689" s="394"/>
      <c r="AP4689" s="394"/>
      <c r="AQ4689" s="394"/>
      <c r="AR4689" s="394"/>
      <c r="AS4689" s="402"/>
      <c r="AT4689" s="404"/>
      <c r="AU4689" s="394"/>
      <c r="AV4689" s="394"/>
    </row>
    <row r="4690" spans="1:49" ht="15" customHeight="1">
      <c r="A4690" s="404" t="s">
        <v>183</v>
      </c>
      <c r="B4690" s="402" t="s">
        <v>1886</v>
      </c>
      <c r="C4690" s="402" t="s">
        <v>1886</v>
      </c>
      <c r="D4690" s="405" t="s">
        <v>41</v>
      </c>
      <c r="E4690" s="404" t="s">
        <v>364</v>
      </c>
      <c r="G4690" s="401" t="s">
        <v>1887</v>
      </c>
      <c r="H4690" s="404">
        <v>3724</v>
      </c>
      <c r="I4690" s="402" t="s">
        <v>2</v>
      </c>
      <c r="J4690" s="406" t="s">
        <v>1889</v>
      </c>
      <c r="K4690" s="403">
        <v>41864</v>
      </c>
      <c r="L4690" s="398">
        <v>41854</v>
      </c>
      <c r="M4690" s="402">
        <f>K4690-L4690</f>
        <v>10</v>
      </c>
      <c r="N4690" s="402" t="s">
        <v>2</v>
      </c>
      <c r="O4690" s="404">
        <f>1.5/2</f>
        <v>0.75</v>
      </c>
      <c r="P4690" s="402">
        <v>6.88</v>
      </c>
      <c r="Q4690" s="404">
        <v>6.9</v>
      </c>
      <c r="R4690" s="402">
        <f>10/2</f>
        <v>5</v>
      </c>
      <c r="S4690" s="404">
        <v>12</v>
      </c>
      <c r="T4690" s="402">
        <v>0.03</v>
      </c>
      <c r="U4690" s="395">
        <v>0.3</v>
      </c>
      <c r="V4690" s="402">
        <v>0.06</v>
      </c>
      <c r="W4690" s="404">
        <f>0.005/2</f>
        <v>2.5000000000000001E-3</v>
      </c>
      <c r="X4690" s="402">
        <v>0.03</v>
      </c>
      <c r="Y4690" s="404">
        <f>0.002/2</f>
        <v>1E-3</v>
      </c>
      <c r="Z4690" s="397">
        <v>1</v>
      </c>
      <c r="AA4690" s="399">
        <v>1</v>
      </c>
      <c r="AB4690" s="394"/>
      <c r="AC4690" s="402"/>
      <c r="AD4690" s="399"/>
      <c r="AE4690" s="402"/>
      <c r="AF4690" s="391"/>
      <c r="AG4690" s="394"/>
      <c r="AH4690" s="394"/>
      <c r="AI4690" s="394"/>
      <c r="AJ4690" s="394"/>
      <c r="AK4690" s="394"/>
      <c r="AL4690" s="394"/>
      <c r="AM4690" s="394"/>
      <c r="AN4690" s="394"/>
      <c r="AO4690" s="394"/>
      <c r="AP4690" s="394"/>
      <c r="AQ4690" s="394"/>
      <c r="AR4690" s="394"/>
      <c r="AS4690" s="402"/>
      <c r="AT4690" s="404"/>
      <c r="AU4690" s="394"/>
      <c r="AV4690" s="394"/>
    </row>
    <row r="4691" spans="1:49" ht="15" customHeight="1">
      <c r="A4691" s="404" t="s">
        <v>183</v>
      </c>
      <c r="B4691" s="402" t="s">
        <v>2060</v>
      </c>
      <c r="C4691" s="402" t="s">
        <v>2061</v>
      </c>
      <c r="D4691" s="405" t="s">
        <v>156</v>
      </c>
      <c r="E4691" s="404" t="s">
        <v>1305</v>
      </c>
      <c r="G4691" s="401" t="s">
        <v>2062</v>
      </c>
      <c r="H4691" s="404"/>
      <c r="I4691" s="402"/>
      <c r="J4691" s="406" t="s">
        <v>5727</v>
      </c>
      <c r="K4691" s="403">
        <v>41864</v>
      </c>
      <c r="L4691" s="398"/>
      <c r="M4691" s="402"/>
      <c r="N4691" s="402" t="s">
        <v>2</v>
      </c>
      <c r="O4691" s="404">
        <f>1/2</f>
        <v>0.5</v>
      </c>
      <c r="P4691" s="402"/>
      <c r="Q4691" s="404">
        <v>5.44</v>
      </c>
      <c r="R4691" s="402">
        <v>11.3</v>
      </c>
      <c r="S4691" s="404">
        <v>15</v>
      </c>
      <c r="T4691" s="402">
        <v>0.05</v>
      </c>
      <c r="U4691" s="395">
        <v>0.54</v>
      </c>
      <c r="V4691" s="402">
        <f>0.1/2</f>
        <v>0.05</v>
      </c>
      <c r="W4691" s="404">
        <v>6.0000000000000001E-3</v>
      </c>
      <c r="X4691" s="402">
        <v>1.6E-2</v>
      </c>
      <c r="Y4691" s="404">
        <f>0.002/2</f>
        <v>1E-3</v>
      </c>
      <c r="Z4691" s="397"/>
      <c r="AA4691" s="399"/>
      <c r="AB4691" s="394"/>
      <c r="AC4691" s="402"/>
      <c r="AD4691" s="399"/>
      <c r="AE4691" s="402"/>
      <c r="AF4691" s="391"/>
      <c r="AG4691" s="394"/>
      <c r="AH4691" s="394"/>
      <c r="AI4691" s="394"/>
      <c r="AJ4691" s="394"/>
      <c r="AK4691" s="394"/>
      <c r="AL4691" s="394"/>
      <c r="AM4691" s="394"/>
      <c r="AN4691" s="394"/>
      <c r="AO4691" s="394"/>
      <c r="AP4691" s="394"/>
      <c r="AQ4691" s="394"/>
      <c r="AR4691" s="394"/>
      <c r="AS4691" s="402"/>
      <c r="AT4691" s="404"/>
      <c r="AU4691" s="394"/>
      <c r="AV4691" s="394"/>
    </row>
    <row r="4692" spans="1:49" ht="15" customHeight="1">
      <c r="A4692" s="41" t="s">
        <v>5328</v>
      </c>
      <c r="B4692" s="402" t="s">
        <v>2643</v>
      </c>
      <c r="C4692" s="402" t="s">
        <v>2000</v>
      </c>
      <c r="D4692" s="401" t="s">
        <v>290</v>
      </c>
      <c r="E4692" s="402" t="s">
        <v>112</v>
      </c>
      <c r="G4692" s="393" t="s">
        <v>3995</v>
      </c>
      <c r="H4692" s="402">
        <v>1623</v>
      </c>
      <c r="I4692" s="391" t="s">
        <v>2</v>
      </c>
      <c r="J4692" s="402"/>
      <c r="K4692" s="403">
        <v>41345</v>
      </c>
      <c r="L4692" s="379">
        <v>41342</v>
      </c>
      <c r="M4692" s="402">
        <f t="shared" ref="M4692" si="272">K4692-L4692</f>
        <v>3</v>
      </c>
      <c r="N4692" s="402" t="s">
        <v>2</v>
      </c>
      <c r="O4692" s="404">
        <v>0.7</v>
      </c>
      <c r="P4692" s="380">
        <v>4.21</v>
      </c>
      <c r="Q4692" s="395">
        <v>7.02</v>
      </c>
      <c r="R4692" s="402">
        <v>47</v>
      </c>
      <c r="S4692" s="404">
        <v>48</v>
      </c>
      <c r="T4692" s="402">
        <v>0.21</v>
      </c>
      <c r="U4692" s="404">
        <v>1.55</v>
      </c>
      <c r="V4692" s="402">
        <v>0.3</v>
      </c>
      <c r="W4692" s="404">
        <v>1.7999999999999999E-2</v>
      </c>
      <c r="X4692" s="402">
        <v>7.6999999999999999E-2</v>
      </c>
      <c r="Y4692" s="404">
        <v>2.5999999999999999E-2</v>
      </c>
      <c r="Z4692" s="396">
        <v>1</v>
      </c>
      <c r="AA4692" s="397">
        <v>1</v>
      </c>
      <c r="AB4692" s="402">
        <v>126</v>
      </c>
      <c r="AC4692" s="404">
        <v>2233</v>
      </c>
      <c r="AD4692" s="396">
        <v>0.95</v>
      </c>
      <c r="AE4692" s="386"/>
      <c r="AF4692" s="402"/>
      <c r="AG4692" s="386"/>
      <c r="AH4692" s="386"/>
      <c r="AI4692"/>
      <c r="AJ4692"/>
      <c r="AK4692"/>
      <c r="AL4692"/>
      <c r="AM4692"/>
      <c r="AN4692"/>
      <c r="AO4692"/>
      <c r="AP4692"/>
      <c r="AQ4692"/>
      <c r="AR4692"/>
      <c r="AS4692"/>
      <c r="AT4692"/>
      <c r="AU4692"/>
      <c r="AV4692"/>
      <c r="AW4692"/>
    </row>
    <row r="4693" spans="1:49" ht="15" customHeight="1">
      <c r="A4693" s="41" t="s">
        <v>5328</v>
      </c>
      <c r="B4693" s="402" t="s">
        <v>2643</v>
      </c>
      <c r="C4693" s="402" t="s">
        <v>2643</v>
      </c>
      <c r="D4693" s="401" t="s">
        <v>290</v>
      </c>
      <c r="E4693" s="402" t="s">
        <v>112</v>
      </c>
      <c r="G4693" s="393" t="s">
        <v>3995</v>
      </c>
      <c r="H4693" s="402">
        <v>4952</v>
      </c>
      <c r="I4693" s="391" t="s">
        <v>1</v>
      </c>
      <c r="J4693" s="402" t="s">
        <v>5956</v>
      </c>
      <c r="K4693" s="403">
        <v>41585</v>
      </c>
      <c r="L4693" s="379">
        <v>41564</v>
      </c>
      <c r="M4693" s="402">
        <f>K4693-L4693</f>
        <v>21</v>
      </c>
      <c r="N4693" s="385" t="s">
        <v>2</v>
      </c>
      <c r="O4693" s="404">
        <v>2.1</v>
      </c>
      <c r="P4693" s="380">
        <v>4.5</v>
      </c>
      <c r="Q4693" s="395">
        <v>6.7</v>
      </c>
      <c r="R4693" s="402">
        <v>100</v>
      </c>
      <c r="S4693" s="404">
        <v>13</v>
      </c>
      <c r="T4693" s="402">
        <v>0.26</v>
      </c>
      <c r="U4693" s="404">
        <v>1.73</v>
      </c>
      <c r="V4693" s="402">
        <v>0.46</v>
      </c>
      <c r="W4693" s="404">
        <v>2.7E-2</v>
      </c>
      <c r="X4693" s="402">
        <v>2.3E-2</v>
      </c>
      <c r="Y4693" s="404">
        <v>3.4000000000000002E-2</v>
      </c>
      <c r="Z4693" s="396">
        <v>1</v>
      </c>
      <c r="AA4693" s="397">
        <v>0.73799999999999999</v>
      </c>
      <c r="AB4693" s="402">
        <v>6</v>
      </c>
      <c r="AC4693" s="404">
        <v>23</v>
      </c>
      <c r="AD4693" s="396">
        <v>0.15</v>
      </c>
      <c r="AE4693" s="404" t="s">
        <v>2370</v>
      </c>
      <c r="AF4693" s="402"/>
      <c r="AG4693" s="404"/>
      <c r="AH4693" s="404" t="s">
        <v>2370</v>
      </c>
      <c r="AI4693"/>
      <c r="AJ4693"/>
      <c r="AK4693"/>
      <c r="AL4693"/>
      <c r="AM4693"/>
      <c r="AN4693"/>
      <c r="AO4693"/>
      <c r="AP4693"/>
      <c r="AQ4693"/>
      <c r="AR4693"/>
      <c r="AS4693"/>
      <c r="AT4693"/>
      <c r="AU4693"/>
      <c r="AV4693"/>
      <c r="AW4693"/>
    </row>
    <row r="4694" spans="1:49" ht="15" customHeight="1">
      <c r="A4694" s="41" t="s">
        <v>5328</v>
      </c>
      <c r="B4694" s="402" t="s">
        <v>220</v>
      </c>
      <c r="C4694" s="113" t="s">
        <v>220</v>
      </c>
      <c r="D4694" s="393" t="s">
        <v>41</v>
      </c>
      <c r="E4694" s="394" t="s">
        <v>221</v>
      </c>
      <c r="G4694" s="405" t="s">
        <v>222</v>
      </c>
      <c r="H4694" s="74" t="s">
        <v>223</v>
      </c>
      <c r="I4694" s="50" t="s">
        <v>1</v>
      </c>
      <c r="J4694" s="339" t="s">
        <v>225</v>
      </c>
      <c r="K4694" s="51">
        <v>41934</v>
      </c>
      <c r="L4694" s="173">
        <v>41930</v>
      </c>
      <c r="M4694" s="50">
        <f>K4694-L4694</f>
        <v>4</v>
      </c>
      <c r="N4694" s="50" t="s">
        <v>2</v>
      </c>
      <c r="X4694" s="50">
        <v>8.6999999999999994E-2</v>
      </c>
      <c r="Z4694" s="165"/>
      <c r="AA4694"/>
      <c r="AB4694"/>
      <c r="AC4694"/>
      <c r="AD4694"/>
      <c r="AE4694"/>
      <c r="AF4694"/>
      <c r="AG4694"/>
      <c r="AH4694"/>
      <c r="AI4694"/>
      <c r="AJ4694"/>
      <c r="AK4694"/>
      <c r="AL4694"/>
      <c r="AM4694"/>
      <c r="AN4694"/>
      <c r="AO4694"/>
      <c r="AP4694"/>
      <c r="AQ4694"/>
      <c r="AR4694"/>
      <c r="AS4694"/>
      <c r="AT4694"/>
      <c r="AU4694"/>
      <c r="AV4694"/>
      <c r="AW4694"/>
    </row>
    <row r="4695" spans="1:49" ht="15" customHeight="1">
      <c r="A4695" s="41" t="s">
        <v>5328</v>
      </c>
      <c r="B4695" s="402" t="s">
        <v>6213</v>
      </c>
      <c r="C4695" s="113" t="s">
        <v>6214</v>
      </c>
      <c r="D4695" s="393" t="s">
        <v>192</v>
      </c>
      <c r="E4695" s="394" t="s">
        <v>1546</v>
      </c>
      <c r="F4695" s="402" t="s">
        <v>6215</v>
      </c>
      <c r="G4695" s="405" t="s">
        <v>6216</v>
      </c>
      <c r="H4695" s="74">
        <v>4231</v>
      </c>
      <c r="I4695" s="50" t="s">
        <v>1</v>
      </c>
      <c r="J4695" s="339" t="s">
        <v>194</v>
      </c>
      <c r="K4695" s="51">
        <v>41864</v>
      </c>
      <c r="L4695" s="173">
        <v>41856</v>
      </c>
      <c r="M4695" s="50">
        <f>K4695-L4695</f>
        <v>8</v>
      </c>
      <c r="N4695" s="50" t="s">
        <v>2</v>
      </c>
      <c r="Z4695" s="165"/>
      <c r="AA4695"/>
      <c r="AB4695"/>
      <c r="AC4695"/>
      <c r="AD4695"/>
      <c r="AE4695">
        <v>14000</v>
      </c>
      <c r="AF4695"/>
      <c r="AG4695"/>
      <c r="AH4695"/>
      <c r="AI4695"/>
      <c r="AJ4695"/>
      <c r="AK4695"/>
      <c r="AL4695"/>
      <c r="AM4695"/>
      <c r="AN4695"/>
      <c r="AO4695"/>
      <c r="AP4695"/>
      <c r="AQ4695"/>
      <c r="AR4695"/>
      <c r="AS4695"/>
      <c r="AT4695"/>
      <c r="AU4695"/>
      <c r="AV4695"/>
      <c r="AW4695"/>
    </row>
    <row r="4696" spans="1:49" ht="15" customHeight="1">
      <c r="A4696" s="41" t="s">
        <v>5328</v>
      </c>
      <c r="B4696" s="402" t="s">
        <v>4739</v>
      </c>
      <c r="C4696" s="113" t="s">
        <v>4739</v>
      </c>
      <c r="D4696" s="393" t="s">
        <v>89</v>
      </c>
      <c r="E4696" s="394" t="s">
        <v>3579</v>
      </c>
      <c r="G4696" s="405" t="s">
        <v>4740</v>
      </c>
      <c r="H4696" s="404">
        <v>2096</v>
      </c>
      <c r="I4696" s="402" t="s">
        <v>2</v>
      </c>
      <c r="J4696" s="406" t="s">
        <v>4741</v>
      </c>
      <c r="K4696" s="51">
        <v>41864</v>
      </c>
      <c r="L4696" s="173">
        <v>41853</v>
      </c>
      <c r="M4696" s="50">
        <f>K4696-L4696</f>
        <v>11</v>
      </c>
      <c r="N4696" s="50" t="s">
        <v>2</v>
      </c>
      <c r="O4696" s="74">
        <f>1/2</f>
        <v>0.5</v>
      </c>
      <c r="R4696" s="50">
        <v>46</v>
      </c>
      <c r="U4696" s="131">
        <v>0.85</v>
      </c>
      <c r="X4696" s="50">
        <v>0.19</v>
      </c>
      <c r="Z4696" s="165"/>
      <c r="AA4696"/>
      <c r="AB4696"/>
      <c r="AC4696"/>
      <c r="AD4696"/>
      <c r="AE4696"/>
      <c r="AF4696"/>
      <c r="AG4696"/>
      <c r="AH4696"/>
      <c r="AI4696"/>
      <c r="AJ4696"/>
      <c r="AK4696"/>
      <c r="AL4696"/>
      <c r="AM4696"/>
      <c r="AN4696"/>
      <c r="AO4696"/>
      <c r="AP4696"/>
      <c r="AQ4696"/>
      <c r="AR4696"/>
      <c r="AS4696"/>
      <c r="AT4696"/>
      <c r="AU4696"/>
      <c r="AV4696"/>
      <c r="AW4696"/>
    </row>
    <row r="4697" spans="1:49" ht="15" customHeight="1">
      <c r="A4697" s="41" t="s">
        <v>5328</v>
      </c>
      <c r="B4697" s="402" t="s">
        <v>956</v>
      </c>
      <c r="C4697" s="113" t="s">
        <v>5229</v>
      </c>
      <c r="D4697" s="393" t="s">
        <v>1881</v>
      </c>
      <c r="G4697" s="405" t="s">
        <v>5230</v>
      </c>
      <c r="H4697" s="74">
        <v>4151</v>
      </c>
      <c r="I4697" s="50" t="s">
        <v>2</v>
      </c>
      <c r="J4697" s="339" t="s">
        <v>3144</v>
      </c>
      <c r="K4697" s="51">
        <v>41895</v>
      </c>
      <c r="L4697" s="173">
        <v>41882</v>
      </c>
      <c r="N4697" s="50" t="s">
        <v>2</v>
      </c>
      <c r="O4697" s="74">
        <f>1/2</f>
        <v>0.5</v>
      </c>
      <c r="P4697" s="50">
        <v>6.71</v>
      </c>
      <c r="Q4697" s="74">
        <v>6.74</v>
      </c>
      <c r="R4697" s="50">
        <v>107</v>
      </c>
      <c r="S4697" s="74">
        <v>147</v>
      </c>
      <c r="T4697" s="50">
        <v>0.26</v>
      </c>
      <c r="U4697" s="131">
        <v>1.59</v>
      </c>
      <c r="V4697" s="50">
        <v>0.2</v>
      </c>
      <c r="W4697" s="74">
        <v>0.02</v>
      </c>
      <c r="X4697" s="50">
        <v>0.05</v>
      </c>
      <c r="Y4697" s="74">
        <f>0.02/2</f>
        <v>0.01</v>
      </c>
      <c r="Z4697" s="165">
        <v>0.66700000000000004</v>
      </c>
      <c r="AA4697">
        <v>0.375</v>
      </c>
      <c r="AB4697">
        <v>7.6</v>
      </c>
      <c r="AC4697">
        <v>342</v>
      </c>
      <c r="AD4697">
        <v>0.05</v>
      </c>
      <c r="AE4697"/>
      <c r="AF4697"/>
      <c r="AG4697"/>
      <c r="AH4697"/>
      <c r="AI4697"/>
      <c r="AJ4697"/>
      <c r="AK4697"/>
      <c r="AL4697"/>
      <c r="AM4697"/>
      <c r="AN4697"/>
      <c r="AO4697"/>
      <c r="AP4697"/>
      <c r="AQ4697"/>
      <c r="AR4697"/>
      <c r="AS4697"/>
      <c r="AT4697"/>
      <c r="AU4697"/>
      <c r="AV4697"/>
      <c r="AW4697"/>
    </row>
    <row r="4698" spans="1:49" ht="15" customHeight="1">
      <c r="A4698" s="41" t="s">
        <v>5328</v>
      </c>
      <c r="B4698" s="402" t="s">
        <v>5825</v>
      </c>
      <c r="C4698" s="113" t="s">
        <v>5826</v>
      </c>
      <c r="D4698" s="393" t="s">
        <v>41</v>
      </c>
      <c r="E4698" s="394" t="s">
        <v>1933</v>
      </c>
      <c r="G4698" s="405" t="s">
        <v>1934</v>
      </c>
      <c r="H4698" s="404">
        <v>2051</v>
      </c>
      <c r="I4698" s="402" t="s">
        <v>2</v>
      </c>
      <c r="J4698" s="401" t="s">
        <v>1119</v>
      </c>
      <c r="K4698" s="51">
        <v>41180</v>
      </c>
      <c r="L4698" s="173"/>
      <c r="M4698" s="402"/>
      <c r="N4698" s="50" t="s">
        <v>2</v>
      </c>
      <c r="O4698" s="74">
        <v>33</v>
      </c>
      <c r="Q4698" s="74">
        <v>6.6</v>
      </c>
      <c r="R4698" s="50">
        <v>184</v>
      </c>
      <c r="S4698" s="74">
        <v>194</v>
      </c>
      <c r="T4698" s="50">
        <v>1.06</v>
      </c>
      <c r="U4698" s="131">
        <v>6.37</v>
      </c>
      <c r="V4698" s="50">
        <v>1.61</v>
      </c>
      <c r="W4698" s="74">
        <v>3.1E-2</v>
      </c>
      <c r="X4698" s="50">
        <v>0.41599999999999998</v>
      </c>
      <c r="Y4698" s="74">
        <f>0.03/2</f>
        <v>1.4999999999999999E-2</v>
      </c>
      <c r="Z4698" s="165"/>
      <c r="AA4698"/>
      <c r="AB4698"/>
      <c r="AC4698"/>
      <c r="AD4698"/>
      <c r="AE4698"/>
      <c r="AF4698"/>
      <c r="AG4698"/>
      <c r="AH4698"/>
      <c r="AI4698"/>
      <c r="AJ4698"/>
      <c r="AK4698"/>
      <c r="AL4698"/>
      <c r="AM4698"/>
      <c r="AN4698"/>
      <c r="AO4698"/>
      <c r="AP4698"/>
      <c r="AQ4698"/>
      <c r="AR4698"/>
      <c r="AS4698"/>
      <c r="AT4698"/>
      <c r="AU4698"/>
      <c r="AV4698"/>
      <c r="AW4698"/>
    </row>
    <row r="4699" spans="1:49" ht="15" customHeight="1">
      <c r="A4699" s="41" t="s">
        <v>5328</v>
      </c>
      <c r="B4699" s="402" t="s">
        <v>5825</v>
      </c>
      <c r="C4699" s="113" t="s">
        <v>5826</v>
      </c>
      <c r="D4699" s="393" t="s">
        <v>41</v>
      </c>
      <c r="E4699" s="394" t="s">
        <v>1933</v>
      </c>
      <c r="G4699" s="405" t="s">
        <v>1934</v>
      </c>
      <c r="H4699" s="404">
        <v>2051</v>
      </c>
      <c r="I4699" s="402" t="s">
        <v>2</v>
      </c>
      <c r="J4699" s="401" t="s">
        <v>1119</v>
      </c>
      <c r="K4699" s="51">
        <v>41737</v>
      </c>
      <c r="L4699" s="173"/>
      <c r="M4699" s="402"/>
      <c r="N4699" s="50" t="s">
        <v>2</v>
      </c>
      <c r="O4699" s="74">
        <v>25.2</v>
      </c>
      <c r="P4699" s="50">
        <v>6.6</v>
      </c>
      <c r="Q4699" s="74">
        <v>6.6</v>
      </c>
      <c r="R4699" s="50">
        <v>837</v>
      </c>
      <c r="S4699" s="74">
        <v>972</v>
      </c>
      <c r="T4699" s="50">
        <v>1.39</v>
      </c>
      <c r="U4699" s="131">
        <v>11.2</v>
      </c>
      <c r="V4699" s="50">
        <f>0.1/2</f>
        <v>0.05</v>
      </c>
      <c r="W4699" s="74">
        <v>0.52700000000000002</v>
      </c>
      <c r="X4699" s="50">
        <v>5.0999999999999996</v>
      </c>
      <c r="Y4699" s="74">
        <v>0.19400000000000001</v>
      </c>
      <c r="Z4699" s="165"/>
      <c r="AA4699"/>
      <c r="AB4699"/>
      <c r="AC4699"/>
      <c r="AD4699"/>
      <c r="AE4699"/>
      <c r="AF4699"/>
      <c r="AG4699"/>
      <c r="AH4699"/>
      <c r="AI4699"/>
      <c r="AJ4699"/>
      <c r="AK4699"/>
      <c r="AL4699"/>
      <c r="AM4699"/>
      <c r="AN4699"/>
      <c r="AO4699"/>
      <c r="AP4699"/>
      <c r="AQ4699"/>
      <c r="AR4699"/>
      <c r="AS4699"/>
      <c r="AT4699"/>
      <c r="AU4699"/>
      <c r="AV4699"/>
      <c r="AW4699"/>
    </row>
    <row r="4700" spans="1:49" ht="15" customHeight="1">
      <c r="A4700" s="41" t="s">
        <v>5328</v>
      </c>
      <c r="B4700" s="50" t="s">
        <v>2761</v>
      </c>
      <c r="C4700" s="50" t="s">
        <v>1840</v>
      </c>
      <c r="D4700" s="48" t="s">
        <v>406</v>
      </c>
      <c r="E4700" s="50" t="s">
        <v>398</v>
      </c>
      <c r="F4700" s="50"/>
      <c r="G4700" s="76" t="s">
        <v>1806</v>
      </c>
      <c r="H4700" s="50"/>
      <c r="I4700" s="49"/>
      <c r="J4700" s="50" t="s">
        <v>2762</v>
      </c>
      <c r="K4700" s="51">
        <v>41108</v>
      </c>
      <c r="L4700" s="115">
        <v>41105</v>
      </c>
      <c r="M4700" s="402">
        <f>K4700-L4700</f>
        <v>3</v>
      </c>
      <c r="N4700" s="50" t="s">
        <v>2</v>
      </c>
      <c r="O4700" s="131">
        <f>1.4/2</f>
        <v>0.7</v>
      </c>
      <c r="P4700" s="117">
        <v>6.1</v>
      </c>
      <c r="Q4700" s="131">
        <v>7.04</v>
      </c>
      <c r="R4700" s="50">
        <v>36</v>
      </c>
      <c r="S4700" s="74">
        <v>8.5</v>
      </c>
      <c r="T4700" s="50">
        <v>0.17</v>
      </c>
      <c r="U4700" s="74">
        <v>2.2400000000000002</v>
      </c>
      <c r="V4700" s="50">
        <v>0.83</v>
      </c>
      <c r="W4700" s="74">
        <v>1.4E-2</v>
      </c>
      <c r="X4700" s="50">
        <v>0.11899999999999999</v>
      </c>
      <c r="Y4700" s="74">
        <f>0.002/2</f>
        <v>1E-3</v>
      </c>
      <c r="Z4700" s="164">
        <v>1</v>
      </c>
      <c r="AA4700" s="165">
        <v>1</v>
      </c>
      <c r="AB4700" s="50">
        <v>18</v>
      </c>
      <c r="AC4700" s="74">
        <v>156</v>
      </c>
      <c r="AD4700" s="164">
        <v>1</v>
      </c>
      <c r="AF4700" s="113"/>
      <c r="AG4700" s="54"/>
      <c r="AH4700" s="54"/>
      <c r="AI4700" s="113"/>
      <c r="AJ4700" s="50"/>
      <c r="AK4700" s="74"/>
      <c r="AL4700" s="74"/>
      <c r="AM4700" s="74"/>
      <c r="AN4700" s="74"/>
      <c r="AO4700" s="74"/>
      <c r="AP4700" s="74"/>
      <c r="AQ4700" s="74"/>
      <c r="AR4700" s="74"/>
      <c r="AS4700" s="74"/>
      <c r="AU4700" s="74"/>
      <c r="AV4700"/>
      <c r="AW4700"/>
    </row>
    <row r="4701" spans="1:49" ht="15" customHeight="1">
      <c r="P4701" s="74"/>
      <c r="R4701" s="74"/>
      <c r="T4701" s="74"/>
      <c r="U4701" s="74"/>
      <c r="V4701" s="74"/>
      <c r="X4701" s="74"/>
      <c r="AA4701"/>
      <c r="AB4701"/>
      <c r="AC4701"/>
      <c r="AD4701"/>
      <c r="AE4701"/>
      <c r="AF4701"/>
      <c r="AG4701"/>
      <c r="AH4701"/>
      <c r="AI4701"/>
      <c r="AJ4701"/>
      <c r="AK4701"/>
      <c r="AL4701"/>
      <c r="AM4701"/>
      <c r="AN4701"/>
      <c r="AO4701"/>
      <c r="AP4701"/>
      <c r="AQ4701"/>
      <c r="AR4701"/>
      <c r="AS4701"/>
      <c r="AT4701"/>
      <c r="AU4701"/>
      <c r="AV4701"/>
      <c r="AW4701"/>
    </row>
    <row r="4702" spans="1:49">
      <c r="K4702" s="403"/>
    </row>
    <row r="4703" spans="1:49" ht="15" thickBot="1">
      <c r="K4703" s="403"/>
      <c r="V4703" s="37"/>
      <c r="AA4703"/>
      <c r="AB4703"/>
      <c r="AC4703"/>
      <c r="AD4703"/>
      <c r="AE4703" s="96"/>
      <c r="AF4703"/>
      <c r="AG4703"/>
      <c r="AH4703"/>
      <c r="AI4703"/>
      <c r="AJ4703"/>
      <c r="AK4703"/>
      <c r="AL4703"/>
      <c r="AM4703"/>
      <c r="AN4703"/>
      <c r="AO4703"/>
      <c r="AP4703"/>
      <c r="AQ4703"/>
      <c r="AR4703"/>
      <c r="AS4703"/>
      <c r="AT4703"/>
      <c r="AU4703"/>
      <c r="AV4703"/>
      <c r="AW4703"/>
    </row>
    <row r="4704" spans="1:49">
      <c r="K4704" s="403"/>
      <c r="V4704" s="386"/>
      <c r="AA4704"/>
      <c r="AB4704"/>
      <c r="AC4704"/>
      <c r="AD4704"/>
      <c r="AE4704" s="386"/>
      <c r="AF4704"/>
      <c r="AG4704"/>
      <c r="AH4704"/>
      <c r="AI4704"/>
      <c r="AJ4704"/>
      <c r="AK4704"/>
      <c r="AL4704"/>
      <c r="AM4704"/>
      <c r="AN4704"/>
      <c r="AO4704"/>
      <c r="AP4704"/>
      <c r="AQ4704"/>
      <c r="AR4704"/>
      <c r="AS4704"/>
      <c r="AT4704"/>
      <c r="AU4704"/>
      <c r="AV4704"/>
      <c r="AW4704"/>
    </row>
    <row r="4705" spans="1:49">
      <c r="H4705" s="51"/>
      <c r="J4705" s="260"/>
      <c r="K4705" s="403"/>
      <c r="V4705" s="402"/>
      <c r="AA4705"/>
      <c r="AB4705"/>
      <c r="AC4705"/>
      <c r="AD4705"/>
      <c r="AE4705" s="402"/>
      <c r="AF4705"/>
      <c r="AG4705"/>
      <c r="AH4705"/>
      <c r="AI4705"/>
      <c r="AJ4705"/>
      <c r="AK4705"/>
      <c r="AL4705"/>
      <c r="AM4705"/>
      <c r="AN4705"/>
      <c r="AO4705"/>
      <c r="AP4705"/>
      <c r="AQ4705"/>
      <c r="AR4705"/>
      <c r="AS4705"/>
      <c r="AT4705"/>
      <c r="AU4705"/>
      <c r="AV4705"/>
      <c r="AW4705"/>
    </row>
    <row r="4706" spans="1:49">
      <c r="H4706" s="51"/>
      <c r="K4706" s="403"/>
      <c r="L4706" s="54"/>
      <c r="V4706" s="402"/>
      <c r="AA4706"/>
      <c r="AB4706"/>
      <c r="AC4706"/>
      <c r="AD4706"/>
      <c r="AE4706" s="402"/>
      <c r="AF4706"/>
      <c r="AG4706"/>
      <c r="AH4706"/>
      <c r="AI4706"/>
      <c r="AJ4706"/>
      <c r="AK4706"/>
      <c r="AL4706"/>
      <c r="AM4706"/>
      <c r="AN4706"/>
      <c r="AO4706"/>
      <c r="AP4706"/>
      <c r="AQ4706"/>
      <c r="AR4706"/>
      <c r="AS4706"/>
      <c r="AT4706"/>
      <c r="AU4706"/>
      <c r="AV4706"/>
      <c r="AW4706"/>
    </row>
    <row r="4707" spans="1:49">
      <c r="H4707" s="51"/>
      <c r="J4707" s="260"/>
      <c r="K4707" s="403"/>
      <c r="L4707" s="50"/>
      <c r="V4707" s="402"/>
      <c r="AA4707"/>
      <c r="AB4707"/>
      <c r="AC4707"/>
      <c r="AD4707"/>
      <c r="AE4707" s="402"/>
      <c r="AF4707"/>
      <c r="AG4707"/>
      <c r="AH4707"/>
      <c r="AI4707"/>
      <c r="AJ4707"/>
      <c r="AK4707"/>
      <c r="AL4707"/>
      <c r="AM4707"/>
      <c r="AN4707"/>
      <c r="AO4707"/>
      <c r="AP4707"/>
      <c r="AQ4707"/>
      <c r="AR4707"/>
      <c r="AS4707"/>
      <c r="AT4707"/>
      <c r="AU4707"/>
      <c r="AV4707"/>
      <c r="AW4707"/>
    </row>
    <row r="4708" spans="1:49">
      <c r="H4708" s="51"/>
      <c r="J4708" s="260"/>
      <c r="K4708" s="403"/>
      <c r="L4708" s="50"/>
      <c r="V4708" s="402"/>
      <c r="AA4708"/>
      <c r="AB4708"/>
      <c r="AC4708"/>
      <c r="AD4708"/>
      <c r="AE4708" s="402"/>
      <c r="AF4708"/>
      <c r="AG4708"/>
      <c r="AH4708"/>
      <c r="AI4708"/>
      <c r="AJ4708"/>
      <c r="AK4708"/>
      <c r="AL4708"/>
      <c r="AM4708"/>
      <c r="AN4708"/>
      <c r="AO4708"/>
      <c r="AP4708"/>
      <c r="AQ4708"/>
      <c r="AR4708"/>
      <c r="AS4708"/>
      <c r="AT4708"/>
      <c r="AU4708"/>
      <c r="AV4708"/>
      <c r="AW4708"/>
    </row>
    <row r="4709" spans="1:49">
      <c r="H4709" s="51"/>
      <c r="J4709" s="260"/>
      <c r="K4709" s="403"/>
      <c r="L4709" s="50"/>
      <c r="V4709" s="402"/>
      <c r="AA4709"/>
      <c r="AB4709"/>
      <c r="AC4709"/>
      <c r="AD4709"/>
      <c r="AE4709"/>
      <c r="AF4709"/>
      <c r="AG4709"/>
      <c r="AH4709"/>
      <c r="AI4709"/>
      <c r="AJ4709"/>
      <c r="AK4709"/>
      <c r="AL4709"/>
      <c r="AM4709"/>
      <c r="AN4709"/>
      <c r="AO4709"/>
      <c r="AP4709"/>
      <c r="AQ4709"/>
      <c r="AR4709"/>
      <c r="AS4709"/>
      <c r="AT4709"/>
      <c r="AU4709"/>
      <c r="AV4709"/>
      <c r="AW4709"/>
    </row>
    <row r="4710" spans="1:49">
      <c r="H4710" s="51"/>
      <c r="J4710" s="260"/>
      <c r="K4710" s="403"/>
      <c r="L4710" s="50"/>
      <c r="V4710" s="402"/>
      <c r="AA4710"/>
      <c r="AB4710"/>
      <c r="AC4710"/>
      <c r="AD4710"/>
      <c r="AE4710"/>
      <c r="AF4710"/>
      <c r="AG4710"/>
      <c r="AH4710"/>
      <c r="AI4710"/>
      <c r="AJ4710"/>
      <c r="AK4710"/>
      <c r="AL4710"/>
      <c r="AM4710"/>
      <c r="AN4710"/>
      <c r="AO4710"/>
      <c r="AP4710"/>
      <c r="AQ4710"/>
      <c r="AR4710"/>
      <c r="AS4710"/>
      <c r="AT4710"/>
      <c r="AU4710"/>
      <c r="AV4710"/>
      <c r="AW4710"/>
    </row>
    <row r="4711" spans="1:49">
      <c r="H4711" s="51"/>
      <c r="J4711" s="260"/>
      <c r="K4711" s="403"/>
      <c r="L4711" s="50"/>
      <c r="AA4711"/>
      <c r="AB4711"/>
      <c r="AC4711"/>
      <c r="AD4711"/>
      <c r="AE4711"/>
      <c r="AF4711"/>
      <c r="AG4711"/>
      <c r="AH4711"/>
      <c r="AI4711"/>
      <c r="AJ4711"/>
      <c r="AK4711"/>
      <c r="AL4711"/>
      <c r="AM4711"/>
      <c r="AN4711"/>
      <c r="AO4711"/>
      <c r="AP4711"/>
      <c r="AQ4711"/>
      <c r="AR4711"/>
      <c r="AS4711"/>
      <c r="AT4711"/>
      <c r="AU4711"/>
      <c r="AV4711"/>
      <c r="AW4711"/>
    </row>
    <row r="4712" spans="1:49">
      <c r="H4712" s="51"/>
      <c r="J4712" s="260"/>
      <c r="K4712" s="403"/>
      <c r="AA4712"/>
      <c r="AB4712"/>
      <c r="AC4712"/>
      <c r="AD4712"/>
      <c r="AE4712"/>
      <c r="AF4712"/>
      <c r="AG4712"/>
      <c r="AH4712"/>
      <c r="AI4712"/>
      <c r="AJ4712"/>
      <c r="AK4712"/>
      <c r="AL4712"/>
      <c r="AM4712"/>
      <c r="AN4712"/>
      <c r="AO4712"/>
      <c r="AP4712"/>
      <c r="AQ4712"/>
      <c r="AR4712"/>
      <c r="AS4712"/>
      <c r="AT4712"/>
      <c r="AU4712"/>
      <c r="AV4712"/>
      <c r="AW4712"/>
    </row>
    <row r="4713" spans="1:49">
      <c r="H4713" s="51"/>
      <c r="J4713" s="260"/>
      <c r="K4713" s="403"/>
      <c r="AA4713"/>
      <c r="AB4713"/>
      <c r="AC4713"/>
      <c r="AD4713"/>
      <c r="AE4713"/>
      <c r="AF4713"/>
      <c r="AG4713"/>
      <c r="AH4713"/>
      <c r="AI4713"/>
      <c r="AJ4713"/>
      <c r="AK4713"/>
      <c r="AL4713"/>
      <c r="AM4713"/>
      <c r="AN4713"/>
      <c r="AO4713"/>
      <c r="AP4713"/>
      <c r="AQ4713"/>
      <c r="AR4713"/>
      <c r="AS4713"/>
      <c r="AT4713"/>
      <c r="AU4713"/>
      <c r="AV4713"/>
      <c r="AW4713"/>
    </row>
    <row r="4714" spans="1:49">
      <c r="A4714"/>
      <c r="B4714" s="5"/>
      <c r="C4714" s="2"/>
      <c r="D4714"/>
      <c r="E4714" s="3"/>
      <c r="F4714" s="5"/>
      <c r="G4714"/>
      <c r="H4714" s="51"/>
      <c r="J4714" s="260"/>
      <c r="K4714" s="403"/>
      <c r="L4714" s="85"/>
      <c r="M4714"/>
      <c r="N4714"/>
      <c r="O4714"/>
      <c r="P4714"/>
      <c r="Q4714"/>
      <c r="R4714"/>
      <c r="S4714"/>
      <c r="T4714"/>
      <c r="U4714"/>
      <c r="V4714"/>
      <c r="W4714"/>
      <c r="X4714"/>
      <c r="Y4714"/>
      <c r="Z4714"/>
      <c r="AA4714"/>
      <c r="AB4714"/>
      <c r="AC4714"/>
      <c r="AD4714"/>
      <c r="AE4714"/>
      <c r="AF4714"/>
      <c r="AG4714"/>
      <c r="AH4714"/>
      <c r="AI4714"/>
      <c r="AJ4714"/>
      <c r="AK4714"/>
      <c r="AL4714"/>
      <c r="AM4714"/>
      <c r="AN4714"/>
      <c r="AO4714"/>
      <c r="AP4714"/>
      <c r="AQ4714"/>
      <c r="AR4714"/>
      <c r="AS4714"/>
      <c r="AT4714"/>
      <c r="AU4714"/>
      <c r="AV4714"/>
      <c r="AW4714"/>
    </row>
    <row r="4715" spans="1:49">
      <c r="A4715"/>
      <c r="B4715" s="5"/>
      <c r="C4715" s="2"/>
      <c r="D4715"/>
      <c r="E4715" s="3"/>
      <c r="F4715" s="5"/>
      <c r="G4715"/>
      <c r="H4715" s="51"/>
      <c r="K4715" s="403"/>
      <c r="L4715" s="402"/>
      <c r="M4715"/>
      <c r="N4715"/>
      <c r="O4715"/>
      <c r="P4715"/>
      <c r="Q4715"/>
      <c r="R4715"/>
      <c r="S4715"/>
      <c r="T4715"/>
      <c r="U4715"/>
      <c r="V4715"/>
      <c r="W4715"/>
      <c r="X4715"/>
      <c r="Y4715"/>
      <c r="Z4715"/>
      <c r="AA4715"/>
      <c r="AB4715"/>
      <c r="AC4715"/>
      <c r="AD4715"/>
      <c r="AE4715"/>
      <c r="AF4715"/>
      <c r="AG4715"/>
      <c r="AH4715"/>
      <c r="AI4715"/>
      <c r="AJ4715"/>
      <c r="AK4715"/>
      <c r="AL4715"/>
      <c r="AM4715"/>
      <c r="AN4715"/>
      <c r="AO4715"/>
      <c r="AP4715"/>
      <c r="AQ4715"/>
      <c r="AR4715"/>
      <c r="AS4715"/>
      <c r="AT4715"/>
      <c r="AU4715"/>
      <c r="AV4715"/>
      <c r="AW4715"/>
    </row>
    <row r="4716" spans="1:49">
      <c r="A4716"/>
      <c r="B4716" s="5"/>
      <c r="C4716" s="2"/>
      <c r="D4716"/>
      <c r="E4716" s="3"/>
      <c r="F4716" s="5"/>
      <c r="G4716"/>
      <c r="J4716" s="406"/>
      <c r="K4716" s="403"/>
      <c r="L4716" s="402"/>
      <c r="M4716"/>
      <c r="N4716"/>
      <c r="O4716"/>
      <c r="P4716"/>
      <c r="Q4716"/>
      <c r="R4716"/>
      <c r="S4716"/>
      <c r="T4716"/>
      <c r="U4716"/>
      <c r="V4716"/>
      <c r="W4716"/>
      <c r="X4716"/>
      <c r="Y4716"/>
      <c r="Z4716"/>
      <c r="AA4716"/>
      <c r="AB4716"/>
      <c r="AC4716"/>
      <c r="AD4716"/>
      <c r="AE4716"/>
      <c r="AF4716"/>
      <c r="AG4716"/>
      <c r="AH4716"/>
      <c r="AI4716"/>
      <c r="AJ4716"/>
      <c r="AK4716"/>
      <c r="AL4716"/>
      <c r="AM4716"/>
      <c r="AN4716"/>
      <c r="AO4716"/>
      <c r="AP4716"/>
      <c r="AQ4716"/>
      <c r="AR4716"/>
      <c r="AS4716"/>
      <c r="AT4716"/>
      <c r="AU4716"/>
      <c r="AV4716"/>
      <c r="AW4716"/>
    </row>
    <row r="4717" spans="1:49">
      <c r="A4717"/>
      <c r="B4717" s="5"/>
      <c r="C4717" s="2"/>
      <c r="D4717"/>
      <c r="E4717" s="3"/>
      <c r="F4717" s="5"/>
      <c r="G4717"/>
      <c r="J4717" s="406"/>
      <c r="K4717" s="403"/>
      <c r="L4717" s="402"/>
      <c r="M4717"/>
      <c r="N4717"/>
      <c r="O4717"/>
      <c r="P4717"/>
      <c r="Q4717"/>
      <c r="R4717"/>
      <c r="S4717"/>
      <c r="T4717"/>
      <c r="U4717"/>
      <c r="V4717"/>
      <c r="W4717"/>
      <c r="X4717"/>
      <c r="Y4717"/>
      <c r="Z4717"/>
      <c r="AA4717"/>
      <c r="AB4717"/>
      <c r="AC4717"/>
      <c r="AD4717"/>
      <c r="AE4717"/>
      <c r="AF4717"/>
      <c r="AG4717"/>
      <c r="AH4717"/>
      <c r="AI4717"/>
      <c r="AJ4717"/>
      <c r="AK4717"/>
      <c r="AL4717"/>
      <c r="AM4717"/>
      <c r="AN4717"/>
      <c r="AO4717"/>
      <c r="AP4717"/>
      <c r="AQ4717"/>
      <c r="AR4717"/>
      <c r="AS4717"/>
      <c r="AT4717"/>
      <c r="AU4717"/>
      <c r="AV4717"/>
      <c r="AW4717"/>
    </row>
    <row r="4718" spans="1:49">
      <c r="A4718"/>
      <c r="B4718" s="5"/>
      <c r="C4718" s="2"/>
      <c r="D4718"/>
      <c r="E4718" s="3"/>
      <c r="F4718" s="5"/>
      <c r="G4718"/>
      <c r="J4718" s="406"/>
      <c r="K4718" s="403"/>
      <c r="L4718" s="402"/>
      <c r="M4718"/>
      <c r="N4718"/>
      <c r="O4718"/>
      <c r="P4718"/>
      <c r="Q4718"/>
      <c r="R4718"/>
      <c r="S4718"/>
      <c r="T4718"/>
      <c r="U4718"/>
      <c r="V4718"/>
      <c r="W4718"/>
      <c r="X4718"/>
      <c r="Y4718"/>
      <c r="Z4718"/>
      <c r="AA4718"/>
      <c r="AB4718"/>
      <c r="AC4718"/>
      <c r="AD4718"/>
      <c r="AE4718"/>
      <c r="AF4718"/>
      <c r="AG4718"/>
      <c r="AH4718"/>
      <c r="AI4718"/>
      <c r="AJ4718"/>
      <c r="AK4718"/>
      <c r="AL4718"/>
      <c r="AM4718"/>
      <c r="AN4718"/>
      <c r="AO4718"/>
      <c r="AP4718"/>
      <c r="AQ4718"/>
      <c r="AR4718"/>
      <c r="AS4718"/>
      <c r="AT4718"/>
      <c r="AU4718"/>
      <c r="AV4718"/>
      <c r="AW4718"/>
    </row>
    <row r="4719" spans="1:49">
      <c r="A4719"/>
      <c r="B4719" s="5"/>
      <c r="C4719" s="2"/>
      <c r="D4719"/>
      <c r="E4719" s="3"/>
      <c r="F4719" s="5"/>
      <c r="G4719"/>
      <c r="J4719" s="406"/>
      <c r="K4719" s="403"/>
      <c r="L4719" s="402"/>
      <c r="M4719"/>
      <c r="N4719"/>
      <c r="O4719"/>
      <c r="P4719"/>
      <c r="Q4719"/>
      <c r="R4719"/>
      <c r="S4719"/>
      <c r="T4719"/>
      <c r="U4719"/>
      <c r="V4719"/>
      <c r="W4719"/>
      <c r="X4719"/>
      <c r="Y4719"/>
      <c r="Z4719"/>
      <c r="AA4719"/>
      <c r="AB4719"/>
      <c r="AC4719"/>
      <c r="AD4719"/>
      <c r="AE4719"/>
      <c r="AF4719"/>
      <c r="AG4719"/>
      <c r="AH4719"/>
      <c r="AI4719"/>
      <c r="AJ4719"/>
      <c r="AK4719"/>
      <c r="AL4719"/>
      <c r="AM4719"/>
      <c r="AN4719"/>
      <c r="AO4719"/>
      <c r="AP4719"/>
      <c r="AQ4719"/>
      <c r="AR4719"/>
      <c r="AS4719"/>
      <c r="AT4719"/>
      <c r="AU4719"/>
      <c r="AV4719"/>
      <c r="AW4719"/>
    </row>
    <row r="4720" spans="1:49">
      <c r="A4720"/>
      <c r="B4720" s="5"/>
      <c r="C4720" s="2"/>
      <c r="D4720"/>
      <c r="E4720" s="3"/>
      <c r="F4720" s="5"/>
      <c r="G4720"/>
      <c r="J4720" s="406"/>
      <c r="K4720" s="403"/>
      <c r="L4720" s="402"/>
      <c r="M4720"/>
      <c r="N4720"/>
      <c r="O4720"/>
      <c r="P4720"/>
      <c r="Q4720"/>
      <c r="R4720"/>
      <c r="S4720"/>
      <c r="T4720"/>
      <c r="U4720"/>
      <c r="V4720"/>
      <c r="W4720"/>
      <c r="X4720"/>
      <c r="Y4720"/>
      <c r="Z4720"/>
      <c r="AA4720"/>
      <c r="AB4720"/>
      <c r="AC4720"/>
      <c r="AD4720"/>
      <c r="AE4720"/>
      <c r="AF4720"/>
      <c r="AG4720"/>
      <c r="AH4720"/>
      <c r="AI4720"/>
      <c r="AJ4720"/>
      <c r="AK4720"/>
      <c r="AL4720"/>
      <c r="AM4720"/>
      <c r="AN4720"/>
      <c r="AO4720"/>
      <c r="AP4720"/>
      <c r="AQ4720"/>
      <c r="AR4720"/>
      <c r="AS4720"/>
      <c r="AT4720"/>
      <c r="AU4720"/>
      <c r="AV4720"/>
      <c r="AW4720"/>
    </row>
    <row r="4721" spans="1:49">
      <c r="A4721"/>
      <c r="B4721" s="5"/>
      <c r="C4721" s="2"/>
      <c r="D4721"/>
      <c r="E4721" s="3"/>
      <c r="F4721" s="5"/>
      <c r="G4721"/>
      <c r="J4721" s="406"/>
      <c r="K4721" s="403"/>
      <c r="L4721"/>
      <c r="M4721"/>
      <c r="N4721"/>
      <c r="O4721"/>
      <c r="P4721"/>
      <c r="Q4721"/>
      <c r="R4721"/>
      <c r="S4721"/>
      <c r="T4721"/>
      <c r="U4721"/>
      <c r="V4721"/>
      <c r="W4721"/>
      <c r="X4721"/>
      <c r="Y4721"/>
      <c r="Z4721"/>
      <c r="AA4721"/>
      <c r="AB4721"/>
      <c r="AC4721"/>
      <c r="AD4721"/>
      <c r="AE4721"/>
      <c r="AF4721"/>
      <c r="AG4721"/>
      <c r="AH4721"/>
      <c r="AI4721"/>
      <c r="AJ4721"/>
      <c r="AK4721"/>
      <c r="AL4721"/>
      <c r="AM4721"/>
      <c r="AN4721"/>
      <c r="AO4721"/>
      <c r="AP4721"/>
      <c r="AQ4721"/>
      <c r="AR4721"/>
      <c r="AS4721"/>
      <c r="AT4721"/>
      <c r="AU4721"/>
      <c r="AV4721"/>
      <c r="AW4721"/>
    </row>
    <row r="4722" spans="1:49">
      <c r="A4722"/>
      <c r="B4722" s="5"/>
      <c r="C4722" s="2"/>
      <c r="D4722"/>
      <c r="E4722" s="3"/>
      <c r="F4722" s="5"/>
      <c r="G4722"/>
      <c r="J4722" s="406"/>
      <c r="K4722" s="403"/>
      <c r="L4722"/>
      <c r="M4722"/>
      <c r="N4722"/>
      <c r="O4722"/>
      <c r="P4722"/>
      <c r="Q4722"/>
      <c r="R4722"/>
      <c r="S4722"/>
      <c r="T4722"/>
      <c r="U4722"/>
      <c r="V4722"/>
      <c r="W4722"/>
      <c r="X4722"/>
      <c r="Y4722"/>
      <c r="Z4722"/>
      <c r="AA4722"/>
      <c r="AB4722"/>
      <c r="AC4722"/>
      <c r="AD4722"/>
      <c r="AE4722"/>
      <c r="AF4722"/>
      <c r="AG4722"/>
      <c r="AH4722"/>
      <c r="AI4722"/>
      <c r="AJ4722"/>
      <c r="AK4722"/>
      <c r="AL4722"/>
      <c r="AM4722"/>
      <c r="AN4722"/>
      <c r="AO4722"/>
      <c r="AP4722"/>
      <c r="AQ4722"/>
      <c r="AR4722"/>
      <c r="AS4722"/>
      <c r="AT4722"/>
      <c r="AU4722"/>
      <c r="AV4722"/>
      <c r="AW4722"/>
    </row>
  </sheetData>
  <autoFilter ref="A1:CA4700"/>
  <sortState ref="K9447:K9449">
    <sortCondition ref="K9447:K9449"/>
  </sortState>
  <conditionalFormatting sqref="S2746:S2748 S2743 O2755:O2897 O4702:O14682 O4248:O4249 S2350:S2351 O4252:O4255 O4348:O4351 O3905:O3908 O3912:O3923 O3935:O3936 O3940:O3958 O4108:O4110 O4356:O4357 O2909 O3121 O3423 O4189:O4198 O2912 O2940:O2941 O2947:O2949 O3006:O3010 O3016 O3030 O3034 O3141:O3142 O3144 O3221 O2953 O3060:O3069 O2066:O2085 O3137 O1101:O1174 O2955:O2977 O3126 O3168:O3172 O4257:O4279 O4560:O4564 O3226:O3233 O3245 O3260:O3261 O3283:O3284 O3295:O3298 O3316:O3317 O3337:O3338 O3366 O4694:O4699 O4285:O4334 O3442:O3445 O3451:O3454 O3457 O3499:O3545 O3556 O3581:O3584 O3589 O3607:O3627 O3629:O3775 O3779:O3806 O3808:O3897 O1505:O1570 O1572:O1599 O3461 O3466:O3467 O3472:O3473 O3586 O1375:O1503 O2409:O2753 O4604:O4691 O1176:O1372 O1803:O2064 O1601:O1800 O4567:O4602 O4359:O4557 O2:O1097 O2087:O2407 O3591:O3597">
    <cfRule type="cellIs" dxfId="3615" priority="4372" stopIfTrue="1" operator="greaterThan">
      <formula>5</formula>
    </cfRule>
  </conditionalFormatting>
  <conditionalFormatting sqref="Q2755:Q2897 Q4702:Q14682 Q4248:Q4249 Q4252:Q4255 Q4348:Q4351 Q3905:Q3908 Q3912:Q3923 Q3935:Q3936 Q3940:Q3958 Q4108:Q4110 Q4356:Q4357 Q2909 Q3121 Q3423 Q4189:Q4198 Q2912 Q2940:Q2941 Q2947:Q2949 Q3006:Q3010 Q3016 Q3030 Q3034 Q3141:Q3142 Q3144 Q3221 Q2953 Q3060:Q3069 Q2066:Q2085 Q3137 Q1101:Q1174 Q2955:Q2977 Q3126 Q3168:Q3172 Q4257:Q4279 Q4560:Q4564 Q3226:Q3233 Q3245 Q3260:Q3261 Q3283:Q3284 Q3295:Q3298 Q3316:Q3317 Q3337:Q3338 Q3366 Q4694:Q4699 Q4285:Q4334 Q3442:Q3445 Q3451:Q3454 Q3457 Q3499:Q3545 Q3556 Q3581:Q3584 Q3589 Q3607:Q3627 Q3629:Q3775 Q3779:Q3806 Q3808:Q3897 Q1505:Q1570 Q1572:Q1599 Q3461 Q3466:Q3467 Q3472:Q3473 Q3586 Q1375:Q1503 Q2409:Q2753 Q4604:Q4691 Q1176:Q1372 Q1803:Q2064 Q1601:Q1800 Q4567:Q4602 Q4359:Q4557 Q2:Q1097 Q2087:Q2407 Q3591:Q3597">
    <cfRule type="cellIs" dxfId="3614" priority="4371" stopIfTrue="1" operator="notBetween">
      <formula>5</formula>
      <formula>9</formula>
    </cfRule>
  </conditionalFormatting>
  <conditionalFormatting sqref="S808 R2755:R2897 R4702:R14682 R4248:R4249 R4252:R4255 R4348:R4351 R3905:R3908 R3912:R3923 R3935:R3936 R3940:R3958 R4108:R4110 R4356:R4357 R2909 R3121 R3423 R4189:R4198 R2912 R2940:R2941 R2947:R2949 R3006:R3010 R3016 R3030 R3034 R3141:R3142 R3144 R3221 R2953 R3060:R3069 R2066:R2085 R3137 R1101:R1174 R2955:R2977 R3126 R3168:R3172 R4257:R4279 R4560:R4564 R3226:R3233 R3245 R3260:R3261 R3283:R3284 R3295:R3298 R3316:R3317 R3337:R3338 R3366 R4694:R4699 R4285:R4334 R3442:R3445 R3451:R3454 R3457 R3499:R3545 R3556 R3581:R3584 R3589 R3607:R3627 R3629:R3775 R3779:R3806 R3808:R3897 R1505:R1570 R1572:R1599 R3461 R3466:R3467 R3472:R3473 R3586 R1375:R1503 R2409:R2753 R4604:R4691 R1176:R1372 R1803:R2064 R1601:R1800 R4567:R4602 R4359:R4557 R2:R1097 R2087:R2407 R3591:R3597">
    <cfRule type="cellIs" dxfId="3613" priority="4370" stopIfTrue="1" operator="greaterThan">
      <formula>75</formula>
    </cfRule>
  </conditionalFormatting>
  <conditionalFormatting sqref="S2755:S2897 T337 S4702:S14682 S4248:S4249 S4252:S4255 S4348:S4351 S3905:S3908 S3912:S3923 S3935:S3936 S3940:S3958 S4108:S4110 S4356:S4357 S2909 S3121 S3423 S4189:S4198 S2912 S2940:S2941 S2947:S2949 S3006:S3010 S3016 S3030 S3034 S3141:S3142 S3144 S3221 S2953 S3060:S3069 S2066:S2085 S3137 S1101:S1174 S2955:S2977 S3126 S3168:S3172 S4257:S4279 S4560:S4564 S3226:S3233 S3245 S3260:S3261 S3283:S3284 S3295:S3298 S3316:S3317 S3337:S3338 S3366 S4694:S4699 S4285:S4334 S3442:S3445 S3451:S3454 S3457 S3499:S3545 S3556 S3581:S3584 S3589 S3607:S3627 S3629:S3775 S3779:S3806 S3808:S3897 S1505:S1570 S1572:S1599 S3461 S3466:S3467 S3472:S3473 S3586 S1375:S1503 S2409:S2753 S4604:S4691 S1176:S1372 S1803:S2064 S1601:S1800 S4567:S4602 S4359:S4557 S2:S1097 S2087:S2407 S3591:S3597">
    <cfRule type="cellIs" dxfId="3612" priority="4369" stopIfTrue="1" operator="greaterThan">
      <formula>90</formula>
    </cfRule>
  </conditionalFormatting>
  <conditionalFormatting sqref="T2755:T2897 U337 T4702:T14682 T4248:T4249 T4252:T4255 T4348:T4351 T3905:T3908 T3912:T3923 T3935:T3936 T3940:T3958 T4108:T4110 T4356:T4357 T2909 T3121 T3423 T4189:T4198 T2912 T2940:T2941 T2947:T2949 T3006:T3010 T3016 T3030 T3034 T3141:T3142 T3144 T3221 T2953 T3060:T3069 T2066:T2085 T3137 T1101:T1174 T2955:T2977 T3126 T3168:T3172 T4257:T4279 T4560:T4564 T3226:T3233 T3245 T3260:T3261 T3283:T3284 T3295:T3298 T3316:T3317 T3337:T3338 T3366 T4694:T4699 T4285:T4334 T3442:T3445 T3451:T3454 T3457 T3499:T3545 T3556 T3581:T3584 T3589 T3607:T3627 T3629:T3775 T3779:T3806 T3808:T3897 T1505:T1570 T1572:T1599 T3461 T3466:T3467 T3472:T3473 T3586 T1375:T1503 T2409:T2753 T4604:T4691 T1176:T1372 T1803:T2064 T1601:T1800 T4567:T4602 T4359:T4557 T2:T1097 T2087:T2407 T3591:T3597">
    <cfRule type="cellIs" dxfId="3611" priority="4368" stopIfTrue="1" operator="greaterThan">
      <formula>0.4</formula>
    </cfRule>
  </conditionalFormatting>
  <conditionalFormatting sqref="U2755:U2897 V337 U4702:U14682 U4248:U4249 U4252:U4255 U4348:U4351 U3905:U3908 U3912:U3923 U3935:U3936 U3940:U3958 U4108:U4110 U4356:U4357 U2909 U3121 U3423 U4189:U4198 U2912 U2940:U2941 U2947:U2949 U3006:U3010 U3016 U3030 U3034 U3141:U3142 U3144 U3221 U2953 U3060:U3069 U2066:U2085 U3137 U1101:U1174 U2955:U2977 U3126 U3168:U3172 U4257:U4279 U4560:U4564 U3226:U3233 U3245 U3260:U3261 U3283:U3284 U3295:U3298 U3316:U3317 U3337:U3338 U3366 U4694:U4699 U4285:U4334 U3442:U3445 U3451:U3454 U3457 U3499:U3545 U3556 U3581:U3584 U3589 U3607:U3627 U3629:U3775 U3779:U3806 U3808:U3897 U1505:U1570 U1572:U1599 U3461 U3466:U3467 U3472:U3473 U3586 U1375:U1503 U2409:U2753 U4604:U4691 U1176:U1372 U1803:U2064 U1601:U1800 U4567:U4602 U4359:U4557 U2:U1097 U2087:U2407 U3591:U3597">
    <cfRule type="cellIs" dxfId="3610" priority="4367" stopIfTrue="1" operator="greaterThan">
      <formula>2.3</formula>
    </cfRule>
  </conditionalFormatting>
  <conditionalFormatting sqref="V2755:V2897 W337 V4248:V4249 V4252:V4255 V4348:V4351 V3905:V3908 V3912:V3923 V3935:V3936 V3940:V3958 V4108:V4110 V4356:V4357 V2909 V3121 V3423 V4189:V4198 V2912 V2940:V2941 V2947:V2949 V3006:V3010 V3016 V3030 V3034 V3141:V3142 V3144 V3221 V2953 V3060:V3069 V2066:V2085 V3137 V1101:V1174 V2955:V2977 V3126 V3168:V3172 V4257:V4279 V4560:V4564 V3226:V3233 V3245 V3260:V3261 V3283:V3284 V3295:V3298 V3316:V3317 V3337:V3338 V3366 V4694:V4699 V4285:V4334 V3442:V3445 V3451:V3454 V3457 V3499:V3545 V3556 V3581:V3584 V3589 V3607:V3627 V3629:V3775 V3779:V3806 V3808:V3897 V1505:V1570 V1572:V1599 V3461 V3466:V3467 V3472:V3473 V3586 V1375:V1503 V2409:V2753 V4604:V4691 V1176:V1372 V1803:V2064 V1601:V1800 V4567:V4602 V4359:V4557 V2:V1097 V2087:V2407 V3591:V3597">
    <cfRule type="cellIs" dxfId="3609" priority="4366" stopIfTrue="1" operator="greaterThan">
      <formula>1.1</formula>
    </cfRule>
  </conditionalFormatting>
  <conditionalFormatting sqref="Y2298:Y2299 W2755:W2897 X337 W4248:W4249 W4252:W4255 W4348:W4351 W3905:W3908 W3912:W3923 W3935:W3936 W3940:W3958 W4108:W4110 W4356:W4357 W2909 W3121 W3423 W4189:W4198 W2912 W2940:W2941 W2947:W2949 W3006:W3010 W3016 W3030 W3034 W3141:W3142 W3144 W3221 W2953 W3060:W3069 W2066:W2085 W3137 W1101:W1174 W2955:W2977 W3126 W3168:W3172 W4257:W4279 W3226:W3233 W3245 W3260:W3261 W3283:W3284 W3295:W3298 W3316:W3317 W3337:W3338 W3366 W4694:W4699 W4285:W4334 W3442:W3445 W3451:W3454 W3457 W3499:W3545 W3556 W3581:W3584 W3589 W3607:W3627 W3629:W3775 W3779:W3806 W3808:W3897 W1505:W1570 W1572:W1599 W3461 W3466:W3467 W3472:W3473 W3586 W1375:W1503 W2409:W2753 W4604:W4691 W1176:W1372 W1803:W2064 W1601:W1800 W4567:W4602 W4359:W4564 W2:W1097 W2087:W2407 W3591:W3597">
    <cfRule type="cellIs" dxfId="3608" priority="4365" stopIfTrue="1" operator="greaterThan">
      <formula>0.059</formula>
    </cfRule>
  </conditionalFormatting>
  <conditionalFormatting sqref="X2755:X2897 Y337 X4248:X4249 X4252:X4255 X4348:X4351 X3905:X3908 X3912:X3923 X3935:X3936 X3940:X3958 X4108:X4110 X4356:X4357 X2909 X3121 X3423 X4189:X4198 X2912 X2940:X2941 X2947:X2949 X3006:X3010 X3016 X3030 X3034 X3141:X3142 X3144 X3221 X2953 X3060:X3069 X2066:X2085 X3137 X1101:X1174 X2955:X2977 X3126 X3168:X3172 X4257:X4279 X3226:X3233 X3245 X3260:X3261 X3283:X3284 X3295:X3298 X3316:X3317 X3337:X3338 X3366 X4694:X4699 X4285:X4334 X3442:X3445 X3451:X3454 X3457 X3499:X3545 X3556 X3581:X3584 X3589 X3607:X3627 X3629:X3775 X3779:X3806 X3808:X3897 X1505:X1570 X1572:X1599 X3461 X3466:X3467 X3472:X3473 X3586 X1375:X1503 X2409:X2753 X4604:X4691 X1176:X1372 X1803:X2064 X1601:X1800 X4567:X4602 X4359:X4564 X2:X1097 X2087:X2407 X3591:X3597">
    <cfRule type="cellIs" dxfId="3607" priority="4364" stopIfTrue="1" operator="greaterThan">
      <formula>0.16</formula>
    </cfRule>
  </conditionalFormatting>
  <conditionalFormatting sqref="Y2755:Y2897 Y4248:Y4249 Y4252:Y4255 Y3905:Y3908 Y3912:Y3923 Y3935:Y3936 Y3940:Y3958 Y4348:Y4351 Y4108:Y4110 Y4356:Y4357 Y2909 Y3121 Y3423 Y4189:Y4198 Y2912 Y2940:Y2941 Y2947:Y2949 Y3006:Y3010 Y3016 Y3030 Y3034 Y3141:Y3142 Y3144 Y3221 Y2953 Y3060:Y3069 Y2066:Y2085 Y3137 Y1101:Y1174 Y2955:Y2977 Y3126 Y3168:Y3172 Y4257:Y4279 Y3226:Y3233 Y3245 Y3260:Y3261 Y3283:Y3284 Y3295:Y3298 Y3316:Y3317 Y3337:Y3338 Y3366 Y4694:Y4699 Y4285:Y4343 Y3442:Y3445 Y3451:Y3454 Y3457 Y3499:Y3545 Y3556 Y3581:Y3584 Y3589 Y3607:Y3627 Y3629:Y3775 Y3779:Y3806 Y3808:Y3897 Y1505:Y1570 Y1572:Y1599 Y3461 Y3466:Y3467 Y3472:Y3473 Y3586 Y1375:Y1503 Y2409:Y2753 Y4604:Y4691 Y1176:Y1372 Y1803:Y2064 Y1601:Y1800 Y4567:Y4602 Y4359:Y4564 Y2:Y1097 Y2087:Y2407 Y3591:Y3597">
    <cfRule type="cellIs" dxfId="3606" priority="4363" stopIfTrue="1" operator="greaterThan">
      <formula>0.076</formula>
    </cfRule>
  </conditionalFormatting>
  <conditionalFormatting sqref="O3799:O3805">
    <cfRule type="cellIs" dxfId="3605" priority="2413" stopIfTrue="1" operator="greaterThan">
      <formula>5</formula>
    </cfRule>
  </conditionalFormatting>
  <conditionalFormatting sqref="Q3799:Q3805">
    <cfRule type="cellIs" dxfId="3604" priority="2412" stopIfTrue="1" operator="notBetween">
      <formula>5</formula>
      <formula>9</formula>
    </cfRule>
  </conditionalFormatting>
  <conditionalFormatting sqref="R3799:R3805">
    <cfRule type="cellIs" dxfId="3603" priority="2411" stopIfTrue="1" operator="greaterThan">
      <formula>75</formula>
    </cfRule>
  </conditionalFormatting>
  <conditionalFormatting sqref="S3799:S3805">
    <cfRule type="cellIs" dxfId="3602" priority="2410" stopIfTrue="1" operator="greaterThan">
      <formula>90</formula>
    </cfRule>
  </conditionalFormatting>
  <conditionalFormatting sqref="T3799:T3805">
    <cfRule type="cellIs" dxfId="3601" priority="2409" stopIfTrue="1" operator="greaterThan">
      <formula>0.4</formula>
    </cfRule>
  </conditionalFormatting>
  <conditionalFormatting sqref="U3799:U3805">
    <cfRule type="cellIs" dxfId="3600" priority="2408" stopIfTrue="1" operator="greaterThan">
      <formula>2.3</formula>
    </cfRule>
  </conditionalFormatting>
  <conditionalFormatting sqref="V3799:V3805">
    <cfRule type="cellIs" dxfId="3599" priority="2407" stopIfTrue="1" operator="greaterThan">
      <formula>1.1</formula>
    </cfRule>
  </conditionalFormatting>
  <conditionalFormatting sqref="W3799:W3805">
    <cfRule type="cellIs" dxfId="3598" priority="2406" stopIfTrue="1" operator="greaterThan">
      <formula>0.059</formula>
    </cfRule>
  </conditionalFormatting>
  <conditionalFormatting sqref="X3799:X3805">
    <cfRule type="cellIs" dxfId="3597" priority="2405" stopIfTrue="1" operator="greaterThan">
      <formula>0.16</formula>
    </cfRule>
  </conditionalFormatting>
  <conditionalFormatting sqref="Y3799:Y3805">
    <cfRule type="cellIs" dxfId="3596" priority="2404" stopIfTrue="1" operator="greaterThan">
      <formula>0.076</formula>
    </cfRule>
  </conditionalFormatting>
  <conditionalFormatting sqref="O3799:O3805">
    <cfRule type="cellIs" dxfId="3595" priority="2403" stopIfTrue="1" operator="greaterThan">
      <formula>5</formula>
    </cfRule>
  </conditionalFormatting>
  <conditionalFormatting sqref="Q3799:Q3805">
    <cfRule type="cellIs" dxfId="3594" priority="2402" stopIfTrue="1" operator="notBetween">
      <formula>5</formula>
      <formula>9</formula>
    </cfRule>
  </conditionalFormatting>
  <conditionalFormatting sqref="R3799:R3805">
    <cfRule type="cellIs" dxfId="3593" priority="2401" stopIfTrue="1" operator="greaterThan">
      <formula>75</formula>
    </cfRule>
  </conditionalFormatting>
  <conditionalFormatting sqref="S3799:S3805">
    <cfRule type="cellIs" dxfId="3592" priority="2400" stopIfTrue="1" operator="greaterThan">
      <formula>90</formula>
    </cfRule>
  </conditionalFormatting>
  <conditionalFormatting sqref="T3799:T3805">
    <cfRule type="cellIs" dxfId="3591" priority="2399" stopIfTrue="1" operator="greaterThan">
      <formula>0.4</formula>
    </cfRule>
  </conditionalFormatting>
  <conditionalFormatting sqref="U3799:U3805">
    <cfRule type="cellIs" dxfId="3590" priority="2398" stopIfTrue="1" operator="greaterThan">
      <formula>2.3</formula>
    </cfRule>
  </conditionalFormatting>
  <conditionalFormatting sqref="V3799:V3805">
    <cfRule type="cellIs" dxfId="3589" priority="2397" stopIfTrue="1" operator="greaterThan">
      <formula>1.1</formula>
    </cfRule>
  </conditionalFormatting>
  <conditionalFormatting sqref="W3799:W3805">
    <cfRule type="cellIs" dxfId="3588" priority="2396" stopIfTrue="1" operator="greaterThan">
      <formula>0.059</formula>
    </cfRule>
  </conditionalFormatting>
  <conditionalFormatting sqref="X3799:X3805">
    <cfRule type="cellIs" dxfId="3587" priority="2395" stopIfTrue="1" operator="greaterThan">
      <formula>0.16</formula>
    </cfRule>
  </conditionalFormatting>
  <conditionalFormatting sqref="Y3799:Y3805">
    <cfRule type="cellIs" dxfId="3586" priority="2394" stopIfTrue="1" operator="greaterThan">
      <formula>0.076</formula>
    </cfRule>
  </conditionalFormatting>
  <conditionalFormatting sqref="O3808:O3809">
    <cfRule type="cellIs" dxfId="3585" priority="2393" stopIfTrue="1" operator="greaterThan">
      <formula>5</formula>
    </cfRule>
  </conditionalFormatting>
  <conditionalFormatting sqref="Q3808:Q3809">
    <cfRule type="cellIs" dxfId="3584" priority="2392" stopIfTrue="1" operator="notBetween">
      <formula>5</formula>
      <formula>9</formula>
    </cfRule>
  </conditionalFormatting>
  <conditionalFormatting sqref="R3808:R3809">
    <cfRule type="cellIs" dxfId="3583" priority="2391" stopIfTrue="1" operator="greaterThan">
      <formula>75</formula>
    </cfRule>
  </conditionalFormatting>
  <conditionalFormatting sqref="S3808:S3809">
    <cfRule type="cellIs" dxfId="3582" priority="2390" stopIfTrue="1" operator="greaterThan">
      <formula>90</formula>
    </cfRule>
  </conditionalFormatting>
  <conditionalFormatting sqref="T3808:T3809">
    <cfRule type="cellIs" dxfId="3581" priority="2389" stopIfTrue="1" operator="greaterThan">
      <formula>0.4</formula>
    </cfRule>
  </conditionalFormatting>
  <conditionalFormatting sqref="U3808:U3809">
    <cfRule type="cellIs" dxfId="3580" priority="2388" stopIfTrue="1" operator="greaterThan">
      <formula>2.3</formula>
    </cfRule>
  </conditionalFormatting>
  <conditionalFormatting sqref="V3808:V3809">
    <cfRule type="cellIs" dxfId="3579" priority="2387" stopIfTrue="1" operator="greaterThan">
      <formula>1.1</formula>
    </cfRule>
  </conditionalFormatting>
  <conditionalFormatting sqref="W3808:W3809">
    <cfRule type="cellIs" dxfId="3578" priority="2386" stopIfTrue="1" operator="greaterThan">
      <formula>0.059</formula>
    </cfRule>
  </conditionalFormatting>
  <conditionalFormatting sqref="X3808:X3809">
    <cfRule type="cellIs" dxfId="3577" priority="2385" stopIfTrue="1" operator="greaterThan">
      <formula>0.16</formula>
    </cfRule>
  </conditionalFormatting>
  <conditionalFormatting sqref="Y3808:Y3809">
    <cfRule type="cellIs" dxfId="3576" priority="2384" stopIfTrue="1" operator="greaterThan">
      <formula>0.076</formula>
    </cfRule>
  </conditionalFormatting>
  <conditionalFormatting sqref="O3808:O3809">
    <cfRule type="cellIs" dxfId="3575" priority="2383" stopIfTrue="1" operator="greaterThan">
      <formula>5</formula>
    </cfRule>
  </conditionalFormatting>
  <conditionalFormatting sqref="Q3808:Q3809">
    <cfRule type="cellIs" dxfId="3574" priority="2382" stopIfTrue="1" operator="notBetween">
      <formula>5</formula>
      <formula>9</formula>
    </cfRule>
  </conditionalFormatting>
  <conditionalFormatting sqref="R3808:R3809">
    <cfRule type="cellIs" dxfId="3573" priority="2381" stopIfTrue="1" operator="greaterThan">
      <formula>75</formula>
    </cfRule>
  </conditionalFormatting>
  <conditionalFormatting sqref="S3808:S3809">
    <cfRule type="cellIs" dxfId="3572" priority="2380" stopIfTrue="1" operator="greaterThan">
      <formula>90</formula>
    </cfRule>
  </conditionalFormatting>
  <conditionalFormatting sqref="T3808:T3809">
    <cfRule type="cellIs" dxfId="3571" priority="2379" stopIfTrue="1" operator="greaterThan">
      <formula>0.4</formula>
    </cfRule>
  </conditionalFormatting>
  <conditionalFormatting sqref="U3808:U3809">
    <cfRule type="cellIs" dxfId="3570" priority="2378" stopIfTrue="1" operator="greaterThan">
      <formula>2.3</formula>
    </cfRule>
  </conditionalFormatting>
  <conditionalFormatting sqref="V3808:V3809">
    <cfRule type="cellIs" dxfId="3569" priority="2377" stopIfTrue="1" operator="greaterThan">
      <formula>1.1</formula>
    </cfRule>
  </conditionalFormatting>
  <conditionalFormatting sqref="W3808:W3809">
    <cfRule type="cellIs" dxfId="3568" priority="2376" stopIfTrue="1" operator="greaterThan">
      <formula>0.059</formula>
    </cfRule>
  </conditionalFormatting>
  <conditionalFormatting sqref="X3808:X3809">
    <cfRule type="cellIs" dxfId="3567" priority="2375" stopIfTrue="1" operator="greaterThan">
      <formula>0.16</formula>
    </cfRule>
  </conditionalFormatting>
  <conditionalFormatting sqref="Y3808:Y3809">
    <cfRule type="cellIs" dxfId="3566" priority="2374" stopIfTrue="1" operator="greaterThan">
      <formula>0.076</formula>
    </cfRule>
  </conditionalFormatting>
  <conditionalFormatting sqref="O3814:O3816">
    <cfRule type="cellIs" dxfId="3565" priority="2373" stopIfTrue="1" operator="greaterThan">
      <formula>5</formula>
    </cfRule>
  </conditionalFormatting>
  <conditionalFormatting sqref="Q3814:Q3816">
    <cfRule type="cellIs" dxfId="3564" priority="2372" stopIfTrue="1" operator="notBetween">
      <formula>5</formula>
      <formula>9</formula>
    </cfRule>
  </conditionalFormatting>
  <conditionalFormatting sqref="R3814:R3816">
    <cfRule type="cellIs" dxfId="3563" priority="2371" stopIfTrue="1" operator="greaterThan">
      <formula>75</formula>
    </cfRule>
  </conditionalFormatting>
  <conditionalFormatting sqref="S3814:S3816">
    <cfRule type="cellIs" dxfId="3562" priority="2370" stopIfTrue="1" operator="greaterThan">
      <formula>90</formula>
    </cfRule>
  </conditionalFormatting>
  <conditionalFormatting sqref="T3814:T3816">
    <cfRule type="cellIs" dxfId="3561" priority="2369" stopIfTrue="1" operator="greaterThan">
      <formula>0.4</formula>
    </cfRule>
  </conditionalFormatting>
  <conditionalFormatting sqref="U3814:U3816">
    <cfRule type="cellIs" dxfId="3560" priority="2368" stopIfTrue="1" operator="greaterThan">
      <formula>2.3</formula>
    </cfRule>
  </conditionalFormatting>
  <conditionalFormatting sqref="V3814:V3816">
    <cfRule type="cellIs" dxfId="3559" priority="2367" stopIfTrue="1" operator="greaterThan">
      <formula>1.1</formula>
    </cfRule>
  </conditionalFormatting>
  <conditionalFormatting sqref="W3814:W3816">
    <cfRule type="cellIs" dxfId="3558" priority="2366" stopIfTrue="1" operator="greaterThan">
      <formula>0.059</formula>
    </cfRule>
  </conditionalFormatting>
  <conditionalFormatting sqref="X3814:X3816">
    <cfRule type="cellIs" dxfId="3557" priority="2365" stopIfTrue="1" operator="greaterThan">
      <formula>0.16</formula>
    </cfRule>
  </conditionalFormatting>
  <conditionalFormatting sqref="Y3814:Y3816">
    <cfRule type="cellIs" dxfId="3556" priority="2364" stopIfTrue="1" operator="greaterThan">
      <formula>0.076</formula>
    </cfRule>
  </conditionalFormatting>
  <conditionalFormatting sqref="O3814:O3816">
    <cfRule type="cellIs" dxfId="3555" priority="2363" stopIfTrue="1" operator="greaterThan">
      <formula>5</formula>
    </cfRule>
  </conditionalFormatting>
  <conditionalFormatting sqref="Q3814:Q3816">
    <cfRule type="cellIs" dxfId="3554" priority="2362" stopIfTrue="1" operator="notBetween">
      <formula>5</formula>
      <formula>9</formula>
    </cfRule>
  </conditionalFormatting>
  <conditionalFormatting sqref="R3814:R3816">
    <cfRule type="cellIs" dxfId="3553" priority="2361" stopIfTrue="1" operator="greaterThan">
      <formula>75</formula>
    </cfRule>
  </conditionalFormatting>
  <conditionalFormatting sqref="S3814:S3816">
    <cfRule type="cellIs" dxfId="3552" priority="2360" stopIfTrue="1" operator="greaterThan">
      <formula>90</formula>
    </cfRule>
  </conditionalFormatting>
  <conditionalFormatting sqref="T3814:T3816">
    <cfRule type="cellIs" dxfId="3551" priority="2359" stopIfTrue="1" operator="greaterThan">
      <formula>0.4</formula>
    </cfRule>
  </conditionalFormatting>
  <conditionalFormatting sqref="U3814:U3816">
    <cfRule type="cellIs" dxfId="3550" priority="2358" stopIfTrue="1" operator="greaterThan">
      <formula>2.3</formula>
    </cfRule>
  </conditionalFormatting>
  <conditionalFormatting sqref="V3814:V3816">
    <cfRule type="cellIs" dxfId="3549" priority="2357" stopIfTrue="1" operator="greaterThan">
      <formula>1.1</formula>
    </cfRule>
  </conditionalFormatting>
  <conditionalFormatting sqref="W3814:W3816">
    <cfRule type="cellIs" dxfId="3548" priority="2356" stopIfTrue="1" operator="greaterThan">
      <formula>0.059</formula>
    </cfRule>
  </conditionalFormatting>
  <conditionalFormatting sqref="X3814:X3816">
    <cfRule type="cellIs" dxfId="3547" priority="2355" stopIfTrue="1" operator="greaterThan">
      <formula>0.16</formula>
    </cfRule>
  </conditionalFormatting>
  <conditionalFormatting sqref="Y3814:Y3816">
    <cfRule type="cellIs" dxfId="3546" priority="2354" stopIfTrue="1" operator="greaterThan">
      <formula>0.076</formula>
    </cfRule>
  </conditionalFormatting>
  <conditionalFormatting sqref="O3891:O3892">
    <cfRule type="cellIs" dxfId="3545" priority="2353" stopIfTrue="1" operator="greaterThan">
      <formula>5</formula>
    </cfRule>
  </conditionalFormatting>
  <conditionalFormatting sqref="Q3891:Q3892">
    <cfRule type="cellIs" dxfId="3544" priority="2352" stopIfTrue="1" operator="notBetween">
      <formula>5</formula>
      <formula>9</formula>
    </cfRule>
  </conditionalFormatting>
  <conditionalFormatting sqref="R3891:R3892">
    <cfRule type="cellIs" dxfId="3543" priority="2351" stopIfTrue="1" operator="greaterThan">
      <formula>75</formula>
    </cfRule>
  </conditionalFormatting>
  <conditionalFormatting sqref="S3891:S3892">
    <cfRule type="cellIs" dxfId="3542" priority="2350" stopIfTrue="1" operator="greaterThan">
      <formula>90</formula>
    </cfRule>
  </conditionalFormatting>
  <conditionalFormatting sqref="T3891:T3892">
    <cfRule type="cellIs" dxfId="3541" priority="2349" stopIfTrue="1" operator="greaterThan">
      <formula>0.4</formula>
    </cfRule>
  </conditionalFormatting>
  <conditionalFormatting sqref="U3891:U3892">
    <cfRule type="cellIs" dxfId="3540" priority="2348" stopIfTrue="1" operator="greaterThan">
      <formula>2.3</formula>
    </cfRule>
  </conditionalFormatting>
  <conditionalFormatting sqref="V3891:V3892">
    <cfRule type="cellIs" dxfId="3539" priority="2347" stopIfTrue="1" operator="greaterThan">
      <formula>1.1</formula>
    </cfRule>
  </conditionalFormatting>
  <conditionalFormatting sqref="W3891:W3892">
    <cfRule type="cellIs" dxfId="3538" priority="2346" stopIfTrue="1" operator="greaterThan">
      <formula>0.059</formula>
    </cfRule>
  </conditionalFormatting>
  <conditionalFormatting sqref="X3891:X3892">
    <cfRule type="cellIs" dxfId="3537" priority="2345" stopIfTrue="1" operator="greaterThan">
      <formula>0.16</formula>
    </cfRule>
  </conditionalFormatting>
  <conditionalFormatting sqref="Y3891:Y3892">
    <cfRule type="cellIs" dxfId="3536" priority="2344" stopIfTrue="1" operator="greaterThan">
      <formula>0.076</formula>
    </cfRule>
  </conditionalFormatting>
  <conditionalFormatting sqref="O3891:O3892">
    <cfRule type="cellIs" dxfId="3535" priority="2343" stopIfTrue="1" operator="greaterThan">
      <formula>5</formula>
    </cfRule>
  </conditionalFormatting>
  <conditionalFormatting sqref="Q3891:Q3892">
    <cfRule type="cellIs" dxfId="3534" priority="2342" stopIfTrue="1" operator="notBetween">
      <formula>5</formula>
      <formula>9</formula>
    </cfRule>
  </conditionalFormatting>
  <conditionalFormatting sqref="R3891:R3892">
    <cfRule type="cellIs" dxfId="3533" priority="2341" stopIfTrue="1" operator="greaterThan">
      <formula>75</formula>
    </cfRule>
  </conditionalFormatting>
  <conditionalFormatting sqref="S3891:S3892">
    <cfRule type="cellIs" dxfId="3532" priority="2340" stopIfTrue="1" operator="greaterThan">
      <formula>90</formula>
    </cfRule>
  </conditionalFormatting>
  <conditionalFormatting sqref="T3891:T3892">
    <cfRule type="cellIs" dxfId="3531" priority="2339" stopIfTrue="1" operator="greaterThan">
      <formula>0.4</formula>
    </cfRule>
  </conditionalFormatting>
  <conditionalFormatting sqref="U3891:U3892">
    <cfRule type="cellIs" dxfId="3530" priority="2338" stopIfTrue="1" operator="greaterThan">
      <formula>2.3</formula>
    </cfRule>
  </conditionalFormatting>
  <conditionalFormatting sqref="V3891:V3892">
    <cfRule type="cellIs" dxfId="3529" priority="2337" stopIfTrue="1" operator="greaterThan">
      <formula>1.1</formula>
    </cfRule>
  </conditionalFormatting>
  <conditionalFormatting sqref="W3891:W3892">
    <cfRule type="cellIs" dxfId="3528" priority="2336" stopIfTrue="1" operator="greaterThan">
      <formula>0.059</formula>
    </cfRule>
  </conditionalFormatting>
  <conditionalFormatting sqref="X3891:X3892">
    <cfRule type="cellIs" dxfId="3527" priority="2335" stopIfTrue="1" operator="greaterThan">
      <formula>0.16</formula>
    </cfRule>
  </conditionalFormatting>
  <conditionalFormatting sqref="Y3891:Y3892">
    <cfRule type="cellIs" dxfId="3526" priority="2334" stopIfTrue="1" operator="greaterThan">
      <formula>0.076</formula>
    </cfRule>
  </conditionalFormatting>
  <conditionalFormatting sqref="O3959:O3960">
    <cfRule type="cellIs" dxfId="3525" priority="2333" stopIfTrue="1" operator="greaterThan">
      <formula>5</formula>
    </cfRule>
  </conditionalFormatting>
  <conditionalFormatting sqref="Q3959:Q3960">
    <cfRule type="cellIs" dxfId="3524" priority="2332" stopIfTrue="1" operator="notBetween">
      <formula>5</formula>
      <formula>9</formula>
    </cfRule>
  </conditionalFormatting>
  <conditionalFormatting sqref="R3959:R3960">
    <cfRule type="cellIs" dxfId="3523" priority="2331" stopIfTrue="1" operator="greaterThan">
      <formula>75</formula>
    </cfRule>
  </conditionalFormatting>
  <conditionalFormatting sqref="S3959:S3960">
    <cfRule type="cellIs" dxfId="3522" priority="2330" stopIfTrue="1" operator="greaterThan">
      <formula>90</formula>
    </cfRule>
  </conditionalFormatting>
  <conditionalFormatting sqref="T3959:T3960">
    <cfRule type="cellIs" dxfId="3521" priority="2329" stopIfTrue="1" operator="greaterThan">
      <formula>0.4</formula>
    </cfRule>
  </conditionalFormatting>
  <conditionalFormatting sqref="U3959:U3960">
    <cfRule type="cellIs" dxfId="3520" priority="2328" stopIfTrue="1" operator="greaterThan">
      <formula>2.3</formula>
    </cfRule>
  </conditionalFormatting>
  <conditionalFormatting sqref="V3959:V3960">
    <cfRule type="cellIs" dxfId="3519" priority="2327" stopIfTrue="1" operator="greaterThan">
      <formula>1.1</formula>
    </cfRule>
  </conditionalFormatting>
  <conditionalFormatting sqref="W3959:W3960">
    <cfRule type="cellIs" dxfId="3518" priority="2326" stopIfTrue="1" operator="greaterThan">
      <formula>0.059</formula>
    </cfRule>
  </conditionalFormatting>
  <conditionalFormatting sqref="X3959:X3960">
    <cfRule type="cellIs" dxfId="3517" priority="2325" stopIfTrue="1" operator="greaterThan">
      <formula>0.16</formula>
    </cfRule>
  </conditionalFormatting>
  <conditionalFormatting sqref="Y3959:Y3960">
    <cfRule type="cellIs" dxfId="3516" priority="2324" stopIfTrue="1" operator="greaterThan">
      <formula>0.076</formula>
    </cfRule>
  </conditionalFormatting>
  <conditionalFormatting sqref="O3959:O3960">
    <cfRule type="cellIs" dxfId="3515" priority="2323" stopIfTrue="1" operator="greaterThan">
      <formula>5</formula>
    </cfRule>
  </conditionalFormatting>
  <conditionalFormatting sqref="Q3959:Q3960">
    <cfRule type="cellIs" dxfId="3514" priority="2322" stopIfTrue="1" operator="notBetween">
      <formula>5</formula>
      <formula>9</formula>
    </cfRule>
  </conditionalFormatting>
  <conditionalFormatting sqref="R3959:R3960">
    <cfRule type="cellIs" dxfId="3513" priority="2321" stopIfTrue="1" operator="greaterThan">
      <formula>75</formula>
    </cfRule>
  </conditionalFormatting>
  <conditionalFormatting sqref="S3959:S3960">
    <cfRule type="cellIs" dxfId="3512" priority="2320" stopIfTrue="1" operator="greaterThan">
      <formula>90</formula>
    </cfRule>
  </conditionalFormatting>
  <conditionalFormatting sqref="T3959:T3960">
    <cfRule type="cellIs" dxfId="3511" priority="2319" stopIfTrue="1" operator="greaterThan">
      <formula>0.4</formula>
    </cfRule>
  </conditionalFormatting>
  <conditionalFormatting sqref="U3959:U3960">
    <cfRule type="cellIs" dxfId="3510" priority="2318" stopIfTrue="1" operator="greaterThan">
      <formula>2.3</formula>
    </cfRule>
  </conditionalFormatting>
  <conditionalFormatting sqref="V3959:V3960">
    <cfRule type="cellIs" dxfId="3509" priority="2317" stopIfTrue="1" operator="greaterThan">
      <formula>1.1</formula>
    </cfRule>
  </conditionalFormatting>
  <conditionalFormatting sqref="W3959:W3960">
    <cfRule type="cellIs" dxfId="3508" priority="2316" stopIfTrue="1" operator="greaterThan">
      <formula>0.059</formula>
    </cfRule>
  </conditionalFormatting>
  <conditionalFormatting sqref="X3959:X3960">
    <cfRule type="cellIs" dxfId="3507" priority="2315" stopIfTrue="1" operator="greaterThan">
      <formula>0.16</formula>
    </cfRule>
  </conditionalFormatting>
  <conditionalFormatting sqref="Y3959:Y3960">
    <cfRule type="cellIs" dxfId="3506" priority="2314" stopIfTrue="1" operator="greaterThan">
      <formula>0.076</formula>
    </cfRule>
  </conditionalFormatting>
  <conditionalFormatting sqref="O3959:O3960">
    <cfRule type="cellIs" dxfId="3505" priority="2313" stopIfTrue="1" operator="greaterThan">
      <formula>5</formula>
    </cfRule>
  </conditionalFormatting>
  <conditionalFormatting sqref="Q3959:Q3960">
    <cfRule type="cellIs" dxfId="3504" priority="2312" stopIfTrue="1" operator="notBetween">
      <formula>5</formula>
      <formula>9</formula>
    </cfRule>
  </conditionalFormatting>
  <conditionalFormatting sqref="R3959:R3960">
    <cfRule type="cellIs" dxfId="3503" priority="2311" stopIfTrue="1" operator="greaterThan">
      <formula>75</formula>
    </cfRule>
  </conditionalFormatting>
  <conditionalFormatting sqref="S3959:S3960">
    <cfRule type="cellIs" dxfId="3502" priority="2310" stopIfTrue="1" operator="greaterThan">
      <formula>90</formula>
    </cfRule>
  </conditionalFormatting>
  <conditionalFormatting sqref="T3959:T3960">
    <cfRule type="cellIs" dxfId="3501" priority="2309" stopIfTrue="1" operator="greaterThan">
      <formula>0.4</formula>
    </cfRule>
  </conditionalFormatting>
  <conditionalFormatting sqref="U3959:U3960">
    <cfRule type="cellIs" dxfId="3500" priority="2308" stopIfTrue="1" operator="greaterThan">
      <formula>2.3</formula>
    </cfRule>
  </conditionalFormatting>
  <conditionalFormatting sqref="V3959:V3960">
    <cfRule type="cellIs" dxfId="3499" priority="2307" stopIfTrue="1" operator="greaterThan">
      <formula>1.1</formula>
    </cfRule>
  </conditionalFormatting>
  <conditionalFormatting sqref="W3959:W3960">
    <cfRule type="cellIs" dxfId="3498" priority="2306" stopIfTrue="1" operator="greaterThan">
      <formula>0.059</formula>
    </cfRule>
  </conditionalFormatting>
  <conditionalFormatting sqref="X3959:X3960">
    <cfRule type="cellIs" dxfId="3497" priority="2305" stopIfTrue="1" operator="greaterThan">
      <formula>0.16</formula>
    </cfRule>
  </conditionalFormatting>
  <conditionalFormatting sqref="Y3959:Y3960">
    <cfRule type="cellIs" dxfId="3496" priority="2304" stopIfTrue="1" operator="greaterThan">
      <formula>0.076</formula>
    </cfRule>
  </conditionalFormatting>
  <conditionalFormatting sqref="O3959:O3960">
    <cfRule type="cellIs" dxfId="3495" priority="2303" stopIfTrue="1" operator="greaterThan">
      <formula>5</formula>
    </cfRule>
  </conditionalFormatting>
  <conditionalFormatting sqref="Q3959:Q3960">
    <cfRule type="cellIs" dxfId="3494" priority="2302" stopIfTrue="1" operator="notBetween">
      <formula>5</formula>
      <formula>9</formula>
    </cfRule>
  </conditionalFormatting>
  <conditionalFormatting sqref="R3959:R3960">
    <cfRule type="cellIs" dxfId="3493" priority="2301" stopIfTrue="1" operator="greaterThan">
      <formula>75</formula>
    </cfRule>
  </conditionalFormatting>
  <conditionalFormatting sqref="S3959:S3960">
    <cfRule type="cellIs" dxfId="3492" priority="2300" stopIfTrue="1" operator="greaterThan">
      <formula>90</formula>
    </cfRule>
  </conditionalFormatting>
  <conditionalFormatting sqref="T3959:T3960">
    <cfRule type="cellIs" dxfId="3491" priority="2299" stopIfTrue="1" operator="greaterThan">
      <formula>0.4</formula>
    </cfRule>
  </conditionalFormatting>
  <conditionalFormatting sqref="U3959:U3960">
    <cfRule type="cellIs" dxfId="3490" priority="2298" stopIfTrue="1" operator="greaterThan">
      <formula>2.3</formula>
    </cfRule>
  </conditionalFormatting>
  <conditionalFormatting sqref="V3959:V3960">
    <cfRule type="cellIs" dxfId="3489" priority="2297" stopIfTrue="1" operator="greaterThan">
      <formula>1.1</formula>
    </cfRule>
  </conditionalFormatting>
  <conditionalFormatting sqref="W3959:W3960">
    <cfRule type="cellIs" dxfId="3488" priority="2296" stopIfTrue="1" operator="greaterThan">
      <formula>0.059</formula>
    </cfRule>
  </conditionalFormatting>
  <conditionalFormatting sqref="X3959:X3960">
    <cfRule type="cellIs" dxfId="3487" priority="2295" stopIfTrue="1" operator="greaterThan">
      <formula>0.16</formula>
    </cfRule>
  </conditionalFormatting>
  <conditionalFormatting sqref="Y3959:Y3960">
    <cfRule type="cellIs" dxfId="3486" priority="2294" stopIfTrue="1" operator="greaterThan">
      <formula>0.076</formula>
    </cfRule>
  </conditionalFormatting>
  <conditionalFormatting sqref="O3961 O3963:O3982 O3984:O4001 O4003:O4004 O4007:O4013 O4017:O4026 O4038 O4042 O4044:O4050 O4059:O4060 O4064:O4085 O4087:O4096 O4102:O4107 O4112 O4115 O4124:O4132 O4134 O4139:O4146 O4150:O4153 O4120:O4122 O4156:O4157 O4160:O4163 O4171:O4172 O4174:O4175 O4177:O4183 O4186:O4188 O4199:O4201 O4206:O4207 O4209:O4213 O4219:O4220 O4222:O4223 O4228:O4229 O4030:O4033 O4167:O4169 O4052:O4057">
    <cfRule type="cellIs" dxfId="3485" priority="2293" stopIfTrue="1" operator="greaterThan">
      <formula>5</formula>
    </cfRule>
  </conditionalFormatting>
  <conditionalFormatting sqref="Q3961 Q3963:Q3982 Q3984:Q4001 Q4003:Q4004 Q4007:Q4013 Q4017:Q4026 Q4038 Q4042 Q4044:Q4050 Q4059:Q4060 Q4064:Q4085 Q4087:Q4096 Q4102:Q4107 Q4112 Q4115 Q4124:Q4132 Q4134 Q4139:Q4146 Q4150:Q4153 Q4120:Q4122 Q4156:Q4157 Q4160:Q4163 Q4171:Q4172 Q4174:Q4175 Q4177:Q4183 Q4186:Q4188 Q4199:Q4201 Q4206:Q4207 Q4209:Q4213 Q4219:Q4220 Q4222:Q4223 Q4228:Q4229 Q4030:Q4033 Q4167:Q4169 Q4052:Q4057">
    <cfRule type="cellIs" dxfId="3484" priority="2292" stopIfTrue="1" operator="notBetween">
      <formula>5</formula>
      <formula>9</formula>
    </cfRule>
  </conditionalFormatting>
  <conditionalFormatting sqref="R3961 R3963:R3982 R3984:R4001 R4003:R4004 R4007:R4013 R4017:R4026 R4038 R4042 R4044:R4050 R4059:R4060 R4064:R4085 R4087:R4096 R4102:R4107 R4112 R4115 R4124:R4132 R4134 R4139:R4146 R4150:R4153 R4120:R4122 R4156:R4157 R4160:R4163 R4171:R4172 R4174:R4175 R4177:R4183 R4186:R4188 R4199:R4201 R4206:R4207 R4209:R4213 R4219:R4220 R4222:R4223 R4228:R4229 R4030:R4033 R4167:R4169 R4052:R4057">
    <cfRule type="cellIs" dxfId="3483" priority="2291" stopIfTrue="1" operator="greaterThan">
      <formula>75</formula>
    </cfRule>
  </conditionalFormatting>
  <conditionalFormatting sqref="S3961 S3963:S3982 S3984:S4001 S4003:S4004 S4007:S4013 S4017:S4026 S4038 S4042 S4044:S4050 S4059:S4060 S4064:S4085 S4087:S4096 S4102:S4107 S4112 S4115 S4124:S4132 S4134 S4139:S4146 S4150:S4153 S4120:S4122 S4156:S4157 S4160:S4163 S4171:S4172 S4174:S4175 S4177:S4183 S4186:S4188 S4199:S4201 S4206:S4207 S4209:S4213 S4219:S4220 S4222:S4223 S4228:S4229 S4030:S4033 S4167:S4169 S4052:S4057">
    <cfRule type="cellIs" dxfId="3482" priority="2290" stopIfTrue="1" operator="greaterThan">
      <formula>90</formula>
    </cfRule>
  </conditionalFormatting>
  <conditionalFormatting sqref="T3961 T3963:T3982 T3984:T4001 T4003:T4004 T4007:T4013 T4017:T4026 T4038 T4042 T4044:T4050 T4059:T4060 T4064:T4085 T4087:T4096 T4102:T4107 T4112 T4115 T4124:T4132 T4134 T4139:T4146 T4150:T4153 T4120:T4122 T4156:T4157 T4160:T4163 T4171:T4172 T4174:T4175 T4177:T4183 T4186:T4188 T4199:T4201 T4206:T4207 T4209:T4213 T4219:T4220 T4222:T4223 T4228:T4229 T4030:T4033 T4167:T4169 T4052:T4057">
    <cfRule type="cellIs" dxfId="3481" priority="2289" stopIfTrue="1" operator="greaterThan">
      <formula>0.4</formula>
    </cfRule>
  </conditionalFormatting>
  <conditionalFormatting sqref="U3961 U3963:U3982 U3984:U4001 U4003:U4004 U4007:U4013 U4017:U4026 U4038 U4042 U4044:U4050 U4059:U4060 U4064:U4085 U4087:U4096 U4102:U4107 U4112 U4115 U4124:U4132 U4134 U4139:U4146 U4150:U4153 U4120:U4122 U4156:U4157 U4160:U4163 U4171:U4172 U4174:U4175 U4177:U4183 U4186:U4188 U4199:U4201 U4206:U4207 U4209:U4213 U4219:U4220 U4222:U4223 U4228:U4229 U4030:U4033 U4167:U4169 U4052:U4057">
    <cfRule type="cellIs" dxfId="3480" priority="2288" stopIfTrue="1" operator="greaterThan">
      <formula>2.3</formula>
    </cfRule>
  </conditionalFormatting>
  <conditionalFormatting sqref="V3961 V3963:V3982 V3984:V4001 V4003:V4004 V4007:V4013 V4017:V4026 V4038 V4042 V4044:V4050 V4059:V4060 V4064:V4085 V4087:V4096 V4102:V4107 V4112 V4115 V4124:V4132 V4134 V4139:V4146 V4150:V4153 V4120:V4122 V4156:V4157 V4160:V4163 V4171:V4172 V4174:V4175 V4177:V4183 V4186:V4188 V4199:V4201 V4206:V4207 V4209:V4213 V4219:V4220 V4222:V4223 V4228:V4229 V4030:V4033 V4167:V4169 V4052:V4057">
    <cfRule type="cellIs" dxfId="3479" priority="2287" stopIfTrue="1" operator="greaterThan">
      <formula>1.1</formula>
    </cfRule>
  </conditionalFormatting>
  <conditionalFormatting sqref="W3961 W3963:W3982 W3984:W4001 W4003:W4004 W4007:W4013 W4017:W4026 W4038 W4042 W4044:W4050 W4059:W4060 W4064:W4085 W4087:W4096 W4102:W4107 W4112 W4115 W4124:W4132 W4134 W4139:W4146 W4150:W4153 W4120:W4122 W4156:W4157 W4160:W4163 W4171:W4172 W4174:W4175 W4177:W4183 W4186:W4188 W4199:W4201 W4206:W4207 W4209:W4213 W4219:W4220 W4222:W4223 W4228:W4229 W4030:W4033 W4167:W4169 W4052:W4057">
    <cfRule type="cellIs" dxfId="3478" priority="2286" stopIfTrue="1" operator="greaterThan">
      <formula>0.059</formula>
    </cfRule>
  </conditionalFormatting>
  <conditionalFormatting sqref="X3961 X3963:X3982 X3984:X4001 X4003:X4004 X4007:X4013 X4017:X4026 X4038 X4042 X4044:X4050 X4059:X4060 X4064:X4085 X4087:X4096 X4102:X4107 X4112 X4115 X4124:X4132 X4134 X4139:X4146 X4150:X4153 X4120:X4122 X4156:X4157 X4160:X4163 X4171:X4172 X4174:X4175 X4177:X4183 X4186:X4188 X4199:X4201 X4206:X4207 X4209:X4213 X4219:X4220 X4222:X4223 X4228:X4229 X4030:X4033 X4167:X4169 X4052:X4057">
    <cfRule type="cellIs" dxfId="3477" priority="2285" stopIfTrue="1" operator="greaterThan">
      <formula>0.16</formula>
    </cfRule>
  </conditionalFormatting>
  <conditionalFormatting sqref="Y3961 Y3963:Y3982 Y3984:Y4001 Y4003:Y4004 Y4007:Y4013 Y4017:Y4026 Y4038 Y4042 Y4044:Y4050 Y4059:Y4060 Y4064:Y4085 Y4087:Y4096 Y4102:Y4107 Y4112 Y4115 Y4124:Y4132 Y4134 Y4139:Y4146 Y4150:Y4153 Y4120:Y4122 Y4156:Y4157 Y4160:Y4163 Y4171:Y4172 Y4174:Y4175 Y4177:Y4183 Y4186:Y4188 Y4199:Y4201 Y4206:Y4207 Y4209:Y4213 Y4219:Y4220 Y4222:Y4223 Y4228:Y4229 Y4030:Y4033 Y4167:Y4169 Y4052:Y4057">
    <cfRule type="cellIs" dxfId="3476" priority="2284" stopIfTrue="1" operator="greaterThan">
      <formula>0.076</formula>
    </cfRule>
  </conditionalFormatting>
  <conditionalFormatting sqref="O4243">
    <cfRule type="cellIs" dxfId="3475" priority="2263" stopIfTrue="1" operator="greaterThan">
      <formula>5</formula>
    </cfRule>
  </conditionalFormatting>
  <conditionalFormatting sqref="Q4243">
    <cfRule type="cellIs" dxfId="3474" priority="2262" stopIfTrue="1" operator="notBetween">
      <formula>5</formula>
      <formula>9</formula>
    </cfRule>
  </conditionalFormatting>
  <conditionalFormatting sqref="R4243">
    <cfRule type="cellIs" dxfId="3473" priority="2261" stopIfTrue="1" operator="greaterThan">
      <formula>75</formula>
    </cfRule>
  </conditionalFormatting>
  <conditionalFormatting sqref="T4243">
    <cfRule type="cellIs" dxfId="3472" priority="2260" stopIfTrue="1" operator="greaterThan">
      <formula>0.4</formula>
    </cfRule>
  </conditionalFormatting>
  <conditionalFormatting sqref="U4243">
    <cfRule type="cellIs" dxfId="3471" priority="2259" stopIfTrue="1" operator="greaterThan">
      <formula>2.3</formula>
    </cfRule>
  </conditionalFormatting>
  <conditionalFormatting sqref="V4243">
    <cfRule type="cellIs" dxfId="3470" priority="2258" stopIfTrue="1" operator="greaterThan">
      <formula>1.1</formula>
    </cfRule>
  </conditionalFormatting>
  <conditionalFormatting sqref="W4243">
    <cfRule type="cellIs" dxfId="3469" priority="2257" stopIfTrue="1" operator="greaterThan">
      <formula>0.059</formula>
    </cfRule>
  </conditionalFormatting>
  <conditionalFormatting sqref="X4243">
    <cfRule type="cellIs" dxfId="3468" priority="2256" stopIfTrue="1" operator="greaterThan">
      <formula>0.16</formula>
    </cfRule>
  </conditionalFormatting>
  <conditionalFormatting sqref="Y4243">
    <cfRule type="cellIs" dxfId="3467" priority="2255" stopIfTrue="1" operator="greaterThan">
      <formula>0.076</formula>
    </cfRule>
  </conditionalFormatting>
  <conditionalFormatting sqref="S4243">
    <cfRule type="cellIs" dxfId="3466" priority="2254" operator="greaterThan">
      <formula>90</formula>
    </cfRule>
  </conditionalFormatting>
  <conditionalFormatting sqref="O4243">
    <cfRule type="cellIs" dxfId="3465" priority="2253" stopIfTrue="1" operator="greaterThan">
      <formula>5</formula>
    </cfRule>
  </conditionalFormatting>
  <conditionalFormatting sqref="Q4243">
    <cfRule type="cellIs" dxfId="3464" priority="2252" stopIfTrue="1" operator="notBetween">
      <formula>5</formula>
      <formula>9</formula>
    </cfRule>
  </conditionalFormatting>
  <conditionalFormatting sqref="R4243">
    <cfRule type="cellIs" dxfId="3463" priority="2251" stopIfTrue="1" operator="greaterThan">
      <formula>75</formula>
    </cfRule>
  </conditionalFormatting>
  <conditionalFormatting sqref="T4243">
    <cfRule type="cellIs" dxfId="3462" priority="2250" stopIfTrue="1" operator="greaterThan">
      <formula>0.4</formula>
    </cfRule>
  </conditionalFormatting>
  <conditionalFormatting sqref="U4243">
    <cfRule type="cellIs" dxfId="3461" priority="2249" stopIfTrue="1" operator="greaterThan">
      <formula>2.3</formula>
    </cfRule>
  </conditionalFormatting>
  <conditionalFormatting sqref="V4243">
    <cfRule type="cellIs" dxfId="3460" priority="2248" stopIfTrue="1" operator="greaterThan">
      <formula>1.1</formula>
    </cfRule>
  </conditionalFormatting>
  <conditionalFormatting sqref="W4243">
    <cfRule type="cellIs" dxfId="3459" priority="2247" stopIfTrue="1" operator="greaterThan">
      <formula>0.059</formula>
    </cfRule>
  </conditionalFormatting>
  <conditionalFormatting sqref="X4243">
    <cfRule type="cellIs" dxfId="3458" priority="2246" stopIfTrue="1" operator="greaterThan">
      <formula>0.16</formula>
    </cfRule>
  </conditionalFormatting>
  <conditionalFormatting sqref="Y4243">
    <cfRule type="cellIs" dxfId="3457" priority="2245" stopIfTrue="1" operator="greaterThan">
      <formula>0.076</formula>
    </cfRule>
  </conditionalFormatting>
  <conditionalFormatting sqref="S4243">
    <cfRule type="cellIs" dxfId="3456" priority="2244" operator="greaterThan">
      <formula>90</formula>
    </cfRule>
  </conditionalFormatting>
  <conditionalFormatting sqref="O4244:O4247">
    <cfRule type="cellIs" dxfId="3455" priority="2203" stopIfTrue="1" operator="greaterThan">
      <formula>5</formula>
    </cfRule>
  </conditionalFormatting>
  <conditionalFormatting sqref="Q4244:Q4247">
    <cfRule type="cellIs" dxfId="3454" priority="2202" stopIfTrue="1" operator="notBetween">
      <formula>5</formula>
      <formula>9</formula>
    </cfRule>
  </conditionalFormatting>
  <conditionalFormatting sqref="R4244:R4247">
    <cfRule type="cellIs" dxfId="3453" priority="2201" stopIfTrue="1" operator="greaterThan">
      <formula>75</formula>
    </cfRule>
  </conditionalFormatting>
  <conditionalFormatting sqref="T4244:T4247">
    <cfRule type="cellIs" dxfId="3452" priority="2200" stopIfTrue="1" operator="greaterThan">
      <formula>0.4</formula>
    </cfRule>
  </conditionalFormatting>
  <conditionalFormatting sqref="U4244:U4247">
    <cfRule type="cellIs" dxfId="3451" priority="2199" stopIfTrue="1" operator="greaterThan">
      <formula>2.3</formula>
    </cfRule>
  </conditionalFormatting>
  <conditionalFormatting sqref="V4244:V4247">
    <cfRule type="cellIs" dxfId="3450" priority="2198" stopIfTrue="1" operator="greaterThan">
      <formula>1.1</formula>
    </cfRule>
  </conditionalFormatting>
  <conditionalFormatting sqref="W4244:W4247">
    <cfRule type="cellIs" dxfId="3449" priority="2197" stopIfTrue="1" operator="greaterThan">
      <formula>0.059</formula>
    </cfRule>
  </conditionalFormatting>
  <conditionalFormatting sqref="X4244:X4247">
    <cfRule type="cellIs" dxfId="3448" priority="2196" stopIfTrue="1" operator="greaterThan">
      <formula>0.16</formula>
    </cfRule>
  </conditionalFormatting>
  <conditionalFormatting sqref="Y4244:Y4247">
    <cfRule type="cellIs" dxfId="3447" priority="2195" stopIfTrue="1" operator="greaterThan">
      <formula>0.076</formula>
    </cfRule>
  </conditionalFormatting>
  <conditionalFormatting sqref="S4244:S4247">
    <cfRule type="cellIs" dxfId="3446" priority="2194" operator="greaterThan">
      <formula>90</formula>
    </cfRule>
  </conditionalFormatting>
  <conditionalFormatting sqref="O4250">
    <cfRule type="cellIs" dxfId="3445" priority="2193" stopIfTrue="1" operator="greaterThan">
      <formula>5</formula>
    </cfRule>
  </conditionalFormatting>
  <conditionalFormatting sqref="Q4250">
    <cfRule type="cellIs" dxfId="3444" priority="2192" stopIfTrue="1" operator="notBetween">
      <formula>5</formula>
      <formula>9</formula>
    </cfRule>
  </conditionalFormatting>
  <conditionalFormatting sqref="R4250">
    <cfRule type="cellIs" dxfId="3443" priority="2191" stopIfTrue="1" operator="greaterThan">
      <formula>75</formula>
    </cfRule>
  </conditionalFormatting>
  <conditionalFormatting sqref="T4250">
    <cfRule type="cellIs" dxfId="3442" priority="2190" stopIfTrue="1" operator="greaterThan">
      <formula>0.4</formula>
    </cfRule>
  </conditionalFormatting>
  <conditionalFormatting sqref="U4250">
    <cfRule type="cellIs" dxfId="3441" priority="2189" stopIfTrue="1" operator="greaterThan">
      <formula>2.3</formula>
    </cfRule>
  </conditionalFormatting>
  <conditionalFormatting sqref="V4250">
    <cfRule type="cellIs" dxfId="3440" priority="2188" stopIfTrue="1" operator="greaterThan">
      <formula>1.1</formula>
    </cfRule>
  </conditionalFormatting>
  <conditionalFormatting sqref="W4250">
    <cfRule type="cellIs" dxfId="3439" priority="2187" stopIfTrue="1" operator="greaterThan">
      <formula>0.059</formula>
    </cfRule>
  </conditionalFormatting>
  <conditionalFormatting sqref="X4250">
    <cfRule type="cellIs" dxfId="3438" priority="2186" stopIfTrue="1" operator="greaterThan">
      <formula>0.16</formula>
    </cfRule>
  </conditionalFormatting>
  <conditionalFormatting sqref="Y4250">
    <cfRule type="cellIs" dxfId="3437" priority="2185" stopIfTrue="1" operator="greaterThan">
      <formula>0.076</formula>
    </cfRule>
  </conditionalFormatting>
  <conditionalFormatting sqref="S4250">
    <cfRule type="cellIs" dxfId="3436" priority="2184" operator="greaterThan">
      <formula>90</formula>
    </cfRule>
  </conditionalFormatting>
  <conditionalFormatting sqref="O4250">
    <cfRule type="cellIs" dxfId="3435" priority="2183" stopIfTrue="1" operator="greaterThan">
      <formula>5</formula>
    </cfRule>
  </conditionalFormatting>
  <conditionalFormatting sqref="Q4250">
    <cfRule type="cellIs" dxfId="3434" priority="2182" stopIfTrue="1" operator="notBetween">
      <formula>5</formula>
      <formula>9</formula>
    </cfRule>
  </conditionalFormatting>
  <conditionalFormatting sqref="R4250">
    <cfRule type="cellIs" dxfId="3433" priority="2181" stopIfTrue="1" operator="greaterThan">
      <formula>75</formula>
    </cfRule>
  </conditionalFormatting>
  <conditionalFormatting sqref="T4250">
    <cfRule type="cellIs" dxfId="3432" priority="2180" stopIfTrue="1" operator="greaterThan">
      <formula>0.4</formula>
    </cfRule>
  </conditionalFormatting>
  <conditionalFormatting sqref="U4250">
    <cfRule type="cellIs" dxfId="3431" priority="2179" stopIfTrue="1" operator="greaterThan">
      <formula>2.3</formula>
    </cfRule>
  </conditionalFormatting>
  <conditionalFormatting sqref="V4250">
    <cfRule type="cellIs" dxfId="3430" priority="2178" stopIfTrue="1" operator="greaterThan">
      <formula>1.1</formula>
    </cfRule>
  </conditionalFormatting>
  <conditionalFormatting sqref="W4250">
    <cfRule type="cellIs" dxfId="3429" priority="2177" stopIfTrue="1" operator="greaterThan">
      <formula>0.059</formula>
    </cfRule>
  </conditionalFormatting>
  <conditionalFormatting sqref="X4250">
    <cfRule type="cellIs" dxfId="3428" priority="2176" stopIfTrue="1" operator="greaterThan">
      <formula>0.16</formula>
    </cfRule>
  </conditionalFormatting>
  <conditionalFormatting sqref="Y4250">
    <cfRule type="cellIs" dxfId="3427" priority="2175" stopIfTrue="1" operator="greaterThan">
      <formula>0.076</formula>
    </cfRule>
  </conditionalFormatting>
  <conditionalFormatting sqref="S4250">
    <cfRule type="cellIs" dxfId="3426" priority="2174" operator="greaterThan">
      <formula>90</formula>
    </cfRule>
  </conditionalFormatting>
  <conditionalFormatting sqref="O4251">
    <cfRule type="cellIs" dxfId="3425" priority="2173" stopIfTrue="1" operator="greaterThan">
      <formula>5</formula>
    </cfRule>
  </conditionalFormatting>
  <conditionalFormatting sqref="Q4251">
    <cfRule type="cellIs" dxfId="3424" priority="2172" stopIfTrue="1" operator="notBetween">
      <formula>5</formula>
      <formula>9</formula>
    </cfRule>
  </conditionalFormatting>
  <conditionalFormatting sqref="R4251">
    <cfRule type="cellIs" dxfId="3423" priority="2171" stopIfTrue="1" operator="greaterThan">
      <formula>75</formula>
    </cfRule>
  </conditionalFormatting>
  <conditionalFormatting sqref="T4251">
    <cfRule type="cellIs" dxfId="3422" priority="2170" stopIfTrue="1" operator="greaterThan">
      <formula>0.4</formula>
    </cfRule>
  </conditionalFormatting>
  <conditionalFormatting sqref="U4251">
    <cfRule type="cellIs" dxfId="3421" priority="2169" stopIfTrue="1" operator="greaterThan">
      <formula>2.3</formula>
    </cfRule>
  </conditionalFormatting>
  <conditionalFormatting sqref="V4251">
    <cfRule type="cellIs" dxfId="3420" priority="2168" stopIfTrue="1" operator="greaterThan">
      <formula>1.1</formula>
    </cfRule>
  </conditionalFormatting>
  <conditionalFormatting sqref="W4251">
    <cfRule type="cellIs" dxfId="3419" priority="2167" stopIfTrue="1" operator="greaterThan">
      <formula>0.059</formula>
    </cfRule>
  </conditionalFormatting>
  <conditionalFormatting sqref="X4251">
    <cfRule type="cellIs" dxfId="3418" priority="2166" stopIfTrue="1" operator="greaterThan">
      <formula>0.16</formula>
    </cfRule>
  </conditionalFormatting>
  <conditionalFormatting sqref="Y4251">
    <cfRule type="cellIs" dxfId="3417" priority="2165" stopIfTrue="1" operator="greaterThan">
      <formula>0.076</formula>
    </cfRule>
  </conditionalFormatting>
  <conditionalFormatting sqref="S4251">
    <cfRule type="cellIs" dxfId="3416" priority="2164" operator="greaterThan">
      <formula>90</formula>
    </cfRule>
  </conditionalFormatting>
  <conditionalFormatting sqref="O4251">
    <cfRule type="cellIs" dxfId="3415" priority="2163" stopIfTrue="1" operator="greaterThan">
      <formula>5</formula>
    </cfRule>
  </conditionalFormatting>
  <conditionalFormatting sqref="Q4251">
    <cfRule type="cellIs" dxfId="3414" priority="2162" stopIfTrue="1" operator="notBetween">
      <formula>5</formula>
      <formula>9</formula>
    </cfRule>
  </conditionalFormatting>
  <conditionalFormatting sqref="R4251">
    <cfRule type="cellIs" dxfId="3413" priority="2161" stopIfTrue="1" operator="greaterThan">
      <formula>75</formula>
    </cfRule>
  </conditionalFormatting>
  <conditionalFormatting sqref="T4251">
    <cfRule type="cellIs" dxfId="3412" priority="2160" stopIfTrue="1" operator="greaterThan">
      <formula>0.4</formula>
    </cfRule>
  </conditionalFormatting>
  <conditionalFormatting sqref="U4251">
    <cfRule type="cellIs" dxfId="3411" priority="2159" stopIfTrue="1" operator="greaterThan">
      <formula>2.3</formula>
    </cfRule>
  </conditionalFormatting>
  <conditionalFormatting sqref="V4251">
    <cfRule type="cellIs" dxfId="3410" priority="2158" stopIfTrue="1" operator="greaterThan">
      <formula>1.1</formula>
    </cfRule>
  </conditionalFormatting>
  <conditionalFormatting sqref="W4251">
    <cfRule type="cellIs" dxfId="3409" priority="2157" stopIfTrue="1" operator="greaterThan">
      <formula>0.059</formula>
    </cfRule>
  </conditionalFormatting>
  <conditionalFormatting sqref="X4251">
    <cfRule type="cellIs" dxfId="3408" priority="2156" stopIfTrue="1" operator="greaterThan">
      <formula>0.16</formula>
    </cfRule>
  </conditionalFormatting>
  <conditionalFormatting sqref="Y4251">
    <cfRule type="cellIs" dxfId="3407" priority="2155" stopIfTrue="1" operator="greaterThan">
      <formula>0.076</formula>
    </cfRule>
  </conditionalFormatting>
  <conditionalFormatting sqref="S4251">
    <cfRule type="cellIs" dxfId="3406" priority="2154" operator="greaterThan">
      <formula>90</formula>
    </cfRule>
  </conditionalFormatting>
  <conditionalFormatting sqref="L4706:L4711">
    <cfRule type="cellIs" dxfId="3405" priority="2153" stopIfTrue="1" operator="greaterThan">
      <formula>0.16</formula>
    </cfRule>
  </conditionalFormatting>
  <conditionalFormatting sqref="O4335:O4342">
    <cfRule type="cellIs" dxfId="3404" priority="2132" stopIfTrue="1" operator="greaterThan">
      <formula>5</formula>
    </cfRule>
  </conditionalFormatting>
  <conditionalFormatting sqref="Q4335:Q4342">
    <cfRule type="cellIs" dxfId="3403" priority="2131" stopIfTrue="1" operator="notBetween">
      <formula>5</formula>
      <formula>9</formula>
    </cfRule>
  </conditionalFormatting>
  <conditionalFormatting sqref="R4335:R4342">
    <cfRule type="cellIs" dxfId="3402" priority="2130" stopIfTrue="1" operator="greaterThan">
      <formula>75</formula>
    </cfRule>
  </conditionalFormatting>
  <conditionalFormatting sqref="S4335:S4342">
    <cfRule type="cellIs" dxfId="3401" priority="2129" stopIfTrue="1" operator="greaterThan">
      <formula>90</formula>
    </cfRule>
  </conditionalFormatting>
  <conditionalFormatting sqref="T4335:T4342">
    <cfRule type="cellIs" dxfId="3400" priority="2128" stopIfTrue="1" operator="greaterThan">
      <formula>0.4</formula>
    </cfRule>
  </conditionalFormatting>
  <conditionalFormatting sqref="U4335:U4342">
    <cfRule type="cellIs" dxfId="3399" priority="2127" stopIfTrue="1" operator="greaterThan">
      <formula>2.3</formula>
    </cfRule>
  </conditionalFormatting>
  <conditionalFormatting sqref="V4335:V4342">
    <cfRule type="cellIs" dxfId="3398" priority="2126" stopIfTrue="1" operator="greaterThan">
      <formula>1.1</formula>
    </cfRule>
  </conditionalFormatting>
  <conditionalFormatting sqref="W4335:W4342">
    <cfRule type="cellIs" dxfId="3397" priority="2125" stopIfTrue="1" operator="greaterThan">
      <formula>0.059</formula>
    </cfRule>
  </conditionalFormatting>
  <conditionalFormatting sqref="X4335:X4342">
    <cfRule type="cellIs" dxfId="3396" priority="2124" stopIfTrue="1" operator="greaterThan">
      <formula>0.16</formula>
    </cfRule>
  </conditionalFormatting>
  <conditionalFormatting sqref="O4343">
    <cfRule type="cellIs" dxfId="3395" priority="2123" stopIfTrue="1" operator="greaterThan">
      <formula>5</formula>
    </cfRule>
  </conditionalFormatting>
  <conditionalFormatting sqref="Q4343">
    <cfRule type="cellIs" dxfId="3394" priority="2122" stopIfTrue="1" operator="notBetween">
      <formula>5</formula>
      <formula>9</formula>
    </cfRule>
  </conditionalFormatting>
  <conditionalFormatting sqref="R4343">
    <cfRule type="cellIs" dxfId="3393" priority="2121" stopIfTrue="1" operator="greaterThan">
      <formula>75</formula>
    </cfRule>
  </conditionalFormatting>
  <conditionalFormatting sqref="T4343">
    <cfRule type="cellIs" dxfId="3392" priority="2120" stopIfTrue="1" operator="greaterThan">
      <formula>0.4</formula>
    </cfRule>
  </conditionalFormatting>
  <conditionalFormatting sqref="U4343">
    <cfRule type="cellIs" dxfId="3391" priority="2119" stopIfTrue="1" operator="greaterThan">
      <formula>2.3</formula>
    </cfRule>
  </conditionalFormatting>
  <conditionalFormatting sqref="V4343">
    <cfRule type="cellIs" dxfId="3390" priority="2118" stopIfTrue="1" operator="greaterThan">
      <formula>1.1</formula>
    </cfRule>
  </conditionalFormatting>
  <conditionalFormatting sqref="W4343">
    <cfRule type="cellIs" dxfId="3389" priority="2117" stopIfTrue="1" operator="greaterThan">
      <formula>0.059</formula>
    </cfRule>
  </conditionalFormatting>
  <conditionalFormatting sqref="X4343">
    <cfRule type="cellIs" dxfId="3388" priority="2116" stopIfTrue="1" operator="greaterThan">
      <formula>0.16</formula>
    </cfRule>
  </conditionalFormatting>
  <conditionalFormatting sqref="S4343">
    <cfRule type="cellIs" dxfId="3387" priority="2115" operator="greaterThan">
      <formula>90</formula>
    </cfRule>
  </conditionalFormatting>
  <conditionalFormatting sqref="O4343">
    <cfRule type="cellIs" dxfId="3386" priority="2114" stopIfTrue="1" operator="greaterThan">
      <formula>5</formula>
    </cfRule>
  </conditionalFormatting>
  <conditionalFormatting sqref="Q4343">
    <cfRule type="cellIs" dxfId="3385" priority="2113" stopIfTrue="1" operator="notBetween">
      <formula>5</formula>
      <formula>9</formula>
    </cfRule>
  </conditionalFormatting>
  <conditionalFormatting sqref="R4343">
    <cfRule type="cellIs" dxfId="3384" priority="2112" stopIfTrue="1" operator="greaterThan">
      <formula>75</formula>
    </cfRule>
  </conditionalFormatting>
  <conditionalFormatting sqref="T4343">
    <cfRule type="cellIs" dxfId="3383" priority="2111" stopIfTrue="1" operator="greaterThan">
      <formula>0.4</formula>
    </cfRule>
  </conditionalFormatting>
  <conditionalFormatting sqref="U4343">
    <cfRule type="cellIs" dxfId="3382" priority="2110" stopIfTrue="1" operator="greaterThan">
      <formula>2.3</formula>
    </cfRule>
  </conditionalFormatting>
  <conditionalFormatting sqref="V4343">
    <cfRule type="cellIs" dxfId="3381" priority="2109" stopIfTrue="1" operator="greaterThan">
      <formula>1.1</formula>
    </cfRule>
  </conditionalFormatting>
  <conditionalFormatting sqref="W4343">
    <cfRule type="cellIs" dxfId="3380" priority="2108" stopIfTrue="1" operator="greaterThan">
      <formula>0.059</formula>
    </cfRule>
  </conditionalFormatting>
  <conditionalFormatting sqref="X4343">
    <cfRule type="cellIs" dxfId="3379" priority="2107" stopIfTrue="1" operator="greaterThan">
      <formula>0.16</formula>
    </cfRule>
  </conditionalFormatting>
  <conditionalFormatting sqref="S4343">
    <cfRule type="cellIs" dxfId="3378" priority="2106" operator="greaterThan">
      <formula>90</formula>
    </cfRule>
  </conditionalFormatting>
  <conditionalFormatting sqref="O4344:O4345">
    <cfRule type="cellIs" dxfId="3377" priority="2105" stopIfTrue="1" operator="greaterThan">
      <formula>5</formula>
    </cfRule>
  </conditionalFormatting>
  <conditionalFormatting sqref="Q4344:Q4345">
    <cfRule type="cellIs" dxfId="3376" priority="2104" stopIfTrue="1" operator="notBetween">
      <formula>5</formula>
      <formula>9</formula>
    </cfRule>
  </conditionalFormatting>
  <conditionalFormatting sqref="R4344:R4345">
    <cfRule type="cellIs" dxfId="3375" priority="2103" stopIfTrue="1" operator="greaterThan">
      <formula>75</formula>
    </cfRule>
  </conditionalFormatting>
  <conditionalFormatting sqref="T4344:T4345">
    <cfRule type="cellIs" dxfId="3374" priority="2102" stopIfTrue="1" operator="greaterThan">
      <formula>0.4</formula>
    </cfRule>
  </conditionalFormatting>
  <conditionalFormatting sqref="U4344:U4345">
    <cfRule type="cellIs" dxfId="3373" priority="2101" stopIfTrue="1" operator="greaterThan">
      <formula>2.3</formula>
    </cfRule>
  </conditionalFormatting>
  <conditionalFormatting sqref="V4344:V4345">
    <cfRule type="cellIs" dxfId="3372" priority="2100" stopIfTrue="1" operator="greaterThan">
      <formula>1.1</formula>
    </cfRule>
  </conditionalFormatting>
  <conditionalFormatting sqref="W4344:W4345">
    <cfRule type="cellIs" dxfId="3371" priority="2099" stopIfTrue="1" operator="greaterThan">
      <formula>0.059</formula>
    </cfRule>
  </conditionalFormatting>
  <conditionalFormatting sqref="X4344:X4345">
    <cfRule type="cellIs" dxfId="3370" priority="2098" stopIfTrue="1" operator="greaterThan">
      <formula>0.16</formula>
    </cfRule>
  </conditionalFormatting>
  <conditionalFormatting sqref="Y4344:Y4345">
    <cfRule type="cellIs" dxfId="3369" priority="2097" stopIfTrue="1" operator="greaterThan">
      <formula>0.076</formula>
    </cfRule>
  </conditionalFormatting>
  <conditionalFormatting sqref="S4344:S4345">
    <cfRule type="cellIs" dxfId="3368" priority="2096" operator="greaterThan">
      <formula>90</formula>
    </cfRule>
  </conditionalFormatting>
  <conditionalFormatting sqref="O3901:O3904">
    <cfRule type="cellIs" dxfId="3367" priority="2095" stopIfTrue="1" operator="greaterThan">
      <formula>5</formula>
    </cfRule>
  </conditionalFormatting>
  <conditionalFormatting sqref="Q3901:Q3904">
    <cfRule type="cellIs" dxfId="3366" priority="2094" stopIfTrue="1" operator="notBetween">
      <formula>5</formula>
      <formula>9</formula>
    </cfRule>
  </conditionalFormatting>
  <conditionalFormatting sqref="R3901:R3904">
    <cfRule type="cellIs" dxfId="3365" priority="2093" stopIfTrue="1" operator="greaterThan">
      <formula>75</formula>
    </cfRule>
  </conditionalFormatting>
  <conditionalFormatting sqref="S3901:S3904">
    <cfRule type="cellIs" dxfId="3364" priority="2092" stopIfTrue="1" operator="greaterThan">
      <formula>90</formula>
    </cfRule>
  </conditionalFormatting>
  <conditionalFormatting sqref="T3901:T3904">
    <cfRule type="cellIs" dxfId="3363" priority="2091" stopIfTrue="1" operator="greaterThan">
      <formula>0.4</formula>
    </cfRule>
  </conditionalFormatting>
  <conditionalFormatting sqref="U3901:U3904">
    <cfRule type="cellIs" dxfId="3362" priority="2090" stopIfTrue="1" operator="greaterThan">
      <formula>2.3</formula>
    </cfRule>
  </conditionalFormatting>
  <conditionalFormatting sqref="V3901:V3904">
    <cfRule type="cellIs" dxfId="3361" priority="2089" stopIfTrue="1" operator="greaterThan">
      <formula>1.1</formula>
    </cfRule>
  </conditionalFormatting>
  <conditionalFormatting sqref="W3901:W3904">
    <cfRule type="cellIs" dxfId="3360" priority="2088" stopIfTrue="1" operator="greaterThan">
      <formula>0.059</formula>
    </cfRule>
  </conditionalFormatting>
  <conditionalFormatting sqref="X3901:X3904">
    <cfRule type="cellIs" dxfId="3359" priority="2087" stopIfTrue="1" operator="greaterThan">
      <formula>0.16</formula>
    </cfRule>
  </conditionalFormatting>
  <conditionalFormatting sqref="Y3901:Y3904">
    <cfRule type="cellIs" dxfId="3358" priority="2086" stopIfTrue="1" operator="greaterThan">
      <formula>0.076</formula>
    </cfRule>
  </conditionalFormatting>
  <conditionalFormatting sqref="O3909:O3911">
    <cfRule type="cellIs" dxfId="3357" priority="2085" stopIfTrue="1" operator="greaterThan">
      <formula>5</formula>
    </cfRule>
  </conditionalFormatting>
  <conditionalFormatting sqref="Q3909:Q3911">
    <cfRule type="cellIs" dxfId="3356" priority="2084" stopIfTrue="1" operator="notBetween">
      <formula>5</formula>
      <formula>9</formula>
    </cfRule>
  </conditionalFormatting>
  <conditionalFormatting sqref="R3909:R3911">
    <cfRule type="cellIs" dxfId="3355" priority="2083" stopIfTrue="1" operator="greaterThan">
      <formula>75</formula>
    </cfRule>
  </conditionalFormatting>
  <conditionalFormatting sqref="S3909:S3911">
    <cfRule type="cellIs" dxfId="3354" priority="2082" stopIfTrue="1" operator="greaterThan">
      <formula>90</formula>
    </cfRule>
  </conditionalFormatting>
  <conditionalFormatting sqref="T3909:T3911">
    <cfRule type="cellIs" dxfId="3353" priority="2081" stopIfTrue="1" operator="greaterThan">
      <formula>0.4</formula>
    </cfRule>
  </conditionalFormatting>
  <conditionalFormatting sqref="U3909:U3911">
    <cfRule type="cellIs" dxfId="3352" priority="2080" stopIfTrue="1" operator="greaterThan">
      <formula>2.3</formula>
    </cfRule>
  </conditionalFormatting>
  <conditionalFormatting sqref="V3909:V3911">
    <cfRule type="cellIs" dxfId="3351" priority="2079" stopIfTrue="1" operator="greaterThan">
      <formula>1.1</formula>
    </cfRule>
  </conditionalFormatting>
  <conditionalFormatting sqref="W3909:W3911">
    <cfRule type="cellIs" dxfId="3350" priority="2078" stopIfTrue="1" operator="greaterThan">
      <formula>0.059</formula>
    </cfRule>
  </conditionalFormatting>
  <conditionalFormatting sqref="X3909:X3911">
    <cfRule type="cellIs" dxfId="3349" priority="2077" stopIfTrue="1" operator="greaterThan">
      <formula>0.16</formula>
    </cfRule>
  </conditionalFormatting>
  <conditionalFormatting sqref="Y3909:Y3911">
    <cfRule type="cellIs" dxfId="3348" priority="2076" stopIfTrue="1" operator="greaterThan">
      <formula>0.076</formula>
    </cfRule>
  </conditionalFormatting>
  <conditionalFormatting sqref="O3924:O3934">
    <cfRule type="cellIs" dxfId="3347" priority="2075" stopIfTrue="1" operator="greaterThan">
      <formula>5</formula>
    </cfRule>
  </conditionalFormatting>
  <conditionalFormatting sqref="Q3924:Q3934">
    <cfRule type="cellIs" dxfId="3346" priority="2074" stopIfTrue="1" operator="notBetween">
      <formula>5</formula>
      <formula>9</formula>
    </cfRule>
  </conditionalFormatting>
  <conditionalFormatting sqref="R3924:R3934">
    <cfRule type="cellIs" dxfId="3345" priority="2073" stopIfTrue="1" operator="greaterThan">
      <formula>75</formula>
    </cfRule>
  </conditionalFormatting>
  <conditionalFormatting sqref="S3924:S3934">
    <cfRule type="cellIs" dxfId="3344" priority="2072" stopIfTrue="1" operator="greaterThan">
      <formula>90</formula>
    </cfRule>
  </conditionalFormatting>
  <conditionalFormatting sqref="T3924:T3934">
    <cfRule type="cellIs" dxfId="3343" priority="2071" stopIfTrue="1" operator="greaterThan">
      <formula>0.4</formula>
    </cfRule>
  </conditionalFormatting>
  <conditionalFormatting sqref="U3924:U3934">
    <cfRule type="cellIs" dxfId="3342" priority="2070" stopIfTrue="1" operator="greaterThan">
      <formula>2.3</formula>
    </cfRule>
  </conditionalFormatting>
  <conditionalFormatting sqref="V3924:V3934">
    <cfRule type="cellIs" dxfId="3341" priority="2069" stopIfTrue="1" operator="greaterThan">
      <formula>1.1</formula>
    </cfRule>
  </conditionalFormatting>
  <conditionalFormatting sqref="W3924:W3934">
    <cfRule type="cellIs" dxfId="3340" priority="2068" stopIfTrue="1" operator="greaterThan">
      <formula>0.059</formula>
    </cfRule>
  </conditionalFormatting>
  <conditionalFormatting sqref="X3924:X3934">
    <cfRule type="cellIs" dxfId="3339" priority="2067" stopIfTrue="1" operator="greaterThan">
      <formula>0.16</formula>
    </cfRule>
  </conditionalFormatting>
  <conditionalFormatting sqref="Y3924:Y3934">
    <cfRule type="cellIs" dxfId="3338" priority="2066" stopIfTrue="1" operator="greaterThan">
      <formula>0.076</formula>
    </cfRule>
  </conditionalFormatting>
  <conditionalFormatting sqref="O3937:O3939">
    <cfRule type="cellIs" dxfId="3337" priority="2065" stopIfTrue="1" operator="greaterThan">
      <formula>5</formula>
    </cfRule>
  </conditionalFormatting>
  <conditionalFormatting sqref="Q3937:Q3939">
    <cfRule type="cellIs" dxfId="3336" priority="2064" stopIfTrue="1" operator="notBetween">
      <formula>5</formula>
      <formula>9</formula>
    </cfRule>
  </conditionalFormatting>
  <conditionalFormatting sqref="R3937:R3939">
    <cfRule type="cellIs" dxfId="3335" priority="2063" stopIfTrue="1" operator="greaterThan">
      <formula>75</formula>
    </cfRule>
  </conditionalFormatting>
  <conditionalFormatting sqref="S3937:S3939">
    <cfRule type="cellIs" dxfId="3334" priority="2062" stopIfTrue="1" operator="greaterThan">
      <formula>90</formula>
    </cfRule>
  </conditionalFormatting>
  <conditionalFormatting sqref="T3937:T3939">
    <cfRule type="cellIs" dxfId="3333" priority="2061" stopIfTrue="1" operator="greaterThan">
      <formula>0.4</formula>
    </cfRule>
  </conditionalFormatting>
  <conditionalFormatting sqref="U3937:U3939">
    <cfRule type="cellIs" dxfId="3332" priority="2060" stopIfTrue="1" operator="greaterThan">
      <formula>2.3</formula>
    </cfRule>
  </conditionalFormatting>
  <conditionalFormatting sqref="V3937:V3939">
    <cfRule type="cellIs" dxfId="3331" priority="2059" stopIfTrue="1" operator="greaterThan">
      <formula>1.1</formula>
    </cfRule>
  </conditionalFormatting>
  <conditionalFormatting sqref="W3937:W3939">
    <cfRule type="cellIs" dxfId="3330" priority="2058" stopIfTrue="1" operator="greaterThan">
      <formula>0.059</formula>
    </cfRule>
  </conditionalFormatting>
  <conditionalFormatting sqref="X3937:X3939">
    <cfRule type="cellIs" dxfId="3329" priority="2057" stopIfTrue="1" operator="greaterThan">
      <formula>0.16</formula>
    </cfRule>
  </conditionalFormatting>
  <conditionalFormatting sqref="Y3937:Y3939">
    <cfRule type="cellIs" dxfId="3328" priority="2056" stopIfTrue="1" operator="greaterThan">
      <formula>0.076</formula>
    </cfRule>
  </conditionalFormatting>
  <conditionalFormatting sqref="S4347">
    <cfRule type="cellIs" dxfId="3327" priority="1976" operator="greaterThan">
      <formula>90</formula>
    </cfRule>
  </conditionalFormatting>
  <conditionalFormatting sqref="O4346">
    <cfRule type="cellIs" dxfId="3326" priority="2015" stopIfTrue="1" operator="greaterThan">
      <formula>5</formula>
    </cfRule>
  </conditionalFormatting>
  <conditionalFormatting sqref="Q4346">
    <cfRule type="cellIs" dxfId="3325" priority="2014" stopIfTrue="1" operator="notBetween">
      <formula>5</formula>
      <formula>9</formula>
    </cfRule>
  </conditionalFormatting>
  <conditionalFormatting sqref="R4346">
    <cfRule type="cellIs" dxfId="3324" priority="2013" stopIfTrue="1" operator="greaterThan">
      <formula>75</formula>
    </cfRule>
  </conditionalFormatting>
  <conditionalFormatting sqref="T4346">
    <cfRule type="cellIs" dxfId="3323" priority="2012" stopIfTrue="1" operator="greaterThan">
      <formula>0.4</formula>
    </cfRule>
  </conditionalFormatting>
  <conditionalFormatting sqref="U4346">
    <cfRule type="cellIs" dxfId="3322" priority="2011" stopIfTrue="1" operator="greaterThan">
      <formula>2.3</formula>
    </cfRule>
  </conditionalFormatting>
  <conditionalFormatting sqref="V4346">
    <cfRule type="cellIs" dxfId="3321" priority="2010" stopIfTrue="1" operator="greaterThan">
      <formula>1.1</formula>
    </cfRule>
  </conditionalFormatting>
  <conditionalFormatting sqref="W4346">
    <cfRule type="cellIs" dxfId="3320" priority="2009" stopIfTrue="1" operator="greaterThan">
      <formula>0.059</formula>
    </cfRule>
  </conditionalFormatting>
  <conditionalFormatting sqref="X4346">
    <cfRule type="cellIs" dxfId="3319" priority="2008" stopIfTrue="1" operator="greaterThan">
      <formula>0.16</formula>
    </cfRule>
  </conditionalFormatting>
  <conditionalFormatting sqref="Y4346">
    <cfRule type="cellIs" dxfId="3318" priority="2007" stopIfTrue="1" operator="greaterThan">
      <formula>0.076</formula>
    </cfRule>
  </conditionalFormatting>
  <conditionalFormatting sqref="S4346">
    <cfRule type="cellIs" dxfId="3317" priority="2006" operator="greaterThan">
      <formula>90</formula>
    </cfRule>
  </conditionalFormatting>
  <conditionalFormatting sqref="O4346">
    <cfRule type="cellIs" dxfId="3316" priority="2005" stopIfTrue="1" operator="greaterThan">
      <formula>5</formula>
    </cfRule>
  </conditionalFormatting>
  <conditionalFormatting sqref="Q4346">
    <cfRule type="cellIs" dxfId="3315" priority="2004" stopIfTrue="1" operator="notBetween">
      <formula>5</formula>
      <formula>9</formula>
    </cfRule>
  </conditionalFormatting>
  <conditionalFormatting sqref="R4346">
    <cfRule type="cellIs" dxfId="3314" priority="2003" stopIfTrue="1" operator="greaterThan">
      <formula>75</formula>
    </cfRule>
  </conditionalFormatting>
  <conditionalFormatting sqref="T4346">
    <cfRule type="cellIs" dxfId="3313" priority="2002" stopIfTrue="1" operator="greaterThan">
      <formula>0.4</formula>
    </cfRule>
  </conditionalFormatting>
  <conditionalFormatting sqref="U4346">
    <cfRule type="cellIs" dxfId="3312" priority="2001" stopIfTrue="1" operator="greaterThan">
      <formula>2.3</formula>
    </cfRule>
  </conditionalFormatting>
  <conditionalFormatting sqref="V4346">
    <cfRule type="cellIs" dxfId="3311" priority="2000" stopIfTrue="1" operator="greaterThan">
      <formula>1.1</formula>
    </cfRule>
  </conditionalFormatting>
  <conditionalFormatting sqref="W4346">
    <cfRule type="cellIs" dxfId="3310" priority="1999" stopIfTrue="1" operator="greaterThan">
      <formula>0.059</formula>
    </cfRule>
  </conditionalFormatting>
  <conditionalFormatting sqref="X4346">
    <cfRule type="cellIs" dxfId="3309" priority="1998" stopIfTrue="1" operator="greaterThan">
      <formula>0.16</formula>
    </cfRule>
  </conditionalFormatting>
  <conditionalFormatting sqref="Y4346">
    <cfRule type="cellIs" dxfId="3308" priority="1997" stopIfTrue="1" operator="greaterThan">
      <formula>0.076</formula>
    </cfRule>
  </conditionalFormatting>
  <conditionalFormatting sqref="S4346">
    <cfRule type="cellIs" dxfId="3307" priority="1996" operator="greaterThan">
      <formula>90</formula>
    </cfRule>
  </conditionalFormatting>
  <conditionalFormatting sqref="O4347">
    <cfRule type="cellIs" dxfId="3306" priority="1995" stopIfTrue="1" operator="greaterThan">
      <formula>5</formula>
    </cfRule>
  </conditionalFormatting>
  <conditionalFormatting sqref="Q4347">
    <cfRule type="cellIs" dxfId="3305" priority="1994" stopIfTrue="1" operator="notBetween">
      <formula>5</formula>
      <formula>9</formula>
    </cfRule>
  </conditionalFormatting>
  <conditionalFormatting sqref="R4347">
    <cfRule type="cellIs" dxfId="3304" priority="1993" stopIfTrue="1" operator="greaterThan">
      <formula>75</formula>
    </cfRule>
  </conditionalFormatting>
  <conditionalFormatting sqref="T4347">
    <cfRule type="cellIs" dxfId="3303" priority="1992" stopIfTrue="1" operator="greaterThan">
      <formula>0.4</formula>
    </cfRule>
  </conditionalFormatting>
  <conditionalFormatting sqref="U4347">
    <cfRule type="cellIs" dxfId="3302" priority="1991" stopIfTrue="1" operator="greaterThan">
      <formula>2.3</formula>
    </cfRule>
  </conditionalFormatting>
  <conditionalFormatting sqref="V4347">
    <cfRule type="cellIs" dxfId="3301" priority="1990" stopIfTrue="1" operator="greaterThan">
      <formula>1.1</formula>
    </cfRule>
  </conditionalFormatting>
  <conditionalFormatting sqref="W4347">
    <cfRule type="cellIs" dxfId="3300" priority="1989" stopIfTrue="1" operator="greaterThan">
      <formula>0.059</formula>
    </cfRule>
  </conditionalFormatting>
  <conditionalFormatting sqref="X4347">
    <cfRule type="cellIs" dxfId="3299" priority="1988" stopIfTrue="1" operator="greaterThan">
      <formula>0.16</formula>
    </cfRule>
  </conditionalFormatting>
  <conditionalFormatting sqref="Y4347">
    <cfRule type="cellIs" dxfId="3298" priority="1987" stopIfTrue="1" operator="greaterThan">
      <formula>0.076</formula>
    </cfRule>
  </conditionalFormatting>
  <conditionalFormatting sqref="S4347">
    <cfRule type="cellIs" dxfId="3297" priority="1986" operator="greaterThan">
      <formula>90</formula>
    </cfRule>
  </conditionalFormatting>
  <conditionalFormatting sqref="O4347">
    <cfRule type="cellIs" dxfId="3296" priority="1985" stopIfTrue="1" operator="greaterThan">
      <formula>5</formula>
    </cfRule>
  </conditionalFormatting>
  <conditionalFormatting sqref="Q4347">
    <cfRule type="cellIs" dxfId="3295" priority="1984" stopIfTrue="1" operator="notBetween">
      <formula>5</formula>
      <formula>9</formula>
    </cfRule>
  </conditionalFormatting>
  <conditionalFormatting sqref="R4347">
    <cfRule type="cellIs" dxfId="3294" priority="1983" stopIfTrue="1" operator="greaterThan">
      <formula>75</formula>
    </cfRule>
  </conditionalFormatting>
  <conditionalFormatting sqref="T4347">
    <cfRule type="cellIs" dxfId="3293" priority="1982" stopIfTrue="1" operator="greaterThan">
      <formula>0.4</formula>
    </cfRule>
  </conditionalFormatting>
  <conditionalFormatting sqref="U4347">
    <cfRule type="cellIs" dxfId="3292" priority="1981" stopIfTrue="1" operator="greaterThan">
      <formula>2.3</formula>
    </cfRule>
  </conditionalFormatting>
  <conditionalFormatting sqref="V4347">
    <cfRule type="cellIs" dxfId="3291" priority="1980" stopIfTrue="1" operator="greaterThan">
      <formula>1.1</formula>
    </cfRule>
  </conditionalFormatting>
  <conditionalFormatting sqref="W4347">
    <cfRule type="cellIs" dxfId="3290" priority="1979" stopIfTrue="1" operator="greaterThan">
      <formula>0.059</formula>
    </cfRule>
  </conditionalFormatting>
  <conditionalFormatting sqref="X4347">
    <cfRule type="cellIs" dxfId="3289" priority="1978" stopIfTrue="1" operator="greaterThan">
      <formula>0.16</formula>
    </cfRule>
  </conditionalFormatting>
  <conditionalFormatting sqref="Y4347">
    <cfRule type="cellIs" dxfId="3288" priority="1977" stopIfTrue="1" operator="greaterThan">
      <formula>0.076</formula>
    </cfRule>
  </conditionalFormatting>
  <conditionalFormatting sqref="O3962">
    <cfRule type="cellIs" dxfId="3287" priority="1975" stopIfTrue="1" operator="greaterThan">
      <formula>5</formula>
    </cfRule>
  </conditionalFormatting>
  <conditionalFormatting sqref="Q3962">
    <cfRule type="cellIs" dxfId="3286" priority="1974" stopIfTrue="1" operator="notBetween">
      <formula>5</formula>
      <formula>9</formula>
    </cfRule>
  </conditionalFormatting>
  <conditionalFormatting sqref="R3962">
    <cfRule type="cellIs" dxfId="3285" priority="1973" stopIfTrue="1" operator="greaterThan">
      <formula>75</formula>
    </cfRule>
  </conditionalFormatting>
  <conditionalFormatting sqref="S3962">
    <cfRule type="cellIs" dxfId="3284" priority="1972" stopIfTrue="1" operator="greaterThan">
      <formula>90</formula>
    </cfRule>
  </conditionalFormatting>
  <conditionalFormatting sqref="T3962">
    <cfRule type="cellIs" dxfId="3283" priority="1971" stopIfTrue="1" operator="greaterThan">
      <formula>0.4</formula>
    </cfRule>
  </conditionalFormatting>
  <conditionalFormatting sqref="U3962">
    <cfRule type="cellIs" dxfId="3282" priority="1970" stopIfTrue="1" operator="greaterThan">
      <formula>2.3</formula>
    </cfRule>
  </conditionalFormatting>
  <conditionalFormatting sqref="V3962">
    <cfRule type="cellIs" dxfId="3281" priority="1969" stopIfTrue="1" operator="greaterThan">
      <formula>1.1</formula>
    </cfRule>
  </conditionalFormatting>
  <conditionalFormatting sqref="W3962">
    <cfRule type="cellIs" dxfId="3280" priority="1968" stopIfTrue="1" operator="greaterThan">
      <formula>0.059</formula>
    </cfRule>
  </conditionalFormatting>
  <conditionalFormatting sqref="X3962">
    <cfRule type="cellIs" dxfId="3279" priority="1967" stopIfTrue="1" operator="greaterThan">
      <formula>0.16</formula>
    </cfRule>
  </conditionalFormatting>
  <conditionalFormatting sqref="Y3962">
    <cfRule type="cellIs" dxfId="3278" priority="1966" stopIfTrue="1" operator="greaterThan">
      <formula>0.076</formula>
    </cfRule>
  </conditionalFormatting>
  <conditionalFormatting sqref="O3983">
    <cfRule type="cellIs" dxfId="3277" priority="1965" stopIfTrue="1" operator="greaterThan">
      <formula>5</formula>
    </cfRule>
  </conditionalFormatting>
  <conditionalFormatting sqref="Q3983">
    <cfRule type="cellIs" dxfId="3276" priority="1964" stopIfTrue="1" operator="notBetween">
      <formula>5</formula>
      <formula>9</formula>
    </cfRule>
  </conditionalFormatting>
  <conditionalFormatting sqref="R3983">
    <cfRule type="cellIs" dxfId="3275" priority="1963" stopIfTrue="1" operator="greaterThan">
      <formula>75</formula>
    </cfRule>
  </conditionalFormatting>
  <conditionalFormatting sqref="S3983">
    <cfRule type="cellIs" dxfId="3274" priority="1962" stopIfTrue="1" operator="greaterThan">
      <formula>90</formula>
    </cfRule>
  </conditionalFormatting>
  <conditionalFormatting sqref="T3983">
    <cfRule type="cellIs" dxfId="3273" priority="1961" stopIfTrue="1" operator="greaterThan">
      <formula>0.4</formula>
    </cfRule>
  </conditionalFormatting>
  <conditionalFormatting sqref="U3983">
    <cfRule type="cellIs" dxfId="3272" priority="1960" stopIfTrue="1" operator="greaterThan">
      <formula>2.3</formula>
    </cfRule>
  </conditionalFormatting>
  <conditionalFormatting sqref="V3983">
    <cfRule type="cellIs" dxfId="3271" priority="1959" stopIfTrue="1" operator="greaterThan">
      <formula>1.1</formula>
    </cfRule>
  </conditionalFormatting>
  <conditionalFormatting sqref="W3983">
    <cfRule type="cellIs" dxfId="3270" priority="1958" stopIfTrue="1" operator="greaterThan">
      <formula>0.059</formula>
    </cfRule>
  </conditionalFormatting>
  <conditionalFormatting sqref="X3983">
    <cfRule type="cellIs" dxfId="3269" priority="1957" stopIfTrue="1" operator="greaterThan">
      <formula>0.16</formula>
    </cfRule>
  </conditionalFormatting>
  <conditionalFormatting sqref="Y3983">
    <cfRule type="cellIs" dxfId="3268" priority="1956" stopIfTrue="1" operator="greaterThan">
      <formula>0.076</formula>
    </cfRule>
  </conditionalFormatting>
  <conditionalFormatting sqref="O4002">
    <cfRule type="cellIs" dxfId="3267" priority="1955" stopIfTrue="1" operator="greaterThan">
      <formula>5</formula>
    </cfRule>
  </conditionalFormatting>
  <conditionalFormatting sqref="Q4002">
    <cfRule type="cellIs" dxfId="3266" priority="1954" stopIfTrue="1" operator="notBetween">
      <formula>5</formula>
      <formula>9</formula>
    </cfRule>
  </conditionalFormatting>
  <conditionalFormatting sqref="R4002">
    <cfRule type="cellIs" dxfId="3265" priority="1953" stopIfTrue="1" operator="greaterThan">
      <formula>75</formula>
    </cfRule>
  </conditionalFormatting>
  <conditionalFormatting sqref="S4002">
    <cfRule type="cellIs" dxfId="3264" priority="1952" stopIfTrue="1" operator="greaterThan">
      <formula>90</formula>
    </cfRule>
  </conditionalFormatting>
  <conditionalFormatting sqref="T4002">
    <cfRule type="cellIs" dxfId="3263" priority="1951" stopIfTrue="1" operator="greaterThan">
      <formula>0.4</formula>
    </cfRule>
  </conditionalFormatting>
  <conditionalFormatting sqref="U4002">
    <cfRule type="cellIs" dxfId="3262" priority="1950" stopIfTrue="1" operator="greaterThan">
      <formula>2.3</formula>
    </cfRule>
  </conditionalFormatting>
  <conditionalFormatting sqref="V4002">
    <cfRule type="cellIs" dxfId="3261" priority="1949" stopIfTrue="1" operator="greaterThan">
      <formula>1.1</formula>
    </cfRule>
  </conditionalFormatting>
  <conditionalFormatting sqref="W4002">
    <cfRule type="cellIs" dxfId="3260" priority="1948" stopIfTrue="1" operator="greaterThan">
      <formula>0.059</formula>
    </cfRule>
  </conditionalFormatting>
  <conditionalFormatting sqref="X4002">
    <cfRule type="cellIs" dxfId="3259" priority="1947" stopIfTrue="1" operator="greaterThan">
      <formula>0.16</formula>
    </cfRule>
  </conditionalFormatting>
  <conditionalFormatting sqref="Y4002">
    <cfRule type="cellIs" dxfId="3258" priority="1946" stopIfTrue="1" operator="greaterThan">
      <formula>0.076</formula>
    </cfRule>
  </conditionalFormatting>
  <conditionalFormatting sqref="O4005:O4006">
    <cfRule type="cellIs" dxfId="3257" priority="1945" stopIfTrue="1" operator="greaterThan">
      <formula>5</formula>
    </cfRule>
  </conditionalFormatting>
  <conditionalFormatting sqref="Q4005:Q4006">
    <cfRule type="cellIs" dxfId="3256" priority="1944" stopIfTrue="1" operator="notBetween">
      <formula>5</formula>
      <formula>9</formula>
    </cfRule>
  </conditionalFormatting>
  <conditionalFormatting sqref="R4005:R4006">
    <cfRule type="cellIs" dxfId="3255" priority="1943" stopIfTrue="1" operator="greaterThan">
      <formula>75</formula>
    </cfRule>
  </conditionalFormatting>
  <conditionalFormatting sqref="S4005:S4006">
    <cfRule type="cellIs" dxfId="3254" priority="1942" stopIfTrue="1" operator="greaterThan">
      <formula>90</formula>
    </cfRule>
  </conditionalFormatting>
  <conditionalFormatting sqref="T4005:T4006">
    <cfRule type="cellIs" dxfId="3253" priority="1941" stopIfTrue="1" operator="greaterThan">
      <formula>0.4</formula>
    </cfRule>
  </conditionalFormatting>
  <conditionalFormatting sqref="U4005:U4006">
    <cfRule type="cellIs" dxfId="3252" priority="1940" stopIfTrue="1" operator="greaterThan">
      <formula>2.3</formula>
    </cfRule>
  </conditionalFormatting>
  <conditionalFormatting sqref="V4005:V4006">
    <cfRule type="cellIs" dxfId="3251" priority="1939" stopIfTrue="1" operator="greaterThan">
      <formula>1.1</formula>
    </cfRule>
  </conditionalFormatting>
  <conditionalFormatting sqref="W4005:W4006">
    <cfRule type="cellIs" dxfId="3250" priority="1938" stopIfTrue="1" operator="greaterThan">
      <formula>0.059</formula>
    </cfRule>
  </conditionalFormatting>
  <conditionalFormatting sqref="X4005:X4006">
    <cfRule type="cellIs" dxfId="3249" priority="1937" stopIfTrue="1" operator="greaterThan">
      <formula>0.16</formula>
    </cfRule>
  </conditionalFormatting>
  <conditionalFormatting sqref="Y4005:Y4006">
    <cfRule type="cellIs" dxfId="3248" priority="1936" stopIfTrue="1" operator="greaterThan">
      <formula>0.076</formula>
    </cfRule>
  </conditionalFormatting>
  <conditionalFormatting sqref="O4014:O4016">
    <cfRule type="cellIs" dxfId="3247" priority="1935" stopIfTrue="1" operator="greaterThan">
      <formula>5</formula>
    </cfRule>
  </conditionalFormatting>
  <conditionalFormatting sqref="Q4014:Q4016">
    <cfRule type="cellIs" dxfId="3246" priority="1934" stopIfTrue="1" operator="notBetween">
      <formula>5</formula>
      <formula>9</formula>
    </cfRule>
  </conditionalFormatting>
  <conditionalFormatting sqref="R4014:R4016">
    <cfRule type="cellIs" dxfId="3245" priority="1933" stopIfTrue="1" operator="greaterThan">
      <formula>75</formula>
    </cfRule>
  </conditionalFormatting>
  <conditionalFormatting sqref="S4014:S4016">
    <cfRule type="cellIs" dxfId="3244" priority="1932" stopIfTrue="1" operator="greaterThan">
      <formula>90</formula>
    </cfRule>
  </conditionalFormatting>
  <conditionalFormatting sqref="T4014:T4016">
    <cfRule type="cellIs" dxfId="3243" priority="1931" stopIfTrue="1" operator="greaterThan">
      <formula>0.4</formula>
    </cfRule>
  </conditionalFormatting>
  <conditionalFormatting sqref="U4014:U4016">
    <cfRule type="cellIs" dxfId="3242" priority="1930" stopIfTrue="1" operator="greaterThan">
      <formula>2.3</formula>
    </cfRule>
  </conditionalFormatting>
  <conditionalFormatting sqref="V4014:V4016">
    <cfRule type="cellIs" dxfId="3241" priority="1929" stopIfTrue="1" operator="greaterThan">
      <formula>1.1</formula>
    </cfRule>
  </conditionalFormatting>
  <conditionalFormatting sqref="W4014:W4016">
    <cfRule type="cellIs" dxfId="3240" priority="1928" stopIfTrue="1" operator="greaterThan">
      <formula>0.059</formula>
    </cfRule>
  </conditionalFormatting>
  <conditionalFormatting sqref="X4014:X4016">
    <cfRule type="cellIs" dxfId="3239" priority="1927" stopIfTrue="1" operator="greaterThan">
      <formula>0.16</formula>
    </cfRule>
  </conditionalFormatting>
  <conditionalFormatting sqref="Y4014:Y4016">
    <cfRule type="cellIs" dxfId="3238" priority="1926" stopIfTrue="1" operator="greaterThan">
      <formula>0.076</formula>
    </cfRule>
  </conditionalFormatting>
  <conditionalFormatting sqref="O4034:O4037">
    <cfRule type="cellIs" dxfId="3237" priority="1925" stopIfTrue="1" operator="greaterThan">
      <formula>5</formula>
    </cfRule>
  </conditionalFormatting>
  <conditionalFormatting sqref="Q4034:Q4037">
    <cfRule type="cellIs" dxfId="3236" priority="1924" stopIfTrue="1" operator="notBetween">
      <formula>5</formula>
      <formula>9</formula>
    </cfRule>
  </conditionalFormatting>
  <conditionalFormatting sqref="R4034:R4037">
    <cfRule type="cellIs" dxfId="3235" priority="1923" stopIfTrue="1" operator="greaterThan">
      <formula>75</formula>
    </cfRule>
  </conditionalFormatting>
  <conditionalFormatting sqref="S4034:S4037">
    <cfRule type="cellIs" dxfId="3234" priority="1922" stopIfTrue="1" operator="greaterThan">
      <formula>90</formula>
    </cfRule>
  </conditionalFormatting>
  <conditionalFormatting sqref="T4034:T4037">
    <cfRule type="cellIs" dxfId="3233" priority="1921" stopIfTrue="1" operator="greaterThan">
      <formula>0.4</formula>
    </cfRule>
  </conditionalFormatting>
  <conditionalFormatting sqref="U4034:U4037">
    <cfRule type="cellIs" dxfId="3232" priority="1920" stopIfTrue="1" operator="greaterThan">
      <formula>2.3</formula>
    </cfRule>
  </conditionalFormatting>
  <conditionalFormatting sqref="V4034:V4037">
    <cfRule type="cellIs" dxfId="3231" priority="1919" stopIfTrue="1" operator="greaterThan">
      <formula>1.1</formula>
    </cfRule>
  </conditionalFormatting>
  <conditionalFormatting sqref="W4034:W4037">
    <cfRule type="cellIs" dxfId="3230" priority="1918" stopIfTrue="1" operator="greaterThan">
      <formula>0.059</formula>
    </cfRule>
  </conditionalFormatting>
  <conditionalFormatting sqref="X4034:X4037">
    <cfRule type="cellIs" dxfId="3229" priority="1917" stopIfTrue="1" operator="greaterThan">
      <formula>0.16</formula>
    </cfRule>
  </conditionalFormatting>
  <conditionalFormatting sqref="Y4034:Y4037">
    <cfRule type="cellIs" dxfId="3228" priority="1916" stopIfTrue="1" operator="greaterThan">
      <formula>0.076</formula>
    </cfRule>
  </conditionalFormatting>
  <conditionalFormatting sqref="O4039:O4041">
    <cfRule type="cellIs" dxfId="3227" priority="1915" stopIfTrue="1" operator="greaterThan">
      <formula>5</formula>
    </cfRule>
  </conditionalFormatting>
  <conditionalFormatting sqref="Q4039:Q4041">
    <cfRule type="cellIs" dxfId="3226" priority="1914" stopIfTrue="1" operator="notBetween">
      <formula>5</formula>
      <formula>9</formula>
    </cfRule>
  </conditionalFormatting>
  <conditionalFormatting sqref="R4039:R4041">
    <cfRule type="cellIs" dxfId="3225" priority="1913" stopIfTrue="1" operator="greaterThan">
      <formula>75</formula>
    </cfRule>
  </conditionalFormatting>
  <conditionalFormatting sqref="S4039:S4041">
    <cfRule type="cellIs" dxfId="3224" priority="1912" stopIfTrue="1" operator="greaterThan">
      <formula>90</formula>
    </cfRule>
  </conditionalFormatting>
  <conditionalFormatting sqref="T4039:T4041">
    <cfRule type="cellIs" dxfId="3223" priority="1911" stopIfTrue="1" operator="greaterThan">
      <formula>0.4</formula>
    </cfRule>
  </conditionalFormatting>
  <conditionalFormatting sqref="U4039:U4041">
    <cfRule type="cellIs" dxfId="3222" priority="1910" stopIfTrue="1" operator="greaterThan">
      <formula>2.3</formula>
    </cfRule>
  </conditionalFormatting>
  <conditionalFormatting sqref="V4039:V4041">
    <cfRule type="cellIs" dxfId="3221" priority="1909" stopIfTrue="1" operator="greaterThan">
      <formula>1.1</formula>
    </cfRule>
  </conditionalFormatting>
  <conditionalFormatting sqref="W4039:W4041">
    <cfRule type="cellIs" dxfId="3220" priority="1908" stopIfTrue="1" operator="greaterThan">
      <formula>0.059</formula>
    </cfRule>
  </conditionalFormatting>
  <conditionalFormatting sqref="X4039:X4041">
    <cfRule type="cellIs" dxfId="3219" priority="1907" stopIfTrue="1" operator="greaterThan">
      <formula>0.16</formula>
    </cfRule>
  </conditionalFormatting>
  <conditionalFormatting sqref="Y4039:Y4041">
    <cfRule type="cellIs" dxfId="3218" priority="1906" stopIfTrue="1" operator="greaterThan">
      <formula>0.076</formula>
    </cfRule>
  </conditionalFormatting>
  <conditionalFormatting sqref="O4043">
    <cfRule type="cellIs" dxfId="3217" priority="1905" stopIfTrue="1" operator="greaterThan">
      <formula>5</formula>
    </cfRule>
  </conditionalFormatting>
  <conditionalFormatting sqref="Q4043">
    <cfRule type="cellIs" dxfId="3216" priority="1904" stopIfTrue="1" operator="notBetween">
      <formula>5</formula>
      <formula>9</formula>
    </cfRule>
  </conditionalFormatting>
  <conditionalFormatting sqref="R4043">
    <cfRule type="cellIs" dxfId="3215" priority="1903" stopIfTrue="1" operator="greaterThan">
      <formula>75</formula>
    </cfRule>
  </conditionalFormatting>
  <conditionalFormatting sqref="S4043">
    <cfRule type="cellIs" dxfId="3214" priority="1902" stopIfTrue="1" operator="greaterThan">
      <formula>90</formula>
    </cfRule>
  </conditionalFormatting>
  <conditionalFormatting sqref="T4043">
    <cfRule type="cellIs" dxfId="3213" priority="1901" stopIfTrue="1" operator="greaterThan">
      <formula>0.4</formula>
    </cfRule>
  </conditionalFormatting>
  <conditionalFormatting sqref="U4043">
    <cfRule type="cellIs" dxfId="3212" priority="1900" stopIfTrue="1" operator="greaterThan">
      <formula>2.3</formula>
    </cfRule>
  </conditionalFormatting>
  <conditionalFormatting sqref="V4043">
    <cfRule type="cellIs" dxfId="3211" priority="1899" stopIfTrue="1" operator="greaterThan">
      <formula>1.1</formula>
    </cfRule>
  </conditionalFormatting>
  <conditionalFormatting sqref="W4043">
    <cfRule type="cellIs" dxfId="3210" priority="1898" stopIfTrue="1" operator="greaterThan">
      <formula>0.059</formula>
    </cfRule>
  </conditionalFormatting>
  <conditionalFormatting sqref="X4043">
    <cfRule type="cellIs" dxfId="3209" priority="1897" stopIfTrue="1" operator="greaterThan">
      <formula>0.16</formula>
    </cfRule>
  </conditionalFormatting>
  <conditionalFormatting sqref="Y4043">
    <cfRule type="cellIs" dxfId="3208" priority="1896" stopIfTrue="1" operator="greaterThan">
      <formula>0.076</formula>
    </cfRule>
  </conditionalFormatting>
  <conditionalFormatting sqref="O4058">
    <cfRule type="cellIs" dxfId="3207" priority="1895" stopIfTrue="1" operator="greaterThan">
      <formula>5</formula>
    </cfRule>
  </conditionalFormatting>
  <conditionalFormatting sqref="Q4058">
    <cfRule type="cellIs" dxfId="3206" priority="1894" stopIfTrue="1" operator="notBetween">
      <formula>5</formula>
      <formula>9</formula>
    </cfRule>
  </conditionalFormatting>
  <conditionalFormatting sqref="R4058">
    <cfRule type="cellIs" dxfId="3205" priority="1893" stopIfTrue="1" operator="greaterThan">
      <formula>75</formula>
    </cfRule>
  </conditionalFormatting>
  <conditionalFormatting sqref="S4058">
    <cfRule type="cellIs" dxfId="3204" priority="1892" stopIfTrue="1" operator="greaterThan">
      <formula>90</formula>
    </cfRule>
  </conditionalFormatting>
  <conditionalFormatting sqref="T4058">
    <cfRule type="cellIs" dxfId="3203" priority="1891" stopIfTrue="1" operator="greaterThan">
      <formula>0.4</formula>
    </cfRule>
  </conditionalFormatting>
  <conditionalFormatting sqref="U4058">
    <cfRule type="cellIs" dxfId="3202" priority="1890" stopIfTrue="1" operator="greaterThan">
      <formula>2.3</formula>
    </cfRule>
  </conditionalFormatting>
  <conditionalFormatting sqref="V4058">
    <cfRule type="cellIs" dxfId="3201" priority="1889" stopIfTrue="1" operator="greaterThan">
      <formula>1.1</formula>
    </cfRule>
  </conditionalFormatting>
  <conditionalFormatting sqref="W4058">
    <cfRule type="cellIs" dxfId="3200" priority="1888" stopIfTrue="1" operator="greaterThan">
      <formula>0.059</formula>
    </cfRule>
  </conditionalFormatting>
  <conditionalFormatting sqref="X4058">
    <cfRule type="cellIs" dxfId="3199" priority="1887" stopIfTrue="1" operator="greaterThan">
      <formula>0.16</formula>
    </cfRule>
  </conditionalFormatting>
  <conditionalFormatting sqref="Y4058">
    <cfRule type="cellIs" dxfId="3198" priority="1886" stopIfTrue="1" operator="greaterThan">
      <formula>0.076</formula>
    </cfRule>
  </conditionalFormatting>
  <conditionalFormatting sqref="O4063">
    <cfRule type="cellIs" dxfId="3197" priority="1885" stopIfTrue="1" operator="greaterThan">
      <formula>5</formula>
    </cfRule>
  </conditionalFormatting>
  <conditionalFormatting sqref="Q4063">
    <cfRule type="cellIs" dxfId="3196" priority="1884" stopIfTrue="1" operator="notBetween">
      <formula>5</formula>
      <formula>9</formula>
    </cfRule>
  </conditionalFormatting>
  <conditionalFormatting sqref="R4063">
    <cfRule type="cellIs" dxfId="3195" priority="1883" stopIfTrue="1" operator="greaterThan">
      <formula>75</formula>
    </cfRule>
  </conditionalFormatting>
  <conditionalFormatting sqref="S4063">
    <cfRule type="cellIs" dxfId="3194" priority="1882" stopIfTrue="1" operator="greaterThan">
      <formula>90</formula>
    </cfRule>
  </conditionalFormatting>
  <conditionalFormatting sqref="T4063">
    <cfRule type="cellIs" dxfId="3193" priority="1881" stopIfTrue="1" operator="greaterThan">
      <formula>0.4</formula>
    </cfRule>
  </conditionalFormatting>
  <conditionalFormatting sqref="U4063">
    <cfRule type="cellIs" dxfId="3192" priority="1880" stopIfTrue="1" operator="greaterThan">
      <formula>2.3</formula>
    </cfRule>
  </conditionalFormatting>
  <conditionalFormatting sqref="V4063">
    <cfRule type="cellIs" dxfId="3191" priority="1879" stopIfTrue="1" operator="greaterThan">
      <formula>1.1</formula>
    </cfRule>
  </conditionalFormatting>
  <conditionalFormatting sqref="W4063">
    <cfRule type="cellIs" dxfId="3190" priority="1878" stopIfTrue="1" operator="greaterThan">
      <formula>0.059</formula>
    </cfRule>
  </conditionalFormatting>
  <conditionalFormatting sqref="X4063">
    <cfRule type="cellIs" dxfId="3189" priority="1877" stopIfTrue="1" operator="greaterThan">
      <formula>0.16</formula>
    </cfRule>
  </conditionalFormatting>
  <conditionalFormatting sqref="Y4063">
    <cfRule type="cellIs" dxfId="3188" priority="1876" stopIfTrue="1" operator="greaterThan">
      <formula>0.076</formula>
    </cfRule>
  </conditionalFormatting>
  <conditionalFormatting sqref="O4086">
    <cfRule type="cellIs" dxfId="3187" priority="1875" stopIfTrue="1" operator="greaterThan">
      <formula>5</formula>
    </cfRule>
  </conditionalFormatting>
  <conditionalFormatting sqref="Q4086">
    <cfRule type="cellIs" dxfId="3186" priority="1874" stopIfTrue="1" operator="notBetween">
      <formula>5</formula>
      <formula>9</formula>
    </cfRule>
  </conditionalFormatting>
  <conditionalFormatting sqref="R4086">
    <cfRule type="cellIs" dxfId="3185" priority="1873" stopIfTrue="1" operator="greaterThan">
      <formula>75</formula>
    </cfRule>
  </conditionalFormatting>
  <conditionalFormatting sqref="S4086">
    <cfRule type="cellIs" dxfId="3184" priority="1872" stopIfTrue="1" operator="greaterThan">
      <formula>90</formula>
    </cfRule>
  </conditionalFormatting>
  <conditionalFormatting sqref="T4086">
    <cfRule type="cellIs" dxfId="3183" priority="1871" stopIfTrue="1" operator="greaterThan">
      <formula>0.4</formula>
    </cfRule>
  </conditionalFormatting>
  <conditionalFormatting sqref="U4086">
    <cfRule type="cellIs" dxfId="3182" priority="1870" stopIfTrue="1" operator="greaterThan">
      <formula>2.3</formula>
    </cfRule>
  </conditionalFormatting>
  <conditionalFormatting sqref="V4086">
    <cfRule type="cellIs" dxfId="3181" priority="1869" stopIfTrue="1" operator="greaterThan">
      <formula>1.1</formula>
    </cfRule>
  </conditionalFormatting>
  <conditionalFormatting sqref="W4086">
    <cfRule type="cellIs" dxfId="3180" priority="1868" stopIfTrue="1" operator="greaterThan">
      <formula>0.059</formula>
    </cfRule>
  </conditionalFormatting>
  <conditionalFormatting sqref="X4086">
    <cfRule type="cellIs" dxfId="3179" priority="1867" stopIfTrue="1" operator="greaterThan">
      <formula>0.16</formula>
    </cfRule>
  </conditionalFormatting>
  <conditionalFormatting sqref="Y4086">
    <cfRule type="cellIs" dxfId="3178" priority="1866" stopIfTrue="1" operator="greaterThan">
      <formula>0.076</formula>
    </cfRule>
  </conditionalFormatting>
  <conditionalFormatting sqref="O4097:O4101">
    <cfRule type="cellIs" dxfId="3177" priority="1865" stopIfTrue="1" operator="greaterThan">
      <formula>5</formula>
    </cfRule>
  </conditionalFormatting>
  <conditionalFormatting sqref="Q4097:Q4101">
    <cfRule type="cellIs" dxfId="3176" priority="1864" stopIfTrue="1" operator="notBetween">
      <formula>5</formula>
      <formula>9</formula>
    </cfRule>
  </conditionalFormatting>
  <conditionalFormatting sqref="R4097:R4101">
    <cfRule type="cellIs" dxfId="3175" priority="1863" stopIfTrue="1" operator="greaterThan">
      <formula>75</formula>
    </cfRule>
  </conditionalFormatting>
  <conditionalFormatting sqref="S4097:S4101">
    <cfRule type="cellIs" dxfId="3174" priority="1862" stopIfTrue="1" operator="greaterThan">
      <formula>90</formula>
    </cfRule>
  </conditionalFormatting>
  <conditionalFormatting sqref="T4097:T4101">
    <cfRule type="cellIs" dxfId="3173" priority="1861" stopIfTrue="1" operator="greaterThan">
      <formula>0.4</formula>
    </cfRule>
  </conditionalFormatting>
  <conditionalFormatting sqref="U4097:U4101">
    <cfRule type="cellIs" dxfId="3172" priority="1860" stopIfTrue="1" operator="greaterThan">
      <formula>2.3</formula>
    </cfRule>
  </conditionalFormatting>
  <conditionalFormatting sqref="V4097:V4101">
    <cfRule type="cellIs" dxfId="3171" priority="1859" stopIfTrue="1" operator="greaterThan">
      <formula>1.1</formula>
    </cfRule>
  </conditionalFormatting>
  <conditionalFormatting sqref="W4097:W4101">
    <cfRule type="cellIs" dxfId="3170" priority="1858" stopIfTrue="1" operator="greaterThan">
      <formula>0.059</formula>
    </cfRule>
  </conditionalFormatting>
  <conditionalFormatting sqref="X4097:X4101">
    <cfRule type="cellIs" dxfId="3169" priority="1857" stopIfTrue="1" operator="greaterThan">
      <formula>0.16</formula>
    </cfRule>
  </conditionalFormatting>
  <conditionalFormatting sqref="Y4097:Y4101">
    <cfRule type="cellIs" dxfId="3168" priority="1856" stopIfTrue="1" operator="greaterThan">
      <formula>0.076</formula>
    </cfRule>
  </conditionalFormatting>
  <conditionalFormatting sqref="Y4352:Y4354">
    <cfRule type="cellIs" dxfId="3167" priority="1806" stopIfTrue="1" operator="greaterThan">
      <formula>0.076</formula>
    </cfRule>
  </conditionalFormatting>
  <conditionalFormatting sqref="O4352:O4354">
    <cfRule type="cellIs" dxfId="3166" priority="1845" stopIfTrue="1" operator="greaterThan">
      <formula>5</formula>
    </cfRule>
  </conditionalFormatting>
  <conditionalFormatting sqref="Q4352:Q4354">
    <cfRule type="cellIs" dxfId="3165" priority="1844" stopIfTrue="1" operator="notBetween">
      <formula>5</formula>
      <formula>9</formula>
    </cfRule>
  </conditionalFormatting>
  <conditionalFormatting sqref="R4352:R4354">
    <cfRule type="cellIs" dxfId="3164" priority="1843" stopIfTrue="1" operator="greaterThan">
      <formula>75</formula>
    </cfRule>
  </conditionalFormatting>
  <conditionalFormatting sqref="S4352:S4354">
    <cfRule type="cellIs" dxfId="3163" priority="1842" stopIfTrue="1" operator="greaterThan">
      <formula>90</formula>
    </cfRule>
  </conditionalFormatting>
  <conditionalFormatting sqref="T4352:T4354">
    <cfRule type="cellIs" dxfId="3162" priority="1841" stopIfTrue="1" operator="greaterThan">
      <formula>0.4</formula>
    </cfRule>
  </conditionalFormatting>
  <conditionalFormatting sqref="U4352:U4354">
    <cfRule type="cellIs" dxfId="3161" priority="1840" stopIfTrue="1" operator="greaterThan">
      <formula>2.3</formula>
    </cfRule>
  </conditionalFormatting>
  <conditionalFormatting sqref="V4352:V4354">
    <cfRule type="cellIs" dxfId="3160" priority="1839" stopIfTrue="1" operator="greaterThan">
      <formula>1.1</formula>
    </cfRule>
  </conditionalFormatting>
  <conditionalFormatting sqref="W4352:W4354">
    <cfRule type="cellIs" dxfId="3159" priority="1838" stopIfTrue="1" operator="greaterThan">
      <formula>0.059</formula>
    </cfRule>
  </conditionalFormatting>
  <conditionalFormatting sqref="X4352:X4354">
    <cfRule type="cellIs" dxfId="3158" priority="1837" stopIfTrue="1" operator="greaterThan">
      <formula>0.16</formula>
    </cfRule>
  </conditionalFormatting>
  <conditionalFormatting sqref="Y4352:Y4354">
    <cfRule type="cellIs" dxfId="3157" priority="1836" stopIfTrue="1" operator="greaterThan">
      <formula>0.076</formula>
    </cfRule>
  </conditionalFormatting>
  <conditionalFormatting sqref="O4352:O4354">
    <cfRule type="cellIs" dxfId="3156" priority="1835" stopIfTrue="1" operator="greaterThan">
      <formula>5</formula>
    </cfRule>
  </conditionalFormatting>
  <conditionalFormatting sqref="Q4352:Q4354">
    <cfRule type="cellIs" dxfId="3155" priority="1834" stopIfTrue="1" operator="notBetween">
      <formula>5</formula>
      <formula>9</formula>
    </cfRule>
  </conditionalFormatting>
  <conditionalFormatting sqref="R4352:R4354">
    <cfRule type="cellIs" dxfId="3154" priority="1833" stopIfTrue="1" operator="greaterThan">
      <formula>75</formula>
    </cfRule>
  </conditionalFormatting>
  <conditionalFormatting sqref="S4352:S4354">
    <cfRule type="cellIs" dxfId="3153" priority="1832" stopIfTrue="1" operator="greaterThan">
      <formula>90</formula>
    </cfRule>
  </conditionalFormatting>
  <conditionalFormatting sqref="T4352:T4354">
    <cfRule type="cellIs" dxfId="3152" priority="1831" stopIfTrue="1" operator="greaterThan">
      <formula>0.4</formula>
    </cfRule>
  </conditionalFormatting>
  <conditionalFormatting sqref="U4352:U4354">
    <cfRule type="cellIs" dxfId="3151" priority="1830" stopIfTrue="1" operator="greaterThan">
      <formula>2.3</formula>
    </cfRule>
  </conditionalFormatting>
  <conditionalFormatting sqref="V4352:V4354">
    <cfRule type="cellIs" dxfId="3150" priority="1829" stopIfTrue="1" operator="greaterThan">
      <formula>1.1</formula>
    </cfRule>
  </conditionalFormatting>
  <conditionalFormatting sqref="W4352:W4354">
    <cfRule type="cellIs" dxfId="3149" priority="1828" stopIfTrue="1" operator="greaterThan">
      <formula>0.059</formula>
    </cfRule>
  </conditionalFormatting>
  <conditionalFormatting sqref="X4352:X4354">
    <cfRule type="cellIs" dxfId="3148" priority="1827" stopIfTrue="1" operator="greaterThan">
      <formula>0.16</formula>
    </cfRule>
  </conditionalFormatting>
  <conditionalFormatting sqref="Y4352:Y4354">
    <cfRule type="cellIs" dxfId="3147" priority="1826" stopIfTrue="1" operator="greaterThan">
      <formula>0.076</formula>
    </cfRule>
  </conditionalFormatting>
  <conditionalFormatting sqref="O4352:O4354">
    <cfRule type="cellIs" dxfId="3146" priority="1825" stopIfTrue="1" operator="greaterThan">
      <formula>5</formula>
    </cfRule>
  </conditionalFormatting>
  <conditionalFormatting sqref="Q4352:Q4354">
    <cfRule type="cellIs" dxfId="3145" priority="1824" stopIfTrue="1" operator="notBetween">
      <formula>5</formula>
      <formula>9</formula>
    </cfRule>
  </conditionalFormatting>
  <conditionalFormatting sqref="R4352:R4354">
    <cfRule type="cellIs" dxfId="3144" priority="1823" stopIfTrue="1" operator="greaterThan">
      <formula>75</formula>
    </cfRule>
  </conditionalFormatting>
  <conditionalFormatting sqref="S4352:S4354">
    <cfRule type="cellIs" dxfId="3143" priority="1822" stopIfTrue="1" operator="greaterThan">
      <formula>90</formula>
    </cfRule>
  </conditionalFormatting>
  <conditionalFormatting sqref="T4352:T4354">
    <cfRule type="cellIs" dxfId="3142" priority="1821" stopIfTrue="1" operator="greaterThan">
      <formula>0.4</formula>
    </cfRule>
  </conditionalFormatting>
  <conditionalFormatting sqref="U4352:U4354">
    <cfRule type="cellIs" dxfId="3141" priority="1820" stopIfTrue="1" operator="greaterThan">
      <formula>2.3</formula>
    </cfRule>
  </conditionalFormatting>
  <conditionalFormatting sqref="V4352:V4354">
    <cfRule type="cellIs" dxfId="3140" priority="1819" stopIfTrue="1" operator="greaterThan">
      <formula>1.1</formula>
    </cfRule>
  </conditionalFormatting>
  <conditionalFormatting sqref="W4352:W4354">
    <cfRule type="cellIs" dxfId="3139" priority="1818" stopIfTrue="1" operator="greaterThan">
      <formula>0.059</formula>
    </cfRule>
  </conditionalFormatting>
  <conditionalFormatting sqref="X4352:X4354">
    <cfRule type="cellIs" dxfId="3138" priority="1817" stopIfTrue="1" operator="greaterThan">
      <formula>0.16</formula>
    </cfRule>
  </conditionalFormatting>
  <conditionalFormatting sqref="Y4352:Y4354">
    <cfRule type="cellIs" dxfId="3137" priority="1816" stopIfTrue="1" operator="greaterThan">
      <formula>0.076</formula>
    </cfRule>
  </conditionalFormatting>
  <conditionalFormatting sqref="O4352:O4354">
    <cfRule type="cellIs" dxfId="3136" priority="1815" stopIfTrue="1" operator="greaterThan">
      <formula>5</formula>
    </cfRule>
  </conditionalFormatting>
  <conditionalFormatting sqref="Q4352:Q4354">
    <cfRule type="cellIs" dxfId="3135" priority="1814" stopIfTrue="1" operator="notBetween">
      <formula>5</formula>
      <formula>9</formula>
    </cfRule>
  </conditionalFormatting>
  <conditionalFormatting sqref="R4352:R4354">
    <cfRule type="cellIs" dxfId="3134" priority="1813" stopIfTrue="1" operator="greaterThan">
      <formula>75</formula>
    </cfRule>
  </conditionalFormatting>
  <conditionalFormatting sqref="S4352:S4354">
    <cfRule type="cellIs" dxfId="3133" priority="1812" stopIfTrue="1" operator="greaterThan">
      <formula>90</formula>
    </cfRule>
  </conditionalFormatting>
  <conditionalFormatting sqref="T4352:T4354">
    <cfRule type="cellIs" dxfId="3132" priority="1811" stopIfTrue="1" operator="greaterThan">
      <formula>0.4</formula>
    </cfRule>
  </conditionalFormatting>
  <conditionalFormatting sqref="U4352:U4354">
    <cfRule type="cellIs" dxfId="3131" priority="1810" stopIfTrue="1" operator="greaterThan">
      <formula>2.3</formula>
    </cfRule>
  </conditionalFormatting>
  <conditionalFormatting sqref="V4352:V4354">
    <cfRule type="cellIs" dxfId="3130" priority="1809" stopIfTrue="1" operator="greaterThan">
      <formula>1.1</formula>
    </cfRule>
  </conditionalFormatting>
  <conditionalFormatting sqref="W4352:W4354">
    <cfRule type="cellIs" dxfId="3129" priority="1808" stopIfTrue="1" operator="greaterThan">
      <formula>0.059</formula>
    </cfRule>
  </conditionalFormatting>
  <conditionalFormatting sqref="X4352:X4354">
    <cfRule type="cellIs" dxfId="3128" priority="1807" stopIfTrue="1" operator="greaterThan">
      <formula>0.16</formula>
    </cfRule>
  </conditionalFormatting>
  <conditionalFormatting sqref="O4355">
    <cfRule type="cellIs" dxfId="3127" priority="1805" stopIfTrue="1" operator="greaterThan">
      <formula>5</formula>
    </cfRule>
  </conditionalFormatting>
  <conditionalFormatting sqref="Q4355">
    <cfRule type="cellIs" dxfId="3126" priority="1804" stopIfTrue="1" operator="notBetween">
      <formula>5</formula>
      <formula>9</formula>
    </cfRule>
  </conditionalFormatting>
  <conditionalFormatting sqref="R4355">
    <cfRule type="cellIs" dxfId="3125" priority="1803" stopIfTrue="1" operator="greaterThan">
      <formula>75</formula>
    </cfRule>
  </conditionalFormatting>
  <conditionalFormatting sqref="T4355">
    <cfRule type="cellIs" dxfId="3124" priority="1802" stopIfTrue="1" operator="greaterThan">
      <formula>0.4</formula>
    </cfRule>
  </conditionalFormatting>
  <conditionalFormatting sqref="U4355">
    <cfRule type="cellIs" dxfId="3123" priority="1801" stopIfTrue="1" operator="greaterThan">
      <formula>2.3</formula>
    </cfRule>
  </conditionalFormatting>
  <conditionalFormatting sqref="V4355">
    <cfRule type="cellIs" dxfId="3122" priority="1800" stopIfTrue="1" operator="greaterThan">
      <formula>1.1</formula>
    </cfRule>
  </conditionalFormatting>
  <conditionalFormatting sqref="W4355">
    <cfRule type="cellIs" dxfId="3121" priority="1799" stopIfTrue="1" operator="greaterThan">
      <formula>0.059</formula>
    </cfRule>
  </conditionalFormatting>
  <conditionalFormatting sqref="X4355">
    <cfRule type="cellIs" dxfId="3120" priority="1798" stopIfTrue="1" operator="greaterThan">
      <formula>0.16</formula>
    </cfRule>
  </conditionalFormatting>
  <conditionalFormatting sqref="Y4355">
    <cfRule type="cellIs" dxfId="3119" priority="1797" stopIfTrue="1" operator="greaterThan">
      <formula>0.076</formula>
    </cfRule>
  </conditionalFormatting>
  <conditionalFormatting sqref="S4355">
    <cfRule type="cellIs" dxfId="3118" priority="1796" operator="greaterThan">
      <formula>90</formula>
    </cfRule>
  </conditionalFormatting>
  <conditionalFormatting sqref="O4358">
    <cfRule type="cellIs" dxfId="3117" priority="1775" stopIfTrue="1" operator="greaterThan">
      <formula>5</formula>
    </cfRule>
  </conditionalFormatting>
  <conditionalFormatting sqref="Q4358">
    <cfRule type="cellIs" dxfId="3116" priority="1774" stopIfTrue="1" operator="notBetween">
      <formula>5</formula>
      <formula>9</formula>
    </cfRule>
  </conditionalFormatting>
  <conditionalFormatting sqref="R4358">
    <cfRule type="cellIs" dxfId="3115" priority="1773" stopIfTrue="1" operator="greaterThan">
      <formula>75</formula>
    </cfRule>
  </conditionalFormatting>
  <conditionalFormatting sqref="S4358">
    <cfRule type="cellIs" dxfId="3114" priority="1772" stopIfTrue="1" operator="greaterThan">
      <formula>90</formula>
    </cfRule>
  </conditionalFormatting>
  <conditionalFormatting sqref="T4358">
    <cfRule type="cellIs" dxfId="3113" priority="1771" stopIfTrue="1" operator="greaterThan">
      <formula>0.4</formula>
    </cfRule>
  </conditionalFormatting>
  <conditionalFormatting sqref="U4358">
    <cfRule type="cellIs" dxfId="3112" priority="1770" stopIfTrue="1" operator="greaterThan">
      <formula>2.3</formula>
    </cfRule>
  </conditionalFormatting>
  <conditionalFormatting sqref="V4358">
    <cfRule type="cellIs" dxfId="3111" priority="1769" stopIfTrue="1" operator="greaterThan">
      <formula>1.1</formula>
    </cfRule>
  </conditionalFormatting>
  <conditionalFormatting sqref="W4358">
    <cfRule type="cellIs" dxfId="3110" priority="1768" stopIfTrue="1" operator="greaterThan">
      <formula>0.059</formula>
    </cfRule>
  </conditionalFormatting>
  <conditionalFormatting sqref="X4358">
    <cfRule type="cellIs" dxfId="3109" priority="1767" stopIfTrue="1" operator="greaterThan">
      <formula>0.16</formula>
    </cfRule>
  </conditionalFormatting>
  <conditionalFormatting sqref="Y4358">
    <cfRule type="cellIs" dxfId="3108" priority="1766" stopIfTrue="1" operator="greaterThan">
      <formula>0.076</formula>
    </cfRule>
  </conditionalFormatting>
  <conditionalFormatting sqref="O4358">
    <cfRule type="cellIs" dxfId="3107" priority="1765" stopIfTrue="1" operator="greaterThan">
      <formula>5</formula>
    </cfRule>
  </conditionalFormatting>
  <conditionalFormatting sqref="Q4358">
    <cfRule type="cellIs" dxfId="3106" priority="1764" stopIfTrue="1" operator="notBetween">
      <formula>5</formula>
      <formula>9</formula>
    </cfRule>
  </conditionalFormatting>
  <conditionalFormatting sqref="R4358">
    <cfRule type="cellIs" dxfId="3105" priority="1763" stopIfTrue="1" operator="greaterThan">
      <formula>75</formula>
    </cfRule>
  </conditionalFormatting>
  <conditionalFormatting sqref="S4358">
    <cfRule type="cellIs" dxfId="3104" priority="1762" stopIfTrue="1" operator="greaterThan">
      <formula>90</formula>
    </cfRule>
  </conditionalFormatting>
  <conditionalFormatting sqref="T4358">
    <cfRule type="cellIs" dxfId="3103" priority="1761" stopIfTrue="1" operator="greaterThan">
      <formula>0.4</formula>
    </cfRule>
  </conditionalFormatting>
  <conditionalFormatting sqref="U4358">
    <cfRule type="cellIs" dxfId="3102" priority="1760" stopIfTrue="1" operator="greaterThan">
      <formula>2.3</formula>
    </cfRule>
  </conditionalFormatting>
  <conditionalFormatting sqref="V4358">
    <cfRule type="cellIs" dxfId="3101" priority="1759" stopIfTrue="1" operator="greaterThan">
      <formula>1.1</formula>
    </cfRule>
  </conditionalFormatting>
  <conditionalFormatting sqref="W4358">
    <cfRule type="cellIs" dxfId="3100" priority="1758" stopIfTrue="1" operator="greaterThan">
      <formula>0.059</formula>
    </cfRule>
  </conditionalFormatting>
  <conditionalFormatting sqref="X4358">
    <cfRule type="cellIs" dxfId="3099" priority="1757" stopIfTrue="1" operator="greaterThan">
      <formula>0.16</formula>
    </cfRule>
  </conditionalFormatting>
  <conditionalFormatting sqref="Y4358">
    <cfRule type="cellIs" dxfId="3098" priority="1756" stopIfTrue="1" operator="greaterThan">
      <formula>0.076</formula>
    </cfRule>
  </conditionalFormatting>
  <conditionalFormatting sqref="O4358">
    <cfRule type="cellIs" dxfId="3097" priority="1755" stopIfTrue="1" operator="greaterThan">
      <formula>5</formula>
    </cfRule>
  </conditionalFormatting>
  <conditionalFormatting sqref="Q4358">
    <cfRule type="cellIs" dxfId="3096" priority="1754" stopIfTrue="1" operator="notBetween">
      <formula>5</formula>
      <formula>9</formula>
    </cfRule>
  </conditionalFormatting>
  <conditionalFormatting sqref="R4358">
    <cfRule type="cellIs" dxfId="3095" priority="1753" stopIfTrue="1" operator="greaterThan">
      <formula>75</formula>
    </cfRule>
  </conditionalFormatting>
  <conditionalFormatting sqref="S4358">
    <cfRule type="cellIs" dxfId="3094" priority="1752" stopIfTrue="1" operator="greaterThan">
      <formula>90</formula>
    </cfRule>
  </conditionalFormatting>
  <conditionalFormatting sqref="T4358">
    <cfRule type="cellIs" dxfId="3093" priority="1751" stopIfTrue="1" operator="greaterThan">
      <formula>0.4</formula>
    </cfRule>
  </conditionalFormatting>
  <conditionalFormatting sqref="U4358">
    <cfRule type="cellIs" dxfId="3092" priority="1750" stopIfTrue="1" operator="greaterThan">
      <formula>2.3</formula>
    </cfRule>
  </conditionalFormatting>
  <conditionalFormatting sqref="V4358">
    <cfRule type="cellIs" dxfId="3091" priority="1749" stopIfTrue="1" operator="greaterThan">
      <formula>1.1</formula>
    </cfRule>
  </conditionalFormatting>
  <conditionalFormatting sqref="W4358">
    <cfRule type="cellIs" dxfId="3090" priority="1748" stopIfTrue="1" operator="greaterThan">
      <formula>0.059</formula>
    </cfRule>
  </conditionalFormatting>
  <conditionalFormatting sqref="X4358">
    <cfRule type="cellIs" dxfId="3089" priority="1747" stopIfTrue="1" operator="greaterThan">
      <formula>0.16</formula>
    </cfRule>
  </conditionalFormatting>
  <conditionalFormatting sqref="Y4358">
    <cfRule type="cellIs" dxfId="3088" priority="1746" stopIfTrue="1" operator="greaterThan">
      <formula>0.076</formula>
    </cfRule>
  </conditionalFormatting>
  <conditionalFormatting sqref="O4358">
    <cfRule type="cellIs" dxfId="3087" priority="1745" stopIfTrue="1" operator="greaterThan">
      <formula>5</formula>
    </cfRule>
  </conditionalFormatting>
  <conditionalFormatting sqref="Q4358">
    <cfRule type="cellIs" dxfId="3086" priority="1744" stopIfTrue="1" operator="notBetween">
      <formula>5</formula>
      <formula>9</formula>
    </cfRule>
  </conditionalFormatting>
  <conditionalFormatting sqref="R4358">
    <cfRule type="cellIs" dxfId="3085" priority="1743" stopIfTrue="1" operator="greaterThan">
      <formula>75</formula>
    </cfRule>
  </conditionalFormatting>
  <conditionalFormatting sqref="S4358">
    <cfRule type="cellIs" dxfId="3084" priority="1742" stopIfTrue="1" operator="greaterThan">
      <formula>90</formula>
    </cfRule>
  </conditionalFormatting>
  <conditionalFormatting sqref="T4358">
    <cfRule type="cellIs" dxfId="3083" priority="1741" stopIfTrue="1" operator="greaterThan">
      <formula>0.4</formula>
    </cfRule>
  </conditionalFormatting>
  <conditionalFormatting sqref="U4358">
    <cfRule type="cellIs" dxfId="3082" priority="1740" stopIfTrue="1" operator="greaterThan">
      <formula>2.3</formula>
    </cfRule>
  </conditionalFormatting>
  <conditionalFormatting sqref="V4358">
    <cfRule type="cellIs" dxfId="3081" priority="1739" stopIfTrue="1" operator="greaterThan">
      <formula>1.1</formula>
    </cfRule>
  </conditionalFormatting>
  <conditionalFormatting sqref="W4358">
    <cfRule type="cellIs" dxfId="3080" priority="1738" stopIfTrue="1" operator="greaterThan">
      <formula>0.059</formula>
    </cfRule>
  </conditionalFormatting>
  <conditionalFormatting sqref="X4358">
    <cfRule type="cellIs" dxfId="3079" priority="1737" stopIfTrue="1" operator="greaterThan">
      <formula>0.16</formula>
    </cfRule>
  </conditionalFormatting>
  <conditionalFormatting sqref="Y4358">
    <cfRule type="cellIs" dxfId="3078" priority="1736" stopIfTrue="1" operator="greaterThan">
      <formula>0.076</formula>
    </cfRule>
  </conditionalFormatting>
  <conditionalFormatting sqref="O4358">
    <cfRule type="cellIs" dxfId="3077" priority="1735" stopIfTrue="1" operator="greaterThan">
      <formula>5</formula>
    </cfRule>
  </conditionalFormatting>
  <conditionalFormatting sqref="Q4358">
    <cfRule type="cellIs" dxfId="3076" priority="1734" stopIfTrue="1" operator="notBetween">
      <formula>5</formula>
      <formula>9</formula>
    </cfRule>
  </conditionalFormatting>
  <conditionalFormatting sqref="R4358">
    <cfRule type="cellIs" dxfId="3075" priority="1733" stopIfTrue="1" operator="greaterThan">
      <formula>75</formula>
    </cfRule>
  </conditionalFormatting>
  <conditionalFormatting sqref="S4358">
    <cfRule type="cellIs" dxfId="3074" priority="1732" stopIfTrue="1" operator="greaterThan">
      <formula>90</formula>
    </cfRule>
  </conditionalFormatting>
  <conditionalFormatting sqref="T4358">
    <cfRule type="cellIs" dxfId="3073" priority="1731" stopIfTrue="1" operator="greaterThan">
      <formula>0.4</formula>
    </cfRule>
  </conditionalFormatting>
  <conditionalFormatting sqref="U4358">
    <cfRule type="cellIs" dxfId="3072" priority="1730" stopIfTrue="1" operator="greaterThan">
      <formula>2.3</formula>
    </cfRule>
  </conditionalFormatting>
  <conditionalFormatting sqref="V4358">
    <cfRule type="cellIs" dxfId="3071" priority="1729" stopIfTrue="1" operator="greaterThan">
      <formula>1.1</formula>
    </cfRule>
  </conditionalFormatting>
  <conditionalFormatting sqref="W4358">
    <cfRule type="cellIs" dxfId="3070" priority="1728" stopIfTrue="1" operator="greaterThan">
      <formula>0.059</formula>
    </cfRule>
  </conditionalFormatting>
  <conditionalFormatting sqref="X4358">
    <cfRule type="cellIs" dxfId="3069" priority="1727" stopIfTrue="1" operator="greaterThan">
      <formula>0.16</formula>
    </cfRule>
  </conditionalFormatting>
  <conditionalFormatting sqref="Y4358">
    <cfRule type="cellIs" dxfId="3068" priority="1726" stopIfTrue="1" operator="greaterThan">
      <formula>0.076</formula>
    </cfRule>
  </conditionalFormatting>
  <conditionalFormatting sqref="O4358">
    <cfRule type="cellIs" dxfId="3067" priority="1725" stopIfTrue="1" operator="greaterThan">
      <formula>5</formula>
    </cfRule>
  </conditionalFormatting>
  <conditionalFormatting sqref="Q4358">
    <cfRule type="cellIs" dxfId="3066" priority="1724" stopIfTrue="1" operator="notBetween">
      <formula>5</formula>
      <formula>9</formula>
    </cfRule>
  </conditionalFormatting>
  <conditionalFormatting sqref="R4358">
    <cfRule type="cellIs" dxfId="3065" priority="1723" stopIfTrue="1" operator="greaterThan">
      <formula>75</formula>
    </cfRule>
  </conditionalFormatting>
  <conditionalFormatting sqref="S4358">
    <cfRule type="cellIs" dxfId="3064" priority="1722" stopIfTrue="1" operator="greaterThan">
      <formula>90</formula>
    </cfRule>
  </conditionalFormatting>
  <conditionalFormatting sqref="T4358">
    <cfRule type="cellIs" dxfId="3063" priority="1721" stopIfTrue="1" operator="greaterThan">
      <formula>0.4</formula>
    </cfRule>
  </conditionalFormatting>
  <conditionalFormatting sqref="U4358">
    <cfRule type="cellIs" dxfId="3062" priority="1720" stopIfTrue="1" operator="greaterThan">
      <formula>2.3</formula>
    </cfRule>
  </conditionalFormatting>
  <conditionalFormatting sqref="V4358">
    <cfRule type="cellIs" dxfId="3061" priority="1719" stopIfTrue="1" operator="greaterThan">
      <formula>1.1</formula>
    </cfRule>
  </conditionalFormatting>
  <conditionalFormatting sqref="W4358">
    <cfRule type="cellIs" dxfId="3060" priority="1718" stopIfTrue="1" operator="greaterThan">
      <formula>0.059</formula>
    </cfRule>
  </conditionalFormatting>
  <conditionalFormatting sqref="X4358">
    <cfRule type="cellIs" dxfId="3059" priority="1717" stopIfTrue="1" operator="greaterThan">
      <formula>0.16</formula>
    </cfRule>
  </conditionalFormatting>
  <conditionalFormatting sqref="Y4358">
    <cfRule type="cellIs" dxfId="3058" priority="1716" stopIfTrue="1" operator="greaterThan">
      <formula>0.076</formula>
    </cfRule>
  </conditionalFormatting>
  <conditionalFormatting sqref="O4111">
    <cfRule type="cellIs" dxfId="3057" priority="1715" stopIfTrue="1" operator="greaterThan">
      <formula>5</formula>
    </cfRule>
  </conditionalFormatting>
  <conditionalFormatting sqref="Q4111">
    <cfRule type="cellIs" dxfId="3056" priority="1714" stopIfTrue="1" operator="notBetween">
      <formula>5</formula>
      <formula>9</formula>
    </cfRule>
  </conditionalFormatting>
  <conditionalFormatting sqref="R4111">
    <cfRule type="cellIs" dxfId="3055" priority="1713" stopIfTrue="1" operator="greaterThan">
      <formula>75</formula>
    </cfRule>
  </conditionalFormatting>
  <conditionalFormatting sqref="S4111">
    <cfRule type="cellIs" dxfId="3054" priority="1712" stopIfTrue="1" operator="greaterThan">
      <formula>90</formula>
    </cfRule>
  </conditionalFormatting>
  <conditionalFormatting sqref="T4111">
    <cfRule type="cellIs" dxfId="3053" priority="1711" stopIfTrue="1" operator="greaterThan">
      <formula>0.4</formula>
    </cfRule>
  </conditionalFormatting>
  <conditionalFormatting sqref="U4111">
    <cfRule type="cellIs" dxfId="3052" priority="1710" stopIfTrue="1" operator="greaterThan">
      <formula>2.3</formula>
    </cfRule>
  </conditionalFormatting>
  <conditionalFormatting sqref="V4111">
    <cfRule type="cellIs" dxfId="3051" priority="1709" stopIfTrue="1" operator="greaterThan">
      <formula>1.1</formula>
    </cfRule>
  </conditionalFormatting>
  <conditionalFormatting sqref="W4111">
    <cfRule type="cellIs" dxfId="3050" priority="1708" stopIfTrue="1" operator="greaterThan">
      <formula>0.059</formula>
    </cfRule>
  </conditionalFormatting>
  <conditionalFormatting sqref="X4111">
    <cfRule type="cellIs" dxfId="3049" priority="1707" stopIfTrue="1" operator="greaterThan">
      <formula>0.16</formula>
    </cfRule>
  </conditionalFormatting>
  <conditionalFormatting sqref="Y4111">
    <cfRule type="cellIs" dxfId="3048" priority="1706" stopIfTrue="1" operator="greaterThan">
      <formula>0.076</formula>
    </cfRule>
  </conditionalFormatting>
  <conditionalFormatting sqref="O4113:O4114">
    <cfRule type="cellIs" dxfId="3047" priority="1705" stopIfTrue="1" operator="greaterThan">
      <formula>5</formula>
    </cfRule>
  </conditionalFormatting>
  <conditionalFormatting sqref="Q4113:Q4114">
    <cfRule type="cellIs" dxfId="3046" priority="1704" stopIfTrue="1" operator="notBetween">
      <formula>5</formula>
      <formula>9</formula>
    </cfRule>
  </conditionalFormatting>
  <conditionalFormatting sqref="R4113:R4114">
    <cfRule type="cellIs" dxfId="3045" priority="1703" stopIfTrue="1" operator="greaterThan">
      <formula>75</formula>
    </cfRule>
  </conditionalFormatting>
  <conditionalFormatting sqref="S4113:S4114">
    <cfRule type="cellIs" dxfId="3044" priority="1702" stopIfTrue="1" operator="greaterThan">
      <formula>90</formula>
    </cfRule>
  </conditionalFormatting>
  <conditionalFormatting sqref="T4113:T4114">
    <cfRule type="cellIs" dxfId="3043" priority="1701" stopIfTrue="1" operator="greaterThan">
      <formula>0.4</formula>
    </cfRule>
  </conditionalFormatting>
  <conditionalFormatting sqref="U4113:U4114">
    <cfRule type="cellIs" dxfId="3042" priority="1700" stopIfTrue="1" operator="greaterThan">
      <formula>2.3</formula>
    </cfRule>
  </conditionalFormatting>
  <conditionalFormatting sqref="V4113:V4114">
    <cfRule type="cellIs" dxfId="3041" priority="1699" stopIfTrue="1" operator="greaterThan">
      <formula>1.1</formula>
    </cfRule>
  </conditionalFormatting>
  <conditionalFormatting sqref="W4113:W4114">
    <cfRule type="cellIs" dxfId="3040" priority="1698" stopIfTrue="1" operator="greaterThan">
      <formula>0.059</formula>
    </cfRule>
  </conditionalFormatting>
  <conditionalFormatting sqref="X4113:X4114">
    <cfRule type="cellIs" dxfId="3039" priority="1697" stopIfTrue="1" operator="greaterThan">
      <formula>0.16</formula>
    </cfRule>
  </conditionalFormatting>
  <conditionalFormatting sqref="Y4113:Y4114">
    <cfRule type="cellIs" dxfId="3038" priority="1696" stopIfTrue="1" operator="greaterThan">
      <formula>0.076</formula>
    </cfRule>
  </conditionalFormatting>
  <conditionalFormatting sqref="O4123">
    <cfRule type="cellIs" dxfId="3037" priority="1695" stopIfTrue="1" operator="greaterThan">
      <formula>5</formula>
    </cfRule>
  </conditionalFormatting>
  <conditionalFormatting sqref="Q4123">
    <cfRule type="cellIs" dxfId="3036" priority="1694" stopIfTrue="1" operator="notBetween">
      <formula>5</formula>
      <formula>9</formula>
    </cfRule>
  </conditionalFormatting>
  <conditionalFormatting sqref="R4123">
    <cfRule type="cellIs" dxfId="3035" priority="1693" stopIfTrue="1" operator="greaterThan">
      <formula>75</formula>
    </cfRule>
  </conditionalFormatting>
  <conditionalFormatting sqref="S4123">
    <cfRule type="cellIs" dxfId="3034" priority="1692" stopIfTrue="1" operator="greaterThan">
      <formula>90</formula>
    </cfRule>
  </conditionalFormatting>
  <conditionalFormatting sqref="T4123">
    <cfRule type="cellIs" dxfId="3033" priority="1691" stopIfTrue="1" operator="greaterThan">
      <formula>0.4</formula>
    </cfRule>
  </conditionalFormatting>
  <conditionalFormatting sqref="U4123">
    <cfRule type="cellIs" dxfId="3032" priority="1690" stopIfTrue="1" operator="greaterThan">
      <formula>2.3</formula>
    </cfRule>
  </conditionalFormatting>
  <conditionalFormatting sqref="V4123">
    <cfRule type="cellIs" dxfId="3031" priority="1689" stopIfTrue="1" operator="greaterThan">
      <formula>1.1</formula>
    </cfRule>
  </conditionalFormatting>
  <conditionalFormatting sqref="W4123">
    <cfRule type="cellIs" dxfId="3030" priority="1688" stopIfTrue="1" operator="greaterThan">
      <formula>0.059</formula>
    </cfRule>
  </conditionalFormatting>
  <conditionalFormatting sqref="X4123">
    <cfRule type="cellIs" dxfId="3029" priority="1687" stopIfTrue="1" operator="greaterThan">
      <formula>0.16</formula>
    </cfRule>
  </conditionalFormatting>
  <conditionalFormatting sqref="Y4123">
    <cfRule type="cellIs" dxfId="3028" priority="1686" stopIfTrue="1" operator="greaterThan">
      <formula>0.076</formula>
    </cfRule>
  </conditionalFormatting>
  <conditionalFormatting sqref="O4133">
    <cfRule type="cellIs" dxfId="3027" priority="1685" stopIfTrue="1" operator="greaterThan">
      <formula>5</formula>
    </cfRule>
  </conditionalFormatting>
  <conditionalFormatting sqref="Q4133">
    <cfRule type="cellIs" dxfId="3026" priority="1684" stopIfTrue="1" operator="notBetween">
      <formula>5</formula>
      <formula>9</formula>
    </cfRule>
  </conditionalFormatting>
  <conditionalFormatting sqref="R4133">
    <cfRule type="cellIs" dxfId="3025" priority="1683" stopIfTrue="1" operator="greaterThan">
      <formula>75</formula>
    </cfRule>
  </conditionalFormatting>
  <conditionalFormatting sqref="S4133">
    <cfRule type="cellIs" dxfId="3024" priority="1682" stopIfTrue="1" operator="greaterThan">
      <formula>90</formula>
    </cfRule>
  </conditionalFormatting>
  <conditionalFormatting sqref="T4133">
    <cfRule type="cellIs" dxfId="3023" priority="1681" stopIfTrue="1" operator="greaterThan">
      <formula>0.4</formula>
    </cfRule>
  </conditionalFormatting>
  <conditionalFormatting sqref="U4133">
    <cfRule type="cellIs" dxfId="3022" priority="1680" stopIfTrue="1" operator="greaterThan">
      <formula>2.3</formula>
    </cfRule>
  </conditionalFormatting>
  <conditionalFormatting sqref="V4133">
    <cfRule type="cellIs" dxfId="3021" priority="1679" stopIfTrue="1" operator="greaterThan">
      <formula>1.1</formula>
    </cfRule>
  </conditionalFormatting>
  <conditionalFormatting sqref="W4133">
    <cfRule type="cellIs" dxfId="3020" priority="1678" stopIfTrue="1" operator="greaterThan">
      <formula>0.059</formula>
    </cfRule>
  </conditionalFormatting>
  <conditionalFormatting sqref="X4133">
    <cfRule type="cellIs" dxfId="3019" priority="1677" stopIfTrue="1" operator="greaterThan">
      <formula>0.16</formula>
    </cfRule>
  </conditionalFormatting>
  <conditionalFormatting sqref="Y4133">
    <cfRule type="cellIs" dxfId="3018" priority="1676" stopIfTrue="1" operator="greaterThan">
      <formula>0.076</formula>
    </cfRule>
  </conditionalFormatting>
  <conditionalFormatting sqref="O4135">
    <cfRule type="cellIs" dxfId="3017" priority="1675" stopIfTrue="1" operator="greaterThan">
      <formula>5</formula>
    </cfRule>
  </conditionalFormatting>
  <conditionalFormatting sqref="Q4135">
    <cfRule type="cellIs" dxfId="3016" priority="1674" stopIfTrue="1" operator="notBetween">
      <formula>5</formula>
      <formula>9</formula>
    </cfRule>
  </conditionalFormatting>
  <conditionalFormatting sqref="R4135">
    <cfRule type="cellIs" dxfId="3015" priority="1673" stopIfTrue="1" operator="greaterThan">
      <formula>75</formula>
    </cfRule>
  </conditionalFormatting>
  <conditionalFormatting sqref="S4135">
    <cfRule type="cellIs" dxfId="3014" priority="1672" stopIfTrue="1" operator="greaterThan">
      <formula>90</formula>
    </cfRule>
  </conditionalFormatting>
  <conditionalFormatting sqref="T4135">
    <cfRule type="cellIs" dxfId="3013" priority="1671" stopIfTrue="1" operator="greaterThan">
      <formula>0.4</formula>
    </cfRule>
  </conditionalFormatting>
  <conditionalFormatting sqref="U4135">
    <cfRule type="cellIs" dxfId="3012" priority="1670" stopIfTrue="1" operator="greaterThan">
      <formula>2.3</formula>
    </cfRule>
  </conditionalFormatting>
  <conditionalFormatting sqref="V4135">
    <cfRule type="cellIs" dxfId="3011" priority="1669" stopIfTrue="1" operator="greaterThan">
      <formula>1.1</formula>
    </cfRule>
  </conditionalFormatting>
  <conditionalFormatting sqref="W4135">
    <cfRule type="cellIs" dxfId="3010" priority="1668" stopIfTrue="1" operator="greaterThan">
      <formula>0.059</formula>
    </cfRule>
  </conditionalFormatting>
  <conditionalFormatting sqref="X4135">
    <cfRule type="cellIs" dxfId="3009" priority="1667" stopIfTrue="1" operator="greaterThan">
      <formula>0.16</formula>
    </cfRule>
  </conditionalFormatting>
  <conditionalFormatting sqref="Y4135">
    <cfRule type="cellIs" dxfId="3008" priority="1666" stopIfTrue="1" operator="greaterThan">
      <formula>0.076</formula>
    </cfRule>
  </conditionalFormatting>
  <conditionalFormatting sqref="O4136:O4138">
    <cfRule type="cellIs" dxfId="3007" priority="1665" stopIfTrue="1" operator="greaterThan">
      <formula>5</formula>
    </cfRule>
  </conditionalFormatting>
  <conditionalFormatting sqref="Q4136:Q4138">
    <cfRule type="cellIs" dxfId="3006" priority="1664" stopIfTrue="1" operator="notBetween">
      <formula>5</formula>
      <formula>9</formula>
    </cfRule>
  </conditionalFormatting>
  <conditionalFormatting sqref="R4136:R4138">
    <cfRule type="cellIs" dxfId="3005" priority="1663" stopIfTrue="1" operator="greaterThan">
      <formula>75</formula>
    </cfRule>
  </conditionalFormatting>
  <conditionalFormatting sqref="S4136:S4138">
    <cfRule type="cellIs" dxfId="3004" priority="1662" stopIfTrue="1" operator="greaterThan">
      <formula>90</formula>
    </cfRule>
  </conditionalFormatting>
  <conditionalFormatting sqref="T4136:T4138">
    <cfRule type="cellIs" dxfId="3003" priority="1661" stopIfTrue="1" operator="greaterThan">
      <formula>0.4</formula>
    </cfRule>
  </conditionalFormatting>
  <conditionalFormatting sqref="U4136:U4138">
    <cfRule type="cellIs" dxfId="3002" priority="1660" stopIfTrue="1" operator="greaterThan">
      <formula>2.3</formula>
    </cfRule>
  </conditionalFormatting>
  <conditionalFormatting sqref="V4136:V4138">
    <cfRule type="cellIs" dxfId="3001" priority="1659" stopIfTrue="1" operator="greaterThan">
      <formula>1.1</formula>
    </cfRule>
  </conditionalFormatting>
  <conditionalFormatting sqref="W4136:W4138">
    <cfRule type="cellIs" dxfId="3000" priority="1658" stopIfTrue="1" operator="greaterThan">
      <formula>0.059</formula>
    </cfRule>
  </conditionalFormatting>
  <conditionalFormatting sqref="X4136:X4138">
    <cfRule type="cellIs" dxfId="2999" priority="1657" stopIfTrue="1" operator="greaterThan">
      <formula>0.16</formula>
    </cfRule>
  </conditionalFormatting>
  <conditionalFormatting sqref="Y4136:Y4138">
    <cfRule type="cellIs" dxfId="2998" priority="1656" stopIfTrue="1" operator="greaterThan">
      <formula>0.076</formula>
    </cfRule>
  </conditionalFormatting>
  <conditionalFormatting sqref="O4147:O4149">
    <cfRule type="cellIs" dxfId="2997" priority="1655" stopIfTrue="1" operator="greaterThan">
      <formula>5</formula>
    </cfRule>
  </conditionalFormatting>
  <conditionalFormatting sqref="Q4147:Q4149">
    <cfRule type="cellIs" dxfId="2996" priority="1654" stopIfTrue="1" operator="notBetween">
      <formula>5</formula>
      <formula>9</formula>
    </cfRule>
  </conditionalFormatting>
  <conditionalFormatting sqref="R4147:R4149">
    <cfRule type="cellIs" dxfId="2995" priority="1653" stopIfTrue="1" operator="greaterThan">
      <formula>75</formula>
    </cfRule>
  </conditionalFormatting>
  <conditionalFormatting sqref="S4147:S4149">
    <cfRule type="cellIs" dxfId="2994" priority="1652" stopIfTrue="1" operator="greaterThan">
      <formula>90</formula>
    </cfRule>
  </conditionalFormatting>
  <conditionalFormatting sqref="T4147:T4149">
    <cfRule type="cellIs" dxfId="2993" priority="1651" stopIfTrue="1" operator="greaterThan">
      <formula>0.4</formula>
    </cfRule>
  </conditionalFormatting>
  <conditionalFormatting sqref="U4147:U4149">
    <cfRule type="cellIs" dxfId="2992" priority="1650" stopIfTrue="1" operator="greaterThan">
      <formula>2.3</formula>
    </cfRule>
  </conditionalFormatting>
  <conditionalFormatting sqref="V4147:V4149">
    <cfRule type="cellIs" dxfId="2991" priority="1649" stopIfTrue="1" operator="greaterThan">
      <formula>1.1</formula>
    </cfRule>
  </conditionalFormatting>
  <conditionalFormatting sqref="W4147:W4149">
    <cfRule type="cellIs" dxfId="2990" priority="1648" stopIfTrue="1" operator="greaterThan">
      <formula>0.059</formula>
    </cfRule>
  </conditionalFormatting>
  <conditionalFormatting sqref="X4147:X4149">
    <cfRule type="cellIs" dxfId="2989" priority="1647" stopIfTrue="1" operator="greaterThan">
      <formula>0.16</formula>
    </cfRule>
  </conditionalFormatting>
  <conditionalFormatting sqref="Y4147:Y4149">
    <cfRule type="cellIs" dxfId="2988" priority="1646" stopIfTrue="1" operator="greaterThan">
      <formula>0.076</formula>
    </cfRule>
  </conditionalFormatting>
  <conditionalFormatting sqref="O2898:O2901">
    <cfRule type="cellIs" dxfId="2987" priority="1645" stopIfTrue="1" operator="greaterThan">
      <formula>5</formula>
    </cfRule>
  </conditionalFormatting>
  <conditionalFormatting sqref="Q2898:Q2901">
    <cfRule type="cellIs" dxfId="2986" priority="1644" stopIfTrue="1" operator="notBetween">
      <formula>5</formula>
      <formula>9</formula>
    </cfRule>
  </conditionalFormatting>
  <conditionalFormatting sqref="R2898:R2901">
    <cfRule type="cellIs" dxfId="2985" priority="1643" stopIfTrue="1" operator="greaterThan">
      <formula>75</formula>
    </cfRule>
  </conditionalFormatting>
  <conditionalFormatting sqref="S2898:S2901">
    <cfRule type="cellIs" dxfId="2984" priority="1642" stopIfTrue="1" operator="greaterThan">
      <formula>90</formula>
    </cfRule>
  </conditionalFormatting>
  <conditionalFormatting sqref="T2898:T2901">
    <cfRule type="cellIs" dxfId="2983" priority="1641" stopIfTrue="1" operator="greaterThan">
      <formula>0.4</formula>
    </cfRule>
  </conditionalFormatting>
  <conditionalFormatting sqref="U2898:U2901">
    <cfRule type="cellIs" dxfId="2982" priority="1640" stopIfTrue="1" operator="greaterThan">
      <formula>2.3</formula>
    </cfRule>
  </conditionalFormatting>
  <conditionalFormatting sqref="V2898:V2901">
    <cfRule type="cellIs" dxfId="2981" priority="1639" stopIfTrue="1" operator="greaterThan">
      <formula>1.1</formula>
    </cfRule>
  </conditionalFormatting>
  <conditionalFormatting sqref="W2898:W2901">
    <cfRule type="cellIs" dxfId="2980" priority="1638" stopIfTrue="1" operator="greaterThan">
      <formula>0.059</formula>
    </cfRule>
  </conditionalFormatting>
  <conditionalFormatting sqref="X2898:X2901">
    <cfRule type="cellIs" dxfId="2979" priority="1637" stopIfTrue="1" operator="greaterThan">
      <formula>0.16</formula>
    </cfRule>
  </conditionalFormatting>
  <conditionalFormatting sqref="Y2898:Y2901">
    <cfRule type="cellIs" dxfId="2978" priority="1636" stopIfTrue="1" operator="greaterThan">
      <formula>0.076</formula>
    </cfRule>
  </conditionalFormatting>
  <conditionalFormatting sqref="O2902:O2908">
    <cfRule type="cellIs" dxfId="2977" priority="1635" stopIfTrue="1" operator="greaterThan">
      <formula>5</formula>
    </cfRule>
  </conditionalFormatting>
  <conditionalFormatting sqref="Q2902:Q2908">
    <cfRule type="cellIs" dxfId="2976" priority="1634" stopIfTrue="1" operator="notBetween">
      <formula>5</formula>
      <formula>9</formula>
    </cfRule>
  </conditionalFormatting>
  <conditionalFormatting sqref="R2902:R2908">
    <cfRule type="cellIs" dxfId="2975" priority="1633" stopIfTrue="1" operator="greaterThan">
      <formula>75</formula>
    </cfRule>
  </conditionalFormatting>
  <conditionalFormatting sqref="S2902:S2908">
    <cfRule type="cellIs" dxfId="2974" priority="1632" stopIfTrue="1" operator="greaterThan">
      <formula>90</formula>
    </cfRule>
  </conditionalFormatting>
  <conditionalFormatting sqref="T2902:T2908">
    <cfRule type="cellIs" dxfId="2973" priority="1631" stopIfTrue="1" operator="greaterThan">
      <formula>0.4</formula>
    </cfRule>
  </conditionalFormatting>
  <conditionalFormatting sqref="U2902:U2908">
    <cfRule type="cellIs" dxfId="2972" priority="1630" stopIfTrue="1" operator="greaterThan">
      <formula>2.3</formula>
    </cfRule>
  </conditionalFormatting>
  <conditionalFormatting sqref="V2902:V2908">
    <cfRule type="cellIs" dxfId="2971" priority="1629" stopIfTrue="1" operator="greaterThan">
      <formula>1.1</formula>
    </cfRule>
  </conditionalFormatting>
  <conditionalFormatting sqref="W2902:W2908">
    <cfRule type="cellIs" dxfId="2970" priority="1628" stopIfTrue="1" operator="greaterThan">
      <formula>0.059</formula>
    </cfRule>
  </conditionalFormatting>
  <conditionalFormatting sqref="X2902:X2908">
    <cfRule type="cellIs" dxfId="2969" priority="1627" stopIfTrue="1" operator="greaterThan">
      <formula>0.16</formula>
    </cfRule>
  </conditionalFormatting>
  <conditionalFormatting sqref="Y2902:Y2908">
    <cfRule type="cellIs" dxfId="2968" priority="1626" stopIfTrue="1" operator="greaterThan">
      <formula>0.076</formula>
    </cfRule>
  </conditionalFormatting>
  <conditionalFormatting sqref="Y4232">
    <cfRule type="cellIs" dxfId="2967" priority="1316" stopIfTrue="1" operator="greaterThan">
      <formula>0.076</formula>
    </cfRule>
  </conditionalFormatting>
  <conditionalFormatting sqref="Y4233:Y4239">
    <cfRule type="cellIs" dxfId="2966" priority="1306" stopIfTrue="1" operator="greaterThan">
      <formula>0.076</formula>
    </cfRule>
  </conditionalFormatting>
  <conditionalFormatting sqref="O3047:O3050">
    <cfRule type="cellIs" dxfId="2965" priority="1625" stopIfTrue="1" operator="greaterThan">
      <formula>5</formula>
    </cfRule>
  </conditionalFormatting>
  <conditionalFormatting sqref="Q3047:Q3050">
    <cfRule type="cellIs" dxfId="2964" priority="1624" stopIfTrue="1" operator="notBetween">
      <formula>5</formula>
      <formula>9</formula>
    </cfRule>
  </conditionalFormatting>
  <conditionalFormatting sqref="R3047:R3050">
    <cfRule type="cellIs" dxfId="2963" priority="1623" stopIfTrue="1" operator="greaterThan">
      <formula>75</formula>
    </cfRule>
  </conditionalFormatting>
  <conditionalFormatting sqref="S3047:S3050">
    <cfRule type="cellIs" dxfId="2962" priority="1622" stopIfTrue="1" operator="greaterThan">
      <formula>90</formula>
    </cfRule>
  </conditionalFormatting>
  <conditionalFormatting sqref="T3047:T3050">
    <cfRule type="cellIs" dxfId="2961" priority="1621" stopIfTrue="1" operator="greaterThan">
      <formula>0.4</formula>
    </cfRule>
  </conditionalFormatting>
  <conditionalFormatting sqref="U3047:U3050">
    <cfRule type="cellIs" dxfId="2960" priority="1620" stopIfTrue="1" operator="greaterThan">
      <formula>2.3</formula>
    </cfRule>
  </conditionalFormatting>
  <conditionalFormatting sqref="V3047:V3050">
    <cfRule type="cellIs" dxfId="2959" priority="1619" stopIfTrue="1" operator="greaterThan">
      <formula>1.1</formula>
    </cfRule>
  </conditionalFormatting>
  <conditionalFormatting sqref="W3047:W3050">
    <cfRule type="cellIs" dxfId="2958" priority="1618" stopIfTrue="1" operator="greaterThan">
      <formula>0.059</formula>
    </cfRule>
  </conditionalFormatting>
  <conditionalFormatting sqref="X3047:X3050">
    <cfRule type="cellIs" dxfId="2957" priority="1617" stopIfTrue="1" operator="greaterThan">
      <formula>0.16</formula>
    </cfRule>
  </conditionalFormatting>
  <conditionalFormatting sqref="Y3047:Y3050">
    <cfRule type="cellIs" dxfId="2956" priority="1616" stopIfTrue="1" operator="greaterThan">
      <formula>0.076</formula>
    </cfRule>
  </conditionalFormatting>
  <conditionalFormatting sqref="O3051:O3059">
    <cfRule type="cellIs" dxfId="2955" priority="1615" stopIfTrue="1" operator="greaterThan">
      <formula>5</formula>
    </cfRule>
  </conditionalFormatting>
  <conditionalFormatting sqref="Q3051:Q3059">
    <cfRule type="cellIs" dxfId="2954" priority="1614" stopIfTrue="1" operator="notBetween">
      <formula>5</formula>
      <formula>9</formula>
    </cfRule>
  </conditionalFormatting>
  <conditionalFormatting sqref="R3051:R3059">
    <cfRule type="cellIs" dxfId="2953" priority="1613" stopIfTrue="1" operator="greaterThan">
      <formula>75</formula>
    </cfRule>
  </conditionalFormatting>
  <conditionalFormatting sqref="S3051:S3059">
    <cfRule type="cellIs" dxfId="2952" priority="1612" stopIfTrue="1" operator="greaterThan">
      <formula>90</formula>
    </cfRule>
  </conditionalFormatting>
  <conditionalFormatting sqref="T3051:T3059">
    <cfRule type="cellIs" dxfId="2951" priority="1611" stopIfTrue="1" operator="greaterThan">
      <formula>0.4</formula>
    </cfRule>
  </conditionalFormatting>
  <conditionalFormatting sqref="U3051:U3059">
    <cfRule type="cellIs" dxfId="2950" priority="1610" stopIfTrue="1" operator="greaterThan">
      <formula>2.3</formula>
    </cfRule>
  </conditionalFormatting>
  <conditionalFormatting sqref="V3051:V3059">
    <cfRule type="cellIs" dxfId="2949" priority="1609" stopIfTrue="1" operator="greaterThan">
      <formula>1.1</formula>
    </cfRule>
  </conditionalFormatting>
  <conditionalFormatting sqref="W3051:W3059">
    <cfRule type="cellIs" dxfId="2948" priority="1608" stopIfTrue="1" operator="greaterThan">
      <formula>0.059</formula>
    </cfRule>
  </conditionalFormatting>
  <conditionalFormatting sqref="X3051:X3059">
    <cfRule type="cellIs" dxfId="2947" priority="1607" stopIfTrue="1" operator="greaterThan">
      <formula>0.16</formula>
    </cfRule>
  </conditionalFormatting>
  <conditionalFormatting sqref="Y3051:Y3059">
    <cfRule type="cellIs" dxfId="2946" priority="1606" stopIfTrue="1" operator="greaterThan">
      <formula>0.076</formula>
    </cfRule>
  </conditionalFormatting>
  <conditionalFormatting sqref="O3070:O3075">
    <cfRule type="cellIs" dxfId="2945" priority="1595" stopIfTrue="1" operator="greaterThan">
      <formula>5</formula>
    </cfRule>
  </conditionalFormatting>
  <conditionalFormatting sqref="Q3070:Q3075">
    <cfRule type="cellIs" dxfId="2944" priority="1594" stopIfTrue="1" operator="notBetween">
      <formula>5</formula>
      <formula>9</formula>
    </cfRule>
  </conditionalFormatting>
  <conditionalFormatting sqref="R3070:R3075">
    <cfRule type="cellIs" dxfId="2943" priority="1593" stopIfTrue="1" operator="greaterThan">
      <formula>75</formula>
    </cfRule>
  </conditionalFormatting>
  <conditionalFormatting sqref="S3070:S3075">
    <cfRule type="cellIs" dxfId="2942" priority="1592" stopIfTrue="1" operator="greaterThan">
      <formula>90</formula>
    </cfRule>
  </conditionalFormatting>
  <conditionalFormatting sqref="T3070:T3075">
    <cfRule type="cellIs" dxfId="2941" priority="1591" stopIfTrue="1" operator="greaterThan">
      <formula>0.4</formula>
    </cfRule>
  </conditionalFormatting>
  <conditionalFormatting sqref="U3070:U3075">
    <cfRule type="cellIs" dxfId="2940" priority="1590" stopIfTrue="1" operator="greaterThan">
      <formula>2.3</formula>
    </cfRule>
  </conditionalFormatting>
  <conditionalFormatting sqref="V3070:V3075">
    <cfRule type="cellIs" dxfId="2939" priority="1589" stopIfTrue="1" operator="greaterThan">
      <formula>1.1</formula>
    </cfRule>
  </conditionalFormatting>
  <conditionalFormatting sqref="W3070:W3075">
    <cfRule type="cellIs" dxfId="2938" priority="1588" stopIfTrue="1" operator="greaterThan">
      <formula>0.059</formula>
    </cfRule>
  </conditionalFormatting>
  <conditionalFormatting sqref="X3070:X3075">
    <cfRule type="cellIs" dxfId="2937" priority="1587" stopIfTrue="1" operator="greaterThan">
      <formula>0.16</formula>
    </cfRule>
  </conditionalFormatting>
  <conditionalFormatting sqref="Y3070:Y3075">
    <cfRule type="cellIs" dxfId="2936" priority="1586" stopIfTrue="1" operator="greaterThan">
      <formula>0.076</formula>
    </cfRule>
  </conditionalFormatting>
  <conditionalFormatting sqref="O3076:O3085">
    <cfRule type="cellIs" dxfId="2935" priority="1585" stopIfTrue="1" operator="greaterThan">
      <formula>5</formula>
    </cfRule>
  </conditionalFormatting>
  <conditionalFormatting sqref="Q3076:Q3085">
    <cfRule type="cellIs" dxfId="2934" priority="1584" stopIfTrue="1" operator="notBetween">
      <formula>5</formula>
      <formula>9</formula>
    </cfRule>
  </conditionalFormatting>
  <conditionalFormatting sqref="R3076:R3085">
    <cfRule type="cellIs" dxfId="2933" priority="1583" stopIfTrue="1" operator="greaterThan">
      <formula>75</formula>
    </cfRule>
  </conditionalFormatting>
  <conditionalFormatting sqref="S3076:S3085">
    <cfRule type="cellIs" dxfId="2932" priority="1582" stopIfTrue="1" operator="greaterThan">
      <formula>90</formula>
    </cfRule>
  </conditionalFormatting>
  <conditionalFormatting sqref="T3076:T3085">
    <cfRule type="cellIs" dxfId="2931" priority="1581" stopIfTrue="1" operator="greaterThan">
      <formula>0.4</formula>
    </cfRule>
  </conditionalFormatting>
  <conditionalFormatting sqref="U3076:U3085">
    <cfRule type="cellIs" dxfId="2930" priority="1580" stopIfTrue="1" operator="greaterThan">
      <formula>2.3</formula>
    </cfRule>
  </conditionalFormatting>
  <conditionalFormatting sqref="V3076:V3085">
    <cfRule type="cellIs" dxfId="2929" priority="1579" stopIfTrue="1" operator="greaterThan">
      <formula>1.1</formula>
    </cfRule>
  </conditionalFormatting>
  <conditionalFormatting sqref="W3076:W3085">
    <cfRule type="cellIs" dxfId="2928" priority="1578" stopIfTrue="1" operator="greaterThan">
      <formula>0.059</formula>
    </cfRule>
  </conditionalFormatting>
  <conditionalFormatting sqref="X3076:X3085">
    <cfRule type="cellIs" dxfId="2927" priority="1577" stopIfTrue="1" operator="greaterThan">
      <formula>0.16</formula>
    </cfRule>
  </conditionalFormatting>
  <conditionalFormatting sqref="Y3076:Y3085">
    <cfRule type="cellIs" dxfId="2926" priority="1576" stopIfTrue="1" operator="greaterThan">
      <formula>0.076</formula>
    </cfRule>
  </conditionalFormatting>
  <conditionalFormatting sqref="O3086:O3092">
    <cfRule type="cellIs" dxfId="2925" priority="1575" stopIfTrue="1" operator="greaterThan">
      <formula>5</formula>
    </cfRule>
  </conditionalFormatting>
  <conditionalFormatting sqref="Q3086:Q3092">
    <cfRule type="cellIs" dxfId="2924" priority="1574" stopIfTrue="1" operator="notBetween">
      <formula>5</formula>
      <formula>9</formula>
    </cfRule>
  </conditionalFormatting>
  <conditionalFormatting sqref="R3086:R3092">
    <cfRule type="cellIs" dxfId="2923" priority="1573" stopIfTrue="1" operator="greaterThan">
      <formula>75</formula>
    </cfRule>
  </conditionalFormatting>
  <conditionalFormatting sqref="S3086:S3092">
    <cfRule type="cellIs" dxfId="2922" priority="1572" stopIfTrue="1" operator="greaterThan">
      <formula>90</formula>
    </cfRule>
  </conditionalFormatting>
  <conditionalFormatting sqref="T3086:T3092">
    <cfRule type="cellIs" dxfId="2921" priority="1571" stopIfTrue="1" operator="greaterThan">
      <formula>0.4</formula>
    </cfRule>
  </conditionalFormatting>
  <conditionalFormatting sqref="U3086:U3092">
    <cfRule type="cellIs" dxfId="2920" priority="1570" stopIfTrue="1" operator="greaterThan">
      <formula>2.3</formula>
    </cfRule>
  </conditionalFormatting>
  <conditionalFormatting sqref="V3086:V3092">
    <cfRule type="cellIs" dxfId="2919" priority="1569" stopIfTrue="1" operator="greaterThan">
      <formula>1.1</formula>
    </cfRule>
  </conditionalFormatting>
  <conditionalFormatting sqref="W3086:W3092">
    <cfRule type="cellIs" dxfId="2918" priority="1568" stopIfTrue="1" operator="greaterThan">
      <formula>0.059</formula>
    </cfRule>
  </conditionalFormatting>
  <conditionalFormatting sqref="X3086:X3092">
    <cfRule type="cellIs" dxfId="2917" priority="1567" stopIfTrue="1" operator="greaterThan">
      <formula>0.16</formula>
    </cfRule>
  </conditionalFormatting>
  <conditionalFormatting sqref="Y3086:Y3092">
    <cfRule type="cellIs" dxfId="2916" priority="1566" stopIfTrue="1" operator="greaterThan">
      <formula>0.076</formula>
    </cfRule>
  </conditionalFormatting>
  <conditionalFormatting sqref="O3093:O3098">
    <cfRule type="cellIs" dxfId="2915" priority="1565" stopIfTrue="1" operator="greaterThan">
      <formula>5</formula>
    </cfRule>
  </conditionalFormatting>
  <conditionalFormatting sqref="Q3093:Q3098">
    <cfRule type="cellIs" dxfId="2914" priority="1564" stopIfTrue="1" operator="notBetween">
      <formula>5</formula>
      <formula>9</formula>
    </cfRule>
  </conditionalFormatting>
  <conditionalFormatting sqref="R3093:R3098">
    <cfRule type="cellIs" dxfId="2913" priority="1563" stopIfTrue="1" operator="greaterThan">
      <formula>75</formula>
    </cfRule>
  </conditionalFormatting>
  <conditionalFormatting sqref="S3093:S3098">
    <cfRule type="cellIs" dxfId="2912" priority="1562" stopIfTrue="1" operator="greaterThan">
      <formula>90</formula>
    </cfRule>
  </conditionalFormatting>
  <conditionalFormatting sqref="T3093:T3098">
    <cfRule type="cellIs" dxfId="2911" priority="1561" stopIfTrue="1" operator="greaterThan">
      <formula>0.4</formula>
    </cfRule>
  </conditionalFormatting>
  <conditionalFormatting sqref="U3093:U3098">
    <cfRule type="cellIs" dxfId="2910" priority="1560" stopIfTrue="1" operator="greaterThan">
      <formula>2.3</formula>
    </cfRule>
  </conditionalFormatting>
  <conditionalFormatting sqref="V3093:V3098">
    <cfRule type="cellIs" dxfId="2909" priority="1559" stopIfTrue="1" operator="greaterThan">
      <formula>1.1</formula>
    </cfRule>
  </conditionalFormatting>
  <conditionalFormatting sqref="W3093:W3098">
    <cfRule type="cellIs" dxfId="2908" priority="1558" stopIfTrue="1" operator="greaterThan">
      <formula>0.059</formula>
    </cfRule>
  </conditionalFormatting>
  <conditionalFormatting sqref="X3093:X3098">
    <cfRule type="cellIs" dxfId="2907" priority="1557" stopIfTrue="1" operator="greaterThan">
      <formula>0.16</formula>
    </cfRule>
  </conditionalFormatting>
  <conditionalFormatting sqref="Y3093:Y3098">
    <cfRule type="cellIs" dxfId="2906" priority="1556" stopIfTrue="1" operator="greaterThan">
      <formula>0.076</formula>
    </cfRule>
  </conditionalFormatting>
  <conditionalFormatting sqref="O3099:O3106">
    <cfRule type="cellIs" dxfId="2905" priority="1555" stopIfTrue="1" operator="greaterThan">
      <formula>5</formula>
    </cfRule>
  </conditionalFormatting>
  <conditionalFormatting sqref="Q3099:Q3106">
    <cfRule type="cellIs" dxfId="2904" priority="1554" stopIfTrue="1" operator="notBetween">
      <formula>5</formula>
      <formula>9</formula>
    </cfRule>
  </conditionalFormatting>
  <conditionalFormatting sqref="R3099:R3106">
    <cfRule type="cellIs" dxfId="2903" priority="1553" stopIfTrue="1" operator="greaterThan">
      <formula>75</formula>
    </cfRule>
  </conditionalFormatting>
  <conditionalFormatting sqref="S3099:S3106">
    <cfRule type="cellIs" dxfId="2902" priority="1552" stopIfTrue="1" operator="greaterThan">
      <formula>90</formula>
    </cfRule>
  </conditionalFormatting>
  <conditionalFormatting sqref="T3099:T3106">
    <cfRule type="cellIs" dxfId="2901" priority="1551" stopIfTrue="1" operator="greaterThan">
      <formula>0.4</formula>
    </cfRule>
  </conditionalFormatting>
  <conditionalFormatting sqref="U3099:U3106">
    <cfRule type="cellIs" dxfId="2900" priority="1550" stopIfTrue="1" operator="greaterThan">
      <formula>2.3</formula>
    </cfRule>
  </conditionalFormatting>
  <conditionalFormatting sqref="V3099:V3106">
    <cfRule type="cellIs" dxfId="2899" priority="1549" stopIfTrue="1" operator="greaterThan">
      <formula>1.1</formula>
    </cfRule>
  </conditionalFormatting>
  <conditionalFormatting sqref="W3099:W3106">
    <cfRule type="cellIs" dxfId="2898" priority="1548" stopIfTrue="1" operator="greaterThan">
      <formula>0.059</formula>
    </cfRule>
  </conditionalFormatting>
  <conditionalFormatting sqref="X3099:X3106">
    <cfRule type="cellIs" dxfId="2897" priority="1547" stopIfTrue="1" operator="greaterThan">
      <formula>0.16</formula>
    </cfRule>
  </conditionalFormatting>
  <conditionalFormatting sqref="Y3099:Y3106">
    <cfRule type="cellIs" dxfId="2896" priority="1546" stopIfTrue="1" operator="greaterThan">
      <formula>0.076</formula>
    </cfRule>
  </conditionalFormatting>
  <conditionalFormatting sqref="O3107:O3114">
    <cfRule type="cellIs" dxfId="2895" priority="1545" stopIfTrue="1" operator="greaterThan">
      <formula>5</formula>
    </cfRule>
  </conditionalFormatting>
  <conditionalFormatting sqref="Q3107:Q3114">
    <cfRule type="cellIs" dxfId="2894" priority="1544" stopIfTrue="1" operator="notBetween">
      <formula>5</formula>
      <formula>9</formula>
    </cfRule>
  </conditionalFormatting>
  <conditionalFormatting sqref="R3107:R3114">
    <cfRule type="cellIs" dxfId="2893" priority="1543" stopIfTrue="1" operator="greaterThan">
      <formula>75</formula>
    </cfRule>
  </conditionalFormatting>
  <conditionalFormatting sqref="S3107:S3114">
    <cfRule type="cellIs" dxfId="2892" priority="1542" stopIfTrue="1" operator="greaterThan">
      <formula>90</formula>
    </cfRule>
  </conditionalFormatting>
  <conditionalFormatting sqref="T3107:T3114">
    <cfRule type="cellIs" dxfId="2891" priority="1541" stopIfTrue="1" operator="greaterThan">
      <formula>0.4</formula>
    </cfRule>
  </conditionalFormatting>
  <conditionalFormatting sqref="U3107:U3114">
    <cfRule type="cellIs" dxfId="2890" priority="1540" stopIfTrue="1" operator="greaterThan">
      <formula>2.3</formula>
    </cfRule>
  </conditionalFormatting>
  <conditionalFormatting sqref="V3107:V3114">
    <cfRule type="cellIs" dxfId="2889" priority="1539" stopIfTrue="1" operator="greaterThan">
      <formula>1.1</formula>
    </cfRule>
  </conditionalFormatting>
  <conditionalFormatting sqref="W3107:W3114">
    <cfRule type="cellIs" dxfId="2888" priority="1538" stopIfTrue="1" operator="greaterThan">
      <formula>0.059</formula>
    </cfRule>
  </conditionalFormatting>
  <conditionalFormatting sqref="X3107:X3114">
    <cfRule type="cellIs" dxfId="2887" priority="1537" stopIfTrue="1" operator="greaterThan">
      <formula>0.16</formula>
    </cfRule>
  </conditionalFormatting>
  <conditionalFormatting sqref="Y3107:Y3114">
    <cfRule type="cellIs" dxfId="2886" priority="1536" stopIfTrue="1" operator="greaterThan">
      <formula>0.076</formula>
    </cfRule>
  </conditionalFormatting>
  <conditionalFormatting sqref="O3117:O3118">
    <cfRule type="cellIs" dxfId="2885" priority="1535" stopIfTrue="1" operator="greaterThan">
      <formula>5</formula>
    </cfRule>
  </conditionalFormatting>
  <conditionalFormatting sqref="Q3117:Q3118">
    <cfRule type="cellIs" dxfId="2884" priority="1534" stopIfTrue="1" operator="notBetween">
      <formula>5</formula>
      <formula>9</formula>
    </cfRule>
  </conditionalFormatting>
  <conditionalFormatting sqref="R3117:R3118">
    <cfRule type="cellIs" dxfId="2883" priority="1533" stopIfTrue="1" operator="greaterThan">
      <formula>75</formula>
    </cfRule>
  </conditionalFormatting>
  <conditionalFormatting sqref="S3117:S3118">
    <cfRule type="cellIs" dxfId="2882" priority="1532" stopIfTrue="1" operator="greaterThan">
      <formula>90</formula>
    </cfRule>
  </conditionalFormatting>
  <conditionalFormatting sqref="T3117:T3118">
    <cfRule type="cellIs" dxfId="2881" priority="1531" stopIfTrue="1" operator="greaterThan">
      <formula>0.4</formula>
    </cfRule>
  </conditionalFormatting>
  <conditionalFormatting sqref="U3117:U3118">
    <cfRule type="cellIs" dxfId="2880" priority="1530" stopIfTrue="1" operator="greaterThan">
      <formula>2.3</formula>
    </cfRule>
  </conditionalFormatting>
  <conditionalFormatting sqref="V3117:V3118">
    <cfRule type="cellIs" dxfId="2879" priority="1529" stopIfTrue="1" operator="greaterThan">
      <formula>1.1</formula>
    </cfRule>
  </conditionalFormatting>
  <conditionalFormatting sqref="W3117:W3118">
    <cfRule type="cellIs" dxfId="2878" priority="1528" stopIfTrue="1" operator="greaterThan">
      <formula>0.059</formula>
    </cfRule>
  </conditionalFormatting>
  <conditionalFormatting sqref="X3117:X3118">
    <cfRule type="cellIs" dxfId="2877" priority="1527" stopIfTrue="1" operator="greaterThan">
      <formula>0.16</formula>
    </cfRule>
  </conditionalFormatting>
  <conditionalFormatting sqref="Y3117:Y3118">
    <cfRule type="cellIs" dxfId="2876" priority="1526" stopIfTrue="1" operator="greaterThan">
      <formula>0.076</formula>
    </cfRule>
  </conditionalFormatting>
  <conditionalFormatting sqref="O3406:O3407">
    <cfRule type="cellIs" dxfId="2875" priority="1525" stopIfTrue="1" operator="greaterThan">
      <formula>5</formula>
    </cfRule>
  </conditionalFormatting>
  <conditionalFormatting sqref="Q3406:Q3407">
    <cfRule type="cellIs" dxfId="2874" priority="1524" stopIfTrue="1" operator="notBetween">
      <formula>5</formula>
      <formula>9</formula>
    </cfRule>
  </conditionalFormatting>
  <conditionalFormatting sqref="R3406:R3407">
    <cfRule type="cellIs" dxfId="2873" priority="1523" stopIfTrue="1" operator="greaterThan">
      <formula>75</formula>
    </cfRule>
  </conditionalFormatting>
  <conditionalFormatting sqref="S3406:S3407">
    <cfRule type="cellIs" dxfId="2872" priority="1522" stopIfTrue="1" operator="greaterThan">
      <formula>90</formula>
    </cfRule>
  </conditionalFormatting>
  <conditionalFormatting sqref="T3406:T3407">
    <cfRule type="cellIs" dxfId="2871" priority="1521" stopIfTrue="1" operator="greaterThan">
      <formula>0.4</formula>
    </cfRule>
  </conditionalFormatting>
  <conditionalFormatting sqref="U3406:U3407">
    <cfRule type="cellIs" dxfId="2870" priority="1520" stopIfTrue="1" operator="greaterThan">
      <formula>2.3</formula>
    </cfRule>
  </conditionalFormatting>
  <conditionalFormatting sqref="V3406:V3407">
    <cfRule type="cellIs" dxfId="2869" priority="1519" stopIfTrue="1" operator="greaterThan">
      <formula>1.1</formula>
    </cfRule>
  </conditionalFormatting>
  <conditionalFormatting sqref="W3406:W3407">
    <cfRule type="cellIs" dxfId="2868" priority="1518" stopIfTrue="1" operator="greaterThan">
      <formula>0.059</formula>
    </cfRule>
  </conditionalFormatting>
  <conditionalFormatting sqref="X3406:X3407">
    <cfRule type="cellIs" dxfId="2867" priority="1517" stopIfTrue="1" operator="greaterThan">
      <formula>0.16</formula>
    </cfRule>
  </conditionalFormatting>
  <conditionalFormatting sqref="Y3406:Y3407">
    <cfRule type="cellIs" dxfId="2866" priority="1516" stopIfTrue="1" operator="greaterThan">
      <formula>0.076</formula>
    </cfRule>
  </conditionalFormatting>
  <conditionalFormatting sqref="O3408:O3411">
    <cfRule type="cellIs" dxfId="2865" priority="1515" stopIfTrue="1" operator="greaterThan">
      <formula>5</formula>
    </cfRule>
  </conditionalFormatting>
  <conditionalFormatting sqref="Q3408:Q3411">
    <cfRule type="cellIs" dxfId="2864" priority="1514" stopIfTrue="1" operator="notBetween">
      <formula>5</formula>
      <formula>9</formula>
    </cfRule>
  </conditionalFormatting>
  <conditionalFormatting sqref="R3408:R3411">
    <cfRule type="cellIs" dxfId="2863" priority="1513" stopIfTrue="1" operator="greaterThan">
      <formula>75</formula>
    </cfRule>
  </conditionalFormatting>
  <conditionalFormatting sqref="S3408:S3411">
    <cfRule type="cellIs" dxfId="2862" priority="1512" stopIfTrue="1" operator="greaterThan">
      <formula>90</formula>
    </cfRule>
  </conditionalFormatting>
  <conditionalFormatting sqref="T3408:T3411">
    <cfRule type="cellIs" dxfId="2861" priority="1511" stopIfTrue="1" operator="greaterThan">
      <formula>0.4</formula>
    </cfRule>
  </conditionalFormatting>
  <conditionalFormatting sqref="U3408:U3411">
    <cfRule type="cellIs" dxfId="2860" priority="1510" stopIfTrue="1" operator="greaterThan">
      <formula>2.3</formula>
    </cfRule>
  </conditionalFormatting>
  <conditionalFormatting sqref="V3408:V3411">
    <cfRule type="cellIs" dxfId="2859" priority="1509" stopIfTrue="1" operator="greaterThan">
      <formula>1.1</formula>
    </cfRule>
  </conditionalFormatting>
  <conditionalFormatting sqref="W3408:W3411">
    <cfRule type="cellIs" dxfId="2858" priority="1508" stopIfTrue="1" operator="greaterThan">
      <formula>0.059</formula>
    </cfRule>
  </conditionalFormatting>
  <conditionalFormatting sqref="X3408:X3411">
    <cfRule type="cellIs" dxfId="2857" priority="1507" stopIfTrue="1" operator="greaterThan">
      <formula>0.16</formula>
    </cfRule>
  </conditionalFormatting>
  <conditionalFormatting sqref="Y3408:Y3411">
    <cfRule type="cellIs" dxfId="2856" priority="1506" stopIfTrue="1" operator="greaterThan">
      <formula>0.076</formula>
    </cfRule>
  </conditionalFormatting>
  <conditionalFormatting sqref="O3412:O3416">
    <cfRule type="cellIs" dxfId="2855" priority="1505" stopIfTrue="1" operator="greaterThan">
      <formula>5</formula>
    </cfRule>
  </conditionalFormatting>
  <conditionalFormatting sqref="Q3412:Q3416">
    <cfRule type="cellIs" dxfId="2854" priority="1504" stopIfTrue="1" operator="notBetween">
      <formula>5</formula>
      <formula>9</formula>
    </cfRule>
  </conditionalFormatting>
  <conditionalFormatting sqref="R3412:R3416">
    <cfRule type="cellIs" dxfId="2853" priority="1503" stopIfTrue="1" operator="greaterThan">
      <formula>75</formula>
    </cfRule>
  </conditionalFormatting>
  <conditionalFormatting sqref="S3412:S3416">
    <cfRule type="cellIs" dxfId="2852" priority="1502" stopIfTrue="1" operator="greaterThan">
      <formula>90</formula>
    </cfRule>
  </conditionalFormatting>
  <conditionalFormatting sqref="T3412:T3416">
    <cfRule type="cellIs" dxfId="2851" priority="1501" stopIfTrue="1" operator="greaterThan">
      <formula>0.4</formula>
    </cfRule>
  </conditionalFormatting>
  <conditionalFormatting sqref="U3412:U3416">
    <cfRule type="cellIs" dxfId="2850" priority="1500" stopIfTrue="1" operator="greaterThan">
      <formula>2.3</formula>
    </cfRule>
  </conditionalFormatting>
  <conditionalFormatting sqref="V3412:V3416">
    <cfRule type="cellIs" dxfId="2849" priority="1499" stopIfTrue="1" operator="greaterThan">
      <formula>1.1</formula>
    </cfRule>
  </conditionalFormatting>
  <conditionalFormatting sqref="W3412:W3416">
    <cfRule type="cellIs" dxfId="2848" priority="1498" stopIfTrue="1" operator="greaterThan">
      <formula>0.059</formula>
    </cfRule>
  </conditionalFormatting>
  <conditionalFormatting sqref="X3412:X3416">
    <cfRule type="cellIs" dxfId="2847" priority="1497" stopIfTrue="1" operator="greaterThan">
      <formula>0.16</formula>
    </cfRule>
  </conditionalFormatting>
  <conditionalFormatting sqref="Y3412:Y3416">
    <cfRule type="cellIs" dxfId="2846" priority="1496" stopIfTrue="1" operator="greaterThan">
      <formula>0.076</formula>
    </cfRule>
  </conditionalFormatting>
  <conditionalFormatting sqref="O3417:O3419">
    <cfRule type="cellIs" dxfId="2845" priority="1495" stopIfTrue="1" operator="greaterThan">
      <formula>5</formula>
    </cfRule>
  </conditionalFormatting>
  <conditionalFormatting sqref="Q3417:Q3419">
    <cfRule type="cellIs" dxfId="2844" priority="1494" stopIfTrue="1" operator="notBetween">
      <formula>5</formula>
      <formula>9</formula>
    </cfRule>
  </conditionalFormatting>
  <conditionalFormatting sqref="R3417:R3419">
    <cfRule type="cellIs" dxfId="2843" priority="1493" stopIfTrue="1" operator="greaterThan">
      <formula>75</formula>
    </cfRule>
  </conditionalFormatting>
  <conditionalFormatting sqref="S3417:S3419">
    <cfRule type="cellIs" dxfId="2842" priority="1492" stopIfTrue="1" operator="greaterThan">
      <formula>90</formula>
    </cfRule>
  </conditionalFormatting>
  <conditionalFormatting sqref="T3417:T3419">
    <cfRule type="cellIs" dxfId="2841" priority="1491" stopIfTrue="1" operator="greaterThan">
      <formula>0.4</formula>
    </cfRule>
  </conditionalFormatting>
  <conditionalFormatting sqref="U3417:U3419">
    <cfRule type="cellIs" dxfId="2840" priority="1490" stopIfTrue="1" operator="greaterThan">
      <formula>2.3</formula>
    </cfRule>
  </conditionalFormatting>
  <conditionalFormatting sqref="V3417:V3419">
    <cfRule type="cellIs" dxfId="2839" priority="1489" stopIfTrue="1" operator="greaterThan">
      <formula>1.1</formula>
    </cfRule>
  </conditionalFormatting>
  <conditionalFormatting sqref="W3417:W3419">
    <cfRule type="cellIs" dxfId="2838" priority="1488" stopIfTrue="1" operator="greaterThan">
      <formula>0.059</formula>
    </cfRule>
  </conditionalFormatting>
  <conditionalFormatting sqref="X3417:X3419">
    <cfRule type="cellIs" dxfId="2837" priority="1487" stopIfTrue="1" operator="greaterThan">
      <formula>0.16</formula>
    </cfRule>
  </conditionalFormatting>
  <conditionalFormatting sqref="Y3417:Y3419">
    <cfRule type="cellIs" dxfId="2836" priority="1486" stopIfTrue="1" operator="greaterThan">
      <formula>0.076</formula>
    </cfRule>
  </conditionalFormatting>
  <conditionalFormatting sqref="O4116:O4119">
    <cfRule type="cellIs" dxfId="2835" priority="1485" stopIfTrue="1" operator="greaterThan">
      <formula>5</formula>
    </cfRule>
  </conditionalFormatting>
  <conditionalFormatting sqref="Q4116:Q4119">
    <cfRule type="cellIs" dxfId="2834" priority="1484" stopIfTrue="1" operator="notBetween">
      <formula>5</formula>
      <formula>9</formula>
    </cfRule>
  </conditionalFormatting>
  <conditionalFormatting sqref="R4116:R4119">
    <cfRule type="cellIs" dxfId="2833" priority="1483" stopIfTrue="1" operator="greaterThan">
      <formula>75</formula>
    </cfRule>
  </conditionalFormatting>
  <conditionalFormatting sqref="S4116:S4119">
    <cfRule type="cellIs" dxfId="2832" priority="1482" stopIfTrue="1" operator="greaterThan">
      <formula>90</formula>
    </cfRule>
  </conditionalFormatting>
  <conditionalFormatting sqref="T4116:T4119">
    <cfRule type="cellIs" dxfId="2831" priority="1481" stopIfTrue="1" operator="greaterThan">
      <formula>0.4</formula>
    </cfRule>
  </conditionalFormatting>
  <conditionalFormatting sqref="U4116:U4119">
    <cfRule type="cellIs" dxfId="2830" priority="1480" stopIfTrue="1" operator="greaterThan">
      <formula>2.3</formula>
    </cfRule>
  </conditionalFormatting>
  <conditionalFormatting sqref="V4116:V4119">
    <cfRule type="cellIs" dxfId="2829" priority="1479" stopIfTrue="1" operator="greaterThan">
      <formula>1.1</formula>
    </cfRule>
  </conditionalFormatting>
  <conditionalFormatting sqref="W4116:W4119">
    <cfRule type="cellIs" dxfId="2828" priority="1478" stopIfTrue="1" operator="greaterThan">
      <formula>0.059</formula>
    </cfRule>
  </conditionalFormatting>
  <conditionalFormatting sqref="X4116:X4119">
    <cfRule type="cellIs" dxfId="2827" priority="1477" stopIfTrue="1" operator="greaterThan">
      <formula>0.16</formula>
    </cfRule>
  </conditionalFormatting>
  <conditionalFormatting sqref="Y4116:Y4119">
    <cfRule type="cellIs" dxfId="2826" priority="1476" stopIfTrue="1" operator="greaterThan">
      <formula>0.076</formula>
    </cfRule>
  </conditionalFormatting>
  <conditionalFormatting sqref="O4154:O4155">
    <cfRule type="cellIs" dxfId="2825" priority="1475" stopIfTrue="1" operator="greaterThan">
      <formula>5</formula>
    </cfRule>
  </conditionalFormatting>
  <conditionalFormatting sqref="Q4154:Q4155">
    <cfRule type="cellIs" dxfId="2824" priority="1474" stopIfTrue="1" operator="notBetween">
      <formula>5</formula>
      <formula>9</formula>
    </cfRule>
  </conditionalFormatting>
  <conditionalFormatting sqref="R4154:R4155">
    <cfRule type="cellIs" dxfId="2823" priority="1473" stopIfTrue="1" operator="greaterThan">
      <formula>75</formula>
    </cfRule>
  </conditionalFormatting>
  <conditionalFormatting sqref="S4154:S4155">
    <cfRule type="cellIs" dxfId="2822" priority="1472" stopIfTrue="1" operator="greaterThan">
      <formula>90</formula>
    </cfRule>
  </conditionalFormatting>
  <conditionalFormatting sqref="T4154:T4155">
    <cfRule type="cellIs" dxfId="2821" priority="1471" stopIfTrue="1" operator="greaterThan">
      <formula>0.4</formula>
    </cfRule>
  </conditionalFormatting>
  <conditionalFormatting sqref="U4154:U4155">
    <cfRule type="cellIs" dxfId="2820" priority="1470" stopIfTrue="1" operator="greaterThan">
      <formula>2.3</formula>
    </cfRule>
  </conditionalFormatting>
  <conditionalFormatting sqref="V4154:V4155">
    <cfRule type="cellIs" dxfId="2819" priority="1469" stopIfTrue="1" operator="greaterThan">
      <formula>1.1</formula>
    </cfRule>
  </conditionalFormatting>
  <conditionalFormatting sqref="W4154:W4155">
    <cfRule type="cellIs" dxfId="2818" priority="1468" stopIfTrue="1" operator="greaterThan">
      <formula>0.059</formula>
    </cfRule>
  </conditionalFormatting>
  <conditionalFormatting sqref="X4154:X4155">
    <cfRule type="cellIs" dxfId="2817" priority="1467" stopIfTrue="1" operator="greaterThan">
      <formula>0.16</formula>
    </cfRule>
  </conditionalFormatting>
  <conditionalFormatting sqref="Y4154:Y4155">
    <cfRule type="cellIs" dxfId="2816" priority="1466" stopIfTrue="1" operator="greaterThan">
      <formula>0.076</formula>
    </cfRule>
  </conditionalFormatting>
  <conditionalFormatting sqref="O4158:O4159">
    <cfRule type="cellIs" dxfId="2815" priority="1465" stopIfTrue="1" operator="greaterThan">
      <formula>5</formula>
    </cfRule>
  </conditionalFormatting>
  <conditionalFormatting sqref="Q4158:Q4159">
    <cfRule type="cellIs" dxfId="2814" priority="1464" stopIfTrue="1" operator="notBetween">
      <formula>5</formula>
      <formula>9</formula>
    </cfRule>
  </conditionalFormatting>
  <conditionalFormatting sqref="R4158:R4159">
    <cfRule type="cellIs" dxfId="2813" priority="1463" stopIfTrue="1" operator="greaterThan">
      <formula>75</formula>
    </cfRule>
  </conditionalFormatting>
  <conditionalFormatting sqref="S4158:S4159">
    <cfRule type="cellIs" dxfId="2812" priority="1462" stopIfTrue="1" operator="greaterThan">
      <formula>90</formula>
    </cfRule>
  </conditionalFormatting>
  <conditionalFormatting sqref="T4158:T4159">
    <cfRule type="cellIs" dxfId="2811" priority="1461" stopIfTrue="1" operator="greaterThan">
      <formula>0.4</formula>
    </cfRule>
  </conditionalFormatting>
  <conditionalFormatting sqref="U4158:U4159">
    <cfRule type="cellIs" dxfId="2810" priority="1460" stopIfTrue="1" operator="greaterThan">
      <formula>2.3</formula>
    </cfRule>
  </conditionalFormatting>
  <conditionalFormatting sqref="V4158:V4159">
    <cfRule type="cellIs" dxfId="2809" priority="1459" stopIfTrue="1" operator="greaterThan">
      <formula>1.1</formula>
    </cfRule>
  </conditionalFormatting>
  <conditionalFormatting sqref="W4158:W4159">
    <cfRule type="cellIs" dxfId="2808" priority="1458" stopIfTrue="1" operator="greaterThan">
      <formula>0.059</formula>
    </cfRule>
  </conditionalFormatting>
  <conditionalFormatting sqref="X4158:X4159">
    <cfRule type="cellIs" dxfId="2807" priority="1457" stopIfTrue="1" operator="greaterThan">
      <formula>0.16</formula>
    </cfRule>
  </conditionalFormatting>
  <conditionalFormatting sqref="Y4158:Y4159">
    <cfRule type="cellIs" dxfId="2806" priority="1456" stopIfTrue="1" operator="greaterThan">
      <formula>0.076</formula>
    </cfRule>
  </conditionalFormatting>
  <conditionalFormatting sqref="O4164:O4166">
    <cfRule type="cellIs" dxfId="2805" priority="1455" stopIfTrue="1" operator="greaterThan">
      <formula>5</formula>
    </cfRule>
  </conditionalFormatting>
  <conditionalFormatting sqref="Q4164:Q4166">
    <cfRule type="cellIs" dxfId="2804" priority="1454" stopIfTrue="1" operator="notBetween">
      <formula>5</formula>
      <formula>9</formula>
    </cfRule>
  </conditionalFormatting>
  <conditionalFormatting sqref="R4164:R4166">
    <cfRule type="cellIs" dxfId="2803" priority="1453" stopIfTrue="1" operator="greaterThan">
      <formula>75</formula>
    </cfRule>
  </conditionalFormatting>
  <conditionalFormatting sqref="S4164:S4166">
    <cfRule type="cellIs" dxfId="2802" priority="1452" stopIfTrue="1" operator="greaterThan">
      <formula>90</formula>
    </cfRule>
  </conditionalFormatting>
  <conditionalFormatting sqref="T4164:T4166">
    <cfRule type="cellIs" dxfId="2801" priority="1451" stopIfTrue="1" operator="greaterThan">
      <formula>0.4</formula>
    </cfRule>
  </conditionalFormatting>
  <conditionalFormatting sqref="U4164:U4166">
    <cfRule type="cellIs" dxfId="2800" priority="1450" stopIfTrue="1" operator="greaterThan">
      <formula>2.3</formula>
    </cfRule>
  </conditionalFormatting>
  <conditionalFormatting sqref="V4164:V4166">
    <cfRule type="cellIs" dxfId="2799" priority="1449" stopIfTrue="1" operator="greaterThan">
      <formula>1.1</formula>
    </cfRule>
  </conditionalFormatting>
  <conditionalFormatting sqref="W4164:W4166">
    <cfRule type="cellIs" dxfId="2798" priority="1448" stopIfTrue="1" operator="greaterThan">
      <formula>0.059</formula>
    </cfRule>
  </conditionalFormatting>
  <conditionalFormatting sqref="X4164:X4166">
    <cfRule type="cellIs" dxfId="2797" priority="1447" stopIfTrue="1" operator="greaterThan">
      <formula>0.16</formula>
    </cfRule>
  </conditionalFormatting>
  <conditionalFormatting sqref="Y4164:Y4166">
    <cfRule type="cellIs" dxfId="2796" priority="1446" stopIfTrue="1" operator="greaterThan">
      <formula>0.076</formula>
    </cfRule>
  </conditionalFormatting>
  <conditionalFormatting sqref="O4170">
    <cfRule type="cellIs" dxfId="2795" priority="1445" stopIfTrue="1" operator="greaterThan">
      <formula>5</formula>
    </cfRule>
  </conditionalFormatting>
  <conditionalFormatting sqref="Q4170">
    <cfRule type="cellIs" dxfId="2794" priority="1444" stopIfTrue="1" operator="notBetween">
      <formula>5</formula>
      <formula>9</formula>
    </cfRule>
  </conditionalFormatting>
  <conditionalFormatting sqref="R4170">
    <cfRule type="cellIs" dxfId="2793" priority="1443" stopIfTrue="1" operator="greaterThan">
      <formula>75</formula>
    </cfRule>
  </conditionalFormatting>
  <conditionalFormatting sqref="S4170">
    <cfRule type="cellIs" dxfId="2792" priority="1442" stopIfTrue="1" operator="greaterThan">
      <formula>90</formula>
    </cfRule>
  </conditionalFormatting>
  <conditionalFormatting sqref="T4170">
    <cfRule type="cellIs" dxfId="2791" priority="1441" stopIfTrue="1" operator="greaterThan">
      <formula>0.4</formula>
    </cfRule>
  </conditionalFormatting>
  <conditionalFormatting sqref="U4170">
    <cfRule type="cellIs" dxfId="2790" priority="1440" stopIfTrue="1" operator="greaterThan">
      <formula>2.3</formula>
    </cfRule>
  </conditionalFormatting>
  <conditionalFormatting sqref="V4170">
    <cfRule type="cellIs" dxfId="2789" priority="1439" stopIfTrue="1" operator="greaterThan">
      <formula>1.1</formula>
    </cfRule>
  </conditionalFormatting>
  <conditionalFormatting sqref="W4170">
    <cfRule type="cellIs" dxfId="2788" priority="1438" stopIfTrue="1" operator="greaterThan">
      <formula>0.059</formula>
    </cfRule>
  </conditionalFormatting>
  <conditionalFormatting sqref="X4170">
    <cfRule type="cellIs" dxfId="2787" priority="1437" stopIfTrue="1" operator="greaterThan">
      <formula>0.16</formula>
    </cfRule>
  </conditionalFormatting>
  <conditionalFormatting sqref="Y4170">
    <cfRule type="cellIs" dxfId="2786" priority="1436" stopIfTrue="1" operator="greaterThan">
      <formula>0.076</formula>
    </cfRule>
  </conditionalFormatting>
  <conditionalFormatting sqref="O4173">
    <cfRule type="cellIs" dxfId="2785" priority="1435" stopIfTrue="1" operator="greaterThan">
      <formula>5</formula>
    </cfRule>
  </conditionalFormatting>
  <conditionalFormatting sqref="Q4173">
    <cfRule type="cellIs" dxfId="2784" priority="1434" stopIfTrue="1" operator="notBetween">
      <formula>5</formula>
      <formula>9</formula>
    </cfRule>
  </conditionalFormatting>
  <conditionalFormatting sqref="R4173">
    <cfRule type="cellIs" dxfId="2783" priority="1433" stopIfTrue="1" operator="greaterThan">
      <formula>75</formula>
    </cfRule>
  </conditionalFormatting>
  <conditionalFormatting sqref="S4173">
    <cfRule type="cellIs" dxfId="2782" priority="1432" stopIfTrue="1" operator="greaterThan">
      <formula>90</formula>
    </cfRule>
  </conditionalFormatting>
  <conditionalFormatting sqref="T4173">
    <cfRule type="cellIs" dxfId="2781" priority="1431" stopIfTrue="1" operator="greaterThan">
      <formula>0.4</formula>
    </cfRule>
  </conditionalFormatting>
  <conditionalFormatting sqref="U4173">
    <cfRule type="cellIs" dxfId="2780" priority="1430" stopIfTrue="1" operator="greaterThan">
      <formula>2.3</formula>
    </cfRule>
  </conditionalFormatting>
  <conditionalFormatting sqref="V4173">
    <cfRule type="cellIs" dxfId="2779" priority="1429" stopIfTrue="1" operator="greaterThan">
      <formula>1.1</formula>
    </cfRule>
  </conditionalFormatting>
  <conditionalFormatting sqref="W4173">
    <cfRule type="cellIs" dxfId="2778" priority="1428" stopIfTrue="1" operator="greaterThan">
      <formula>0.059</formula>
    </cfRule>
  </conditionalFormatting>
  <conditionalFormatting sqref="X4173">
    <cfRule type="cellIs" dxfId="2777" priority="1427" stopIfTrue="1" operator="greaterThan">
      <formula>0.16</formula>
    </cfRule>
  </conditionalFormatting>
  <conditionalFormatting sqref="Y4173">
    <cfRule type="cellIs" dxfId="2776" priority="1426" stopIfTrue="1" operator="greaterThan">
      <formula>0.076</formula>
    </cfRule>
  </conditionalFormatting>
  <conditionalFormatting sqref="O4176">
    <cfRule type="cellIs" dxfId="2775" priority="1425" stopIfTrue="1" operator="greaterThan">
      <formula>5</formula>
    </cfRule>
  </conditionalFormatting>
  <conditionalFormatting sqref="Q4176">
    <cfRule type="cellIs" dxfId="2774" priority="1424" stopIfTrue="1" operator="notBetween">
      <formula>5</formula>
      <formula>9</formula>
    </cfRule>
  </conditionalFormatting>
  <conditionalFormatting sqref="R4176">
    <cfRule type="cellIs" dxfId="2773" priority="1423" stopIfTrue="1" operator="greaterThan">
      <formula>75</formula>
    </cfRule>
  </conditionalFormatting>
  <conditionalFormatting sqref="S4176">
    <cfRule type="cellIs" dxfId="2772" priority="1422" stopIfTrue="1" operator="greaterThan">
      <formula>90</formula>
    </cfRule>
  </conditionalFormatting>
  <conditionalFormatting sqref="T4176">
    <cfRule type="cellIs" dxfId="2771" priority="1421" stopIfTrue="1" operator="greaterThan">
      <formula>0.4</formula>
    </cfRule>
  </conditionalFormatting>
  <conditionalFormatting sqref="U4176">
    <cfRule type="cellIs" dxfId="2770" priority="1420" stopIfTrue="1" operator="greaterThan">
      <formula>2.3</formula>
    </cfRule>
  </conditionalFormatting>
  <conditionalFormatting sqref="V4176">
    <cfRule type="cellIs" dxfId="2769" priority="1419" stopIfTrue="1" operator="greaterThan">
      <formula>1.1</formula>
    </cfRule>
  </conditionalFormatting>
  <conditionalFormatting sqref="W4176">
    <cfRule type="cellIs" dxfId="2768" priority="1418" stopIfTrue="1" operator="greaterThan">
      <formula>0.059</formula>
    </cfRule>
  </conditionalFormatting>
  <conditionalFormatting sqref="X4176">
    <cfRule type="cellIs" dxfId="2767" priority="1417" stopIfTrue="1" operator="greaterThan">
      <formula>0.16</formula>
    </cfRule>
  </conditionalFormatting>
  <conditionalFormatting sqref="Y4176">
    <cfRule type="cellIs" dxfId="2766" priority="1416" stopIfTrue="1" operator="greaterThan">
      <formula>0.076</formula>
    </cfRule>
  </conditionalFormatting>
  <conditionalFormatting sqref="O4184:O4185">
    <cfRule type="cellIs" dxfId="2765" priority="1415" stopIfTrue="1" operator="greaterThan">
      <formula>5</formula>
    </cfRule>
  </conditionalFormatting>
  <conditionalFormatting sqref="Q4184:Q4185">
    <cfRule type="cellIs" dxfId="2764" priority="1414" stopIfTrue="1" operator="notBetween">
      <formula>5</formula>
      <formula>9</formula>
    </cfRule>
  </conditionalFormatting>
  <conditionalFormatting sqref="R4184:R4185">
    <cfRule type="cellIs" dxfId="2763" priority="1413" stopIfTrue="1" operator="greaterThan">
      <formula>75</formula>
    </cfRule>
  </conditionalFormatting>
  <conditionalFormatting sqref="S4184:S4185">
    <cfRule type="cellIs" dxfId="2762" priority="1412" stopIfTrue="1" operator="greaterThan">
      <formula>90</formula>
    </cfRule>
  </conditionalFormatting>
  <conditionalFormatting sqref="T4184:T4185">
    <cfRule type="cellIs" dxfId="2761" priority="1411" stopIfTrue="1" operator="greaterThan">
      <formula>0.4</formula>
    </cfRule>
  </conditionalFormatting>
  <conditionalFormatting sqref="U4184:U4185">
    <cfRule type="cellIs" dxfId="2760" priority="1410" stopIfTrue="1" operator="greaterThan">
      <formula>2.3</formula>
    </cfRule>
  </conditionalFormatting>
  <conditionalFormatting sqref="V4184:V4185">
    <cfRule type="cellIs" dxfId="2759" priority="1409" stopIfTrue="1" operator="greaterThan">
      <formula>1.1</formula>
    </cfRule>
  </conditionalFormatting>
  <conditionalFormatting sqref="W4184:W4185">
    <cfRule type="cellIs" dxfId="2758" priority="1408" stopIfTrue="1" operator="greaterThan">
      <formula>0.059</formula>
    </cfRule>
  </conditionalFormatting>
  <conditionalFormatting sqref="X4184:X4185">
    <cfRule type="cellIs" dxfId="2757" priority="1407" stopIfTrue="1" operator="greaterThan">
      <formula>0.16</formula>
    </cfRule>
  </conditionalFormatting>
  <conditionalFormatting sqref="Y4184:Y4185">
    <cfRule type="cellIs" dxfId="2756" priority="1406" stopIfTrue="1" operator="greaterThan">
      <formula>0.076</formula>
    </cfRule>
  </conditionalFormatting>
  <conditionalFormatting sqref="O4202:O4205">
    <cfRule type="cellIs" dxfId="2755" priority="1395" stopIfTrue="1" operator="greaterThan">
      <formula>5</formula>
    </cfRule>
  </conditionalFormatting>
  <conditionalFormatting sqref="Q4202:Q4205">
    <cfRule type="cellIs" dxfId="2754" priority="1394" stopIfTrue="1" operator="notBetween">
      <formula>5</formula>
      <formula>9</formula>
    </cfRule>
  </conditionalFormatting>
  <conditionalFormatting sqref="R4202:R4205">
    <cfRule type="cellIs" dxfId="2753" priority="1393" stopIfTrue="1" operator="greaterThan">
      <formula>75</formula>
    </cfRule>
  </conditionalFormatting>
  <conditionalFormatting sqref="S4202:S4205">
    <cfRule type="cellIs" dxfId="2752" priority="1392" stopIfTrue="1" operator="greaterThan">
      <formula>90</formula>
    </cfRule>
  </conditionalFormatting>
  <conditionalFormatting sqref="T4202:T4205">
    <cfRule type="cellIs" dxfId="2751" priority="1391" stopIfTrue="1" operator="greaterThan">
      <formula>0.4</formula>
    </cfRule>
  </conditionalFormatting>
  <conditionalFormatting sqref="U4202:U4205">
    <cfRule type="cellIs" dxfId="2750" priority="1390" stopIfTrue="1" operator="greaterThan">
      <formula>2.3</formula>
    </cfRule>
  </conditionalFormatting>
  <conditionalFormatting sqref="V4202:V4205">
    <cfRule type="cellIs" dxfId="2749" priority="1389" stopIfTrue="1" operator="greaterThan">
      <formula>1.1</formula>
    </cfRule>
  </conditionalFormatting>
  <conditionalFormatting sqref="W4202:W4205">
    <cfRule type="cellIs" dxfId="2748" priority="1388" stopIfTrue="1" operator="greaterThan">
      <formula>0.059</formula>
    </cfRule>
  </conditionalFormatting>
  <conditionalFormatting sqref="X4202:X4205">
    <cfRule type="cellIs" dxfId="2747" priority="1387" stopIfTrue="1" operator="greaterThan">
      <formula>0.16</formula>
    </cfRule>
  </conditionalFormatting>
  <conditionalFormatting sqref="Y4202:Y4205">
    <cfRule type="cellIs" dxfId="2746" priority="1386" stopIfTrue="1" operator="greaterThan">
      <formula>0.076</formula>
    </cfRule>
  </conditionalFormatting>
  <conditionalFormatting sqref="O4208">
    <cfRule type="cellIs" dxfId="2745" priority="1385" stopIfTrue="1" operator="greaterThan">
      <formula>5</formula>
    </cfRule>
  </conditionalFormatting>
  <conditionalFormatting sqref="Q4208">
    <cfRule type="cellIs" dxfId="2744" priority="1384" stopIfTrue="1" operator="notBetween">
      <formula>5</formula>
      <formula>9</formula>
    </cfRule>
  </conditionalFormatting>
  <conditionalFormatting sqref="R4208">
    <cfRule type="cellIs" dxfId="2743" priority="1383" stopIfTrue="1" operator="greaterThan">
      <formula>75</formula>
    </cfRule>
  </conditionalFormatting>
  <conditionalFormatting sqref="S4208">
    <cfRule type="cellIs" dxfId="2742" priority="1382" stopIfTrue="1" operator="greaterThan">
      <formula>90</formula>
    </cfRule>
  </conditionalFormatting>
  <conditionalFormatting sqref="T4208">
    <cfRule type="cellIs" dxfId="2741" priority="1381" stopIfTrue="1" operator="greaterThan">
      <formula>0.4</formula>
    </cfRule>
  </conditionalFormatting>
  <conditionalFormatting sqref="U4208">
    <cfRule type="cellIs" dxfId="2740" priority="1380" stopIfTrue="1" operator="greaterThan">
      <formula>2.3</formula>
    </cfRule>
  </conditionalFormatting>
  <conditionalFormatting sqref="V4208">
    <cfRule type="cellIs" dxfId="2739" priority="1379" stopIfTrue="1" operator="greaterThan">
      <formula>1.1</formula>
    </cfRule>
  </conditionalFormatting>
  <conditionalFormatting sqref="W4208">
    <cfRule type="cellIs" dxfId="2738" priority="1378" stopIfTrue="1" operator="greaterThan">
      <formula>0.059</formula>
    </cfRule>
  </conditionalFormatting>
  <conditionalFormatting sqref="X4208">
    <cfRule type="cellIs" dxfId="2737" priority="1377" stopIfTrue="1" operator="greaterThan">
      <formula>0.16</formula>
    </cfRule>
  </conditionalFormatting>
  <conditionalFormatting sqref="Y4208">
    <cfRule type="cellIs" dxfId="2736" priority="1376" stopIfTrue="1" operator="greaterThan">
      <formula>0.076</formula>
    </cfRule>
  </conditionalFormatting>
  <conditionalFormatting sqref="O4214:O4216">
    <cfRule type="cellIs" dxfId="2735" priority="1375" stopIfTrue="1" operator="greaterThan">
      <formula>5</formula>
    </cfRule>
  </conditionalFormatting>
  <conditionalFormatting sqref="Q4214:Q4216">
    <cfRule type="cellIs" dxfId="2734" priority="1374" stopIfTrue="1" operator="notBetween">
      <formula>5</formula>
      <formula>9</formula>
    </cfRule>
  </conditionalFormatting>
  <conditionalFormatting sqref="R4214:R4216">
    <cfRule type="cellIs" dxfId="2733" priority="1373" stopIfTrue="1" operator="greaterThan">
      <formula>75</formula>
    </cfRule>
  </conditionalFormatting>
  <conditionalFormatting sqref="S4214:S4216">
    <cfRule type="cellIs" dxfId="2732" priority="1372" stopIfTrue="1" operator="greaterThan">
      <formula>90</formula>
    </cfRule>
  </conditionalFormatting>
  <conditionalFormatting sqref="T4214:T4216">
    <cfRule type="cellIs" dxfId="2731" priority="1371" stopIfTrue="1" operator="greaterThan">
      <formula>0.4</formula>
    </cfRule>
  </conditionalFormatting>
  <conditionalFormatting sqref="U4214:U4216">
    <cfRule type="cellIs" dxfId="2730" priority="1370" stopIfTrue="1" operator="greaterThan">
      <formula>2.3</formula>
    </cfRule>
  </conditionalFormatting>
  <conditionalFormatting sqref="V4214:V4216">
    <cfRule type="cellIs" dxfId="2729" priority="1369" stopIfTrue="1" operator="greaterThan">
      <formula>1.1</formula>
    </cfRule>
  </conditionalFormatting>
  <conditionalFormatting sqref="W4214:W4216">
    <cfRule type="cellIs" dxfId="2728" priority="1368" stopIfTrue="1" operator="greaterThan">
      <formula>0.059</formula>
    </cfRule>
  </conditionalFormatting>
  <conditionalFormatting sqref="X4214:X4216">
    <cfRule type="cellIs" dxfId="2727" priority="1367" stopIfTrue="1" operator="greaterThan">
      <formula>0.16</formula>
    </cfRule>
  </conditionalFormatting>
  <conditionalFormatting sqref="Y4214:Y4216">
    <cfRule type="cellIs" dxfId="2726" priority="1366" stopIfTrue="1" operator="greaterThan">
      <formula>0.076</formula>
    </cfRule>
  </conditionalFormatting>
  <conditionalFormatting sqref="O4217:O4218">
    <cfRule type="cellIs" dxfId="2725" priority="1365" stopIfTrue="1" operator="greaterThan">
      <formula>5</formula>
    </cfRule>
  </conditionalFormatting>
  <conditionalFormatting sqref="Q4217:Q4218">
    <cfRule type="cellIs" dxfId="2724" priority="1364" stopIfTrue="1" operator="notBetween">
      <formula>5</formula>
      <formula>9</formula>
    </cfRule>
  </conditionalFormatting>
  <conditionalFormatting sqref="R4217:R4218">
    <cfRule type="cellIs" dxfId="2723" priority="1363" stopIfTrue="1" operator="greaterThan">
      <formula>75</formula>
    </cfRule>
  </conditionalFormatting>
  <conditionalFormatting sqref="S4217:S4218">
    <cfRule type="cellIs" dxfId="2722" priority="1362" stopIfTrue="1" operator="greaterThan">
      <formula>90</formula>
    </cfRule>
  </conditionalFormatting>
  <conditionalFormatting sqref="T4217:T4218">
    <cfRule type="cellIs" dxfId="2721" priority="1361" stopIfTrue="1" operator="greaterThan">
      <formula>0.4</formula>
    </cfRule>
  </conditionalFormatting>
  <conditionalFormatting sqref="U4217:U4218">
    <cfRule type="cellIs" dxfId="2720" priority="1360" stopIfTrue="1" operator="greaterThan">
      <formula>2.3</formula>
    </cfRule>
  </conditionalFormatting>
  <conditionalFormatting sqref="V4217:V4218">
    <cfRule type="cellIs" dxfId="2719" priority="1359" stopIfTrue="1" operator="greaterThan">
      <formula>1.1</formula>
    </cfRule>
  </conditionalFormatting>
  <conditionalFormatting sqref="W4217:W4218">
    <cfRule type="cellIs" dxfId="2718" priority="1358" stopIfTrue="1" operator="greaterThan">
      <formula>0.059</formula>
    </cfRule>
  </conditionalFormatting>
  <conditionalFormatting sqref="X4217:X4218">
    <cfRule type="cellIs" dxfId="2717" priority="1357" stopIfTrue="1" operator="greaterThan">
      <formula>0.16</formula>
    </cfRule>
  </conditionalFormatting>
  <conditionalFormatting sqref="Y4217:Y4218">
    <cfRule type="cellIs" dxfId="2716" priority="1356" stopIfTrue="1" operator="greaterThan">
      <formula>0.076</formula>
    </cfRule>
  </conditionalFormatting>
  <conditionalFormatting sqref="O4221">
    <cfRule type="cellIs" dxfId="2715" priority="1355" stopIfTrue="1" operator="greaterThan">
      <formula>5</formula>
    </cfRule>
  </conditionalFormatting>
  <conditionalFormatting sqref="Q4221">
    <cfRule type="cellIs" dxfId="2714" priority="1354" stopIfTrue="1" operator="notBetween">
      <formula>5</formula>
      <formula>9</formula>
    </cfRule>
  </conditionalFormatting>
  <conditionalFormatting sqref="R4221">
    <cfRule type="cellIs" dxfId="2713" priority="1353" stopIfTrue="1" operator="greaterThan">
      <formula>75</formula>
    </cfRule>
  </conditionalFormatting>
  <conditionalFormatting sqref="S4221">
    <cfRule type="cellIs" dxfId="2712" priority="1352" stopIfTrue="1" operator="greaterThan">
      <formula>90</formula>
    </cfRule>
  </conditionalFormatting>
  <conditionalFormatting sqref="T4221">
    <cfRule type="cellIs" dxfId="2711" priority="1351" stopIfTrue="1" operator="greaterThan">
      <formula>0.4</formula>
    </cfRule>
  </conditionalFormatting>
  <conditionalFormatting sqref="U4221">
    <cfRule type="cellIs" dxfId="2710" priority="1350" stopIfTrue="1" operator="greaterThan">
      <formula>2.3</formula>
    </cfRule>
  </conditionalFormatting>
  <conditionalFormatting sqref="V4221">
    <cfRule type="cellIs" dxfId="2709" priority="1349" stopIfTrue="1" operator="greaterThan">
      <formula>1.1</formula>
    </cfRule>
  </conditionalFormatting>
  <conditionalFormatting sqref="W4221">
    <cfRule type="cellIs" dxfId="2708" priority="1348" stopIfTrue="1" operator="greaterThan">
      <formula>0.059</formula>
    </cfRule>
  </conditionalFormatting>
  <conditionalFormatting sqref="X4221">
    <cfRule type="cellIs" dxfId="2707" priority="1347" stopIfTrue="1" operator="greaterThan">
      <formula>0.16</formula>
    </cfRule>
  </conditionalFormatting>
  <conditionalFormatting sqref="Y4221">
    <cfRule type="cellIs" dxfId="2706" priority="1346" stopIfTrue="1" operator="greaterThan">
      <formula>0.076</formula>
    </cfRule>
  </conditionalFormatting>
  <conditionalFormatting sqref="O4224:O4227">
    <cfRule type="cellIs" dxfId="2705" priority="1345" stopIfTrue="1" operator="greaterThan">
      <formula>5</formula>
    </cfRule>
  </conditionalFormatting>
  <conditionalFormatting sqref="Q4224:Q4227">
    <cfRule type="cellIs" dxfId="2704" priority="1344" stopIfTrue="1" operator="notBetween">
      <formula>5</formula>
      <formula>9</formula>
    </cfRule>
  </conditionalFormatting>
  <conditionalFormatting sqref="R4224:R4227">
    <cfRule type="cellIs" dxfId="2703" priority="1343" stopIfTrue="1" operator="greaterThan">
      <formula>75</formula>
    </cfRule>
  </conditionalFormatting>
  <conditionalFormatting sqref="S4224:S4227">
    <cfRule type="cellIs" dxfId="2702" priority="1342" stopIfTrue="1" operator="greaterThan">
      <formula>90</formula>
    </cfRule>
  </conditionalFormatting>
  <conditionalFormatting sqref="T4224:T4227">
    <cfRule type="cellIs" dxfId="2701" priority="1341" stopIfTrue="1" operator="greaterThan">
      <formula>0.4</formula>
    </cfRule>
  </conditionalFormatting>
  <conditionalFormatting sqref="U4224:U4227">
    <cfRule type="cellIs" dxfId="2700" priority="1340" stopIfTrue="1" operator="greaterThan">
      <formula>2.3</formula>
    </cfRule>
  </conditionalFormatting>
  <conditionalFormatting sqref="V4224:V4227">
    <cfRule type="cellIs" dxfId="2699" priority="1339" stopIfTrue="1" operator="greaterThan">
      <formula>1.1</formula>
    </cfRule>
  </conditionalFormatting>
  <conditionalFormatting sqref="W4224:W4227">
    <cfRule type="cellIs" dxfId="2698" priority="1338" stopIfTrue="1" operator="greaterThan">
      <formula>0.059</formula>
    </cfRule>
  </conditionalFormatting>
  <conditionalFormatting sqref="X4224:X4227">
    <cfRule type="cellIs" dxfId="2697" priority="1337" stopIfTrue="1" operator="greaterThan">
      <formula>0.16</formula>
    </cfRule>
  </conditionalFormatting>
  <conditionalFormatting sqref="Y4224:Y4227">
    <cfRule type="cellIs" dxfId="2696" priority="1336" stopIfTrue="1" operator="greaterThan">
      <formula>0.076</formula>
    </cfRule>
  </conditionalFormatting>
  <conditionalFormatting sqref="O4230:O4231">
    <cfRule type="cellIs" dxfId="2695" priority="1335" stopIfTrue="1" operator="greaterThan">
      <formula>5</formula>
    </cfRule>
  </conditionalFormatting>
  <conditionalFormatting sqref="Q4230:Q4231">
    <cfRule type="cellIs" dxfId="2694" priority="1334" stopIfTrue="1" operator="notBetween">
      <formula>5</formula>
      <formula>9</formula>
    </cfRule>
  </conditionalFormatting>
  <conditionalFormatting sqref="R4230:R4231">
    <cfRule type="cellIs" dxfId="2693" priority="1333" stopIfTrue="1" operator="greaterThan">
      <formula>75</formula>
    </cfRule>
  </conditionalFormatting>
  <conditionalFormatting sqref="S4230:S4231">
    <cfRule type="cellIs" dxfId="2692" priority="1332" stopIfTrue="1" operator="greaterThan">
      <formula>90</formula>
    </cfRule>
  </conditionalFormatting>
  <conditionalFormatting sqref="T4230:T4231">
    <cfRule type="cellIs" dxfId="2691" priority="1331" stopIfTrue="1" operator="greaterThan">
      <formula>0.4</formula>
    </cfRule>
  </conditionalFormatting>
  <conditionalFormatting sqref="U4230:U4231">
    <cfRule type="cellIs" dxfId="2690" priority="1330" stopIfTrue="1" operator="greaterThan">
      <formula>2.3</formula>
    </cfRule>
  </conditionalFormatting>
  <conditionalFormatting sqref="V4230:V4231">
    <cfRule type="cellIs" dxfId="2689" priority="1329" stopIfTrue="1" operator="greaterThan">
      <formula>1.1</formula>
    </cfRule>
  </conditionalFormatting>
  <conditionalFormatting sqref="W4230:W4231">
    <cfRule type="cellIs" dxfId="2688" priority="1328" stopIfTrue="1" operator="greaterThan">
      <formula>0.059</formula>
    </cfRule>
  </conditionalFormatting>
  <conditionalFormatting sqref="X4230:X4231">
    <cfRule type="cellIs" dxfId="2687" priority="1327" stopIfTrue="1" operator="greaterThan">
      <formula>0.16</formula>
    </cfRule>
  </conditionalFormatting>
  <conditionalFormatting sqref="Y4230:Y4231">
    <cfRule type="cellIs" dxfId="2686" priority="1326" stopIfTrue="1" operator="greaterThan">
      <formula>0.076</formula>
    </cfRule>
  </conditionalFormatting>
  <conditionalFormatting sqref="O4232">
    <cfRule type="cellIs" dxfId="2685" priority="1325" stopIfTrue="1" operator="greaterThan">
      <formula>5</formula>
    </cfRule>
  </conditionalFormatting>
  <conditionalFormatting sqref="Q4232">
    <cfRule type="cellIs" dxfId="2684" priority="1324" stopIfTrue="1" operator="notBetween">
      <formula>5</formula>
      <formula>9</formula>
    </cfRule>
  </conditionalFormatting>
  <conditionalFormatting sqref="R4232">
    <cfRule type="cellIs" dxfId="2683" priority="1323" stopIfTrue="1" operator="greaterThan">
      <formula>75</formula>
    </cfRule>
  </conditionalFormatting>
  <conditionalFormatting sqref="S4232">
    <cfRule type="cellIs" dxfId="2682" priority="1322" stopIfTrue="1" operator="greaterThan">
      <formula>90</formula>
    </cfRule>
  </conditionalFormatting>
  <conditionalFormatting sqref="T4232">
    <cfRule type="cellIs" dxfId="2681" priority="1321" stopIfTrue="1" operator="greaterThan">
      <formula>0.4</formula>
    </cfRule>
  </conditionalFormatting>
  <conditionalFormatting sqref="U4232">
    <cfRule type="cellIs" dxfId="2680" priority="1320" stopIfTrue="1" operator="greaterThan">
      <formula>2.3</formula>
    </cfRule>
  </conditionalFormatting>
  <conditionalFormatting sqref="V4232">
    <cfRule type="cellIs" dxfId="2679" priority="1319" stopIfTrue="1" operator="greaterThan">
      <formula>1.1</formula>
    </cfRule>
  </conditionalFormatting>
  <conditionalFormatting sqref="W4232">
    <cfRule type="cellIs" dxfId="2678" priority="1318" stopIfTrue="1" operator="greaterThan">
      <formula>0.059</formula>
    </cfRule>
  </conditionalFormatting>
  <conditionalFormatting sqref="X4232">
    <cfRule type="cellIs" dxfId="2677" priority="1317" stopIfTrue="1" operator="greaterThan">
      <formula>0.16</formula>
    </cfRule>
  </conditionalFormatting>
  <conditionalFormatting sqref="O4233:O4239">
    <cfRule type="cellIs" dxfId="2676" priority="1315" stopIfTrue="1" operator="greaterThan">
      <formula>5</formula>
    </cfRule>
  </conditionalFormatting>
  <conditionalFormatting sqref="Q4233:Q4239">
    <cfRule type="cellIs" dxfId="2675" priority="1314" stopIfTrue="1" operator="notBetween">
      <formula>5</formula>
      <formula>9</formula>
    </cfRule>
  </conditionalFormatting>
  <conditionalFormatting sqref="R4233:R4239">
    <cfRule type="cellIs" dxfId="2674" priority="1313" stopIfTrue="1" operator="greaterThan">
      <formula>75</formula>
    </cfRule>
  </conditionalFormatting>
  <conditionalFormatting sqref="S4233:S4239">
    <cfRule type="cellIs" dxfId="2673" priority="1312" stopIfTrue="1" operator="greaterThan">
      <formula>90</formula>
    </cfRule>
  </conditionalFormatting>
  <conditionalFormatting sqref="T4233:T4239">
    <cfRule type="cellIs" dxfId="2672" priority="1311" stopIfTrue="1" operator="greaterThan">
      <formula>0.4</formula>
    </cfRule>
  </conditionalFormatting>
  <conditionalFormatting sqref="U4233:U4239">
    <cfRule type="cellIs" dxfId="2671" priority="1310" stopIfTrue="1" operator="greaterThan">
      <formula>2.3</formula>
    </cfRule>
  </conditionalFormatting>
  <conditionalFormatting sqref="V4233:V4239">
    <cfRule type="cellIs" dxfId="2670" priority="1309" stopIfTrue="1" operator="greaterThan">
      <formula>1.1</formula>
    </cfRule>
  </conditionalFormatting>
  <conditionalFormatting sqref="W4233:W4239">
    <cfRule type="cellIs" dxfId="2669" priority="1308" stopIfTrue="1" operator="greaterThan">
      <formula>0.059</formula>
    </cfRule>
  </conditionalFormatting>
  <conditionalFormatting sqref="X4233:X4239">
    <cfRule type="cellIs" dxfId="2668" priority="1307" stopIfTrue="1" operator="greaterThan">
      <formula>0.16</formula>
    </cfRule>
  </conditionalFormatting>
  <conditionalFormatting sqref="O2910:O2911">
    <cfRule type="cellIs" dxfId="2667" priority="1295" stopIfTrue="1" operator="greaterThan">
      <formula>5</formula>
    </cfRule>
  </conditionalFormatting>
  <conditionalFormatting sqref="Q2910:Q2911">
    <cfRule type="cellIs" dxfId="2666" priority="1294" stopIfTrue="1" operator="notBetween">
      <formula>5</formula>
      <formula>9</formula>
    </cfRule>
  </conditionalFormatting>
  <conditionalFormatting sqref="R2910:R2911">
    <cfRule type="cellIs" dxfId="2665" priority="1293" stopIfTrue="1" operator="greaterThan">
      <formula>75</formula>
    </cfRule>
  </conditionalFormatting>
  <conditionalFormatting sqref="S2910:S2911">
    <cfRule type="cellIs" dxfId="2664" priority="1292" stopIfTrue="1" operator="greaterThan">
      <formula>90</formula>
    </cfRule>
  </conditionalFormatting>
  <conditionalFormatting sqref="T2910:T2911">
    <cfRule type="cellIs" dxfId="2663" priority="1291" stopIfTrue="1" operator="greaterThan">
      <formula>0.4</formula>
    </cfRule>
  </conditionalFormatting>
  <conditionalFormatting sqref="U2910:U2911">
    <cfRule type="cellIs" dxfId="2662" priority="1290" stopIfTrue="1" operator="greaterThan">
      <formula>2.3</formula>
    </cfRule>
  </conditionalFormatting>
  <conditionalFormatting sqref="V2910:V2911">
    <cfRule type="cellIs" dxfId="2661" priority="1289" stopIfTrue="1" operator="greaterThan">
      <formula>1.1</formula>
    </cfRule>
  </conditionalFormatting>
  <conditionalFormatting sqref="W2910:W2911">
    <cfRule type="cellIs" dxfId="2660" priority="1288" stopIfTrue="1" operator="greaterThan">
      <formula>0.059</formula>
    </cfRule>
  </conditionalFormatting>
  <conditionalFormatting sqref="X2910:X2911">
    <cfRule type="cellIs" dxfId="2659" priority="1287" stopIfTrue="1" operator="greaterThan">
      <formula>0.16</formula>
    </cfRule>
  </conditionalFormatting>
  <conditionalFormatting sqref="Y2910:Y2911">
    <cfRule type="cellIs" dxfId="2658" priority="1286" stopIfTrue="1" operator="greaterThan">
      <formula>0.076</formula>
    </cfRule>
  </conditionalFormatting>
  <conditionalFormatting sqref="O2913:O2917">
    <cfRule type="cellIs" dxfId="2657" priority="1285" stopIfTrue="1" operator="greaterThan">
      <formula>5</formula>
    </cfRule>
  </conditionalFormatting>
  <conditionalFormatting sqref="Q2913:Q2917">
    <cfRule type="cellIs" dxfId="2656" priority="1284" stopIfTrue="1" operator="notBetween">
      <formula>5</formula>
      <formula>9</formula>
    </cfRule>
  </conditionalFormatting>
  <conditionalFormatting sqref="R2913:R2917">
    <cfRule type="cellIs" dxfId="2655" priority="1283" stopIfTrue="1" operator="greaterThan">
      <formula>75</formula>
    </cfRule>
  </conditionalFormatting>
  <conditionalFormatting sqref="S2913:S2917">
    <cfRule type="cellIs" dxfId="2654" priority="1282" stopIfTrue="1" operator="greaterThan">
      <formula>90</formula>
    </cfRule>
  </conditionalFormatting>
  <conditionalFormatting sqref="T2913:T2917">
    <cfRule type="cellIs" dxfId="2653" priority="1281" stopIfTrue="1" operator="greaterThan">
      <formula>0.4</formula>
    </cfRule>
  </conditionalFormatting>
  <conditionalFormatting sqref="U2913:U2917">
    <cfRule type="cellIs" dxfId="2652" priority="1280" stopIfTrue="1" operator="greaterThan">
      <formula>2.3</formula>
    </cfRule>
  </conditionalFormatting>
  <conditionalFormatting sqref="V2913:V2917">
    <cfRule type="cellIs" dxfId="2651" priority="1279" stopIfTrue="1" operator="greaterThan">
      <formula>1.1</formula>
    </cfRule>
  </conditionalFormatting>
  <conditionalFormatting sqref="W2913:W2917">
    <cfRule type="cellIs" dxfId="2650" priority="1278" stopIfTrue="1" operator="greaterThan">
      <formula>0.059</formula>
    </cfRule>
  </conditionalFormatting>
  <conditionalFormatting sqref="X2913:X2917">
    <cfRule type="cellIs" dxfId="2649" priority="1277" stopIfTrue="1" operator="greaterThan">
      <formula>0.16</formula>
    </cfRule>
  </conditionalFormatting>
  <conditionalFormatting sqref="Y2913:Y2917">
    <cfRule type="cellIs" dxfId="2648" priority="1276" stopIfTrue="1" operator="greaterThan">
      <formula>0.076</formula>
    </cfRule>
  </conditionalFormatting>
  <conditionalFormatting sqref="O2919:O2939">
    <cfRule type="cellIs" dxfId="2647" priority="1275" stopIfTrue="1" operator="greaterThan">
      <formula>5</formula>
    </cfRule>
  </conditionalFormatting>
  <conditionalFormatting sqref="Q2919:Q2939">
    <cfRule type="cellIs" dxfId="2646" priority="1274" stopIfTrue="1" operator="notBetween">
      <formula>5</formula>
      <formula>9</formula>
    </cfRule>
  </conditionalFormatting>
  <conditionalFormatting sqref="R2919:R2939">
    <cfRule type="cellIs" dxfId="2645" priority="1273" stopIfTrue="1" operator="greaterThan">
      <formula>75</formula>
    </cfRule>
  </conditionalFormatting>
  <conditionalFormatting sqref="S2919:S2939">
    <cfRule type="cellIs" dxfId="2644" priority="1272" stopIfTrue="1" operator="greaterThan">
      <formula>90</formula>
    </cfRule>
  </conditionalFormatting>
  <conditionalFormatting sqref="T2919:T2939">
    <cfRule type="cellIs" dxfId="2643" priority="1271" stopIfTrue="1" operator="greaterThan">
      <formula>0.4</formula>
    </cfRule>
  </conditionalFormatting>
  <conditionalFormatting sqref="U2919:U2939">
    <cfRule type="cellIs" dxfId="2642" priority="1270" stopIfTrue="1" operator="greaterThan">
      <formula>2.3</formula>
    </cfRule>
  </conditionalFormatting>
  <conditionalFormatting sqref="V2919:V2939">
    <cfRule type="cellIs" dxfId="2641" priority="1269" stopIfTrue="1" operator="greaterThan">
      <formula>1.1</formula>
    </cfRule>
  </conditionalFormatting>
  <conditionalFormatting sqref="W2919:W2939">
    <cfRule type="cellIs" dxfId="2640" priority="1268" stopIfTrue="1" operator="greaterThan">
      <formula>0.059</formula>
    </cfRule>
  </conditionalFormatting>
  <conditionalFormatting sqref="X2919:X2939">
    <cfRule type="cellIs" dxfId="2639" priority="1267" stopIfTrue="1" operator="greaterThan">
      <formula>0.16</formula>
    </cfRule>
  </conditionalFormatting>
  <conditionalFormatting sqref="Y2919:Y2939">
    <cfRule type="cellIs" dxfId="2638" priority="1266" stopIfTrue="1" operator="greaterThan">
      <formula>0.076</formula>
    </cfRule>
  </conditionalFormatting>
  <conditionalFormatting sqref="Y4027:Y4028">
    <cfRule type="cellIs" dxfId="2637" priority="1086" stopIfTrue="1" operator="greaterThan">
      <formula>0.076</formula>
    </cfRule>
  </conditionalFormatting>
  <conditionalFormatting sqref="O2942:O2946">
    <cfRule type="cellIs" dxfId="2636" priority="1265" stopIfTrue="1" operator="greaterThan">
      <formula>5</formula>
    </cfRule>
  </conditionalFormatting>
  <conditionalFormatting sqref="Q2942:Q2946">
    <cfRule type="cellIs" dxfId="2635" priority="1264" stopIfTrue="1" operator="notBetween">
      <formula>5</formula>
      <formula>9</formula>
    </cfRule>
  </conditionalFormatting>
  <conditionalFormatting sqref="R2942:R2946">
    <cfRule type="cellIs" dxfId="2634" priority="1263" stopIfTrue="1" operator="greaterThan">
      <formula>75</formula>
    </cfRule>
  </conditionalFormatting>
  <conditionalFormatting sqref="S2942:S2946">
    <cfRule type="cellIs" dxfId="2633" priority="1262" stopIfTrue="1" operator="greaterThan">
      <formula>90</formula>
    </cfRule>
  </conditionalFormatting>
  <conditionalFormatting sqref="T2942:T2946">
    <cfRule type="cellIs" dxfId="2632" priority="1261" stopIfTrue="1" operator="greaterThan">
      <formula>0.4</formula>
    </cfRule>
  </conditionalFormatting>
  <conditionalFormatting sqref="U2942:U2946">
    <cfRule type="cellIs" dxfId="2631" priority="1260" stopIfTrue="1" operator="greaterThan">
      <formula>2.3</formula>
    </cfRule>
  </conditionalFormatting>
  <conditionalFormatting sqref="V2942:V2946">
    <cfRule type="cellIs" dxfId="2630" priority="1259" stopIfTrue="1" operator="greaterThan">
      <formula>1.1</formula>
    </cfRule>
  </conditionalFormatting>
  <conditionalFormatting sqref="W2942:W2946">
    <cfRule type="cellIs" dxfId="2629" priority="1258" stopIfTrue="1" operator="greaterThan">
      <formula>0.059</formula>
    </cfRule>
  </conditionalFormatting>
  <conditionalFormatting sqref="X2942:X2946">
    <cfRule type="cellIs" dxfId="2628" priority="1257" stopIfTrue="1" operator="greaterThan">
      <formula>0.16</formula>
    </cfRule>
  </conditionalFormatting>
  <conditionalFormatting sqref="Y2942:Y2946">
    <cfRule type="cellIs" dxfId="2627" priority="1256" stopIfTrue="1" operator="greaterThan">
      <formula>0.076</formula>
    </cfRule>
  </conditionalFormatting>
  <conditionalFormatting sqref="O2950:O2952">
    <cfRule type="cellIs" dxfId="2626" priority="1255" stopIfTrue="1" operator="greaterThan">
      <formula>5</formula>
    </cfRule>
  </conditionalFormatting>
  <conditionalFormatting sqref="Q2950:Q2952">
    <cfRule type="cellIs" dxfId="2625" priority="1254" stopIfTrue="1" operator="notBetween">
      <formula>5</formula>
      <formula>9</formula>
    </cfRule>
  </conditionalFormatting>
  <conditionalFormatting sqref="R2950:R2952">
    <cfRule type="cellIs" dxfId="2624" priority="1253" stopIfTrue="1" operator="greaterThan">
      <formula>75</formula>
    </cfRule>
  </conditionalFormatting>
  <conditionalFormatting sqref="S2950:S2952">
    <cfRule type="cellIs" dxfId="2623" priority="1252" stopIfTrue="1" operator="greaterThan">
      <formula>90</formula>
    </cfRule>
  </conditionalFormatting>
  <conditionalFormatting sqref="T2950:T2952">
    <cfRule type="cellIs" dxfId="2622" priority="1251" stopIfTrue="1" operator="greaterThan">
      <formula>0.4</formula>
    </cfRule>
  </conditionalFormatting>
  <conditionalFormatting sqref="U2950:U2952">
    <cfRule type="cellIs" dxfId="2621" priority="1250" stopIfTrue="1" operator="greaterThan">
      <formula>2.3</formula>
    </cfRule>
  </conditionalFormatting>
  <conditionalFormatting sqref="V2950:V2952">
    <cfRule type="cellIs" dxfId="2620" priority="1249" stopIfTrue="1" operator="greaterThan">
      <formula>1.1</formula>
    </cfRule>
  </conditionalFormatting>
  <conditionalFormatting sqref="W2950:W2952">
    <cfRule type="cellIs" dxfId="2619" priority="1248" stopIfTrue="1" operator="greaterThan">
      <formula>0.059</formula>
    </cfRule>
  </conditionalFormatting>
  <conditionalFormatting sqref="X2950:X2952">
    <cfRule type="cellIs" dxfId="2618" priority="1247" stopIfTrue="1" operator="greaterThan">
      <formula>0.16</formula>
    </cfRule>
  </conditionalFormatting>
  <conditionalFormatting sqref="Y2950:Y2952">
    <cfRule type="cellIs" dxfId="2617" priority="1246" stopIfTrue="1" operator="greaterThan">
      <formula>0.076</formula>
    </cfRule>
  </conditionalFormatting>
  <conditionalFormatting sqref="O2978:O3005">
    <cfRule type="cellIs" dxfId="2616" priority="1235" stopIfTrue="1" operator="greaterThan">
      <formula>5</formula>
    </cfRule>
  </conditionalFormatting>
  <conditionalFormatting sqref="Q2978:Q3005">
    <cfRule type="cellIs" dxfId="2615" priority="1234" stopIfTrue="1" operator="notBetween">
      <formula>5</formula>
      <formula>9</formula>
    </cfRule>
  </conditionalFormatting>
  <conditionalFormatting sqref="R2978:R3005">
    <cfRule type="cellIs" dxfId="2614" priority="1233" stopIfTrue="1" operator="greaterThan">
      <formula>75</formula>
    </cfRule>
  </conditionalFormatting>
  <conditionalFormatting sqref="S2978:S3005">
    <cfRule type="cellIs" dxfId="2613" priority="1232" stopIfTrue="1" operator="greaterThan">
      <formula>90</formula>
    </cfRule>
  </conditionalFormatting>
  <conditionalFormatting sqref="T2978:T3005">
    <cfRule type="cellIs" dxfId="2612" priority="1231" stopIfTrue="1" operator="greaterThan">
      <formula>0.4</formula>
    </cfRule>
  </conditionalFormatting>
  <conditionalFormatting sqref="U2978:U3005">
    <cfRule type="cellIs" dxfId="2611" priority="1230" stopIfTrue="1" operator="greaterThan">
      <formula>2.3</formula>
    </cfRule>
  </conditionalFormatting>
  <conditionalFormatting sqref="V2978:V3005">
    <cfRule type="cellIs" dxfId="2610" priority="1229" stopIfTrue="1" operator="greaterThan">
      <formula>1.1</formula>
    </cfRule>
  </conditionalFormatting>
  <conditionalFormatting sqref="W2978:W3005">
    <cfRule type="cellIs" dxfId="2609" priority="1228" stopIfTrue="1" operator="greaterThan">
      <formula>0.059</formula>
    </cfRule>
  </conditionalFormatting>
  <conditionalFormatting sqref="X2978:X3005">
    <cfRule type="cellIs" dxfId="2608" priority="1227" stopIfTrue="1" operator="greaterThan">
      <formula>0.16</formula>
    </cfRule>
  </conditionalFormatting>
  <conditionalFormatting sqref="Y2978:Y3005">
    <cfRule type="cellIs" dxfId="2607" priority="1226" stopIfTrue="1" operator="greaterThan">
      <formula>0.076</formula>
    </cfRule>
  </conditionalFormatting>
  <conditionalFormatting sqref="O3011:O3015">
    <cfRule type="cellIs" dxfId="2606" priority="1225" stopIfTrue="1" operator="greaterThan">
      <formula>5</formula>
    </cfRule>
  </conditionalFormatting>
  <conditionalFormatting sqref="Q3011:Q3015">
    <cfRule type="cellIs" dxfId="2605" priority="1224" stopIfTrue="1" operator="notBetween">
      <formula>5</formula>
      <formula>9</formula>
    </cfRule>
  </conditionalFormatting>
  <conditionalFormatting sqref="R3011:R3015">
    <cfRule type="cellIs" dxfId="2604" priority="1223" stopIfTrue="1" operator="greaterThan">
      <formula>75</formula>
    </cfRule>
  </conditionalFormatting>
  <conditionalFormatting sqref="S3011:S3015">
    <cfRule type="cellIs" dxfId="2603" priority="1222" stopIfTrue="1" operator="greaterThan">
      <formula>90</formula>
    </cfRule>
  </conditionalFormatting>
  <conditionalFormatting sqref="T3011:T3015">
    <cfRule type="cellIs" dxfId="2602" priority="1221" stopIfTrue="1" operator="greaterThan">
      <formula>0.4</formula>
    </cfRule>
  </conditionalFormatting>
  <conditionalFormatting sqref="U3011:U3015">
    <cfRule type="cellIs" dxfId="2601" priority="1220" stopIfTrue="1" operator="greaterThan">
      <formula>2.3</formula>
    </cfRule>
  </conditionalFormatting>
  <conditionalFormatting sqref="V3011:V3015">
    <cfRule type="cellIs" dxfId="2600" priority="1219" stopIfTrue="1" operator="greaterThan">
      <formula>1.1</formula>
    </cfRule>
  </conditionalFormatting>
  <conditionalFormatting sqref="W3011:W3015">
    <cfRule type="cellIs" dxfId="2599" priority="1218" stopIfTrue="1" operator="greaterThan">
      <formula>0.059</formula>
    </cfRule>
  </conditionalFormatting>
  <conditionalFormatting sqref="X3011:X3015">
    <cfRule type="cellIs" dxfId="2598" priority="1217" stopIfTrue="1" operator="greaterThan">
      <formula>0.16</formula>
    </cfRule>
  </conditionalFormatting>
  <conditionalFormatting sqref="Y3011:Y3015">
    <cfRule type="cellIs" dxfId="2597" priority="1216" stopIfTrue="1" operator="greaterThan">
      <formula>0.076</formula>
    </cfRule>
  </conditionalFormatting>
  <conditionalFormatting sqref="O3017:O3029">
    <cfRule type="cellIs" dxfId="2596" priority="1215" stopIfTrue="1" operator="greaterThan">
      <formula>5</formula>
    </cfRule>
  </conditionalFormatting>
  <conditionalFormatting sqref="Q3017:Q3029">
    <cfRule type="cellIs" dxfId="2595" priority="1214" stopIfTrue="1" operator="notBetween">
      <formula>5</formula>
      <formula>9</formula>
    </cfRule>
  </conditionalFormatting>
  <conditionalFormatting sqref="R3017:R3029">
    <cfRule type="cellIs" dxfId="2594" priority="1213" stopIfTrue="1" operator="greaterThan">
      <formula>75</formula>
    </cfRule>
  </conditionalFormatting>
  <conditionalFormatting sqref="S3017:S3029">
    <cfRule type="cellIs" dxfId="2593" priority="1212" stopIfTrue="1" operator="greaterThan">
      <formula>90</formula>
    </cfRule>
  </conditionalFormatting>
  <conditionalFormatting sqref="T3017:T3029">
    <cfRule type="cellIs" dxfId="2592" priority="1211" stopIfTrue="1" operator="greaterThan">
      <formula>0.4</formula>
    </cfRule>
  </conditionalFormatting>
  <conditionalFormatting sqref="U3017:U3029">
    <cfRule type="cellIs" dxfId="2591" priority="1210" stopIfTrue="1" operator="greaterThan">
      <formula>2.3</formula>
    </cfRule>
  </conditionalFormatting>
  <conditionalFormatting sqref="V3017:V3029">
    <cfRule type="cellIs" dxfId="2590" priority="1209" stopIfTrue="1" operator="greaterThan">
      <formula>1.1</formula>
    </cfRule>
  </conditionalFormatting>
  <conditionalFormatting sqref="W3017:W3029">
    <cfRule type="cellIs" dxfId="2589" priority="1208" stopIfTrue="1" operator="greaterThan">
      <formula>0.059</formula>
    </cfRule>
  </conditionalFormatting>
  <conditionalFormatting sqref="X3017:X3029">
    <cfRule type="cellIs" dxfId="2588" priority="1207" stopIfTrue="1" operator="greaterThan">
      <formula>0.16</formula>
    </cfRule>
  </conditionalFormatting>
  <conditionalFormatting sqref="Y3017:Y3029">
    <cfRule type="cellIs" dxfId="2587" priority="1206" stopIfTrue="1" operator="greaterThan">
      <formula>0.076</formula>
    </cfRule>
  </conditionalFormatting>
  <conditionalFormatting sqref="O3031:O3033">
    <cfRule type="cellIs" dxfId="2586" priority="1205" stopIfTrue="1" operator="greaterThan">
      <formula>5</formula>
    </cfRule>
  </conditionalFormatting>
  <conditionalFormatting sqref="Q3031:Q3033">
    <cfRule type="cellIs" dxfId="2585" priority="1204" stopIfTrue="1" operator="notBetween">
      <formula>5</formula>
      <formula>9</formula>
    </cfRule>
  </conditionalFormatting>
  <conditionalFormatting sqref="R3031:R3033">
    <cfRule type="cellIs" dxfId="2584" priority="1203" stopIfTrue="1" operator="greaterThan">
      <formula>75</formula>
    </cfRule>
  </conditionalFormatting>
  <conditionalFormatting sqref="S3031:S3033">
    <cfRule type="cellIs" dxfId="2583" priority="1202" stopIfTrue="1" operator="greaterThan">
      <formula>90</formula>
    </cfRule>
  </conditionalFormatting>
  <conditionalFormatting sqref="T3031:T3033">
    <cfRule type="cellIs" dxfId="2582" priority="1201" stopIfTrue="1" operator="greaterThan">
      <formula>0.4</formula>
    </cfRule>
  </conditionalFormatting>
  <conditionalFormatting sqref="U3031:U3033">
    <cfRule type="cellIs" dxfId="2581" priority="1200" stopIfTrue="1" operator="greaterThan">
      <formula>2.3</formula>
    </cfRule>
  </conditionalFormatting>
  <conditionalFormatting sqref="V3031:V3033">
    <cfRule type="cellIs" dxfId="2580" priority="1199" stopIfTrue="1" operator="greaterThan">
      <formula>1.1</formula>
    </cfRule>
  </conditionalFormatting>
  <conditionalFormatting sqref="W3031:W3033">
    <cfRule type="cellIs" dxfId="2579" priority="1198" stopIfTrue="1" operator="greaterThan">
      <formula>0.059</formula>
    </cfRule>
  </conditionalFormatting>
  <conditionalFormatting sqref="X3031:X3033">
    <cfRule type="cellIs" dxfId="2578" priority="1197" stopIfTrue="1" operator="greaterThan">
      <formula>0.16</formula>
    </cfRule>
  </conditionalFormatting>
  <conditionalFormatting sqref="Y3031:Y3033">
    <cfRule type="cellIs" dxfId="2577" priority="1196" stopIfTrue="1" operator="greaterThan">
      <formula>0.076</formula>
    </cfRule>
  </conditionalFormatting>
  <conditionalFormatting sqref="O3035:O3046">
    <cfRule type="cellIs" dxfId="2576" priority="1195" stopIfTrue="1" operator="greaterThan">
      <formula>5</formula>
    </cfRule>
  </conditionalFormatting>
  <conditionalFormatting sqref="Q3035:Q3046">
    <cfRule type="cellIs" dxfId="2575" priority="1194" stopIfTrue="1" operator="notBetween">
      <formula>5</formula>
      <formula>9</formula>
    </cfRule>
  </conditionalFormatting>
  <conditionalFormatting sqref="R3035:R3046">
    <cfRule type="cellIs" dxfId="2574" priority="1193" stopIfTrue="1" operator="greaterThan">
      <formula>75</formula>
    </cfRule>
  </conditionalFormatting>
  <conditionalFormatting sqref="S3035:S3046">
    <cfRule type="cellIs" dxfId="2573" priority="1192" stopIfTrue="1" operator="greaterThan">
      <formula>90</formula>
    </cfRule>
  </conditionalFormatting>
  <conditionalFormatting sqref="T3035:T3046">
    <cfRule type="cellIs" dxfId="2572" priority="1191" stopIfTrue="1" operator="greaterThan">
      <formula>0.4</formula>
    </cfRule>
  </conditionalFormatting>
  <conditionalFormatting sqref="U3035:U3046">
    <cfRule type="cellIs" dxfId="2571" priority="1190" stopIfTrue="1" operator="greaterThan">
      <formula>2.3</formula>
    </cfRule>
  </conditionalFormatting>
  <conditionalFormatting sqref="V3035:V3046">
    <cfRule type="cellIs" dxfId="2570" priority="1189" stopIfTrue="1" operator="greaterThan">
      <formula>1.1</formula>
    </cfRule>
  </conditionalFormatting>
  <conditionalFormatting sqref="W3035:W3046">
    <cfRule type="cellIs" dxfId="2569" priority="1188" stopIfTrue="1" operator="greaterThan">
      <formula>0.059</formula>
    </cfRule>
  </conditionalFormatting>
  <conditionalFormatting sqref="X3035:X3046">
    <cfRule type="cellIs" dxfId="2568" priority="1187" stopIfTrue="1" operator="greaterThan">
      <formula>0.16</formula>
    </cfRule>
  </conditionalFormatting>
  <conditionalFormatting sqref="Y3035:Y3046">
    <cfRule type="cellIs" dxfId="2567" priority="1186" stopIfTrue="1" operator="greaterThan">
      <formula>0.076</formula>
    </cfRule>
  </conditionalFormatting>
  <conditionalFormatting sqref="O3133:O3136">
    <cfRule type="cellIs" dxfId="2566" priority="1185" stopIfTrue="1" operator="greaterThan">
      <formula>5</formula>
    </cfRule>
  </conditionalFormatting>
  <conditionalFormatting sqref="Q3133:Q3136">
    <cfRule type="cellIs" dxfId="2565" priority="1184" stopIfTrue="1" operator="notBetween">
      <formula>5</formula>
      <formula>9</formula>
    </cfRule>
  </conditionalFormatting>
  <conditionalFormatting sqref="R3133:R3136">
    <cfRule type="cellIs" dxfId="2564" priority="1183" stopIfTrue="1" operator="greaterThan">
      <formula>75</formula>
    </cfRule>
  </conditionalFormatting>
  <conditionalFormatting sqref="S3133:S3136">
    <cfRule type="cellIs" dxfId="2563" priority="1182" stopIfTrue="1" operator="greaterThan">
      <formula>90</formula>
    </cfRule>
  </conditionalFormatting>
  <conditionalFormatting sqref="T3133:T3136">
    <cfRule type="cellIs" dxfId="2562" priority="1181" stopIfTrue="1" operator="greaterThan">
      <formula>0.4</formula>
    </cfRule>
  </conditionalFormatting>
  <conditionalFormatting sqref="U3133:U3136">
    <cfRule type="cellIs" dxfId="2561" priority="1180" stopIfTrue="1" operator="greaterThan">
      <formula>2.3</formula>
    </cfRule>
  </conditionalFormatting>
  <conditionalFormatting sqref="V3133:V3136">
    <cfRule type="cellIs" dxfId="2560" priority="1179" stopIfTrue="1" operator="greaterThan">
      <formula>1.1</formula>
    </cfRule>
  </conditionalFormatting>
  <conditionalFormatting sqref="W3133:W3136">
    <cfRule type="cellIs" dxfId="2559" priority="1178" stopIfTrue="1" operator="greaterThan">
      <formula>0.059</formula>
    </cfRule>
  </conditionalFormatting>
  <conditionalFormatting sqref="X3133:X3136">
    <cfRule type="cellIs" dxfId="2558" priority="1177" stopIfTrue="1" operator="greaterThan">
      <formula>0.16</formula>
    </cfRule>
  </conditionalFormatting>
  <conditionalFormatting sqref="Y3133:Y3136">
    <cfRule type="cellIs" dxfId="2557" priority="1176" stopIfTrue="1" operator="greaterThan">
      <formula>0.076</formula>
    </cfRule>
  </conditionalFormatting>
  <conditionalFormatting sqref="O3138:O3140">
    <cfRule type="cellIs" dxfId="2556" priority="1175" stopIfTrue="1" operator="greaterThan">
      <formula>5</formula>
    </cfRule>
  </conditionalFormatting>
  <conditionalFormatting sqref="Q3138:Q3140">
    <cfRule type="cellIs" dxfId="2555" priority="1174" stopIfTrue="1" operator="notBetween">
      <formula>5</formula>
      <formula>9</formula>
    </cfRule>
  </conditionalFormatting>
  <conditionalFormatting sqref="R3138:R3140">
    <cfRule type="cellIs" dxfId="2554" priority="1173" stopIfTrue="1" operator="greaterThan">
      <formula>75</formula>
    </cfRule>
  </conditionalFormatting>
  <conditionalFormatting sqref="S3138:S3140">
    <cfRule type="cellIs" dxfId="2553" priority="1172" stopIfTrue="1" operator="greaterThan">
      <formula>90</formula>
    </cfRule>
  </conditionalFormatting>
  <conditionalFormatting sqref="T3138:T3140">
    <cfRule type="cellIs" dxfId="2552" priority="1171" stopIfTrue="1" operator="greaterThan">
      <formula>0.4</formula>
    </cfRule>
  </conditionalFormatting>
  <conditionalFormatting sqref="U3138:U3140">
    <cfRule type="cellIs" dxfId="2551" priority="1170" stopIfTrue="1" operator="greaterThan">
      <formula>2.3</formula>
    </cfRule>
  </conditionalFormatting>
  <conditionalFormatting sqref="V3138:V3140">
    <cfRule type="cellIs" dxfId="2550" priority="1169" stopIfTrue="1" operator="greaterThan">
      <formula>1.1</formula>
    </cfRule>
  </conditionalFormatting>
  <conditionalFormatting sqref="W3138:W3140">
    <cfRule type="cellIs" dxfId="2549" priority="1168" stopIfTrue="1" operator="greaterThan">
      <formula>0.059</formula>
    </cfRule>
  </conditionalFormatting>
  <conditionalFormatting sqref="X3138:X3140">
    <cfRule type="cellIs" dxfId="2548" priority="1167" stopIfTrue="1" operator="greaterThan">
      <formula>0.16</formula>
    </cfRule>
  </conditionalFormatting>
  <conditionalFormatting sqref="Y3138:Y3140">
    <cfRule type="cellIs" dxfId="2547" priority="1166" stopIfTrue="1" operator="greaterThan">
      <formula>0.076</formula>
    </cfRule>
  </conditionalFormatting>
  <conditionalFormatting sqref="O3143">
    <cfRule type="cellIs" dxfId="2546" priority="1165" stopIfTrue="1" operator="greaterThan">
      <formula>5</formula>
    </cfRule>
  </conditionalFormatting>
  <conditionalFormatting sqref="Q3143">
    <cfRule type="cellIs" dxfId="2545" priority="1164" stopIfTrue="1" operator="notBetween">
      <formula>5</formula>
      <formula>9</formula>
    </cfRule>
  </conditionalFormatting>
  <conditionalFormatting sqref="R3143">
    <cfRule type="cellIs" dxfId="2544" priority="1163" stopIfTrue="1" operator="greaterThan">
      <formula>75</formula>
    </cfRule>
  </conditionalFormatting>
  <conditionalFormatting sqref="S3143">
    <cfRule type="cellIs" dxfId="2543" priority="1162" stopIfTrue="1" operator="greaterThan">
      <formula>90</formula>
    </cfRule>
  </conditionalFormatting>
  <conditionalFormatting sqref="T3143">
    <cfRule type="cellIs" dxfId="2542" priority="1161" stopIfTrue="1" operator="greaterThan">
      <formula>0.4</formula>
    </cfRule>
  </conditionalFormatting>
  <conditionalFormatting sqref="U3143">
    <cfRule type="cellIs" dxfId="2541" priority="1160" stopIfTrue="1" operator="greaterThan">
      <formula>2.3</formula>
    </cfRule>
  </conditionalFormatting>
  <conditionalFormatting sqref="V3143">
    <cfRule type="cellIs" dxfId="2540" priority="1159" stopIfTrue="1" operator="greaterThan">
      <formula>1.1</formula>
    </cfRule>
  </conditionalFormatting>
  <conditionalFormatting sqref="W3143">
    <cfRule type="cellIs" dxfId="2539" priority="1158" stopIfTrue="1" operator="greaterThan">
      <formula>0.059</formula>
    </cfRule>
  </conditionalFormatting>
  <conditionalFormatting sqref="X3143">
    <cfRule type="cellIs" dxfId="2538" priority="1157" stopIfTrue="1" operator="greaterThan">
      <formula>0.16</formula>
    </cfRule>
  </conditionalFormatting>
  <conditionalFormatting sqref="Y3143">
    <cfRule type="cellIs" dxfId="2537" priority="1156" stopIfTrue="1" operator="greaterThan">
      <formula>0.076</formula>
    </cfRule>
  </conditionalFormatting>
  <conditionalFormatting sqref="O3145:O3149">
    <cfRule type="cellIs" dxfId="2536" priority="1155" stopIfTrue="1" operator="greaterThan">
      <formula>5</formula>
    </cfRule>
  </conditionalFormatting>
  <conditionalFormatting sqref="Q3145:Q3149">
    <cfRule type="cellIs" dxfId="2535" priority="1154" stopIfTrue="1" operator="notBetween">
      <formula>5</formula>
      <formula>9</formula>
    </cfRule>
  </conditionalFormatting>
  <conditionalFormatting sqref="R3145:R3149">
    <cfRule type="cellIs" dxfId="2534" priority="1153" stopIfTrue="1" operator="greaterThan">
      <formula>75</formula>
    </cfRule>
  </conditionalFormatting>
  <conditionalFormatting sqref="S3145:S3149">
    <cfRule type="cellIs" dxfId="2533" priority="1152" stopIfTrue="1" operator="greaterThan">
      <formula>90</formula>
    </cfRule>
  </conditionalFormatting>
  <conditionalFormatting sqref="T3145:T3149">
    <cfRule type="cellIs" dxfId="2532" priority="1151" stopIfTrue="1" operator="greaterThan">
      <formula>0.4</formula>
    </cfRule>
  </conditionalFormatting>
  <conditionalFormatting sqref="U3145:U3149">
    <cfRule type="cellIs" dxfId="2531" priority="1150" stopIfTrue="1" operator="greaterThan">
      <formula>2.3</formula>
    </cfRule>
  </conditionalFormatting>
  <conditionalFormatting sqref="V3145:V3149">
    <cfRule type="cellIs" dxfId="2530" priority="1149" stopIfTrue="1" operator="greaterThan">
      <formula>1.1</formula>
    </cfRule>
  </conditionalFormatting>
  <conditionalFormatting sqref="W3145:W3149">
    <cfRule type="cellIs" dxfId="2529" priority="1148" stopIfTrue="1" operator="greaterThan">
      <formula>0.059</formula>
    </cfRule>
  </conditionalFormatting>
  <conditionalFormatting sqref="X3145:X3149">
    <cfRule type="cellIs" dxfId="2528" priority="1147" stopIfTrue="1" operator="greaterThan">
      <formula>0.16</formula>
    </cfRule>
  </conditionalFormatting>
  <conditionalFormatting sqref="Y3145:Y3149">
    <cfRule type="cellIs" dxfId="2527" priority="1146" stopIfTrue="1" operator="greaterThan">
      <formula>0.076</formula>
    </cfRule>
  </conditionalFormatting>
  <conditionalFormatting sqref="O3155:O3156">
    <cfRule type="cellIs" dxfId="2526" priority="1145" stopIfTrue="1" operator="greaterThan">
      <formula>5</formula>
    </cfRule>
  </conditionalFormatting>
  <conditionalFormatting sqref="Q3155:Q3156">
    <cfRule type="cellIs" dxfId="2525" priority="1144" stopIfTrue="1" operator="notBetween">
      <formula>5</formula>
      <formula>9</formula>
    </cfRule>
  </conditionalFormatting>
  <conditionalFormatting sqref="R3155:R3156">
    <cfRule type="cellIs" dxfId="2524" priority="1143" stopIfTrue="1" operator="greaterThan">
      <formula>75</formula>
    </cfRule>
  </conditionalFormatting>
  <conditionalFormatting sqref="S3155:S3156">
    <cfRule type="cellIs" dxfId="2523" priority="1142" stopIfTrue="1" operator="greaterThan">
      <formula>90</formula>
    </cfRule>
  </conditionalFormatting>
  <conditionalFormatting sqref="T3155:T3156">
    <cfRule type="cellIs" dxfId="2522" priority="1141" stopIfTrue="1" operator="greaterThan">
      <formula>0.4</formula>
    </cfRule>
  </conditionalFormatting>
  <conditionalFormatting sqref="U3155:U3156">
    <cfRule type="cellIs" dxfId="2521" priority="1140" stopIfTrue="1" operator="greaterThan">
      <formula>2.3</formula>
    </cfRule>
  </conditionalFormatting>
  <conditionalFormatting sqref="V3155:V3156">
    <cfRule type="cellIs" dxfId="2520" priority="1139" stopIfTrue="1" operator="greaterThan">
      <formula>1.1</formula>
    </cfRule>
  </conditionalFormatting>
  <conditionalFormatting sqref="W3155:W3156">
    <cfRule type="cellIs" dxfId="2519" priority="1138" stopIfTrue="1" operator="greaterThan">
      <formula>0.059</formula>
    </cfRule>
  </conditionalFormatting>
  <conditionalFormatting sqref="X3155:X3156">
    <cfRule type="cellIs" dxfId="2518" priority="1137" stopIfTrue="1" operator="greaterThan">
      <formula>0.16</formula>
    </cfRule>
  </conditionalFormatting>
  <conditionalFormatting sqref="Y3155:Y3156">
    <cfRule type="cellIs" dxfId="2517" priority="1136" stopIfTrue="1" operator="greaterThan">
      <formula>0.076</formula>
    </cfRule>
  </conditionalFormatting>
  <conditionalFormatting sqref="O3161:O3167">
    <cfRule type="cellIs" dxfId="2516" priority="1135" stopIfTrue="1" operator="greaterThan">
      <formula>5</formula>
    </cfRule>
  </conditionalFormatting>
  <conditionalFormatting sqref="Q3161:Q3167">
    <cfRule type="cellIs" dxfId="2515" priority="1134" stopIfTrue="1" operator="notBetween">
      <formula>5</formula>
      <formula>9</formula>
    </cfRule>
  </conditionalFormatting>
  <conditionalFormatting sqref="R3161:R3167">
    <cfRule type="cellIs" dxfId="2514" priority="1133" stopIfTrue="1" operator="greaterThan">
      <formula>75</formula>
    </cfRule>
  </conditionalFormatting>
  <conditionalFormatting sqref="S3161:S3167">
    <cfRule type="cellIs" dxfId="2513" priority="1132" stopIfTrue="1" operator="greaterThan">
      <formula>90</formula>
    </cfRule>
  </conditionalFormatting>
  <conditionalFormatting sqref="T3161:T3167">
    <cfRule type="cellIs" dxfId="2512" priority="1131" stopIfTrue="1" operator="greaterThan">
      <formula>0.4</formula>
    </cfRule>
  </conditionalFormatting>
  <conditionalFormatting sqref="U3161:U3167">
    <cfRule type="cellIs" dxfId="2511" priority="1130" stopIfTrue="1" operator="greaterThan">
      <formula>2.3</formula>
    </cfRule>
  </conditionalFormatting>
  <conditionalFormatting sqref="V3161:V3167">
    <cfRule type="cellIs" dxfId="2510" priority="1129" stopIfTrue="1" operator="greaterThan">
      <formula>1.1</formula>
    </cfRule>
  </conditionalFormatting>
  <conditionalFormatting sqref="W3161:W3167">
    <cfRule type="cellIs" dxfId="2509" priority="1128" stopIfTrue="1" operator="greaterThan">
      <formula>0.059</formula>
    </cfRule>
  </conditionalFormatting>
  <conditionalFormatting sqref="X3161:X3167">
    <cfRule type="cellIs" dxfId="2508" priority="1127" stopIfTrue="1" operator="greaterThan">
      <formula>0.16</formula>
    </cfRule>
  </conditionalFormatting>
  <conditionalFormatting sqref="Y3161:Y3167">
    <cfRule type="cellIs" dxfId="2507" priority="1126" stopIfTrue="1" operator="greaterThan">
      <formula>0.076</formula>
    </cfRule>
  </conditionalFormatting>
  <conditionalFormatting sqref="O3173:O3174">
    <cfRule type="cellIs" dxfId="2506" priority="1125" stopIfTrue="1" operator="greaterThan">
      <formula>5</formula>
    </cfRule>
  </conditionalFormatting>
  <conditionalFormatting sqref="Q3173:Q3174">
    <cfRule type="cellIs" dxfId="2505" priority="1124" stopIfTrue="1" operator="notBetween">
      <formula>5</formula>
      <formula>9</formula>
    </cfRule>
  </conditionalFormatting>
  <conditionalFormatting sqref="R3173:R3174">
    <cfRule type="cellIs" dxfId="2504" priority="1123" stopIfTrue="1" operator="greaterThan">
      <formula>75</formula>
    </cfRule>
  </conditionalFormatting>
  <conditionalFormatting sqref="S3173:S3174">
    <cfRule type="cellIs" dxfId="2503" priority="1122" stopIfTrue="1" operator="greaterThan">
      <formula>90</formula>
    </cfRule>
  </conditionalFormatting>
  <conditionalFormatting sqref="T3173:T3174">
    <cfRule type="cellIs" dxfId="2502" priority="1121" stopIfTrue="1" operator="greaterThan">
      <formula>0.4</formula>
    </cfRule>
  </conditionalFormatting>
  <conditionalFormatting sqref="U3173:U3174">
    <cfRule type="cellIs" dxfId="2501" priority="1120" stopIfTrue="1" operator="greaterThan">
      <formula>2.3</formula>
    </cfRule>
  </conditionalFormatting>
  <conditionalFormatting sqref="V3173:V3174">
    <cfRule type="cellIs" dxfId="2500" priority="1119" stopIfTrue="1" operator="greaterThan">
      <formula>1.1</formula>
    </cfRule>
  </conditionalFormatting>
  <conditionalFormatting sqref="W3173:W3174">
    <cfRule type="cellIs" dxfId="2499" priority="1118" stopIfTrue="1" operator="greaterThan">
      <formula>0.059</formula>
    </cfRule>
  </conditionalFormatting>
  <conditionalFormatting sqref="X3173:X3174">
    <cfRule type="cellIs" dxfId="2498" priority="1117" stopIfTrue="1" operator="greaterThan">
      <formula>0.16</formula>
    </cfRule>
  </conditionalFormatting>
  <conditionalFormatting sqref="Y3173:Y3174">
    <cfRule type="cellIs" dxfId="2497" priority="1116" stopIfTrue="1" operator="greaterThan">
      <formula>0.076</formula>
    </cfRule>
  </conditionalFormatting>
  <conditionalFormatting sqref="O3190:O3194">
    <cfRule type="cellIs" dxfId="2496" priority="1115" stopIfTrue="1" operator="greaterThan">
      <formula>5</formula>
    </cfRule>
  </conditionalFormatting>
  <conditionalFormatting sqref="Q3190:Q3194">
    <cfRule type="cellIs" dxfId="2495" priority="1114" stopIfTrue="1" operator="notBetween">
      <formula>5</formula>
      <formula>9</formula>
    </cfRule>
  </conditionalFormatting>
  <conditionalFormatting sqref="R3190:R3194">
    <cfRule type="cellIs" dxfId="2494" priority="1113" stopIfTrue="1" operator="greaterThan">
      <formula>75</formula>
    </cfRule>
  </conditionalFormatting>
  <conditionalFormatting sqref="S3190:S3194">
    <cfRule type="cellIs" dxfId="2493" priority="1112" stopIfTrue="1" operator="greaterThan">
      <formula>90</formula>
    </cfRule>
  </conditionalFormatting>
  <conditionalFormatting sqref="T3190:T3194">
    <cfRule type="cellIs" dxfId="2492" priority="1111" stopIfTrue="1" operator="greaterThan">
      <formula>0.4</formula>
    </cfRule>
  </conditionalFormatting>
  <conditionalFormatting sqref="U3190:U3194">
    <cfRule type="cellIs" dxfId="2491" priority="1110" stopIfTrue="1" operator="greaterThan">
      <formula>2.3</formula>
    </cfRule>
  </conditionalFormatting>
  <conditionalFormatting sqref="V3190:V3194">
    <cfRule type="cellIs" dxfId="2490" priority="1109" stopIfTrue="1" operator="greaterThan">
      <formula>1.1</formula>
    </cfRule>
  </conditionalFormatting>
  <conditionalFormatting sqref="W3190:W3194">
    <cfRule type="cellIs" dxfId="2489" priority="1108" stopIfTrue="1" operator="greaterThan">
      <formula>0.059</formula>
    </cfRule>
  </conditionalFormatting>
  <conditionalFormatting sqref="X3190:X3194">
    <cfRule type="cellIs" dxfId="2488" priority="1107" stopIfTrue="1" operator="greaterThan">
      <formula>0.16</formula>
    </cfRule>
  </conditionalFormatting>
  <conditionalFormatting sqref="Y3190:Y3194">
    <cfRule type="cellIs" dxfId="2487" priority="1106" stopIfTrue="1" operator="greaterThan">
      <formula>0.076</formula>
    </cfRule>
  </conditionalFormatting>
  <conditionalFormatting sqref="O3205:O3209">
    <cfRule type="cellIs" dxfId="2486" priority="1105" stopIfTrue="1" operator="greaterThan">
      <formula>5</formula>
    </cfRule>
  </conditionalFormatting>
  <conditionalFormatting sqref="Q3205:Q3209">
    <cfRule type="cellIs" dxfId="2485" priority="1104" stopIfTrue="1" operator="notBetween">
      <formula>5</formula>
      <formula>9</formula>
    </cfRule>
  </conditionalFormatting>
  <conditionalFormatting sqref="R3205:R3209">
    <cfRule type="cellIs" dxfId="2484" priority="1103" stopIfTrue="1" operator="greaterThan">
      <formula>75</formula>
    </cfRule>
  </conditionalFormatting>
  <conditionalFormatting sqref="S3205:S3209">
    <cfRule type="cellIs" dxfId="2483" priority="1102" stopIfTrue="1" operator="greaterThan">
      <formula>90</formula>
    </cfRule>
  </conditionalFormatting>
  <conditionalFormatting sqref="T3205:T3209">
    <cfRule type="cellIs" dxfId="2482" priority="1101" stopIfTrue="1" operator="greaterThan">
      <formula>0.4</formula>
    </cfRule>
  </conditionalFormatting>
  <conditionalFormatting sqref="U3205:U3209">
    <cfRule type="cellIs" dxfId="2481" priority="1100" stopIfTrue="1" operator="greaterThan">
      <formula>2.3</formula>
    </cfRule>
  </conditionalFormatting>
  <conditionalFormatting sqref="V3205:V3209">
    <cfRule type="cellIs" dxfId="2480" priority="1099" stopIfTrue="1" operator="greaterThan">
      <formula>1.1</formula>
    </cfRule>
  </conditionalFormatting>
  <conditionalFormatting sqref="W3205:W3209">
    <cfRule type="cellIs" dxfId="2479" priority="1098" stopIfTrue="1" operator="greaterThan">
      <formula>0.059</formula>
    </cfRule>
  </conditionalFormatting>
  <conditionalFormatting sqref="X3205:X3209">
    <cfRule type="cellIs" dxfId="2478" priority="1097" stopIfTrue="1" operator="greaterThan">
      <formula>0.16</formula>
    </cfRule>
  </conditionalFormatting>
  <conditionalFormatting sqref="Y3205:Y3209">
    <cfRule type="cellIs" dxfId="2477" priority="1096" stopIfTrue="1" operator="greaterThan">
      <formula>0.076</formula>
    </cfRule>
  </conditionalFormatting>
  <conditionalFormatting sqref="O4027:O4028">
    <cfRule type="cellIs" dxfId="2476" priority="1095" stopIfTrue="1" operator="greaterThan">
      <formula>5</formula>
    </cfRule>
  </conditionalFormatting>
  <conditionalFormatting sqref="Q4027:Q4028">
    <cfRule type="cellIs" dxfId="2475" priority="1094" stopIfTrue="1" operator="notBetween">
      <formula>5</formula>
      <formula>9</formula>
    </cfRule>
  </conditionalFormatting>
  <conditionalFormatting sqref="R4027:R4028">
    <cfRule type="cellIs" dxfId="2474" priority="1093" stopIfTrue="1" operator="greaterThan">
      <formula>75</formula>
    </cfRule>
  </conditionalFormatting>
  <conditionalFormatting sqref="S4027:S4028">
    <cfRule type="cellIs" dxfId="2473" priority="1092" stopIfTrue="1" operator="greaterThan">
      <formula>90</formula>
    </cfRule>
  </conditionalFormatting>
  <conditionalFormatting sqref="T4027:T4028">
    <cfRule type="cellIs" dxfId="2472" priority="1091" stopIfTrue="1" operator="greaterThan">
      <formula>0.4</formula>
    </cfRule>
  </conditionalFormatting>
  <conditionalFormatting sqref="U4027:U4028">
    <cfRule type="cellIs" dxfId="2471" priority="1090" stopIfTrue="1" operator="greaterThan">
      <formula>2.3</formula>
    </cfRule>
  </conditionalFormatting>
  <conditionalFormatting sqref="V4027:V4028">
    <cfRule type="cellIs" dxfId="2470" priority="1089" stopIfTrue="1" operator="greaterThan">
      <formula>1.1</formula>
    </cfRule>
  </conditionalFormatting>
  <conditionalFormatting sqref="W4027:W4028">
    <cfRule type="cellIs" dxfId="2469" priority="1088" stopIfTrue="1" operator="greaterThan">
      <formula>0.059</formula>
    </cfRule>
  </conditionalFormatting>
  <conditionalFormatting sqref="X4027:X4028">
    <cfRule type="cellIs" dxfId="2468" priority="1087" stopIfTrue="1" operator="greaterThan">
      <formula>0.16</formula>
    </cfRule>
  </conditionalFormatting>
  <conditionalFormatting sqref="O1175">
    <cfRule type="cellIs" dxfId="2467" priority="1085" stopIfTrue="1" operator="greaterThan">
      <formula>5</formula>
    </cfRule>
  </conditionalFormatting>
  <conditionalFormatting sqref="Q1175">
    <cfRule type="cellIs" dxfId="2466" priority="1084" stopIfTrue="1" operator="notBetween">
      <formula>5</formula>
      <formula>9</formula>
    </cfRule>
  </conditionalFormatting>
  <conditionalFormatting sqref="R1175">
    <cfRule type="cellIs" dxfId="2465" priority="1083" stopIfTrue="1" operator="greaterThan">
      <formula>75</formula>
    </cfRule>
  </conditionalFormatting>
  <conditionalFormatting sqref="S1175">
    <cfRule type="cellIs" dxfId="2464" priority="1082" stopIfTrue="1" operator="greaterThan">
      <formula>90</formula>
    </cfRule>
  </conditionalFormatting>
  <conditionalFormatting sqref="T1175">
    <cfRule type="cellIs" dxfId="2463" priority="1081" stopIfTrue="1" operator="greaterThan">
      <formula>0.4</formula>
    </cfRule>
  </conditionalFormatting>
  <conditionalFormatting sqref="U1175">
    <cfRule type="cellIs" dxfId="2462" priority="1080" stopIfTrue="1" operator="greaterThan">
      <formula>2.3</formula>
    </cfRule>
  </conditionalFormatting>
  <conditionalFormatting sqref="V1175">
    <cfRule type="cellIs" dxfId="2461" priority="1079" stopIfTrue="1" operator="greaterThan">
      <formula>1.1</formula>
    </cfRule>
  </conditionalFormatting>
  <conditionalFormatting sqref="W1175">
    <cfRule type="cellIs" dxfId="2460" priority="1078" stopIfTrue="1" operator="greaterThan">
      <formula>0.059</formula>
    </cfRule>
  </conditionalFormatting>
  <conditionalFormatting sqref="X1175">
    <cfRule type="cellIs" dxfId="2459" priority="1077" stopIfTrue="1" operator="greaterThan">
      <formula>0.16</formula>
    </cfRule>
  </conditionalFormatting>
  <conditionalFormatting sqref="Y1175">
    <cfRule type="cellIs" dxfId="2458" priority="1076" stopIfTrue="1" operator="greaterThan">
      <formula>0.076</formula>
    </cfRule>
  </conditionalFormatting>
  <conditionalFormatting sqref="V4558:V4559">
    <cfRule type="cellIs" dxfId="2457" priority="1069" stopIfTrue="1" operator="greaterThan">
      <formula>1.1</formula>
    </cfRule>
  </conditionalFormatting>
  <conditionalFormatting sqref="O4558:O4559">
    <cfRule type="cellIs" dxfId="2456" priority="1075" stopIfTrue="1" operator="greaterThan">
      <formula>5</formula>
    </cfRule>
  </conditionalFormatting>
  <conditionalFormatting sqref="Q4558:Q4559">
    <cfRule type="cellIs" dxfId="2455" priority="1074" stopIfTrue="1" operator="notBetween">
      <formula>5</formula>
      <formula>9</formula>
    </cfRule>
  </conditionalFormatting>
  <conditionalFormatting sqref="R4558:R4559">
    <cfRule type="cellIs" dxfId="2454" priority="1073" stopIfTrue="1" operator="greaterThan">
      <formula>75</formula>
    </cfRule>
  </conditionalFormatting>
  <conditionalFormatting sqref="S4558:S4559">
    <cfRule type="cellIs" dxfId="2453" priority="1072" stopIfTrue="1" operator="greaterThan">
      <formula>90</formula>
    </cfRule>
  </conditionalFormatting>
  <conditionalFormatting sqref="T4558:T4559">
    <cfRule type="cellIs" dxfId="2452" priority="1071" stopIfTrue="1" operator="greaterThan">
      <formula>0.4</formula>
    </cfRule>
  </conditionalFormatting>
  <conditionalFormatting sqref="U4558:U4559">
    <cfRule type="cellIs" dxfId="2451" priority="1070" stopIfTrue="1" operator="greaterThan">
      <formula>2.3</formula>
    </cfRule>
  </conditionalFormatting>
  <conditionalFormatting sqref="O1098:O1100">
    <cfRule type="cellIs" dxfId="2450" priority="1068" stopIfTrue="1" operator="greaterThan">
      <formula>5</formula>
    </cfRule>
  </conditionalFormatting>
  <conditionalFormatting sqref="Q1098:Q1100">
    <cfRule type="cellIs" dxfId="2449" priority="1067" stopIfTrue="1" operator="notBetween">
      <formula>5</formula>
      <formula>9</formula>
    </cfRule>
  </conditionalFormatting>
  <conditionalFormatting sqref="R1098:R1100">
    <cfRule type="cellIs" dxfId="2448" priority="1066" stopIfTrue="1" operator="greaterThan">
      <formula>75</formula>
    </cfRule>
  </conditionalFormatting>
  <conditionalFormatting sqref="S1098:S1100">
    <cfRule type="cellIs" dxfId="2447" priority="1065" stopIfTrue="1" operator="greaterThan">
      <formula>90</formula>
    </cfRule>
  </conditionalFormatting>
  <conditionalFormatting sqref="T1098:T1100">
    <cfRule type="cellIs" dxfId="2446" priority="1064" stopIfTrue="1" operator="greaterThan">
      <formula>0.4</formula>
    </cfRule>
  </conditionalFormatting>
  <conditionalFormatting sqref="U1098:U1100">
    <cfRule type="cellIs" dxfId="2445" priority="1063" stopIfTrue="1" operator="greaterThan">
      <formula>2.3</formula>
    </cfRule>
  </conditionalFormatting>
  <conditionalFormatting sqref="V1098:V1100">
    <cfRule type="cellIs" dxfId="2444" priority="1062" stopIfTrue="1" operator="greaterThan">
      <formula>1.1</formula>
    </cfRule>
  </conditionalFormatting>
  <conditionalFormatting sqref="W1098:W1100">
    <cfRule type="cellIs" dxfId="2443" priority="1061" stopIfTrue="1" operator="greaterThan">
      <formula>0.059</formula>
    </cfRule>
  </conditionalFormatting>
  <conditionalFormatting sqref="X1098:X1100">
    <cfRule type="cellIs" dxfId="2442" priority="1060" stopIfTrue="1" operator="greaterThan">
      <formula>0.16</formula>
    </cfRule>
  </conditionalFormatting>
  <conditionalFormatting sqref="Y1098:Y1100">
    <cfRule type="cellIs" dxfId="2441" priority="1059" stopIfTrue="1" operator="greaterThan">
      <formula>0.076</formula>
    </cfRule>
  </conditionalFormatting>
  <conditionalFormatting sqref="O2408">
    <cfRule type="cellIs" dxfId="2440" priority="1058" stopIfTrue="1" operator="greaterThan">
      <formula>5</formula>
    </cfRule>
  </conditionalFormatting>
  <conditionalFormatting sqref="Q2408">
    <cfRule type="cellIs" dxfId="2439" priority="1057" stopIfTrue="1" operator="notBetween">
      <formula>5</formula>
      <formula>9</formula>
    </cfRule>
  </conditionalFormatting>
  <conditionalFormatting sqref="R2408">
    <cfRule type="cellIs" dxfId="2438" priority="1056" stopIfTrue="1" operator="greaterThan">
      <formula>75</formula>
    </cfRule>
  </conditionalFormatting>
  <conditionalFormatting sqref="S2408">
    <cfRule type="cellIs" dxfId="2437" priority="1055" stopIfTrue="1" operator="greaterThan">
      <formula>90</formula>
    </cfRule>
  </conditionalFormatting>
  <conditionalFormatting sqref="T2408">
    <cfRule type="cellIs" dxfId="2436" priority="1054" stopIfTrue="1" operator="greaterThan">
      <formula>0.4</formula>
    </cfRule>
  </conditionalFormatting>
  <conditionalFormatting sqref="U2408">
    <cfRule type="cellIs" dxfId="2435" priority="1053" stopIfTrue="1" operator="greaterThan">
      <formula>2.3</formula>
    </cfRule>
  </conditionalFormatting>
  <conditionalFormatting sqref="V2408">
    <cfRule type="cellIs" dxfId="2434" priority="1052" stopIfTrue="1" operator="greaterThan">
      <formula>1.1</formula>
    </cfRule>
  </conditionalFormatting>
  <conditionalFormatting sqref="W2408">
    <cfRule type="cellIs" dxfId="2433" priority="1051" stopIfTrue="1" operator="greaterThan">
      <formula>0.059</formula>
    </cfRule>
  </conditionalFormatting>
  <conditionalFormatting sqref="X2408">
    <cfRule type="cellIs" dxfId="2432" priority="1050" stopIfTrue="1" operator="greaterThan">
      <formula>0.16</formula>
    </cfRule>
  </conditionalFormatting>
  <conditionalFormatting sqref="Y2408">
    <cfRule type="cellIs" dxfId="2431" priority="1049" stopIfTrue="1" operator="greaterThan">
      <formula>0.076</formula>
    </cfRule>
  </conditionalFormatting>
  <conditionalFormatting sqref="O2954">
    <cfRule type="cellIs" dxfId="2430" priority="1048" stopIfTrue="1" operator="greaterThan">
      <formula>5</formula>
    </cfRule>
  </conditionalFormatting>
  <conditionalFormatting sqref="Q2954">
    <cfRule type="cellIs" dxfId="2429" priority="1047" stopIfTrue="1" operator="notBetween">
      <formula>5</formula>
      <formula>9</formula>
    </cfRule>
  </conditionalFormatting>
  <conditionalFormatting sqref="R2954">
    <cfRule type="cellIs" dxfId="2428" priority="1046" stopIfTrue="1" operator="greaterThan">
      <formula>75</formula>
    </cfRule>
  </conditionalFormatting>
  <conditionalFormatting sqref="S2954">
    <cfRule type="cellIs" dxfId="2427" priority="1045" stopIfTrue="1" operator="greaterThan">
      <formula>90</formula>
    </cfRule>
  </conditionalFormatting>
  <conditionalFormatting sqref="T2954">
    <cfRule type="cellIs" dxfId="2426" priority="1044" stopIfTrue="1" operator="greaterThan">
      <formula>0.4</formula>
    </cfRule>
  </conditionalFormatting>
  <conditionalFormatting sqref="U2954">
    <cfRule type="cellIs" dxfId="2425" priority="1043" stopIfTrue="1" operator="greaterThan">
      <formula>2.3</formula>
    </cfRule>
  </conditionalFormatting>
  <conditionalFormatting sqref="V2954">
    <cfRule type="cellIs" dxfId="2424" priority="1042" stopIfTrue="1" operator="greaterThan">
      <formula>1.1</formula>
    </cfRule>
  </conditionalFormatting>
  <conditionalFormatting sqref="W2954">
    <cfRule type="cellIs" dxfId="2423" priority="1041" stopIfTrue="1" operator="greaterThan">
      <formula>0.059</formula>
    </cfRule>
  </conditionalFormatting>
  <conditionalFormatting sqref="X2954">
    <cfRule type="cellIs" dxfId="2422" priority="1040" stopIfTrue="1" operator="greaterThan">
      <formula>0.16</formula>
    </cfRule>
  </conditionalFormatting>
  <conditionalFormatting sqref="Y2954">
    <cfRule type="cellIs" dxfId="2421" priority="1039" stopIfTrue="1" operator="greaterThan">
      <formula>0.076</formula>
    </cfRule>
  </conditionalFormatting>
  <conditionalFormatting sqref="O3119:O3120">
    <cfRule type="cellIs" dxfId="2420" priority="1038" stopIfTrue="1" operator="greaterThan">
      <formula>5</formula>
    </cfRule>
  </conditionalFormatting>
  <conditionalFormatting sqref="Q3119:Q3120">
    <cfRule type="cellIs" dxfId="2419" priority="1037" stopIfTrue="1" operator="notBetween">
      <formula>5</formula>
      <formula>9</formula>
    </cfRule>
  </conditionalFormatting>
  <conditionalFormatting sqref="R3119:R3120">
    <cfRule type="cellIs" dxfId="2418" priority="1036" stopIfTrue="1" operator="greaterThan">
      <formula>75</formula>
    </cfRule>
  </conditionalFormatting>
  <conditionalFormatting sqref="S3119:S3120">
    <cfRule type="cellIs" dxfId="2417" priority="1035" stopIfTrue="1" operator="greaterThan">
      <formula>90</formula>
    </cfRule>
  </conditionalFormatting>
  <conditionalFormatting sqref="T3119:T3120">
    <cfRule type="cellIs" dxfId="2416" priority="1034" stopIfTrue="1" operator="greaterThan">
      <formula>0.4</formula>
    </cfRule>
  </conditionalFormatting>
  <conditionalFormatting sqref="U3119:U3120">
    <cfRule type="cellIs" dxfId="2415" priority="1033" stopIfTrue="1" operator="greaterThan">
      <formula>2.3</formula>
    </cfRule>
  </conditionalFormatting>
  <conditionalFormatting sqref="V3119:V3120">
    <cfRule type="cellIs" dxfId="2414" priority="1032" stopIfTrue="1" operator="greaterThan">
      <formula>1.1</formula>
    </cfRule>
  </conditionalFormatting>
  <conditionalFormatting sqref="W3119:W3120">
    <cfRule type="cellIs" dxfId="2413" priority="1031" stopIfTrue="1" operator="greaterThan">
      <formula>0.059</formula>
    </cfRule>
  </conditionalFormatting>
  <conditionalFormatting sqref="X3119:X3120">
    <cfRule type="cellIs" dxfId="2412" priority="1030" stopIfTrue="1" operator="greaterThan">
      <formula>0.16</formula>
    </cfRule>
  </conditionalFormatting>
  <conditionalFormatting sqref="Y3119:Y3120">
    <cfRule type="cellIs" dxfId="2411" priority="1029" stopIfTrue="1" operator="greaterThan">
      <formula>0.076</formula>
    </cfRule>
  </conditionalFormatting>
  <conditionalFormatting sqref="O3122:O3125">
    <cfRule type="cellIs" dxfId="2410" priority="1028" stopIfTrue="1" operator="greaterThan">
      <formula>5</formula>
    </cfRule>
  </conditionalFormatting>
  <conditionalFormatting sqref="Q3122:Q3125">
    <cfRule type="cellIs" dxfId="2409" priority="1027" stopIfTrue="1" operator="notBetween">
      <formula>5</formula>
      <formula>9</formula>
    </cfRule>
  </conditionalFormatting>
  <conditionalFormatting sqref="R3122:R3125">
    <cfRule type="cellIs" dxfId="2408" priority="1026" stopIfTrue="1" operator="greaterThan">
      <formula>75</formula>
    </cfRule>
  </conditionalFormatting>
  <conditionalFormatting sqref="S3122:S3125">
    <cfRule type="cellIs" dxfId="2407" priority="1025" stopIfTrue="1" operator="greaterThan">
      <formula>90</formula>
    </cfRule>
  </conditionalFormatting>
  <conditionalFormatting sqref="T3122:T3125">
    <cfRule type="cellIs" dxfId="2406" priority="1024" stopIfTrue="1" operator="greaterThan">
      <formula>0.4</formula>
    </cfRule>
  </conditionalFormatting>
  <conditionalFormatting sqref="U3122:U3125">
    <cfRule type="cellIs" dxfId="2405" priority="1023" stopIfTrue="1" operator="greaterThan">
      <formula>2.3</formula>
    </cfRule>
  </conditionalFormatting>
  <conditionalFormatting sqref="V3122:V3125">
    <cfRule type="cellIs" dxfId="2404" priority="1022" stopIfTrue="1" operator="greaterThan">
      <formula>1.1</formula>
    </cfRule>
  </conditionalFormatting>
  <conditionalFormatting sqref="W3122:W3125">
    <cfRule type="cellIs" dxfId="2403" priority="1021" stopIfTrue="1" operator="greaterThan">
      <formula>0.059</formula>
    </cfRule>
  </conditionalFormatting>
  <conditionalFormatting sqref="X3122:X3125">
    <cfRule type="cellIs" dxfId="2402" priority="1020" stopIfTrue="1" operator="greaterThan">
      <formula>0.16</formula>
    </cfRule>
  </conditionalFormatting>
  <conditionalFormatting sqref="Y3122:Y3125">
    <cfRule type="cellIs" dxfId="2401" priority="1019" stopIfTrue="1" operator="greaterThan">
      <formula>0.076</formula>
    </cfRule>
  </conditionalFormatting>
  <conditionalFormatting sqref="O3127:O3132">
    <cfRule type="cellIs" dxfId="2400" priority="1018" stopIfTrue="1" operator="greaterThan">
      <formula>5</formula>
    </cfRule>
  </conditionalFormatting>
  <conditionalFormatting sqref="Q3127:Q3132">
    <cfRule type="cellIs" dxfId="2399" priority="1017" stopIfTrue="1" operator="notBetween">
      <formula>5</formula>
      <formula>9</formula>
    </cfRule>
  </conditionalFormatting>
  <conditionalFormatting sqref="R3127:R3132">
    <cfRule type="cellIs" dxfId="2398" priority="1016" stopIfTrue="1" operator="greaterThan">
      <formula>75</formula>
    </cfRule>
  </conditionalFormatting>
  <conditionalFormatting sqref="S3127:S3132">
    <cfRule type="cellIs" dxfId="2397" priority="1015" stopIfTrue="1" operator="greaterThan">
      <formula>90</formula>
    </cfRule>
  </conditionalFormatting>
  <conditionalFormatting sqref="T3127:T3132">
    <cfRule type="cellIs" dxfId="2396" priority="1014" stopIfTrue="1" operator="greaterThan">
      <formula>0.4</formula>
    </cfRule>
  </conditionalFormatting>
  <conditionalFormatting sqref="U3127:U3132">
    <cfRule type="cellIs" dxfId="2395" priority="1013" stopIfTrue="1" operator="greaterThan">
      <formula>2.3</formula>
    </cfRule>
  </conditionalFormatting>
  <conditionalFormatting sqref="V3127:V3132">
    <cfRule type="cellIs" dxfId="2394" priority="1012" stopIfTrue="1" operator="greaterThan">
      <formula>1.1</formula>
    </cfRule>
  </conditionalFormatting>
  <conditionalFormatting sqref="W3127:W3132">
    <cfRule type="cellIs" dxfId="2393" priority="1011" stopIfTrue="1" operator="greaterThan">
      <formula>0.059</formula>
    </cfRule>
  </conditionalFormatting>
  <conditionalFormatting sqref="X3127:X3132">
    <cfRule type="cellIs" dxfId="2392" priority="1010" stopIfTrue="1" operator="greaterThan">
      <formula>0.16</formula>
    </cfRule>
  </conditionalFormatting>
  <conditionalFormatting sqref="Y3127:Y3132">
    <cfRule type="cellIs" dxfId="2391" priority="1009" stopIfTrue="1" operator="greaterThan">
      <formula>0.076</formula>
    </cfRule>
  </conditionalFormatting>
  <conditionalFormatting sqref="O3150:O3154">
    <cfRule type="cellIs" dxfId="2390" priority="1008" stopIfTrue="1" operator="greaterThan">
      <formula>5</formula>
    </cfRule>
  </conditionalFormatting>
  <conditionalFormatting sqref="Q3150:Q3154">
    <cfRule type="cellIs" dxfId="2389" priority="1007" stopIfTrue="1" operator="notBetween">
      <formula>5</formula>
      <formula>9</formula>
    </cfRule>
  </conditionalFormatting>
  <conditionalFormatting sqref="R3150:R3154">
    <cfRule type="cellIs" dxfId="2388" priority="1006" stopIfTrue="1" operator="greaterThan">
      <formula>75</formula>
    </cfRule>
  </conditionalFormatting>
  <conditionalFormatting sqref="S3150:S3154">
    <cfRule type="cellIs" dxfId="2387" priority="1005" stopIfTrue="1" operator="greaterThan">
      <formula>90</formula>
    </cfRule>
  </conditionalFormatting>
  <conditionalFormatting sqref="T3150:T3154">
    <cfRule type="cellIs" dxfId="2386" priority="1004" stopIfTrue="1" operator="greaterThan">
      <formula>0.4</formula>
    </cfRule>
  </conditionalFormatting>
  <conditionalFormatting sqref="U3150:U3154">
    <cfRule type="cellIs" dxfId="2385" priority="1003" stopIfTrue="1" operator="greaterThan">
      <formula>2.3</formula>
    </cfRule>
  </conditionalFormatting>
  <conditionalFormatting sqref="V3150:V3154">
    <cfRule type="cellIs" dxfId="2384" priority="1002" stopIfTrue="1" operator="greaterThan">
      <formula>1.1</formula>
    </cfRule>
  </conditionalFormatting>
  <conditionalFormatting sqref="W3150:W3154">
    <cfRule type="cellIs" dxfId="2383" priority="1001" stopIfTrue="1" operator="greaterThan">
      <formula>0.059</formula>
    </cfRule>
  </conditionalFormatting>
  <conditionalFormatting sqref="X3150:X3154">
    <cfRule type="cellIs" dxfId="2382" priority="1000" stopIfTrue="1" operator="greaterThan">
      <formula>0.16</formula>
    </cfRule>
  </conditionalFormatting>
  <conditionalFormatting sqref="Y3150:Y3154">
    <cfRule type="cellIs" dxfId="2381" priority="999" stopIfTrue="1" operator="greaterThan">
      <formula>0.076</formula>
    </cfRule>
  </conditionalFormatting>
  <conditionalFormatting sqref="O3157:O3160">
    <cfRule type="cellIs" dxfId="2380" priority="998" stopIfTrue="1" operator="greaterThan">
      <formula>5</formula>
    </cfRule>
  </conditionalFormatting>
  <conditionalFormatting sqref="Q3157:Q3160">
    <cfRule type="cellIs" dxfId="2379" priority="997" stopIfTrue="1" operator="notBetween">
      <formula>5</formula>
      <formula>9</formula>
    </cfRule>
  </conditionalFormatting>
  <conditionalFormatting sqref="R3157:R3160">
    <cfRule type="cellIs" dxfId="2378" priority="996" stopIfTrue="1" operator="greaterThan">
      <formula>75</formula>
    </cfRule>
  </conditionalFormatting>
  <conditionalFormatting sqref="S3157:S3160">
    <cfRule type="cellIs" dxfId="2377" priority="995" stopIfTrue="1" operator="greaterThan">
      <formula>90</formula>
    </cfRule>
  </conditionalFormatting>
  <conditionalFormatting sqref="T3157:T3160">
    <cfRule type="cellIs" dxfId="2376" priority="994" stopIfTrue="1" operator="greaterThan">
      <formula>0.4</formula>
    </cfRule>
  </conditionalFormatting>
  <conditionalFormatting sqref="U3157:U3160">
    <cfRule type="cellIs" dxfId="2375" priority="993" stopIfTrue="1" operator="greaterThan">
      <formula>2.3</formula>
    </cfRule>
  </conditionalFormatting>
  <conditionalFormatting sqref="V3157:V3160">
    <cfRule type="cellIs" dxfId="2374" priority="992" stopIfTrue="1" operator="greaterThan">
      <formula>1.1</formula>
    </cfRule>
  </conditionalFormatting>
  <conditionalFormatting sqref="W3157:W3160">
    <cfRule type="cellIs" dxfId="2373" priority="991" stopIfTrue="1" operator="greaterThan">
      <formula>0.059</formula>
    </cfRule>
  </conditionalFormatting>
  <conditionalFormatting sqref="X3157:X3160">
    <cfRule type="cellIs" dxfId="2372" priority="990" stopIfTrue="1" operator="greaterThan">
      <formula>0.16</formula>
    </cfRule>
  </conditionalFormatting>
  <conditionalFormatting sqref="Y3157:Y3160">
    <cfRule type="cellIs" dxfId="2371" priority="989" stopIfTrue="1" operator="greaterThan">
      <formula>0.076</formula>
    </cfRule>
  </conditionalFormatting>
  <conditionalFormatting sqref="O3175:O3184">
    <cfRule type="cellIs" dxfId="2370" priority="978" stopIfTrue="1" operator="greaterThan">
      <formula>5</formula>
    </cfRule>
  </conditionalFormatting>
  <conditionalFormatting sqref="Q3175:Q3184">
    <cfRule type="cellIs" dxfId="2369" priority="977" stopIfTrue="1" operator="notBetween">
      <formula>5</formula>
      <formula>9</formula>
    </cfRule>
  </conditionalFormatting>
  <conditionalFormatting sqref="R3175:R3184">
    <cfRule type="cellIs" dxfId="2368" priority="976" stopIfTrue="1" operator="greaterThan">
      <formula>75</formula>
    </cfRule>
  </conditionalFormatting>
  <conditionalFormatting sqref="S3175:S3184">
    <cfRule type="cellIs" dxfId="2367" priority="975" stopIfTrue="1" operator="greaterThan">
      <formula>90</formula>
    </cfRule>
  </conditionalFormatting>
  <conditionalFormatting sqref="T3175:T3184">
    <cfRule type="cellIs" dxfId="2366" priority="974" stopIfTrue="1" operator="greaterThan">
      <formula>0.4</formula>
    </cfRule>
  </conditionalFormatting>
  <conditionalFormatting sqref="U3175:U3184">
    <cfRule type="cellIs" dxfId="2365" priority="973" stopIfTrue="1" operator="greaterThan">
      <formula>2.3</formula>
    </cfRule>
  </conditionalFormatting>
  <conditionalFormatting sqref="V3175:V3184">
    <cfRule type="cellIs" dxfId="2364" priority="972" stopIfTrue="1" operator="greaterThan">
      <formula>1.1</formula>
    </cfRule>
  </conditionalFormatting>
  <conditionalFormatting sqref="W3175:W3184">
    <cfRule type="cellIs" dxfId="2363" priority="971" stopIfTrue="1" operator="greaterThan">
      <formula>0.059</formula>
    </cfRule>
  </conditionalFormatting>
  <conditionalFormatting sqref="X3175:X3184">
    <cfRule type="cellIs" dxfId="2362" priority="970" stopIfTrue="1" operator="greaterThan">
      <formula>0.16</formula>
    </cfRule>
  </conditionalFormatting>
  <conditionalFormatting sqref="Y3175:Y3184">
    <cfRule type="cellIs" dxfId="2361" priority="969" stopIfTrue="1" operator="greaterThan">
      <formula>0.076</formula>
    </cfRule>
  </conditionalFormatting>
  <conditionalFormatting sqref="O3185">
    <cfRule type="cellIs" dxfId="2360" priority="968" stopIfTrue="1" operator="greaterThan">
      <formula>5</formula>
    </cfRule>
  </conditionalFormatting>
  <conditionalFormatting sqref="Q3185">
    <cfRule type="cellIs" dxfId="2359" priority="967" stopIfTrue="1" operator="notBetween">
      <formula>5</formula>
      <formula>9</formula>
    </cfRule>
  </conditionalFormatting>
  <conditionalFormatting sqref="R3185">
    <cfRule type="cellIs" dxfId="2358" priority="966" stopIfTrue="1" operator="greaterThan">
      <formula>75</formula>
    </cfRule>
  </conditionalFormatting>
  <conditionalFormatting sqref="S3185">
    <cfRule type="cellIs" dxfId="2357" priority="965" stopIfTrue="1" operator="greaterThan">
      <formula>90</formula>
    </cfRule>
  </conditionalFormatting>
  <conditionalFormatting sqref="T3185">
    <cfRule type="cellIs" dxfId="2356" priority="964" stopIfTrue="1" operator="greaterThan">
      <formula>0.4</formula>
    </cfRule>
  </conditionalFormatting>
  <conditionalFormatting sqref="U3185">
    <cfRule type="cellIs" dxfId="2355" priority="963" stopIfTrue="1" operator="greaterThan">
      <formula>2.3</formula>
    </cfRule>
  </conditionalFormatting>
  <conditionalFormatting sqref="V3185">
    <cfRule type="cellIs" dxfId="2354" priority="962" stopIfTrue="1" operator="greaterThan">
      <formula>1.1</formula>
    </cfRule>
  </conditionalFormatting>
  <conditionalFormatting sqref="W3185">
    <cfRule type="cellIs" dxfId="2353" priority="961" stopIfTrue="1" operator="greaterThan">
      <formula>0.059</formula>
    </cfRule>
  </conditionalFormatting>
  <conditionalFormatting sqref="X3185">
    <cfRule type="cellIs" dxfId="2352" priority="960" stopIfTrue="1" operator="greaterThan">
      <formula>0.16</formula>
    </cfRule>
  </conditionalFormatting>
  <conditionalFormatting sqref="Y3185">
    <cfRule type="cellIs" dxfId="2351" priority="959" stopIfTrue="1" operator="greaterThan">
      <formula>0.076</formula>
    </cfRule>
  </conditionalFormatting>
  <conditionalFormatting sqref="O3187:O3189">
    <cfRule type="cellIs" dxfId="2350" priority="958" stopIfTrue="1" operator="greaterThan">
      <formula>5</formula>
    </cfRule>
  </conditionalFormatting>
  <conditionalFormatting sqref="Q3187:Q3189">
    <cfRule type="cellIs" dxfId="2349" priority="957" stopIfTrue="1" operator="notBetween">
      <formula>5</formula>
      <formula>9</formula>
    </cfRule>
  </conditionalFormatting>
  <conditionalFormatting sqref="R3187:R3189">
    <cfRule type="cellIs" dxfId="2348" priority="956" stopIfTrue="1" operator="greaterThan">
      <formula>75</formula>
    </cfRule>
  </conditionalFormatting>
  <conditionalFormatting sqref="S3187:S3189">
    <cfRule type="cellIs" dxfId="2347" priority="955" stopIfTrue="1" operator="greaterThan">
      <formula>90</formula>
    </cfRule>
  </conditionalFormatting>
  <conditionalFormatting sqref="T3187:T3189">
    <cfRule type="cellIs" dxfId="2346" priority="954" stopIfTrue="1" operator="greaterThan">
      <formula>0.4</formula>
    </cfRule>
  </conditionalFormatting>
  <conditionalFormatting sqref="U3187:U3189">
    <cfRule type="cellIs" dxfId="2345" priority="953" stopIfTrue="1" operator="greaterThan">
      <formula>2.3</formula>
    </cfRule>
  </conditionalFormatting>
  <conditionalFormatting sqref="V3187:V3189">
    <cfRule type="cellIs" dxfId="2344" priority="952" stopIfTrue="1" operator="greaterThan">
      <formula>1.1</formula>
    </cfRule>
  </conditionalFormatting>
  <conditionalFormatting sqref="W3187:W3189">
    <cfRule type="cellIs" dxfId="2343" priority="951" stopIfTrue="1" operator="greaterThan">
      <formula>0.059</formula>
    </cfRule>
  </conditionalFormatting>
  <conditionalFormatting sqref="X3187:X3189">
    <cfRule type="cellIs" dxfId="2342" priority="950" stopIfTrue="1" operator="greaterThan">
      <formula>0.16</formula>
    </cfRule>
  </conditionalFormatting>
  <conditionalFormatting sqref="Y3187:Y3189">
    <cfRule type="cellIs" dxfId="2341" priority="949" stopIfTrue="1" operator="greaterThan">
      <formula>0.076</formula>
    </cfRule>
  </conditionalFormatting>
  <conditionalFormatting sqref="O3195:O3204">
    <cfRule type="cellIs" dxfId="2340" priority="948" stopIfTrue="1" operator="greaterThan">
      <formula>5</formula>
    </cfRule>
  </conditionalFormatting>
  <conditionalFormatting sqref="Q3195:Q3204">
    <cfRule type="cellIs" dxfId="2339" priority="947" stopIfTrue="1" operator="notBetween">
      <formula>5</formula>
      <formula>9</formula>
    </cfRule>
  </conditionalFormatting>
  <conditionalFormatting sqref="R3195:R3204">
    <cfRule type="cellIs" dxfId="2338" priority="946" stopIfTrue="1" operator="greaterThan">
      <formula>75</formula>
    </cfRule>
  </conditionalFormatting>
  <conditionalFormatting sqref="S3195:S3204">
    <cfRule type="cellIs" dxfId="2337" priority="945" stopIfTrue="1" operator="greaterThan">
      <formula>90</formula>
    </cfRule>
  </conditionalFormatting>
  <conditionalFormatting sqref="T3195:T3204">
    <cfRule type="cellIs" dxfId="2336" priority="944" stopIfTrue="1" operator="greaterThan">
      <formula>0.4</formula>
    </cfRule>
  </conditionalFormatting>
  <conditionalFormatting sqref="U3195:U3204">
    <cfRule type="cellIs" dxfId="2335" priority="943" stopIfTrue="1" operator="greaterThan">
      <formula>2.3</formula>
    </cfRule>
  </conditionalFormatting>
  <conditionalFormatting sqref="V3195:V3204">
    <cfRule type="cellIs" dxfId="2334" priority="942" stopIfTrue="1" operator="greaterThan">
      <formula>1.1</formula>
    </cfRule>
  </conditionalFormatting>
  <conditionalFormatting sqref="W3195:W3204">
    <cfRule type="cellIs" dxfId="2333" priority="941" stopIfTrue="1" operator="greaterThan">
      <formula>0.059</formula>
    </cfRule>
  </conditionalFormatting>
  <conditionalFormatting sqref="X3195:X3204">
    <cfRule type="cellIs" dxfId="2332" priority="940" stopIfTrue="1" operator="greaterThan">
      <formula>0.16</formula>
    </cfRule>
  </conditionalFormatting>
  <conditionalFormatting sqref="Y3195:Y3204">
    <cfRule type="cellIs" dxfId="2331" priority="939" stopIfTrue="1" operator="greaterThan">
      <formula>0.076</formula>
    </cfRule>
  </conditionalFormatting>
  <conditionalFormatting sqref="O3210:O3220">
    <cfRule type="cellIs" dxfId="2330" priority="938" stopIfTrue="1" operator="greaterThan">
      <formula>5</formula>
    </cfRule>
  </conditionalFormatting>
  <conditionalFormatting sqref="Q3210:Q3220">
    <cfRule type="cellIs" dxfId="2329" priority="937" stopIfTrue="1" operator="notBetween">
      <formula>5</formula>
      <formula>9</formula>
    </cfRule>
  </conditionalFormatting>
  <conditionalFormatting sqref="R3210:R3220">
    <cfRule type="cellIs" dxfId="2328" priority="936" stopIfTrue="1" operator="greaterThan">
      <formula>75</formula>
    </cfRule>
  </conditionalFormatting>
  <conditionalFormatting sqref="S3210:S3220">
    <cfRule type="cellIs" dxfId="2327" priority="935" stopIfTrue="1" operator="greaterThan">
      <formula>90</formula>
    </cfRule>
  </conditionalFormatting>
  <conditionalFormatting sqref="T3210:T3220">
    <cfRule type="cellIs" dxfId="2326" priority="934" stopIfTrue="1" operator="greaterThan">
      <formula>0.4</formula>
    </cfRule>
  </conditionalFormatting>
  <conditionalFormatting sqref="U3210:U3220">
    <cfRule type="cellIs" dxfId="2325" priority="933" stopIfTrue="1" operator="greaterThan">
      <formula>2.3</formula>
    </cfRule>
  </conditionalFormatting>
  <conditionalFormatting sqref="V3210:V3220">
    <cfRule type="cellIs" dxfId="2324" priority="932" stopIfTrue="1" operator="greaterThan">
      <formula>1.1</formula>
    </cfRule>
  </conditionalFormatting>
  <conditionalFormatting sqref="W3210:W3220">
    <cfRule type="cellIs" dxfId="2323" priority="931" stopIfTrue="1" operator="greaterThan">
      <formula>0.059</formula>
    </cfRule>
  </conditionalFormatting>
  <conditionalFormatting sqref="X3210:X3220">
    <cfRule type="cellIs" dxfId="2322" priority="930" stopIfTrue="1" operator="greaterThan">
      <formula>0.16</formula>
    </cfRule>
  </conditionalFormatting>
  <conditionalFormatting sqref="Y3210:Y3220">
    <cfRule type="cellIs" dxfId="2321" priority="929" stopIfTrue="1" operator="greaterThan">
      <formula>0.076</formula>
    </cfRule>
  </conditionalFormatting>
  <conditionalFormatting sqref="O4029">
    <cfRule type="cellIs" dxfId="2320" priority="928" stopIfTrue="1" operator="greaterThan">
      <formula>5</formula>
    </cfRule>
  </conditionalFormatting>
  <conditionalFormatting sqref="Q4029">
    <cfRule type="cellIs" dxfId="2319" priority="927" stopIfTrue="1" operator="notBetween">
      <formula>5</formula>
      <formula>9</formula>
    </cfRule>
  </conditionalFormatting>
  <conditionalFormatting sqref="R4029">
    <cfRule type="cellIs" dxfId="2318" priority="926" stopIfTrue="1" operator="greaterThan">
      <formula>75</formula>
    </cfRule>
  </conditionalFormatting>
  <conditionalFormatting sqref="S4029">
    <cfRule type="cellIs" dxfId="2317" priority="925" stopIfTrue="1" operator="greaterThan">
      <formula>90</formula>
    </cfRule>
  </conditionalFormatting>
  <conditionalFormatting sqref="T4029">
    <cfRule type="cellIs" dxfId="2316" priority="924" stopIfTrue="1" operator="greaterThan">
      <formula>0.4</formula>
    </cfRule>
  </conditionalFormatting>
  <conditionalFormatting sqref="U4029">
    <cfRule type="cellIs" dxfId="2315" priority="923" stopIfTrue="1" operator="greaterThan">
      <formula>2.3</formula>
    </cfRule>
  </conditionalFormatting>
  <conditionalFormatting sqref="V4029">
    <cfRule type="cellIs" dxfId="2314" priority="922" stopIfTrue="1" operator="greaterThan">
      <formula>1.1</formula>
    </cfRule>
  </conditionalFormatting>
  <conditionalFormatting sqref="W4029">
    <cfRule type="cellIs" dxfId="2313" priority="921" stopIfTrue="1" operator="greaterThan">
      <formula>0.059</formula>
    </cfRule>
  </conditionalFormatting>
  <conditionalFormatting sqref="X4029">
    <cfRule type="cellIs" dxfId="2312" priority="920" stopIfTrue="1" operator="greaterThan">
      <formula>0.16</formula>
    </cfRule>
  </conditionalFormatting>
  <conditionalFormatting sqref="Y4029">
    <cfRule type="cellIs" dxfId="2311" priority="919" stopIfTrue="1" operator="greaterThan">
      <formula>0.076</formula>
    </cfRule>
  </conditionalFormatting>
  <conditionalFormatting sqref="O4061:O4062">
    <cfRule type="cellIs" dxfId="2310" priority="918" stopIfTrue="1" operator="greaterThan">
      <formula>5</formula>
    </cfRule>
  </conditionalFormatting>
  <conditionalFormatting sqref="Q4061:Q4062">
    <cfRule type="cellIs" dxfId="2309" priority="917" stopIfTrue="1" operator="notBetween">
      <formula>5</formula>
      <formula>9</formula>
    </cfRule>
  </conditionalFormatting>
  <conditionalFormatting sqref="R4061:R4062">
    <cfRule type="cellIs" dxfId="2308" priority="916" stopIfTrue="1" operator="greaterThan">
      <formula>75</formula>
    </cfRule>
  </conditionalFormatting>
  <conditionalFormatting sqref="S4061:S4062">
    <cfRule type="cellIs" dxfId="2307" priority="915" stopIfTrue="1" operator="greaterThan">
      <formula>90</formula>
    </cfRule>
  </conditionalFormatting>
  <conditionalFormatting sqref="T4061:T4062">
    <cfRule type="cellIs" dxfId="2306" priority="914" stopIfTrue="1" operator="greaterThan">
      <formula>0.4</formula>
    </cfRule>
  </conditionalFormatting>
  <conditionalFormatting sqref="U4061:U4062">
    <cfRule type="cellIs" dxfId="2305" priority="913" stopIfTrue="1" operator="greaterThan">
      <formula>2.3</formula>
    </cfRule>
  </conditionalFormatting>
  <conditionalFormatting sqref="V4061:V4062">
    <cfRule type="cellIs" dxfId="2304" priority="912" stopIfTrue="1" operator="greaterThan">
      <formula>1.1</formula>
    </cfRule>
  </conditionalFormatting>
  <conditionalFormatting sqref="W4061:W4062">
    <cfRule type="cellIs" dxfId="2303" priority="911" stopIfTrue="1" operator="greaterThan">
      <formula>0.059</formula>
    </cfRule>
  </conditionalFormatting>
  <conditionalFormatting sqref="X4061:X4062">
    <cfRule type="cellIs" dxfId="2302" priority="910" stopIfTrue="1" operator="greaterThan">
      <formula>0.16</formula>
    </cfRule>
  </conditionalFormatting>
  <conditionalFormatting sqref="Y4061:Y4062">
    <cfRule type="cellIs" dxfId="2301" priority="909" stopIfTrue="1" operator="greaterThan">
      <formula>0.076</formula>
    </cfRule>
  </conditionalFormatting>
  <conditionalFormatting sqref="O4240:O4242">
    <cfRule type="cellIs" dxfId="2300" priority="898" stopIfTrue="1" operator="greaterThan">
      <formula>5</formula>
    </cfRule>
  </conditionalFormatting>
  <conditionalFormatting sqref="Q4240:Q4242">
    <cfRule type="cellIs" dxfId="2299" priority="897" stopIfTrue="1" operator="notBetween">
      <formula>5</formula>
      <formula>9</formula>
    </cfRule>
  </conditionalFormatting>
  <conditionalFormatting sqref="R4240:R4242">
    <cfRule type="cellIs" dxfId="2298" priority="896" stopIfTrue="1" operator="greaterThan">
      <formula>75</formula>
    </cfRule>
  </conditionalFormatting>
  <conditionalFormatting sqref="S4240:S4242">
    <cfRule type="cellIs" dxfId="2297" priority="895" stopIfTrue="1" operator="greaterThan">
      <formula>90</formula>
    </cfRule>
  </conditionalFormatting>
  <conditionalFormatting sqref="T4240:T4242">
    <cfRule type="cellIs" dxfId="2296" priority="894" stopIfTrue="1" operator="greaterThan">
      <formula>0.4</formula>
    </cfRule>
  </conditionalFormatting>
  <conditionalFormatting sqref="U4240:U4242">
    <cfRule type="cellIs" dxfId="2295" priority="893" stopIfTrue="1" operator="greaterThan">
      <formula>2.3</formula>
    </cfRule>
  </conditionalFormatting>
  <conditionalFormatting sqref="V4240:V4242">
    <cfRule type="cellIs" dxfId="2294" priority="892" stopIfTrue="1" operator="greaterThan">
      <formula>1.1</formula>
    </cfRule>
  </conditionalFormatting>
  <conditionalFormatting sqref="W4240:W4242">
    <cfRule type="cellIs" dxfId="2293" priority="891" stopIfTrue="1" operator="greaterThan">
      <formula>0.059</formula>
    </cfRule>
  </conditionalFormatting>
  <conditionalFormatting sqref="X4240:X4242">
    <cfRule type="cellIs" dxfId="2292" priority="890" stopIfTrue="1" operator="greaterThan">
      <formula>0.16</formula>
    </cfRule>
  </conditionalFormatting>
  <conditionalFormatting sqref="Y4240:Y4242">
    <cfRule type="cellIs" dxfId="2291" priority="889" stopIfTrue="1" operator="greaterThan">
      <formula>0.076</formula>
    </cfRule>
  </conditionalFormatting>
  <conditionalFormatting sqref="O4256">
    <cfRule type="cellIs" dxfId="2290" priority="888" stopIfTrue="1" operator="greaterThan">
      <formula>5</formula>
    </cfRule>
  </conditionalFormatting>
  <conditionalFormatting sqref="Q4256">
    <cfRule type="cellIs" dxfId="2289" priority="887" stopIfTrue="1" operator="notBetween">
      <formula>5</formula>
      <formula>9</formula>
    </cfRule>
  </conditionalFormatting>
  <conditionalFormatting sqref="R4256">
    <cfRule type="cellIs" dxfId="2288" priority="886" stopIfTrue="1" operator="greaterThan">
      <formula>75</formula>
    </cfRule>
  </conditionalFormatting>
  <conditionalFormatting sqref="S4256">
    <cfRule type="cellIs" dxfId="2287" priority="885" stopIfTrue="1" operator="greaterThan">
      <formula>90</formula>
    </cfRule>
  </conditionalFormatting>
  <conditionalFormatting sqref="T4256">
    <cfRule type="cellIs" dxfId="2286" priority="884" stopIfTrue="1" operator="greaterThan">
      <formula>0.4</formula>
    </cfRule>
  </conditionalFormatting>
  <conditionalFormatting sqref="U4256">
    <cfRule type="cellIs" dxfId="2285" priority="883" stopIfTrue="1" operator="greaterThan">
      <formula>2.3</formula>
    </cfRule>
  </conditionalFormatting>
  <conditionalFormatting sqref="V4256">
    <cfRule type="cellIs" dxfId="2284" priority="882" stopIfTrue="1" operator="greaterThan">
      <formula>1.1</formula>
    </cfRule>
  </conditionalFormatting>
  <conditionalFormatting sqref="W4256">
    <cfRule type="cellIs" dxfId="2283" priority="881" stopIfTrue="1" operator="greaterThan">
      <formula>0.059</formula>
    </cfRule>
  </conditionalFormatting>
  <conditionalFormatting sqref="X4256">
    <cfRule type="cellIs" dxfId="2282" priority="880" stopIfTrue="1" operator="greaterThan">
      <formula>0.16</formula>
    </cfRule>
  </conditionalFormatting>
  <conditionalFormatting sqref="Y4256">
    <cfRule type="cellIs" dxfId="2281" priority="879" stopIfTrue="1" operator="greaterThan">
      <formula>0.076</formula>
    </cfRule>
  </conditionalFormatting>
  <conditionalFormatting sqref="Y4280:Y4284">
    <cfRule type="cellIs" dxfId="2280" priority="859" stopIfTrue="1" operator="greaterThan">
      <formula>0.076</formula>
    </cfRule>
  </conditionalFormatting>
  <conditionalFormatting sqref="O4280:O4284">
    <cfRule type="cellIs" dxfId="2279" priority="868" stopIfTrue="1" operator="greaterThan">
      <formula>5</formula>
    </cfRule>
  </conditionalFormatting>
  <conditionalFormatting sqref="Q4280:Q4284">
    <cfRule type="cellIs" dxfId="2278" priority="867" stopIfTrue="1" operator="notBetween">
      <formula>5</formula>
      <formula>9</formula>
    </cfRule>
  </conditionalFormatting>
  <conditionalFormatting sqref="R4280:R4284">
    <cfRule type="cellIs" dxfId="2277" priority="866" stopIfTrue="1" operator="greaterThan">
      <formula>75</formula>
    </cfRule>
  </conditionalFormatting>
  <conditionalFormatting sqref="S4280:S4284">
    <cfRule type="cellIs" dxfId="2276" priority="865" stopIfTrue="1" operator="greaterThan">
      <formula>90</formula>
    </cfRule>
  </conditionalFormatting>
  <conditionalFormatting sqref="T4280:T4284">
    <cfRule type="cellIs" dxfId="2275" priority="864" stopIfTrue="1" operator="greaterThan">
      <formula>0.4</formula>
    </cfRule>
  </conditionalFormatting>
  <conditionalFormatting sqref="U4280:U4284">
    <cfRule type="cellIs" dxfId="2274" priority="863" stopIfTrue="1" operator="greaterThan">
      <formula>2.3</formula>
    </cfRule>
  </conditionalFormatting>
  <conditionalFormatting sqref="V4280:V4284">
    <cfRule type="cellIs" dxfId="2273" priority="862" stopIfTrue="1" operator="greaterThan">
      <formula>1.1</formula>
    </cfRule>
  </conditionalFormatting>
  <conditionalFormatting sqref="W4280:W4284">
    <cfRule type="cellIs" dxfId="2272" priority="861" stopIfTrue="1" operator="greaterThan">
      <formula>0.059</formula>
    </cfRule>
  </conditionalFormatting>
  <conditionalFormatting sqref="X4280:X4284">
    <cfRule type="cellIs" dxfId="2271" priority="860" stopIfTrue="1" operator="greaterThan">
      <formula>0.16</formula>
    </cfRule>
  </conditionalFormatting>
  <conditionalFormatting sqref="O4692">
    <cfRule type="cellIs" dxfId="2270" priority="798" stopIfTrue="1" operator="greaterThan">
      <formula>5</formula>
    </cfRule>
  </conditionalFormatting>
  <conditionalFormatting sqref="Q4692">
    <cfRule type="cellIs" dxfId="2269" priority="797" stopIfTrue="1" operator="notBetween">
      <formula>5</formula>
      <formula>9</formula>
    </cfRule>
  </conditionalFormatting>
  <conditionalFormatting sqref="R4692">
    <cfRule type="cellIs" dxfId="2268" priority="796" stopIfTrue="1" operator="greaterThan">
      <formula>75</formula>
    </cfRule>
  </conditionalFormatting>
  <conditionalFormatting sqref="T4692">
    <cfRule type="cellIs" dxfId="2267" priority="795" stopIfTrue="1" operator="greaterThan">
      <formula>0.4</formula>
    </cfRule>
  </conditionalFormatting>
  <conditionalFormatting sqref="U4692">
    <cfRule type="cellIs" dxfId="2266" priority="794" stopIfTrue="1" operator="greaterThan">
      <formula>2.3</formula>
    </cfRule>
  </conditionalFormatting>
  <conditionalFormatting sqref="V4692">
    <cfRule type="cellIs" dxfId="2265" priority="793" stopIfTrue="1" operator="greaterThan">
      <formula>1.1</formula>
    </cfRule>
  </conditionalFormatting>
  <conditionalFormatting sqref="W4692">
    <cfRule type="cellIs" dxfId="2264" priority="792" stopIfTrue="1" operator="greaterThan">
      <formula>0.059</formula>
    </cfRule>
  </conditionalFormatting>
  <conditionalFormatting sqref="X4692">
    <cfRule type="cellIs" dxfId="2263" priority="791" stopIfTrue="1" operator="greaterThan">
      <formula>0.16</formula>
    </cfRule>
  </conditionalFormatting>
  <conditionalFormatting sqref="Y4692">
    <cfRule type="cellIs" dxfId="2262" priority="790" stopIfTrue="1" operator="greaterThan">
      <formula>0.076</formula>
    </cfRule>
  </conditionalFormatting>
  <conditionalFormatting sqref="S4692">
    <cfRule type="cellIs" dxfId="2261" priority="789" operator="greaterThan">
      <formula>90</formula>
    </cfRule>
  </conditionalFormatting>
  <conditionalFormatting sqref="O4693">
    <cfRule type="cellIs" dxfId="2260" priority="788" stopIfTrue="1" operator="greaterThan">
      <formula>5</formula>
    </cfRule>
  </conditionalFormatting>
  <conditionalFormatting sqref="Q4693">
    <cfRule type="cellIs" dxfId="2259" priority="787" stopIfTrue="1" operator="notBetween">
      <formula>5</formula>
      <formula>9</formula>
    </cfRule>
  </conditionalFormatting>
  <conditionalFormatting sqref="R4693">
    <cfRule type="cellIs" dxfId="2258" priority="786" stopIfTrue="1" operator="greaterThan">
      <formula>75</formula>
    </cfRule>
  </conditionalFormatting>
  <conditionalFormatting sqref="T4693">
    <cfRule type="cellIs" dxfId="2257" priority="785" stopIfTrue="1" operator="greaterThan">
      <formula>0.4</formula>
    </cfRule>
  </conditionalFormatting>
  <conditionalFormatting sqref="U4693">
    <cfRule type="cellIs" dxfId="2256" priority="784" stopIfTrue="1" operator="greaterThan">
      <formula>2.3</formula>
    </cfRule>
  </conditionalFormatting>
  <conditionalFormatting sqref="V4693">
    <cfRule type="cellIs" dxfId="2255" priority="783" stopIfTrue="1" operator="greaterThan">
      <formula>1.1</formula>
    </cfRule>
  </conditionalFormatting>
  <conditionalFormatting sqref="W4693">
    <cfRule type="cellIs" dxfId="2254" priority="782" stopIfTrue="1" operator="greaterThan">
      <formula>0.059</formula>
    </cfRule>
  </conditionalFormatting>
  <conditionalFormatting sqref="X4693">
    <cfRule type="cellIs" dxfId="2253" priority="781" stopIfTrue="1" operator="greaterThan">
      <formula>0.16</formula>
    </cfRule>
  </conditionalFormatting>
  <conditionalFormatting sqref="Y4693">
    <cfRule type="cellIs" dxfId="2252" priority="780" stopIfTrue="1" operator="greaterThan">
      <formula>0.076</formula>
    </cfRule>
  </conditionalFormatting>
  <conditionalFormatting sqref="S4693">
    <cfRule type="cellIs" dxfId="2251" priority="779" operator="greaterThan">
      <formula>90</formula>
    </cfRule>
  </conditionalFormatting>
  <conditionalFormatting sqref="S4693">
    <cfRule type="cellIs" dxfId="2250" priority="769" operator="greaterThan">
      <formula>90</formula>
    </cfRule>
  </conditionalFormatting>
  <conditionalFormatting sqref="O4693">
    <cfRule type="cellIs" dxfId="2249" priority="778" stopIfTrue="1" operator="greaterThan">
      <formula>5</formula>
    </cfRule>
  </conditionalFormatting>
  <conditionalFormatting sqref="Q4693">
    <cfRule type="cellIs" dxfId="2248" priority="777" stopIfTrue="1" operator="notBetween">
      <formula>5</formula>
      <formula>9</formula>
    </cfRule>
  </conditionalFormatting>
  <conditionalFormatting sqref="R4693">
    <cfRule type="cellIs" dxfId="2247" priority="776" stopIfTrue="1" operator="greaterThan">
      <formula>75</formula>
    </cfRule>
  </conditionalFormatting>
  <conditionalFormatting sqref="T4693">
    <cfRule type="cellIs" dxfId="2246" priority="775" stopIfTrue="1" operator="greaterThan">
      <formula>0.4</formula>
    </cfRule>
  </conditionalFormatting>
  <conditionalFormatting sqref="U4693">
    <cfRule type="cellIs" dxfId="2245" priority="774" stopIfTrue="1" operator="greaterThan">
      <formula>2.3</formula>
    </cfRule>
  </conditionalFormatting>
  <conditionalFormatting sqref="V4693">
    <cfRule type="cellIs" dxfId="2244" priority="773" stopIfTrue="1" operator="greaterThan">
      <formula>1.1</formula>
    </cfRule>
  </conditionalFormatting>
  <conditionalFormatting sqref="W4693">
    <cfRule type="cellIs" dxfId="2243" priority="772" stopIfTrue="1" operator="greaterThan">
      <formula>0.059</formula>
    </cfRule>
  </conditionalFormatting>
  <conditionalFormatting sqref="X4693">
    <cfRule type="cellIs" dxfId="2242" priority="771" stopIfTrue="1" operator="greaterThan">
      <formula>0.16</formula>
    </cfRule>
  </conditionalFormatting>
  <conditionalFormatting sqref="Y4693">
    <cfRule type="cellIs" dxfId="2241" priority="770" stopIfTrue="1" operator="greaterThan">
      <formula>0.076</formula>
    </cfRule>
  </conditionalFormatting>
  <conditionalFormatting sqref="O3222:O3224">
    <cfRule type="cellIs" dxfId="2240" priority="768" stopIfTrue="1" operator="greaterThan">
      <formula>5</formula>
    </cfRule>
  </conditionalFormatting>
  <conditionalFormatting sqref="Q3222:Q3224">
    <cfRule type="cellIs" dxfId="2239" priority="767" stopIfTrue="1" operator="notBetween">
      <formula>5</formula>
      <formula>9</formula>
    </cfRule>
  </conditionalFormatting>
  <conditionalFormatting sqref="R3222:R3224">
    <cfRule type="cellIs" dxfId="2238" priority="766" stopIfTrue="1" operator="greaterThan">
      <formula>75</formula>
    </cfRule>
  </conditionalFormatting>
  <conditionalFormatting sqref="S3222:S3224">
    <cfRule type="cellIs" dxfId="2237" priority="765" stopIfTrue="1" operator="greaterThan">
      <formula>90</formula>
    </cfRule>
  </conditionalFormatting>
  <conditionalFormatting sqref="T3222:T3224">
    <cfRule type="cellIs" dxfId="2236" priority="764" stopIfTrue="1" operator="greaterThan">
      <formula>0.4</formula>
    </cfRule>
  </conditionalFormatting>
  <conditionalFormatting sqref="U3222:U3224">
    <cfRule type="cellIs" dxfId="2235" priority="763" stopIfTrue="1" operator="greaterThan">
      <formula>2.3</formula>
    </cfRule>
  </conditionalFormatting>
  <conditionalFormatting sqref="V3222:V3224">
    <cfRule type="cellIs" dxfId="2234" priority="762" stopIfTrue="1" operator="greaterThan">
      <formula>1.1</formula>
    </cfRule>
  </conditionalFormatting>
  <conditionalFormatting sqref="W3222:W3224">
    <cfRule type="cellIs" dxfId="2233" priority="761" stopIfTrue="1" operator="greaterThan">
      <formula>0.059</formula>
    </cfRule>
  </conditionalFormatting>
  <conditionalFormatting sqref="X3222:X3224">
    <cfRule type="cellIs" dxfId="2232" priority="760" stopIfTrue="1" operator="greaterThan">
      <formula>0.16</formula>
    </cfRule>
  </conditionalFormatting>
  <conditionalFormatting sqref="Y3222:Y3224">
    <cfRule type="cellIs" dxfId="2231" priority="759" stopIfTrue="1" operator="greaterThan">
      <formula>0.076</formula>
    </cfRule>
  </conditionalFormatting>
  <conditionalFormatting sqref="O3225">
    <cfRule type="cellIs" dxfId="2230" priority="758" stopIfTrue="1" operator="greaterThan">
      <formula>5</formula>
    </cfRule>
  </conditionalFormatting>
  <conditionalFormatting sqref="Q3225">
    <cfRule type="cellIs" dxfId="2229" priority="757" stopIfTrue="1" operator="notBetween">
      <formula>5</formula>
      <formula>9</formula>
    </cfRule>
  </conditionalFormatting>
  <conditionalFormatting sqref="R3225">
    <cfRule type="cellIs" dxfId="2228" priority="756" stopIfTrue="1" operator="greaterThan">
      <formula>75</formula>
    </cfRule>
  </conditionalFormatting>
  <conditionalFormatting sqref="S3225">
    <cfRule type="cellIs" dxfId="2227" priority="755" stopIfTrue="1" operator="greaterThan">
      <formula>90</formula>
    </cfRule>
  </conditionalFormatting>
  <conditionalFormatting sqref="T3225">
    <cfRule type="cellIs" dxfId="2226" priority="754" stopIfTrue="1" operator="greaterThan">
      <formula>0.4</formula>
    </cfRule>
  </conditionalFormatting>
  <conditionalFormatting sqref="U3225">
    <cfRule type="cellIs" dxfId="2225" priority="753" stopIfTrue="1" operator="greaterThan">
      <formula>2.3</formula>
    </cfRule>
  </conditionalFormatting>
  <conditionalFormatting sqref="V3225">
    <cfRule type="cellIs" dxfId="2224" priority="752" stopIfTrue="1" operator="greaterThan">
      <formula>1.1</formula>
    </cfRule>
  </conditionalFormatting>
  <conditionalFormatting sqref="W3225">
    <cfRule type="cellIs" dxfId="2223" priority="751" stopIfTrue="1" operator="greaterThan">
      <formula>0.059</formula>
    </cfRule>
  </conditionalFormatting>
  <conditionalFormatting sqref="X3225">
    <cfRule type="cellIs" dxfId="2222" priority="750" stopIfTrue="1" operator="greaterThan">
      <formula>0.16</formula>
    </cfRule>
  </conditionalFormatting>
  <conditionalFormatting sqref="Y3225">
    <cfRule type="cellIs" dxfId="2221" priority="749" stopIfTrue="1" operator="greaterThan">
      <formula>0.076</formula>
    </cfRule>
  </conditionalFormatting>
  <conditionalFormatting sqref="O3234:O3244">
    <cfRule type="cellIs" dxfId="2220" priority="748" stopIfTrue="1" operator="greaterThan">
      <formula>5</formula>
    </cfRule>
  </conditionalFormatting>
  <conditionalFormatting sqref="Q3234:Q3244">
    <cfRule type="cellIs" dxfId="2219" priority="747" stopIfTrue="1" operator="notBetween">
      <formula>5</formula>
      <formula>9</formula>
    </cfRule>
  </conditionalFormatting>
  <conditionalFormatting sqref="R3234:R3244">
    <cfRule type="cellIs" dxfId="2218" priority="746" stopIfTrue="1" operator="greaterThan">
      <formula>75</formula>
    </cfRule>
  </conditionalFormatting>
  <conditionalFormatting sqref="S3234:S3244">
    <cfRule type="cellIs" dxfId="2217" priority="745" stopIfTrue="1" operator="greaterThan">
      <formula>90</formula>
    </cfRule>
  </conditionalFormatting>
  <conditionalFormatting sqref="T3234:T3244">
    <cfRule type="cellIs" dxfId="2216" priority="744" stopIfTrue="1" operator="greaterThan">
      <formula>0.4</formula>
    </cfRule>
  </conditionalFormatting>
  <conditionalFormatting sqref="U3234:U3244">
    <cfRule type="cellIs" dxfId="2215" priority="743" stopIfTrue="1" operator="greaterThan">
      <formula>2.3</formula>
    </cfRule>
  </conditionalFormatting>
  <conditionalFormatting sqref="V3234:V3244">
    <cfRule type="cellIs" dxfId="2214" priority="742" stopIfTrue="1" operator="greaterThan">
      <formula>1.1</formula>
    </cfRule>
  </conditionalFormatting>
  <conditionalFormatting sqref="W3234:W3244">
    <cfRule type="cellIs" dxfId="2213" priority="741" stopIfTrue="1" operator="greaterThan">
      <formula>0.059</formula>
    </cfRule>
  </conditionalFormatting>
  <conditionalFormatting sqref="X3234:X3244">
    <cfRule type="cellIs" dxfId="2212" priority="740" stopIfTrue="1" operator="greaterThan">
      <formula>0.16</formula>
    </cfRule>
  </conditionalFormatting>
  <conditionalFormatting sqref="Y3234:Y3244">
    <cfRule type="cellIs" dxfId="2211" priority="739" stopIfTrue="1" operator="greaterThan">
      <formula>0.076</formula>
    </cfRule>
  </conditionalFormatting>
  <conditionalFormatting sqref="O3246:O3248">
    <cfRule type="cellIs" dxfId="2210" priority="738" stopIfTrue="1" operator="greaterThan">
      <formula>5</formula>
    </cfRule>
  </conditionalFormatting>
  <conditionalFormatting sqref="Q3246:Q3248">
    <cfRule type="cellIs" dxfId="2209" priority="737" stopIfTrue="1" operator="notBetween">
      <formula>5</formula>
      <formula>9</formula>
    </cfRule>
  </conditionalFormatting>
  <conditionalFormatting sqref="R3246:R3248">
    <cfRule type="cellIs" dxfId="2208" priority="736" stopIfTrue="1" operator="greaterThan">
      <formula>75</formula>
    </cfRule>
  </conditionalFormatting>
  <conditionalFormatting sqref="S3246:S3248">
    <cfRule type="cellIs" dxfId="2207" priority="735" stopIfTrue="1" operator="greaterThan">
      <formula>90</formula>
    </cfRule>
  </conditionalFormatting>
  <conditionalFormatting sqref="T3246:T3248">
    <cfRule type="cellIs" dxfId="2206" priority="734" stopIfTrue="1" operator="greaterThan">
      <formula>0.4</formula>
    </cfRule>
  </conditionalFormatting>
  <conditionalFormatting sqref="U3246:U3248">
    <cfRule type="cellIs" dxfId="2205" priority="733" stopIfTrue="1" operator="greaterThan">
      <formula>2.3</formula>
    </cfRule>
  </conditionalFormatting>
  <conditionalFormatting sqref="V3246:V3248">
    <cfRule type="cellIs" dxfId="2204" priority="732" stopIfTrue="1" operator="greaterThan">
      <formula>1.1</formula>
    </cfRule>
  </conditionalFormatting>
  <conditionalFormatting sqref="W3246:W3248">
    <cfRule type="cellIs" dxfId="2203" priority="731" stopIfTrue="1" operator="greaterThan">
      <formula>0.059</formula>
    </cfRule>
  </conditionalFormatting>
  <conditionalFormatting sqref="X3246:X3248">
    <cfRule type="cellIs" dxfId="2202" priority="730" stopIfTrue="1" operator="greaterThan">
      <formula>0.16</formula>
    </cfRule>
  </conditionalFormatting>
  <conditionalFormatting sqref="Y3246:Y3248">
    <cfRule type="cellIs" dxfId="2201" priority="729" stopIfTrue="1" operator="greaterThan">
      <formula>0.076</formula>
    </cfRule>
  </conditionalFormatting>
  <conditionalFormatting sqref="O3250:O3255 O3257:O3258">
    <cfRule type="cellIs" dxfId="2200" priority="728" stopIfTrue="1" operator="greaterThan">
      <formula>5</formula>
    </cfRule>
  </conditionalFormatting>
  <conditionalFormatting sqref="Q3250:Q3258">
    <cfRule type="cellIs" dxfId="2199" priority="727" stopIfTrue="1" operator="notBetween">
      <formula>5</formula>
      <formula>9</formula>
    </cfRule>
  </conditionalFormatting>
  <conditionalFormatting sqref="R3250:R3258">
    <cfRule type="cellIs" dxfId="2198" priority="726" stopIfTrue="1" operator="greaterThan">
      <formula>75</formula>
    </cfRule>
  </conditionalFormatting>
  <conditionalFormatting sqref="S3250:S3258">
    <cfRule type="cellIs" dxfId="2197" priority="725" stopIfTrue="1" operator="greaterThan">
      <formula>90</formula>
    </cfRule>
  </conditionalFormatting>
  <conditionalFormatting sqref="T3250:T3258">
    <cfRule type="cellIs" dxfId="2196" priority="724" stopIfTrue="1" operator="greaterThan">
      <formula>0.4</formula>
    </cfRule>
  </conditionalFormatting>
  <conditionalFormatting sqref="U3250:U3258">
    <cfRule type="cellIs" dxfId="2195" priority="723" stopIfTrue="1" operator="greaterThan">
      <formula>2.3</formula>
    </cfRule>
  </conditionalFormatting>
  <conditionalFormatting sqref="V3250:V3258">
    <cfRule type="cellIs" dxfId="2194" priority="722" stopIfTrue="1" operator="greaterThan">
      <formula>1.1</formula>
    </cfRule>
  </conditionalFormatting>
  <conditionalFormatting sqref="W3250:W3258">
    <cfRule type="cellIs" dxfId="2193" priority="721" stopIfTrue="1" operator="greaterThan">
      <formula>0.059</formula>
    </cfRule>
  </conditionalFormatting>
  <conditionalFormatting sqref="X3250:X3258">
    <cfRule type="cellIs" dxfId="2192" priority="720" stopIfTrue="1" operator="greaterThan">
      <formula>0.16</formula>
    </cfRule>
  </conditionalFormatting>
  <conditionalFormatting sqref="Y3250:Y3258">
    <cfRule type="cellIs" dxfId="2191" priority="719" stopIfTrue="1" operator="greaterThan">
      <formula>0.076</formula>
    </cfRule>
  </conditionalFormatting>
  <conditionalFormatting sqref="O3256">
    <cfRule type="cellIs" dxfId="2190" priority="718" stopIfTrue="1" operator="greaterThan">
      <formula>5</formula>
    </cfRule>
  </conditionalFormatting>
  <conditionalFormatting sqref="O3259">
    <cfRule type="cellIs" dxfId="2189" priority="717" stopIfTrue="1" operator="greaterThan">
      <formula>5</formula>
    </cfRule>
  </conditionalFormatting>
  <conditionalFormatting sqref="Q3259">
    <cfRule type="cellIs" dxfId="2188" priority="716" stopIfTrue="1" operator="notBetween">
      <formula>5</formula>
      <formula>9</formula>
    </cfRule>
  </conditionalFormatting>
  <conditionalFormatting sqref="R3259">
    <cfRule type="cellIs" dxfId="2187" priority="715" stopIfTrue="1" operator="greaterThan">
      <formula>75</formula>
    </cfRule>
  </conditionalFormatting>
  <conditionalFormatting sqref="S3259">
    <cfRule type="cellIs" dxfId="2186" priority="714" stopIfTrue="1" operator="greaterThan">
      <formula>90</formula>
    </cfRule>
  </conditionalFormatting>
  <conditionalFormatting sqref="T3259">
    <cfRule type="cellIs" dxfId="2185" priority="713" stopIfTrue="1" operator="greaterThan">
      <formula>0.4</formula>
    </cfRule>
  </conditionalFormatting>
  <conditionalFormatting sqref="U3259">
    <cfRule type="cellIs" dxfId="2184" priority="712" stopIfTrue="1" operator="greaterThan">
      <formula>2.3</formula>
    </cfRule>
  </conditionalFormatting>
  <conditionalFormatting sqref="V3259">
    <cfRule type="cellIs" dxfId="2183" priority="711" stopIfTrue="1" operator="greaterThan">
      <formula>1.1</formula>
    </cfRule>
  </conditionalFormatting>
  <conditionalFormatting sqref="W3259">
    <cfRule type="cellIs" dxfId="2182" priority="710" stopIfTrue="1" operator="greaterThan">
      <formula>0.059</formula>
    </cfRule>
  </conditionalFormatting>
  <conditionalFormatting sqref="X3259">
    <cfRule type="cellIs" dxfId="2181" priority="709" stopIfTrue="1" operator="greaterThan">
      <formula>0.16</formula>
    </cfRule>
  </conditionalFormatting>
  <conditionalFormatting sqref="Y3259">
    <cfRule type="cellIs" dxfId="2180" priority="708" stopIfTrue="1" operator="greaterThan">
      <formula>0.076</formula>
    </cfRule>
  </conditionalFormatting>
  <conditionalFormatting sqref="Y4603">
    <cfRule type="cellIs" dxfId="2179" priority="528" stopIfTrue="1" operator="greaterThan">
      <formula>0.076</formula>
    </cfRule>
  </conditionalFormatting>
  <conditionalFormatting sqref="O3262:O3267">
    <cfRule type="cellIs" dxfId="2178" priority="707" stopIfTrue="1" operator="greaterThan">
      <formula>5</formula>
    </cfRule>
  </conditionalFormatting>
  <conditionalFormatting sqref="Q3262:Q3267">
    <cfRule type="cellIs" dxfId="2177" priority="706" stopIfTrue="1" operator="notBetween">
      <formula>5</formula>
      <formula>9</formula>
    </cfRule>
  </conditionalFormatting>
  <conditionalFormatting sqref="R3262:R3267">
    <cfRule type="cellIs" dxfId="2176" priority="705" stopIfTrue="1" operator="greaterThan">
      <formula>75</formula>
    </cfRule>
  </conditionalFormatting>
  <conditionalFormatting sqref="S3262:S3267">
    <cfRule type="cellIs" dxfId="2175" priority="704" stopIfTrue="1" operator="greaterThan">
      <formula>90</formula>
    </cfRule>
  </conditionalFormatting>
  <conditionalFormatting sqref="T3262:T3267">
    <cfRule type="cellIs" dxfId="2174" priority="703" stopIfTrue="1" operator="greaterThan">
      <formula>0.4</formula>
    </cfRule>
  </conditionalFormatting>
  <conditionalFormatting sqref="U3262:U3267">
    <cfRule type="cellIs" dxfId="2173" priority="702" stopIfTrue="1" operator="greaterThan">
      <formula>2.3</formula>
    </cfRule>
  </conditionalFormatting>
  <conditionalFormatting sqref="V3262:V3267">
    <cfRule type="cellIs" dxfId="2172" priority="701" stopIfTrue="1" operator="greaterThan">
      <formula>1.1</formula>
    </cfRule>
  </conditionalFormatting>
  <conditionalFormatting sqref="W3262:W3267">
    <cfRule type="cellIs" dxfId="2171" priority="700" stopIfTrue="1" operator="greaterThan">
      <formula>0.059</formula>
    </cfRule>
  </conditionalFormatting>
  <conditionalFormatting sqref="X3262:X3267">
    <cfRule type="cellIs" dxfId="2170" priority="699" stopIfTrue="1" operator="greaterThan">
      <formula>0.16</formula>
    </cfRule>
  </conditionalFormatting>
  <conditionalFormatting sqref="Y3262:Y3267">
    <cfRule type="cellIs" dxfId="2169" priority="698" stopIfTrue="1" operator="greaterThan">
      <formula>0.076</formula>
    </cfRule>
  </conditionalFormatting>
  <conditionalFormatting sqref="O3268:O3282">
    <cfRule type="cellIs" dxfId="2168" priority="687" stopIfTrue="1" operator="greaterThan">
      <formula>5</formula>
    </cfRule>
  </conditionalFormatting>
  <conditionalFormatting sqref="Q3268:Q3282">
    <cfRule type="cellIs" dxfId="2167" priority="686" stopIfTrue="1" operator="notBetween">
      <formula>5</formula>
      <formula>9</formula>
    </cfRule>
  </conditionalFormatting>
  <conditionalFormatting sqref="R3268:R3282">
    <cfRule type="cellIs" dxfId="2166" priority="685" stopIfTrue="1" operator="greaterThan">
      <formula>75</formula>
    </cfRule>
  </conditionalFormatting>
  <conditionalFormatting sqref="S3268:S3282">
    <cfRule type="cellIs" dxfId="2165" priority="684" stopIfTrue="1" operator="greaterThan">
      <formula>90</formula>
    </cfRule>
  </conditionalFormatting>
  <conditionalFormatting sqref="T3268:T3282">
    <cfRule type="cellIs" dxfId="2164" priority="683" stopIfTrue="1" operator="greaterThan">
      <formula>0.4</formula>
    </cfRule>
  </conditionalFormatting>
  <conditionalFormatting sqref="U3268:U3282">
    <cfRule type="cellIs" dxfId="2163" priority="682" stopIfTrue="1" operator="greaterThan">
      <formula>2.3</formula>
    </cfRule>
  </conditionalFormatting>
  <conditionalFormatting sqref="V3268:V3282">
    <cfRule type="cellIs" dxfId="2162" priority="681" stopIfTrue="1" operator="greaterThan">
      <formula>1.1</formula>
    </cfRule>
  </conditionalFormatting>
  <conditionalFormatting sqref="W3268:W3282">
    <cfRule type="cellIs" dxfId="2161" priority="680" stopIfTrue="1" operator="greaterThan">
      <formula>0.059</formula>
    </cfRule>
  </conditionalFormatting>
  <conditionalFormatting sqref="X3268:X3282">
    <cfRule type="cellIs" dxfId="2160" priority="679" stopIfTrue="1" operator="greaterThan">
      <formula>0.16</formula>
    </cfRule>
  </conditionalFormatting>
  <conditionalFormatting sqref="Y3268:Y3282">
    <cfRule type="cellIs" dxfId="2159" priority="678" stopIfTrue="1" operator="greaterThan">
      <formula>0.076</formula>
    </cfRule>
  </conditionalFormatting>
  <conditionalFormatting sqref="O3285:O3293">
    <cfRule type="cellIs" dxfId="2158" priority="677" stopIfTrue="1" operator="greaterThan">
      <formula>5</formula>
    </cfRule>
  </conditionalFormatting>
  <conditionalFormatting sqref="Q3285:Q3293">
    <cfRule type="cellIs" dxfId="2157" priority="676" stopIfTrue="1" operator="notBetween">
      <formula>5</formula>
      <formula>9</formula>
    </cfRule>
  </conditionalFormatting>
  <conditionalFormatting sqref="R3285:R3293">
    <cfRule type="cellIs" dxfId="2156" priority="675" stopIfTrue="1" operator="greaterThan">
      <formula>75</formula>
    </cfRule>
  </conditionalFormatting>
  <conditionalFormatting sqref="S3285:S3293">
    <cfRule type="cellIs" dxfId="2155" priority="674" stopIfTrue="1" operator="greaterThan">
      <formula>90</formula>
    </cfRule>
  </conditionalFormatting>
  <conditionalFormatting sqref="T3285:T3293">
    <cfRule type="cellIs" dxfId="2154" priority="673" stopIfTrue="1" operator="greaterThan">
      <formula>0.4</formula>
    </cfRule>
  </conditionalFormatting>
  <conditionalFormatting sqref="U3285:U3293">
    <cfRule type="cellIs" dxfId="2153" priority="672" stopIfTrue="1" operator="greaterThan">
      <formula>2.3</formula>
    </cfRule>
  </conditionalFormatting>
  <conditionalFormatting sqref="V3285:V3293">
    <cfRule type="cellIs" dxfId="2152" priority="671" stopIfTrue="1" operator="greaterThan">
      <formula>1.1</formula>
    </cfRule>
  </conditionalFormatting>
  <conditionalFormatting sqref="W3285:W3293">
    <cfRule type="cellIs" dxfId="2151" priority="670" stopIfTrue="1" operator="greaterThan">
      <formula>0.059</formula>
    </cfRule>
  </conditionalFormatting>
  <conditionalFormatting sqref="X3285:X3293">
    <cfRule type="cellIs" dxfId="2150" priority="669" stopIfTrue="1" operator="greaterThan">
      <formula>0.16</formula>
    </cfRule>
  </conditionalFormatting>
  <conditionalFormatting sqref="Y3285:Y3293">
    <cfRule type="cellIs" dxfId="2149" priority="668" stopIfTrue="1" operator="greaterThan">
      <formula>0.076</formula>
    </cfRule>
  </conditionalFormatting>
  <conditionalFormatting sqref="O3299:O3309">
    <cfRule type="cellIs" dxfId="2148" priority="657" stopIfTrue="1" operator="greaterThan">
      <formula>5</formula>
    </cfRule>
  </conditionalFormatting>
  <conditionalFormatting sqref="Q3299:Q3309">
    <cfRule type="cellIs" dxfId="2147" priority="656" stopIfTrue="1" operator="notBetween">
      <formula>5</formula>
      <formula>9</formula>
    </cfRule>
  </conditionalFormatting>
  <conditionalFormatting sqref="R3299:R3309">
    <cfRule type="cellIs" dxfId="2146" priority="655" stopIfTrue="1" operator="greaterThan">
      <formula>75</formula>
    </cfRule>
  </conditionalFormatting>
  <conditionalFormatting sqref="S3299:S3309">
    <cfRule type="cellIs" dxfId="2145" priority="654" stopIfTrue="1" operator="greaterThan">
      <formula>90</formula>
    </cfRule>
  </conditionalFormatting>
  <conditionalFormatting sqref="T3299:T3309">
    <cfRule type="cellIs" dxfId="2144" priority="653" stopIfTrue="1" operator="greaterThan">
      <formula>0.4</formula>
    </cfRule>
  </conditionalFormatting>
  <conditionalFormatting sqref="U3299:U3309">
    <cfRule type="cellIs" dxfId="2143" priority="652" stopIfTrue="1" operator="greaterThan">
      <formula>2.3</formula>
    </cfRule>
  </conditionalFormatting>
  <conditionalFormatting sqref="V3299:V3309">
    <cfRule type="cellIs" dxfId="2142" priority="651" stopIfTrue="1" operator="greaterThan">
      <formula>1.1</formula>
    </cfRule>
  </conditionalFormatting>
  <conditionalFormatting sqref="W3299:W3309">
    <cfRule type="cellIs" dxfId="2141" priority="650" stopIfTrue="1" operator="greaterThan">
      <formula>0.059</formula>
    </cfRule>
  </conditionalFormatting>
  <conditionalFormatting sqref="X3299:X3309">
    <cfRule type="cellIs" dxfId="2140" priority="649" stopIfTrue="1" operator="greaterThan">
      <formula>0.16</formula>
    </cfRule>
  </conditionalFormatting>
  <conditionalFormatting sqref="Y3299:Y3309">
    <cfRule type="cellIs" dxfId="2139" priority="648" stopIfTrue="1" operator="greaterThan">
      <formula>0.076</formula>
    </cfRule>
  </conditionalFormatting>
  <conditionalFormatting sqref="O3310:O3315">
    <cfRule type="cellIs" dxfId="2138" priority="647" stopIfTrue="1" operator="greaterThan">
      <formula>5</formula>
    </cfRule>
  </conditionalFormatting>
  <conditionalFormatting sqref="Q3310:Q3315">
    <cfRule type="cellIs" dxfId="2137" priority="646" stopIfTrue="1" operator="notBetween">
      <formula>5</formula>
      <formula>9</formula>
    </cfRule>
  </conditionalFormatting>
  <conditionalFormatting sqref="R3310:R3315">
    <cfRule type="cellIs" dxfId="2136" priority="645" stopIfTrue="1" operator="greaterThan">
      <formula>75</formula>
    </cfRule>
  </conditionalFormatting>
  <conditionalFormatting sqref="S3310:S3315">
    <cfRule type="cellIs" dxfId="2135" priority="644" stopIfTrue="1" operator="greaterThan">
      <formula>90</formula>
    </cfRule>
  </conditionalFormatting>
  <conditionalFormatting sqref="T3310:T3315">
    <cfRule type="cellIs" dxfId="2134" priority="643" stopIfTrue="1" operator="greaterThan">
      <formula>0.4</formula>
    </cfRule>
  </conditionalFormatting>
  <conditionalFormatting sqref="U3310:U3315">
    <cfRule type="cellIs" dxfId="2133" priority="642" stopIfTrue="1" operator="greaterThan">
      <formula>2.3</formula>
    </cfRule>
  </conditionalFormatting>
  <conditionalFormatting sqref="V3310:V3315">
    <cfRule type="cellIs" dxfId="2132" priority="641" stopIfTrue="1" operator="greaterThan">
      <formula>1.1</formula>
    </cfRule>
  </conditionalFormatting>
  <conditionalFormatting sqref="W3310:W3315">
    <cfRule type="cellIs" dxfId="2131" priority="640" stopIfTrue="1" operator="greaterThan">
      <formula>0.059</formula>
    </cfRule>
  </conditionalFormatting>
  <conditionalFormatting sqref="X3310:X3315">
    <cfRule type="cellIs" dxfId="2130" priority="639" stopIfTrue="1" operator="greaterThan">
      <formula>0.16</formula>
    </cfRule>
  </conditionalFormatting>
  <conditionalFormatting sqref="Y3310:Y3315">
    <cfRule type="cellIs" dxfId="2129" priority="638" stopIfTrue="1" operator="greaterThan">
      <formula>0.076</formula>
    </cfRule>
  </conditionalFormatting>
  <conditionalFormatting sqref="O3318:O3325">
    <cfRule type="cellIs" dxfId="2128" priority="637" stopIfTrue="1" operator="greaterThan">
      <formula>5</formula>
    </cfRule>
  </conditionalFormatting>
  <conditionalFormatting sqref="Q3318:Q3325">
    <cfRule type="cellIs" dxfId="2127" priority="636" stopIfTrue="1" operator="notBetween">
      <formula>5</formula>
      <formula>9</formula>
    </cfRule>
  </conditionalFormatting>
  <conditionalFormatting sqref="R3318:R3325">
    <cfRule type="cellIs" dxfId="2126" priority="635" stopIfTrue="1" operator="greaterThan">
      <formula>75</formula>
    </cfRule>
  </conditionalFormatting>
  <conditionalFormatting sqref="S3318:S3325">
    <cfRule type="cellIs" dxfId="2125" priority="634" stopIfTrue="1" operator="greaterThan">
      <formula>90</formula>
    </cfRule>
  </conditionalFormatting>
  <conditionalFormatting sqref="T3318:T3325">
    <cfRule type="cellIs" dxfId="2124" priority="633" stopIfTrue="1" operator="greaterThan">
      <formula>0.4</formula>
    </cfRule>
  </conditionalFormatting>
  <conditionalFormatting sqref="U3318:U3325">
    <cfRule type="cellIs" dxfId="2123" priority="632" stopIfTrue="1" operator="greaterThan">
      <formula>2.3</formula>
    </cfRule>
  </conditionalFormatting>
  <conditionalFormatting sqref="V3318:V3325">
    <cfRule type="cellIs" dxfId="2122" priority="631" stopIfTrue="1" operator="greaterThan">
      <formula>1.1</formula>
    </cfRule>
  </conditionalFormatting>
  <conditionalFormatting sqref="W3318:W3325">
    <cfRule type="cellIs" dxfId="2121" priority="630" stopIfTrue="1" operator="greaterThan">
      <formula>0.059</formula>
    </cfRule>
  </conditionalFormatting>
  <conditionalFormatting sqref="X3318:X3325">
    <cfRule type="cellIs" dxfId="2120" priority="629" stopIfTrue="1" operator="greaterThan">
      <formula>0.16</formula>
    </cfRule>
  </conditionalFormatting>
  <conditionalFormatting sqref="Y3318:Y3325">
    <cfRule type="cellIs" dxfId="2119" priority="628" stopIfTrue="1" operator="greaterThan">
      <formula>0.076</formula>
    </cfRule>
  </conditionalFormatting>
  <conditionalFormatting sqref="O3335">
    <cfRule type="cellIs" dxfId="2118" priority="627" stopIfTrue="1" operator="greaterThan">
      <formula>5</formula>
    </cfRule>
  </conditionalFormatting>
  <conditionalFormatting sqref="Q3335">
    <cfRule type="cellIs" dxfId="2117" priority="626" stopIfTrue="1" operator="notBetween">
      <formula>5</formula>
      <formula>9</formula>
    </cfRule>
  </conditionalFormatting>
  <conditionalFormatting sqref="R3335">
    <cfRule type="cellIs" dxfId="2116" priority="625" stopIfTrue="1" operator="greaterThan">
      <formula>75</formula>
    </cfRule>
  </conditionalFormatting>
  <conditionalFormatting sqref="S3335">
    <cfRule type="cellIs" dxfId="2115" priority="624" stopIfTrue="1" operator="greaterThan">
      <formula>90</formula>
    </cfRule>
  </conditionalFormatting>
  <conditionalFormatting sqref="T3335">
    <cfRule type="cellIs" dxfId="2114" priority="623" stopIfTrue="1" operator="greaterThan">
      <formula>0.4</formula>
    </cfRule>
  </conditionalFormatting>
  <conditionalFormatting sqref="U3335">
    <cfRule type="cellIs" dxfId="2113" priority="622" stopIfTrue="1" operator="greaterThan">
      <formula>2.3</formula>
    </cfRule>
  </conditionalFormatting>
  <conditionalFormatting sqref="V3335">
    <cfRule type="cellIs" dxfId="2112" priority="621" stopIfTrue="1" operator="greaterThan">
      <formula>1.1</formula>
    </cfRule>
  </conditionalFormatting>
  <conditionalFormatting sqref="W3335">
    <cfRule type="cellIs" dxfId="2111" priority="620" stopIfTrue="1" operator="greaterThan">
      <formula>0.059</formula>
    </cfRule>
  </conditionalFormatting>
  <conditionalFormatting sqref="X3335">
    <cfRule type="cellIs" dxfId="2110" priority="619" stopIfTrue="1" operator="greaterThan">
      <formula>0.16</formula>
    </cfRule>
  </conditionalFormatting>
  <conditionalFormatting sqref="Y3335">
    <cfRule type="cellIs" dxfId="2109" priority="618" stopIfTrue="1" operator="greaterThan">
      <formula>0.076</formula>
    </cfRule>
  </conditionalFormatting>
  <conditionalFormatting sqref="O3341:O3345">
    <cfRule type="cellIs" dxfId="2108" priority="607" stopIfTrue="1" operator="greaterThan">
      <formula>5</formula>
    </cfRule>
  </conditionalFormatting>
  <conditionalFormatting sqref="Q3341:Q3345">
    <cfRule type="cellIs" dxfId="2107" priority="606" stopIfTrue="1" operator="notBetween">
      <formula>5</formula>
      <formula>9</formula>
    </cfRule>
  </conditionalFormatting>
  <conditionalFormatting sqref="R3341:R3345">
    <cfRule type="cellIs" dxfId="2106" priority="605" stopIfTrue="1" operator="greaterThan">
      <formula>75</formula>
    </cfRule>
  </conditionalFormatting>
  <conditionalFormatting sqref="S3341:S3345">
    <cfRule type="cellIs" dxfId="2105" priority="604" stopIfTrue="1" operator="greaterThan">
      <formula>90</formula>
    </cfRule>
  </conditionalFormatting>
  <conditionalFormatting sqref="T3341:T3345">
    <cfRule type="cellIs" dxfId="2104" priority="603" stopIfTrue="1" operator="greaterThan">
      <formula>0.4</formula>
    </cfRule>
  </conditionalFormatting>
  <conditionalFormatting sqref="U3341:U3345">
    <cfRule type="cellIs" dxfId="2103" priority="602" stopIfTrue="1" operator="greaterThan">
      <formula>2.3</formula>
    </cfRule>
  </conditionalFormatting>
  <conditionalFormatting sqref="V3341:V3345">
    <cfRule type="cellIs" dxfId="2102" priority="601" stopIfTrue="1" operator="greaterThan">
      <formula>1.1</formula>
    </cfRule>
  </conditionalFormatting>
  <conditionalFormatting sqref="W3341:W3345">
    <cfRule type="cellIs" dxfId="2101" priority="600" stopIfTrue="1" operator="greaterThan">
      <formula>0.059</formula>
    </cfRule>
  </conditionalFormatting>
  <conditionalFormatting sqref="X3341:X3345">
    <cfRule type="cellIs" dxfId="2100" priority="599" stopIfTrue="1" operator="greaterThan">
      <formula>0.16</formula>
    </cfRule>
  </conditionalFormatting>
  <conditionalFormatting sqref="Y3341:Y3345">
    <cfRule type="cellIs" dxfId="2099" priority="598" stopIfTrue="1" operator="greaterThan">
      <formula>0.076</formula>
    </cfRule>
  </conditionalFormatting>
  <conditionalFormatting sqref="O3359:O3363">
    <cfRule type="cellIs" dxfId="2098" priority="597" stopIfTrue="1" operator="greaterThan">
      <formula>5</formula>
    </cfRule>
  </conditionalFormatting>
  <conditionalFormatting sqref="Q3359:Q3363">
    <cfRule type="cellIs" dxfId="2097" priority="596" stopIfTrue="1" operator="notBetween">
      <formula>5</formula>
      <formula>9</formula>
    </cfRule>
  </conditionalFormatting>
  <conditionalFormatting sqref="R3359:R3363">
    <cfRule type="cellIs" dxfId="2096" priority="595" stopIfTrue="1" operator="greaterThan">
      <formula>75</formula>
    </cfRule>
  </conditionalFormatting>
  <conditionalFormatting sqref="S3359:S3363">
    <cfRule type="cellIs" dxfId="2095" priority="594" stopIfTrue="1" operator="greaterThan">
      <formula>90</formula>
    </cfRule>
  </conditionalFormatting>
  <conditionalFormatting sqref="T3359:T3363">
    <cfRule type="cellIs" dxfId="2094" priority="593" stopIfTrue="1" operator="greaterThan">
      <formula>0.4</formula>
    </cfRule>
  </conditionalFormatting>
  <conditionalFormatting sqref="U3359:U3363">
    <cfRule type="cellIs" dxfId="2093" priority="592" stopIfTrue="1" operator="greaterThan">
      <formula>2.3</formula>
    </cfRule>
  </conditionalFormatting>
  <conditionalFormatting sqref="V3359:V3363">
    <cfRule type="cellIs" dxfId="2092" priority="591" stopIfTrue="1" operator="greaterThan">
      <formula>1.1</formula>
    </cfRule>
  </conditionalFormatting>
  <conditionalFormatting sqref="W3359:W3363">
    <cfRule type="cellIs" dxfId="2091" priority="590" stopIfTrue="1" operator="greaterThan">
      <formula>0.059</formula>
    </cfRule>
  </conditionalFormatting>
  <conditionalFormatting sqref="X3359:X3363">
    <cfRule type="cellIs" dxfId="2090" priority="589" stopIfTrue="1" operator="greaterThan">
      <formula>0.16</formula>
    </cfRule>
  </conditionalFormatting>
  <conditionalFormatting sqref="Y3359:Y3363">
    <cfRule type="cellIs" dxfId="2089" priority="588" stopIfTrue="1" operator="greaterThan">
      <formula>0.076</formula>
    </cfRule>
  </conditionalFormatting>
  <conditionalFormatting sqref="O3367:O3386">
    <cfRule type="cellIs" dxfId="2088" priority="587" stopIfTrue="1" operator="greaterThan">
      <formula>5</formula>
    </cfRule>
  </conditionalFormatting>
  <conditionalFormatting sqref="Q3367:Q3386">
    <cfRule type="cellIs" dxfId="2087" priority="586" stopIfTrue="1" operator="notBetween">
      <formula>5</formula>
      <formula>9</formula>
    </cfRule>
  </conditionalFormatting>
  <conditionalFormatting sqref="R3367:R3386">
    <cfRule type="cellIs" dxfId="2086" priority="585" stopIfTrue="1" operator="greaterThan">
      <formula>75</formula>
    </cfRule>
  </conditionalFormatting>
  <conditionalFormatting sqref="S3367:S3386">
    <cfRule type="cellIs" dxfId="2085" priority="584" stopIfTrue="1" operator="greaterThan">
      <formula>90</formula>
    </cfRule>
  </conditionalFormatting>
  <conditionalFormatting sqref="T3367:T3386">
    <cfRule type="cellIs" dxfId="2084" priority="583" stopIfTrue="1" operator="greaterThan">
      <formula>0.4</formula>
    </cfRule>
  </conditionalFormatting>
  <conditionalFormatting sqref="U3367:U3386">
    <cfRule type="cellIs" dxfId="2083" priority="582" stopIfTrue="1" operator="greaterThan">
      <formula>2.3</formula>
    </cfRule>
  </conditionalFormatting>
  <conditionalFormatting sqref="V3367:V3386">
    <cfRule type="cellIs" dxfId="2082" priority="581" stopIfTrue="1" operator="greaterThan">
      <formula>1.1</formula>
    </cfRule>
  </conditionalFormatting>
  <conditionalFormatting sqref="W3367:W3386">
    <cfRule type="cellIs" dxfId="2081" priority="580" stopIfTrue="1" operator="greaterThan">
      <formula>0.059</formula>
    </cfRule>
  </conditionalFormatting>
  <conditionalFormatting sqref="X3367:X3386">
    <cfRule type="cellIs" dxfId="2080" priority="579" stopIfTrue="1" operator="greaterThan">
      <formula>0.16</formula>
    </cfRule>
  </conditionalFormatting>
  <conditionalFormatting sqref="Y3367:Y3386">
    <cfRule type="cellIs" dxfId="2079" priority="578" stopIfTrue="1" operator="greaterThan">
      <formula>0.076</formula>
    </cfRule>
  </conditionalFormatting>
  <conditionalFormatting sqref="O3387:O3395">
    <cfRule type="cellIs" dxfId="2078" priority="577" stopIfTrue="1" operator="greaterThan">
      <formula>5</formula>
    </cfRule>
  </conditionalFormatting>
  <conditionalFormatting sqref="Q3387:Q3395">
    <cfRule type="cellIs" dxfId="2077" priority="576" stopIfTrue="1" operator="notBetween">
      <formula>5</formula>
      <formula>9</formula>
    </cfRule>
  </conditionalFormatting>
  <conditionalFormatting sqref="R3387:R3395">
    <cfRule type="cellIs" dxfId="2076" priority="575" stopIfTrue="1" operator="greaterThan">
      <formula>75</formula>
    </cfRule>
  </conditionalFormatting>
  <conditionalFormatting sqref="S3387:S3395">
    <cfRule type="cellIs" dxfId="2075" priority="574" stopIfTrue="1" operator="greaterThan">
      <formula>90</formula>
    </cfRule>
  </conditionalFormatting>
  <conditionalFormatting sqref="T3387:T3395">
    <cfRule type="cellIs" dxfId="2074" priority="573" stopIfTrue="1" operator="greaterThan">
      <formula>0.4</formula>
    </cfRule>
  </conditionalFormatting>
  <conditionalFormatting sqref="U3387:U3395">
    <cfRule type="cellIs" dxfId="2073" priority="572" stopIfTrue="1" operator="greaterThan">
      <formula>2.3</formula>
    </cfRule>
  </conditionalFormatting>
  <conditionalFormatting sqref="V3387:V3395">
    <cfRule type="cellIs" dxfId="2072" priority="571" stopIfTrue="1" operator="greaterThan">
      <formula>1.1</formula>
    </cfRule>
  </conditionalFormatting>
  <conditionalFormatting sqref="W3387:W3395">
    <cfRule type="cellIs" dxfId="2071" priority="570" stopIfTrue="1" operator="greaterThan">
      <formula>0.059</formula>
    </cfRule>
  </conditionalFormatting>
  <conditionalFormatting sqref="X3387:X3395">
    <cfRule type="cellIs" dxfId="2070" priority="569" stopIfTrue="1" operator="greaterThan">
      <formula>0.16</formula>
    </cfRule>
  </conditionalFormatting>
  <conditionalFormatting sqref="Y3387:Y3395">
    <cfRule type="cellIs" dxfId="2069" priority="568" stopIfTrue="1" operator="greaterThan">
      <formula>0.076</formula>
    </cfRule>
  </conditionalFormatting>
  <conditionalFormatting sqref="O3396">
    <cfRule type="cellIs" dxfId="2068" priority="567" stopIfTrue="1" operator="greaterThan">
      <formula>5</formula>
    </cfRule>
  </conditionalFormatting>
  <conditionalFormatting sqref="Q3396">
    <cfRule type="cellIs" dxfId="2067" priority="566" stopIfTrue="1" operator="notBetween">
      <formula>5</formula>
      <formula>9</formula>
    </cfRule>
  </conditionalFormatting>
  <conditionalFormatting sqref="R3396">
    <cfRule type="cellIs" dxfId="2066" priority="565" stopIfTrue="1" operator="greaterThan">
      <formula>75</formula>
    </cfRule>
  </conditionalFormatting>
  <conditionalFormatting sqref="S3396">
    <cfRule type="cellIs" dxfId="2065" priority="564" stopIfTrue="1" operator="greaterThan">
      <formula>90</formula>
    </cfRule>
  </conditionalFormatting>
  <conditionalFormatting sqref="T3396">
    <cfRule type="cellIs" dxfId="2064" priority="563" stopIfTrue="1" operator="greaterThan">
      <formula>0.4</formula>
    </cfRule>
  </conditionalFormatting>
  <conditionalFormatting sqref="U3396">
    <cfRule type="cellIs" dxfId="2063" priority="562" stopIfTrue="1" operator="greaterThan">
      <formula>2.3</formula>
    </cfRule>
  </conditionalFormatting>
  <conditionalFormatting sqref="V3396">
    <cfRule type="cellIs" dxfId="2062" priority="561" stopIfTrue="1" operator="greaterThan">
      <formula>1.1</formula>
    </cfRule>
  </conditionalFormatting>
  <conditionalFormatting sqref="W3396">
    <cfRule type="cellIs" dxfId="2061" priority="560" stopIfTrue="1" operator="greaterThan">
      <formula>0.059</formula>
    </cfRule>
  </conditionalFormatting>
  <conditionalFormatting sqref="X3396">
    <cfRule type="cellIs" dxfId="2060" priority="559" stopIfTrue="1" operator="greaterThan">
      <formula>0.16</formula>
    </cfRule>
  </conditionalFormatting>
  <conditionalFormatting sqref="Y3396">
    <cfRule type="cellIs" dxfId="2059" priority="558" stopIfTrue="1" operator="greaterThan">
      <formula>0.076</formula>
    </cfRule>
  </conditionalFormatting>
  <conditionalFormatting sqref="O3401">
    <cfRule type="cellIs" dxfId="2058" priority="557" stopIfTrue="1" operator="greaterThan">
      <formula>5</formula>
    </cfRule>
  </conditionalFormatting>
  <conditionalFormatting sqref="Q3401">
    <cfRule type="cellIs" dxfId="2057" priority="556" stopIfTrue="1" operator="notBetween">
      <formula>5</formula>
      <formula>9</formula>
    </cfRule>
  </conditionalFormatting>
  <conditionalFormatting sqref="R3401">
    <cfRule type="cellIs" dxfId="2056" priority="555" stopIfTrue="1" operator="greaterThan">
      <formula>75</formula>
    </cfRule>
  </conditionalFormatting>
  <conditionalFormatting sqref="S3401">
    <cfRule type="cellIs" dxfId="2055" priority="554" stopIfTrue="1" operator="greaterThan">
      <formula>90</formula>
    </cfRule>
  </conditionalFormatting>
  <conditionalFormatting sqref="T3401">
    <cfRule type="cellIs" dxfId="2054" priority="553" stopIfTrue="1" operator="greaterThan">
      <formula>0.4</formula>
    </cfRule>
  </conditionalFormatting>
  <conditionalFormatting sqref="U3401">
    <cfRule type="cellIs" dxfId="2053" priority="552" stopIfTrue="1" operator="greaterThan">
      <formula>2.3</formula>
    </cfRule>
  </conditionalFormatting>
  <conditionalFormatting sqref="V3401">
    <cfRule type="cellIs" dxfId="2052" priority="551" stopIfTrue="1" operator="greaterThan">
      <formula>1.1</formula>
    </cfRule>
  </conditionalFormatting>
  <conditionalFormatting sqref="W3401">
    <cfRule type="cellIs" dxfId="2051" priority="550" stopIfTrue="1" operator="greaterThan">
      <formula>0.059</formula>
    </cfRule>
  </conditionalFormatting>
  <conditionalFormatting sqref="X3401">
    <cfRule type="cellIs" dxfId="2050" priority="549" stopIfTrue="1" operator="greaterThan">
      <formula>0.16</formula>
    </cfRule>
  </conditionalFormatting>
  <conditionalFormatting sqref="Y3401">
    <cfRule type="cellIs" dxfId="2049" priority="548" stopIfTrue="1" operator="greaterThan">
      <formula>0.076</formula>
    </cfRule>
  </conditionalFormatting>
  <conditionalFormatting sqref="O4565:O4566">
    <cfRule type="cellIs" dxfId="2048" priority="547" stopIfTrue="1" operator="greaterThan">
      <formula>5</formula>
    </cfRule>
  </conditionalFormatting>
  <conditionalFormatting sqref="Q4565:Q4566">
    <cfRule type="cellIs" dxfId="2047" priority="546" stopIfTrue="1" operator="notBetween">
      <formula>5</formula>
      <formula>9</formula>
    </cfRule>
  </conditionalFormatting>
  <conditionalFormatting sqref="R4565:R4566">
    <cfRule type="cellIs" dxfId="2046" priority="545" stopIfTrue="1" operator="greaterThan">
      <formula>75</formula>
    </cfRule>
  </conditionalFormatting>
  <conditionalFormatting sqref="S4565:S4566">
    <cfRule type="cellIs" dxfId="2045" priority="544" stopIfTrue="1" operator="greaterThan">
      <formula>90</formula>
    </cfRule>
  </conditionalFormatting>
  <conditionalFormatting sqref="T4565:T4566">
    <cfRule type="cellIs" dxfId="2044" priority="543" stopIfTrue="1" operator="greaterThan">
      <formula>0.4</formula>
    </cfRule>
  </conditionalFormatting>
  <conditionalFormatting sqref="U4565:U4566">
    <cfRule type="cellIs" dxfId="2043" priority="542" stopIfTrue="1" operator="greaterThan">
      <formula>2.3</formula>
    </cfRule>
  </conditionalFormatting>
  <conditionalFormatting sqref="V4565:V4566">
    <cfRule type="cellIs" dxfId="2042" priority="541" stopIfTrue="1" operator="greaterThan">
      <formula>1.1</formula>
    </cfRule>
  </conditionalFormatting>
  <conditionalFormatting sqref="W4565:W4566">
    <cfRule type="cellIs" dxfId="2041" priority="540" stopIfTrue="1" operator="greaterThan">
      <formula>0.059</formula>
    </cfRule>
  </conditionalFormatting>
  <conditionalFormatting sqref="X4565:X4566">
    <cfRule type="cellIs" dxfId="2040" priority="539" stopIfTrue="1" operator="greaterThan">
      <formula>0.16</formula>
    </cfRule>
  </conditionalFormatting>
  <conditionalFormatting sqref="Y4565:Y4566">
    <cfRule type="cellIs" dxfId="2039" priority="538" stopIfTrue="1" operator="greaterThan">
      <formula>0.076</formula>
    </cfRule>
  </conditionalFormatting>
  <conditionalFormatting sqref="O4603">
    <cfRule type="cellIs" dxfId="2038" priority="537" stopIfTrue="1" operator="greaterThan">
      <formula>5</formula>
    </cfRule>
  </conditionalFormatting>
  <conditionalFormatting sqref="Q4603">
    <cfRule type="cellIs" dxfId="2037" priority="536" stopIfTrue="1" operator="notBetween">
      <formula>5</formula>
      <formula>9</formula>
    </cfRule>
  </conditionalFormatting>
  <conditionalFormatting sqref="R4603">
    <cfRule type="cellIs" dxfId="2036" priority="535" stopIfTrue="1" operator="greaterThan">
      <formula>75</formula>
    </cfRule>
  </conditionalFormatting>
  <conditionalFormatting sqref="S4603">
    <cfRule type="cellIs" dxfId="2035" priority="534" stopIfTrue="1" operator="greaterThan">
      <formula>90</formula>
    </cfRule>
  </conditionalFormatting>
  <conditionalFormatting sqref="T4603">
    <cfRule type="cellIs" dxfId="2034" priority="533" stopIfTrue="1" operator="greaterThan">
      <formula>0.4</formula>
    </cfRule>
  </conditionalFormatting>
  <conditionalFormatting sqref="U4603">
    <cfRule type="cellIs" dxfId="2033" priority="532" stopIfTrue="1" operator="greaterThan">
      <formula>2.3</formula>
    </cfRule>
  </conditionalFormatting>
  <conditionalFormatting sqref="V4603">
    <cfRule type="cellIs" dxfId="2032" priority="531" stopIfTrue="1" operator="greaterThan">
      <formula>1.1</formula>
    </cfRule>
  </conditionalFormatting>
  <conditionalFormatting sqref="W4603">
    <cfRule type="cellIs" dxfId="2031" priority="530" stopIfTrue="1" operator="greaterThan">
      <formula>0.059</formula>
    </cfRule>
  </conditionalFormatting>
  <conditionalFormatting sqref="X4603">
    <cfRule type="cellIs" dxfId="2030" priority="529" stopIfTrue="1" operator="greaterThan">
      <formula>0.16</formula>
    </cfRule>
  </conditionalFormatting>
  <conditionalFormatting sqref="O1600">
    <cfRule type="cellIs" dxfId="2029" priority="517" stopIfTrue="1" operator="greaterThan">
      <formula>5</formula>
    </cfRule>
  </conditionalFormatting>
  <conditionalFormatting sqref="Q1600">
    <cfRule type="cellIs" dxfId="2028" priority="516" stopIfTrue="1" operator="notBetween">
      <formula>5</formula>
      <formula>9</formula>
    </cfRule>
  </conditionalFormatting>
  <conditionalFormatting sqref="R1600">
    <cfRule type="cellIs" dxfId="2027" priority="515" stopIfTrue="1" operator="greaterThan">
      <formula>75</formula>
    </cfRule>
  </conditionalFormatting>
  <conditionalFormatting sqref="S1600">
    <cfRule type="cellIs" dxfId="2026" priority="514" stopIfTrue="1" operator="greaterThan">
      <formula>90</formula>
    </cfRule>
  </conditionalFormatting>
  <conditionalFormatting sqref="T1600">
    <cfRule type="cellIs" dxfId="2025" priority="513" stopIfTrue="1" operator="greaterThan">
      <formula>0.4</formula>
    </cfRule>
  </conditionalFormatting>
  <conditionalFormatting sqref="U1600">
    <cfRule type="cellIs" dxfId="2024" priority="512" stopIfTrue="1" operator="greaterThan">
      <formula>2.3</formula>
    </cfRule>
  </conditionalFormatting>
  <conditionalFormatting sqref="V1600">
    <cfRule type="cellIs" dxfId="2023" priority="511" stopIfTrue="1" operator="greaterThan">
      <formula>1.1</formula>
    </cfRule>
  </conditionalFormatting>
  <conditionalFormatting sqref="W1600">
    <cfRule type="cellIs" dxfId="2022" priority="510" stopIfTrue="1" operator="greaterThan">
      <formula>0.059</formula>
    </cfRule>
  </conditionalFormatting>
  <conditionalFormatting sqref="X1600">
    <cfRule type="cellIs" dxfId="2021" priority="509" stopIfTrue="1" operator="greaterThan">
      <formula>0.16</formula>
    </cfRule>
  </conditionalFormatting>
  <conditionalFormatting sqref="Y1600">
    <cfRule type="cellIs" dxfId="2020" priority="508" stopIfTrue="1" operator="greaterThan">
      <formula>0.076</formula>
    </cfRule>
  </conditionalFormatting>
  <conditionalFormatting sqref="O2086">
    <cfRule type="cellIs" dxfId="2019" priority="507" stopIfTrue="1" operator="greaterThan">
      <formula>5</formula>
    </cfRule>
  </conditionalFormatting>
  <conditionalFormatting sqref="Q2086">
    <cfRule type="cellIs" dxfId="2018" priority="506" stopIfTrue="1" operator="notBetween">
      <formula>5</formula>
      <formula>9</formula>
    </cfRule>
  </conditionalFormatting>
  <conditionalFormatting sqref="R2086">
    <cfRule type="cellIs" dxfId="2017" priority="505" stopIfTrue="1" operator="greaterThan">
      <formula>75</formula>
    </cfRule>
  </conditionalFormatting>
  <conditionalFormatting sqref="S2086">
    <cfRule type="cellIs" dxfId="2016" priority="504" stopIfTrue="1" operator="greaterThan">
      <formula>90</formula>
    </cfRule>
  </conditionalFormatting>
  <conditionalFormatting sqref="T2086">
    <cfRule type="cellIs" dxfId="2015" priority="503" stopIfTrue="1" operator="greaterThan">
      <formula>0.4</formula>
    </cfRule>
  </conditionalFormatting>
  <conditionalFormatting sqref="U2086">
    <cfRule type="cellIs" dxfId="2014" priority="502" stopIfTrue="1" operator="greaterThan">
      <formula>2.3</formula>
    </cfRule>
  </conditionalFormatting>
  <conditionalFormatting sqref="V2086">
    <cfRule type="cellIs" dxfId="2013" priority="501" stopIfTrue="1" operator="greaterThan">
      <formula>1.1</formula>
    </cfRule>
  </conditionalFormatting>
  <conditionalFormatting sqref="W2086">
    <cfRule type="cellIs" dxfId="2012" priority="500" stopIfTrue="1" operator="greaterThan">
      <formula>0.059</formula>
    </cfRule>
  </conditionalFormatting>
  <conditionalFormatting sqref="X2086">
    <cfRule type="cellIs" dxfId="2011" priority="499" stopIfTrue="1" operator="greaterThan">
      <formula>0.16</formula>
    </cfRule>
  </conditionalFormatting>
  <conditionalFormatting sqref="Y2086">
    <cfRule type="cellIs" dxfId="2010" priority="498" stopIfTrue="1" operator="greaterThan">
      <formula>0.076</formula>
    </cfRule>
  </conditionalFormatting>
  <conditionalFormatting sqref="O2918">
    <cfRule type="cellIs" dxfId="2009" priority="497" stopIfTrue="1" operator="greaterThan">
      <formula>5</formula>
    </cfRule>
  </conditionalFormatting>
  <conditionalFormatting sqref="Q2918">
    <cfRule type="cellIs" dxfId="2008" priority="496" stopIfTrue="1" operator="notBetween">
      <formula>5</formula>
      <formula>9</formula>
    </cfRule>
  </conditionalFormatting>
  <conditionalFormatting sqref="R2918">
    <cfRule type="cellIs" dxfId="2007" priority="495" stopIfTrue="1" operator="greaterThan">
      <formula>75</formula>
    </cfRule>
  </conditionalFormatting>
  <conditionalFormatting sqref="S2918">
    <cfRule type="cellIs" dxfId="2006" priority="494" stopIfTrue="1" operator="greaterThan">
      <formula>90</formula>
    </cfRule>
  </conditionalFormatting>
  <conditionalFormatting sqref="T2918">
    <cfRule type="cellIs" dxfId="2005" priority="493" stopIfTrue="1" operator="greaterThan">
      <formula>0.4</formula>
    </cfRule>
  </conditionalFormatting>
  <conditionalFormatting sqref="U2918">
    <cfRule type="cellIs" dxfId="2004" priority="492" stopIfTrue="1" operator="greaterThan">
      <formula>2.3</formula>
    </cfRule>
  </conditionalFormatting>
  <conditionalFormatting sqref="V2918">
    <cfRule type="cellIs" dxfId="2003" priority="491" stopIfTrue="1" operator="greaterThan">
      <formula>1.1</formula>
    </cfRule>
  </conditionalFormatting>
  <conditionalFormatting sqref="W2918">
    <cfRule type="cellIs" dxfId="2002" priority="490" stopIfTrue="1" operator="greaterThan">
      <formula>0.059</formula>
    </cfRule>
  </conditionalFormatting>
  <conditionalFormatting sqref="X2918">
    <cfRule type="cellIs" dxfId="2001" priority="489" stopIfTrue="1" operator="greaterThan">
      <formula>0.16</formula>
    </cfRule>
  </conditionalFormatting>
  <conditionalFormatting sqref="Y2918">
    <cfRule type="cellIs" dxfId="2000" priority="488" stopIfTrue="1" operator="greaterThan">
      <formula>0.076</formula>
    </cfRule>
  </conditionalFormatting>
  <conditionalFormatting sqref="O3115:O3116">
    <cfRule type="cellIs" dxfId="1999" priority="487" stopIfTrue="1" operator="greaterThan">
      <formula>5</formula>
    </cfRule>
  </conditionalFormatting>
  <conditionalFormatting sqref="Q3115:Q3116">
    <cfRule type="cellIs" dxfId="1998" priority="486" stopIfTrue="1" operator="notBetween">
      <formula>5</formula>
      <formula>9</formula>
    </cfRule>
  </conditionalFormatting>
  <conditionalFormatting sqref="R3115:R3116">
    <cfRule type="cellIs" dxfId="1997" priority="485" stopIfTrue="1" operator="greaterThan">
      <formula>75</formula>
    </cfRule>
  </conditionalFormatting>
  <conditionalFormatting sqref="S3115:S3116">
    <cfRule type="cellIs" dxfId="1996" priority="484" stopIfTrue="1" operator="greaterThan">
      <formula>90</formula>
    </cfRule>
  </conditionalFormatting>
  <conditionalFormatting sqref="T3115:T3116">
    <cfRule type="cellIs" dxfId="1995" priority="483" stopIfTrue="1" operator="greaterThan">
      <formula>0.4</formula>
    </cfRule>
  </conditionalFormatting>
  <conditionalFormatting sqref="U3115:U3116">
    <cfRule type="cellIs" dxfId="1994" priority="482" stopIfTrue="1" operator="greaterThan">
      <formula>2.3</formula>
    </cfRule>
  </conditionalFormatting>
  <conditionalFormatting sqref="V3115:V3116">
    <cfRule type="cellIs" dxfId="1993" priority="481" stopIfTrue="1" operator="greaterThan">
      <formula>1.1</formula>
    </cfRule>
  </conditionalFormatting>
  <conditionalFormatting sqref="W3115:W3116">
    <cfRule type="cellIs" dxfId="1992" priority="480" stopIfTrue="1" operator="greaterThan">
      <formula>0.059</formula>
    </cfRule>
  </conditionalFormatting>
  <conditionalFormatting sqref="X3115:X3116">
    <cfRule type="cellIs" dxfId="1991" priority="479" stopIfTrue="1" operator="greaterThan">
      <formula>0.16</formula>
    </cfRule>
  </conditionalFormatting>
  <conditionalFormatting sqref="Y3115:Y3116">
    <cfRule type="cellIs" dxfId="1990" priority="478" stopIfTrue="1" operator="greaterThan">
      <formula>0.076</formula>
    </cfRule>
  </conditionalFormatting>
  <conditionalFormatting sqref="O3186">
    <cfRule type="cellIs" dxfId="1989" priority="477" stopIfTrue="1" operator="greaterThan">
      <formula>5</formula>
    </cfRule>
  </conditionalFormatting>
  <conditionalFormatting sqref="Q3186">
    <cfRule type="cellIs" dxfId="1988" priority="476" stopIfTrue="1" operator="notBetween">
      <formula>5</formula>
      <formula>9</formula>
    </cfRule>
  </conditionalFormatting>
  <conditionalFormatting sqref="R3186">
    <cfRule type="cellIs" dxfId="1987" priority="475" stopIfTrue="1" operator="greaterThan">
      <formula>75</formula>
    </cfRule>
  </conditionalFormatting>
  <conditionalFormatting sqref="S3186">
    <cfRule type="cellIs" dxfId="1986" priority="474" stopIfTrue="1" operator="greaterThan">
      <formula>90</formula>
    </cfRule>
  </conditionalFormatting>
  <conditionalFormatting sqref="T3186">
    <cfRule type="cellIs" dxfId="1985" priority="473" stopIfTrue="1" operator="greaterThan">
      <formula>0.4</formula>
    </cfRule>
  </conditionalFormatting>
  <conditionalFormatting sqref="U3186">
    <cfRule type="cellIs" dxfId="1984" priority="472" stopIfTrue="1" operator="greaterThan">
      <formula>2.3</formula>
    </cfRule>
  </conditionalFormatting>
  <conditionalFormatting sqref="V3186">
    <cfRule type="cellIs" dxfId="1983" priority="471" stopIfTrue="1" operator="greaterThan">
      <formula>1.1</formula>
    </cfRule>
  </conditionalFormatting>
  <conditionalFormatting sqref="W3186">
    <cfRule type="cellIs" dxfId="1982" priority="470" stopIfTrue="1" operator="greaterThan">
      <formula>0.059</formula>
    </cfRule>
  </conditionalFormatting>
  <conditionalFormatting sqref="X3186">
    <cfRule type="cellIs" dxfId="1981" priority="469" stopIfTrue="1" operator="greaterThan">
      <formula>0.16</formula>
    </cfRule>
  </conditionalFormatting>
  <conditionalFormatting sqref="Y3186">
    <cfRule type="cellIs" dxfId="1980" priority="468" stopIfTrue="1" operator="greaterThan">
      <formula>0.076</formula>
    </cfRule>
  </conditionalFormatting>
  <conditionalFormatting sqref="O3249">
    <cfRule type="cellIs" dxfId="1979" priority="467" stopIfTrue="1" operator="greaterThan">
      <formula>5</formula>
    </cfRule>
  </conditionalFormatting>
  <conditionalFormatting sqref="Q3249">
    <cfRule type="cellIs" dxfId="1978" priority="466" stopIfTrue="1" operator="notBetween">
      <formula>5</formula>
      <formula>9</formula>
    </cfRule>
  </conditionalFormatting>
  <conditionalFormatting sqref="R3249">
    <cfRule type="cellIs" dxfId="1977" priority="465" stopIfTrue="1" operator="greaterThan">
      <formula>75</formula>
    </cfRule>
  </conditionalFormatting>
  <conditionalFormatting sqref="S3249">
    <cfRule type="cellIs" dxfId="1976" priority="464" stopIfTrue="1" operator="greaterThan">
      <formula>90</formula>
    </cfRule>
  </conditionalFormatting>
  <conditionalFormatting sqref="T3249">
    <cfRule type="cellIs" dxfId="1975" priority="463" stopIfTrue="1" operator="greaterThan">
      <formula>0.4</formula>
    </cfRule>
  </conditionalFormatting>
  <conditionalFormatting sqref="U3249">
    <cfRule type="cellIs" dxfId="1974" priority="462" stopIfTrue="1" operator="greaterThan">
      <formula>2.3</formula>
    </cfRule>
  </conditionalFormatting>
  <conditionalFormatting sqref="V3249">
    <cfRule type="cellIs" dxfId="1973" priority="461" stopIfTrue="1" operator="greaterThan">
      <formula>1.1</formula>
    </cfRule>
  </conditionalFormatting>
  <conditionalFormatting sqref="W3249">
    <cfRule type="cellIs" dxfId="1972" priority="460" stopIfTrue="1" operator="greaterThan">
      <formula>0.059</formula>
    </cfRule>
  </conditionalFormatting>
  <conditionalFormatting sqref="X3249">
    <cfRule type="cellIs" dxfId="1971" priority="459" stopIfTrue="1" operator="greaterThan">
      <formula>0.16</formula>
    </cfRule>
  </conditionalFormatting>
  <conditionalFormatting sqref="Y3249">
    <cfRule type="cellIs" dxfId="1970" priority="458" stopIfTrue="1" operator="greaterThan">
      <formula>0.076</formula>
    </cfRule>
  </conditionalFormatting>
  <conditionalFormatting sqref="O3294">
    <cfRule type="cellIs" dxfId="1969" priority="457" stopIfTrue="1" operator="greaterThan">
      <formula>5</formula>
    </cfRule>
  </conditionalFormatting>
  <conditionalFormatting sqref="Q3294">
    <cfRule type="cellIs" dxfId="1968" priority="456" stopIfTrue="1" operator="notBetween">
      <formula>5</formula>
      <formula>9</formula>
    </cfRule>
  </conditionalFormatting>
  <conditionalFormatting sqref="R3294">
    <cfRule type="cellIs" dxfId="1967" priority="455" stopIfTrue="1" operator="greaterThan">
      <formula>75</formula>
    </cfRule>
  </conditionalFormatting>
  <conditionalFormatting sqref="S3294">
    <cfRule type="cellIs" dxfId="1966" priority="454" stopIfTrue="1" operator="greaterThan">
      <formula>90</formula>
    </cfRule>
  </conditionalFormatting>
  <conditionalFormatting sqref="T3294">
    <cfRule type="cellIs" dxfId="1965" priority="453" stopIfTrue="1" operator="greaterThan">
      <formula>0.4</formula>
    </cfRule>
  </conditionalFormatting>
  <conditionalFormatting sqref="U3294">
    <cfRule type="cellIs" dxfId="1964" priority="452" stopIfTrue="1" operator="greaterThan">
      <formula>2.3</formula>
    </cfRule>
  </conditionalFormatting>
  <conditionalFormatting sqref="V3294">
    <cfRule type="cellIs" dxfId="1963" priority="451" stopIfTrue="1" operator="greaterThan">
      <formula>1.1</formula>
    </cfRule>
  </conditionalFormatting>
  <conditionalFormatting sqref="W3294">
    <cfRule type="cellIs" dxfId="1962" priority="450" stopIfTrue="1" operator="greaterThan">
      <formula>0.059</formula>
    </cfRule>
  </conditionalFormatting>
  <conditionalFormatting sqref="X3294">
    <cfRule type="cellIs" dxfId="1961" priority="449" stopIfTrue="1" operator="greaterThan">
      <formula>0.16</formula>
    </cfRule>
  </conditionalFormatting>
  <conditionalFormatting sqref="Y3294">
    <cfRule type="cellIs" dxfId="1960" priority="448" stopIfTrue="1" operator="greaterThan">
      <formula>0.076</formula>
    </cfRule>
  </conditionalFormatting>
  <conditionalFormatting sqref="O3327:O3334">
    <cfRule type="cellIs" dxfId="1959" priority="447" stopIfTrue="1" operator="greaterThan">
      <formula>5</formula>
    </cfRule>
  </conditionalFormatting>
  <conditionalFormatting sqref="Q3327:Q3334">
    <cfRule type="cellIs" dxfId="1958" priority="446" stopIfTrue="1" operator="notBetween">
      <formula>5</formula>
      <formula>9</formula>
    </cfRule>
  </conditionalFormatting>
  <conditionalFormatting sqref="R3327:R3334">
    <cfRule type="cellIs" dxfId="1957" priority="445" stopIfTrue="1" operator="greaterThan">
      <formula>75</formula>
    </cfRule>
  </conditionalFormatting>
  <conditionalFormatting sqref="S3327:S3334">
    <cfRule type="cellIs" dxfId="1956" priority="444" stopIfTrue="1" operator="greaterThan">
      <formula>90</formula>
    </cfRule>
  </conditionalFormatting>
  <conditionalFormatting sqref="T3327:T3334">
    <cfRule type="cellIs" dxfId="1955" priority="443" stopIfTrue="1" operator="greaterThan">
      <formula>0.4</formula>
    </cfRule>
  </conditionalFormatting>
  <conditionalFormatting sqref="U3327:U3334">
    <cfRule type="cellIs" dxfId="1954" priority="442" stopIfTrue="1" operator="greaterThan">
      <formula>2.3</formula>
    </cfRule>
  </conditionalFormatting>
  <conditionalFormatting sqref="V3327:V3334">
    <cfRule type="cellIs" dxfId="1953" priority="441" stopIfTrue="1" operator="greaterThan">
      <formula>1.1</formula>
    </cfRule>
  </conditionalFormatting>
  <conditionalFormatting sqref="W3327:W3334">
    <cfRule type="cellIs" dxfId="1952" priority="440" stopIfTrue="1" operator="greaterThan">
      <formula>0.059</formula>
    </cfRule>
  </conditionalFormatting>
  <conditionalFormatting sqref="X3327:X3334">
    <cfRule type="cellIs" dxfId="1951" priority="439" stopIfTrue="1" operator="greaterThan">
      <formula>0.16</formula>
    </cfRule>
  </conditionalFormatting>
  <conditionalFormatting sqref="Y3327:Y3334">
    <cfRule type="cellIs" dxfId="1950" priority="438" stopIfTrue="1" operator="greaterThan">
      <formula>0.076</formula>
    </cfRule>
  </conditionalFormatting>
  <conditionalFormatting sqref="O3326">
    <cfRule type="cellIs" dxfId="1949" priority="437" stopIfTrue="1" operator="greaterThan">
      <formula>5</formula>
    </cfRule>
  </conditionalFormatting>
  <conditionalFormatting sqref="Q3326">
    <cfRule type="cellIs" dxfId="1948" priority="436" stopIfTrue="1" operator="notBetween">
      <formula>5</formula>
      <formula>9</formula>
    </cfRule>
  </conditionalFormatting>
  <conditionalFormatting sqref="R3326">
    <cfRule type="cellIs" dxfId="1947" priority="435" stopIfTrue="1" operator="greaterThan">
      <formula>75</formula>
    </cfRule>
  </conditionalFormatting>
  <conditionalFormatting sqref="S3326">
    <cfRule type="cellIs" dxfId="1946" priority="434" stopIfTrue="1" operator="greaterThan">
      <formula>90</formula>
    </cfRule>
  </conditionalFormatting>
  <conditionalFormatting sqref="T3326">
    <cfRule type="cellIs" dxfId="1945" priority="433" stopIfTrue="1" operator="greaterThan">
      <formula>0.4</formula>
    </cfRule>
  </conditionalFormatting>
  <conditionalFormatting sqref="U3326">
    <cfRule type="cellIs" dxfId="1944" priority="432" stopIfTrue="1" operator="greaterThan">
      <formula>2.3</formula>
    </cfRule>
  </conditionalFormatting>
  <conditionalFormatting sqref="V3326">
    <cfRule type="cellIs" dxfId="1943" priority="431" stopIfTrue="1" operator="greaterThan">
      <formula>1.1</formula>
    </cfRule>
  </conditionalFormatting>
  <conditionalFormatting sqref="W3326">
    <cfRule type="cellIs" dxfId="1942" priority="430" stopIfTrue="1" operator="greaterThan">
      <formula>0.059</formula>
    </cfRule>
  </conditionalFormatting>
  <conditionalFormatting sqref="X3326">
    <cfRule type="cellIs" dxfId="1941" priority="429" stopIfTrue="1" operator="greaterThan">
      <formula>0.16</formula>
    </cfRule>
  </conditionalFormatting>
  <conditionalFormatting sqref="Y3326">
    <cfRule type="cellIs" dxfId="1940" priority="428" stopIfTrue="1" operator="greaterThan">
      <formula>0.076</formula>
    </cfRule>
  </conditionalFormatting>
  <conditionalFormatting sqref="O3336">
    <cfRule type="cellIs" dxfId="1939" priority="427" stopIfTrue="1" operator="greaterThan">
      <formula>5</formula>
    </cfRule>
  </conditionalFormatting>
  <conditionalFormatting sqref="Q3336">
    <cfRule type="cellIs" dxfId="1938" priority="426" stopIfTrue="1" operator="notBetween">
      <formula>5</formula>
      <formula>9</formula>
    </cfRule>
  </conditionalFormatting>
  <conditionalFormatting sqref="R3336">
    <cfRule type="cellIs" dxfId="1937" priority="425" stopIfTrue="1" operator="greaterThan">
      <formula>75</formula>
    </cfRule>
  </conditionalFormatting>
  <conditionalFormatting sqref="S3336">
    <cfRule type="cellIs" dxfId="1936" priority="424" stopIfTrue="1" operator="greaterThan">
      <formula>90</formula>
    </cfRule>
  </conditionalFormatting>
  <conditionalFormatting sqref="T3336">
    <cfRule type="cellIs" dxfId="1935" priority="423" stopIfTrue="1" operator="greaterThan">
      <formula>0.4</formula>
    </cfRule>
  </conditionalFormatting>
  <conditionalFormatting sqref="U3336">
    <cfRule type="cellIs" dxfId="1934" priority="422" stopIfTrue="1" operator="greaterThan">
      <formula>2.3</formula>
    </cfRule>
  </conditionalFormatting>
  <conditionalFormatting sqref="V3336">
    <cfRule type="cellIs" dxfId="1933" priority="421" stopIfTrue="1" operator="greaterThan">
      <formula>1.1</formula>
    </cfRule>
  </conditionalFormatting>
  <conditionalFormatting sqref="W3336">
    <cfRule type="cellIs" dxfId="1932" priority="420" stopIfTrue="1" operator="greaterThan">
      <formula>0.059</formula>
    </cfRule>
  </conditionalFormatting>
  <conditionalFormatting sqref="X3336">
    <cfRule type="cellIs" dxfId="1931" priority="419" stopIfTrue="1" operator="greaterThan">
      <formula>0.16</formula>
    </cfRule>
  </conditionalFormatting>
  <conditionalFormatting sqref="Y3336">
    <cfRule type="cellIs" dxfId="1930" priority="418" stopIfTrue="1" operator="greaterThan">
      <formula>0.076</formula>
    </cfRule>
  </conditionalFormatting>
  <conditionalFormatting sqref="O3339:O3340">
    <cfRule type="cellIs" dxfId="1929" priority="417" stopIfTrue="1" operator="greaterThan">
      <formula>5</formula>
    </cfRule>
  </conditionalFormatting>
  <conditionalFormatting sqref="Q3339:Q3340">
    <cfRule type="cellIs" dxfId="1928" priority="416" stopIfTrue="1" operator="notBetween">
      <formula>5</formula>
      <formula>9</formula>
    </cfRule>
  </conditionalFormatting>
  <conditionalFormatting sqref="R3339:R3340">
    <cfRule type="cellIs" dxfId="1927" priority="415" stopIfTrue="1" operator="greaterThan">
      <formula>75</formula>
    </cfRule>
  </conditionalFormatting>
  <conditionalFormatting sqref="S3339:S3340">
    <cfRule type="cellIs" dxfId="1926" priority="414" stopIfTrue="1" operator="greaterThan">
      <formula>90</formula>
    </cfRule>
  </conditionalFormatting>
  <conditionalFormatting sqref="T3339:T3340">
    <cfRule type="cellIs" dxfId="1925" priority="413" stopIfTrue="1" operator="greaterThan">
      <formula>0.4</formula>
    </cfRule>
  </conditionalFormatting>
  <conditionalFormatting sqref="U3339:U3340">
    <cfRule type="cellIs" dxfId="1924" priority="412" stopIfTrue="1" operator="greaterThan">
      <formula>2.3</formula>
    </cfRule>
  </conditionalFormatting>
  <conditionalFormatting sqref="V3339:V3340">
    <cfRule type="cellIs" dxfId="1923" priority="411" stopIfTrue="1" operator="greaterThan">
      <formula>1.1</formula>
    </cfRule>
  </conditionalFormatting>
  <conditionalFormatting sqref="W3339:W3340">
    <cfRule type="cellIs" dxfId="1922" priority="410" stopIfTrue="1" operator="greaterThan">
      <formula>0.059</formula>
    </cfRule>
  </conditionalFormatting>
  <conditionalFormatting sqref="X3339:X3340">
    <cfRule type="cellIs" dxfId="1921" priority="409" stopIfTrue="1" operator="greaterThan">
      <formula>0.16</formula>
    </cfRule>
  </conditionalFormatting>
  <conditionalFormatting sqref="Y3339:Y3340">
    <cfRule type="cellIs" dxfId="1920" priority="408" stopIfTrue="1" operator="greaterThan">
      <formula>0.076</formula>
    </cfRule>
  </conditionalFormatting>
  <conditionalFormatting sqref="O3346:O3358">
    <cfRule type="cellIs" dxfId="1919" priority="407" stopIfTrue="1" operator="greaterThan">
      <formula>5</formula>
    </cfRule>
  </conditionalFormatting>
  <conditionalFormatting sqref="Q3346:Q3358">
    <cfRule type="cellIs" dxfId="1918" priority="406" stopIfTrue="1" operator="notBetween">
      <formula>5</formula>
      <formula>9</formula>
    </cfRule>
  </conditionalFormatting>
  <conditionalFormatting sqref="R3346:R3358">
    <cfRule type="cellIs" dxfId="1917" priority="405" stopIfTrue="1" operator="greaterThan">
      <formula>75</formula>
    </cfRule>
  </conditionalFormatting>
  <conditionalFormatting sqref="S3346:S3358">
    <cfRule type="cellIs" dxfId="1916" priority="404" stopIfTrue="1" operator="greaterThan">
      <formula>90</formula>
    </cfRule>
  </conditionalFormatting>
  <conditionalFormatting sqref="T3346:T3358">
    <cfRule type="cellIs" dxfId="1915" priority="403" stopIfTrue="1" operator="greaterThan">
      <formula>0.4</formula>
    </cfRule>
  </conditionalFormatting>
  <conditionalFormatting sqref="U3346:U3358">
    <cfRule type="cellIs" dxfId="1914" priority="402" stopIfTrue="1" operator="greaterThan">
      <formula>2.3</formula>
    </cfRule>
  </conditionalFormatting>
  <conditionalFormatting sqref="V3346:V3358">
    <cfRule type="cellIs" dxfId="1913" priority="401" stopIfTrue="1" operator="greaterThan">
      <formula>1.1</formula>
    </cfRule>
  </conditionalFormatting>
  <conditionalFormatting sqref="W3346:W3358">
    <cfRule type="cellIs" dxfId="1912" priority="400" stopIfTrue="1" operator="greaterThan">
      <formula>0.059</formula>
    </cfRule>
  </conditionalFormatting>
  <conditionalFormatting sqref="X3346:X3358">
    <cfRule type="cellIs" dxfId="1911" priority="399" stopIfTrue="1" operator="greaterThan">
      <formula>0.16</formula>
    </cfRule>
  </conditionalFormatting>
  <conditionalFormatting sqref="Y3346:Y3358">
    <cfRule type="cellIs" dxfId="1910" priority="398" stopIfTrue="1" operator="greaterThan">
      <formula>0.076</formula>
    </cfRule>
  </conditionalFormatting>
  <conditionalFormatting sqref="O3364:O3365">
    <cfRule type="cellIs" dxfId="1909" priority="397" stopIfTrue="1" operator="greaterThan">
      <formula>5</formula>
    </cfRule>
  </conditionalFormatting>
  <conditionalFormatting sqref="Q3364:Q3365">
    <cfRule type="cellIs" dxfId="1908" priority="396" stopIfTrue="1" operator="notBetween">
      <formula>5</formula>
      <formula>9</formula>
    </cfRule>
  </conditionalFormatting>
  <conditionalFormatting sqref="R3364:R3365">
    <cfRule type="cellIs" dxfId="1907" priority="395" stopIfTrue="1" operator="greaterThan">
      <formula>75</formula>
    </cfRule>
  </conditionalFormatting>
  <conditionalFormatting sqref="S3364:S3365">
    <cfRule type="cellIs" dxfId="1906" priority="394" stopIfTrue="1" operator="greaterThan">
      <formula>90</formula>
    </cfRule>
  </conditionalFormatting>
  <conditionalFormatting sqref="T3364:T3365">
    <cfRule type="cellIs" dxfId="1905" priority="393" stopIfTrue="1" operator="greaterThan">
      <formula>0.4</formula>
    </cfRule>
  </conditionalFormatting>
  <conditionalFormatting sqref="U3364:U3365">
    <cfRule type="cellIs" dxfId="1904" priority="392" stopIfTrue="1" operator="greaterThan">
      <formula>2.3</formula>
    </cfRule>
  </conditionalFormatting>
  <conditionalFormatting sqref="V3364:V3365">
    <cfRule type="cellIs" dxfId="1903" priority="391" stopIfTrue="1" operator="greaterThan">
      <formula>1.1</formula>
    </cfRule>
  </conditionalFormatting>
  <conditionalFormatting sqref="W3364:W3365">
    <cfRule type="cellIs" dxfId="1902" priority="390" stopIfTrue="1" operator="greaterThan">
      <formula>0.059</formula>
    </cfRule>
  </conditionalFormatting>
  <conditionalFormatting sqref="X3364:X3365">
    <cfRule type="cellIs" dxfId="1901" priority="389" stopIfTrue="1" operator="greaterThan">
      <formula>0.16</formula>
    </cfRule>
  </conditionalFormatting>
  <conditionalFormatting sqref="Y3364:Y3365">
    <cfRule type="cellIs" dxfId="1900" priority="388" stopIfTrue="1" operator="greaterThan">
      <formula>0.076</formula>
    </cfRule>
  </conditionalFormatting>
  <conditionalFormatting sqref="O3397:O3400">
    <cfRule type="cellIs" dxfId="1899" priority="387" stopIfTrue="1" operator="greaterThan">
      <formula>5</formula>
    </cfRule>
  </conditionalFormatting>
  <conditionalFormatting sqref="Q3397:Q3400">
    <cfRule type="cellIs" dxfId="1898" priority="386" stopIfTrue="1" operator="notBetween">
      <formula>5</formula>
      <formula>9</formula>
    </cfRule>
  </conditionalFormatting>
  <conditionalFormatting sqref="R3397:R3400">
    <cfRule type="cellIs" dxfId="1897" priority="385" stopIfTrue="1" operator="greaterThan">
      <formula>75</formula>
    </cfRule>
  </conditionalFormatting>
  <conditionalFormatting sqref="S3397:S3400">
    <cfRule type="cellIs" dxfId="1896" priority="384" stopIfTrue="1" operator="greaterThan">
      <formula>90</formula>
    </cfRule>
  </conditionalFormatting>
  <conditionalFormatting sqref="T3397:T3400">
    <cfRule type="cellIs" dxfId="1895" priority="383" stopIfTrue="1" operator="greaterThan">
      <formula>0.4</formula>
    </cfRule>
  </conditionalFormatting>
  <conditionalFormatting sqref="U3397:U3400">
    <cfRule type="cellIs" dxfId="1894" priority="382" stopIfTrue="1" operator="greaterThan">
      <formula>2.3</formula>
    </cfRule>
  </conditionalFormatting>
  <conditionalFormatting sqref="V3397:V3400">
    <cfRule type="cellIs" dxfId="1893" priority="381" stopIfTrue="1" operator="greaterThan">
      <formula>1.1</formula>
    </cfRule>
  </conditionalFormatting>
  <conditionalFormatting sqref="W3397:W3400">
    <cfRule type="cellIs" dxfId="1892" priority="380" stopIfTrue="1" operator="greaterThan">
      <formula>0.059</formula>
    </cfRule>
  </conditionalFormatting>
  <conditionalFormatting sqref="X3397:X3400">
    <cfRule type="cellIs" dxfId="1891" priority="379" stopIfTrue="1" operator="greaterThan">
      <formula>0.16</formula>
    </cfRule>
  </conditionalFormatting>
  <conditionalFormatting sqref="Y3397:Y3400">
    <cfRule type="cellIs" dxfId="1890" priority="378" stopIfTrue="1" operator="greaterThan">
      <formula>0.076</formula>
    </cfRule>
  </conditionalFormatting>
  <conditionalFormatting sqref="O3402:O3405">
    <cfRule type="cellIs" dxfId="1889" priority="377" stopIfTrue="1" operator="greaterThan">
      <formula>5</formula>
    </cfRule>
  </conditionalFormatting>
  <conditionalFormatting sqref="Q3402:Q3405">
    <cfRule type="cellIs" dxfId="1888" priority="376" stopIfTrue="1" operator="notBetween">
      <formula>5</formula>
      <formula>9</formula>
    </cfRule>
  </conditionalFormatting>
  <conditionalFormatting sqref="R3402:R3405">
    <cfRule type="cellIs" dxfId="1887" priority="375" stopIfTrue="1" operator="greaterThan">
      <formula>75</formula>
    </cfRule>
  </conditionalFormatting>
  <conditionalFormatting sqref="S3402:S3405">
    <cfRule type="cellIs" dxfId="1886" priority="374" stopIfTrue="1" operator="greaterThan">
      <formula>90</formula>
    </cfRule>
  </conditionalFormatting>
  <conditionalFormatting sqref="T3402:T3405">
    <cfRule type="cellIs" dxfId="1885" priority="373" stopIfTrue="1" operator="greaterThan">
      <formula>0.4</formula>
    </cfRule>
  </conditionalFormatting>
  <conditionalFormatting sqref="U3402:U3405">
    <cfRule type="cellIs" dxfId="1884" priority="372" stopIfTrue="1" operator="greaterThan">
      <formula>2.3</formula>
    </cfRule>
  </conditionalFormatting>
  <conditionalFormatting sqref="V3402:V3405">
    <cfRule type="cellIs" dxfId="1883" priority="371" stopIfTrue="1" operator="greaterThan">
      <formula>1.1</formula>
    </cfRule>
  </conditionalFormatting>
  <conditionalFormatting sqref="W3402:W3405">
    <cfRule type="cellIs" dxfId="1882" priority="370" stopIfTrue="1" operator="greaterThan">
      <formula>0.059</formula>
    </cfRule>
  </conditionalFormatting>
  <conditionalFormatting sqref="X3402:X3405">
    <cfRule type="cellIs" dxfId="1881" priority="369" stopIfTrue="1" operator="greaterThan">
      <formula>0.16</formula>
    </cfRule>
  </conditionalFormatting>
  <conditionalFormatting sqref="Y3402:Y3405">
    <cfRule type="cellIs" dxfId="1880" priority="368" stopIfTrue="1" operator="greaterThan">
      <formula>0.076</formula>
    </cfRule>
  </conditionalFormatting>
  <conditionalFormatting sqref="O3420:O3422">
    <cfRule type="cellIs" dxfId="1879" priority="367" stopIfTrue="1" operator="greaterThan">
      <formula>5</formula>
    </cfRule>
  </conditionalFormatting>
  <conditionalFormatting sqref="Q3420:Q3422">
    <cfRule type="cellIs" dxfId="1878" priority="366" stopIfTrue="1" operator="notBetween">
      <formula>5</formula>
      <formula>9</formula>
    </cfRule>
  </conditionalFormatting>
  <conditionalFormatting sqref="R3420:R3422">
    <cfRule type="cellIs" dxfId="1877" priority="365" stopIfTrue="1" operator="greaterThan">
      <formula>75</formula>
    </cfRule>
  </conditionalFormatting>
  <conditionalFormatting sqref="S3420:S3422">
    <cfRule type="cellIs" dxfId="1876" priority="364" stopIfTrue="1" operator="greaterThan">
      <formula>90</formula>
    </cfRule>
  </conditionalFormatting>
  <conditionalFormatting sqref="T3420:T3422">
    <cfRule type="cellIs" dxfId="1875" priority="363" stopIfTrue="1" operator="greaterThan">
      <formula>0.4</formula>
    </cfRule>
  </conditionalFormatting>
  <conditionalFormatting sqref="U3420:U3422">
    <cfRule type="cellIs" dxfId="1874" priority="362" stopIfTrue="1" operator="greaterThan">
      <formula>2.3</formula>
    </cfRule>
  </conditionalFormatting>
  <conditionalFormatting sqref="V3420:V3422">
    <cfRule type="cellIs" dxfId="1873" priority="361" stopIfTrue="1" operator="greaterThan">
      <formula>1.1</formula>
    </cfRule>
  </conditionalFormatting>
  <conditionalFormatting sqref="W3420:W3422">
    <cfRule type="cellIs" dxfId="1872" priority="360" stopIfTrue="1" operator="greaterThan">
      <formula>0.059</formula>
    </cfRule>
  </conditionalFormatting>
  <conditionalFormatting sqref="X3420:X3422">
    <cfRule type="cellIs" dxfId="1871" priority="359" stopIfTrue="1" operator="greaterThan">
      <formula>0.16</formula>
    </cfRule>
  </conditionalFormatting>
  <conditionalFormatting sqref="Y3420:Y3422">
    <cfRule type="cellIs" dxfId="1870" priority="358" stopIfTrue="1" operator="greaterThan">
      <formula>0.076</formula>
    </cfRule>
  </conditionalFormatting>
  <conditionalFormatting sqref="O3424:O3441">
    <cfRule type="cellIs" dxfId="1869" priority="357" stopIfTrue="1" operator="greaterThan">
      <formula>5</formula>
    </cfRule>
  </conditionalFormatting>
  <conditionalFormatting sqref="Q3424:Q3441">
    <cfRule type="cellIs" dxfId="1868" priority="356" stopIfTrue="1" operator="notBetween">
      <formula>5</formula>
      <formula>9</formula>
    </cfRule>
  </conditionalFormatting>
  <conditionalFormatting sqref="R3424:R3441">
    <cfRule type="cellIs" dxfId="1867" priority="355" stopIfTrue="1" operator="greaterThan">
      <formula>75</formula>
    </cfRule>
  </conditionalFormatting>
  <conditionalFormatting sqref="S3424:S3441">
    <cfRule type="cellIs" dxfId="1866" priority="354" stopIfTrue="1" operator="greaterThan">
      <formula>90</formula>
    </cfRule>
  </conditionalFormatting>
  <conditionalFormatting sqref="T3424:T3441">
    <cfRule type="cellIs" dxfId="1865" priority="353" stopIfTrue="1" operator="greaterThan">
      <formula>0.4</formula>
    </cfRule>
  </conditionalFormatting>
  <conditionalFormatting sqref="U3424:U3441">
    <cfRule type="cellIs" dxfId="1864" priority="352" stopIfTrue="1" operator="greaterThan">
      <formula>2.3</formula>
    </cfRule>
  </conditionalFormatting>
  <conditionalFormatting sqref="V3424:V3441">
    <cfRule type="cellIs" dxfId="1863" priority="351" stopIfTrue="1" operator="greaterThan">
      <formula>1.1</formula>
    </cfRule>
  </conditionalFormatting>
  <conditionalFormatting sqref="W3424:W3441">
    <cfRule type="cellIs" dxfId="1862" priority="350" stopIfTrue="1" operator="greaterThan">
      <formula>0.059</formula>
    </cfRule>
  </conditionalFormatting>
  <conditionalFormatting sqref="X3424:X3441">
    <cfRule type="cellIs" dxfId="1861" priority="349" stopIfTrue="1" operator="greaterThan">
      <formula>0.16</formula>
    </cfRule>
  </conditionalFormatting>
  <conditionalFormatting sqref="Y3424:Y3441">
    <cfRule type="cellIs" dxfId="1860" priority="348" stopIfTrue="1" operator="greaterThan">
      <formula>0.076</formula>
    </cfRule>
  </conditionalFormatting>
  <conditionalFormatting sqref="O3446">
    <cfRule type="cellIs" dxfId="1859" priority="347" stopIfTrue="1" operator="greaterThan">
      <formula>5</formula>
    </cfRule>
  </conditionalFormatting>
  <conditionalFormatting sqref="Q3446">
    <cfRule type="cellIs" dxfId="1858" priority="346" stopIfTrue="1" operator="notBetween">
      <formula>5</formula>
      <formula>9</formula>
    </cfRule>
  </conditionalFormatting>
  <conditionalFormatting sqref="R3446">
    <cfRule type="cellIs" dxfId="1857" priority="345" stopIfTrue="1" operator="greaterThan">
      <formula>75</formula>
    </cfRule>
  </conditionalFormatting>
  <conditionalFormatting sqref="S3446">
    <cfRule type="cellIs" dxfId="1856" priority="344" stopIfTrue="1" operator="greaterThan">
      <formula>90</formula>
    </cfRule>
  </conditionalFormatting>
  <conditionalFormatting sqref="T3446">
    <cfRule type="cellIs" dxfId="1855" priority="343" stopIfTrue="1" operator="greaterThan">
      <formula>0.4</formula>
    </cfRule>
  </conditionalFormatting>
  <conditionalFormatting sqref="U3446">
    <cfRule type="cellIs" dxfId="1854" priority="342" stopIfTrue="1" operator="greaterThan">
      <formula>2.3</formula>
    </cfRule>
  </conditionalFormatting>
  <conditionalFormatting sqref="V3446">
    <cfRule type="cellIs" dxfId="1853" priority="341" stopIfTrue="1" operator="greaterThan">
      <formula>1.1</formula>
    </cfRule>
  </conditionalFormatting>
  <conditionalFormatting sqref="W3446">
    <cfRule type="cellIs" dxfId="1852" priority="340" stopIfTrue="1" operator="greaterThan">
      <formula>0.059</formula>
    </cfRule>
  </conditionalFormatting>
  <conditionalFormatting sqref="X3446">
    <cfRule type="cellIs" dxfId="1851" priority="339" stopIfTrue="1" operator="greaterThan">
      <formula>0.16</formula>
    </cfRule>
  </conditionalFormatting>
  <conditionalFormatting sqref="Y3446">
    <cfRule type="cellIs" dxfId="1850" priority="338" stopIfTrue="1" operator="greaterThan">
      <formula>0.076</formula>
    </cfRule>
  </conditionalFormatting>
  <conditionalFormatting sqref="O3447:O3450">
    <cfRule type="cellIs" dxfId="1849" priority="337" stopIfTrue="1" operator="greaterThan">
      <formula>5</formula>
    </cfRule>
  </conditionalFormatting>
  <conditionalFormatting sqref="Q3447:Q3450">
    <cfRule type="cellIs" dxfId="1848" priority="336" stopIfTrue="1" operator="notBetween">
      <formula>5</formula>
      <formula>9</formula>
    </cfRule>
  </conditionalFormatting>
  <conditionalFormatting sqref="R3447:R3450">
    <cfRule type="cellIs" dxfId="1847" priority="335" stopIfTrue="1" operator="greaterThan">
      <formula>75</formula>
    </cfRule>
  </conditionalFormatting>
  <conditionalFormatting sqref="S3447:S3450">
    <cfRule type="cellIs" dxfId="1846" priority="334" stopIfTrue="1" operator="greaterThan">
      <formula>90</formula>
    </cfRule>
  </conditionalFormatting>
  <conditionalFormatting sqref="T3447:T3450">
    <cfRule type="cellIs" dxfId="1845" priority="333" stopIfTrue="1" operator="greaterThan">
      <formula>0.4</formula>
    </cfRule>
  </conditionalFormatting>
  <conditionalFormatting sqref="U3447:U3450">
    <cfRule type="cellIs" dxfId="1844" priority="332" stopIfTrue="1" operator="greaterThan">
      <formula>2.3</formula>
    </cfRule>
  </conditionalFormatting>
  <conditionalFormatting sqref="V3447:V3450">
    <cfRule type="cellIs" dxfId="1843" priority="331" stopIfTrue="1" operator="greaterThan">
      <formula>1.1</formula>
    </cfRule>
  </conditionalFormatting>
  <conditionalFormatting sqref="W3447:W3450">
    <cfRule type="cellIs" dxfId="1842" priority="330" stopIfTrue="1" operator="greaterThan">
      <formula>0.059</formula>
    </cfRule>
  </conditionalFormatting>
  <conditionalFormatting sqref="X3447:X3450">
    <cfRule type="cellIs" dxfId="1841" priority="329" stopIfTrue="1" operator="greaterThan">
      <formula>0.16</formula>
    </cfRule>
  </conditionalFormatting>
  <conditionalFormatting sqref="Y3447:Y3450">
    <cfRule type="cellIs" dxfId="1840" priority="328" stopIfTrue="1" operator="greaterThan">
      <formula>0.076</formula>
    </cfRule>
  </conditionalFormatting>
  <conditionalFormatting sqref="O3455:O3456">
    <cfRule type="cellIs" dxfId="1839" priority="327" stopIfTrue="1" operator="greaterThan">
      <formula>5</formula>
    </cfRule>
  </conditionalFormatting>
  <conditionalFormatting sqref="Q3455:Q3456">
    <cfRule type="cellIs" dxfId="1838" priority="326" stopIfTrue="1" operator="notBetween">
      <formula>5</formula>
      <formula>9</formula>
    </cfRule>
  </conditionalFormatting>
  <conditionalFormatting sqref="R3455:R3456">
    <cfRule type="cellIs" dxfId="1837" priority="325" stopIfTrue="1" operator="greaterThan">
      <formula>75</formula>
    </cfRule>
  </conditionalFormatting>
  <conditionalFormatting sqref="S3455:S3456">
    <cfRule type="cellIs" dxfId="1836" priority="324" stopIfTrue="1" operator="greaterThan">
      <formula>90</formula>
    </cfRule>
  </conditionalFormatting>
  <conditionalFormatting sqref="T3455:T3456">
    <cfRule type="cellIs" dxfId="1835" priority="323" stopIfTrue="1" operator="greaterThan">
      <formula>0.4</formula>
    </cfRule>
  </conditionalFormatting>
  <conditionalFormatting sqref="U3455:U3456">
    <cfRule type="cellIs" dxfId="1834" priority="322" stopIfTrue="1" operator="greaterThan">
      <formula>2.3</formula>
    </cfRule>
  </conditionalFormatting>
  <conditionalFormatting sqref="V3455:V3456">
    <cfRule type="cellIs" dxfId="1833" priority="321" stopIfTrue="1" operator="greaterThan">
      <formula>1.1</formula>
    </cfRule>
  </conditionalFormatting>
  <conditionalFormatting sqref="W3455:W3456">
    <cfRule type="cellIs" dxfId="1832" priority="320" stopIfTrue="1" operator="greaterThan">
      <formula>0.059</formula>
    </cfRule>
  </conditionalFormatting>
  <conditionalFormatting sqref="X3455:X3456">
    <cfRule type="cellIs" dxfId="1831" priority="319" stopIfTrue="1" operator="greaterThan">
      <formula>0.16</formula>
    </cfRule>
  </conditionalFormatting>
  <conditionalFormatting sqref="Y3455:Y3456">
    <cfRule type="cellIs" dxfId="1830" priority="318" stopIfTrue="1" operator="greaterThan">
      <formula>0.076</formula>
    </cfRule>
  </conditionalFormatting>
  <conditionalFormatting sqref="O3474">
    <cfRule type="cellIs" dxfId="1829" priority="317" stopIfTrue="1" operator="greaterThan">
      <formula>5</formula>
    </cfRule>
  </conditionalFormatting>
  <conditionalFormatting sqref="Q3474">
    <cfRule type="cellIs" dxfId="1828" priority="316" stopIfTrue="1" operator="notBetween">
      <formula>5</formula>
      <formula>9</formula>
    </cfRule>
  </conditionalFormatting>
  <conditionalFormatting sqref="R3474">
    <cfRule type="cellIs" dxfId="1827" priority="315" stopIfTrue="1" operator="greaterThan">
      <formula>75</formula>
    </cfRule>
  </conditionalFormatting>
  <conditionalFormatting sqref="S3474">
    <cfRule type="cellIs" dxfId="1826" priority="314" stopIfTrue="1" operator="greaterThan">
      <formula>90</formula>
    </cfRule>
  </conditionalFormatting>
  <conditionalFormatting sqref="T3474">
    <cfRule type="cellIs" dxfId="1825" priority="313" stopIfTrue="1" operator="greaterThan">
      <formula>0.4</formula>
    </cfRule>
  </conditionalFormatting>
  <conditionalFormatting sqref="U3474">
    <cfRule type="cellIs" dxfId="1824" priority="312" stopIfTrue="1" operator="greaterThan">
      <formula>2.3</formula>
    </cfRule>
  </conditionalFormatting>
  <conditionalFormatting sqref="V3474">
    <cfRule type="cellIs" dxfId="1823" priority="311" stopIfTrue="1" operator="greaterThan">
      <formula>1.1</formula>
    </cfRule>
  </conditionalFormatting>
  <conditionalFormatting sqref="W3474">
    <cfRule type="cellIs" dxfId="1822" priority="310" stopIfTrue="1" operator="greaterThan">
      <formula>0.059</formula>
    </cfRule>
  </conditionalFormatting>
  <conditionalFormatting sqref="X3474">
    <cfRule type="cellIs" dxfId="1821" priority="309" stopIfTrue="1" operator="greaterThan">
      <formula>0.16</formula>
    </cfRule>
  </conditionalFormatting>
  <conditionalFormatting sqref="Y3474">
    <cfRule type="cellIs" dxfId="1820" priority="308" stopIfTrue="1" operator="greaterThan">
      <formula>0.076</formula>
    </cfRule>
  </conditionalFormatting>
  <conditionalFormatting sqref="O3498">
    <cfRule type="cellIs" dxfId="1819" priority="307" stopIfTrue="1" operator="greaterThan">
      <formula>5</formula>
    </cfRule>
  </conditionalFormatting>
  <conditionalFormatting sqref="Q3498">
    <cfRule type="cellIs" dxfId="1818" priority="306" stopIfTrue="1" operator="notBetween">
      <formula>5</formula>
      <formula>9</formula>
    </cfRule>
  </conditionalFormatting>
  <conditionalFormatting sqref="R3498">
    <cfRule type="cellIs" dxfId="1817" priority="305" stopIfTrue="1" operator="greaterThan">
      <formula>75</formula>
    </cfRule>
  </conditionalFormatting>
  <conditionalFormatting sqref="S3498">
    <cfRule type="cellIs" dxfId="1816" priority="304" stopIfTrue="1" operator="greaterThan">
      <formula>90</formula>
    </cfRule>
  </conditionalFormatting>
  <conditionalFormatting sqref="T3498">
    <cfRule type="cellIs" dxfId="1815" priority="303" stopIfTrue="1" operator="greaterThan">
      <formula>0.4</formula>
    </cfRule>
  </conditionalFormatting>
  <conditionalFormatting sqref="U3498">
    <cfRule type="cellIs" dxfId="1814" priority="302" stopIfTrue="1" operator="greaterThan">
      <formula>2.3</formula>
    </cfRule>
  </conditionalFormatting>
  <conditionalFormatting sqref="V3498">
    <cfRule type="cellIs" dxfId="1813" priority="301" stopIfTrue="1" operator="greaterThan">
      <formula>1.1</formula>
    </cfRule>
  </conditionalFormatting>
  <conditionalFormatting sqref="W3498">
    <cfRule type="cellIs" dxfId="1812" priority="300" stopIfTrue="1" operator="greaterThan">
      <formula>0.059</formula>
    </cfRule>
  </conditionalFormatting>
  <conditionalFormatting sqref="X3498">
    <cfRule type="cellIs" dxfId="1811" priority="299" stopIfTrue="1" operator="greaterThan">
      <formula>0.16</formula>
    </cfRule>
  </conditionalFormatting>
  <conditionalFormatting sqref="Y3498">
    <cfRule type="cellIs" dxfId="1810" priority="298" stopIfTrue="1" operator="greaterThan">
      <formula>0.076</formula>
    </cfRule>
  </conditionalFormatting>
  <conditionalFormatting sqref="O3546:O3550">
    <cfRule type="cellIs" dxfId="1809" priority="297" stopIfTrue="1" operator="greaterThan">
      <formula>5</formula>
    </cfRule>
  </conditionalFormatting>
  <conditionalFormatting sqref="Q3546:Q3550">
    <cfRule type="cellIs" dxfId="1808" priority="296" stopIfTrue="1" operator="notBetween">
      <formula>5</formula>
      <formula>9</formula>
    </cfRule>
  </conditionalFormatting>
  <conditionalFormatting sqref="R3546:R3550">
    <cfRule type="cellIs" dxfId="1807" priority="295" stopIfTrue="1" operator="greaterThan">
      <formula>75</formula>
    </cfRule>
  </conditionalFormatting>
  <conditionalFormatting sqref="S3546:S3550">
    <cfRule type="cellIs" dxfId="1806" priority="294" stopIfTrue="1" operator="greaterThan">
      <formula>90</formula>
    </cfRule>
  </conditionalFormatting>
  <conditionalFormatting sqref="T3546:T3550">
    <cfRule type="cellIs" dxfId="1805" priority="293" stopIfTrue="1" operator="greaterThan">
      <formula>0.4</formula>
    </cfRule>
  </conditionalFormatting>
  <conditionalFormatting sqref="U3546:U3550">
    <cfRule type="cellIs" dxfId="1804" priority="292" stopIfTrue="1" operator="greaterThan">
      <formula>2.3</formula>
    </cfRule>
  </conditionalFormatting>
  <conditionalFormatting sqref="V3546:V3550">
    <cfRule type="cellIs" dxfId="1803" priority="291" stopIfTrue="1" operator="greaterThan">
      <formula>1.1</formula>
    </cfRule>
  </conditionalFormatting>
  <conditionalFormatting sqref="W3546:W3550">
    <cfRule type="cellIs" dxfId="1802" priority="290" stopIfTrue="1" operator="greaterThan">
      <formula>0.059</formula>
    </cfRule>
  </conditionalFormatting>
  <conditionalFormatting sqref="X3546:X3550">
    <cfRule type="cellIs" dxfId="1801" priority="289" stopIfTrue="1" operator="greaterThan">
      <formula>0.16</formula>
    </cfRule>
  </conditionalFormatting>
  <conditionalFormatting sqref="Y3546:Y3550">
    <cfRule type="cellIs" dxfId="1800" priority="288" stopIfTrue="1" operator="greaterThan">
      <formula>0.076</formula>
    </cfRule>
  </conditionalFormatting>
  <conditionalFormatting sqref="O3554:O3555">
    <cfRule type="cellIs" dxfId="1799" priority="287" stopIfTrue="1" operator="greaterThan">
      <formula>5</formula>
    </cfRule>
  </conditionalFormatting>
  <conditionalFormatting sqref="Q3554:Q3555">
    <cfRule type="cellIs" dxfId="1798" priority="286" stopIfTrue="1" operator="notBetween">
      <formula>5</formula>
      <formula>9</formula>
    </cfRule>
  </conditionalFormatting>
  <conditionalFormatting sqref="R3554:R3555">
    <cfRule type="cellIs" dxfId="1797" priority="285" stopIfTrue="1" operator="greaterThan">
      <formula>75</formula>
    </cfRule>
  </conditionalFormatting>
  <conditionalFormatting sqref="S3554:S3555">
    <cfRule type="cellIs" dxfId="1796" priority="284" stopIfTrue="1" operator="greaterThan">
      <formula>90</formula>
    </cfRule>
  </conditionalFormatting>
  <conditionalFormatting sqref="T3554:T3555">
    <cfRule type="cellIs" dxfId="1795" priority="283" stopIfTrue="1" operator="greaterThan">
      <formula>0.4</formula>
    </cfRule>
  </conditionalFormatting>
  <conditionalFormatting sqref="U3554:U3555">
    <cfRule type="cellIs" dxfId="1794" priority="282" stopIfTrue="1" operator="greaterThan">
      <formula>2.3</formula>
    </cfRule>
  </conditionalFormatting>
  <conditionalFormatting sqref="V3554:V3555">
    <cfRule type="cellIs" dxfId="1793" priority="281" stopIfTrue="1" operator="greaterThan">
      <formula>1.1</formula>
    </cfRule>
  </conditionalFormatting>
  <conditionalFormatting sqref="W3554:W3555">
    <cfRule type="cellIs" dxfId="1792" priority="280" stopIfTrue="1" operator="greaterThan">
      <formula>0.059</formula>
    </cfRule>
  </conditionalFormatting>
  <conditionalFormatting sqref="X3554:X3555">
    <cfRule type="cellIs" dxfId="1791" priority="279" stopIfTrue="1" operator="greaterThan">
      <formula>0.16</formula>
    </cfRule>
  </conditionalFormatting>
  <conditionalFormatting sqref="Y3554:Y3555">
    <cfRule type="cellIs" dxfId="1790" priority="278" stopIfTrue="1" operator="greaterThan">
      <formula>0.076</formula>
    </cfRule>
  </conditionalFormatting>
  <conditionalFormatting sqref="O3558:O3566">
    <cfRule type="cellIs" dxfId="1789" priority="277" stopIfTrue="1" operator="greaterThan">
      <formula>5</formula>
    </cfRule>
  </conditionalFormatting>
  <conditionalFormatting sqref="Q3558:Q3566">
    <cfRule type="cellIs" dxfId="1788" priority="276" stopIfTrue="1" operator="notBetween">
      <formula>5</formula>
      <formula>9</formula>
    </cfRule>
  </conditionalFormatting>
  <conditionalFormatting sqref="R3558:R3566">
    <cfRule type="cellIs" dxfId="1787" priority="275" stopIfTrue="1" operator="greaterThan">
      <formula>75</formula>
    </cfRule>
  </conditionalFormatting>
  <conditionalFormatting sqref="S3558:S3566">
    <cfRule type="cellIs" dxfId="1786" priority="274" stopIfTrue="1" operator="greaterThan">
      <formula>90</formula>
    </cfRule>
  </conditionalFormatting>
  <conditionalFormatting sqref="T3558:T3566">
    <cfRule type="cellIs" dxfId="1785" priority="273" stopIfTrue="1" operator="greaterThan">
      <formula>0.4</formula>
    </cfRule>
  </conditionalFormatting>
  <conditionalFormatting sqref="U3558:U3566">
    <cfRule type="cellIs" dxfId="1784" priority="272" stopIfTrue="1" operator="greaterThan">
      <formula>2.3</formula>
    </cfRule>
  </conditionalFormatting>
  <conditionalFormatting sqref="V3558:V3566">
    <cfRule type="cellIs" dxfId="1783" priority="271" stopIfTrue="1" operator="greaterThan">
      <formula>1.1</formula>
    </cfRule>
  </conditionalFormatting>
  <conditionalFormatting sqref="W3558:W3566">
    <cfRule type="cellIs" dxfId="1782" priority="270" stopIfTrue="1" operator="greaterThan">
      <formula>0.059</formula>
    </cfRule>
  </conditionalFormatting>
  <conditionalFormatting sqref="X3558:X3566">
    <cfRule type="cellIs" dxfId="1781" priority="269" stopIfTrue="1" operator="greaterThan">
      <formula>0.16</formula>
    </cfRule>
  </conditionalFormatting>
  <conditionalFormatting sqref="Y3558:Y3566">
    <cfRule type="cellIs" dxfId="1780" priority="268" stopIfTrue="1" operator="greaterThan">
      <formula>0.076</formula>
    </cfRule>
  </conditionalFormatting>
  <conditionalFormatting sqref="O3574:O3577">
    <cfRule type="cellIs" dxfId="1779" priority="267" stopIfTrue="1" operator="greaterThan">
      <formula>5</formula>
    </cfRule>
  </conditionalFormatting>
  <conditionalFormatting sqref="Q3574:Q3577">
    <cfRule type="cellIs" dxfId="1778" priority="266" stopIfTrue="1" operator="notBetween">
      <formula>5</formula>
      <formula>9</formula>
    </cfRule>
  </conditionalFormatting>
  <conditionalFormatting sqref="R3574:R3577">
    <cfRule type="cellIs" dxfId="1777" priority="265" stopIfTrue="1" operator="greaterThan">
      <formula>75</formula>
    </cfRule>
  </conditionalFormatting>
  <conditionalFormatting sqref="S3574:S3577">
    <cfRule type="cellIs" dxfId="1776" priority="264" stopIfTrue="1" operator="greaterThan">
      <formula>90</formula>
    </cfRule>
  </conditionalFormatting>
  <conditionalFormatting sqref="T3574:T3577">
    <cfRule type="cellIs" dxfId="1775" priority="263" stopIfTrue="1" operator="greaterThan">
      <formula>0.4</formula>
    </cfRule>
  </conditionalFormatting>
  <conditionalFormatting sqref="U3574:U3577">
    <cfRule type="cellIs" dxfId="1774" priority="262" stopIfTrue="1" operator="greaterThan">
      <formula>2.3</formula>
    </cfRule>
  </conditionalFormatting>
  <conditionalFormatting sqref="V3574:V3577">
    <cfRule type="cellIs" dxfId="1773" priority="261" stopIfTrue="1" operator="greaterThan">
      <formula>1.1</formula>
    </cfRule>
  </conditionalFormatting>
  <conditionalFormatting sqref="W3574:W3577">
    <cfRule type="cellIs" dxfId="1772" priority="260" stopIfTrue="1" operator="greaterThan">
      <formula>0.059</formula>
    </cfRule>
  </conditionalFormatting>
  <conditionalFormatting sqref="X3574:X3577">
    <cfRule type="cellIs" dxfId="1771" priority="259" stopIfTrue="1" operator="greaterThan">
      <formula>0.16</formula>
    </cfRule>
  </conditionalFormatting>
  <conditionalFormatting sqref="Y3574:Y3577">
    <cfRule type="cellIs" dxfId="1770" priority="258" stopIfTrue="1" operator="greaterThan">
      <formula>0.076</formula>
    </cfRule>
  </conditionalFormatting>
  <conditionalFormatting sqref="O3587">
    <cfRule type="cellIs" dxfId="1769" priority="257" stopIfTrue="1" operator="greaterThan">
      <formula>5</formula>
    </cfRule>
  </conditionalFormatting>
  <conditionalFormatting sqref="Q3587">
    <cfRule type="cellIs" dxfId="1768" priority="256" stopIfTrue="1" operator="notBetween">
      <formula>5</formula>
      <formula>9</formula>
    </cfRule>
  </conditionalFormatting>
  <conditionalFormatting sqref="R3587">
    <cfRule type="cellIs" dxfId="1767" priority="255" stopIfTrue="1" operator="greaterThan">
      <formula>75</formula>
    </cfRule>
  </conditionalFormatting>
  <conditionalFormatting sqref="S3587">
    <cfRule type="cellIs" dxfId="1766" priority="254" stopIfTrue="1" operator="greaterThan">
      <formula>90</formula>
    </cfRule>
  </conditionalFormatting>
  <conditionalFormatting sqref="T3587">
    <cfRule type="cellIs" dxfId="1765" priority="253" stopIfTrue="1" operator="greaterThan">
      <formula>0.4</formula>
    </cfRule>
  </conditionalFormatting>
  <conditionalFormatting sqref="U3587">
    <cfRule type="cellIs" dxfId="1764" priority="252" stopIfTrue="1" operator="greaterThan">
      <formula>2.3</formula>
    </cfRule>
  </conditionalFormatting>
  <conditionalFormatting sqref="V3587">
    <cfRule type="cellIs" dxfId="1763" priority="251" stopIfTrue="1" operator="greaterThan">
      <formula>1.1</formula>
    </cfRule>
  </conditionalFormatting>
  <conditionalFormatting sqref="W3587">
    <cfRule type="cellIs" dxfId="1762" priority="250" stopIfTrue="1" operator="greaterThan">
      <formula>0.059</formula>
    </cfRule>
  </conditionalFormatting>
  <conditionalFormatting sqref="X3587">
    <cfRule type="cellIs" dxfId="1761" priority="249" stopIfTrue="1" operator="greaterThan">
      <formula>0.16</formula>
    </cfRule>
  </conditionalFormatting>
  <conditionalFormatting sqref="Y3587">
    <cfRule type="cellIs" dxfId="1760" priority="248" stopIfTrue="1" operator="greaterThan">
      <formula>0.076</formula>
    </cfRule>
  </conditionalFormatting>
  <conditionalFormatting sqref="O3598:O3602">
    <cfRule type="cellIs" dxfId="1759" priority="247" stopIfTrue="1" operator="greaterThan">
      <formula>5</formula>
    </cfRule>
  </conditionalFormatting>
  <conditionalFormatting sqref="Q3598:Q3602">
    <cfRule type="cellIs" dxfId="1758" priority="246" stopIfTrue="1" operator="notBetween">
      <formula>5</formula>
      <formula>9</formula>
    </cfRule>
  </conditionalFormatting>
  <conditionalFormatting sqref="R3598:R3602">
    <cfRule type="cellIs" dxfId="1757" priority="245" stopIfTrue="1" operator="greaterThan">
      <formula>75</formula>
    </cfRule>
  </conditionalFormatting>
  <conditionalFormatting sqref="S3598:S3602">
    <cfRule type="cellIs" dxfId="1756" priority="244" stopIfTrue="1" operator="greaterThan">
      <formula>90</formula>
    </cfRule>
  </conditionalFormatting>
  <conditionalFormatting sqref="T3598:T3602">
    <cfRule type="cellIs" dxfId="1755" priority="243" stopIfTrue="1" operator="greaterThan">
      <formula>0.4</formula>
    </cfRule>
  </conditionalFormatting>
  <conditionalFormatting sqref="U3598:U3602">
    <cfRule type="cellIs" dxfId="1754" priority="242" stopIfTrue="1" operator="greaterThan">
      <formula>2.3</formula>
    </cfRule>
  </conditionalFormatting>
  <conditionalFormatting sqref="V3598:V3602">
    <cfRule type="cellIs" dxfId="1753" priority="241" stopIfTrue="1" operator="greaterThan">
      <formula>1.1</formula>
    </cfRule>
  </conditionalFormatting>
  <conditionalFormatting sqref="W3598:W3602">
    <cfRule type="cellIs" dxfId="1752" priority="240" stopIfTrue="1" operator="greaterThan">
      <formula>0.059</formula>
    </cfRule>
  </conditionalFormatting>
  <conditionalFormatting sqref="X3598:X3602">
    <cfRule type="cellIs" dxfId="1751" priority="239" stopIfTrue="1" operator="greaterThan">
      <formula>0.16</formula>
    </cfRule>
  </conditionalFormatting>
  <conditionalFormatting sqref="Y3598:Y3602">
    <cfRule type="cellIs" dxfId="1750" priority="238" stopIfTrue="1" operator="greaterThan">
      <formula>0.076</formula>
    </cfRule>
  </conditionalFormatting>
  <conditionalFormatting sqref="O3605:O3606">
    <cfRule type="cellIs" dxfId="1749" priority="237" stopIfTrue="1" operator="greaterThan">
      <formula>5</formula>
    </cfRule>
  </conditionalFormatting>
  <conditionalFormatting sqref="Q3605:Q3606">
    <cfRule type="cellIs" dxfId="1748" priority="236" stopIfTrue="1" operator="notBetween">
      <formula>5</formula>
      <formula>9</formula>
    </cfRule>
  </conditionalFormatting>
  <conditionalFormatting sqref="R3605:R3606">
    <cfRule type="cellIs" dxfId="1747" priority="235" stopIfTrue="1" operator="greaterThan">
      <formula>75</formula>
    </cfRule>
  </conditionalFormatting>
  <conditionalFormatting sqref="S3605:S3606">
    <cfRule type="cellIs" dxfId="1746" priority="234" stopIfTrue="1" operator="greaterThan">
      <formula>90</formula>
    </cfRule>
  </conditionalFormatting>
  <conditionalFormatting sqref="T3605:T3606">
    <cfRule type="cellIs" dxfId="1745" priority="233" stopIfTrue="1" operator="greaterThan">
      <formula>0.4</formula>
    </cfRule>
  </conditionalFormatting>
  <conditionalFormatting sqref="U3605:U3606">
    <cfRule type="cellIs" dxfId="1744" priority="232" stopIfTrue="1" operator="greaterThan">
      <formula>2.3</formula>
    </cfRule>
  </conditionalFormatting>
  <conditionalFormatting sqref="V3605:V3606">
    <cfRule type="cellIs" dxfId="1743" priority="231" stopIfTrue="1" operator="greaterThan">
      <formula>1.1</formula>
    </cfRule>
  </conditionalFormatting>
  <conditionalFormatting sqref="W3605:W3606">
    <cfRule type="cellIs" dxfId="1742" priority="230" stopIfTrue="1" operator="greaterThan">
      <formula>0.059</formula>
    </cfRule>
  </conditionalFormatting>
  <conditionalFormatting sqref="X3605:X3606">
    <cfRule type="cellIs" dxfId="1741" priority="229" stopIfTrue="1" operator="greaterThan">
      <formula>0.16</formula>
    </cfRule>
  </conditionalFormatting>
  <conditionalFormatting sqref="Y3605:Y3606">
    <cfRule type="cellIs" dxfId="1740" priority="228" stopIfTrue="1" operator="greaterThan">
      <formula>0.076</formula>
    </cfRule>
  </conditionalFormatting>
  <conditionalFormatting sqref="O3628">
    <cfRule type="cellIs" dxfId="1739" priority="227" stopIfTrue="1" operator="greaterThan">
      <formula>5</formula>
    </cfRule>
  </conditionalFormatting>
  <conditionalFormatting sqref="Q3628">
    <cfRule type="cellIs" dxfId="1738" priority="226" stopIfTrue="1" operator="notBetween">
      <formula>5</formula>
      <formula>9</formula>
    </cfRule>
  </conditionalFormatting>
  <conditionalFormatting sqref="R3628">
    <cfRule type="cellIs" dxfId="1737" priority="225" stopIfTrue="1" operator="greaterThan">
      <formula>75</formula>
    </cfRule>
  </conditionalFormatting>
  <conditionalFormatting sqref="S3628">
    <cfRule type="cellIs" dxfId="1736" priority="224" stopIfTrue="1" operator="greaterThan">
      <formula>90</formula>
    </cfRule>
  </conditionalFormatting>
  <conditionalFormatting sqref="T3628">
    <cfRule type="cellIs" dxfId="1735" priority="223" stopIfTrue="1" operator="greaterThan">
      <formula>0.4</formula>
    </cfRule>
  </conditionalFormatting>
  <conditionalFormatting sqref="U3628">
    <cfRule type="cellIs" dxfId="1734" priority="222" stopIfTrue="1" operator="greaterThan">
      <formula>2.3</formula>
    </cfRule>
  </conditionalFormatting>
  <conditionalFormatting sqref="V3628">
    <cfRule type="cellIs" dxfId="1733" priority="221" stopIfTrue="1" operator="greaterThan">
      <formula>1.1</formula>
    </cfRule>
  </conditionalFormatting>
  <conditionalFormatting sqref="W3628">
    <cfRule type="cellIs" dxfId="1732" priority="220" stopIfTrue="1" operator="greaterThan">
      <formula>0.059</formula>
    </cfRule>
  </conditionalFormatting>
  <conditionalFormatting sqref="X3628">
    <cfRule type="cellIs" dxfId="1731" priority="219" stopIfTrue="1" operator="greaterThan">
      <formula>0.16</formula>
    </cfRule>
  </conditionalFormatting>
  <conditionalFormatting sqref="Y3628">
    <cfRule type="cellIs" dxfId="1730" priority="218" stopIfTrue="1" operator="greaterThan">
      <formula>0.076</formula>
    </cfRule>
  </conditionalFormatting>
  <conditionalFormatting sqref="O3776:O3778">
    <cfRule type="cellIs" dxfId="1729" priority="217" stopIfTrue="1" operator="greaterThan">
      <formula>5</formula>
    </cfRule>
  </conditionalFormatting>
  <conditionalFormatting sqref="Q3776:Q3778">
    <cfRule type="cellIs" dxfId="1728" priority="216" stopIfTrue="1" operator="notBetween">
      <formula>5</formula>
      <formula>9</formula>
    </cfRule>
  </conditionalFormatting>
  <conditionalFormatting sqref="R3776:R3778">
    <cfRule type="cellIs" dxfId="1727" priority="215" stopIfTrue="1" operator="greaterThan">
      <formula>75</formula>
    </cfRule>
  </conditionalFormatting>
  <conditionalFormatting sqref="S3776:S3778">
    <cfRule type="cellIs" dxfId="1726" priority="214" stopIfTrue="1" operator="greaterThan">
      <formula>90</formula>
    </cfRule>
  </conditionalFormatting>
  <conditionalFormatting sqref="T3776:T3778">
    <cfRule type="cellIs" dxfId="1725" priority="213" stopIfTrue="1" operator="greaterThan">
      <formula>0.4</formula>
    </cfRule>
  </conditionalFormatting>
  <conditionalFormatting sqref="U3776:U3778">
    <cfRule type="cellIs" dxfId="1724" priority="212" stopIfTrue="1" operator="greaterThan">
      <formula>2.3</formula>
    </cfRule>
  </conditionalFormatting>
  <conditionalFormatting sqref="V3776:V3778">
    <cfRule type="cellIs" dxfId="1723" priority="211" stopIfTrue="1" operator="greaterThan">
      <formula>1.1</formula>
    </cfRule>
  </conditionalFormatting>
  <conditionalFormatting sqref="W3776:W3778">
    <cfRule type="cellIs" dxfId="1722" priority="210" stopIfTrue="1" operator="greaterThan">
      <formula>0.059</formula>
    </cfRule>
  </conditionalFormatting>
  <conditionalFormatting sqref="X3776:X3778">
    <cfRule type="cellIs" dxfId="1721" priority="209" stopIfTrue="1" operator="greaterThan">
      <formula>0.16</formula>
    </cfRule>
  </conditionalFormatting>
  <conditionalFormatting sqref="Y3776:Y3778">
    <cfRule type="cellIs" dxfId="1720" priority="208" stopIfTrue="1" operator="greaterThan">
      <formula>0.076</formula>
    </cfRule>
  </conditionalFormatting>
  <conditionalFormatting sqref="O3807">
    <cfRule type="cellIs" dxfId="1719" priority="207" stopIfTrue="1" operator="greaterThan">
      <formula>5</formula>
    </cfRule>
  </conditionalFormatting>
  <conditionalFormatting sqref="Q3807">
    <cfRule type="cellIs" dxfId="1718" priority="206" stopIfTrue="1" operator="notBetween">
      <formula>5</formula>
      <formula>9</formula>
    </cfRule>
  </conditionalFormatting>
  <conditionalFormatting sqref="R3807">
    <cfRule type="cellIs" dxfId="1717" priority="205" stopIfTrue="1" operator="greaterThan">
      <formula>75</formula>
    </cfRule>
  </conditionalFormatting>
  <conditionalFormatting sqref="S3807">
    <cfRule type="cellIs" dxfId="1716" priority="204" stopIfTrue="1" operator="greaterThan">
      <formula>90</formula>
    </cfRule>
  </conditionalFormatting>
  <conditionalFormatting sqref="T3807">
    <cfRule type="cellIs" dxfId="1715" priority="203" stopIfTrue="1" operator="greaterThan">
      <formula>0.4</formula>
    </cfRule>
  </conditionalFormatting>
  <conditionalFormatting sqref="U3807">
    <cfRule type="cellIs" dxfId="1714" priority="202" stopIfTrue="1" operator="greaterThan">
      <formula>2.3</formula>
    </cfRule>
  </conditionalFormatting>
  <conditionalFormatting sqref="V3807">
    <cfRule type="cellIs" dxfId="1713" priority="201" stopIfTrue="1" operator="greaterThan">
      <formula>1.1</formula>
    </cfRule>
  </conditionalFormatting>
  <conditionalFormatting sqref="W3807">
    <cfRule type="cellIs" dxfId="1712" priority="200" stopIfTrue="1" operator="greaterThan">
      <formula>0.059</formula>
    </cfRule>
  </conditionalFormatting>
  <conditionalFormatting sqref="X3807">
    <cfRule type="cellIs" dxfId="1711" priority="199" stopIfTrue="1" operator="greaterThan">
      <formula>0.16</formula>
    </cfRule>
  </conditionalFormatting>
  <conditionalFormatting sqref="Y3807">
    <cfRule type="cellIs" dxfId="1710" priority="198" stopIfTrue="1" operator="greaterThan">
      <formula>0.076</formula>
    </cfRule>
  </conditionalFormatting>
  <conditionalFormatting sqref="O3898:O3900">
    <cfRule type="cellIs" dxfId="1709" priority="197" stopIfTrue="1" operator="greaterThan">
      <formula>5</formula>
    </cfRule>
  </conditionalFormatting>
  <conditionalFormatting sqref="Q3898:Q3900">
    <cfRule type="cellIs" dxfId="1708" priority="196" stopIfTrue="1" operator="notBetween">
      <formula>5</formula>
      <formula>9</formula>
    </cfRule>
  </conditionalFormatting>
  <conditionalFormatting sqref="R3898:R3900">
    <cfRule type="cellIs" dxfId="1707" priority="195" stopIfTrue="1" operator="greaterThan">
      <formula>75</formula>
    </cfRule>
  </conditionalFormatting>
  <conditionalFormatting sqref="S3898:S3900">
    <cfRule type="cellIs" dxfId="1706" priority="194" stopIfTrue="1" operator="greaterThan">
      <formula>90</formula>
    </cfRule>
  </conditionalFormatting>
  <conditionalFormatting sqref="T3898:T3900">
    <cfRule type="cellIs" dxfId="1705" priority="193" stopIfTrue="1" operator="greaterThan">
      <formula>0.4</formula>
    </cfRule>
  </conditionalFormatting>
  <conditionalFormatting sqref="U3898:U3900">
    <cfRule type="cellIs" dxfId="1704" priority="192" stopIfTrue="1" operator="greaterThan">
      <formula>2.3</formula>
    </cfRule>
  </conditionalFormatting>
  <conditionalFormatting sqref="V3898:V3900">
    <cfRule type="cellIs" dxfId="1703" priority="191" stopIfTrue="1" operator="greaterThan">
      <formula>1.1</formula>
    </cfRule>
  </conditionalFormatting>
  <conditionalFormatting sqref="W3898:W3900">
    <cfRule type="cellIs" dxfId="1702" priority="190" stopIfTrue="1" operator="greaterThan">
      <formula>0.059</formula>
    </cfRule>
  </conditionalFormatting>
  <conditionalFormatting sqref="X3898:X3900">
    <cfRule type="cellIs" dxfId="1701" priority="189" stopIfTrue="1" operator="greaterThan">
      <formula>0.16</formula>
    </cfRule>
  </conditionalFormatting>
  <conditionalFormatting sqref="Y3898:Y3900">
    <cfRule type="cellIs" dxfId="1700" priority="188" stopIfTrue="1" operator="greaterThan">
      <formula>0.076</formula>
    </cfRule>
  </conditionalFormatting>
  <conditionalFormatting sqref="O4051">
    <cfRule type="cellIs" dxfId="1699" priority="187" stopIfTrue="1" operator="greaterThan">
      <formula>5</formula>
    </cfRule>
  </conditionalFormatting>
  <conditionalFormatting sqref="Q4051">
    <cfRule type="cellIs" dxfId="1698" priority="186" stopIfTrue="1" operator="notBetween">
      <formula>5</formula>
      <formula>9</formula>
    </cfRule>
  </conditionalFormatting>
  <conditionalFormatting sqref="R4051">
    <cfRule type="cellIs" dxfId="1697" priority="185" stopIfTrue="1" operator="greaterThan">
      <formula>75</formula>
    </cfRule>
  </conditionalFormatting>
  <conditionalFormatting sqref="S4051">
    <cfRule type="cellIs" dxfId="1696" priority="184" stopIfTrue="1" operator="greaterThan">
      <formula>90</formula>
    </cfRule>
  </conditionalFormatting>
  <conditionalFormatting sqref="T4051">
    <cfRule type="cellIs" dxfId="1695" priority="183" stopIfTrue="1" operator="greaterThan">
      <formula>0.4</formula>
    </cfRule>
  </conditionalFormatting>
  <conditionalFormatting sqref="U4051">
    <cfRule type="cellIs" dxfId="1694" priority="182" stopIfTrue="1" operator="greaterThan">
      <formula>2.3</formula>
    </cfRule>
  </conditionalFormatting>
  <conditionalFormatting sqref="V4051">
    <cfRule type="cellIs" dxfId="1693" priority="181" stopIfTrue="1" operator="greaterThan">
      <formula>1.1</formula>
    </cfRule>
  </conditionalFormatting>
  <conditionalFormatting sqref="W4051">
    <cfRule type="cellIs" dxfId="1692" priority="180" stopIfTrue="1" operator="greaterThan">
      <formula>0.059</formula>
    </cfRule>
  </conditionalFormatting>
  <conditionalFormatting sqref="X4051">
    <cfRule type="cellIs" dxfId="1691" priority="179" stopIfTrue="1" operator="greaterThan">
      <formula>0.16</formula>
    </cfRule>
  </conditionalFormatting>
  <conditionalFormatting sqref="Y4051">
    <cfRule type="cellIs" dxfId="1690" priority="178" stopIfTrue="1" operator="greaterThan">
      <formula>0.076</formula>
    </cfRule>
  </conditionalFormatting>
  <conditionalFormatting sqref="O1504">
    <cfRule type="cellIs" dxfId="1689" priority="177" stopIfTrue="1" operator="greaterThan">
      <formula>5</formula>
    </cfRule>
  </conditionalFormatting>
  <conditionalFormatting sqref="Q1504">
    <cfRule type="cellIs" dxfId="1688" priority="176" stopIfTrue="1" operator="notBetween">
      <formula>5</formula>
      <formula>9</formula>
    </cfRule>
  </conditionalFormatting>
  <conditionalFormatting sqref="R1504">
    <cfRule type="cellIs" dxfId="1687" priority="175" stopIfTrue="1" operator="greaterThan">
      <formula>75</formula>
    </cfRule>
  </conditionalFormatting>
  <conditionalFormatting sqref="S1504">
    <cfRule type="cellIs" dxfId="1686" priority="174" stopIfTrue="1" operator="greaterThan">
      <formula>90</formula>
    </cfRule>
  </conditionalFormatting>
  <conditionalFormatting sqref="T1504">
    <cfRule type="cellIs" dxfId="1685" priority="173" stopIfTrue="1" operator="greaterThan">
      <formula>0.4</formula>
    </cfRule>
  </conditionalFormatting>
  <conditionalFormatting sqref="U1504">
    <cfRule type="cellIs" dxfId="1684" priority="172" stopIfTrue="1" operator="greaterThan">
      <formula>2.3</formula>
    </cfRule>
  </conditionalFormatting>
  <conditionalFormatting sqref="V1504">
    <cfRule type="cellIs" dxfId="1683" priority="171" stopIfTrue="1" operator="greaterThan">
      <formula>1.1</formula>
    </cfRule>
  </conditionalFormatting>
  <conditionalFormatting sqref="W1504">
    <cfRule type="cellIs" dxfId="1682" priority="170" stopIfTrue="1" operator="greaterThan">
      <formula>0.059</formula>
    </cfRule>
  </conditionalFormatting>
  <conditionalFormatting sqref="X1504">
    <cfRule type="cellIs" dxfId="1681" priority="169" stopIfTrue="1" operator="greaterThan">
      <formula>0.16</formula>
    </cfRule>
  </conditionalFormatting>
  <conditionalFormatting sqref="Y1504">
    <cfRule type="cellIs" dxfId="1680" priority="168" stopIfTrue="1" operator="greaterThan">
      <formula>0.076</formula>
    </cfRule>
  </conditionalFormatting>
  <conditionalFormatting sqref="L4719:L4720 L4714:L4717">
    <cfRule type="cellIs" dxfId="1679" priority="165" stopIfTrue="1" operator="greaterThan">
      <formula>0.16</formula>
    </cfRule>
  </conditionalFormatting>
  <conditionalFormatting sqref="L4718">
    <cfRule type="cellIs" dxfId="1678" priority="164" stopIfTrue="1" operator="greaterThan">
      <formula>0.16</formula>
    </cfRule>
  </conditionalFormatting>
  <conditionalFormatting sqref="O1571">
    <cfRule type="cellIs" dxfId="1677" priority="163" stopIfTrue="1" operator="greaterThan">
      <formula>5</formula>
    </cfRule>
  </conditionalFormatting>
  <conditionalFormatting sqref="Q1571">
    <cfRule type="cellIs" dxfId="1676" priority="162" stopIfTrue="1" operator="notBetween">
      <formula>5</formula>
      <formula>9</formula>
    </cfRule>
  </conditionalFormatting>
  <conditionalFormatting sqref="R1571">
    <cfRule type="cellIs" dxfId="1675" priority="161" stopIfTrue="1" operator="greaterThan">
      <formula>75</formula>
    </cfRule>
  </conditionalFormatting>
  <conditionalFormatting sqref="S1571">
    <cfRule type="cellIs" dxfId="1674" priority="160" stopIfTrue="1" operator="greaterThan">
      <formula>90</formula>
    </cfRule>
  </conditionalFormatting>
  <conditionalFormatting sqref="T1571">
    <cfRule type="cellIs" dxfId="1673" priority="159" stopIfTrue="1" operator="greaterThan">
      <formula>0.4</formula>
    </cfRule>
  </conditionalFormatting>
  <conditionalFormatting sqref="U1571">
    <cfRule type="cellIs" dxfId="1672" priority="158" stopIfTrue="1" operator="greaterThan">
      <formula>2.3</formula>
    </cfRule>
  </conditionalFormatting>
  <conditionalFormatting sqref="V1571">
    <cfRule type="cellIs" dxfId="1671" priority="157" stopIfTrue="1" operator="greaterThan">
      <formula>1.1</formula>
    </cfRule>
  </conditionalFormatting>
  <conditionalFormatting sqref="W1571">
    <cfRule type="cellIs" dxfId="1670" priority="156" stopIfTrue="1" operator="greaterThan">
      <formula>0.059</formula>
    </cfRule>
  </conditionalFormatting>
  <conditionalFormatting sqref="X1571">
    <cfRule type="cellIs" dxfId="1669" priority="155" stopIfTrue="1" operator="greaterThan">
      <formula>0.16</formula>
    </cfRule>
  </conditionalFormatting>
  <conditionalFormatting sqref="Y1571">
    <cfRule type="cellIs" dxfId="1668" priority="154" stopIfTrue="1" operator="greaterThan">
      <formula>0.076</formula>
    </cfRule>
  </conditionalFormatting>
  <conditionalFormatting sqref="O1801:O1802">
    <cfRule type="cellIs" dxfId="1667" priority="153" stopIfTrue="1" operator="greaterThan">
      <formula>5</formula>
    </cfRule>
  </conditionalFormatting>
  <conditionalFormatting sqref="Q1801:Q1802">
    <cfRule type="cellIs" dxfId="1666" priority="152" stopIfTrue="1" operator="notBetween">
      <formula>5</formula>
      <formula>9</formula>
    </cfRule>
  </conditionalFormatting>
  <conditionalFormatting sqref="R1801:R1802">
    <cfRule type="cellIs" dxfId="1665" priority="151" stopIfTrue="1" operator="greaterThan">
      <formula>75</formula>
    </cfRule>
  </conditionalFormatting>
  <conditionalFormatting sqref="S1801:S1802">
    <cfRule type="cellIs" dxfId="1664" priority="150" stopIfTrue="1" operator="greaterThan">
      <formula>90</formula>
    </cfRule>
  </conditionalFormatting>
  <conditionalFormatting sqref="T1801:T1802">
    <cfRule type="cellIs" dxfId="1663" priority="149" stopIfTrue="1" operator="greaterThan">
      <formula>0.4</formula>
    </cfRule>
  </conditionalFormatting>
  <conditionalFormatting sqref="U1801:U1802">
    <cfRule type="cellIs" dxfId="1662" priority="148" stopIfTrue="1" operator="greaterThan">
      <formula>2.3</formula>
    </cfRule>
  </conditionalFormatting>
  <conditionalFormatting sqref="V1801:V1802">
    <cfRule type="cellIs" dxfId="1661" priority="147" stopIfTrue="1" operator="greaterThan">
      <formula>1.1</formula>
    </cfRule>
  </conditionalFormatting>
  <conditionalFormatting sqref="W1801:W1802">
    <cfRule type="cellIs" dxfId="1660" priority="146" stopIfTrue="1" operator="greaterThan">
      <formula>0.059</formula>
    </cfRule>
  </conditionalFormatting>
  <conditionalFormatting sqref="X1801:X1802">
    <cfRule type="cellIs" dxfId="1659" priority="145" stopIfTrue="1" operator="greaterThan">
      <formula>0.16</formula>
    </cfRule>
  </conditionalFormatting>
  <conditionalFormatting sqref="Y1801:Y1802">
    <cfRule type="cellIs" dxfId="1658" priority="144" stopIfTrue="1" operator="greaterThan">
      <formula>0.076</formula>
    </cfRule>
  </conditionalFormatting>
  <conditionalFormatting sqref="O3458:O3460">
    <cfRule type="cellIs" dxfId="1657" priority="143" stopIfTrue="1" operator="greaterThan">
      <formula>5</formula>
    </cfRule>
  </conditionalFormatting>
  <conditionalFormatting sqref="Q3458:Q3460">
    <cfRule type="cellIs" dxfId="1656" priority="142" stopIfTrue="1" operator="notBetween">
      <formula>5</formula>
      <formula>9</formula>
    </cfRule>
  </conditionalFormatting>
  <conditionalFormatting sqref="R3458:R3460">
    <cfRule type="cellIs" dxfId="1655" priority="141" stopIfTrue="1" operator="greaterThan">
      <formula>75</formula>
    </cfRule>
  </conditionalFormatting>
  <conditionalFormatting sqref="S3458:S3460">
    <cfRule type="cellIs" dxfId="1654" priority="140" stopIfTrue="1" operator="greaterThan">
      <formula>90</formula>
    </cfRule>
  </conditionalFormatting>
  <conditionalFormatting sqref="T3458:T3460">
    <cfRule type="cellIs" dxfId="1653" priority="139" stopIfTrue="1" operator="greaterThan">
      <formula>0.4</formula>
    </cfRule>
  </conditionalFormatting>
  <conditionalFormatting sqref="U3458:U3460">
    <cfRule type="cellIs" dxfId="1652" priority="138" stopIfTrue="1" operator="greaterThan">
      <formula>2.3</formula>
    </cfRule>
  </conditionalFormatting>
  <conditionalFormatting sqref="V3458:V3460">
    <cfRule type="cellIs" dxfId="1651" priority="137" stopIfTrue="1" operator="greaterThan">
      <formula>1.1</formula>
    </cfRule>
  </conditionalFormatting>
  <conditionalFormatting sqref="W3458:W3460">
    <cfRule type="cellIs" dxfId="1650" priority="136" stopIfTrue="1" operator="greaterThan">
      <formula>0.059</formula>
    </cfRule>
  </conditionalFormatting>
  <conditionalFormatting sqref="X3458:X3460">
    <cfRule type="cellIs" dxfId="1649" priority="135" stopIfTrue="1" operator="greaterThan">
      <formula>0.16</formula>
    </cfRule>
  </conditionalFormatting>
  <conditionalFormatting sqref="Y3458:Y3460">
    <cfRule type="cellIs" dxfId="1648" priority="134" stopIfTrue="1" operator="greaterThan">
      <formula>0.076</formula>
    </cfRule>
  </conditionalFormatting>
  <conditionalFormatting sqref="O3462:O3465">
    <cfRule type="cellIs" dxfId="1647" priority="133" stopIfTrue="1" operator="greaterThan">
      <formula>5</formula>
    </cfRule>
  </conditionalFormatting>
  <conditionalFormatting sqref="Q3462:Q3465">
    <cfRule type="cellIs" dxfId="1646" priority="132" stopIfTrue="1" operator="notBetween">
      <formula>5</formula>
      <formula>9</formula>
    </cfRule>
  </conditionalFormatting>
  <conditionalFormatting sqref="R3462:R3465">
    <cfRule type="cellIs" dxfId="1645" priority="131" stopIfTrue="1" operator="greaterThan">
      <formula>75</formula>
    </cfRule>
  </conditionalFormatting>
  <conditionalFormatting sqref="S3462:S3465">
    <cfRule type="cellIs" dxfId="1644" priority="130" stopIfTrue="1" operator="greaterThan">
      <formula>90</formula>
    </cfRule>
  </conditionalFormatting>
  <conditionalFormatting sqref="T3462:T3465">
    <cfRule type="cellIs" dxfId="1643" priority="129" stopIfTrue="1" operator="greaterThan">
      <formula>0.4</formula>
    </cfRule>
  </conditionalFormatting>
  <conditionalFormatting sqref="U3462:U3465">
    <cfRule type="cellIs" dxfId="1642" priority="128" stopIfTrue="1" operator="greaterThan">
      <formula>2.3</formula>
    </cfRule>
  </conditionalFormatting>
  <conditionalFormatting sqref="V3462:V3465">
    <cfRule type="cellIs" dxfId="1641" priority="127" stopIfTrue="1" operator="greaterThan">
      <formula>1.1</formula>
    </cfRule>
  </conditionalFormatting>
  <conditionalFormatting sqref="W3462:W3465">
    <cfRule type="cellIs" dxfId="1640" priority="126" stopIfTrue="1" operator="greaterThan">
      <formula>0.059</formula>
    </cfRule>
  </conditionalFormatting>
  <conditionalFormatting sqref="X3462:X3465">
    <cfRule type="cellIs" dxfId="1639" priority="125" stopIfTrue="1" operator="greaterThan">
      <formula>0.16</formula>
    </cfRule>
  </conditionalFormatting>
  <conditionalFormatting sqref="Y3462:Y3465">
    <cfRule type="cellIs" dxfId="1638" priority="124" stopIfTrue="1" operator="greaterThan">
      <formula>0.076</formula>
    </cfRule>
  </conditionalFormatting>
  <conditionalFormatting sqref="O3468:O3471">
    <cfRule type="cellIs" dxfId="1637" priority="123" stopIfTrue="1" operator="greaterThan">
      <formula>5</formula>
    </cfRule>
  </conditionalFormatting>
  <conditionalFormatting sqref="Q3468:Q3471">
    <cfRule type="cellIs" dxfId="1636" priority="122" stopIfTrue="1" operator="notBetween">
      <formula>5</formula>
      <formula>9</formula>
    </cfRule>
  </conditionalFormatting>
  <conditionalFormatting sqref="R3468:R3471">
    <cfRule type="cellIs" dxfId="1635" priority="121" stopIfTrue="1" operator="greaterThan">
      <formula>75</formula>
    </cfRule>
  </conditionalFormatting>
  <conditionalFormatting sqref="S3468:S3471">
    <cfRule type="cellIs" dxfId="1634" priority="120" stopIfTrue="1" operator="greaterThan">
      <formula>90</formula>
    </cfRule>
  </conditionalFormatting>
  <conditionalFormatting sqref="T3468:T3471">
    <cfRule type="cellIs" dxfId="1633" priority="119" stopIfTrue="1" operator="greaterThan">
      <formula>0.4</formula>
    </cfRule>
  </conditionalFormatting>
  <conditionalFormatting sqref="U3468:U3471">
    <cfRule type="cellIs" dxfId="1632" priority="118" stopIfTrue="1" operator="greaterThan">
      <formula>2.3</formula>
    </cfRule>
  </conditionalFormatting>
  <conditionalFormatting sqref="V3468:V3471">
    <cfRule type="cellIs" dxfId="1631" priority="117" stopIfTrue="1" operator="greaterThan">
      <formula>1.1</formula>
    </cfRule>
  </conditionalFormatting>
  <conditionalFormatting sqref="W3468:W3471">
    <cfRule type="cellIs" dxfId="1630" priority="116" stopIfTrue="1" operator="greaterThan">
      <formula>0.059</formula>
    </cfRule>
  </conditionalFormatting>
  <conditionalFormatting sqref="X3468:X3471">
    <cfRule type="cellIs" dxfId="1629" priority="115" stopIfTrue="1" operator="greaterThan">
      <formula>0.16</formula>
    </cfRule>
  </conditionalFormatting>
  <conditionalFormatting sqref="Y3468:Y3471">
    <cfRule type="cellIs" dxfId="1628" priority="114" stopIfTrue="1" operator="greaterThan">
      <formula>0.076</formula>
    </cfRule>
  </conditionalFormatting>
  <conditionalFormatting sqref="O3475:O3497">
    <cfRule type="cellIs" dxfId="1627" priority="113" stopIfTrue="1" operator="greaterThan">
      <formula>5</formula>
    </cfRule>
  </conditionalFormatting>
  <conditionalFormatting sqref="Q3475:Q3497">
    <cfRule type="cellIs" dxfId="1626" priority="112" stopIfTrue="1" operator="notBetween">
      <formula>5</formula>
      <formula>9</formula>
    </cfRule>
  </conditionalFormatting>
  <conditionalFormatting sqref="R3475:R3497">
    <cfRule type="cellIs" dxfId="1625" priority="111" stopIfTrue="1" operator="greaterThan">
      <formula>75</formula>
    </cfRule>
  </conditionalFormatting>
  <conditionalFormatting sqref="S3475:S3497">
    <cfRule type="cellIs" dxfId="1624" priority="110" stopIfTrue="1" operator="greaterThan">
      <formula>90</formula>
    </cfRule>
  </conditionalFormatting>
  <conditionalFormatting sqref="T3475:T3497">
    <cfRule type="cellIs" dxfId="1623" priority="109" stopIfTrue="1" operator="greaterThan">
      <formula>0.4</formula>
    </cfRule>
  </conditionalFormatting>
  <conditionalFormatting sqref="U3475:U3497">
    <cfRule type="cellIs" dxfId="1622" priority="108" stopIfTrue="1" operator="greaterThan">
      <formula>2.3</formula>
    </cfRule>
  </conditionalFormatting>
  <conditionalFormatting sqref="V3475:V3497">
    <cfRule type="cellIs" dxfId="1621" priority="107" stopIfTrue="1" operator="greaterThan">
      <formula>1.1</formula>
    </cfRule>
  </conditionalFormatting>
  <conditionalFormatting sqref="W3475:W3497">
    <cfRule type="cellIs" dxfId="1620" priority="106" stopIfTrue="1" operator="greaterThan">
      <formula>0.059</formula>
    </cfRule>
  </conditionalFormatting>
  <conditionalFormatting sqref="X3475:X3497">
    <cfRule type="cellIs" dxfId="1619" priority="105" stopIfTrue="1" operator="greaterThan">
      <formula>0.16</formula>
    </cfRule>
  </conditionalFormatting>
  <conditionalFormatting sqref="Y3475:Y3497">
    <cfRule type="cellIs" dxfId="1618" priority="104" stopIfTrue="1" operator="greaterThan">
      <formula>0.076</formula>
    </cfRule>
  </conditionalFormatting>
  <conditionalFormatting sqref="O3551:O3553">
    <cfRule type="cellIs" dxfId="1617" priority="103" stopIfTrue="1" operator="greaterThan">
      <formula>5</formula>
    </cfRule>
  </conditionalFormatting>
  <conditionalFormatting sqref="Q3551:Q3553">
    <cfRule type="cellIs" dxfId="1616" priority="102" stopIfTrue="1" operator="notBetween">
      <formula>5</formula>
      <formula>9</formula>
    </cfRule>
  </conditionalFormatting>
  <conditionalFormatting sqref="R3551:R3553">
    <cfRule type="cellIs" dxfId="1615" priority="101" stopIfTrue="1" operator="greaterThan">
      <formula>75</formula>
    </cfRule>
  </conditionalFormatting>
  <conditionalFormatting sqref="S3551:S3553">
    <cfRule type="cellIs" dxfId="1614" priority="100" stopIfTrue="1" operator="greaterThan">
      <formula>90</formula>
    </cfRule>
  </conditionalFormatting>
  <conditionalFormatting sqref="T3551:T3553">
    <cfRule type="cellIs" dxfId="1613" priority="99" stopIfTrue="1" operator="greaterThan">
      <formula>0.4</formula>
    </cfRule>
  </conditionalFormatting>
  <conditionalFormatting sqref="U3551:U3553">
    <cfRule type="cellIs" dxfId="1612" priority="98" stopIfTrue="1" operator="greaterThan">
      <formula>2.3</formula>
    </cfRule>
  </conditionalFormatting>
  <conditionalFormatting sqref="V3551:V3553">
    <cfRule type="cellIs" dxfId="1611" priority="97" stopIfTrue="1" operator="greaterThan">
      <formula>1.1</formula>
    </cfRule>
  </conditionalFormatting>
  <conditionalFormatting sqref="W3551:W3553">
    <cfRule type="cellIs" dxfId="1610" priority="96" stopIfTrue="1" operator="greaterThan">
      <formula>0.059</formula>
    </cfRule>
  </conditionalFormatting>
  <conditionalFormatting sqref="X3551:X3553">
    <cfRule type="cellIs" dxfId="1609" priority="95" stopIfTrue="1" operator="greaterThan">
      <formula>0.16</formula>
    </cfRule>
  </conditionalFormatting>
  <conditionalFormatting sqref="Y3551:Y3553">
    <cfRule type="cellIs" dxfId="1608" priority="94" stopIfTrue="1" operator="greaterThan">
      <formula>0.076</formula>
    </cfRule>
  </conditionalFormatting>
  <conditionalFormatting sqref="O3557">
    <cfRule type="cellIs" dxfId="1607" priority="93" stopIfTrue="1" operator="greaterThan">
      <formula>5</formula>
    </cfRule>
  </conditionalFormatting>
  <conditionalFormatting sqref="Q3557">
    <cfRule type="cellIs" dxfId="1606" priority="92" stopIfTrue="1" operator="notBetween">
      <formula>5</formula>
      <formula>9</formula>
    </cfRule>
  </conditionalFormatting>
  <conditionalFormatting sqref="R3557">
    <cfRule type="cellIs" dxfId="1605" priority="91" stopIfTrue="1" operator="greaterThan">
      <formula>75</formula>
    </cfRule>
  </conditionalFormatting>
  <conditionalFormatting sqref="S3557">
    <cfRule type="cellIs" dxfId="1604" priority="90" stopIfTrue="1" operator="greaterThan">
      <formula>90</formula>
    </cfRule>
  </conditionalFormatting>
  <conditionalFormatting sqref="T3557">
    <cfRule type="cellIs" dxfId="1603" priority="89" stopIfTrue="1" operator="greaterThan">
      <formula>0.4</formula>
    </cfRule>
  </conditionalFormatting>
  <conditionalFormatting sqref="U3557">
    <cfRule type="cellIs" dxfId="1602" priority="88" stopIfTrue="1" operator="greaterThan">
      <formula>2.3</formula>
    </cfRule>
  </conditionalFormatting>
  <conditionalFormatting sqref="V3557">
    <cfRule type="cellIs" dxfId="1601" priority="87" stopIfTrue="1" operator="greaterThan">
      <formula>1.1</formula>
    </cfRule>
  </conditionalFormatting>
  <conditionalFormatting sqref="W3557">
    <cfRule type="cellIs" dxfId="1600" priority="86" stopIfTrue="1" operator="greaterThan">
      <formula>0.059</formula>
    </cfRule>
  </conditionalFormatting>
  <conditionalFormatting sqref="X3557">
    <cfRule type="cellIs" dxfId="1599" priority="85" stopIfTrue="1" operator="greaterThan">
      <formula>0.16</formula>
    </cfRule>
  </conditionalFormatting>
  <conditionalFormatting sqref="Y3557">
    <cfRule type="cellIs" dxfId="1598" priority="84" stopIfTrue="1" operator="greaterThan">
      <formula>0.076</formula>
    </cfRule>
  </conditionalFormatting>
  <conditionalFormatting sqref="O3567:O3573">
    <cfRule type="cellIs" dxfId="1597" priority="83" stopIfTrue="1" operator="greaterThan">
      <formula>5</formula>
    </cfRule>
  </conditionalFormatting>
  <conditionalFormatting sqref="Q3567:Q3573">
    <cfRule type="cellIs" dxfId="1596" priority="82" stopIfTrue="1" operator="notBetween">
      <formula>5</formula>
      <formula>9</formula>
    </cfRule>
  </conditionalFormatting>
  <conditionalFormatting sqref="R3567:R3573">
    <cfRule type="cellIs" dxfId="1595" priority="81" stopIfTrue="1" operator="greaterThan">
      <formula>75</formula>
    </cfRule>
  </conditionalFormatting>
  <conditionalFormatting sqref="S3567:S3573">
    <cfRule type="cellIs" dxfId="1594" priority="80" stopIfTrue="1" operator="greaterThan">
      <formula>90</formula>
    </cfRule>
  </conditionalFormatting>
  <conditionalFormatting sqref="T3567:T3573">
    <cfRule type="cellIs" dxfId="1593" priority="79" stopIfTrue="1" operator="greaterThan">
      <formula>0.4</formula>
    </cfRule>
  </conditionalFormatting>
  <conditionalFormatting sqref="U3567:U3573">
    <cfRule type="cellIs" dxfId="1592" priority="78" stopIfTrue="1" operator="greaterThan">
      <formula>2.3</formula>
    </cfRule>
  </conditionalFormatting>
  <conditionalFormatting sqref="V3567:V3573">
    <cfRule type="cellIs" dxfId="1591" priority="77" stopIfTrue="1" operator="greaterThan">
      <formula>1.1</formula>
    </cfRule>
  </conditionalFormatting>
  <conditionalFormatting sqref="W3567:W3573">
    <cfRule type="cellIs" dxfId="1590" priority="76" stopIfTrue="1" operator="greaterThan">
      <formula>0.059</formula>
    </cfRule>
  </conditionalFormatting>
  <conditionalFormatting sqref="X3567:X3573">
    <cfRule type="cellIs" dxfId="1589" priority="75" stopIfTrue="1" operator="greaterThan">
      <formula>0.16</formula>
    </cfRule>
  </conditionalFormatting>
  <conditionalFormatting sqref="Y3567:Y3573">
    <cfRule type="cellIs" dxfId="1588" priority="74" stopIfTrue="1" operator="greaterThan">
      <formula>0.076</formula>
    </cfRule>
  </conditionalFormatting>
  <conditionalFormatting sqref="O3578:O3580">
    <cfRule type="cellIs" dxfId="1587" priority="73" stopIfTrue="1" operator="greaterThan">
      <formula>5</formula>
    </cfRule>
  </conditionalFormatting>
  <conditionalFormatting sqref="Q3578:Q3580">
    <cfRule type="cellIs" dxfId="1586" priority="72" stopIfTrue="1" operator="notBetween">
      <formula>5</formula>
      <formula>9</formula>
    </cfRule>
  </conditionalFormatting>
  <conditionalFormatting sqref="R3578:R3580">
    <cfRule type="cellIs" dxfId="1585" priority="71" stopIfTrue="1" operator="greaterThan">
      <formula>75</formula>
    </cfRule>
  </conditionalFormatting>
  <conditionalFormatting sqref="S3578:S3580">
    <cfRule type="cellIs" dxfId="1584" priority="70" stopIfTrue="1" operator="greaterThan">
      <formula>90</formula>
    </cfRule>
  </conditionalFormatting>
  <conditionalFormatting sqref="T3578:T3580">
    <cfRule type="cellIs" dxfId="1583" priority="69" stopIfTrue="1" operator="greaterThan">
      <formula>0.4</formula>
    </cfRule>
  </conditionalFormatting>
  <conditionalFormatting sqref="U3578:U3580">
    <cfRule type="cellIs" dxfId="1582" priority="68" stopIfTrue="1" operator="greaterThan">
      <formula>2.3</formula>
    </cfRule>
  </conditionalFormatting>
  <conditionalFormatting sqref="V3578:V3580">
    <cfRule type="cellIs" dxfId="1581" priority="67" stopIfTrue="1" operator="greaterThan">
      <formula>1.1</formula>
    </cfRule>
  </conditionalFormatting>
  <conditionalFormatting sqref="W3578:W3580">
    <cfRule type="cellIs" dxfId="1580" priority="66" stopIfTrue="1" operator="greaterThan">
      <formula>0.059</formula>
    </cfRule>
  </conditionalFormatting>
  <conditionalFormatting sqref="X3578:X3580">
    <cfRule type="cellIs" dxfId="1579" priority="65" stopIfTrue="1" operator="greaterThan">
      <formula>0.16</formula>
    </cfRule>
  </conditionalFormatting>
  <conditionalFormatting sqref="Y3578:Y3580">
    <cfRule type="cellIs" dxfId="1578" priority="64" stopIfTrue="1" operator="greaterThan">
      <formula>0.076</formula>
    </cfRule>
  </conditionalFormatting>
  <conditionalFormatting sqref="O3585">
    <cfRule type="cellIs" dxfId="1577" priority="63" stopIfTrue="1" operator="greaterThan">
      <formula>5</formula>
    </cfRule>
  </conditionalFormatting>
  <conditionalFormatting sqref="Q3585">
    <cfRule type="cellIs" dxfId="1576" priority="62" stopIfTrue="1" operator="notBetween">
      <formula>5</formula>
      <formula>9</formula>
    </cfRule>
  </conditionalFormatting>
  <conditionalFormatting sqref="R3585">
    <cfRule type="cellIs" dxfId="1575" priority="61" stopIfTrue="1" operator="greaterThan">
      <formula>75</formula>
    </cfRule>
  </conditionalFormatting>
  <conditionalFormatting sqref="S3585">
    <cfRule type="cellIs" dxfId="1574" priority="60" stopIfTrue="1" operator="greaterThan">
      <formula>90</formula>
    </cfRule>
  </conditionalFormatting>
  <conditionalFormatting sqref="T3585">
    <cfRule type="cellIs" dxfId="1573" priority="59" stopIfTrue="1" operator="greaterThan">
      <formula>0.4</formula>
    </cfRule>
  </conditionalFormatting>
  <conditionalFormatting sqref="U3585">
    <cfRule type="cellIs" dxfId="1572" priority="58" stopIfTrue="1" operator="greaterThan">
      <formula>2.3</formula>
    </cfRule>
  </conditionalFormatting>
  <conditionalFormatting sqref="V3585">
    <cfRule type="cellIs" dxfId="1571" priority="57" stopIfTrue="1" operator="greaterThan">
      <formula>1.1</formula>
    </cfRule>
  </conditionalFormatting>
  <conditionalFormatting sqref="W3585">
    <cfRule type="cellIs" dxfId="1570" priority="56" stopIfTrue="1" operator="greaterThan">
      <formula>0.059</formula>
    </cfRule>
  </conditionalFormatting>
  <conditionalFormatting sqref="X3585">
    <cfRule type="cellIs" dxfId="1569" priority="55" stopIfTrue="1" operator="greaterThan">
      <formula>0.16</formula>
    </cfRule>
  </conditionalFormatting>
  <conditionalFormatting sqref="Y3585">
    <cfRule type="cellIs" dxfId="1568" priority="54" stopIfTrue="1" operator="greaterThan">
      <formula>0.076</formula>
    </cfRule>
  </conditionalFormatting>
  <conditionalFormatting sqref="O3588">
    <cfRule type="cellIs" dxfId="1567" priority="53" stopIfTrue="1" operator="greaterThan">
      <formula>5</formula>
    </cfRule>
  </conditionalFormatting>
  <conditionalFormatting sqref="Q3588">
    <cfRule type="cellIs" dxfId="1566" priority="52" stopIfTrue="1" operator="notBetween">
      <formula>5</formula>
      <formula>9</formula>
    </cfRule>
  </conditionalFormatting>
  <conditionalFormatting sqref="R3588">
    <cfRule type="cellIs" dxfId="1565" priority="51" stopIfTrue="1" operator="greaterThan">
      <formula>75</formula>
    </cfRule>
  </conditionalFormatting>
  <conditionalFormatting sqref="S3588">
    <cfRule type="cellIs" dxfId="1564" priority="50" stopIfTrue="1" operator="greaterThan">
      <formula>90</formula>
    </cfRule>
  </conditionalFormatting>
  <conditionalFormatting sqref="T3588">
    <cfRule type="cellIs" dxfId="1563" priority="49" stopIfTrue="1" operator="greaterThan">
      <formula>0.4</formula>
    </cfRule>
  </conditionalFormatting>
  <conditionalFormatting sqref="U3588">
    <cfRule type="cellIs" dxfId="1562" priority="48" stopIfTrue="1" operator="greaterThan">
      <formula>2.3</formula>
    </cfRule>
  </conditionalFormatting>
  <conditionalFormatting sqref="V3588">
    <cfRule type="cellIs" dxfId="1561" priority="47" stopIfTrue="1" operator="greaterThan">
      <formula>1.1</formula>
    </cfRule>
  </conditionalFormatting>
  <conditionalFormatting sqref="W3588">
    <cfRule type="cellIs" dxfId="1560" priority="46" stopIfTrue="1" operator="greaterThan">
      <formula>0.059</formula>
    </cfRule>
  </conditionalFormatting>
  <conditionalFormatting sqref="X3588">
    <cfRule type="cellIs" dxfId="1559" priority="45" stopIfTrue="1" operator="greaterThan">
      <formula>0.16</formula>
    </cfRule>
  </conditionalFormatting>
  <conditionalFormatting sqref="Y3588">
    <cfRule type="cellIs" dxfId="1558" priority="44" stopIfTrue="1" operator="greaterThan">
      <formula>0.076</formula>
    </cfRule>
  </conditionalFormatting>
  <conditionalFormatting sqref="O3590">
    <cfRule type="cellIs" dxfId="1557" priority="43" stopIfTrue="1" operator="greaterThan">
      <formula>5</formula>
    </cfRule>
  </conditionalFormatting>
  <conditionalFormatting sqref="Q3590">
    <cfRule type="cellIs" dxfId="1556" priority="42" stopIfTrue="1" operator="notBetween">
      <formula>5</formula>
      <formula>9</formula>
    </cfRule>
  </conditionalFormatting>
  <conditionalFormatting sqref="R3590">
    <cfRule type="cellIs" dxfId="1555" priority="41" stopIfTrue="1" operator="greaterThan">
      <formula>75</formula>
    </cfRule>
  </conditionalFormatting>
  <conditionalFormatting sqref="S3590">
    <cfRule type="cellIs" dxfId="1554" priority="40" stopIfTrue="1" operator="greaterThan">
      <formula>90</formula>
    </cfRule>
  </conditionalFormatting>
  <conditionalFormatting sqref="T3590">
    <cfRule type="cellIs" dxfId="1553" priority="39" stopIfTrue="1" operator="greaterThan">
      <formula>0.4</formula>
    </cfRule>
  </conditionalFormatting>
  <conditionalFormatting sqref="U3590">
    <cfRule type="cellIs" dxfId="1552" priority="38" stopIfTrue="1" operator="greaterThan">
      <formula>2.3</formula>
    </cfRule>
  </conditionalFormatting>
  <conditionalFormatting sqref="V3590">
    <cfRule type="cellIs" dxfId="1551" priority="37" stopIfTrue="1" operator="greaterThan">
      <formula>1.1</formula>
    </cfRule>
  </conditionalFormatting>
  <conditionalFormatting sqref="W3590">
    <cfRule type="cellIs" dxfId="1550" priority="36" stopIfTrue="1" operator="greaterThan">
      <formula>0.059</formula>
    </cfRule>
  </conditionalFormatting>
  <conditionalFormatting sqref="X3590">
    <cfRule type="cellIs" dxfId="1549" priority="35" stopIfTrue="1" operator="greaterThan">
      <formula>0.16</formula>
    </cfRule>
  </conditionalFormatting>
  <conditionalFormatting sqref="Y3590">
    <cfRule type="cellIs" dxfId="1548" priority="34" stopIfTrue="1" operator="greaterThan">
      <formula>0.076</formula>
    </cfRule>
  </conditionalFormatting>
  <conditionalFormatting sqref="O3603:O3604">
    <cfRule type="cellIs" dxfId="1547" priority="33" stopIfTrue="1" operator="greaterThan">
      <formula>5</formula>
    </cfRule>
  </conditionalFormatting>
  <conditionalFormatting sqref="Q3603:Q3604">
    <cfRule type="cellIs" dxfId="1546" priority="32" stopIfTrue="1" operator="notBetween">
      <formula>5</formula>
      <formula>9</formula>
    </cfRule>
  </conditionalFormatting>
  <conditionalFormatting sqref="R3603:R3604">
    <cfRule type="cellIs" dxfId="1545" priority="31" stopIfTrue="1" operator="greaterThan">
      <formula>75</formula>
    </cfRule>
  </conditionalFormatting>
  <conditionalFormatting sqref="S3603:S3604">
    <cfRule type="cellIs" dxfId="1544" priority="30" stopIfTrue="1" operator="greaterThan">
      <formula>90</formula>
    </cfRule>
  </conditionalFormatting>
  <conditionalFormatting sqref="T3603:T3604">
    <cfRule type="cellIs" dxfId="1543" priority="29" stopIfTrue="1" operator="greaterThan">
      <formula>0.4</formula>
    </cfRule>
  </conditionalFormatting>
  <conditionalFormatting sqref="U3603:U3604">
    <cfRule type="cellIs" dxfId="1542" priority="28" stopIfTrue="1" operator="greaterThan">
      <formula>2.3</formula>
    </cfRule>
  </conditionalFormatting>
  <conditionalFormatting sqref="V3603:V3604">
    <cfRule type="cellIs" dxfId="1541" priority="27" stopIfTrue="1" operator="greaterThan">
      <formula>1.1</formula>
    </cfRule>
  </conditionalFormatting>
  <conditionalFormatting sqref="W3603:W3604">
    <cfRule type="cellIs" dxfId="1540" priority="26" stopIfTrue="1" operator="greaterThan">
      <formula>0.059</formula>
    </cfRule>
  </conditionalFormatting>
  <conditionalFormatting sqref="X3603:X3604">
    <cfRule type="cellIs" dxfId="1539" priority="25" stopIfTrue="1" operator="greaterThan">
      <formula>0.16</formula>
    </cfRule>
  </conditionalFormatting>
  <conditionalFormatting sqref="Y3603:Y3604">
    <cfRule type="cellIs" dxfId="1538" priority="24" stopIfTrue="1" operator="greaterThan">
      <formula>0.076</formula>
    </cfRule>
  </conditionalFormatting>
  <conditionalFormatting sqref="O1373:O1374">
    <cfRule type="cellIs" dxfId="1537" priority="23" stopIfTrue="1" operator="greaterThan">
      <formula>5</formula>
    </cfRule>
  </conditionalFormatting>
  <conditionalFormatting sqref="Q1373:Q1374">
    <cfRule type="cellIs" dxfId="1536" priority="22" stopIfTrue="1" operator="notBetween">
      <formula>5</formula>
      <formula>9</formula>
    </cfRule>
  </conditionalFormatting>
  <conditionalFormatting sqref="R1373:R1374">
    <cfRule type="cellIs" dxfId="1535" priority="21" stopIfTrue="1" operator="greaterThan">
      <formula>75</formula>
    </cfRule>
  </conditionalFormatting>
  <conditionalFormatting sqref="S1373:S1374">
    <cfRule type="cellIs" dxfId="1534" priority="20" stopIfTrue="1" operator="greaterThan">
      <formula>90</formula>
    </cfRule>
  </conditionalFormatting>
  <conditionalFormatting sqref="T1373:T1374">
    <cfRule type="cellIs" dxfId="1533" priority="19" stopIfTrue="1" operator="greaterThan">
      <formula>0.4</formula>
    </cfRule>
  </conditionalFormatting>
  <conditionalFormatting sqref="U1373:U1374">
    <cfRule type="cellIs" dxfId="1532" priority="18" stopIfTrue="1" operator="greaterThan">
      <formula>2.3</formula>
    </cfRule>
  </conditionalFormatting>
  <conditionalFormatting sqref="V1373:V1374">
    <cfRule type="cellIs" dxfId="1531" priority="17" stopIfTrue="1" operator="greaterThan">
      <formula>1.1</formula>
    </cfRule>
  </conditionalFormatting>
  <conditionalFormatting sqref="W1373:W1374">
    <cfRule type="cellIs" dxfId="1530" priority="16" stopIfTrue="1" operator="greaterThan">
      <formula>0.059</formula>
    </cfRule>
  </conditionalFormatting>
  <conditionalFormatting sqref="X1373:X1374">
    <cfRule type="cellIs" dxfId="1529" priority="15" stopIfTrue="1" operator="greaterThan">
      <formula>0.16</formula>
    </cfRule>
  </conditionalFormatting>
  <conditionalFormatting sqref="Y1373:Y1374">
    <cfRule type="cellIs" dxfId="1528" priority="14" stopIfTrue="1" operator="greaterThan">
      <formula>0.076</formula>
    </cfRule>
  </conditionalFormatting>
  <conditionalFormatting sqref="O4700">
    <cfRule type="cellIs" dxfId="1527" priority="13" stopIfTrue="1" operator="greaterThan">
      <formula>5</formula>
    </cfRule>
  </conditionalFormatting>
  <conditionalFormatting sqref="Q4700">
    <cfRule type="cellIs" dxfId="1526" priority="12" stopIfTrue="1" operator="notBetween">
      <formula>5</formula>
      <formula>9</formula>
    </cfRule>
  </conditionalFormatting>
  <conditionalFormatting sqref="R4700">
    <cfRule type="cellIs" dxfId="1525" priority="11" stopIfTrue="1" operator="greaterThan">
      <formula>75</formula>
    </cfRule>
  </conditionalFormatting>
  <conditionalFormatting sqref="T4700">
    <cfRule type="cellIs" dxfId="1524" priority="10" stopIfTrue="1" operator="greaterThan">
      <formula>0.4</formula>
    </cfRule>
  </conditionalFormatting>
  <conditionalFormatting sqref="U4700">
    <cfRule type="cellIs" dxfId="1523" priority="9" stopIfTrue="1" operator="greaterThan">
      <formula>2.3</formula>
    </cfRule>
  </conditionalFormatting>
  <conditionalFormatting sqref="V4700">
    <cfRule type="cellIs" dxfId="1522" priority="8" stopIfTrue="1" operator="greaterThan">
      <formula>1.1</formula>
    </cfRule>
  </conditionalFormatting>
  <conditionalFormatting sqref="W4700">
    <cfRule type="cellIs" dxfId="1521" priority="7" stopIfTrue="1" operator="greaterThan">
      <formula>0.059</formula>
    </cfRule>
  </conditionalFormatting>
  <conditionalFormatting sqref="X4700">
    <cfRule type="cellIs" dxfId="1520" priority="6" stopIfTrue="1" operator="greaterThan">
      <formula>0.16</formula>
    </cfRule>
  </conditionalFormatting>
  <conditionalFormatting sqref="Y4700">
    <cfRule type="cellIs" dxfId="1519" priority="5" stopIfTrue="1" operator="greaterThan">
      <formula>0.076</formula>
    </cfRule>
  </conditionalFormatting>
  <conditionalFormatting sqref="S4700">
    <cfRule type="cellIs" dxfId="1518" priority="4" operator="greaterThan">
      <formula>90</formula>
    </cfRule>
  </conditionalFormatting>
  <conditionalFormatting sqref="V4710 V4704:V4706">
    <cfRule type="cellIs" dxfId="1517" priority="3" stopIfTrue="1" operator="greaterThan">
      <formula>1.1</formula>
    </cfRule>
  </conditionalFormatting>
  <conditionalFormatting sqref="V4707:V4708">
    <cfRule type="cellIs" dxfId="1516" priority="2" stopIfTrue="1" operator="greaterThan">
      <formula>1.1</formula>
    </cfRule>
  </conditionalFormatting>
  <conditionalFormatting sqref="V4709">
    <cfRule type="cellIs" dxfId="1515" priority="1" stopIfTrue="1" operator="greaterThan">
      <formula>1.1</formula>
    </cfRule>
  </conditionalFormatting>
  <pageMargins left="0.7" right="0.7" top="0.75" bottom="0.75" header="0.3" footer="0.3"/>
  <pageSetup orientation="portrait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theme="0" tint="-0.249977111117893"/>
  </sheetPr>
  <dimension ref="A1:AT157"/>
  <sheetViews>
    <sheetView showGridLines="0" zoomScale="110" zoomScaleNormal="110" zoomScalePageLayoutView="110" workbookViewId="0">
      <pane ySplit="1" topLeftCell="A107" activePane="bottomLeft" state="frozen"/>
      <selection activeCell="C10632" sqref="C10632"/>
      <selection pane="bottomLeft" activeCell="A157" sqref="A157"/>
    </sheetView>
  </sheetViews>
  <sheetFormatPr baseColWidth="10" defaultColWidth="8.83203125" defaultRowHeight="15" customHeight="1" x14ac:dyDescent="0"/>
  <cols>
    <col min="1" max="1" width="30.33203125" style="207" bestFit="1" customWidth="1"/>
    <col min="2" max="2" width="20.83203125" style="50" customWidth="1"/>
    <col min="3" max="3" width="23.33203125" style="50" customWidth="1"/>
    <col min="4" max="4" width="10.6640625" style="48" customWidth="1"/>
    <col min="5" max="5" width="17.33203125" style="50" customWidth="1"/>
    <col min="6" max="6" width="10.6640625" style="50" customWidth="1"/>
    <col min="7" max="7" width="8.83203125" style="76"/>
    <col min="8" max="8" width="8.83203125" style="50"/>
    <col min="9" max="9" width="8.83203125" style="49"/>
    <col min="10" max="10" width="21.83203125" style="50" bestFit="1" customWidth="1"/>
    <col min="11" max="11" width="10" style="50" customWidth="1"/>
    <col min="12" max="12" width="11.5" style="49" customWidth="1"/>
    <col min="13" max="13" width="10.5" style="50" customWidth="1"/>
    <col min="14" max="14" width="8.83203125" style="50"/>
    <col min="15" max="15" width="8.83203125" style="74"/>
    <col min="16" max="16" width="8.83203125" style="50"/>
    <col min="17" max="17" width="8.83203125" style="74"/>
    <col min="18" max="18" width="8.83203125" style="50"/>
    <col min="19" max="19" width="8.83203125" style="74"/>
    <col min="20" max="20" width="8.83203125" style="50"/>
    <col min="21" max="21" width="8.83203125" style="74"/>
    <col min="22" max="22" width="8.83203125" style="50"/>
    <col min="23" max="23" width="8.83203125" style="74"/>
    <col min="24" max="24" width="8.83203125" style="50"/>
    <col min="25" max="25" width="8.83203125" style="74"/>
    <col min="26" max="26" width="8.83203125" style="164"/>
    <col min="27" max="27" width="8.83203125" style="165"/>
    <col min="28" max="28" width="10" style="50" customWidth="1"/>
    <col min="29" max="29" width="12.1640625" style="74" customWidth="1"/>
    <col min="30" max="30" width="14.33203125" style="271" customWidth="1"/>
    <col min="31" max="31" width="14.1640625" style="113" customWidth="1"/>
    <col min="32" max="34" width="8.83203125" style="50"/>
    <col min="35" max="39" width="8.83203125" style="402"/>
  </cols>
  <sheetData>
    <row r="1" spans="1:39" ht="37" thickBot="1">
      <c r="A1" s="182" t="s">
        <v>32</v>
      </c>
      <c r="B1" s="37" t="s">
        <v>3</v>
      </c>
      <c r="C1" s="37" t="s">
        <v>4</v>
      </c>
      <c r="D1" s="39" t="s">
        <v>5</v>
      </c>
      <c r="E1" s="37" t="s">
        <v>6</v>
      </c>
      <c r="F1" s="37" t="s">
        <v>7</v>
      </c>
      <c r="G1" s="39" t="s">
        <v>0</v>
      </c>
      <c r="H1" s="37" t="s">
        <v>20</v>
      </c>
      <c r="I1" s="37" t="s">
        <v>8</v>
      </c>
      <c r="J1" s="37" t="s">
        <v>9</v>
      </c>
      <c r="K1" s="37" t="s">
        <v>10</v>
      </c>
      <c r="L1" s="37" t="s">
        <v>11</v>
      </c>
      <c r="M1" s="37" t="s">
        <v>12</v>
      </c>
      <c r="N1" s="37" t="s">
        <v>13</v>
      </c>
      <c r="O1" s="37" t="s">
        <v>4080</v>
      </c>
      <c r="P1" s="37" t="s">
        <v>14</v>
      </c>
      <c r="Q1" s="37" t="s">
        <v>4081</v>
      </c>
      <c r="R1" s="37" t="s">
        <v>4082</v>
      </c>
      <c r="S1" s="37" t="s">
        <v>4083</v>
      </c>
      <c r="T1" s="37" t="s">
        <v>4084</v>
      </c>
      <c r="U1" s="37" t="s">
        <v>4085</v>
      </c>
      <c r="V1" s="37" t="s">
        <v>4086</v>
      </c>
      <c r="W1" s="37" t="s">
        <v>4087</v>
      </c>
      <c r="X1" s="37" t="s">
        <v>4088</v>
      </c>
      <c r="Y1" s="37" t="s">
        <v>4089</v>
      </c>
      <c r="Z1" s="95" t="s">
        <v>15</v>
      </c>
      <c r="AA1" s="95" t="s">
        <v>16</v>
      </c>
      <c r="AB1" s="37" t="s">
        <v>17</v>
      </c>
      <c r="AC1" s="37" t="s">
        <v>18</v>
      </c>
      <c r="AD1" s="95" t="s">
        <v>19</v>
      </c>
      <c r="AE1" s="183" t="s">
        <v>21</v>
      </c>
      <c r="AF1" s="184" t="s">
        <v>4090</v>
      </c>
      <c r="AG1" s="184" t="s">
        <v>4091</v>
      </c>
      <c r="AH1" s="184" t="s">
        <v>4092</v>
      </c>
      <c r="AI1" s="96" t="s">
        <v>1004</v>
      </c>
      <c r="AJ1" s="96" t="s">
        <v>1013</v>
      </c>
      <c r="AK1" s="96" t="s">
        <v>1101</v>
      </c>
      <c r="AL1" s="96" t="s">
        <v>1102</v>
      </c>
      <c r="AM1" s="96" t="s">
        <v>5203</v>
      </c>
    </row>
    <row r="2" spans="1:39" ht="14">
      <c r="A2" s="185" t="s">
        <v>33</v>
      </c>
      <c r="B2" s="186" t="s">
        <v>532</v>
      </c>
      <c r="C2" s="186" t="s">
        <v>533</v>
      </c>
      <c r="D2" s="187" t="s">
        <v>534</v>
      </c>
      <c r="E2" s="186" t="s">
        <v>535</v>
      </c>
      <c r="F2" s="186"/>
      <c r="G2" s="188" t="s">
        <v>536</v>
      </c>
      <c r="H2" s="189">
        <v>2951</v>
      </c>
      <c r="I2" s="190" t="s">
        <v>2</v>
      </c>
      <c r="J2" s="189" t="s">
        <v>505</v>
      </c>
      <c r="K2" s="191">
        <v>40828</v>
      </c>
      <c r="L2" s="192">
        <v>40819</v>
      </c>
      <c r="M2" s="189">
        <v>9</v>
      </c>
      <c r="N2" s="189" t="s">
        <v>2</v>
      </c>
      <c r="O2" s="193">
        <f>1.6/2</f>
        <v>0.8</v>
      </c>
      <c r="P2" s="194">
        <v>5.5</v>
      </c>
      <c r="Q2" s="195">
        <v>8.1199999999999992</v>
      </c>
      <c r="R2" s="196">
        <v>15</v>
      </c>
      <c r="S2" s="197">
        <v>7</v>
      </c>
      <c r="T2" s="198">
        <v>7.0000000000000007E-2</v>
      </c>
      <c r="U2" s="199">
        <v>0.43</v>
      </c>
      <c r="V2" s="198">
        <v>0.92</v>
      </c>
      <c r="W2" s="199">
        <f>0.01/2</f>
        <v>5.0000000000000001E-3</v>
      </c>
      <c r="X2" s="198">
        <f>0.002/2</f>
        <v>1E-3</v>
      </c>
      <c r="Y2" s="199">
        <f>0.002/2</f>
        <v>1E-3</v>
      </c>
      <c r="Z2" s="200">
        <v>1</v>
      </c>
      <c r="AA2" s="157">
        <v>1</v>
      </c>
      <c r="AB2" s="189">
        <v>202</v>
      </c>
      <c r="AC2" s="190">
        <v>584</v>
      </c>
      <c r="AD2" s="200">
        <v>1</v>
      </c>
      <c r="AE2" s="402">
        <f>2.5/2</f>
        <v>1.25</v>
      </c>
      <c r="AF2" s="54"/>
      <c r="AG2" s="54"/>
      <c r="AH2" s="54"/>
    </row>
    <row r="3" spans="1:39" ht="14">
      <c r="A3" s="185" t="s">
        <v>33</v>
      </c>
      <c r="B3" s="54" t="s">
        <v>707</v>
      </c>
      <c r="C3" s="54" t="s">
        <v>716</v>
      </c>
      <c r="D3" s="56" t="s">
        <v>200</v>
      </c>
      <c r="E3" s="54" t="s">
        <v>1026</v>
      </c>
      <c r="F3" s="54"/>
      <c r="G3" s="61" t="s">
        <v>708</v>
      </c>
      <c r="H3" s="54">
        <v>2951</v>
      </c>
      <c r="I3" s="201" t="s">
        <v>2</v>
      </c>
      <c r="J3" s="54" t="s">
        <v>709</v>
      </c>
      <c r="K3" s="57">
        <v>40829</v>
      </c>
      <c r="L3" s="132">
        <v>40820</v>
      </c>
      <c r="M3" s="54">
        <v>9</v>
      </c>
      <c r="N3" s="54" t="s">
        <v>2</v>
      </c>
      <c r="O3" s="135">
        <f t="shared" ref="O3:O12" si="0">1/2</f>
        <v>0.5</v>
      </c>
      <c r="P3" s="134">
        <v>8.02</v>
      </c>
      <c r="Q3" s="135">
        <v>6.69</v>
      </c>
      <c r="R3" s="136">
        <v>7.5</v>
      </c>
      <c r="S3" s="202">
        <v>1</v>
      </c>
      <c r="T3" s="203">
        <f>0.05/2</f>
        <v>2.5000000000000001E-2</v>
      </c>
      <c r="U3" s="204">
        <v>1.17</v>
      </c>
      <c r="V3" s="203">
        <f>0.1/2</f>
        <v>0.05</v>
      </c>
      <c r="W3" s="204">
        <f>0.005/2</f>
        <v>2.5000000000000001E-3</v>
      </c>
      <c r="X3" s="203">
        <v>6.8000000000000005E-2</v>
      </c>
      <c r="Y3" s="204">
        <v>2E-3</v>
      </c>
      <c r="Z3" s="157">
        <v>1</v>
      </c>
      <c r="AA3" s="157">
        <v>1</v>
      </c>
      <c r="AB3" s="54">
        <v>145.80000000000001</v>
      </c>
      <c r="AC3" s="155">
        <v>338</v>
      </c>
      <c r="AD3" s="157">
        <v>1</v>
      </c>
      <c r="AE3" s="54">
        <f t="shared" ref="AE3:AE33" si="1">25/2</f>
        <v>12.5</v>
      </c>
      <c r="AF3" s="54"/>
      <c r="AG3" s="54"/>
      <c r="AH3" s="54"/>
    </row>
    <row r="4" spans="1:39" ht="14">
      <c r="A4" s="185" t="s">
        <v>33</v>
      </c>
      <c r="B4" s="54" t="s">
        <v>707</v>
      </c>
      <c r="C4" s="54" t="s">
        <v>717</v>
      </c>
      <c r="D4" s="56" t="s">
        <v>710</v>
      </c>
      <c r="E4" s="54" t="s">
        <v>711</v>
      </c>
      <c r="F4" s="54"/>
      <c r="G4" s="61" t="s">
        <v>712</v>
      </c>
      <c r="H4" s="54">
        <v>2951</v>
      </c>
      <c r="I4" s="55" t="s">
        <v>2</v>
      </c>
      <c r="J4" s="54" t="s">
        <v>713</v>
      </c>
      <c r="K4" s="57">
        <v>40843</v>
      </c>
      <c r="L4" s="132">
        <v>40836</v>
      </c>
      <c r="M4" s="54">
        <v>7</v>
      </c>
      <c r="N4" s="54" t="s">
        <v>2</v>
      </c>
      <c r="O4" s="155">
        <f t="shared" si="0"/>
        <v>0.5</v>
      </c>
      <c r="P4" s="134">
        <v>7.98</v>
      </c>
      <c r="Q4" s="135">
        <v>6.57</v>
      </c>
      <c r="R4" s="136">
        <v>18.7</v>
      </c>
      <c r="S4" s="137">
        <v>3</v>
      </c>
      <c r="T4" s="54">
        <f>0.05/2</f>
        <v>2.5000000000000001E-2</v>
      </c>
      <c r="U4" s="155">
        <v>1.28</v>
      </c>
      <c r="V4" s="54">
        <v>0.76</v>
      </c>
      <c r="W4" s="155">
        <v>0.02</v>
      </c>
      <c r="X4" s="54">
        <v>2.8000000000000001E-2</v>
      </c>
      <c r="Y4" s="155">
        <f>0.002/2</f>
        <v>1E-3</v>
      </c>
      <c r="Z4" s="157">
        <v>1</v>
      </c>
      <c r="AA4" s="157">
        <v>1</v>
      </c>
      <c r="AB4" s="54">
        <v>29.2</v>
      </c>
      <c r="AC4" s="155">
        <v>150</v>
      </c>
      <c r="AD4" s="157">
        <v>1</v>
      </c>
      <c r="AE4" s="54">
        <f t="shared" si="1"/>
        <v>12.5</v>
      </c>
      <c r="AF4" s="54"/>
      <c r="AG4" s="54"/>
      <c r="AH4" s="54"/>
    </row>
    <row r="5" spans="1:39" ht="14">
      <c r="A5" s="185" t="s">
        <v>33</v>
      </c>
      <c r="B5" s="54" t="s">
        <v>707</v>
      </c>
      <c r="C5" s="54" t="s">
        <v>717</v>
      </c>
      <c r="D5" s="56" t="s">
        <v>710</v>
      </c>
      <c r="E5" s="54" t="s">
        <v>711</v>
      </c>
      <c r="F5" s="54"/>
      <c r="G5" s="61" t="s">
        <v>712</v>
      </c>
      <c r="H5" s="54">
        <v>2951</v>
      </c>
      <c r="I5" s="55" t="s">
        <v>2</v>
      </c>
      <c r="J5" s="54" t="s">
        <v>714</v>
      </c>
      <c r="K5" s="57">
        <v>40843</v>
      </c>
      <c r="L5" s="132">
        <v>40836</v>
      </c>
      <c r="M5" s="54">
        <v>7</v>
      </c>
      <c r="N5" s="54" t="s">
        <v>2</v>
      </c>
      <c r="O5" s="155">
        <f t="shared" si="0"/>
        <v>0.5</v>
      </c>
      <c r="P5" s="134">
        <v>7.9</v>
      </c>
      <c r="Q5" s="135">
        <v>6.59</v>
      </c>
      <c r="R5" s="136">
        <v>28.9</v>
      </c>
      <c r="S5" s="137">
        <v>17</v>
      </c>
      <c r="T5" s="54">
        <f>0.05/2</f>
        <v>2.5000000000000001E-2</v>
      </c>
      <c r="U5" s="155">
        <v>1.48</v>
      </c>
      <c r="V5" s="54">
        <f>0.1/2</f>
        <v>0.05</v>
      </c>
      <c r="W5" s="155">
        <v>0.01</v>
      </c>
      <c r="X5" s="54">
        <v>2.7E-2</v>
      </c>
      <c r="Y5" s="155">
        <v>2E-3</v>
      </c>
      <c r="Z5" s="157">
        <v>1</v>
      </c>
      <c r="AA5" s="157">
        <v>1</v>
      </c>
      <c r="AB5" s="54">
        <v>30.2</v>
      </c>
      <c r="AC5" s="155">
        <v>142</v>
      </c>
      <c r="AD5" s="157">
        <v>1</v>
      </c>
      <c r="AE5" s="54">
        <f t="shared" si="1"/>
        <v>12.5</v>
      </c>
      <c r="AF5" s="54"/>
      <c r="AG5" s="54"/>
      <c r="AH5" s="54"/>
    </row>
    <row r="6" spans="1:39" ht="14">
      <c r="A6" s="185" t="s">
        <v>33</v>
      </c>
      <c r="B6" s="54" t="s">
        <v>707</v>
      </c>
      <c r="C6" s="54" t="s">
        <v>717</v>
      </c>
      <c r="D6" s="56" t="s">
        <v>710</v>
      </c>
      <c r="E6" s="54" t="s">
        <v>711</v>
      </c>
      <c r="F6" s="54"/>
      <c r="G6" s="61" t="s">
        <v>712</v>
      </c>
      <c r="H6" s="54">
        <v>2951</v>
      </c>
      <c r="I6" s="55" t="s">
        <v>2</v>
      </c>
      <c r="J6" s="54" t="s">
        <v>715</v>
      </c>
      <c r="K6" s="57">
        <v>40843</v>
      </c>
      <c r="L6" s="132">
        <v>40836</v>
      </c>
      <c r="M6" s="54">
        <v>7</v>
      </c>
      <c r="N6" s="54" t="s">
        <v>2</v>
      </c>
      <c r="O6" s="155">
        <f t="shared" si="0"/>
        <v>0.5</v>
      </c>
      <c r="P6" s="134">
        <v>7.83</v>
      </c>
      <c r="Q6" s="135">
        <v>6.57</v>
      </c>
      <c r="R6" s="136">
        <v>22.2</v>
      </c>
      <c r="S6" s="137">
        <v>4</v>
      </c>
      <c r="T6" s="54">
        <f>0.05/2</f>
        <v>2.5000000000000001E-2</v>
      </c>
      <c r="U6" s="155">
        <v>0.86</v>
      </c>
      <c r="V6" s="54">
        <v>0.22</v>
      </c>
      <c r="W6" s="155">
        <v>8.0000000000000002E-3</v>
      </c>
      <c r="X6" s="54">
        <v>1.4E-2</v>
      </c>
      <c r="Y6" s="155">
        <f>0.002/2</f>
        <v>1E-3</v>
      </c>
      <c r="Z6" s="157">
        <v>1</v>
      </c>
      <c r="AA6" s="157">
        <v>1</v>
      </c>
      <c r="AB6" s="54">
        <v>28.2</v>
      </c>
      <c r="AC6" s="155">
        <v>144</v>
      </c>
      <c r="AD6" s="157">
        <v>1</v>
      </c>
      <c r="AE6" s="54">
        <f t="shared" si="1"/>
        <v>12.5</v>
      </c>
      <c r="AF6" s="54"/>
      <c r="AG6" s="54"/>
      <c r="AH6" s="54"/>
    </row>
    <row r="7" spans="1:39" ht="14">
      <c r="A7" s="185" t="s">
        <v>33</v>
      </c>
      <c r="B7" s="54" t="s">
        <v>707</v>
      </c>
      <c r="C7" s="54" t="s">
        <v>718</v>
      </c>
      <c r="D7" s="56" t="s">
        <v>251</v>
      </c>
      <c r="E7" s="54" t="s">
        <v>719</v>
      </c>
      <c r="F7" s="54">
        <v>4402</v>
      </c>
      <c r="G7" s="61" t="s">
        <v>720</v>
      </c>
      <c r="H7" s="54">
        <v>2951</v>
      </c>
      <c r="I7" s="55" t="s">
        <v>2</v>
      </c>
      <c r="J7" s="54" t="s">
        <v>721</v>
      </c>
      <c r="K7" s="57">
        <v>40829</v>
      </c>
      <c r="L7" s="132">
        <v>40820</v>
      </c>
      <c r="M7" s="54">
        <v>9</v>
      </c>
      <c r="N7" s="54" t="s">
        <v>2</v>
      </c>
      <c r="O7" s="155">
        <f t="shared" si="0"/>
        <v>0.5</v>
      </c>
      <c r="P7" s="134">
        <v>7.97</v>
      </c>
      <c r="Q7" s="135">
        <v>7.64</v>
      </c>
      <c r="R7" s="136">
        <f>1/2</f>
        <v>0.5</v>
      </c>
      <c r="S7" s="137">
        <v>73</v>
      </c>
      <c r="T7" s="54">
        <v>0.17</v>
      </c>
      <c r="U7" s="155">
        <v>0.94</v>
      </c>
      <c r="V7" s="54">
        <v>0.14000000000000001</v>
      </c>
      <c r="W7" s="155">
        <v>6.0000000000000001E-3</v>
      </c>
      <c r="X7" s="54">
        <v>4.2000000000000003E-2</v>
      </c>
      <c r="Y7" s="155">
        <v>3.0000000000000001E-3</v>
      </c>
      <c r="Z7" s="157">
        <v>1</v>
      </c>
      <c r="AA7" s="157">
        <v>1</v>
      </c>
      <c r="AB7" s="54">
        <v>147.19999999999999</v>
      </c>
      <c r="AC7" s="155">
        <v>322</v>
      </c>
      <c r="AD7" s="157">
        <v>1</v>
      </c>
      <c r="AE7" s="54">
        <f t="shared" si="1"/>
        <v>12.5</v>
      </c>
      <c r="AF7" s="54"/>
      <c r="AG7" s="54"/>
      <c r="AH7" s="54"/>
    </row>
    <row r="8" spans="1:39" ht="14">
      <c r="A8" s="185" t="s">
        <v>33</v>
      </c>
      <c r="B8" s="54" t="s">
        <v>707</v>
      </c>
      <c r="C8" s="54" t="s">
        <v>718</v>
      </c>
      <c r="D8" s="56" t="s">
        <v>251</v>
      </c>
      <c r="E8" s="54" t="s">
        <v>719</v>
      </c>
      <c r="F8" s="54">
        <v>4402</v>
      </c>
      <c r="G8" s="61" t="s">
        <v>720</v>
      </c>
      <c r="H8" s="54">
        <v>2951</v>
      </c>
      <c r="I8" s="55" t="s">
        <v>2</v>
      </c>
      <c r="J8" s="54" t="s">
        <v>722</v>
      </c>
      <c r="K8" s="57">
        <v>40829</v>
      </c>
      <c r="L8" s="132">
        <v>40820</v>
      </c>
      <c r="M8" s="54">
        <v>9</v>
      </c>
      <c r="N8" s="54" t="s">
        <v>2</v>
      </c>
      <c r="O8" s="155">
        <f t="shared" si="0"/>
        <v>0.5</v>
      </c>
      <c r="P8" s="134">
        <v>8</v>
      </c>
      <c r="Q8" s="135">
        <v>7.4</v>
      </c>
      <c r="R8" s="136">
        <f>1/2</f>
        <v>0.5</v>
      </c>
      <c r="S8" s="137">
        <v>7</v>
      </c>
      <c r="T8" s="54">
        <f>0.05/2</f>
        <v>2.5000000000000001E-2</v>
      </c>
      <c r="U8" s="155">
        <v>1.1599999999999999</v>
      </c>
      <c r="V8" s="54">
        <v>0.69</v>
      </c>
      <c r="W8" s="155">
        <v>5.0000000000000001E-3</v>
      </c>
      <c r="X8" s="54">
        <v>2.4E-2</v>
      </c>
      <c r="Y8" s="155">
        <f>0.002/2</f>
        <v>1E-3</v>
      </c>
      <c r="Z8" s="157">
        <v>1</v>
      </c>
      <c r="AA8" s="157">
        <v>1</v>
      </c>
      <c r="AB8" s="54">
        <v>211</v>
      </c>
      <c r="AC8" s="155">
        <v>423</v>
      </c>
      <c r="AD8" s="157">
        <v>1</v>
      </c>
      <c r="AE8" s="54">
        <f t="shared" si="1"/>
        <v>12.5</v>
      </c>
      <c r="AF8" s="54"/>
      <c r="AG8" s="54"/>
      <c r="AH8" s="54"/>
    </row>
    <row r="9" spans="1:39" ht="14">
      <c r="A9" s="185" t="s">
        <v>33</v>
      </c>
      <c r="B9" s="54" t="s">
        <v>707</v>
      </c>
      <c r="C9" s="54" t="s">
        <v>718</v>
      </c>
      <c r="D9" s="56" t="s">
        <v>251</v>
      </c>
      <c r="E9" s="54" t="s">
        <v>719</v>
      </c>
      <c r="F9" s="54">
        <v>4402</v>
      </c>
      <c r="G9" s="61" t="s">
        <v>720</v>
      </c>
      <c r="H9" s="54">
        <v>2951</v>
      </c>
      <c r="I9" s="55" t="s">
        <v>2</v>
      </c>
      <c r="J9" s="54" t="s">
        <v>723</v>
      </c>
      <c r="K9" s="57">
        <v>40829</v>
      </c>
      <c r="L9" s="132">
        <v>40820</v>
      </c>
      <c r="M9" s="54">
        <v>9</v>
      </c>
      <c r="N9" s="54" t="s">
        <v>2</v>
      </c>
      <c r="O9" s="155">
        <f t="shared" si="0"/>
        <v>0.5</v>
      </c>
      <c r="P9" s="134">
        <v>7.91</v>
      </c>
      <c r="Q9" s="135">
        <v>7.61</v>
      </c>
      <c r="R9" s="136">
        <f>1/2</f>
        <v>0.5</v>
      </c>
      <c r="S9" s="137">
        <v>13</v>
      </c>
      <c r="T9" s="54">
        <f>0.05/2</f>
        <v>2.5000000000000001E-2</v>
      </c>
      <c r="U9" s="155">
        <v>1.22</v>
      </c>
      <c r="V9" s="54">
        <f>0.1/2</f>
        <v>0.05</v>
      </c>
      <c r="W9" s="155">
        <f>0.005/2</f>
        <v>2.5000000000000001E-3</v>
      </c>
      <c r="X9" s="54">
        <v>3.5999999999999997E-2</v>
      </c>
      <c r="Y9" s="155">
        <f>0.002/2</f>
        <v>1E-3</v>
      </c>
      <c r="Z9" s="157">
        <v>1</v>
      </c>
      <c r="AA9" s="157">
        <v>1</v>
      </c>
      <c r="AB9" s="54">
        <v>177.6</v>
      </c>
      <c r="AC9" s="155">
        <v>424</v>
      </c>
      <c r="AD9" s="157">
        <v>1</v>
      </c>
      <c r="AE9" s="54">
        <f t="shared" si="1"/>
        <v>12.5</v>
      </c>
      <c r="AF9" s="54"/>
      <c r="AG9" s="54"/>
      <c r="AH9" s="54"/>
    </row>
    <row r="10" spans="1:39" ht="14">
      <c r="A10" s="185" t="s">
        <v>33</v>
      </c>
      <c r="B10" s="54" t="s">
        <v>707</v>
      </c>
      <c r="C10" s="54" t="s">
        <v>727</v>
      </c>
      <c r="D10" s="56" t="s">
        <v>314</v>
      </c>
      <c r="E10" s="54" t="s">
        <v>49</v>
      </c>
      <c r="F10" s="54"/>
      <c r="G10" s="61" t="s">
        <v>728</v>
      </c>
      <c r="H10" s="54">
        <v>2951</v>
      </c>
      <c r="I10" s="55" t="s">
        <v>2</v>
      </c>
      <c r="J10" s="54" t="s">
        <v>729</v>
      </c>
      <c r="K10" s="57">
        <v>40829</v>
      </c>
      <c r="L10" s="132">
        <v>40820</v>
      </c>
      <c r="M10" s="54">
        <v>9</v>
      </c>
      <c r="N10" s="54" t="s">
        <v>2</v>
      </c>
      <c r="O10" s="155">
        <f t="shared" si="0"/>
        <v>0.5</v>
      </c>
      <c r="P10" s="134">
        <v>7.98</v>
      </c>
      <c r="Q10" s="135">
        <v>7.04</v>
      </c>
      <c r="R10" s="136">
        <v>7.5</v>
      </c>
      <c r="S10" s="137">
        <v>6</v>
      </c>
      <c r="T10" s="54">
        <f>0.05/2</f>
        <v>2.5000000000000001E-2</v>
      </c>
      <c r="U10" s="155">
        <v>1.2</v>
      </c>
      <c r="V10" s="54">
        <f>0.1/2</f>
        <v>0.05</v>
      </c>
      <c r="W10" s="155">
        <v>6.0000000000000001E-3</v>
      </c>
      <c r="X10" s="54">
        <v>1.6E-2</v>
      </c>
      <c r="Y10" s="155">
        <v>3.0000000000000001E-3</v>
      </c>
      <c r="Z10" s="157">
        <v>1</v>
      </c>
      <c r="AA10" s="157">
        <v>1</v>
      </c>
      <c r="AB10" s="54">
        <v>48.4</v>
      </c>
      <c r="AC10" s="155">
        <v>222</v>
      </c>
      <c r="AD10" s="157">
        <v>1</v>
      </c>
      <c r="AE10" s="54">
        <f t="shared" si="1"/>
        <v>12.5</v>
      </c>
      <c r="AF10" s="54"/>
      <c r="AG10" s="54"/>
      <c r="AH10" s="54"/>
    </row>
    <row r="11" spans="1:39" ht="14">
      <c r="A11" s="185" t="s">
        <v>33</v>
      </c>
      <c r="B11" s="54" t="s">
        <v>707</v>
      </c>
      <c r="C11" s="54" t="s">
        <v>727</v>
      </c>
      <c r="D11" s="56" t="s">
        <v>314</v>
      </c>
      <c r="E11" s="54" t="s">
        <v>49</v>
      </c>
      <c r="F11" s="54"/>
      <c r="G11" s="61" t="s">
        <v>728</v>
      </c>
      <c r="H11" s="54">
        <v>2951</v>
      </c>
      <c r="I11" s="55" t="s">
        <v>2</v>
      </c>
      <c r="J11" s="54" t="s">
        <v>730</v>
      </c>
      <c r="K11" s="57">
        <v>40829</v>
      </c>
      <c r="L11" s="132">
        <v>40820</v>
      </c>
      <c r="M11" s="54">
        <v>9</v>
      </c>
      <c r="N11" s="54" t="s">
        <v>2</v>
      </c>
      <c r="O11" s="155">
        <f t="shared" si="0"/>
        <v>0.5</v>
      </c>
      <c r="P11" s="134">
        <v>7.99</v>
      </c>
      <c r="Q11" s="135">
        <v>6.39</v>
      </c>
      <c r="R11" s="136">
        <v>3.7</v>
      </c>
      <c r="S11" s="137">
        <v>4</v>
      </c>
      <c r="T11" s="54">
        <v>0.11</v>
      </c>
      <c r="U11" s="155">
        <v>1.32</v>
      </c>
      <c r="V11" s="54">
        <v>4.3499999999999996</v>
      </c>
      <c r="W11" s="155">
        <v>6.0000000000000001E-3</v>
      </c>
      <c r="X11" s="54">
        <v>1.6E-2</v>
      </c>
      <c r="Y11" s="155">
        <v>3.0000000000000001E-3</v>
      </c>
      <c r="Z11" s="157">
        <v>1</v>
      </c>
      <c r="AA11" s="157">
        <v>1</v>
      </c>
      <c r="AB11" s="54">
        <v>54.8</v>
      </c>
      <c r="AC11" s="155">
        <v>233</v>
      </c>
      <c r="AD11" s="157">
        <v>1</v>
      </c>
      <c r="AE11" s="54">
        <f t="shared" si="1"/>
        <v>12.5</v>
      </c>
      <c r="AF11" s="54"/>
      <c r="AG11" s="54"/>
      <c r="AH11" s="54"/>
    </row>
    <row r="12" spans="1:39" ht="14">
      <c r="A12" s="185" t="s">
        <v>33</v>
      </c>
      <c r="B12" s="54" t="s">
        <v>707</v>
      </c>
      <c r="C12" s="54" t="s">
        <v>727</v>
      </c>
      <c r="D12" s="56" t="s">
        <v>314</v>
      </c>
      <c r="E12" s="54" t="s">
        <v>49</v>
      </c>
      <c r="F12" s="54"/>
      <c r="G12" s="61" t="s">
        <v>728</v>
      </c>
      <c r="H12" s="54">
        <v>2951</v>
      </c>
      <c r="I12" s="55" t="s">
        <v>2</v>
      </c>
      <c r="J12" s="54" t="s">
        <v>731</v>
      </c>
      <c r="K12" s="57">
        <v>40829</v>
      </c>
      <c r="L12" s="132">
        <v>40820</v>
      </c>
      <c r="M12" s="54">
        <v>9</v>
      </c>
      <c r="N12" s="54" t="s">
        <v>2</v>
      </c>
      <c r="O12" s="155">
        <f t="shared" si="0"/>
        <v>0.5</v>
      </c>
      <c r="P12" s="134">
        <v>8.01</v>
      </c>
      <c r="Q12" s="135">
        <v>6.47</v>
      </c>
      <c r="R12" s="136">
        <f>1/2</f>
        <v>0.5</v>
      </c>
      <c r="S12" s="137">
        <f>1/2</f>
        <v>0.5</v>
      </c>
      <c r="T12" s="54">
        <v>0.12</v>
      </c>
      <c r="U12" s="155">
        <v>2.2200000000000002</v>
      </c>
      <c r="V12" s="54">
        <v>3.93</v>
      </c>
      <c r="W12" s="155">
        <v>5.0000000000000001E-3</v>
      </c>
      <c r="X12" s="54">
        <v>2.1000000000000001E-2</v>
      </c>
      <c r="Y12" s="155">
        <v>2E-3</v>
      </c>
      <c r="Z12" s="157">
        <v>1</v>
      </c>
      <c r="AA12" s="157">
        <v>1</v>
      </c>
      <c r="AB12" s="54">
        <v>52</v>
      </c>
      <c r="AC12" s="155">
        <v>234</v>
      </c>
      <c r="AD12" s="157">
        <v>1</v>
      </c>
      <c r="AE12" s="54">
        <f t="shared" si="1"/>
        <v>12.5</v>
      </c>
      <c r="AF12" s="54"/>
      <c r="AG12" s="54"/>
      <c r="AH12" s="54"/>
    </row>
    <row r="13" spans="1:39" ht="14">
      <c r="A13" s="185" t="s">
        <v>33</v>
      </c>
      <c r="B13" s="54" t="s">
        <v>707</v>
      </c>
      <c r="C13" s="54" t="s">
        <v>732</v>
      </c>
      <c r="D13" s="56" t="s">
        <v>406</v>
      </c>
      <c r="E13" s="206"/>
      <c r="F13" s="54"/>
      <c r="G13" s="61" t="s">
        <v>1215</v>
      </c>
      <c r="H13" s="54">
        <v>2951</v>
      </c>
      <c r="I13" s="55"/>
      <c r="J13" s="54" t="s">
        <v>733</v>
      </c>
      <c r="K13" s="57">
        <v>40829</v>
      </c>
      <c r="L13" s="132">
        <v>40820</v>
      </c>
      <c r="M13" s="54">
        <v>9</v>
      </c>
      <c r="N13" s="54" t="s">
        <v>2</v>
      </c>
      <c r="O13" s="155">
        <v>2.4</v>
      </c>
      <c r="P13" s="134">
        <v>4</v>
      </c>
      <c r="Q13" s="135">
        <v>7.17</v>
      </c>
      <c r="R13" s="136">
        <v>32.1</v>
      </c>
      <c r="S13" s="137">
        <v>35</v>
      </c>
      <c r="T13" s="54">
        <v>0.09</v>
      </c>
      <c r="U13" s="155">
        <v>0.72</v>
      </c>
      <c r="V13" s="54">
        <f>0.1/2</f>
        <v>0.05</v>
      </c>
      <c r="W13" s="155">
        <v>7.0000000000000001E-3</v>
      </c>
      <c r="X13" s="54">
        <v>5.7000000000000002E-2</v>
      </c>
      <c r="Y13" s="155">
        <v>7.0000000000000001E-3</v>
      </c>
      <c r="Z13" s="157">
        <v>1</v>
      </c>
      <c r="AA13" s="157">
        <v>1</v>
      </c>
      <c r="AB13" s="54">
        <v>10.6</v>
      </c>
      <c r="AC13" s="155">
        <v>35</v>
      </c>
      <c r="AD13" s="157">
        <v>1</v>
      </c>
      <c r="AE13" s="54">
        <f t="shared" si="1"/>
        <v>12.5</v>
      </c>
      <c r="AF13" s="54"/>
      <c r="AG13" s="54"/>
      <c r="AH13" s="54"/>
    </row>
    <row r="14" spans="1:39" ht="14">
      <c r="A14" s="185" t="s">
        <v>33</v>
      </c>
      <c r="B14" s="54" t="s">
        <v>707</v>
      </c>
      <c r="C14" s="54" t="s">
        <v>738</v>
      </c>
      <c r="D14" s="56" t="s">
        <v>111</v>
      </c>
      <c r="E14" s="54" t="s">
        <v>739</v>
      </c>
      <c r="F14" s="54"/>
      <c r="G14" s="61" t="s">
        <v>740</v>
      </c>
      <c r="H14" s="54">
        <v>2951</v>
      </c>
      <c r="I14" s="55" t="s">
        <v>2</v>
      </c>
      <c r="J14" s="54" t="s">
        <v>741</v>
      </c>
      <c r="K14" s="57">
        <v>40835</v>
      </c>
      <c r="L14" s="132">
        <v>40829</v>
      </c>
      <c r="M14" s="54">
        <v>6</v>
      </c>
      <c r="N14" s="54" t="s">
        <v>2</v>
      </c>
      <c r="O14" s="155">
        <f>1/2</f>
        <v>0.5</v>
      </c>
      <c r="P14" s="134">
        <v>5</v>
      </c>
      <c r="Q14" s="135">
        <v>7.07</v>
      </c>
      <c r="R14" s="136">
        <v>18.7</v>
      </c>
      <c r="S14" s="137">
        <v>91</v>
      </c>
      <c r="T14" s="54">
        <v>0.28000000000000003</v>
      </c>
      <c r="U14" s="155">
        <v>0.88</v>
      </c>
      <c r="V14" s="54">
        <f>0.1/2</f>
        <v>0.05</v>
      </c>
      <c r="W14" s="155">
        <v>2.8000000000000001E-2</v>
      </c>
      <c r="X14" s="54">
        <v>7.4999999999999997E-2</v>
      </c>
      <c r="Y14" s="155">
        <v>5.0000000000000001E-3</v>
      </c>
      <c r="Z14" s="157">
        <v>1</v>
      </c>
      <c r="AA14" s="157">
        <v>1</v>
      </c>
      <c r="AB14" s="54">
        <v>13</v>
      </c>
      <c r="AC14" s="155">
        <v>26</v>
      </c>
      <c r="AD14" s="157">
        <v>1</v>
      </c>
      <c r="AE14" s="54">
        <f t="shared" si="1"/>
        <v>12.5</v>
      </c>
      <c r="AF14" s="54"/>
      <c r="AG14" s="54"/>
      <c r="AH14" s="54"/>
    </row>
    <row r="15" spans="1:39" ht="14">
      <c r="A15" s="185" t="s">
        <v>33</v>
      </c>
      <c r="B15" s="54" t="s">
        <v>707</v>
      </c>
      <c r="C15" s="54" t="s">
        <v>738</v>
      </c>
      <c r="D15" s="56" t="s">
        <v>111</v>
      </c>
      <c r="E15" s="54" t="s">
        <v>739</v>
      </c>
      <c r="F15" s="54"/>
      <c r="G15" s="61" t="s">
        <v>740</v>
      </c>
      <c r="H15" s="54">
        <v>2951</v>
      </c>
      <c r="I15" s="55" t="s">
        <v>2</v>
      </c>
      <c r="J15" s="54" t="s">
        <v>742</v>
      </c>
      <c r="K15" s="57">
        <v>40835</v>
      </c>
      <c r="L15" s="132">
        <v>40829</v>
      </c>
      <c r="M15" s="54">
        <v>6</v>
      </c>
      <c r="N15" s="54" t="s">
        <v>2</v>
      </c>
      <c r="O15" s="155">
        <f>1/2</f>
        <v>0.5</v>
      </c>
      <c r="P15" s="134">
        <v>5</v>
      </c>
      <c r="Q15" s="135">
        <v>8.09</v>
      </c>
      <c r="R15" s="136">
        <f>1/2</f>
        <v>0.5</v>
      </c>
      <c r="S15" s="137">
        <v>117</v>
      </c>
      <c r="T15" s="54">
        <f>0.05/2</f>
        <v>2.5000000000000001E-2</v>
      </c>
      <c r="U15" s="155">
        <v>1.52</v>
      </c>
      <c r="V15" s="54">
        <v>0.65</v>
      </c>
      <c r="W15" s="155">
        <v>6.0999999999999999E-2</v>
      </c>
      <c r="X15" s="54">
        <v>5.3999999999999999E-2</v>
      </c>
      <c r="Y15" s="155">
        <v>4.0000000000000001E-3</v>
      </c>
      <c r="Z15" s="157">
        <v>1</v>
      </c>
      <c r="AA15" s="157">
        <v>1</v>
      </c>
      <c r="AB15" s="54">
        <v>204</v>
      </c>
      <c r="AC15" s="155">
        <v>416</v>
      </c>
      <c r="AD15" s="157">
        <v>0.9</v>
      </c>
      <c r="AE15" s="54">
        <f t="shared" si="1"/>
        <v>12.5</v>
      </c>
      <c r="AF15" s="54"/>
      <c r="AG15" s="54"/>
      <c r="AH15" s="54"/>
    </row>
    <row r="16" spans="1:39" ht="14">
      <c r="A16" s="185" t="s">
        <v>33</v>
      </c>
      <c r="B16" s="54" t="s">
        <v>707</v>
      </c>
      <c r="C16" s="54" t="s">
        <v>738</v>
      </c>
      <c r="D16" s="56" t="s">
        <v>111</v>
      </c>
      <c r="E16" s="54" t="s">
        <v>739</v>
      </c>
      <c r="F16" s="54"/>
      <c r="G16" s="61" t="s">
        <v>740</v>
      </c>
      <c r="H16" s="54">
        <v>2951</v>
      </c>
      <c r="I16" s="55" t="s">
        <v>2</v>
      </c>
      <c r="J16" s="54" t="s">
        <v>744</v>
      </c>
      <c r="K16" s="57">
        <v>40835</v>
      </c>
      <c r="L16" s="132">
        <v>40829</v>
      </c>
      <c r="M16" s="54">
        <v>6</v>
      </c>
      <c r="N16" s="54" t="s">
        <v>2</v>
      </c>
      <c r="O16" s="155">
        <v>2.4</v>
      </c>
      <c r="P16" s="134">
        <v>5</v>
      </c>
      <c r="Q16" s="135">
        <v>6.83</v>
      </c>
      <c r="R16" s="136">
        <v>3.7</v>
      </c>
      <c r="S16" s="137">
        <f>1/2</f>
        <v>0.5</v>
      </c>
      <c r="T16" s="54">
        <f>0.05/2</f>
        <v>2.5000000000000001E-2</v>
      </c>
      <c r="U16" s="155">
        <v>1.36</v>
      </c>
      <c r="V16" s="54">
        <f>0.1/2</f>
        <v>0.05</v>
      </c>
      <c r="W16" s="155">
        <v>5.0000000000000001E-3</v>
      </c>
      <c r="X16" s="54">
        <v>7.0000000000000001E-3</v>
      </c>
      <c r="Y16" s="155">
        <f>0.002/2</f>
        <v>1E-3</v>
      </c>
      <c r="Z16" s="157">
        <v>1</v>
      </c>
      <c r="AA16" s="157">
        <v>1</v>
      </c>
      <c r="AB16" s="54">
        <v>45.3</v>
      </c>
      <c r="AC16" s="155">
        <v>74</v>
      </c>
      <c r="AD16" s="157">
        <v>1</v>
      </c>
      <c r="AE16" s="54">
        <f t="shared" si="1"/>
        <v>12.5</v>
      </c>
      <c r="AF16" s="54"/>
      <c r="AG16" s="54"/>
      <c r="AH16" s="54"/>
    </row>
    <row r="17" spans="1:34" ht="14">
      <c r="A17" s="185" t="s">
        <v>33</v>
      </c>
      <c r="B17" s="54" t="s">
        <v>707</v>
      </c>
      <c r="C17" s="54" t="s">
        <v>738</v>
      </c>
      <c r="D17" s="56" t="s">
        <v>111</v>
      </c>
      <c r="E17" s="54" t="s">
        <v>739</v>
      </c>
      <c r="F17" s="54"/>
      <c r="G17" s="61" t="s">
        <v>740</v>
      </c>
      <c r="H17" s="54">
        <v>2951</v>
      </c>
      <c r="I17" s="55" t="s">
        <v>2</v>
      </c>
      <c r="J17" s="54" t="s">
        <v>743</v>
      </c>
      <c r="K17" s="57">
        <v>40835</v>
      </c>
      <c r="L17" s="132">
        <v>40829</v>
      </c>
      <c r="M17" s="54">
        <v>6</v>
      </c>
      <c r="N17" s="54" t="s">
        <v>2</v>
      </c>
      <c r="O17" s="155">
        <f t="shared" ref="O17:O23" si="2">1/2</f>
        <v>0.5</v>
      </c>
      <c r="P17" s="134">
        <v>5</v>
      </c>
      <c r="Q17" s="135">
        <v>6.89</v>
      </c>
      <c r="R17" s="136">
        <f>1/2</f>
        <v>0.5</v>
      </c>
      <c r="S17" s="137">
        <f>1/2</f>
        <v>0.5</v>
      </c>
      <c r="T17" s="54">
        <f>0.05/2</f>
        <v>2.5000000000000001E-2</v>
      </c>
      <c r="U17" s="155">
        <v>1.52</v>
      </c>
      <c r="V17" s="54">
        <f>0.1/2</f>
        <v>0.05</v>
      </c>
      <c r="W17" s="155">
        <f>0.005/2</f>
        <v>2.5000000000000001E-3</v>
      </c>
      <c r="X17" s="54">
        <v>8.0000000000000002E-3</v>
      </c>
      <c r="Y17" s="155">
        <v>3.0000000000000001E-3</v>
      </c>
      <c r="Z17" s="157">
        <v>1</v>
      </c>
      <c r="AA17" s="157">
        <v>1</v>
      </c>
      <c r="AB17" s="54">
        <v>95.4</v>
      </c>
      <c r="AC17" s="155">
        <v>77</v>
      </c>
      <c r="AD17" s="157">
        <v>1</v>
      </c>
      <c r="AE17" s="54">
        <f t="shared" si="1"/>
        <v>12.5</v>
      </c>
      <c r="AF17" s="54"/>
      <c r="AG17" s="54"/>
      <c r="AH17" s="54"/>
    </row>
    <row r="18" spans="1:34" ht="14">
      <c r="A18" s="185" t="s">
        <v>33</v>
      </c>
      <c r="B18" s="54" t="s">
        <v>707</v>
      </c>
      <c r="C18" s="54" t="s">
        <v>745</v>
      </c>
      <c r="D18" s="56" t="s">
        <v>257</v>
      </c>
      <c r="E18" s="54" t="s">
        <v>112</v>
      </c>
      <c r="F18" s="54"/>
      <c r="G18" s="61" t="s">
        <v>746</v>
      </c>
      <c r="H18" s="54">
        <v>2951</v>
      </c>
      <c r="I18" s="55" t="s">
        <v>1</v>
      </c>
      <c r="J18" s="54" t="s">
        <v>747</v>
      </c>
      <c r="K18" s="57">
        <v>40835</v>
      </c>
      <c r="L18" s="132">
        <v>40830</v>
      </c>
      <c r="M18" s="54">
        <v>5</v>
      </c>
      <c r="N18" s="54" t="s">
        <v>2</v>
      </c>
      <c r="O18" s="155">
        <f t="shared" si="2"/>
        <v>0.5</v>
      </c>
      <c r="P18" s="134">
        <v>5</v>
      </c>
      <c r="Q18" s="135">
        <v>8.67</v>
      </c>
      <c r="R18" s="136">
        <v>132.80000000000001</v>
      </c>
      <c r="S18" s="137">
        <v>4900</v>
      </c>
      <c r="T18" s="54">
        <v>2.21</v>
      </c>
      <c r="U18" s="155">
        <v>4.3</v>
      </c>
      <c r="V18" s="54">
        <v>1.64</v>
      </c>
      <c r="W18" s="155">
        <v>0.32200000000000001</v>
      </c>
      <c r="X18" s="54">
        <v>0.86099999999999999</v>
      </c>
      <c r="Y18" s="155">
        <v>8.5000000000000006E-2</v>
      </c>
      <c r="Z18" s="157">
        <v>1</v>
      </c>
      <c r="AA18" s="157">
        <v>1</v>
      </c>
      <c r="AB18" s="54">
        <v>302</v>
      </c>
      <c r="AC18" s="155">
        <v>180</v>
      </c>
      <c r="AD18" s="157">
        <v>1</v>
      </c>
      <c r="AE18" s="54">
        <f t="shared" si="1"/>
        <v>12.5</v>
      </c>
      <c r="AF18" s="54"/>
      <c r="AG18" s="54"/>
      <c r="AH18" s="54"/>
    </row>
    <row r="19" spans="1:34" ht="14">
      <c r="A19" s="185" t="s">
        <v>33</v>
      </c>
      <c r="B19" s="54" t="s">
        <v>707</v>
      </c>
      <c r="C19" s="54" t="s">
        <v>745</v>
      </c>
      <c r="D19" s="56" t="s">
        <v>257</v>
      </c>
      <c r="E19" s="54" t="s">
        <v>112</v>
      </c>
      <c r="F19" s="54"/>
      <c r="G19" s="61" t="s">
        <v>746</v>
      </c>
      <c r="H19" s="54">
        <v>2951</v>
      </c>
      <c r="I19" s="55" t="s">
        <v>1</v>
      </c>
      <c r="J19" s="54" t="s">
        <v>748</v>
      </c>
      <c r="K19" s="57">
        <v>40835</v>
      </c>
      <c r="L19" s="132">
        <v>40830</v>
      </c>
      <c r="M19" s="54">
        <v>5</v>
      </c>
      <c r="N19" s="54" t="s">
        <v>2</v>
      </c>
      <c r="O19" s="155">
        <f t="shared" si="2"/>
        <v>0.5</v>
      </c>
      <c r="P19" s="134">
        <v>5</v>
      </c>
      <c r="Q19" s="135">
        <v>8.64</v>
      </c>
      <c r="R19" s="136">
        <v>83.2</v>
      </c>
      <c r="S19" s="137">
        <v>4040</v>
      </c>
      <c r="T19" s="54">
        <v>0.97</v>
      </c>
      <c r="U19" s="155">
        <v>1.61</v>
      </c>
      <c r="V19" s="54">
        <v>0.78</v>
      </c>
      <c r="W19" s="155">
        <v>0.28999999999999998</v>
      </c>
      <c r="X19" s="54">
        <v>1.6919999999999999</v>
      </c>
      <c r="Y19" s="155">
        <v>9.9000000000000005E-2</v>
      </c>
      <c r="Z19" s="157">
        <v>1</v>
      </c>
      <c r="AA19" s="157">
        <v>1</v>
      </c>
      <c r="AB19" s="54">
        <v>143.1</v>
      </c>
      <c r="AC19" s="155">
        <v>174</v>
      </c>
      <c r="AD19" s="157">
        <v>0.9</v>
      </c>
      <c r="AE19" s="54">
        <f t="shared" si="1"/>
        <v>12.5</v>
      </c>
      <c r="AF19" s="54"/>
      <c r="AG19" s="54"/>
      <c r="AH19" s="54"/>
    </row>
    <row r="20" spans="1:34" ht="14">
      <c r="A20" s="185" t="s">
        <v>33</v>
      </c>
      <c r="B20" s="54" t="s">
        <v>707</v>
      </c>
      <c r="C20" s="54" t="s">
        <v>745</v>
      </c>
      <c r="D20" s="56" t="s">
        <v>257</v>
      </c>
      <c r="E20" s="54" t="s">
        <v>112</v>
      </c>
      <c r="F20" s="54"/>
      <c r="G20" s="61" t="s">
        <v>746</v>
      </c>
      <c r="H20" s="54">
        <v>2951</v>
      </c>
      <c r="I20" s="55" t="s">
        <v>1</v>
      </c>
      <c r="J20" s="54" t="s">
        <v>749</v>
      </c>
      <c r="K20" s="57">
        <v>40835</v>
      </c>
      <c r="L20" s="132">
        <v>40830</v>
      </c>
      <c r="M20" s="54">
        <v>5</v>
      </c>
      <c r="N20" s="54" t="s">
        <v>2</v>
      </c>
      <c r="O20" s="155">
        <f t="shared" si="2"/>
        <v>0.5</v>
      </c>
      <c r="P20" s="134">
        <v>5</v>
      </c>
      <c r="Q20" s="135">
        <v>6.48</v>
      </c>
      <c r="R20" s="136">
        <v>317</v>
      </c>
      <c r="S20" s="137">
        <v>2600</v>
      </c>
      <c r="T20" s="54">
        <v>1.1399999999999999</v>
      </c>
      <c r="U20" s="155">
        <v>1.18</v>
      </c>
      <c r="V20" s="54">
        <v>7.92</v>
      </c>
      <c r="W20" s="155">
        <v>8.5999999999999993E-2</v>
      </c>
      <c r="X20" s="54">
        <v>0.67700000000000005</v>
      </c>
      <c r="Y20" s="155">
        <v>4.1000000000000002E-2</v>
      </c>
      <c r="Z20" s="157">
        <v>1</v>
      </c>
      <c r="AA20" s="157">
        <v>1</v>
      </c>
      <c r="AB20" s="54">
        <v>103.2</v>
      </c>
      <c r="AC20" s="155">
        <v>97</v>
      </c>
      <c r="AD20" s="157">
        <v>0.85</v>
      </c>
      <c r="AE20" s="54">
        <f t="shared" si="1"/>
        <v>12.5</v>
      </c>
      <c r="AF20" s="54"/>
      <c r="AG20" s="54"/>
      <c r="AH20" s="54"/>
    </row>
    <row r="21" spans="1:34" ht="14">
      <c r="A21" s="185" t="s">
        <v>33</v>
      </c>
      <c r="B21" s="54" t="s">
        <v>707</v>
      </c>
      <c r="C21" s="54" t="s">
        <v>745</v>
      </c>
      <c r="D21" s="56" t="s">
        <v>257</v>
      </c>
      <c r="E21" s="54" t="s">
        <v>112</v>
      </c>
      <c r="F21" s="54"/>
      <c r="G21" s="61" t="s">
        <v>746</v>
      </c>
      <c r="H21" s="54">
        <v>2951</v>
      </c>
      <c r="I21" s="55" t="s">
        <v>1</v>
      </c>
      <c r="J21" s="54" t="s">
        <v>750</v>
      </c>
      <c r="K21" s="57">
        <v>40835</v>
      </c>
      <c r="L21" s="132">
        <v>40830</v>
      </c>
      <c r="M21" s="54">
        <v>5</v>
      </c>
      <c r="N21" s="54" t="s">
        <v>2</v>
      </c>
      <c r="O21" s="155">
        <f t="shared" si="2"/>
        <v>0.5</v>
      </c>
      <c r="P21" s="134">
        <v>5</v>
      </c>
      <c r="Q21" s="135">
        <v>7.25</v>
      </c>
      <c r="R21" s="136">
        <v>47.3</v>
      </c>
      <c r="S21" s="137">
        <v>307</v>
      </c>
      <c r="T21" s="54">
        <v>0.42</v>
      </c>
      <c r="U21" s="155">
        <v>4.68</v>
      </c>
      <c r="V21" s="54">
        <v>0.7</v>
      </c>
      <c r="W21" s="155">
        <v>2.1000000000000001E-2</v>
      </c>
      <c r="X21" s="54">
        <v>8.8999999999999996E-2</v>
      </c>
      <c r="Y21" s="155">
        <v>1.6E-2</v>
      </c>
      <c r="Z21" s="157">
        <v>1</v>
      </c>
      <c r="AA21" s="157">
        <v>1</v>
      </c>
      <c r="AB21" s="54">
        <v>46.8</v>
      </c>
      <c r="AC21" s="155">
        <v>81</v>
      </c>
      <c r="AD21" s="157">
        <v>1</v>
      </c>
      <c r="AE21" s="54">
        <f t="shared" si="1"/>
        <v>12.5</v>
      </c>
      <c r="AF21" s="54"/>
      <c r="AG21" s="54"/>
      <c r="AH21" s="54"/>
    </row>
    <row r="22" spans="1:34" ht="14">
      <c r="A22" s="185" t="s">
        <v>33</v>
      </c>
      <c r="B22" s="54" t="s">
        <v>707</v>
      </c>
      <c r="C22" s="54" t="s">
        <v>745</v>
      </c>
      <c r="D22" s="56" t="s">
        <v>257</v>
      </c>
      <c r="E22" s="54" t="s">
        <v>112</v>
      </c>
      <c r="F22" s="54"/>
      <c r="G22" s="61" t="s">
        <v>746</v>
      </c>
      <c r="H22" s="54">
        <v>2951</v>
      </c>
      <c r="I22" s="55" t="s">
        <v>1</v>
      </c>
      <c r="J22" s="54" t="s">
        <v>751</v>
      </c>
      <c r="K22" s="57">
        <v>40835</v>
      </c>
      <c r="L22" s="132">
        <v>40830</v>
      </c>
      <c r="M22" s="54">
        <v>5</v>
      </c>
      <c r="N22" s="54" t="s">
        <v>2</v>
      </c>
      <c r="O22" s="155">
        <f t="shared" si="2"/>
        <v>0.5</v>
      </c>
      <c r="P22" s="134">
        <v>5</v>
      </c>
      <c r="Q22" s="135">
        <v>7.18</v>
      </c>
      <c r="R22" s="136">
        <f>1/2</f>
        <v>0.5</v>
      </c>
      <c r="S22" s="137">
        <v>36</v>
      </c>
      <c r="T22" s="54">
        <f>0.05/2</f>
        <v>2.5000000000000001E-2</v>
      </c>
      <c r="U22" s="155">
        <v>3.32</v>
      </c>
      <c r="V22" s="54">
        <v>2.44</v>
      </c>
      <c r="W22" s="155">
        <v>1.0999999999999999E-2</v>
      </c>
      <c r="X22" s="54">
        <v>1.9E-2</v>
      </c>
      <c r="Y22" s="155">
        <v>3.0000000000000001E-3</v>
      </c>
      <c r="Z22" s="157">
        <v>1</v>
      </c>
      <c r="AA22" s="157">
        <v>1</v>
      </c>
      <c r="AB22" s="54">
        <v>138</v>
      </c>
      <c r="AC22" s="155">
        <v>255</v>
      </c>
      <c r="AD22" s="157">
        <v>1</v>
      </c>
      <c r="AE22" s="54">
        <f t="shared" si="1"/>
        <v>12.5</v>
      </c>
      <c r="AF22" s="54"/>
      <c r="AG22" s="54"/>
      <c r="AH22" s="54"/>
    </row>
    <row r="23" spans="1:34" ht="14">
      <c r="A23" s="185" t="s">
        <v>33</v>
      </c>
      <c r="B23" s="54" t="s">
        <v>707</v>
      </c>
      <c r="C23" s="54" t="s">
        <v>752</v>
      </c>
      <c r="D23" s="56" t="s">
        <v>684</v>
      </c>
      <c r="E23" s="54" t="s">
        <v>112</v>
      </c>
      <c r="F23" s="54"/>
      <c r="G23" s="61" t="s">
        <v>753</v>
      </c>
      <c r="H23" s="54">
        <v>2951</v>
      </c>
      <c r="I23" s="55" t="s">
        <v>1</v>
      </c>
      <c r="J23" s="54" t="s">
        <v>754</v>
      </c>
      <c r="K23" s="57">
        <v>40835</v>
      </c>
      <c r="L23" s="132">
        <v>40830</v>
      </c>
      <c r="M23" s="54">
        <v>5</v>
      </c>
      <c r="N23" s="54" t="s">
        <v>2</v>
      </c>
      <c r="O23" s="155">
        <f t="shared" si="2"/>
        <v>0.5</v>
      </c>
      <c r="P23" s="134">
        <v>5</v>
      </c>
      <c r="Q23" s="135">
        <v>7.42</v>
      </c>
      <c r="R23" s="136">
        <v>7.5</v>
      </c>
      <c r="S23" s="137">
        <v>51</v>
      </c>
      <c r="T23" s="54">
        <v>0.1</v>
      </c>
      <c r="U23" s="155">
        <v>1.94</v>
      </c>
      <c r="V23" s="54">
        <f>0.1/2</f>
        <v>0.05</v>
      </c>
      <c r="W23" s="155">
        <v>1.2E-2</v>
      </c>
      <c r="X23" s="54">
        <v>1.6E-2</v>
      </c>
      <c r="Y23" s="155">
        <v>2E-3</v>
      </c>
      <c r="Z23" s="157">
        <v>1</v>
      </c>
      <c r="AA23" s="157">
        <v>1</v>
      </c>
      <c r="AB23" s="54">
        <v>33.979999999999997</v>
      </c>
      <c r="AC23" s="155">
        <v>79</v>
      </c>
      <c r="AD23" s="157">
        <v>1</v>
      </c>
      <c r="AE23" s="54">
        <f t="shared" si="1"/>
        <v>12.5</v>
      </c>
      <c r="AF23" s="54"/>
      <c r="AG23" s="54"/>
      <c r="AH23" s="54"/>
    </row>
    <row r="24" spans="1:34" ht="14">
      <c r="A24" s="185" t="s">
        <v>33</v>
      </c>
      <c r="B24" s="54" t="s">
        <v>707</v>
      </c>
      <c r="C24" s="54" t="s">
        <v>755</v>
      </c>
      <c r="D24" s="56" t="s">
        <v>756</v>
      </c>
      <c r="E24" s="54" t="s">
        <v>757</v>
      </c>
      <c r="F24" s="54"/>
      <c r="G24" s="61" t="s">
        <v>758</v>
      </c>
      <c r="H24" s="54">
        <v>2951</v>
      </c>
      <c r="I24" s="55" t="s">
        <v>1</v>
      </c>
      <c r="J24" s="54" t="s">
        <v>759</v>
      </c>
      <c r="K24" s="57">
        <v>40835</v>
      </c>
      <c r="L24" s="132">
        <v>40830</v>
      </c>
      <c r="M24" s="54">
        <v>5</v>
      </c>
      <c r="N24" s="54" t="s">
        <v>2</v>
      </c>
      <c r="O24" s="155">
        <v>9.6</v>
      </c>
      <c r="P24" s="134">
        <v>5</v>
      </c>
      <c r="Q24" s="135">
        <v>7.57</v>
      </c>
      <c r="R24" s="136">
        <v>38.4</v>
      </c>
      <c r="S24" s="137">
        <v>34</v>
      </c>
      <c r="T24" s="54">
        <v>0.1</v>
      </c>
      <c r="U24" s="155">
        <v>1.98</v>
      </c>
      <c r="V24" s="54">
        <v>0.28999999999999998</v>
      </c>
      <c r="W24" s="155">
        <v>8.0000000000000002E-3</v>
      </c>
      <c r="X24" s="54">
        <v>1.6E-2</v>
      </c>
      <c r="Y24" s="155">
        <f>0.002/2</f>
        <v>1E-3</v>
      </c>
      <c r="Z24" s="157">
        <v>1</v>
      </c>
      <c r="AA24" s="157">
        <v>1</v>
      </c>
      <c r="AB24" s="54">
        <v>16</v>
      </c>
      <c r="AC24" s="155">
        <v>50</v>
      </c>
      <c r="AD24" s="157">
        <v>1</v>
      </c>
      <c r="AE24" s="54">
        <f t="shared" si="1"/>
        <v>12.5</v>
      </c>
      <c r="AF24" s="54"/>
      <c r="AG24" s="54"/>
      <c r="AH24" s="54"/>
    </row>
    <row r="25" spans="1:34" ht="14">
      <c r="A25" s="185" t="s">
        <v>33</v>
      </c>
      <c r="B25" s="54" t="s">
        <v>707</v>
      </c>
      <c r="C25" s="54" t="s">
        <v>755</v>
      </c>
      <c r="D25" s="56" t="s">
        <v>756</v>
      </c>
      <c r="E25" s="54" t="s">
        <v>757</v>
      </c>
      <c r="F25" s="54"/>
      <c r="G25" s="61" t="s">
        <v>758</v>
      </c>
      <c r="H25" s="54">
        <v>2951</v>
      </c>
      <c r="I25" s="55" t="s">
        <v>1</v>
      </c>
      <c r="J25" s="54" t="s">
        <v>760</v>
      </c>
      <c r="K25" s="57">
        <v>40835</v>
      </c>
      <c r="L25" s="132">
        <v>40830</v>
      </c>
      <c r="M25" s="54">
        <v>5</v>
      </c>
      <c r="N25" s="54" t="s">
        <v>2</v>
      </c>
      <c r="O25" s="155">
        <f>1/2</f>
        <v>0.5</v>
      </c>
      <c r="P25" s="134">
        <v>5</v>
      </c>
      <c r="Q25" s="135">
        <v>8.42</v>
      </c>
      <c r="R25" s="136">
        <f>1/2</f>
        <v>0.5</v>
      </c>
      <c r="S25" s="137">
        <v>190</v>
      </c>
      <c r="T25" s="54">
        <v>0.48</v>
      </c>
      <c r="U25" s="155">
        <v>1.52</v>
      </c>
      <c r="V25" s="54">
        <v>0.39</v>
      </c>
      <c r="W25" s="155">
        <v>1.9E-2</v>
      </c>
      <c r="X25" s="54">
        <v>5.0999999999999997E-2</v>
      </c>
      <c r="Y25" s="155">
        <v>7.0000000000000001E-3</v>
      </c>
      <c r="Z25" s="157">
        <v>1</v>
      </c>
      <c r="AA25" s="157">
        <v>1</v>
      </c>
      <c r="AB25" s="54">
        <v>95.9</v>
      </c>
      <c r="AC25" s="155">
        <v>53.8</v>
      </c>
      <c r="AD25" s="157">
        <v>1</v>
      </c>
      <c r="AE25" s="54">
        <f t="shared" si="1"/>
        <v>12.5</v>
      </c>
      <c r="AF25" s="54"/>
      <c r="AG25" s="54"/>
      <c r="AH25" s="54"/>
    </row>
    <row r="26" spans="1:34" ht="14">
      <c r="A26" s="185" t="s">
        <v>33</v>
      </c>
      <c r="B26" s="54" t="s">
        <v>707</v>
      </c>
      <c r="C26" s="54" t="s">
        <v>755</v>
      </c>
      <c r="D26" s="56" t="s">
        <v>756</v>
      </c>
      <c r="E26" s="54" t="s">
        <v>757</v>
      </c>
      <c r="F26" s="54"/>
      <c r="G26" s="61" t="s">
        <v>758</v>
      </c>
      <c r="H26" s="54">
        <v>2951</v>
      </c>
      <c r="I26" s="55" t="s">
        <v>1</v>
      </c>
      <c r="J26" s="54" t="s">
        <v>761</v>
      </c>
      <c r="K26" s="57">
        <v>40835</v>
      </c>
      <c r="L26" s="132">
        <v>40830</v>
      </c>
      <c r="M26" s="54">
        <v>5</v>
      </c>
      <c r="N26" s="54" t="s">
        <v>2</v>
      </c>
      <c r="O26" s="155">
        <v>1.6</v>
      </c>
      <c r="P26" s="134">
        <v>5</v>
      </c>
      <c r="Q26" s="135">
        <v>7.58</v>
      </c>
      <c r="R26" s="136">
        <v>136.1</v>
      </c>
      <c r="S26" s="137">
        <v>376</v>
      </c>
      <c r="T26" s="54">
        <v>0.41</v>
      </c>
      <c r="U26" s="155">
        <v>1.72</v>
      </c>
      <c r="V26" s="54">
        <v>0.17</v>
      </c>
      <c r="W26" s="155">
        <v>1.4999999999999999E-2</v>
      </c>
      <c r="X26" s="54">
        <v>9.7000000000000003E-2</v>
      </c>
      <c r="Y26" s="155">
        <v>8.9999999999999993E-3</v>
      </c>
      <c r="Z26" s="157">
        <v>1</v>
      </c>
      <c r="AA26" s="157">
        <v>1</v>
      </c>
      <c r="AB26" s="54">
        <v>23.9</v>
      </c>
      <c r="AC26" s="155">
        <v>53.8</v>
      </c>
      <c r="AD26" s="157">
        <v>1</v>
      </c>
      <c r="AE26" s="54">
        <f t="shared" si="1"/>
        <v>12.5</v>
      </c>
      <c r="AF26" s="54"/>
      <c r="AG26" s="54"/>
      <c r="AH26" s="54"/>
    </row>
    <row r="27" spans="1:34" ht="14">
      <c r="A27" s="185" t="s">
        <v>33</v>
      </c>
      <c r="B27" s="54" t="s">
        <v>707</v>
      </c>
      <c r="C27" s="54" t="s">
        <v>762</v>
      </c>
      <c r="D27" s="56" t="s">
        <v>213</v>
      </c>
      <c r="E27" s="54" t="s">
        <v>763</v>
      </c>
      <c r="F27" s="54"/>
      <c r="G27" s="61" t="s">
        <v>764</v>
      </c>
      <c r="H27" s="54">
        <v>2951</v>
      </c>
      <c r="I27" s="55" t="s">
        <v>2</v>
      </c>
      <c r="J27" s="54" t="s">
        <v>765</v>
      </c>
      <c r="K27" s="57">
        <v>40829</v>
      </c>
      <c r="L27" s="132">
        <v>40820</v>
      </c>
      <c r="M27" s="54">
        <v>9</v>
      </c>
      <c r="N27" s="54" t="s">
        <v>2</v>
      </c>
      <c r="O27" s="155">
        <f>1/2</f>
        <v>0.5</v>
      </c>
      <c r="P27" s="134">
        <v>5</v>
      </c>
      <c r="Q27" s="135">
        <v>7.33</v>
      </c>
      <c r="R27" s="136">
        <v>11.3</v>
      </c>
      <c r="S27" s="137">
        <v>90</v>
      </c>
      <c r="T27" s="54">
        <f>0.05/2</f>
        <v>2.5000000000000001E-2</v>
      </c>
      <c r="U27" s="155">
        <v>1.4</v>
      </c>
      <c r="V27" s="54">
        <f>0.1/2</f>
        <v>0.05</v>
      </c>
      <c r="W27" s="155">
        <v>1.0999999999999999E-2</v>
      </c>
      <c r="X27" s="54">
        <v>1.7000000000000001E-2</v>
      </c>
      <c r="Y27" s="155">
        <v>3.0000000000000001E-3</v>
      </c>
      <c r="Z27" s="157">
        <v>1</v>
      </c>
      <c r="AA27" s="157">
        <v>1</v>
      </c>
      <c r="AB27" s="54">
        <v>21.4</v>
      </c>
      <c r="AC27" s="155">
        <v>38</v>
      </c>
      <c r="AD27" s="157">
        <v>1</v>
      </c>
      <c r="AE27" s="54">
        <f t="shared" si="1"/>
        <v>12.5</v>
      </c>
      <c r="AF27" s="54"/>
      <c r="AG27" s="54"/>
      <c r="AH27" s="54"/>
    </row>
    <row r="28" spans="1:34" ht="14">
      <c r="A28" s="185" t="s">
        <v>33</v>
      </c>
      <c r="B28" s="54" t="s">
        <v>707</v>
      </c>
      <c r="C28" s="54" t="s">
        <v>762</v>
      </c>
      <c r="D28" s="56" t="s">
        <v>213</v>
      </c>
      <c r="E28" s="54" t="s">
        <v>763</v>
      </c>
      <c r="F28" s="54"/>
      <c r="G28" s="61" t="s">
        <v>764</v>
      </c>
      <c r="H28" s="54">
        <v>2951</v>
      </c>
      <c r="I28" s="55" t="s">
        <v>2</v>
      </c>
      <c r="J28" s="54" t="s">
        <v>766</v>
      </c>
      <c r="K28" s="57">
        <v>40829</v>
      </c>
      <c r="L28" s="132">
        <v>40820</v>
      </c>
      <c r="M28" s="54">
        <v>9</v>
      </c>
      <c r="N28" s="54" t="s">
        <v>2</v>
      </c>
      <c r="O28" s="155">
        <f>1/2</f>
        <v>0.5</v>
      </c>
      <c r="P28" s="134">
        <v>5</v>
      </c>
      <c r="Q28" s="135">
        <v>7.66</v>
      </c>
      <c r="R28" s="136">
        <f>1/2</f>
        <v>0.5</v>
      </c>
      <c r="S28" s="137">
        <v>20</v>
      </c>
      <c r="T28" s="54">
        <f>0.05/2</f>
        <v>2.5000000000000001E-2</v>
      </c>
      <c r="U28" s="155">
        <v>1.0900000000000001</v>
      </c>
      <c r="V28" s="54">
        <f>0.1/2</f>
        <v>0.05</v>
      </c>
      <c r="W28" s="155">
        <v>1.6E-2</v>
      </c>
      <c r="X28" s="54">
        <v>3.1E-2</v>
      </c>
      <c r="Y28" s="155">
        <f>0.002/2</f>
        <v>1E-3</v>
      </c>
      <c r="Z28" s="157">
        <v>1</v>
      </c>
      <c r="AA28" s="157">
        <v>1</v>
      </c>
      <c r="AB28" s="54">
        <v>118.7</v>
      </c>
      <c r="AC28" s="155">
        <v>250</v>
      </c>
      <c r="AD28" s="157">
        <v>1</v>
      </c>
      <c r="AE28" s="54">
        <f t="shared" si="1"/>
        <v>12.5</v>
      </c>
      <c r="AF28" s="54"/>
      <c r="AG28" s="54"/>
      <c r="AH28" s="54"/>
    </row>
    <row r="29" spans="1:34" ht="14">
      <c r="A29" s="185" t="s">
        <v>33</v>
      </c>
      <c r="B29" s="54" t="s">
        <v>707</v>
      </c>
      <c r="C29" s="54" t="s">
        <v>762</v>
      </c>
      <c r="D29" s="56" t="s">
        <v>213</v>
      </c>
      <c r="E29" s="54" t="s">
        <v>763</v>
      </c>
      <c r="F29" s="54"/>
      <c r="G29" s="61" t="s">
        <v>764</v>
      </c>
      <c r="H29" s="54">
        <v>2951</v>
      </c>
      <c r="I29" s="55" t="s">
        <v>2</v>
      </c>
      <c r="J29" s="54" t="s">
        <v>767</v>
      </c>
      <c r="K29" s="57">
        <v>40829</v>
      </c>
      <c r="L29" s="132">
        <v>40820</v>
      </c>
      <c r="M29" s="54">
        <v>9</v>
      </c>
      <c r="N29" s="54" t="s">
        <v>2</v>
      </c>
      <c r="O29" s="155">
        <f>1/2</f>
        <v>0.5</v>
      </c>
      <c r="P29" s="134">
        <v>5</v>
      </c>
      <c r="Q29" s="135">
        <v>7.95</v>
      </c>
      <c r="R29" s="136">
        <v>11.3</v>
      </c>
      <c r="S29" s="137">
        <v>180</v>
      </c>
      <c r="T29" s="54">
        <v>0.11</v>
      </c>
      <c r="U29" s="155">
        <v>1.27</v>
      </c>
      <c r="V29" s="54">
        <f>0.1/2</f>
        <v>0.05</v>
      </c>
      <c r="W29" s="155">
        <v>4.3999999999999997E-2</v>
      </c>
      <c r="X29" s="54">
        <v>3.6999999999999998E-2</v>
      </c>
      <c r="Y29" s="155">
        <v>5.0000000000000001E-3</v>
      </c>
      <c r="Z29" s="157">
        <v>1</v>
      </c>
      <c r="AA29" s="157">
        <v>1</v>
      </c>
      <c r="AB29" s="54">
        <v>85.7</v>
      </c>
      <c r="AC29" s="155">
        <v>142</v>
      </c>
      <c r="AD29" s="157">
        <v>1</v>
      </c>
      <c r="AE29" s="54">
        <f t="shared" si="1"/>
        <v>12.5</v>
      </c>
      <c r="AF29" s="54"/>
      <c r="AG29" s="54"/>
      <c r="AH29" s="54"/>
    </row>
    <row r="30" spans="1:34" ht="14">
      <c r="A30" s="185" t="s">
        <v>33</v>
      </c>
      <c r="B30" s="54" t="s">
        <v>707</v>
      </c>
      <c r="C30" s="54" t="s">
        <v>772</v>
      </c>
      <c r="D30" s="56" t="s">
        <v>372</v>
      </c>
      <c r="E30" s="54" t="s">
        <v>235</v>
      </c>
      <c r="F30" s="54"/>
      <c r="G30" s="61" t="s">
        <v>773</v>
      </c>
      <c r="H30" s="54">
        <v>2951</v>
      </c>
      <c r="I30" s="55" t="s">
        <v>1</v>
      </c>
      <c r="J30" s="54" t="s">
        <v>774</v>
      </c>
      <c r="K30" s="57">
        <v>40835</v>
      </c>
      <c r="L30" s="132">
        <v>40830</v>
      </c>
      <c r="M30" s="54">
        <v>5</v>
      </c>
      <c r="N30" s="54" t="s">
        <v>2</v>
      </c>
      <c r="O30" s="155">
        <f>1/2</f>
        <v>0.5</v>
      </c>
      <c r="P30" s="134">
        <v>5</v>
      </c>
      <c r="Q30" s="135">
        <v>7.5</v>
      </c>
      <c r="R30" s="136">
        <v>28.9</v>
      </c>
      <c r="S30" s="137">
        <v>65</v>
      </c>
      <c r="T30" s="54">
        <f>0.05/2</f>
        <v>2.5000000000000001E-2</v>
      </c>
      <c r="U30" s="155">
        <v>1.62</v>
      </c>
      <c r="V30" s="54">
        <v>0.25</v>
      </c>
      <c r="W30" s="155">
        <v>1.2E-2</v>
      </c>
      <c r="X30" s="54">
        <v>3.5000000000000003E-2</v>
      </c>
      <c r="Y30" s="155">
        <v>4.0000000000000001E-3</v>
      </c>
      <c r="Z30" s="157">
        <v>1</v>
      </c>
      <c r="AA30" s="157">
        <v>1</v>
      </c>
      <c r="AB30" s="54">
        <v>22.65</v>
      </c>
      <c r="AC30" s="155">
        <v>52</v>
      </c>
      <c r="AD30" s="157">
        <v>1</v>
      </c>
      <c r="AE30" s="54">
        <f t="shared" si="1"/>
        <v>12.5</v>
      </c>
      <c r="AF30" s="54"/>
      <c r="AG30" s="54"/>
      <c r="AH30" s="54"/>
    </row>
    <row r="31" spans="1:34" ht="14">
      <c r="A31" s="185" t="s">
        <v>33</v>
      </c>
      <c r="B31" s="54" t="s">
        <v>707</v>
      </c>
      <c r="C31" s="54" t="s">
        <v>781</v>
      </c>
      <c r="D31" s="56" t="s">
        <v>564</v>
      </c>
      <c r="E31" s="54" t="s">
        <v>782</v>
      </c>
      <c r="F31" s="54"/>
      <c r="G31" s="61" t="s">
        <v>783</v>
      </c>
      <c r="H31" s="54">
        <v>2951</v>
      </c>
      <c r="I31" s="55" t="s">
        <v>2</v>
      </c>
      <c r="J31" s="54" t="s">
        <v>784</v>
      </c>
      <c r="K31" s="57">
        <v>40829</v>
      </c>
      <c r="L31" s="132">
        <v>40820</v>
      </c>
      <c r="M31" s="54">
        <v>9</v>
      </c>
      <c r="N31" s="54" t="s">
        <v>2</v>
      </c>
      <c r="O31" s="155">
        <v>2.4</v>
      </c>
      <c r="P31" s="134">
        <v>5</v>
      </c>
      <c r="Q31" s="135">
        <v>7.37</v>
      </c>
      <c r="R31" s="136">
        <v>18.7</v>
      </c>
      <c r="S31" s="137">
        <v>90</v>
      </c>
      <c r="T31" s="54">
        <v>0.11</v>
      </c>
      <c r="U31" s="155">
        <v>1.88</v>
      </c>
      <c r="V31" s="54">
        <v>2.1800000000000002</v>
      </c>
      <c r="W31" s="155">
        <v>1.0999999999999999E-2</v>
      </c>
      <c r="X31" s="54">
        <v>4.5999999999999999E-2</v>
      </c>
      <c r="Y31" s="155">
        <v>2E-3</v>
      </c>
      <c r="Z31" s="157">
        <v>1</v>
      </c>
      <c r="AA31" s="157">
        <v>1</v>
      </c>
      <c r="AB31" s="54">
        <v>78</v>
      </c>
      <c r="AC31" s="155">
        <v>219</v>
      </c>
      <c r="AD31" s="157">
        <v>1</v>
      </c>
      <c r="AE31" s="54">
        <f t="shared" si="1"/>
        <v>12.5</v>
      </c>
      <c r="AF31" s="54"/>
      <c r="AG31" s="54"/>
      <c r="AH31" s="54"/>
    </row>
    <row r="32" spans="1:34" ht="14">
      <c r="A32" s="185" t="s">
        <v>33</v>
      </c>
      <c r="B32" s="54" t="s">
        <v>707</v>
      </c>
      <c r="C32" s="54" t="s">
        <v>785</v>
      </c>
      <c r="D32" s="56" t="s">
        <v>195</v>
      </c>
      <c r="E32" s="54" t="s">
        <v>786</v>
      </c>
      <c r="F32" s="54"/>
      <c r="G32" s="61" t="s">
        <v>787</v>
      </c>
      <c r="H32" s="54">
        <v>2951</v>
      </c>
      <c r="I32" s="55" t="s">
        <v>2</v>
      </c>
      <c r="J32" s="54" t="s">
        <v>788</v>
      </c>
      <c r="K32" s="57">
        <v>40835</v>
      </c>
      <c r="L32" s="132">
        <v>40830</v>
      </c>
      <c r="M32" s="54">
        <v>5</v>
      </c>
      <c r="N32" s="54" t="s">
        <v>2</v>
      </c>
      <c r="O32" s="155">
        <f>1/2</f>
        <v>0.5</v>
      </c>
      <c r="P32" s="134">
        <v>6</v>
      </c>
      <c r="Q32" s="135">
        <v>7.1</v>
      </c>
      <c r="R32" s="136">
        <v>76.2</v>
      </c>
      <c r="S32" s="137">
        <v>190</v>
      </c>
      <c r="T32" s="54">
        <v>0.48</v>
      </c>
      <c r="U32" s="155">
        <v>1.4</v>
      </c>
      <c r="V32" s="54">
        <v>0.34</v>
      </c>
      <c r="W32" s="155">
        <v>1.7000000000000001E-2</v>
      </c>
      <c r="X32" s="54">
        <v>7.1999999999999995E-2</v>
      </c>
      <c r="Y32" s="155">
        <v>8.9999999999999993E-3</v>
      </c>
      <c r="Z32" s="157">
        <v>1</v>
      </c>
      <c r="AA32" s="157">
        <v>1</v>
      </c>
      <c r="AB32" s="54">
        <v>41.1</v>
      </c>
      <c r="AC32" s="155">
        <v>53.8</v>
      </c>
      <c r="AD32" s="157">
        <v>1</v>
      </c>
      <c r="AE32" s="54">
        <f t="shared" si="1"/>
        <v>12.5</v>
      </c>
      <c r="AF32" s="54"/>
      <c r="AG32" s="54"/>
      <c r="AH32" s="54"/>
    </row>
    <row r="33" spans="1:39" ht="14">
      <c r="A33" s="185" t="s">
        <v>33</v>
      </c>
      <c r="B33" s="54" t="s">
        <v>707</v>
      </c>
      <c r="C33" s="54" t="s">
        <v>789</v>
      </c>
      <c r="D33" s="56" t="s">
        <v>89</v>
      </c>
      <c r="E33" s="54" t="s">
        <v>893</v>
      </c>
      <c r="F33" s="54"/>
      <c r="G33" s="61" t="s">
        <v>791</v>
      </c>
      <c r="H33" s="54">
        <v>2951</v>
      </c>
      <c r="I33" s="55" t="s">
        <v>1</v>
      </c>
      <c r="J33" s="54" t="s">
        <v>790</v>
      </c>
      <c r="K33" s="57">
        <v>40835</v>
      </c>
      <c r="L33" s="132">
        <v>40830</v>
      </c>
      <c r="M33" s="54">
        <v>5</v>
      </c>
      <c r="N33" s="54" t="s">
        <v>2</v>
      </c>
      <c r="O33" s="155">
        <f>1/2</f>
        <v>0.5</v>
      </c>
      <c r="P33" s="134">
        <v>5</v>
      </c>
      <c r="Q33" s="135">
        <v>7.79</v>
      </c>
      <c r="R33" s="136">
        <v>100.4</v>
      </c>
      <c r="S33" s="137">
        <v>85</v>
      </c>
      <c r="T33" s="54">
        <v>0.28000000000000003</v>
      </c>
      <c r="U33" s="155">
        <v>1.08</v>
      </c>
      <c r="V33" s="54">
        <f>0.1/2</f>
        <v>0.05</v>
      </c>
      <c r="W33" s="155">
        <v>0.01</v>
      </c>
      <c r="X33" s="54">
        <v>4.2000000000000003E-2</v>
      </c>
      <c r="Y33" s="155">
        <v>6.0000000000000001E-3</v>
      </c>
      <c r="Z33" s="157">
        <v>1</v>
      </c>
      <c r="AA33" s="157">
        <v>1</v>
      </c>
      <c r="AB33" s="54">
        <v>199</v>
      </c>
      <c r="AC33" s="155">
        <v>570</v>
      </c>
      <c r="AD33" s="157">
        <v>1</v>
      </c>
      <c r="AE33" s="54">
        <f t="shared" si="1"/>
        <v>12.5</v>
      </c>
      <c r="AF33" s="54"/>
      <c r="AG33" s="54"/>
      <c r="AH33" s="54"/>
    </row>
    <row r="34" spans="1:39" ht="14">
      <c r="A34" s="185" t="s">
        <v>33</v>
      </c>
      <c r="B34" s="54" t="s">
        <v>891</v>
      </c>
      <c r="C34" s="54" t="s">
        <v>892</v>
      </c>
      <c r="D34" s="56" t="s">
        <v>98</v>
      </c>
      <c r="E34" s="54" t="s">
        <v>44</v>
      </c>
      <c r="F34" s="54"/>
      <c r="G34" s="61" t="s">
        <v>894</v>
      </c>
      <c r="H34" s="54">
        <v>2951</v>
      </c>
      <c r="I34" s="55" t="s">
        <v>1</v>
      </c>
      <c r="J34" s="54" t="s">
        <v>895</v>
      </c>
      <c r="K34" s="57">
        <v>40864</v>
      </c>
      <c r="L34" s="132">
        <v>40857</v>
      </c>
      <c r="M34" s="54">
        <v>7</v>
      </c>
      <c r="N34" s="54" t="s">
        <v>2</v>
      </c>
      <c r="O34" s="155">
        <f>5/2</f>
        <v>2.5</v>
      </c>
      <c r="P34" s="134">
        <v>7</v>
      </c>
      <c r="Q34" s="135">
        <v>6.79</v>
      </c>
      <c r="R34" s="136">
        <v>26</v>
      </c>
      <c r="S34" s="137">
        <v>12</v>
      </c>
      <c r="T34" s="54">
        <f>0.1/2</f>
        <v>0.05</v>
      </c>
      <c r="U34" s="155">
        <f>1/2</f>
        <v>0.5</v>
      </c>
      <c r="V34" s="54">
        <f>0.1/2</f>
        <v>0.05</v>
      </c>
      <c r="W34" s="155">
        <f>0.04/2</f>
        <v>0.02</v>
      </c>
      <c r="X34" s="54">
        <f>0.02/2</f>
        <v>0.01</v>
      </c>
      <c r="Y34" s="155">
        <f>0.013/2</f>
        <v>6.4999999999999997E-3</v>
      </c>
      <c r="Z34" s="157">
        <v>1</v>
      </c>
      <c r="AA34" s="157">
        <v>1</v>
      </c>
      <c r="AB34" s="54">
        <v>10</v>
      </c>
      <c r="AC34" s="155">
        <v>36</v>
      </c>
      <c r="AD34" s="157">
        <v>0.95</v>
      </c>
      <c r="AE34" s="54">
        <f>1/2</f>
        <v>0.5</v>
      </c>
      <c r="AF34" s="54"/>
      <c r="AG34" s="54"/>
      <c r="AH34" s="54"/>
      <c r="AI34" s="402">
        <v>1500</v>
      </c>
    </row>
    <row r="35" spans="1:39" ht="14">
      <c r="A35" s="185" t="s">
        <v>33</v>
      </c>
      <c r="B35" s="54" t="s">
        <v>891</v>
      </c>
      <c r="C35" s="54" t="s">
        <v>892</v>
      </c>
      <c r="D35" s="56" t="s">
        <v>98</v>
      </c>
      <c r="E35" s="54" t="s">
        <v>44</v>
      </c>
      <c r="F35" s="54"/>
      <c r="G35" s="61" t="s">
        <v>894</v>
      </c>
      <c r="H35" s="54">
        <v>2951</v>
      </c>
      <c r="I35" s="55" t="s">
        <v>1</v>
      </c>
      <c r="J35" s="54" t="s">
        <v>896</v>
      </c>
      <c r="K35" s="57">
        <v>40864</v>
      </c>
      <c r="L35" s="132">
        <v>40857</v>
      </c>
      <c r="M35" s="54">
        <v>7</v>
      </c>
      <c r="N35" s="54" t="s">
        <v>2</v>
      </c>
      <c r="O35" s="155">
        <f>5/2</f>
        <v>2.5</v>
      </c>
      <c r="P35" s="134">
        <v>7</v>
      </c>
      <c r="Q35" s="135">
        <v>6.81</v>
      </c>
      <c r="R35" s="136">
        <v>26</v>
      </c>
      <c r="S35" s="137">
        <v>14</v>
      </c>
      <c r="T35" s="54">
        <f>0.1/2</f>
        <v>0.05</v>
      </c>
      <c r="U35" s="155">
        <f>1/2</f>
        <v>0.5</v>
      </c>
      <c r="V35" s="54">
        <f>0.1/2</f>
        <v>0.05</v>
      </c>
      <c r="W35" s="155">
        <f>0.04/2</f>
        <v>0.02</v>
      </c>
      <c r="X35" s="54">
        <v>0.12</v>
      </c>
      <c r="Y35" s="155">
        <f>0.013/2</f>
        <v>6.4999999999999997E-3</v>
      </c>
      <c r="Z35" s="157">
        <v>1</v>
      </c>
      <c r="AA35" s="157">
        <v>1</v>
      </c>
      <c r="AB35" s="54">
        <v>12</v>
      </c>
      <c r="AC35" s="155">
        <v>37</v>
      </c>
      <c r="AD35" s="157">
        <v>1</v>
      </c>
      <c r="AE35" s="54">
        <f>1/2</f>
        <v>0.5</v>
      </c>
      <c r="AF35" s="54"/>
      <c r="AG35" s="54"/>
      <c r="AH35" s="54"/>
      <c r="AI35" s="402">
        <v>288</v>
      </c>
    </row>
    <row r="36" spans="1:39" ht="14">
      <c r="A36" s="185" t="s">
        <v>33</v>
      </c>
      <c r="B36" s="50" t="s">
        <v>1093</v>
      </c>
      <c r="C36" s="50" t="s">
        <v>1094</v>
      </c>
      <c r="D36" s="48" t="s">
        <v>347</v>
      </c>
      <c r="E36" s="50" t="s">
        <v>1095</v>
      </c>
      <c r="G36" s="76" t="s">
        <v>1096</v>
      </c>
      <c r="H36" s="50">
        <v>2951</v>
      </c>
      <c r="J36" s="50" t="s">
        <v>1097</v>
      </c>
      <c r="K36" s="51">
        <v>40898</v>
      </c>
      <c r="L36" s="115">
        <v>40885</v>
      </c>
      <c r="M36" s="50">
        <f>K36-L36</f>
        <v>13</v>
      </c>
      <c r="N36" s="50" t="s">
        <v>2</v>
      </c>
      <c r="O36" s="155">
        <f>5/2</f>
        <v>2.5</v>
      </c>
      <c r="P36" s="117">
        <v>5.6</v>
      </c>
      <c r="Q36" s="131">
        <v>9.5</v>
      </c>
      <c r="R36" s="119">
        <v>140</v>
      </c>
      <c r="S36" s="147">
        <v>260</v>
      </c>
      <c r="T36" s="50">
        <f>0.1/2</f>
        <v>0.05</v>
      </c>
      <c r="U36" s="74">
        <v>1.2</v>
      </c>
      <c r="V36" s="50">
        <v>1</v>
      </c>
      <c r="W36" s="74">
        <f>0.04/2</f>
        <v>0.02</v>
      </c>
      <c r="X36" s="50">
        <v>0.12</v>
      </c>
      <c r="Y36" s="74">
        <f>0.013/2</f>
        <v>6.4999999999999997E-3</v>
      </c>
      <c r="Z36" s="166">
        <v>1</v>
      </c>
      <c r="AA36" s="167">
        <v>1</v>
      </c>
      <c r="AB36" s="50">
        <v>160</v>
      </c>
      <c r="AC36" s="74">
        <v>229</v>
      </c>
      <c r="AD36" s="166">
        <v>0.85</v>
      </c>
      <c r="AE36" s="50">
        <f>1/2</f>
        <v>0.5</v>
      </c>
    </row>
    <row r="37" spans="1:39" ht="14">
      <c r="A37" s="383" t="s">
        <v>33</v>
      </c>
      <c r="B37" s="50" t="s">
        <v>1093</v>
      </c>
      <c r="C37" s="50" t="s">
        <v>1094</v>
      </c>
      <c r="D37" s="48" t="s">
        <v>347</v>
      </c>
      <c r="E37" s="50" t="s">
        <v>1095</v>
      </c>
      <c r="G37" s="76" t="s">
        <v>1096</v>
      </c>
      <c r="H37" s="50">
        <v>2951</v>
      </c>
      <c r="J37" s="50" t="s">
        <v>1098</v>
      </c>
      <c r="K37" s="51">
        <v>40898</v>
      </c>
      <c r="L37" s="115">
        <v>40885</v>
      </c>
      <c r="M37" s="50">
        <f t="shared" ref="M37:M44" si="3">K37-L37</f>
        <v>13</v>
      </c>
      <c r="N37" s="50" t="s">
        <v>2</v>
      </c>
      <c r="O37" s="74">
        <f>5/2</f>
        <v>2.5</v>
      </c>
      <c r="P37" s="117">
        <v>5.6</v>
      </c>
      <c r="Q37" s="131">
        <v>9.3000000000000007</v>
      </c>
      <c r="R37" s="119">
        <v>10</v>
      </c>
      <c r="S37" s="147">
        <v>15</v>
      </c>
      <c r="T37" s="50">
        <f>0.1/2</f>
        <v>0.05</v>
      </c>
      <c r="U37" s="74">
        <f>1/2</f>
        <v>0.5</v>
      </c>
      <c r="V37" s="50">
        <v>0.27</v>
      </c>
      <c r="W37" s="74">
        <f>0.04/2</f>
        <v>0.02</v>
      </c>
      <c r="X37" s="50">
        <v>3.5000000000000003E-2</v>
      </c>
      <c r="Y37" s="74">
        <f>0.013/2</f>
        <v>6.4999999999999997E-3</v>
      </c>
      <c r="Z37" s="166">
        <v>1</v>
      </c>
      <c r="AA37" s="167">
        <v>1</v>
      </c>
      <c r="AB37" s="50">
        <v>50</v>
      </c>
      <c r="AC37" s="74">
        <v>191</v>
      </c>
      <c r="AD37" s="166">
        <v>1</v>
      </c>
      <c r="AE37" s="50"/>
    </row>
    <row r="38" spans="1:39" ht="14">
      <c r="A38" s="207" t="s">
        <v>33</v>
      </c>
      <c r="B38" s="50" t="s">
        <v>532</v>
      </c>
      <c r="C38" s="50" t="s">
        <v>1048</v>
      </c>
      <c r="D38" s="48" t="s">
        <v>1896</v>
      </c>
      <c r="E38" s="50" t="s">
        <v>664</v>
      </c>
      <c r="G38" s="76" t="s">
        <v>1049</v>
      </c>
      <c r="H38" s="50">
        <v>3273</v>
      </c>
      <c r="I38" s="49" t="s">
        <v>1</v>
      </c>
      <c r="J38" s="50">
        <v>1</v>
      </c>
      <c r="K38" s="51">
        <v>40835</v>
      </c>
      <c r="L38" s="115">
        <v>40830</v>
      </c>
      <c r="M38" s="50">
        <f t="shared" si="3"/>
        <v>5</v>
      </c>
      <c r="N38" s="50" t="s">
        <v>2</v>
      </c>
      <c r="O38" s="74">
        <f>5/2</f>
        <v>2.5</v>
      </c>
      <c r="P38" s="117">
        <v>6.5</v>
      </c>
      <c r="Q38" s="131">
        <v>10.49</v>
      </c>
      <c r="R38" s="119">
        <v>73</v>
      </c>
      <c r="S38" s="147">
        <v>540</v>
      </c>
      <c r="T38" s="50">
        <v>0.31</v>
      </c>
      <c r="U38" s="74">
        <f>1/2</f>
        <v>0.5</v>
      </c>
      <c r="V38" s="50">
        <v>0.7</v>
      </c>
      <c r="W38" s="74">
        <f>0.04/2</f>
        <v>0.02</v>
      </c>
      <c r="X38" s="50">
        <v>0.18</v>
      </c>
      <c r="Y38" s="74">
        <v>2.1000000000000001E-2</v>
      </c>
      <c r="Z38" s="166">
        <v>1</v>
      </c>
      <c r="AA38" s="167">
        <v>0.79700000000000004</v>
      </c>
      <c r="AB38" s="50">
        <v>470</v>
      </c>
      <c r="AC38" s="74">
        <v>1680</v>
      </c>
      <c r="AD38" s="166">
        <v>0.45</v>
      </c>
      <c r="AE38" s="50">
        <v>0.18</v>
      </c>
      <c r="AJ38" s="402">
        <v>80</v>
      </c>
    </row>
    <row r="39" spans="1:39" ht="14">
      <c r="A39" s="207" t="s">
        <v>33</v>
      </c>
      <c r="B39" s="50" t="s">
        <v>532</v>
      </c>
      <c r="C39" s="50" t="s">
        <v>1099</v>
      </c>
      <c r="D39" s="48" t="s">
        <v>372</v>
      </c>
      <c r="E39" s="50" t="s">
        <v>235</v>
      </c>
      <c r="G39" s="76" t="s">
        <v>1100</v>
      </c>
      <c r="H39" s="50">
        <v>2951</v>
      </c>
      <c r="I39" s="49" t="s">
        <v>1</v>
      </c>
      <c r="J39" s="50" t="s">
        <v>366</v>
      </c>
      <c r="K39" s="51">
        <v>40835</v>
      </c>
      <c r="L39" s="115">
        <v>40830</v>
      </c>
      <c r="M39" s="50">
        <f t="shared" si="3"/>
        <v>5</v>
      </c>
      <c r="N39" s="50" t="s">
        <v>2</v>
      </c>
      <c r="O39" s="74">
        <v>5.8</v>
      </c>
      <c r="P39" s="117">
        <v>5.5</v>
      </c>
      <c r="Q39" s="131">
        <v>7.3</v>
      </c>
      <c r="R39" s="119">
        <v>120</v>
      </c>
      <c r="S39" s="147">
        <v>140</v>
      </c>
      <c r="T39" s="50">
        <v>0.25</v>
      </c>
      <c r="U39" s="74">
        <v>1.5</v>
      </c>
      <c r="V39" s="50">
        <v>0.26</v>
      </c>
      <c r="W39" s="74">
        <v>2.5999999999999999E-2</v>
      </c>
      <c r="X39" s="50">
        <v>0.13900000000000001</v>
      </c>
      <c r="Y39" s="74">
        <v>4.0000000000000001E-3</v>
      </c>
      <c r="Z39" s="166">
        <v>1</v>
      </c>
      <c r="AA39" s="167">
        <v>1</v>
      </c>
      <c r="AB39" s="50">
        <v>38</v>
      </c>
      <c r="AC39" s="74">
        <v>185</v>
      </c>
      <c r="AD39" s="166">
        <v>1</v>
      </c>
      <c r="AE39" s="50" t="s">
        <v>955</v>
      </c>
      <c r="AK39" s="402">
        <f>10/2</f>
        <v>5</v>
      </c>
    </row>
    <row r="40" spans="1:39" ht="14">
      <c r="A40" s="207" t="s">
        <v>33</v>
      </c>
      <c r="B40" s="50" t="s">
        <v>532</v>
      </c>
      <c r="C40" s="50" t="s">
        <v>1099</v>
      </c>
      <c r="D40" s="48" t="s">
        <v>372</v>
      </c>
      <c r="E40" s="50" t="s">
        <v>235</v>
      </c>
      <c r="G40" s="76" t="s">
        <v>1100</v>
      </c>
      <c r="H40" s="50">
        <v>2951</v>
      </c>
      <c r="I40" s="49" t="s">
        <v>1</v>
      </c>
      <c r="J40" s="50" t="s">
        <v>593</v>
      </c>
      <c r="K40" s="51">
        <v>40835</v>
      </c>
      <c r="L40" s="115">
        <v>40830</v>
      </c>
      <c r="M40" s="50">
        <f t="shared" si="3"/>
        <v>5</v>
      </c>
      <c r="N40" s="50" t="s">
        <v>2</v>
      </c>
      <c r="O40" s="74">
        <v>3.1</v>
      </c>
      <c r="P40" s="117">
        <v>5.5</v>
      </c>
      <c r="Q40" s="131">
        <v>7.05</v>
      </c>
      <c r="R40" s="119">
        <v>170</v>
      </c>
      <c r="S40" s="147">
        <v>400</v>
      </c>
      <c r="T40" s="50">
        <v>0.36</v>
      </c>
      <c r="U40" s="74">
        <v>1.7</v>
      </c>
      <c r="V40" s="50">
        <v>0.32</v>
      </c>
      <c r="W40" s="74">
        <v>0.04</v>
      </c>
      <c r="X40" s="50">
        <v>0.24</v>
      </c>
      <c r="Y40" s="74">
        <v>7.0000000000000001E-3</v>
      </c>
      <c r="Z40" s="166">
        <v>1</v>
      </c>
      <c r="AA40" s="167">
        <v>1</v>
      </c>
      <c r="AB40" s="50">
        <v>30</v>
      </c>
      <c r="AC40" s="74">
        <v>105</v>
      </c>
      <c r="AD40" s="166">
        <v>1</v>
      </c>
      <c r="AE40" s="50" t="s">
        <v>955</v>
      </c>
      <c r="AK40" s="402">
        <v>10</v>
      </c>
    </row>
    <row r="41" spans="1:39" ht="14">
      <c r="A41" s="207" t="s">
        <v>33</v>
      </c>
      <c r="B41" s="50" t="s">
        <v>532</v>
      </c>
      <c r="C41" s="50" t="s">
        <v>1099</v>
      </c>
      <c r="D41" s="48" t="s">
        <v>372</v>
      </c>
      <c r="E41" s="50" t="s">
        <v>235</v>
      </c>
      <c r="G41" s="76" t="s">
        <v>1100</v>
      </c>
      <c r="H41" s="50">
        <v>2951</v>
      </c>
      <c r="I41" s="49" t="s">
        <v>1</v>
      </c>
      <c r="J41" s="50" t="s">
        <v>366</v>
      </c>
      <c r="K41" s="51">
        <v>40863</v>
      </c>
      <c r="L41" s="115">
        <v>40835</v>
      </c>
      <c r="M41" s="50">
        <f t="shared" si="3"/>
        <v>28</v>
      </c>
      <c r="N41" s="50" t="s">
        <v>2</v>
      </c>
      <c r="P41" s="117"/>
      <c r="Q41" s="131"/>
      <c r="R41" s="119"/>
      <c r="S41" s="147">
        <v>190</v>
      </c>
      <c r="Z41" s="166"/>
      <c r="AA41" s="167"/>
      <c r="AD41" s="166"/>
      <c r="AE41" s="50"/>
    </row>
    <row r="42" spans="1:39" ht="14">
      <c r="A42" s="207" t="s">
        <v>33</v>
      </c>
      <c r="B42" s="50" t="s">
        <v>532</v>
      </c>
      <c r="C42" s="50" t="s">
        <v>1099</v>
      </c>
      <c r="D42" s="48" t="s">
        <v>372</v>
      </c>
      <c r="E42" s="50" t="s">
        <v>235</v>
      </c>
      <c r="G42" s="76" t="s">
        <v>1100</v>
      </c>
      <c r="H42" s="50">
        <v>2951</v>
      </c>
      <c r="I42" s="49" t="s">
        <v>1</v>
      </c>
      <c r="J42" s="50" t="s">
        <v>593</v>
      </c>
      <c r="K42" s="51">
        <v>40863</v>
      </c>
      <c r="L42" s="115">
        <v>40835</v>
      </c>
      <c r="M42" s="50">
        <f t="shared" si="3"/>
        <v>28</v>
      </c>
      <c r="N42" s="50" t="s">
        <v>2</v>
      </c>
      <c r="P42" s="117"/>
      <c r="Q42" s="131"/>
      <c r="R42" s="119"/>
      <c r="S42" s="147">
        <v>750</v>
      </c>
      <c r="X42" s="50">
        <v>0.21</v>
      </c>
      <c r="Z42" s="166"/>
      <c r="AA42" s="167"/>
      <c r="AD42" s="166"/>
      <c r="AE42" s="50"/>
    </row>
    <row r="43" spans="1:39" ht="14">
      <c r="A43" s="207" t="s">
        <v>33</v>
      </c>
      <c r="B43" s="50" t="s">
        <v>532</v>
      </c>
      <c r="C43" s="50" t="s">
        <v>1077</v>
      </c>
      <c r="D43" s="48" t="s">
        <v>262</v>
      </c>
      <c r="E43" s="50" t="s">
        <v>664</v>
      </c>
      <c r="G43" s="76" t="s">
        <v>1078</v>
      </c>
      <c r="H43" s="50">
        <v>2951</v>
      </c>
      <c r="I43" s="49" t="s">
        <v>1</v>
      </c>
      <c r="J43" s="50" t="s">
        <v>477</v>
      </c>
      <c r="K43" s="51">
        <v>40835</v>
      </c>
      <c r="L43" s="115">
        <v>40829</v>
      </c>
      <c r="M43" s="50">
        <f t="shared" si="3"/>
        <v>6</v>
      </c>
      <c r="N43" s="50" t="s">
        <v>2</v>
      </c>
      <c r="O43" s="74">
        <f>5/2</f>
        <v>2.5</v>
      </c>
      <c r="P43" s="117">
        <v>5.5</v>
      </c>
      <c r="Q43" s="131">
        <v>8.56</v>
      </c>
      <c r="R43" s="119">
        <v>7.8</v>
      </c>
      <c r="S43" s="147">
        <v>200</v>
      </c>
      <c r="T43" s="50">
        <f>0.1/2</f>
        <v>0.05</v>
      </c>
      <c r="U43" s="74">
        <f>1/2</f>
        <v>0.5</v>
      </c>
      <c r="V43" s="50">
        <v>0.23</v>
      </c>
      <c r="W43" s="74">
        <f>0.04/2</f>
        <v>0.02</v>
      </c>
      <c r="X43" s="50">
        <v>7.6999999999999999E-2</v>
      </c>
      <c r="Y43" s="74">
        <f>0.013/2</f>
        <v>6.4999999999999997E-3</v>
      </c>
      <c r="Z43" s="166">
        <v>1</v>
      </c>
      <c r="AA43" s="167">
        <v>1</v>
      </c>
      <c r="AB43" s="50">
        <v>51</v>
      </c>
      <c r="AC43" s="74">
        <v>97</v>
      </c>
      <c r="AD43" s="166">
        <v>0.8</v>
      </c>
      <c r="AE43" s="50">
        <v>0.25</v>
      </c>
      <c r="AI43" s="402">
        <v>7701</v>
      </c>
      <c r="AJ43" s="402">
        <v>3900</v>
      </c>
      <c r="AL43" s="402">
        <v>2.5000000000000001E-2</v>
      </c>
    </row>
    <row r="44" spans="1:39" ht="14">
      <c r="A44" s="207" t="s">
        <v>33</v>
      </c>
      <c r="B44" s="50" t="s">
        <v>532</v>
      </c>
      <c r="C44" s="50" t="s">
        <v>1077</v>
      </c>
      <c r="D44" s="48" t="s">
        <v>262</v>
      </c>
      <c r="E44" s="50" t="s">
        <v>664</v>
      </c>
      <c r="G44" s="76" t="s">
        <v>1078</v>
      </c>
      <c r="H44" s="50">
        <v>2951</v>
      </c>
      <c r="I44" s="49" t="s">
        <v>1</v>
      </c>
      <c r="J44" s="50" t="s">
        <v>473</v>
      </c>
      <c r="K44" s="51">
        <v>40835</v>
      </c>
      <c r="L44" s="115">
        <v>40829</v>
      </c>
      <c r="M44" s="50">
        <f t="shared" si="3"/>
        <v>6</v>
      </c>
      <c r="N44" s="50" t="s">
        <v>2</v>
      </c>
      <c r="O44" s="74">
        <f>5/2</f>
        <v>2.5</v>
      </c>
      <c r="P44" s="117">
        <v>5.5</v>
      </c>
      <c r="Q44" s="131">
        <v>8.57</v>
      </c>
      <c r="R44" s="119">
        <v>35</v>
      </c>
      <c r="S44" s="147">
        <v>180</v>
      </c>
      <c r="T44" s="50">
        <v>0.22</v>
      </c>
      <c r="U44" s="74">
        <f>1/2</f>
        <v>0.5</v>
      </c>
      <c r="V44" s="50">
        <v>0.14000000000000001</v>
      </c>
      <c r="W44" s="74">
        <f>0.04/2</f>
        <v>0.02</v>
      </c>
      <c r="X44" s="50">
        <v>0.13</v>
      </c>
      <c r="Y44" s="74">
        <v>1.4E-2</v>
      </c>
      <c r="Z44" s="166">
        <v>1</v>
      </c>
      <c r="AA44" s="167">
        <v>1</v>
      </c>
      <c r="AB44" s="50">
        <v>64</v>
      </c>
      <c r="AC44" s="74">
        <v>84</v>
      </c>
      <c r="AD44" s="166">
        <v>1</v>
      </c>
      <c r="AE44" s="50">
        <v>1.1100000000000001</v>
      </c>
      <c r="AI44" s="402">
        <v>169</v>
      </c>
      <c r="AJ44" s="402">
        <v>154</v>
      </c>
      <c r="AL44" s="402">
        <v>1.1100000000000001</v>
      </c>
    </row>
    <row r="45" spans="1:39" s="1" customFormat="1" ht="14">
      <c r="A45" s="58" t="s">
        <v>33</v>
      </c>
      <c r="B45" s="50" t="s">
        <v>532</v>
      </c>
      <c r="C45" s="50" t="s">
        <v>533</v>
      </c>
      <c r="D45" s="48" t="s">
        <v>534</v>
      </c>
      <c r="E45" s="50" t="s">
        <v>535</v>
      </c>
      <c r="F45" s="50"/>
      <c r="G45" s="76" t="s">
        <v>536</v>
      </c>
      <c r="H45" s="50">
        <v>2951</v>
      </c>
      <c r="I45" s="49" t="s">
        <v>2</v>
      </c>
      <c r="J45" s="50" t="s">
        <v>505</v>
      </c>
      <c r="K45" s="51">
        <v>41072</v>
      </c>
      <c r="L45" s="115">
        <v>41062</v>
      </c>
      <c r="M45" s="50">
        <v>10</v>
      </c>
      <c r="N45" s="50" t="s">
        <v>2</v>
      </c>
      <c r="O45" s="49">
        <f>1.5/2</f>
        <v>0.75</v>
      </c>
      <c r="P45" s="117">
        <v>5.5</v>
      </c>
      <c r="Q45" s="152">
        <v>8.18</v>
      </c>
      <c r="R45" s="119">
        <v>20</v>
      </c>
      <c r="S45" s="341">
        <v>14</v>
      </c>
      <c r="T45" s="50">
        <v>0.02</v>
      </c>
      <c r="U45" s="49">
        <v>0.74</v>
      </c>
      <c r="V45" s="50">
        <v>0.83</v>
      </c>
      <c r="W45" s="49">
        <f>0.005/2</f>
        <v>2.5000000000000001E-3</v>
      </c>
      <c r="X45" s="50">
        <v>8.9999999999999993E-3</v>
      </c>
      <c r="Y45" s="49">
        <v>5.0000000000000001E-3</v>
      </c>
      <c r="Z45" s="164"/>
      <c r="AA45" s="269"/>
      <c r="AB45" s="50"/>
      <c r="AC45" s="49"/>
      <c r="AD45" s="164"/>
      <c r="AE45" s="50"/>
      <c r="AF45" s="50"/>
      <c r="AG45" s="50"/>
      <c r="AH45" s="50"/>
      <c r="AI45" s="402"/>
      <c r="AJ45" s="402"/>
      <c r="AK45" s="402"/>
      <c r="AL45" s="402"/>
      <c r="AM45" s="402"/>
    </row>
    <row r="46" spans="1:39" ht="14">
      <c r="A46" s="207" t="s">
        <v>33</v>
      </c>
      <c r="B46" s="50" t="s">
        <v>532</v>
      </c>
      <c r="C46" s="50" t="s">
        <v>1077</v>
      </c>
      <c r="D46" s="48" t="s">
        <v>262</v>
      </c>
      <c r="E46" s="49" t="s">
        <v>664</v>
      </c>
      <c r="G46" s="48" t="s">
        <v>1078</v>
      </c>
      <c r="H46" s="49">
        <v>2951</v>
      </c>
      <c r="I46" s="50" t="s">
        <v>1</v>
      </c>
      <c r="J46" s="49" t="s">
        <v>477</v>
      </c>
      <c r="K46" s="51">
        <v>41201</v>
      </c>
      <c r="L46" s="115">
        <v>41197</v>
      </c>
      <c r="N46" s="50" t="s">
        <v>2</v>
      </c>
      <c r="O46" s="131">
        <f>5/2</f>
        <v>2.5</v>
      </c>
      <c r="P46" s="50">
        <v>5.5</v>
      </c>
      <c r="Q46" s="74">
        <v>7.95</v>
      </c>
      <c r="R46" s="50">
        <v>65</v>
      </c>
      <c r="S46" s="74">
        <v>42</v>
      </c>
      <c r="T46" s="50">
        <f>0.1/2</f>
        <v>0.05</v>
      </c>
      <c r="U46" s="74">
        <f>1/2</f>
        <v>0.5</v>
      </c>
      <c r="V46" s="50">
        <v>0.2</v>
      </c>
      <c r="W46" s="74">
        <f>0.04/2</f>
        <v>0.02</v>
      </c>
      <c r="X46" s="50">
        <v>6.4000000000000001E-2</v>
      </c>
      <c r="Y46" s="74">
        <f>0.013/2</f>
        <v>6.4999999999999997E-3</v>
      </c>
      <c r="Z46" s="164">
        <v>1</v>
      </c>
      <c r="AA46" s="165">
        <v>1</v>
      </c>
      <c r="AB46" s="50">
        <v>33</v>
      </c>
      <c r="AC46" s="74">
        <v>83</v>
      </c>
      <c r="AD46" s="164">
        <v>1</v>
      </c>
      <c r="AE46" s="50" t="s">
        <v>955</v>
      </c>
      <c r="AI46" s="402">
        <v>1670</v>
      </c>
      <c r="AJ46" s="402">
        <v>2100</v>
      </c>
    </row>
    <row r="47" spans="1:39" ht="14">
      <c r="A47" s="207" t="s">
        <v>33</v>
      </c>
      <c r="B47" s="50" t="s">
        <v>532</v>
      </c>
      <c r="C47" s="50" t="s">
        <v>1077</v>
      </c>
      <c r="D47" s="48" t="s">
        <v>262</v>
      </c>
      <c r="E47" s="50" t="s">
        <v>664</v>
      </c>
      <c r="G47" s="76" t="s">
        <v>1078</v>
      </c>
      <c r="H47" s="50">
        <v>2951</v>
      </c>
      <c r="I47" s="49" t="s">
        <v>1</v>
      </c>
      <c r="J47" s="50" t="s">
        <v>473</v>
      </c>
      <c r="K47" s="51">
        <v>41201</v>
      </c>
      <c r="L47" s="115">
        <v>41197</v>
      </c>
      <c r="N47" s="50" t="s">
        <v>2</v>
      </c>
      <c r="O47" s="74">
        <v>5.4</v>
      </c>
      <c r="P47" s="117">
        <v>5.5</v>
      </c>
      <c r="Q47" s="131">
        <v>8.06</v>
      </c>
      <c r="R47" s="119">
        <v>90</v>
      </c>
      <c r="S47" s="147">
        <v>84</v>
      </c>
      <c r="T47" s="50">
        <f>0.1/2</f>
        <v>0.05</v>
      </c>
      <c r="U47" s="74">
        <f>1/2</f>
        <v>0.5</v>
      </c>
      <c r="V47" s="50">
        <v>0.25</v>
      </c>
      <c r="W47" s="74">
        <f>0.04/2</f>
        <v>0.02</v>
      </c>
      <c r="X47" s="50">
        <v>9.1999999999999998E-2</v>
      </c>
      <c r="Y47" s="74">
        <f>0.013/2</f>
        <v>6.4999999999999997E-3</v>
      </c>
      <c r="Z47" s="164">
        <v>1</v>
      </c>
      <c r="AA47" s="165">
        <v>1</v>
      </c>
      <c r="AB47" s="50">
        <v>56</v>
      </c>
      <c r="AC47" s="74">
        <v>177</v>
      </c>
      <c r="AD47" s="164">
        <v>1</v>
      </c>
      <c r="AE47" s="50">
        <v>1.66</v>
      </c>
      <c r="AI47" s="402">
        <v>2200</v>
      </c>
      <c r="AJ47" s="402">
        <v>3100</v>
      </c>
    </row>
    <row r="48" spans="1:39" ht="14">
      <c r="A48" s="207" t="s">
        <v>33</v>
      </c>
      <c r="B48" s="50" t="s">
        <v>532</v>
      </c>
      <c r="C48" s="50" t="s">
        <v>533</v>
      </c>
      <c r="D48" s="48" t="s">
        <v>534</v>
      </c>
      <c r="E48" s="50" t="s">
        <v>535</v>
      </c>
      <c r="G48" s="76" t="s">
        <v>536</v>
      </c>
      <c r="H48" s="50">
        <v>2951</v>
      </c>
      <c r="I48" s="49" t="s">
        <v>2</v>
      </c>
      <c r="J48" s="50" t="s">
        <v>505</v>
      </c>
      <c r="K48" s="51">
        <v>41285</v>
      </c>
      <c r="L48" s="115">
        <v>41270</v>
      </c>
      <c r="N48" s="50" t="s">
        <v>2</v>
      </c>
      <c r="O48" s="74">
        <f>1/2</f>
        <v>0.5</v>
      </c>
      <c r="P48" s="117">
        <v>5.5</v>
      </c>
      <c r="Q48" s="131">
        <v>7.9</v>
      </c>
      <c r="R48" s="119">
        <v>52.5</v>
      </c>
      <c r="S48" s="147">
        <v>1</v>
      </c>
      <c r="T48" s="50">
        <v>0.03</v>
      </c>
      <c r="U48" s="74">
        <v>0.49</v>
      </c>
      <c r="V48" s="50">
        <v>1</v>
      </c>
      <c r="W48" s="74">
        <f>0.001/2</f>
        <v>5.0000000000000001E-4</v>
      </c>
      <c r="X48" s="50">
        <f>0.001/2</f>
        <v>5.0000000000000001E-4</v>
      </c>
      <c r="Y48" s="74">
        <v>0.01</v>
      </c>
      <c r="AD48" s="164"/>
      <c r="AE48" s="50"/>
      <c r="AL48" s="402">
        <f>50/2</f>
        <v>25</v>
      </c>
    </row>
    <row r="49" spans="1:39" ht="14">
      <c r="A49" s="41" t="s">
        <v>33</v>
      </c>
      <c r="B49" s="50" t="s">
        <v>707</v>
      </c>
      <c r="C49" s="50" t="s">
        <v>3838</v>
      </c>
      <c r="D49" s="48" t="s">
        <v>195</v>
      </c>
      <c r="E49" s="50" t="s">
        <v>786</v>
      </c>
      <c r="G49" s="76" t="s">
        <v>787</v>
      </c>
      <c r="H49" s="50">
        <v>2951</v>
      </c>
      <c r="I49" s="49" t="s">
        <v>2</v>
      </c>
      <c r="J49" s="50" t="s">
        <v>788</v>
      </c>
      <c r="K49" s="51">
        <v>41345</v>
      </c>
      <c r="L49" s="115">
        <v>41341</v>
      </c>
      <c r="N49" s="50" t="s">
        <v>2</v>
      </c>
      <c r="O49" s="74">
        <f t="shared" ref="O49:O54" si="4">1/2</f>
        <v>0.5</v>
      </c>
      <c r="P49" s="117">
        <v>5</v>
      </c>
      <c r="Q49" s="131">
        <v>8.73</v>
      </c>
      <c r="R49" s="119">
        <v>7.5</v>
      </c>
      <c r="S49" s="147">
        <v>8</v>
      </c>
      <c r="T49" s="50">
        <f>0.05/2</f>
        <v>2.5000000000000001E-2</v>
      </c>
      <c r="U49" s="74">
        <v>0.34</v>
      </c>
      <c r="V49" s="50">
        <v>0.68</v>
      </c>
      <c r="W49" s="74">
        <f>0.005/2</f>
        <v>2.5000000000000001E-3</v>
      </c>
      <c r="X49" s="50">
        <v>1.9E-2</v>
      </c>
      <c r="Y49" s="74">
        <f>0.002/2</f>
        <v>1E-3</v>
      </c>
      <c r="Z49" s="164">
        <v>1</v>
      </c>
      <c r="AA49" s="165">
        <v>1</v>
      </c>
      <c r="AB49" s="50">
        <v>34.82</v>
      </c>
      <c r="AC49" s="74">
        <v>529</v>
      </c>
      <c r="AD49" s="164">
        <f>20/20</f>
        <v>1</v>
      </c>
      <c r="AE49" s="50">
        <f>25/2</f>
        <v>12.5</v>
      </c>
    </row>
    <row r="50" spans="1:39" ht="14">
      <c r="A50" s="41" t="s">
        <v>33</v>
      </c>
      <c r="B50" s="50" t="s">
        <v>707</v>
      </c>
      <c r="C50" s="50" t="s">
        <v>3839</v>
      </c>
      <c r="D50" s="48" t="s">
        <v>195</v>
      </c>
      <c r="E50" s="50" t="s">
        <v>782</v>
      </c>
      <c r="G50" s="76" t="s">
        <v>783</v>
      </c>
      <c r="H50" s="50" t="s">
        <v>3840</v>
      </c>
      <c r="I50" s="49" t="s">
        <v>2</v>
      </c>
      <c r="J50" s="50" t="s">
        <v>784</v>
      </c>
      <c r="K50" s="51">
        <v>41376</v>
      </c>
      <c r="L50" s="115">
        <v>41364</v>
      </c>
      <c r="N50" s="50" t="s">
        <v>2</v>
      </c>
      <c r="O50" s="74">
        <f t="shared" si="4"/>
        <v>0.5</v>
      </c>
      <c r="P50" s="117">
        <v>5</v>
      </c>
      <c r="Q50" s="131">
        <v>7.41</v>
      </c>
      <c r="R50" s="119">
        <v>18.7</v>
      </c>
      <c r="S50" s="147">
        <v>31</v>
      </c>
      <c r="T50" s="50">
        <v>0.11</v>
      </c>
      <c r="U50" s="74">
        <v>0.09</v>
      </c>
      <c r="V50" s="50">
        <v>0.28000000000000003</v>
      </c>
      <c r="W50" s="74">
        <v>8.9999999999999993E-3</v>
      </c>
      <c r="X50" s="50">
        <v>5.5E-2</v>
      </c>
      <c r="Y50" s="74">
        <f>0.002/2</f>
        <v>1E-3</v>
      </c>
      <c r="Z50" s="164">
        <v>1</v>
      </c>
      <c r="AA50" s="165">
        <v>1</v>
      </c>
      <c r="AB50" s="50">
        <v>41.1</v>
      </c>
      <c r="AC50" s="74">
        <v>143</v>
      </c>
      <c r="AD50" s="164">
        <f>20/20</f>
        <v>1</v>
      </c>
      <c r="AE50" s="50">
        <f>25/2</f>
        <v>12.5</v>
      </c>
    </row>
    <row r="51" spans="1:39" ht="14">
      <c r="A51" s="41" t="s">
        <v>33</v>
      </c>
      <c r="B51" s="50" t="s">
        <v>707</v>
      </c>
      <c r="C51" s="50" t="s">
        <v>1099</v>
      </c>
      <c r="D51" s="48" t="s">
        <v>372</v>
      </c>
      <c r="E51" s="50" t="s">
        <v>235</v>
      </c>
      <c r="G51" s="76" t="s">
        <v>773</v>
      </c>
      <c r="I51" s="49" t="s">
        <v>1</v>
      </c>
      <c r="J51" s="50" t="s">
        <v>774</v>
      </c>
      <c r="K51" s="51">
        <v>41345</v>
      </c>
      <c r="L51" s="115">
        <v>41341</v>
      </c>
      <c r="N51" s="50" t="s">
        <v>2</v>
      </c>
      <c r="O51" s="74">
        <f t="shared" si="4"/>
        <v>0.5</v>
      </c>
      <c r="P51" s="117">
        <v>5</v>
      </c>
      <c r="Q51" s="131">
        <v>7.08</v>
      </c>
      <c r="R51" s="119">
        <v>15</v>
      </c>
      <c r="S51" s="147">
        <v>100</v>
      </c>
      <c r="T51" s="50">
        <v>0.3</v>
      </c>
      <c r="U51" s="74">
        <v>0.5</v>
      </c>
      <c r="V51" s="50">
        <v>0.22</v>
      </c>
      <c r="W51" s="74">
        <v>1.2E-2</v>
      </c>
      <c r="X51" s="50">
        <v>5.2999999999999999E-2</v>
      </c>
      <c r="Y51" s="74">
        <v>3.0000000000000001E-3</v>
      </c>
      <c r="Z51" s="164">
        <v>1</v>
      </c>
      <c r="AA51" s="165">
        <v>0.871</v>
      </c>
      <c r="AB51" s="50">
        <v>15.46</v>
      </c>
      <c r="AC51" s="74">
        <v>27</v>
      </c>
      <c r="AD51" s="164">
        <f>8/20</f>
        <v>0.4</v>
      </c>
      <c r="AE51" s="50">
        <f>25/2</f>
        <v>12.5</v>
      </c>
      <c r="AK51" s="402">
        <v>6</v>
      </c>
    </row>
    <row r="52" spans="1:39" ht="14">
      <c r="A52" s="41" t="s">
        <v>33</v>
      </c>
      <c r="B52" s="50" t="s">
        <v>707</v>
      </c>
      <c r="C52" s="50" t="s">
        <v>3841</v>
      </c>
      <c r="D52" s="48" t="s">
        <v>213</v>
      </c>
      <c r="E52" s="50" t="s">
        <v>763</v>
      </c>
      <c r="G52" s="76" t="s">
        <v>764</v>
      </c>
      <c r="H52" s="50">
        <v>2951</v>
      </c>
      <c r="I52" s="49" t="s">
        <v>2</v>
      </c>
      <c r="J52" s="50" t="s">
        <v>765</v>
      </c>
      <c r="K52" s="51">
        <v>41376</v>
      </c>
      <c r="L52" s="115">
        <v>40999</v>
      </c>
      <c r="N52" s="50" t="s">
        <v>2</v>
      </c>
      <c r="O52" s="74">
        <f t="shared" si="4"/>
        <v>0.5</v>
      </c>
      <c r="P52" s="117">
        <v>5</v>
      </c>
      <c r="Q52" s="131">
        <v>6.63</v>
      </c>
      <c r="R52" s="119">
        <v>11.3</v>
      </c>
      <c r="S52" s="147">
        <v>24</v>
      </c>
      <c r="T52" s="50">
        <v>0.09</v>
      </c>
      <c r="U52" s="74">
        <v>1.1100000000000001</v>
      </c>
      <c r="V52" s="50">
        <v>0.17</v>
      </c>
      <c r="W52" s="74">
        <v>1.4999999999999999E-2</v>
      </c>
      <c r="X52" s="50">
        <v>6.4000000000000001E-2</v>
      </c>
      <c r="Y52" s="74">
        <v>4.0000000000000001E-3</v>
      </c>
      <c r="Z52" s="164">
        <v>1</v>
      </c>
      <c r="AA52" s="165">
        <v>1</v>
      </c>
      <c r="AB52" s="50">
        <v>11.8</v>
      </c>
      <c r="AC52" s="74">
        <v>55</v>
      </c>
      <c r="AD52" s="164">
        <f>12/20</f>
        <v>0.6</v>
      </c>
      <c r="AE52" s="50">
        <v>8.6</v>
      </c>
    </row>
    <row r="53" spans="1:39" ht="14">
      <c r="A53" s="41" t="s">
        <v>33</v>
      </c>
      <c r="B53" s="50" t="s">
        <v>707</v>
      </c>
      <c r="C53" s="50" t="s">
        <v>3841</v>
      </c>
      <c r="D53" s="48" t="s">
        <v>213</v>
      </c>
      <c r="E53" s="50" t="s">
        <v>763</v>
      </c>
      <c r="G53" s="76" t="s">
        <v>764</v>
      </c>
      <c r="I53" s="49" t="s">
        <v>2</v>
      </c>
      <c r="J53" s="50" t="s">
        <v>766</v>
      </c>
      <c r="K53" s="51">
        <v>41376</v>
      </c>
      <c r="L53" s="115">
        <v>41364</v>
      </c>
      <c r="N53" s="50" t="s">
        <v>2</v>
      </c>
      <c r="O53" s="74">
        <f t="shared" si="4"/>
        <v>0.5</v>
      </c>
      <c r="P53" s="117">
        <v>5</v>
      </c>
      <c r="Q53" s="131">
        <v>7.73</v>
      </c>
      <c r="R53" s="119">
        <v>15</v>
      </c>
      <c r="S53" s="147">
        <v>11</v>
      </c>
      <c r="T53" s="50">
        <v>7.0000000000000007E-2</v>
      </c>
      <c r="U53" s="74">
        <v>1.04</v>
      </c>
      <c r="V53" s="50">
        <f>0.1/2</f>
        <v>0.05</v>
      </c>
      <c r="W53" s="74">
        <v>7.0000000000000001E-3</v>
      </c>
      <c r="X53" s="50">
        <v>1.7000000000000001E-2</v>
      </c>
      <c r="Y53" s="74">
        <f>0.002/2</f>
        <v>1E-3</v>
      </c>
      <c r="Z53" s="164">
        <v>1</v>
      </c>
      <c r="AA53" s="165">
        <v>1</v>
      </c>
      <c r="AB53" s="50">
        <v>132.69999999999999</v>
      </c>
      <c r="AC53" s="74">
        <v>357</v>
      </c>
      <c r="AD53" s="164">
        <f>20/20</f>
        <v>1</v>
      </c>
      <c r="AE53" s="50">
        <f>25/2</f>
        <v>12.5</v>
      </c>
    </row>
    <row r="54" spans="1:39" ht="14">
      <c r="A54" s="41" t="s">
        <v>33</v>
      </c>
      <c r="B54" s="50" t="s">
        <v>707</v>
      </c>
      <c r="C54" s="50" t="s">
        <v>3841</v>
      </c>
      <c r="D54" s="48" t="s">
        <v>213</v>
      </c>
      <c r="E54" s="50" t="s">
        <v>763</v>
      </c>
      <c r="G54" s="76" t="s">
        <v>764</v>
      </c>
      <c r="I54" s="49" t="s">
        <v>2</v>
      </c>
      <c r="J54" s="50" t="s">
        <v>767</v>
      </c>
      <c r="K54" s="51">
        <v>41376</v>
      </c>
      <c r="L54" s="115">
        <v>41364</v>
      </c>
      <c r="N54" s="50" t="s">
        <v>2</v>
      </c>
      <c r="O54" s="74">
        <f t="shared" si="4"/>
        <v>0.5</v>
      </c>
      <c r="P54" s="117">
        <v>5</v>
      </c>
      <c r="Q54" s="131">
        <v>7.82</v>
      </c>
      <c r="R54" s="119">
        <v>15</v>
      </c>
      <c r="S54" s="147">
        <v>20</v>
      </c>
      <c r="T54" s="50">
        <v>0.06</v>
      </c>
      <c r="U54" s="74">
        <v>1.1100000000000001</v>
      </c>
      <c r="V54" s="50">
        <f>0.1/2</f>
        <v>0.05</v>
      </c>
      <c r="W54" s="74">
        <v>8.9999999999999993E-3</v>
      </c>
      <c r="X54" s="50">
        <v>2.7E-2</v>
      </c>
      <c r="Y54" s="74">
        <v>5.0000000000000001E-3</v>
      </c>
      <c r="Z54" s="164">
        <v>1</v>
      </c>
      <c r="AA54" s="165">
        <v>1</v>
      </c>
      <c r="AB54" s="50">
        <v>134.5</v>
      </c>
      <c r="AC54" s="74">
        <v>370</v>
      </c>
      <c r="AD54" s="164">
        <f>15/20</f>
        <v>0.75</v>
      </c>
      <c r="AE54" s="50">
        <f>25/2</f>
        <v>12.5</v>
      </c>
    </row>
    <row r="55" spans="1:39" ht="14">
      <c r="A55" s="41" t="s">
        <v>33</v>
      </c>
      <c r="B55" s="50" t="s">
        <v>707</v>
      </c>
      <c r="C55" s="50" t="s">
        <v>3768</v>
      </c>
      <c r="D55" s="48" t="s">
        <v>756</v>
      </c>
      <c r="E55" s="50" t="s">
        <v>757</v>
      </c>
      <c r="G55" s="76" t="s">
        <v>758</v>
      </c>
      <c r="H55" s="50" t="s">
        <v>3769</v>
      </c>
      <c r="I55" s="49" t="s">
        <v>1</v>
      </c>
      <c r="J55" s="50" t="s">
        <v>760</v>
      </c>
      <c r="K55" s="51">
        <v>41345</v>
      </c>
      <c r="L55" s="115">
        <v>41341</v>
      </c>
      <c r="N55" s="50" t="s">
        <v>2</v>
      </c>
      <c r="O55" s="74">
        <v>3.2</v>
      </c>
      <c r="P55" s="117">
        <v>6</v>
      </c>
      <c r="Q55" s="131">
        <v>7.02</v>
      </c>
      <c r="R55" s="119">
        <f>1/2</f>
        <v>0.5</v>
      </c>
      <c r="S55" s="147">
        <v>360</v>
      </c>
      <c r="T55" s="50">
        <v>0.52</v>
      </c>
      <c r="U55" s="74">
        <v>0.94</v>
      </c>
      <c r="V55" s="50">
        <v>0.54</v>
      </c>
      <c r="W55" s="74">
        <v>2.7E-2</v>
      </c>
      <c r="X55" s="50">
        <v>0.14099999999999999</v>
      </c>
      <c r="Y55" s="74">
        <v>6.0000000000000001E-3</v>
      </c>
      <c r="Z55" s="164">
        <v>1</v>
      </c>
      <c r="AA55" s="165">
        <v>1</v>
      </c>
      <c r="AB55" s="50">
        <v>78.98</v>
      </c>
      <c r="AC55" s="74">
        <v>182</v>
      </c>
      <c r="AD55" s="164">
        <f>20/20</f>
        <v>1</v>
      </c>
      <c r="AE55" s="50">
        <f>25/2</f>
        <v>12.5</v>
      </c>
      <c r="AM55" s="402">
        <v>26.16</v>
      </c>
    </row>
    <row r="56" spans="1:39" ht="14">
      <c r="A56" s="41" t="s">
        <v>33</v>
      </c>
      <c r="B56" s="50" t="s">
        <v>707</v>
      </c>
      <c r="C56" s="50" t="s">
        <v>3842</v>
      </c>
      <c r="D56" s="48" t="s">
        <v>684</v>
      </c>
      <c r="E56" s="50" t="s">
        <v>112</v>
      </c>
      <c r="G56" s="76" t="s">
        <v>753</v>
      </c>
      <c r="H56" s="50">
        <v>2951</v>
      </c>
      <c r="I56" s="49" t="s">
        <v>1</v>
      </c>
      <c r="J56" s="50" t="s">
        <v>754</v>
      </c>
      <c r="K56" s="51">
        <v>41376</v>
      </c>
      <c r="L56" s="115">
        <v>41364</v>
      </c>
      <c r="N56" s="50" t="s">
        <v>2</v>
      </c>
      <c r="O56" s="74">
        <f t="shared" ref="O56:O64" si="5">1/2</f>
        <v>0.5</v>
      </c>
      <c r="P56" s="117">
        <v>6</v>
      </c>
      <c r="Q56" s="131">
        <v>8.52</v>
      </c>
      <c r="R56" s="119">
        <f>1/2</f>
        <v>0.5</v>
      </c>
      <c r="S56" s="147">
        <v>254</v>
      </c>
      <c r="T56" s="50">
        <v>0.38</v>
      </c>
      <c r="U56" s="74">
        <v>1.03</v>
      </c>
      <c r="V56" s="50">
        <f>0.1/2</f>
        <v>0.05</v>
      </c>
      <c r="W56" s="74">
        <v>2.5000000000000001E-2</v>
      </c>
      <c r="X56" s="50">
        <v>4.3999999999999997E-2</v>
      </c>
      <c r="Y56" s="74">
        <v>6.0000000000000001E-3</v>
      </c>
      <c r="Z56" s="164">
        <v>1</v>
      </c>
      <c r="AA56" s="165">
        <v>1</v>
      </c>
      <c r="AB56" s="50">
        <v>33.5</v>
      </c>
      <c r="AC56" s="74">
        <v>114</v>
      </c>
      <c r="AD56" s="164">
        <f>18/20</f>
        <v>0.9</v>
      </c>
      <c r="AE56" s="50">
        <f>25/2</f>
        <v>12.5</v>
      </c>
      <c r="AI56" s="402">
        <v>24</v>
      </c>
      <c r="AJ56" s="402">
        <v>46</v>
      </c>
    </row>
    <row r="57" spans="1:39" ht="14">
      <c r="A57" s="41" t="s">
        <v>33</v>
      </c>
      <c r="B57" s="50" t="s">
        <v>707</v>
      </c>
      <c r="C57" s="50" t="s">
        <v>3843</v>
      </c>
      <c r="D57" s="48" t="s">
        <v>710</v>
      </c>
      <c r="E57" s="50" t="s">
        <v>711</v>
      </c>
      <c r="G57" s="76" t="s">
        <v>712</v>
      </c>
      <c r="H57" s="50">
        <v>2951</v>
      </c>
      <c r="I57" s="49" t="s">
        <v>2</v>
      </c>
      <c r="J57" s="50" t="s">
        <v>713</v>
      </c>
      <c r="K57" s="51">
        <v>41376</v>
      </c>
      <c r="L57" s="115">
        <v>41364</v>
      </c>
      <c r="N57" s="50" t="s">
        <v>2</v>
      </c>
      <c r="O57" s="74">
        <f t="shared" si="5"/>
        <v>0.5</v>
      </c>
      <c r="P57" s="117">
        <v>5</v>
      </c>
      <c r="Q57" s="131">
        <v>6.98</v>
      </c>
      <c r="R57" s="119">
        <v>11.3</v>
      </c>
      <c r="S57" s="147">
        <v>3</v>
      </c>
      <c r="T57" s="50">
        <v>0.05</v>
      </c>
      <c r="U57" s="74">
        <v>0.2</v>
      </c>
      <c r="V57" s="50">
        <f>0.1/2</f>
        <v>0.05</v>
      </c>
      <c r="W57" s="74">
        <f>0.005/2</f>
        <v>2.5000000000000001E-3</v>
      </c>
      <c r="X57" s="50">
        <v>1.4E-2</v>
      </c>
      <c r="Y57" s="74">
        <f>0.002/2</f>
        <v>1E-3</v>
      </c>
      <c r="Z57" s="164">
        <v>1</v>
      </c>
      <c r="AA57" s="165">
        <v>1</v>
      </c>
      <c r="AB57" s="50">
        <v>32.299999999999997</v>
      </c>
      <c r="AC57" s="74">
        <v>285</v>
      </c>
      <c r="AD57" s="164">
        <f>20/20</f>
        <v>1</v>
      </c>
      <c r="AE57" s="50">
        <v>14.7</v>
      </c>
    </row>
    <row r="58" spans="1:39" ht="14">
      <c r="A58" s="41" t="s">
        <v>33</v>
      </c>
      <c r="B58" s="50" t="s">
        <v>707</v>
      </c>
      <c r="C58" s="50" t="s">
        <v>3843</v>
      </c>
      <c r="D58" s="48" t="s">
        <v>710</v>
      </c>
      <c r="E58" s="50" t="s">
        <v>711</v>
      </c>
      <c r="G58" s="76" t="s">
        <v>712</v>
      </c>
      <c r="H58" s="50">
        <v>2951</v>
      </c>
      <c r="I58" s="49" t="s">
        <v>2</v>
      </c>
      <c r="J58" s="50" t="s">
        <v>3844</v>
      </c>
      <c r="K58" s="51">
        <v>41376</v>
      </c>
      <c r="L58" s="115">
        <v>41364</v>
      </c>
      <c r="N58" s="50" t="s">
        <v>2</v>
      </c>
      <c r="O58" s="74">
        <f t="shared" si="5"/>
        <v>0.5</v>
      </c>
      <c r="P58" s="117">
        <v>5</v>
      </c>
      <c r="Q58" s="131">
        <v>6.92</v>
      </c>
      <c r="R58" s="119">
        <v>11.3</v>
      </c>
      <c r="S58" s="147">
        <v>6</v>
      </c>
      <c r="T58" s="50">
        <v>0.05</v>
      </c>
      <c r="U58" s="74">
        <v>0.09</v>
      </c>
      <c r="V58" s="50">
        <f>0.1/2</f>
        <v>0.05</v>
      </c>
      <c r="W58" s="74">
        <f>0.005/2</f>
        <v>2.5000000000000001E-3</v>
      </c>
      <c r="X58" s="50">
        <v>1.0999999999999999E-2</v>
      </c>
      <c r="Y58" s="74">
        <f>0.002/2</f>
        <v>1E-3</v>
      </c>
      <c r="Z58" s="164">
        <v>1</v>
      </c>
      <c r="AA58" s="165">
        <v>1</v>
      </c>
      <c r="AB58" s="50">
        <v>30.8</v>
      </c>
      <c r="AC58" s="74">
        <v>267</v>
      </c>
      <c r="AD58" s="164">
        <f>18/20</f>
        <v>0.9</v>
      </c>
      <c r="AE58" s="50"/>
    </row>
    <row r="59" spans="1:39" ht="14">
      <c r="A59" s="41" t="s">
        <v>33</v>
      </c>
      <c r="B59" s="50" t="s">
        <v>707</v>
      </c>
      <c r="C59" s="50" t="s">
        <v>3843</v>
      </c>
      <c r="D59" s="48" t="s">
        <v>710</v>
      </c>
      <c r="E59" s="50" t="s">
        <v>711</v>
      </c>
      <c r="G59" s="76" t="s">
        <v>712</v>
      </c>
      <c r="H59" s="50">
        <v>2951</v>
      </c>
      <c r="I59" s="49" t="s">
        <v>2</v>
      </c>
      <c r="J59" s="50" t="s">
        <v>3845</v>
      </c>
      <c r="K59" s="51">
        <v>41376</v>
      </c>
      <c r="L59" s="115">
        <v>41364</v>
      </c>
      <c r="N59" s="50" t="s">
        <v>2</v>
      </c>
      <c r="O59" s="74">
        <f t="shared" si="5"/>
        <v>0.5</v>
      </c>
      <c r="P59" s="117">
        <v>5</v>
      </c>
      <c r="Q59" s="131">
        <v>6.88</v>
      </c>
      <c r="R59" s="119">
        <v>7.5</v>
      </c>
      <c r="S59" s="147">
        <v>5</v>
      </c>
      <c r="T59" s="50">
        <v>0.18</v>
      </c>
      <c r="U59" s="74">
        <v>0.11</v>
      </c>
      <c r="V59" s="50">
        <f>0.1/2</f>
        <v>0.05</v>
      </c>
      <c r="W59" s="74">
        <f>0.005/2</f>
        <v>2.5000000000000001E-3</v>
      </c>
      <c r="X59" s="50">
        <v>1.2E-2</v>
      </c>
      <c r="Y59" s="74">
        <f>0.002/2</f>
        <v>1E-3</v>
      </c>
      <c r="Z59" s="164">
        <v>1</v>
      </c>
      <c r="AA59" s="165">
        <v>1</v>
      </c>
      <c r="AB59" s="50">
        <v>30.7</v>
      </c>
      <c r="AC59" s="74">
        <v>267</v>
      </c>
      <c r="AD59" s="164">
        <f>16/20</f>
        <v>0.8</v>
      </c>
      <c r="AE59" s="50"/>
    </row>
    <row r="60" spans="1:39" ht="14">
      <c r="A60" s="41" t="s">
        <v>33</v>
      </c>
      <c r="B60" s="50" t="s">
        <v>707</v>
      </c>
      <c r="C60" s="50" t="s">
        <v>3846</v>
      </c>
      <c r="D60" s="48" t="s">
        <v>406</v>
      </c>
      <c r="G60" s="76" t="s">
        <v>1215</v>
      </c>
      <c r="H60" s="50" t="s">
        <v>3847</v>
      </c>
      <c r="I60" s="49" t="s">
        <v>1</v>
      </c>
      <c r="J60" s="50" t="s">
        <v>733</v>
      </c>
      <c r="K60" s="51">
        <v>41376</v>
      </c>
      <c r="L60" s="115">
        <v>41364</v>
      </c>
      <c r="N60" s="50" t="s">
        <v>2</v>
      </c>
      <c r="O60" s="74">
        <f t="shared" si="5"/>
        <v>0.5</v>
      </c>
      <c r="P60" s="117">
        <v>5</v>
      </c>
      <c r="Q60" s="131">
        <v>6.01</v>
      </c>
      <c r="R60" s="119">
        <v>41.4</v>
      </c>
      <c r="S60" s="147">
        <v>89</v>
      </c>
      <c r="T60" s="50">
        <v>0.22</v>
      </c>
      <c r="U60" s="74">
        <v>0.83</v>
      </c>
      <c r="V60" s="50">
        <f>0.1/2</f>
        <v>0.05</v>
      </c>
      <c r="W60" s="74">
        <v>0.01</v>
      </c>
      <c r="X60" s="50">
        <v>6.7000000000000004E-2</v>
      </c>
      <c r="Y60" s="74">
        <v>0.01</v>
      </c>
      <c r="Z60" s="164">
        <v>1</v>
      </c>
      <c r="AA60" s="165">
        <v>1</v>
      </c>
      <c r="AB60" s="50">
        <v>4.7</v>
      </c>
      <c r="AC60" s="74">
        <v>27</v>
      </c>
      <c r="AD60" s="164">
        <v>1</v>
      </c>
      <c r="AE60" s="50">
        <f>25/2</f>
        <v>12.5</v>
      </c>
      <c r="AJ60" s="402">
        <v>12</v>
      </c>
    </row>
    <row r="61" spans="1:39" ht="14">
      <c r="A61" s="41" t="s">
        <v>33</v>
      </c>
      <c r="B61" s="50" t="s">
        <v>707</v>
      </c>
      <c r="C61" s="50" t="s">
        <v>3848</v>
      </c>
      <c r="D61" s="48" t="s">
        <v>314</v>
      </c>
      <c r="E61" s="50" t="s">
        <v>49</v>
      </c>
      <c r="G61" s="76" t="s">
        <v>728</v>
      </c>
      <c r="H61" s="50">
        <v>2951</v>
      </c>
      <c r="I61" s="49" t="s">
        <v>2</v>
      </c>
      <c r="J61" s="50" t="s">
        <v>5477</v>
      </c>
      <c r="K61" s="51">
        <v>41345</v>
      </c>
      <c r="L61" s="115">
        <v>41341</v>
      </c>
      <c r="N61" s="50" t="s">
        <v>2</v>
      </c>
      <c r="O61" s="74">
        <f t="shared" si="5"/>
        <v>0.5</v>
      </c>
      <c r="P61" s="117">
        <v>6</v>
      </c>
      <c r="Q61" s="131">
        <v>7.48</v>
      </c>
      <c r="R61" s="119">
        <v>3.7</v>
      </c>
      <c r="S61" s="147">
        <v>5</v>
      </c>
      <c r="T61" s="50">
        <f>0.05/2</f>
        <v>2.5000000000000001E-2</v>
      </c>
      <c r="U61" s="74">
        <v>0.7</v>
      </c>
      <c r="V61" s="50">
        <v>0.51</v>
      </c>
      <c r="W61" s="74">
        <v>8.0000000000000002E-3</v>
      </c>
      <c r="X61" s="50">
        <v>3.5999999999999997E-2</v>
      </c>
      <c r="Y61" s="74">
        <f t="shared" ref="Y61:Y66" si="6">0.002/2</f>
        <v>1E-3</v>
      </c>
      <c r="Z61" s="164">
        <v>1</v>
      </c>
      <c r="AA61" s="165">
        <v>1</v>
      </c>
      <c r="AB61" s="50">
        <v>139</v>
      </c>
      <c r="AC61" s="74">
        <v>955</v>
      </c>
      <c r="AD61" s="164">
        <v>1</v>
      </c>
      <c r="AE61" s="50">
        <f>25/2</f>
        <v>12.5</v>
      </c>
    </row>
    <row r="62" spans="1:39" ht="14">
      <c r="A62" s="41" t="s">
        <v>33</v>
      </c>
      <c r="B62" s="50" t="s">
        <v>707</v>
      </c>
      <c r="C62" s="50" t="s">
        <v>3848</v>
      </c>
      <c r="D62" s="48" t="s">
        <v>314</v>
      </c>
      <c r="E62" s="50" t="s">
        <v>49</v>
      </c>
      <c r="G62" s="76" t="s">
        <v>728</v>
      </c>
      <c r="H62" s="50">
        <v>2951</v>
      </c>
      <c r="I62" s="49" t="s">
        <v>2</v>
      </c>
      <c r="J62" s="50" t="s">
        <v>3849</v>
      </c>
      <c r="K62" s="51">
        <v>41345</v>
      </c>
      <c r="L62" s="115">
        <v>41341</v>
      </c>
      <c r="N62" s="50" t="s">
        <v>2</v>
      </c>
      <c r="O62" s="74">
        <f t="shared" si="5"/>
        <v>0.5</v>
      </c>
      <c r="P62" s="117">
        <v>5.5</v>
      </c>
      <c r="Q62" s="131">
        <v>7.64</v>
      </c>
      <c r="R62" s="119">
        <v>11.3</v>
      </c>
      <c r="S62" s="147">
        <v>90</v>
      </c>
      <c r="T62" s="50">
        <v>0.09</v>
      </c>
      <c r="U62" s="74">
        <v>0.84</v>
      </c>
      <c r="V62" s="50">
        <v>0.19</v>
      </c>
      <c r="W62" s="74">
        <f>0.005/2</f>
        <v>2.5000000000000001E-3</v>
      </c>
      <c r="X62" s="50">
        <v>2.5999999999999999E-2</v>
      </c>
      <c r="Y62" s="74">
        <f t="shared" si="6"/>
        <v>1E-3</v>
      </c>
      <c r="Z62" s="164">
        <v>1</v>
      </c>
      <c r="AA62" s="165">
        <v>1</v>
      </c>
      <c r="AB62" s="50">
        <v>101</v>
      </c>
      <c r="AC62" s="74">
        <v>364</v>
      </c>
      <c r="AD62" s="164">
        <v>1</v>
      </c>
      <c r="AE62" s="50">
        <v>13.7</v>
      </c>
    </row>
    <row r="63" spans="1:39" ht="14">
      <c r="A63" s="41" t="s">
        <v>33</v>
      </c>
      <c r="B63" s="50" t="s">
        <v>707</v>
      </c>
      <c r="C63" s="50" t="s">
        <v>3850</v>
      </c>
      <c r="D63" s="48" t="s">
        <v>251</v>
      </c>
      <c r="E63" s="50" t="s">
        <v>719</v>
      </c>
      <c r="F63" s="50">
        <v>4402</v>
      </c>
      <c r="G63" s="76" t="s">
        <v>720</v>
      </c>
      <c r="H63" s="50" t="s">
        <v>3851</v>
      </c>
      <c r="I63" s="49" t="s">
        <v>2</v>
      </c>
      <c r="J63" s="50" t="s">
        <v>723</v>
      </c>
      <c r="K63" s="51">
        <v>41345</v>
      </c>
      <c r="L63" s="115">
        <v>41341</v>
      </c>
      <c r="N63" s="50" t="s">
        <v>2</v>
      </c>
      <c r="O63" s="74">
        <f t="shared" si="5"/>
        <v>0.5</v>
      </c>
      <c r="P63" s="117">
        <v>6</v>
      </c>
      <c r="Q63" s="131">
        <v>7.42</v>
      </c>
      <c r="R63" s="119">
        <v>3.7</v>
      </c>
      <c r="S63" s="147">
        <f>1/2</f>
        <v>0.5</v>
      </c>
      <c r="T63" s="50">
        <f>0.05/2</f>
        <v>2.5000000000000001E-2</v>
      </c>
      <c r="U63" s="74">
        <v>2.4</v>
      </c>
      <c r="V63" s="50">
        <f>0.1/2</f>
        <v>0.05</v>
      </c>
      <c r="W63" s="74">
        <f>0.005/2</f>
        <v>2.5000000000000001E-3</v>
      </c>
      <c r="X63" s="50">
        <v>1.9E-2</v>
      </c>
      <c r="Y63" s="74">
        <f t="shared" si="6"/>
        <v>1E-3</v>
      </c>
      <c r="Z63" s="164">
        <v>1</v>
      </c>
      <c r="AA63" s="165">
        <v>1</v>
      </c>
      <c r="AB63" s="50">
        <v>125</v>
      </c>
      <c r="AC63" s="74">
        <v>302</v>
      </c>
      <c r="AD63" s="164">
        <v>1</v>
      </c>
      <c r="AE63" s="50">
        <f>25/2</f>
        <v>12.5</v>
      </c>
    </row>
    <row r="64" spans="1:39" ht="14">
      <c r="A64" s="41" t="s">
        <v>33</v>
      </c>
      <c r="B64" s="50" t="s">
        <v>707</v>
      </c>
      <c r="C64" s="50" t="s">
        <v>3850</v>
      </c>
      <c r="D64" s="48" t="s">
        <v>251</v>
      </c>
      <c r="E64" s="50" t="s">
        <v>719</v>
      </c>
      <c r="F64" s="50">
        <v>4402</v>
      </c>
      <c r="G64" s="76" t="s">
        <v>720</v>
      </c>
      <c r="H64" s="50" t="s">
        <v>3851</v>
      </c>
      <c r="I64" s="49" t="s">
        <v>2</v>
      </c>
      <c r="J64" s="50" t="s">
        <v>3852</v>
      </c>
      <c r="K64" s="51">
        <v>41345</v>
      </c>
      <c r="L64" s="115">
        <v>41341</v>
      </c>
      <c r="N64" s="50" t="s">
        <v>2</v>
      </c>
      <c r="O64" s="74">
        <f t="shared" si="5"/>
        <v>0.5</v>
      </c>
      <c r="P64" s="117">
        <v>6</v>
      </c>
      <c r="Q64" s="131">
        <v>7.39</v>
      </c>
      <c r="R64" s="119">
        <v>3.7</v>
      </c>
      <c r="S64" s="147">
        <f>1/2</f>
        <v>0.5</v>
      </c>
      <c r="T64" s="50">
        <f>0.05/2</f>
        <v>2.5000000000000001E-2</v>
      </c>
      <c r="U64" s="74">
        <v>0.84</v>
      </c>
      <c r="V64" s="50">
        <v>0.1</v>
      </c>
      <c r="W64" s="74">
        <f>0.005/2</f>
        <v>2.5000000000000001E-3</v>
      </c>
      <c r="X64" s="50">
        <v>0.02</v>
      </c>
      <c r="Y64" s="74">
        <f t="shared" si="6"/>
        <v>1E-3</v>
      </c>
      <c r="Z64" s="164">
        <v>1</v>
      </c>
      <c r="AA64" s="165">
        <v>1</v>
      </c>
      <c r="AB64" s="50">
        <v>125</v>
      </c>
      <c r="AC64" s="74">
        <v>287</v>
      </c>
      <c r="AD64" s="164">
        <v>1</v>
      </c>
      <c r="AE64" s="50">
        <f>25/2</f>
        <v>12.5</v>
      </c>
    </row>
    <row r="65" spans="1:37" ht="14">
      <c r="A65" s="41" t="s">
        <v>33</v>
      </c>
      <c r="B65" s="50" t="s">
        <v>707</v>
      </c>
      <c r="C65" s="50" t="s">
        <v>3850</v>
      </c>
      <c r="D65" s="48" t="s">
        <v>251</v>
      </c>
      <c r="E65" s="50" t="s">
        <v>719</v>
      </c>
      <c r="F65" s="50">
        <v>4402</v>
      </c>
      <c r="G65" s="76" t="s">
        <v>720</v>
      </c>
      <c r="H65" s="50" t="s">
        <v>3851</v>
      </c>
      <c r="I65" s="49" t="s">
        <v>2</v>
      </c>
      <c r="J65" s="50" t="s">
        <v>3853</v>
      </c>
      <c r="K65" s="51">
        <v>41376</v>
      </c>
      <c r="L65" s="115">
        <v>41364</v>
      </c>
      <c r="N65" s="50" t="s">
        <v>2</v>
      </c>
      <c r="O65" s="74">
        <v>2</v>
      </c>
      <c r="P65" s="117">
        <v>7.32</v>
      </c>
      <c r="Q65" s="131">
        <v>6.7</v>
      </c>
      <c r="R65" s="119">
        <v>7.5</v>
      </c>
      <c r="S65" s="147">
        <v>32</v>
      </c>
      <c r="T65" s="50">
        <v>15.53</v>
      </c>
      <c r="U65" s="74">
        <v>0.9</v>
      </c>
      <c r="V65" s="50">
        <v>2.17</v>
      </c>
      <c r="W65" s="74">
        <v>6.0000000000000001E-3</v>
      </c>
      <c r="X65" s="50">
        <v>5.0000000000000001E-3</v>
      </c>
      <c r="Y65" s="74">
        <f t="shared" si="6"/>
        <v>1E-3</v>
      </c>
      <c r="Z65" s="164">
        <v>1</v>
      </c>
      <c r="AA65" s="165">
        <v>1</v>
      </c>
      <c r="AB65" s="50">
        <v>246</v>
      </c>
      <c r="AC65" s="74">
        <v>572</v>
      </c>
      <c r="AD65" s="164">
        <v>1</v>
      </c>
      <c r="AE65" s="50">
        <f>25/2</f>
        <v>12.5</v>
      </c>
    </row>
    <row r="66" spans="1:37" ht="14">
      <c r="A66" s="41" t="s">
        <v>33</v>
      </c>
      <c r="B66" s="50" t="s">
        <v>707</v>
      </c>
      <c r="C66" s="74" t="s">
        <v>3829</v>
      </c>
      <c r="D66" s="48" t="s">
        <v>89</v>
      </c>
      <c r="E66" s="74" t="s">
        <v>3830</v>
      </c>
      <c r="G66" s="48" t="s">
        <v>791</v>
      </c>
      <c r="H66" s="74">
        <v>2951</v>
      </c>
      <c r="I66" s="50" t="s">
        <v>1</v>
      </c>
      <c r="J66" s="74" t="s">
        <v>790</v>
      </c>
      <c r="K66" s="51">
        <v>41345</v>
      </c>
      <c r="L66" s="115">
        <v>41341</v>
      </c>
      <c r="N66" s="50" t="s">
        <v>2</v>
      </c>
      <c r="O66" s="74">
        <f>1/2</f>
        <v>0.5</v>
      </c>
      <c r="P66" s="50">
        <v>5</v>
      </c>
      <c r="Q66" s="74">
        <v>7.6</v>
      </c>
      <c r="R66" s="50">
        <v>15</v>
      </c>
      <c r="S66" s="74">
        <v>9</v>
      </c>
      <c r="T66" s="50">
        <v>0.24</v>
      </c>
      <c r="U66" s="74">
        <v>0.76</v>
      </c>
      <c r="V66" s="50">
        <v>0.1</v>
      </c>
      <c r="W66" s="74">
        <v>8.9999999999999993E-3</v>
      </c>
      <c r="X66" s="50">
        <v>4.7E-2</v>
      </c>
      <c r="Y66" s="74">
        <f t="shared" si="6"/>
        <v>1E-3</v>
      </c>
      <c r="Z66" s="164">
        <v>1</v>
      </c>
      <c r="AA66" s="165">
        <v>1</v>
      </c>
      <c r="AB66" s="50">
        <v>218</v>
      </c>
      <c r="AC66" s="74">
        <v>825</v>
      </c>
      <c r="AD66" s="164">
        <v>1</v>
      </c>
      <c r="AE66" s="114">
        <f>25/2</f>
        <v>12.5</v>
      </c>
      <c r="AK66" s="402">
        <v>1840</v>
      </c>
    </row>
    <row r="67" spans="1:37" ht="14">
      <c r="A67" s="41" t="s">
        <v>33</v>
      </c>
      <c r="B67" s="50" t="s">
        <v>707</v>
      </c>
      <c r="C67" s="50" t="s">
        <v>3829</v>
      </c>
      <c r="D67" s="48" t="s">
        <v>89</v>
      </c>
      <c r="E67" s="50" t="s">
        <v>893</v>
      </c>
      <c r="G67" s="76" t="s">
        <v>791</v>
      </c>
      <c r="H67" s="50">
        <v>2951</v>
      </c>
      <c r="I67" s="49" t="s">
        <v>1</v>
      </c>
      <c r="J67" s="50" t="s">
        <v>790</v>
      </c>
      <c r="K67" s="51">
        <v>41201</v>
      </c>
      <c r="L67" s="72">
        <v>41197</v>
      </c>
      <c r="N67" s="50" t="s">
        <v>2</v>
      </c>
      <c r="O67" s="74">
        <v>0.5</v>
      </c>
      <c r="P67" s="117">
        <v>5</v>
      </c>
      <c r="Q67" s="131">
        <v>7.16</v>
      </c>
      <c r="R67" s="119">
        <v>63.8</v>
      </c>
      <c r="S67" s="147">
        <v>130</v>
      </c>
      <c r="T67" s="50">
        <v>0.15</v>
      </c>
      <c r="U67" s="74">
        <v>0.81</v>
      </c>
      <c r="V67" s="50">
        <v>0.05</v>
      </c>
      <c r="W67" s="74">
        <v>1.0999999999999999E-2</v>
      </c>
      <c r="X67" s="50">
        <v>3.9E-2</v>
      </c>
      <c r="Y67" s="74">
        <v>2E-3</v>
      </c>
      <c r="AB67" s="50">
        <v>77.41</v>
      </c>
      <c r="AD67" s="164"/>
      <c r="AE67" s="50">
        <v>23.4</v>
      </c>
      <c r="AK67" s="402">
        <v>1840</v>
      </c>
    </row>
    <row r="68" spans="1:37" ht="14">
      <c r="A68" s="41" t="s">
        <v>33</v>
      </c>
      <c r="B68" s="50" t="s">
        <v>532</v>
      </c>
      <c r="C68" s="50" t="s">
        <v>1099</v>
      </c>
      <c r="D68" s="48" t="s">
        <v>372</v>
      </c>
      <c r="E68" s="50" t="s">
        <v>235</v>
      </c>
      <c r="G68" s="76" t="s">
        <v>1100</v>
      </c>
      <c r="H68" s="50">
        <v>2951</v>
      </c>
      <c r="I68" s="49" t="s">
        <v>1</v>
      </c>
      <c r="J68" s="50" t="s">
        <v>366</v>
      </c>
      <c r="K68" s="51">
        <v>41226</v>
      </c>
      <c r="L68" s="115">
        <v>41221</v>
      </c>
      <c r="N68" s="50" t="s">
        <v>2</v>
      </c>
      <c r="O68" s="74">
        <v>0.5</v>
      </c>
      <c r="P68" s="117">
        <v>5.5</v>
      </c>
      <c r="Q68" s="131">
        <v>7.6</v>
      </c>
      <c r="R68" s="119">
        <v>84</v>
      </c>
      <c r="S68" s="147">
        <v>164</v>
      </c>
      <c r="T68" s="50">
        <v>0.22</v>
      </c>
      <c r="U68" s="74">
        <v>1.76</v>
      </c>
      <c r="V68" s="50">
        <v>1.22</v>
      </c>
      <c r="W68" s="74">
        <v>0.06</v>
      </c>
      <c r="X68" s="50">
        <v>0.08</v>
      </c>
      <c r="Y68" s="74">
        <v>1.2E-2</v>
      </c>
      <c r="Z68" s="164">
        <v>1</v>
      </c>
      <c r="AA68" s="165">
        <v>1</v>
      </c>
      <c r="AB68" s="50">
        <v>98</v>
      </c>
      <c r="AC68" s="74">
        <v>298</v>
      </c>
      <c r="AD68" s="164">
        <v>1</v>
      </c>
      <c r="AE68" s="50">
        <v>2.48</v>
      </c>
      <c r="AK68" s="402">
        <v>105</v>
      </c>
    </row>
    <row r="69" spans="1:37" ht="14">
      <c r="A69" s="41" t="s">
        <v>33</v>
      </c>
      <c r="B69" s="50" t="s">
        <v>707</v>
      </c>
      <c r="C69" s="50" t="s">
        <v>3939</v>
      </c>
      <c r="D69" s="48" t="s">
        <v>251</v>
      </c>
      <c r="E69" s="50" t="s">
        <v>719</v>
      </c>
      <c r="F69" s="50">
        <v>4402</v>
      </c>
      <c r="G69" s="76" t="s">
        <v>720</v>
      </c>
      <c r="H69" s="50" t="s">
        <v>3851</v>
      </c>
      <c r="I69" s="49" t="s">
        <v>1</v>
      </c>
      <c r="J69" s="50" t="s">
        <v>690</v>
      </c>
      <c r="K69" s="51">
        <v>41180</v>
      </c>
      <c r="L69" s="115">
        <v>41160</v>
      </c>
      <c r="N69" s="50" t="s">
        <v>2</v>
      </c>
      <c r="O69" s="74">
        <v>0.5</v>
      </c>
      <c r="P69" s="117">
        <v>5</v>
      </c>
      <c r="Q69" s="131">
        <v>5.17</v>
      </c>
      <c r="R69" s="119">
        <v>22.2</v>
      </c>
      <c r="S69" s="147">
        <v>32</v>
      </c>
      <c r="T69" s="50">
        <v>7.0000000000000007E-2</v>
      </c>
      <c r="U69" s="74">
        <v>1.43</v>
      </c>
      <c r="V69" s="50">
        <v>0.74</v>
      </c>
      <c r="W69" s="74">
        <v>8.0000000000000002E-3</v>
      </c>
      <c r="X69" s="50">
        <v>3.1E-2</v>
      </c>
      <c r="Y69" s="74">
        <v>3.0000000000000001E-3</v>
      </c>
      <c r="AB69" s="50">
        <v>241</v>
      </c>
      <c r="AD69" s="164"/>
      <c r="AE69" s="50">
        <v>17.3</v>
      </c>
    </row>
    <row r="70" spans="1:37" ht="14">
      <c r="A70" s="41" t="s">
        <v>33</v>
      </c>
      <c r="B70" s="50" t="s">
        <v>707</v>
      </c>
      <c r="C70" s="50" t="s">
        <v>3939</v>
      </c>
      <c r="D70" s="48" t="s">
        <v>251</v>
      </c>
      <c r="E70" s="50" t="s">
        <v>719</v>
      </c>
      <c r="F70" s="50">
        <v>4402</v>
      </c>
      <c r="G70" s="76" t="s">
        <v>720</v>
      </c>
      <c r="H70" s="50" t="s">
        <v>3851</v>
      </c>
      <c r="I70" s="49" t="s">
        <v>2</v>
      </c>
      <c r="J70" s="50" t="s">
        <v>254</v>
      </c>
      <c r="K70" s="51">
        <v>41180</v>
      </c>
      <c r="L70" s="115">
        <v>41160</v>
      </c>
      <c r="N70" s="50" t="s">
        <v>2</v>
      </c>
      <c r="O70" s="74">
        <v>1.6</v>
      </c>
      <c r="P70" s="117">
        <v>5</v>
      </c>
      <c r="Q70" s="131">
        <v>7.29</v>
      </c>
      <c r="R70" s="119">
        <v>11.3</v>
      </c>
      <c r="S70" s="147">
        <v>0.5</v>
      </c>
      <c r="T70" s="50">
        <v>0.06</v>
      </c>
      <c r="U70" s="74">
        <v>1.17</v>
      </c>
      <c r="V70" s="50">
        <v>0.05</v>
      </c>
      <c r="W70" s="74">
        <v>5.0000000000000001E-3</v>
      </c>
      <c r="X70" s="50">
        <v>1.9E-2</v>
      </c>
      <c r="Y70" s="74">
        <v>1E-3</v>
      </c>
      <c r="AB70" s="50">
        <v>322</v>
      </c>
      <c r="AD70" s="164"/>
      <c r="AE70" s="50">
        <v>12.5</v>
      </c>
    </row>
    <row r="71" spans="1:37" ht="14">
      <c r="A71" s="41" t="s">
        <v>33</v>
      </c>
      <c r="B71" s="50" t="s">
        <v>707</v>
      </c>
      <c r="C71" s="50" t="s">
        <v>3939</v>
      </c>
      <c r="D71" s="48" t="s">
        <v>251</v>
      </c>
      <c r="E71" s="50" t="s">
        <v>719</v>
      </c>
      <c r="F71" s="50">
        <v>4402</v>
      </c>
      <c r="G71" s="76" t="s">
        <v>720</v>
      </c>
      <c r="I71" s="49" t="s">
        <v>2</v>
      </c>
      <c r="J71" s="50" t="s">
        <v>169</v>
      </c>
      <c r="K71" s="51">
        <v>41180</v>
      </c>
      <c r="L71" s="115">
        <v>41160</v>
      </c>
      <c r="N71" s="50" t="s">
        <v>2</v>
      </c>
      <c r="O71" s="74">
        <v>1.2</v>
      </c>
      <c r="P71" s="117">
        <v>5</v>
      </c>
      <c r="Q71" s="131">
        <v>7.37</v>
      </c>
      <c r="R71" s="119">
        <v>11.3</v>
      </c>
      <c r="S71" s="147">
        <v>7</v>
      </c>
      <c r="T71" s="50">
        <v>0.14000000000000001</v>
      </c>
      <c r="U71" s="74">
        <v>2</v>
      </c>
      <c r="V71" s="50">
        <v>0.34</v>
      </c>
      <c r="W71" s="74">
        <v>8.0000000000000002E-3</v>
      </c>
      <c r="X71" s="50">
        <v>1.6E-2</v>
      </c>
      <c r="Y71" s="74">
        <v>1E-3</v>
      </c>
      <c r="AB71" s="50">
        <v>19.52</v>
      </c>
      <c r="AD71" s="164"/>
      <c r="AE71" s="50">
        <v>12.5</v>
      </c>
    </row>
    <row r="72" spans="1:37" ht="14">
      <c r="A72" s="41" t="s">
        <v>33</v>
      </c>
      <c r="B72" s="50" t="s">
        <v>707</v>
      </c>
      <c r="C72" s="50" t="s">
        <v>3846</v>
      </c>
      <c r="D72" s="48" t="s">
        <v>406</v>
      </c>
      <c r="E72" s="50" t="s">
        <v>3940</v>
      </c>
      <c r="G72" s="76" t="s">
        <v>1215</v>
      </c>
      <c r="H72" s="50" t="s">
        <v>3847</v>
      </c>
      <c r="I72" s="49" t="s">
        <v>1</v>
      </c>
      <c r="J72" s="50" t="s">
        <v>255</v>
      </c>
      <c r="K72" s="51">
        <v>41201</v>
      </c>
      <c r="L72" s="115">
        <v>41197</v>
      </c>
      <c r="N72" s="50" t="s">
        <v>2</v>
      </c>
      <c r="O72" s="74">
        <v>0.5</v>
      </c>
      <c r="P72" s="117">
        <v>4.5</v>
      </c>
      <c r="Q72" s="131">
        <v>5.4</v>
      </c>
      <c r="R72" s="119">
        <v>18.7</v>
      </c>
      <c r="S72" s="147">
        <v>22</v>
      </c>
      <c r="T72" s="50">
        <v>0.05</v>
      </c>
      <c r="U72" s="74">
        <v>0.69</v>
      </c>
      <c r="V72" s="50">
        <v>0.78</v>
      </c>
      <c r="W72" s="74">
        <v>0.01</v>
      </c>
      <c r="X72" s="50">
        <v>0.11700000000000001</v>
      </c>
      <c r="Y72" s="74">
        <v>3.0000000000000001E-3</v>
      </c>
      <c r="AB72" s="50">
        <v>18.27</v>
      </c>
      <c r="AD72" s="164"/>
      <c r="AE72" s="50">
        <v>12.5</v>
      </c>
      <c r="AJ72" s="402">
        <v>1880</v>
      </c>
    </row>
    <row r="73" spans="1:37" ht="14">
      <c r="A73" s="41" t="s">
        <v>33</v>
      </c>
      <c r="B73" s="50" t="s">
        <v>707</v>
      </c>
      <c r="C73" s="50" t="s">
        <v>1236</v>
      </c>
      <c r="D73" s="48" t="s">
        <v>111</v>
      </c>
      <c r="E73" s="50" t="s">
        <v>739</v>
      </c>
      <c r="G73" s="76" t="s">
        <v>740</v>
      </c>
      <c r="H73" s="50" t="s">
        <v>3862</v>
      </c>
      <c r="I73" s="49" t="s">
        <v>2</v>
      </c>
      <c r="J73" s="50" t="s">
        <v>742</v>
      </c>
      <c r="K73" s="51">
        <v>41180</v>
      </c>
      <c r="L73" s="115">
        <v>41160</v>
      </c>
      <c r="N73" s="50" t="s">
        <v>2</v>
      </c>
      <c r="O73" s="74">
        <v>0.5</v>
      </c>
      <c r="P73" s="117">
        <v>5</v>
      </c>
      <c r="Q73" s="131">
        <v>7.82</v>
      </c>
      <c r="R73" s="119">
        <v>22.2</v>
      </c>
      <c r="S73" s="147">
        <v>46</v>
      </c>
      <c r="T73" s="50">
        <v>0.12</v>
      </c>
      <c r="U73" s="74">
        <v>2.77</v>
      </c>
      <c r="V73" s="50">
        <v>3.54</v>
      </c>
      <c r="W73" s="74">
        <v>6.0000000000000001E-3</v>
      </c>
      <c r="X73" s="50">
        <v>2.5000000000000001E-2</v>
      </c>
      <c r="Y73" s="74">
        <v>1E-3</v>
      </c>
      <c r="AB73" s="50">
        <v>97.39</v>
      </c>
      <c r="AD73" s="164"/>
      <c r="AE73" s="50"/>
    </row>
    <row r="74" spans="1:37" ht="14">
      <c r="A74" s="41" t="s">
        <v>33</v>
      </c>
      <c r="B74" s="50" t="s">
        <v>707</v>
      </c>
      <c r="C74" s="50" t="s">
        <v>1236</v>
      </c>
      <c r="D74" s="48" t="s">
        <v>111</v>
      </c>
      <c r="E74" s="50" t="s">
        <v>739</v>
      </c>
      <c r="G74" s="76" t="s">
        <v>740</v>
      </c>
      <c r="H74" s="50" t="s">
        <v>3862</v>
      </c>
      <c r="I74" s="49" t="s">
        <v>2</v>
      </c>
      <c r="J74" s="50" t="s">
        <v>3941</v>
      </c>
      <c r="K74" s="51">
        <v>41180</v>
      </c>
      <c r="L74" s="115">
        <v>41160</v>
      </c>
      <c r="N74" s="50" t="s">
        <v>2</v>
      </c>
      <c r="O74" s="74">
        <v>0.5</v>
      </c>
      <c r="P74" s="117">
        <v>5</v>
      </c>
      <c r="Q74" s="131">
        <v>5.89</v>
      </c>
      <c r="R74" s="119">
        <v>73.8</v>
      </c>
      <c r="S74" s="147">
        <v>210</v>
      </c>
      <c r="T74" s="50">
        <v>0.26</v>
      </c>
      <c r="U74" s="74">
        <v>1.69</v>
      </c>
      <c r="V74" s="50">
        <v>0.37</v>
      </c>
      <c r="W74" s="74">
        <v>4.2000000000000003E-2</v>
      </c>
      <c r="X74" s="50">
        <v>0.158</v>
      </c>
      <c r="Y74" s="74">
        <v>8.9999999999999993E-3</v>
      </c>
      <c r="AB74" s="50">
        <v>18.11</v>
      </c>
      <c r="AD74" s="164"/>
      <c r="AE74" s="50"/>
    </row>
    <row r="75" spans="1:37" ht="14">
      <c r="A75" s="41" t="s">
        <v>33</v>
      </c>
      <c r="B75" s="50" t="s">
        <v>707</v>
      </c>
      <c r="C75" s="50" t="s">
        <v>3843</v>
      </c>
      <c r="D75" s="48" t="s">
        <v>710</v>
      </c>
      <c r="E75" s="50" t="s">
        <v>711</v>
      </c>
      <c r="G75" s="76" t="s">
        <v>712</v>
      </c>
      <c r="H75" s="50">
        <v>2951</v>
      </c>
      <c r="I75" s="49" t="s">
        <v>1</v>
      </c>
      <c r="J75" s="50" t="s">
        <v>713</v>
      </c>
      <c r="K75" s="51">
        <v>41192</v>
      </c>
      <c r="L75" s="115">
        <v>41189</v>
      </c>
      <c r="N75" s="50" t="s">
        <v>2</v>
      </c>
      <c r="O75" s="74">
        <v>0.5</v>
      </c>
      <c r="P75" s="117">
        <v>5</v>
      </c>
      <c r="Q75" s="131">
        <v>6.58</v>
      </c>
      <c r="R75" s="119">
        <v>25.6</v>
      </c>
      <c r="S75" s="147">
        <v>1</v>
      </c>
      <c r="T75" s="50">
        <v>2.5000000000000001E-2</v>
      </c>
      <c r="U75" s="74">
        <v>0.69</v>
      </c>
      <c r="V75" s="50">
        <v>0.05</v>
      </c>
      <c r="W75" s="74">
        <v>2.5000000000000001E-3</v>
      </c>
      <c r="X75" s="50">
        <v>1.6E-2</v>
      </c>
      <c r="Y75" s="74">
        <v>2E-3</v>
      </c>
      <c r="AB75" s="50">
        <v>30.42</v>
      </c>
      <c r="AD75" s="164"/>
      <c r="AE75" s="50">
        <v>34.1</v>
      </c>
    </row>
    <row r="76" spans="1:37" ht="14">
      <c r="A76" s="41" t="s">
        <v>33</v>
      </c>
      <c r="B76" s="50" t="s">
        <v>707</v>
      </c>
      <c r="C76" s="50" t="s">
        <v>3843</v>
      </c>
      <c r="D76" s="48" t="s">
        <v>710</v>
      </c>
      <c r="E76" s="50" t="s">
        <v>711</v>
      </c>
      <c r="G76" s="76" t="s">
        <v>712</v>
      </c>
      <c r="H76" s="50">
        <v>2951</v>
      </c>
      <c r="I76" s="49" t="s">
        <v>2</v>
      </c>
      <c r="J76" s="50" t="s">
        <v>3844</v>
      </c>
      <c r="K76" s="51">
        <v>41170</v>
      </c>
      <c r="L76" s="115">
        <v>41160</v>
      </c>
      <c r="N76" s="50" t="s">
        <v>2</v>
      </c>
      <c r="O76" s="74">
        <v>1.2</v>
      </c>
      <c r="P76" s="117"/>
      <c r="Q76" s="131">
        <v>6.31</v>
      </c>
      <c r="R76" s="119">
        <v>15</v>
      </c>
      <c r="S76" s="147">
        <v>0.5</v>
      </c>
      <c r="T76" s="50">
        <v>2.5000000000000001E-2</v>
      </c>
      <c r="U76" s="74">
        <v>1.06</v>
      </c>
      <c r="V76" s="50">
        <v>0.05</v>
      </c>
      <c r="W76" s="74">
        <v>6.0000000000000001E-3</v>
      </c>
      <c r="X76" s="50">
        <v>1.2E-2</v>
      </c>
      <c r="Y76" s="74">
        <v>3.0000000000000001E-3</v>
      </c>
      <c r="AB76" s="50">
        <v>33.619999999999997</v>
      </c>
      <c r="AD76" s="164"/>
      <c r="AE76" s="50"/>
    </row>
    <row r="77" spans="1:37" ht="14">
      <c r="A77" s="41" t="s">
        <v>33</v>
      </c>
      <c r="B77" s="50" t="s">
        <v>707</v>
      </c>
      <c r="C77" s="50" t="s">
        <v>3843</v>
      </c>
      <c r="D77" s="48" t="s">
        <v>710</v>
      </c>
      <c r="E77" s="50" t="s">
        <v>711</v>
      </c>
      <c r="G77" s="76" t="s">
        <v>712</v>
      </c>
      <c r="H77" s="50">
        <v>2951</v>
      </c>
      <c r="I77" s="49" t="s">
        <v>2</v>
      </c>
      <c r="J77" s="50" t="s">
        <v>3845</v>
      </c>
      <c r="K77" s="51">
        <v>41170</v>
      </c>
      <c r="L77" s="115">
        <v>41160</v>
      </c>
      <c r="N77" s="50" t="s">
        <v>2</v>
      </c>
      <c r="O77" s="74">
        <v>0.5</v>
      </c>
      <c r="P77" s="117">
        <v>5</v>
      </c>
      <c r="Q77" s="131">
        <v>6.77</v>
      </c>
      <c r="R77" s="119">
        <v>15</v>
      </c>
      <c r="S77" s="147">
        <v>1</v>
      </c>
      <c r="T77" s="50">
        <v>0.06</v>
      </c>
      <c r="U77" s="74">
        <v>0.89</v>
      </c>
      <c r="V77" s="50">
        <v>0.05</v>
      </c>
      <c r="W77" s="74">
        <v>5.0000000000000001E-3</v>
      </c>
      <c r="X77" s="50">
        <v>1.2E-2</v>
      </c>
      <c r="Y77" s="74">
        <v>1E-3</v>
      </c>
      <c r="AB77" s="50">
        <v>21.9</v>
      </c>
      <c r="AD77" s="164"/>
      <c r="AE77" s="50"/>
    </row>
    <row r="78" spans="1:37" ht="14">
      <c r="A78" s="41" t="s">
        <v>33</v>
      </c>
      <c r="B78" s="50" t="s">
        <v>707</v>
      </c>
      <c r="C78" s="50" t="s">
        <v>3855</v>
      </c>
      <c r="D78" s="48" t="s">
        <v>827</v>
      </c>
      <c r="E78" s="50" t="s">
        <v>1026</v>
      </c>
      <c r="G78" s="76" t="s">
        <v>708</v>
      </c>
      <c r="H78" s="50" t="s">
        <v>3857</v>
      </c>
      <c r="I78" s="49" t="s">
        <v>2</v>
      </c>
      <c r="J78" s="50" t="s">
        <v>709</v>
      </c>
      <c r="K78" s="51">
        <v>41170</v>
      </c>
      <c r="L78" s="115">
        <v>41160</v>
      </c>
      <c r="N78" s="50" t="s">
        <v>2</v>
      </c>
      <c r="O78" s="74">
        <v>7.2</v>
      </c>
      <c r="P78" s="117"/>
      <c r="Q78" s="131">
        <v>7.23</v>
      </c>
      <c r="R78" s="119">
        <v>22.2</v>
      </c>
      <c r="S78" s="147">
        <v>42</v>
      </c>
      <c r="T78" s="50">
        <v>0.18</v>
      </c>
      <c r="U78" s="74">
        <v>3.27</v>
      </c>
      <c r="V78" s="50">
        <v>0.05</v>
      </c>
      <c r="W78" s="74">
        <v>7.0000000000000001E-3</v>
      </c>
      <c r="X78" s="50">
        <v>3.7999999999999999E-2</v>
      </c>
      <c r="Y78" s="74">
        <v>1E-3</v>
      </c>
      <c r="AB78" s="50">
        <v>126.6</v>
      </c>
      <c r="AD78" s="164"/>
      <c r="AE78" s="50"/>
    </row>
    <row r="79" spans="1:37" ht="14">
      <c r="A79" s="41" t="s">
        <v>33</v>
      </c>
      <c r="B79" s="50" t="s">
        <v>707</v>
      </c>
      <c r="C79" s="50" t="s">
        <v>1383</v>
      </c>
      <c r="D79" s="48" t="s">
        <v>200</v>
      </c>
      <c r="E79" s="50" t="s">
        <v>776</v>
      </c>
      <c r="G79" s="76" t="s">
        <v>777</v>
      </c>
      <c r="H79" s="50">
        <v>1429</v>
      </c>
      <c r="I79" s="49" t="s">
        <v>2</v>
      </c>
      <c r="J79" s="50" t="s">
        <v>3932</v>
      </c>
      <c r="K79" s="51">
        <v>41170</v>
      </c>
      <c r="L79" s="115">
        <v>41160</v>
      </c>
      <c r="N79" s="50" t="s">
        <v>2</v>
      </c>
      <c r="O79" s="74">
        <v>3.2</v>
      </c>
      <c r="P79" s="117">
        <v>5</v>
      </c>
      <c r="Q79" s="131">
        <v>6.22</v>
      </c>
      <c r="R79" s="119">
        <v>115.8</v>
      </c>
      <c r="S79" s="147">
        <v>116</v>
      </c>
      <c r="T79" s="50">
        <v>0.34</v>
      </c>
      <c r="U79" s="74">
        <v>2.65</v>
      </c>
      <c r="V79" s="50">
        <v>1.17</v>
      </c>
      <c r="W79" s="74">
        <v>8.5000000000000006E-2</v>
      </c>
      <c r="X79" s="50">
        <v>0.193</v>
      </c>
      <c r="Y79" s="74">
        <v>2.5999999999999999E-2</v>
      </c>
      <c r="AD79" s="164"/>
      <c r="AE79" s="50"/>
    </row>
    <row r="80" spans="1:37" ht="14">
      <c r="A80" s="41" t="s">
        <v>33</v>
      </c>
      <c r="B80" s="50" t="s">
        <v>707</v>
      </c>
      <c r="C80" s="50" t="s">
        <v>1383</v>
      </c>
      <c r="D80" s="48" t="s">
        <v>200</v>
      </c>
      <c r="E80" s="50" t="s">
        <v>776</v>
      </c>
      <c r="G80" s="76" t="s">
        <v>777</v>
      </c>
      <c r="H80" s="50">
        <v>1429</v>
      </c>
      <c r="I80" s="49" t="s">
        <v>2</v>
      </c>
      <c r="J80" s="50" t="s">
        <v>3933</v>
      </c>
      <c r="K80" s="51">
        <v>41170</v>
      </c>
      <c r="L80" s="115">
        <v>41160</v>
      </c>
      <c r="N80" s="50" t="s">
        <v>2</v>
      </c>
      <c r="O80" s="74">
        <v>2.8</v>
      </c>
      <c r="P80" s="117">
        <v>5</v>
      </c>
      <c r="Q80" s="131">
        <v>6.46</v>
      </c>
      <c r="R80" s="119">
        <v>277</v>
      </c>
      <c r="S80" s="147">
        <v>149</v>
      </c>
      <c r="T80" s="50">
        <v>0.37</v>
      </c>
      <c r="U80" s="74">
        <v>2.25</v>
      </c>
      <c r="V80" s="50">
        <v>1.36</v>
      </c>
      <c r="W80" s="74">
        <v>9.0999999999999998E-2</v>
      </c>
      <c r="X80" s="50">
        <v>0.19600000000000001</v>
      </c>
      <c r="Y80" s="74">
        <v>2.7E-2</v>
      </c>
      <c r="AD80" s="164"/>
      <c r="AE80" s="50"/>
    </row>
    <row r="81" spans="1:39" ht="14">
      <c r="A81" s="41" t="s">
        <v>33</v>
      </c>
      <c r="B81" s="50" t="s">
        <v>707</v>
      </c>
      <c r="C81" s="50" t="s">
        <v>3839</v>
      </c>
      <c r="D81" s="48" t="s">
        <v>564</v>
      </c>
      <c r="E81" s="50" t="s">
        <v>782</v>
      </c>
      <c r="G81" s="76" t="s">
        <v>783</v>
      </c>
      <c r="H81" s="50" t="s">
        <v>3942</v>
      </c>
      <c r="I81" s="49" t="s">
        <v>2</v>
      </c>
      <c r="J81" s="50" t="s">
        <v>784</v>
      </c>
      <c r="K81" s="51">
        <v>41170</v>
      </c>
      <c r="L81" s="115">
        <v>41160</v>
      </c>
      <c r="N81" s="50" t="s">
        <v>2</v>
      </c>
      <c r="O81" s="74">
        <v>9.6</v>
      </c>
      <c r="P81" s="117">
        <v>6</v>
      </c>
      <c r="Q81" s="131">
        <v>6.76</v>
      </c>
      <c r="R81" s="119">
        <v>47.3</v>
      </c>
      <c r="S81" s="147">
        <v>62</v>
      </c>
      <c r="T81" s="50">
        <v>0.38</v>
      </c>
      <c r="U81" s="74">
        <v>3.19</v>
      </c>
      <c r="V81" s="50">
        <v>3.86</v>
      </c>
      <c r="W81" s="74">
        <v>1.2999999999999999E-2</v>
      </c>
      <c r="X81" s="50">
        <v>3.6999999999999998E-2</v>
      </c>
      <c r="Y81" s="74">
        <v>2E-3</v>
      </c>
      <c r="AB81" s="50">
        <v>36.64</v>
      </c>
      <c r="AD81" s="164"/>
      <c r="AE81" s="50">
        <v>12.5</v>
      </c>
    </row>
    <row r="82" spans="1:39" ht="14">
      <c r="A82" s="41" t="s">
        <v>33</v>
      </c>
      <c r="B82" s="50" t="s">
        <v>707</v>
      </c>
      <c r="C82" s="50" t="s">
        <v>3943</v>
      </c>
      <c r="D82" s="48" t="s">
        <v>195</v>
      </c>
      <c r="E82" s="50" t="s">
        <v>786</v>
      </c>
      <c r="G82" s="76" t="s">
        <v>787</v>
      </c>
      <c r="H82" s="50">
        <v>2951</v>
      </c>
      <c r="I82" s="49" t="s">
        <v>2</v>
      </c>
      <c r="J82" s="50" t="s">
        <v>788</v>
      </c>
      <c r="K82" s="51">
        <v>41180</v>
      </c>
      <c r="L82" s="115">
        <v>41160</v>
      </c>
      <c r="N82" s="50" t="s">
        <v>2</v>
      </c>
      <c r="O82" s="74">
        <v>1.6</v>
      </c>
      <c r="P82" s="117">
        <v>4.5</v>
      </c>
      <c r="Q82" s="131">
        <v>5.93</v>
      </c>
      <c r="R82" s="119">
        <v>35.299999999999997</v>
      </c>
      <c r="S82" s="147">
        <v>141</v>
      </c>
      <c r="T82" s="50">
        <v>0.14000000000000001</v>
      </c>
      <c r="U82" s="74">
        <v>2.44</v>
      </c>
      <c r="V82" s="50">
        <v>0.05</v>
      </c>
      <c r="W82" s="74">
        <v>1.4E-2</v>
      </c>
      <c r="X82" s="50">
        <v>0.13700000000000001</v>
      </c>
      <c r="Y82" s="74">
        <v>7.0000000000000001E-3</v>
      </c>
      <c r="AB82" s="50">
        <v>24.88</v>
      </c>
      <c r="AD82" s="164"/>
      <c r="AE82" s="50">
        <v>12.5</v>
      </c>
    </row>
    <row r="83" spans="1:39" ht="14">
      <c r="A83" s="41" t="s">
        <v>33</v>
      </c>
      <c r="B83" s="50" t="s">
        <v>707</v>
      </c>
      <c r="C83" s="50" t="s">
        <v>3944</v>
      </c>
      <c r="D83" s="48" t="s">
        <v>56</v>
      </c>
      <c r="E83" s="50" t="s">
        <v>112</v>
      </c>
      <c r="G83" s="76" t="s">
        <v>753</v>
      </c>
      <c r="H83" s="50">
        <v>2951</v>
      </c>
      <c r="I83" s="49" t="s">
        <v>1</v>
      </c>
      <c r="J83" s="50" t="s">
        <v>754</v>
      </c>
      <c r="K83" s="51">
        <v>41180</v>
      </c>
      <c r="L83" s="115">
        <v>41160</v>
      </c>
      <c r="N83" s="50" t="s">
        <v>2</v>
      </c>
      <c r="O83" s="74">
        <v>1.6</v>
      </c>
      <c r="P83" s="117">
        <v>4.5</v>
      </c>
      <c r="Q83" s="131">
        <v>6.24</v>
      </c>
      <c r="R83" s="119">
        <v>22.2</v>
      </c>
      <c r="S83" s="147">
        <v>25</v>
      </c>
      <c r="T83" s="50">
        <v>0.09</v>
      </c>
      <c r="U83" s="74">
        <v>3.3</v>
      </c>
      <c r="V83" s="50">
        <v>0.74</v>
      </c>
      <c r="W83" s="74">
        <v>1.7000000000000001E-2</v>
      </c>
      <c r="X83" s="50">
        <v>3.9E-2</v>
      </c>
      <c r="Y83" s="74">
        <v>3.0000000000000001E-3</v>
      </c>
      <c r="AB83" s="50">
        <v>81.09</v>
      </c>
      <c r="AD83" s="164"/>
      <c r="AE83" s="50">
        <v>12.5</v>
      </c>
      <c r="AI83" s="402">
        <v>480</v>
      </c>
      <c r="AJ83" s="402">
        <v>1600</v>
      </c>
    </row>
    <row r="84" spans="1:39" ht="14">
      <c r="A84" s="41" t="s">
        <v>33</v>
      </c>
      <c r="B84" s="50" t="s">
        <v>707</v>
      </c>
      <c r="C84" s="50" t="s">
        <v>3841</v>
      </c>
      <c r="D84" s="48" t="s">
        <v>213</v>
      </c>
      <c r="E84" s="50" t="s">
        <v>763</v>
      </c>
      <c r="G84" s="76" t="s">
        <v>764</v>
      </c>
      <c r="H84" s="50">
        <v>2951</v>
      </c>
      <c r="I84" s="49" t="s">
        <v>1</v>
      </c>
      <c r="J84" s="50" t="s">
        <v>765</v>
      </c>
      <c r="K84" s="51">
        <v>41170</v>
      </c>
      <c r="L84" s="115">
        <v>41160</v>
      </c>
      <c r="N84" s="50" t="s">
        <v>2</v>
      </c>
      <c r="O84" s="74">
        <v>0.5</v>
      </c>
      <c r="P84" s="117">
        <v>5</v>
      </c>
      <c r="Q84" s="131">
        <v>7.42</v>
      </c>
      <c r="R84" s="119">
        <v>11.3</v>
      </c>
      <c r="S84" s="147">
        <v>3</v>
      </c>
      <c r="T84" s="50">
        <v>7.0000000000000007E-2</v>
      </c>
      <c r="U84" s="74">
        <v>0.05</v>
      </c>
      <c r="V84" s="50">
        <v>0.05</v>
      </c>
      <c r="W84" s="74">
        <v>8.9999999999999993E-3</v>
      </c>
      <c r="X84" s="50">
        <v>0.01</v>
      </c>
      <c r="Y84" s="74">
        <v>1E-3</v>
      </c>
      <c r="AB84" s="50">
        <v>191.8</v>
      </c>
      <c r="AD84" s="164"/>
      <c r="AE84" s="50">
        <v>10.8</v>
      </c>
    </row>
    <row r="85" spans="1:39" ht="14">
      <c r="A85" s="41" t="s">
        <v>33</v>
      </c>
      <c r="B85" s="50" t="s">
        <v>707</v>
      </c>
      <c r="C85" s="50" t="s">
        <v>3841</v>
      </c>
      <c r="D85" s="48" t="s">
        <v>213</v>
      </c>
      <c r="E85" s="50" t="s">
        <v>763</v>
      </c>
      <c r="G85" s="76" t="s">
        <v>764</v>
      </c>
      <c r="H85" s="50">
        <v>2951</v>
      </c>
      <c r="I85" s="49" t="s">
        <v>1</v>
      </c>
      <c r="J85" s="50" t="s">
        <v>766</v>
      </c>
      <c r="K85" s="51">
        <v>41170</v>
      </c>
      <c r="L85" s="115">
        <v>41160</v>
      </c>
      <c r="N85" s="50" t="s">
        <v>2</v>
      </c>
      <c r="O85" s="74">
        <v>1.6</v>
      </c>
      <c r="P85" s="117">
        <v>5</v>
      </c>
      <c r="Q85" s="131">
        <v>7.56</v>
      </c>
      <c r="R85" s="119">
        <v>11.3</v>
      </c>
      <c r="S85" s="147">
        <v>6</v>
      </c>
      <c r="T85" s="50">
        <v>7.0000000000000007E-2</v>
      </c>
      <c r="U85" s="74">
        <v>0.05</v>
      </c>
      <c r="V85" s="50">
        <v>0.05</v>
      </c>
      <c r="W85" s="74">
        <v>8.9999999999999993E-3</v>
      </c>
      <c r="X85" s="50">
        <v>2.5999999999999999E-2</v>
      </c>
      <c r="Y85" s="74">
        <v>1E-3</v>
      </c>
      <c r="AB85" s="50">
        <v>192</v>
      </c>
      <c r="AD85" s="164"/>
      <c r="AE85" s="50">
        <v>12.5</v>
      </c>
    </row>
    <row r="86" spans="1:39" ht="14">
      <c r="A86" s="41" t="s">
        <v>33</v>
      </c>
      <c r="B86" s="50" t="s">
        <v>707</v>
      </c>
      <c r="C86" s="50" t="s">
        <v>3841</v>
      </c>
      <c r="D86" s="48" t="s">
        <v>213</v>
      </c>
      <c r="E86" s="50" t="s">
        <v>763</v>
      </c>
      <c r="G86" s="76" t="s">
        <v>764</v>
      </c>
      <c r="H86" s="50">
        <v>2951</v>
      </c>
      <c r="I86" s="49" t="s">
        <v>1</v>
      </c>
      <c r="J86" s="50" t="s">
        <v>767</v>
      </c>
      <c r="K86" s="51">
        <v>41170</v>
      </c>
      <c r="L86" s="115">
        <v>41160</v>
      </c>
      <c r="N86" s="50" t="s">
        <v>2</v>
      </c>
      <c r="O86" s="74">
        <v>2</v>
      </c>
      <c r="P86" s="117">
        <v>5</v>
      </c>
      <c r="Q86" s="131">
        <v>7.6</v>
      </c>
      <c r="R86" s="119">
        <v>15</v>
      </c>
      <c r="S86" s="147">
        <v>30</v>
      </c>
      <c r="T86" s="50">
        <v>0.08</v>
      </c>
      <c r="U86" s="74">
        <v>0.05</v>
      </c>
      <c r="V86" s="50">
        <v>0.05</v>
      </c>
      <c r="W86" s="74">
        <v>8.9999999999999993E-3</v>
      </c>
      <c r="X86" s="50">
        <v>7.4999999999999997E-2</v>
      </c>
      <c r="Y86" s="74">
        <v>1E-3</v>
      </c>
      <c r="AB86" s="50">
        <v>195</v>
      </c>
      <c r="AD86" s="164"/>
      <c r="AE86" s="50">
        <v>12.5</v>
      </c>
    </row>
    <row r="87" spans="1:39" ht="14">
      <c r="A87" s="41" t="s">
        <v>33</v>
      </c>
      <c r="B87" s="50" t="s">
        <v>891</v>
      </c>
      <c r="C87" s="50" t="s">
        <v>892</v>
      </c>
      <c r="D87" s="48" t="s">
        <v>98</v>
      </c>
      <c r="E87" s="50" t="s">
        <v>1546</v>
      </c>
      <c r="G87" s="76" t="s">
        <v>894</v>
      </c>
      <c r="H87" s="50">
        <v>2951</v>
      </c>
      <c r="I87" s="49" t="s">
        <v>1</v>
      </c>
      <c r="J87" s="50" t="s">
        <v>3945</v>
      </c>
      <c r="K87" s="51">
        <v>41192</v>
      </c>
      <c r="L87" s="115">
        <v>41189</v>
      </c>
      <c r="N87" s="50" t="s">
        <v>2</v>
      </c>
      <c r="O87" s="74">
        <v>2.5</v>
      </c>
      <c r="P87" s="117">
        <v>7.3</v>
      </c>
      <c r="Q87" s="131">
        <v>7.7</v>
      </c>
      <c r="R87" s="119">
        <v>39</v>
      </c>
      <c r="S87" s="147">
        <v>16</v>
      </c>
      <c r="T87" s="50">
        <v>0.05</v>
      </c>
      <c r="U87" s="74">
        <v>0.5</v>
      </c>
      <c r="V87" s="50">
        <v>0.16</v>
      </c>
      <c r="W87" s="74">
        <v>0.02</v>
      </c>
      <c r="X87" s="50">
        <v>0.01</v>
      </c>
      <c r="Y87" s="74">
        <v>6.4999999999999997E-3</v>
      </c>
      <c r="Z87" s="164">
        <v>1</v>
      </c>
      <c r="AA87" s="165">
        <v>1</v>
      </c>
      <c r="AB87" s="50">
        <v>14</v>
      </c>
      <c r="AC87" s="74">
        <v>74</v>
      </c>
      <c r="AD87" s="164">
        <v>1</v>
      </c>
      <c r="AE87" s="50">
        <v>0.5</v>
      </c>
    </row>
    <row r="88" spans="1:39" ht="14">
      <c r="A88" s="41" t="s">
        <v>33</v>
      </c>
      <c r="B88" s="50" t="s">
        <v>891</v>
      </c>
      <c r="C88" s="50" t="s">
        <v>892</v>
      </c>
      <c r="D88" s="48" t="s">
        <v>98</v>
      </c>
      <c r="E88" s="50" t="s">
        <v>1546</v>
      </c>
      <c r="G88" s="76" t="s">
        <v>894</v>
      </c>
      <c r="H88" s="50">
        <v>2951</v>
      </c>
      <c r="I88" s="49" t="s">
        <v>1</v>
      </c>
      <c r="J88" s="50" t="s">
        <v>3946</v>
      </c>
      <c r="K88" s="51">
        <v>41192</v>
      </c>
      <c r="L88" s="115">
        <v>41189</v>
      </c>
      <c r="N88" s="50" t="s">
        <v>2</v>
      </c>
      <c r="O88" s="74">
        <v>2.5</v>
      </c>
      <c r="P88" s="117">
        <v>7.3</v>
      </c>
      <c r="Q88" s="131">
        <v>7.3</v>
      </c>
      <c r="R88" s="119">
        <v>78</v>
      </c>
      <c r="S88" s="147">
        <v>8</v>
      </c>
      <c r="T88" s="50">
        <v>1.9</v>
      </c>
      <c r="U88" s="74">
        <v>0.5</v>
      </c>
      <c r="V88" s="50">
        <v>0.05</v>
      </c>
      <c r="W88" s="74">
        <v>0.02</v>
      </c>
      <c r="X88" s="50">
        <v>0.14000000000000001</v>
      </c>
      <c r="Y88" s="74">
        <v>6.4999999999999997E-3</v>
      </c>
      <c r="Z88" s="164">
        <v>1</v>
      </c>
      <c r="AA88" s="165">
        <v>1</v>
      </c>
      <c r="AB88" s="50">
        <v>13</v>
      </c>
      <c r="AC88" s="74">
        <v>43</v>
      </c>
      <c r="AD88" s="164">
        <v>0.8</v>
      </c>
      <c r="AE88" s="50">
        <v>0.5</v>
      </c>
    </row>
    <row r="89" spans="1:39" ht="14">
      <c r="A89" s="41" t="s">
        <v>33</v>
      </c>
      <c r="B89" s="50" t="s">
        <v>891</v>
      </c>
      <c r="C89" s="50" t="s">
        <v>892</v>
      </c>
      <c r="D89" s="48" t="s">
        <v>98</v>
      </c>
      <c r="E89" s="50" t="s">
        <v>1546</v>
      </c>
      <c r="G89" s="76" t="s">
        <v>894</v>
      </c>
      <c r="H89" s="50">
        <v>2951</v>
      </c>
      <c r="I89" s="49" t="s">
        <v>1</v>
      </c>
      <c r="J89" s="50" t="s">
        <v>3947</v>
      </c>
      <c r="K89" s="51">
        <v>41022</v>
      </c>
      <c r="L89" s="115">
        <v>41000</v>
      </c>
      <c r="N89" s="50" t="s">
        <v>2</v>
      </c>
      <c r="O89" s="74">
        <v>2.5</v>
      </c>
      <c r="P89" s="117">
        <v>7.1</v>
      </c>
      <c r="Q89" s="131">
        <v>6.65</v>
      </c>
      <c r="R89" s="119">
        <v>17</v>
      </c>
      <c r="S89" s="147">
        <v>2.5</v>
      </c>
      <c r="T89" s="50">
        <v>0.05</v>
      </c>
      <c r="U89" s="74">
        <v>0.5</v>
      </c>
      <c r="V89" s="50">
        <v>0.4</v>
      </c>
      <c r="W89" s="74">
        <v>0.02</v>
      </c>
      <c r="X89" s="50">
        <v>2.8000000000000001E-2</v>
      </c>
      <c r="Y89" s="74">
        <v>6.4999999999999997E-3</v>
      </c>
      <c r="AD89" s="164"/>
      <c r="AE89" s="50">
        <v>3.85E-2</v>
      </c>
    </row>
    <row r="90" spans="1:39" ht="14">
      <c r="A90" s="41" t="s">
        <v>33</v>
      </c>
      <c r="B90" s="90" t="s">
        <v>891</v>
      </c>
      <c r="C90" s="90" t="s">
        <v>892</v>
      </c>
      <c r="D90" s="91" t="s">
        <v>98</v>
      </c>
      <c r="E90" s="90" t="s">
        <v>1546</v>
      </c>
      <c r="F90" s="90"/>
      <c r="G90" s="209" t="s">
        <v>894</v>
      </c>
      <c r="H90" s="90">
        <v>2951</v>
      </c>
      <c r="I90" s="210" t="s">
        <v>1</v>
      </c>
      <c r="J90" s="90" t="s">
        <v>3946</v>
      </c>
      <c r="K90" s="92">
        <v>41022</v>
      </c>
      <c r="L90" s="179">
        <v>41000</v>
      </c>
      <c r="M90" s="90"/>
      <c r="N90" s="90" t="s">
        <v>2</v>
      </c>
      <c r="O90" s="89">
        <v>2.5</v>
      </c>
      <c r="P90" s="211">
        <v>7.1</v>
      </c>
      <c r="Q90" s="212">
        <v>6.17</v>
      </c>
      <c r="R90" s="213">
        <v>42</v>
      </c>
      <c r="S90" s="214">
        <v>8</v>
      </c>
      <c r="T90" s="90">
        <v>0.05</v>
      </c>
      <c r="U90" s="89">
        <v>0.5</v>
      </c>
      <c r="V90" s="90">
        <v>0.21</v>
      </c>
      <c r="W90" s="89">
        <v>0.02</v>
      </c>
      <c r="X90" s="90">
        <v>8.5000000000000006E-2</v>
      </c>
      <c r="Y90" s="89">
        <v>6.4999999999999997E-3</v>
      </c>
      <c r="Z90" s="180"/>
      <c r="AA90" s="181"/>
      <c r="AB90" s="90"/>
      <c r="AC90" s="89"/>
      <c r="AD90" s="180"/>
      <c r="AE90" s="50">
        <v>3.85E-2</v>
      </c>
      <c r="AF90" s="90"/>
      <c r="AG90" s="90"/>
      <c r="AH90" s="90"/>
      <c r="AI90" s="90"/>
      <c r="AJ90" s="90"/>
      <c r="AK90" s="90"/>
      <c r="AL90" s="90"/>
      <c r="AM90" s="90"/>
    </row>
    <row r="91" spans="1:39" ht="14">
      <c r="A91" s="41" t="s">
        <v>33</v>
      </c>
      <c r="B91" s="50" t="s">
        <v>707</v>
      </c>
      <c r="C91" s="50" t="s">
        <v>3768</v>
      </c>
      <c r="D91" s="48" t="s">
        <v>756</v>
      </c>
      <c r="E91" s="50" t="s">
        <v>757</v>
      </c>
      <c r="G91" s="76" t="s">
        <v>758</v>
      </c>
      <c r="H91" s="50" t="s">
        <v>3769</v>
      </c>
      <c r="J91" s="50" t="s">
        <v>760</v>
      </c>
      <c r="K91" s="51">
        <v>41376</v>
      </c>
      <c r="L91" s="115">
        <v>41364</v>
      </c>
      <c r="N91" s="50" t="s">
        <v>2</v>
      </c>
      <c r="O91" s="74">
        <v>0.5</v>
      </c>
      <c r="P91" s="117">
        <v>6</v>
      </c>
      <c r="Q91" s="131">
        <v>6.4</v>
      </c>
      <c r="R91" s="119">
        <v>58.5</v>
      </c>
      <c r="S91" s="147">
        <v>328</v>
      </c>
      <c r="T91" s="50">
        <v>1.23</v>
      </c>
      <c r="U91" s="74">
        <v>1.02</v>
      </c>
      <c r="V91" s="50">
        <v>0.05</v>
      </c>
      <c r="W91" s="74">
        <v>7.3999999999999996E-2</v>
      </c>
      <c r="X91" s="50">
        <v>0.33600000000000002</v>
      </c>
      <c r="Y91" s="74">
        <v>1.2E-2</v>
      </c>
      <c r="AB91" s="50">
        <v>128.9</v>
      </c>
      <c r="AD91" s="164"/>
      <c r="AE91" s="50">
        <v>12.4</v>
      </c>
      <c r="AM91" s="402">
        <v>23.24</v>
      </c>
    </row>
    <row r="92" spans="1:39" ht="14">
      <c r="A92" s="41" t="s">
        <v>33</v>
      </c>
      <c r="B92" s="50" t="s">
        <v>707</v>
      </c>
      <c r="C92" s="50" t="s">
        <v>3843</v>
      </c>
      <c r="D92" s="48" t="s">
        <v>710</v>
      </c>
      <c r="E92" s="50" t="s">
        <v>711</v>
      </c>
      <c r="G92" s="76" t="s">
        <v>712</v>
      </c>
      <c r="H92" s="50">
        <v>2951</v>
      </c>
      <c r="I92" s="49" t="s">
        <v>2</v>
      </c>
      <c r="J92" s="50" t="s">
        <v>713</v>
      </c>
      <c r="K92" s="51">
        <v>41428</v>
      </c>
      <c r="L92" s="115">
        <v>41422</v>
      </c>
      <c r="N92" s="50" t="s">
        <v>2</v>
      </c>
      <c r="O92" s="74">
        <v>0.5</v>
      </c>
      <c r="P92" s="117">
        <v>6</v>
      </c>
      <c r="Q92" s="131">
        <v>6.67</v>
      </c>
      <c r="R92" s="119">
        <v>22.2</v>
      </c>
      <c r="S92" s="147">
        <v>0.5</v>
      </c>
      <c r="T92" s="50">
        <v>0.13</v>
      </c>
      <c r="U92" s="74">
        <v>0.05</v>
      </c>
      <c r="V92" s="50">
        <v>0.11</v>
      </c>
      <c r="W92" s="74">
        <v>2.5000000000000001E-3</v>
      </c>
      <c r="X92" s="50">
        <v>2.9000000000000001E-2</v>
      </c>
      <c r="Y92" s="74">
        <v>1E-3</v>
      </c>
      <c r="AB92" s="50">
        <v>33.14</v>
      </c>
      <c r="AD92" s="164"/>
      <c r="AE92" s="50">
        <v>12.5</v>
      </c>
    </row>
    <row r="93" spans="1:39" ht="14">
      <c r="A93" s="41" t="s">
        <v>33</v>
      </c>
      <c r="B93" s="50" t="s">
        <v>707</v>
      </c>
      <c r="C93" s="50" t="s">
        <v>3843</v>
      </c>
      <c r="D93" s="48" t="s">
        <v>710</v>
      </c>
      <c r="E93" s="50" t="s">
        <v>711</v>
      </c>
      <c r="G93" s="76" t="s">
        <v>712</v>
      </c>
      <c r="H93" s="50">
        <v>2951</v>
      </c>
      <c r="I93" s="49" t="s">
        <v>2</v>
      </c>
      <c r="J93" s="50" t="s">
        <v>3844</v>
      </c>
      <c r="K93" s="51">
        <v>41428</v>
      </c>
      <c r="L93" s="115">
        <v>41422</v>
      </c>
      <c r="N93" s="50" t="s">
        <v>2</v>
      </c>
      <c r="O93" s="74">
        <v>0.5</v>
      </c>
      <c r="P93" s="117">
        <v>6</v>
      </c>
      <c r="Q93" s="131">
        <v>6.43</v>
      </c>
      <c r="R93" s="119">
        <v>0.5</v>
      </c>
      <c r="S93" s="147">
        <v>0.5</v>
      </c>
      <c r="T93" s="50">
        <v>0.13</v>
      </c>
      <c r="U93" s="74">
        <v>0.05</v>
      </c>
      <c r="V93" s="50">
        <v>0.14000000000000001</v>
      </c>
      <c r="W93" s="74">
        <v>2.5000000000000001E-3</v>
      </c>
      <c r="X93" s="50">
        <v>1.4999999999999999E-2</v>
      </c>
      <c r="Y93" s="74">
        <v>1E-3</v>
      </c>
      <c r="AB93" s="50">
        <v>31.76</v>
      </c>
      <c r="AD93" s="164"/>
      <c r="AE93" s="50"/>
    </row>
    <row r="94" spans="1:39" ht="14">
      <c r="A94" s="41" t="s">
        <v>33</v>
      </c>
      <c r="B94" s="50" t="s">
        <v>707</v>
      </c>
      <c r="C94" s="50" t="s">
        <v>1318</v>
      </c>
      <c r="D94" s="48" t="s">
        <v>372</v>
      </c>
      <c r="E94" s="50" t="s">
        <v>235</v>
      </c>
      <c r="G94" s="76" t="s">
        <v>773</v>
      </c>
      <c r="H94" s="50">
        <v>2951</v>
      </c>
      <c r="I94" s="49" t="s">
        <v>1</v>
      </c>
      <c r="J94" s="50" t="s">
        <v>774</v>
      </c>
      <c r="K94" s="51">
        <v>41428</v>
      </c>
      <c r="L94" s="115">
        <v>41422</v>
      </c>
      <c r="N94" s="50" t="s">
        <v>2</v>
      </c>
      <c r="O94" s="74">
        <v>3.6</v>
      </c>
      <c r="P94" s="117">
        <v>4</v>
      </c>
      <c r="Q94" s="131">
        <v>8.09</v>
      </c>
      <c r="R94" s="119">
        <v>28.9</v>
      </c>
      <c r="S94" s="147">
        <v>375</v>
      </c>
      <c r="T94" s="50">
        <v>0.56999999999999995</v>
      </c>
      <c r="U94" s="74">
        <v>0.11</v>
      </c>
      <c r="V94" s="50">
        <v>0.16</v>
      </c>
      <c r="W94" s="74">
        <v>1.4999999999999999E-2</v>
      </c>
      <c r="X94" s="50">
        <v>6.5000000000000002E-2</v>
      </c>
      <c r="Y94" s="74">
        <v>5.0000000000000001E-3</v>
      </c>
      <c r="AB94" s="50">
        <v>33.35</v>
      </c>
      <c r="AD94" s="164"/>
      <c r="AE94" s="50">
        <v>12.5</v>
      </c>
    </row>
    <row r="95" spans="1:39" ht="14">
      <c r="A95" s="41" t="s">
        <v>33</v>
      </c>
      <c r="B95" s="50" t="s">
        <v>707</v>
      </c>
      <c r="C95" s="50" t="s">
        <v>3838</v>
      </c>
      <c r="D95" s="48" t="s">
        <v>195</v>
      </c>
      <c r="E95" s="50" t="s">
        <v>786</v>
      </c>
      <c r="G95" s="76" t="s">
        <v>787</v>
      </c>
      <c r="H95" s="50">
        <v>2951</v>
      </c>
      <c r="I95" s="49" t="s">
        <v>2</v>
      </c>
      <c r="J95" s="50" t="s">
        <v>788</v>
      </c>
      <c r="K95" s="51">
        <v>41376</v>
      </c>
      <c r="L95" s="115">
        <v>41364</v>
      </c>
      <c r="N95" s="50" t="s">
        <v>2</v>
      </c>
      <c r="O95" s="74">
        <v>1.6</v>
      </c>
      <c r="P95" s="117">
        <v>5</v>
      </c>
      <c r="Q95" s="131">
        <v>7.83</v>
      </c>
      <c r="R95" s="119">
        <v>18.7</v>
      </c>
      <c r="S95" s="147">
        <v>16</v>
      </c>
      <c r="T95" s="50">
        <v>0.1</v>
      </c>
      <c r="U95" s="74">
        <v>0.37</v>
      </c>
      <c r="V95" s="50">
        <v>0.05</v>
      </c>
      <c r="W95" s="74">
        <v>7.0000000000000001E-3</v>
      </c>
      <c r="X95" s="50">
        <v>1.6E-2</v>
      </c>
      <c r="Y95" s="74">
        <v>1E-3</v>
      </c>
      <c r="AB95" s="50">
        <v>45.4</v>
      </c>
      <c r="AD95" s="164"/>
      <c r="AE95" s="50">
        <v>12.5</v>
      </c>
    </row>
    <row r="96" spans="1:39" ht="14">
      <c r="A96" s="41" t="s">
        <v>33</v>
      </c>
      <c r="B96" s="50" t="s">
        <v>707</v>
      </c>
      <c r="C96" s="50" t="s">
        <v>3829</v>
      </c>
      <c r="D96" s="48" t="s">
        <v>89</v>
      </c>
      <c r="E96" s="50" t="s">
        <v>4045</v>
      </c>
      <c r="G96" s="76" t="s">
        <v>791</v>
      </c>
      <c r="H96" s="50">
        <v>2951</v>
      </c>
      <c r="I96" s="49" t="s">
        <v>1</v>
      </c>
      <c r="J96" s="50" t="s">
        <v>790</v>
      </c>
      <c r="K96" s="51">
        <v>41428</v>
      </c>
      <c r="L96" s="115">
        <v>41422</v>
      </c>
      <c r="N96" s="50" t="s">
        <v>2</v>
      </c>
      <c r="O96" s="74">
        <v>2.8</v>
      </c>
      <c r="P96" s="117">
        <v>5</v>
      </c>
      <c r="Q96" s="131">
        <v>6.97</v>
      </c>
      <c r="R96" s="119">
        <v>85.5</v>
      </c>
      <c r="S96" s="147">
        <v>214</v>
      </c>
      <c r="T96" s="50">
        <v>0.49</v>
      </c>
      <c r="U96" s="74">
        <v>0.05</v>
      </c>
      <c r="V96" s="50">
        <v>0.34</v>
      </c>
      <c r="W96" s="74">
        <v>1.6E-2</v>
      </c>
      <c r="X96" s="50">
        <v>6.0999999999999999E-2</v>
      </c>
      <c r="Y96" s="74">
        <v>5.0000000000000001E-3</v>
      </c>
      <c r="AB96" s="50">
        <v>50.34</v>
      </c>
      <c r="AD96" s="164"/>
      <c r="AE96" s="50">
        <v>12.5</v>
      </c>
    </row>
    <row r="97" spans="1:43" ht="14">
      <c r="A97" s="41" t="s">
        <v>33</v>
      </c>
      <c r="B97" s="50" t="s">
        <v>707</v>
      </c>
      <c r="C97" s="50" t="s">
        <v>3944</v>
      </c>
      <c r="D97" s="48" t="s">
        <v>684</v>
      </c>
      <c r="E97" s="50" t="s">
        <v>112</v>
      </c>
      <c r="G97" s="76" t="s">
        <v>753</v>
      </c>
      <c r="H97" s="50">
        <v>2951</v>
      </c>
      <c r="I97" s="49" t="s">
        <v>1</v>
      </c>
      <c r="J97" s="50" t="s">
        <v>754</v>
      </c>
      <c r="K97" s="51">
        <v>41428</v>
      </c>
      <c r="L97" s="115">
        <v>41422</v>
      </c>
      <c r="N97" s="50" t="s">
        <v>2</v>
      </c>
      <c r="O97" s="74">
        <v>0.5</v>
      </c>
      <c r="P97" s="117">
        <v>5</v>
      </c>
      <c r="Q97" s="131">
        <v>6.77</v>
      </c>
      <c r="R97" s="119">
        <v>87.7</v>
      </c>
      <c r="S97" s="147">
        <v>63</v>
      </c>
      <c r="T97" s="50">
        <v>0.4</v>
      </c>
      <c r="U97" s="74">
        <v>0.36</v>
      </c>
      <c r="V97" s="50">
        <v>0.27</v>
      </c>
      <c r="W97" s="74">
        <v>0.01</v>
      </c>
      <c r="X97" s="50">
        <v>2.1999999999999999E-2</v>
      </c>
      <c r="Y97" s="74">
        <v>3.0000000000000001E-3</v>
      </c>
      <c r="AB97" s="50">
        <v>14.08</v>
      </c>
      <c r="AD97" s="164"/>
      <c r="AE97" s="50">
        <v>12.5</v>
      </c>
    </row>
    <row r="98" spans="1:43" ht="14">
      <c r="A98" s="41" t="s">
        <v>33</v>
      </c>
      <c r="B98" s="50" t="s">
        <v>707</v>
      </c>
      <c r="C98" s="50" t="s">
        <v>3939</v>
      </c>
      <c r="D98" s="48" t="s">
        <v>251</v>
      </c>
      <c r="E98" s="50" t="s">
        <v>719</v>
      </c>
      <c r="F98" s="50">
        <v>4402</v>
      </c>
      <c r="G98" s="76" t="s">
        <v>720</v>
      </c>
      <c r="H98" s="50" t="s">
        <v>3851</v>
      </c>
      <c r="I98" s="49" t="s">
        <v>2</v>
      </c>
      <c r="J98" s="50" t="s">
        <v>723</v>
      </c>
      <c r="K98" s="51">
        <v>41428</v>
      </c>
      <c r="L98" s="115">
        <v>41422</v>
      </c>
      <c r="N98" s="50" t="s">
        <v>2</v>
      </c>
      <c r="O98" s="74">
        <v>1.2</v>
      </c>
      <c r="P98" s="117">
        <v>5.5</v>
      </c>
      <c r="Q98" s="131">
        <v>7.36</v>
      </c>
      <c r="R98" s="119">
        <v>0.5</v>
      </c>
      <c r="S98" s="147">
        <v>4</v>
      </c>
      <c r="T98" s="50">
        <v>0.1</v>
      </c>
      <c r="U98" s="74">
        <v>0.05</v>
      </c>
      <c r="V98" s="50">
        <v>0.28999999999999998</v>
      </c>
      <c r="W98" s="74">
        <v>2.5000000000000001E-3</v>
      </c>
      <c r="X98" s="50">
        <v>2.5000000000000001E-2</v>
      </c>
      <c r="Y98" s="74">
        <v>1E-3</v>
      </c>
      <c r="AB98" s="50">
        <v>249</v>
      </c>
      <c r="AD98" s="164"/>
      <c r="AE98" s="50">
        <v>12.5</v>
      </c>
    </row>
    <row r="99" spans="1:43" ht="14">
      <c r="A99" s="41" t="s">
        <v>33</v>
      </c>
      <c r="B99" s="50" t="s">
        <v>707</v>
      </c>
      <c r="C99" s="50" t="s">
        <v>3939</v>
      </c>
      <c r="D99" s="48" t="s">
        <v>251</v>
      </c>
      <c r="E99" s="50" t="s">
        <v>719</v>
      </c>
      <c r="F99" s="50">
        <v>4402</v>
      </c>
      <c r="G99" s="76" t="s">
        <v>720</v>
      </c>
      <c r="H99" s="50" t="s">
        <v>3851</v>
      </c>
      <c r="I99" s="49" t="s">
        <v>2</v>
      </c>
      <c r="J99" s="50" t="s">
        <v>3852</v>
      </c>
      <c r="K99" s="51">
        <v>41428</v>
      </c>
      <c r="L99" s="115">
        <v>41422</v>
      </c>
      <c r="N99" s="50" t="s">
        <v>2</v>
      </c>
      <c r="O99" s="74">
        <v>0.5</v>
      </c>
      <c r="P99" s="117">
        <v>5.5</v>
      </c>
      <c r="Q99" s="131">
        <v>7.38</v>
      </c>
      <c r="R99" s="119">
        <v>0.5</v>
      </c>
      <c r="S99" s="147">
        <v>3</v>
      </c>
      <c r="T99" s="50">
        <v>0.14000000000000001</v>
      </c>
      <c r="U99" s="74">
        <v>0.05</v>
      </c>
      <c r="V99" s="50">
        <v>0.24</v>
      </c>
      <c r="W99" s="74">
        <v>2.5000000000000001E-3</v>
      </c>
      <c r="X99" s="50">
        <v>1.9E-2</v>
      </c>
      <c r="Y99" s="74">
        <v>1E-3</v>
      </c>
      <c r="AB99" s="50">
        <v>256</v>
      </c>
      <c r="AD99" s="164"/>
      <c r="AE99" s="50">
        <v>12.5</v>
      </c>
    </row>
    <row r="100" spans="1:43" ht="14">
      <c r="A100" s="41" t="s">
        <v>33</v>
      </c>
      <c r="B100" s="50" t="s">
        <v>707</v>
      </c>
      <c r="C100" s="50" t="s">
        <v>3939</v>
      </c>
      <c r="D100" s="48" t="s">
        <v>251</v>
      </c>
      <c r="E100" s="50" t="s">
        <v>719</v>
      </c>
      <c r="F100" s="50">
        <v>4402</v>
      </c>
      <c r="G100" s="76" t="s">
        <v>720</v>
      </c>
      <c r="H100" s="50" t="s">
        <v>3851</v>
      </c>
      <c r="I100" s="49" t="s">
        <v>2</v>
      </c>
      <c r="J100" s="50" t="s">
        <v>3853</v>
      </c>
      <c r="K100" s="51">
        <v>41428</v>
      </c>
      <c r="L100" s="115">
        <v>41422</v>
      </c>
      <c r="N100" s="50" t="s">
        <v>2</v>
      </c>
      <c r="O100" s="74">
        <v>0.5</v>
      </c>
      <c r="P100" s="117">
        <v>5.5</v>
      </c>
      <c r="Q100" s="131">
        <v>7.27</v>
      </c>
      <c r="R100" s="119">
        <v>0.5</v>
      </c>
      <c r="S100" s="147">
        <v>6</v>
      </c>
      <c r="T100" s="50">
        <v>0.19</v>
      </c>
      <c r="U100" s="74">
        <v>0.48</v>
      </c>
      <c r="V100" s="50">
        <v>0.13</v>
      </c>
      <c r="W100" s="74">
        <v>2.5000000000000001E-3</v>
      </c>
      <c r="X100" s="50">
        <v>2.4E-2</v>
      </c>
      <c r="Y100" s="74">
        <v>1E-3</v>
      </c>
      <c r="AB100" s="50">
        <v>263</v>
      </c>
      <c r="AD100" s="164"/>
      <c r="AE100" s="50">
        <v>12.5</v>
      </c>
    </row>
    <row r="101" spans="1:43" ht="14">
      <c r="A101" s="41" t="s">
        <v>33</v>
      </c>
      <c r="B101" s="50" t="s">
        <v>707</v>
      </c>
      <c r="C101" s="50" t="s">
        <v>1406</v>
      </c>
      <c r="D101" s="48" t="s">
        <v>314</v>
      </c>
      <c r="E101" s="50" t="s">
        <v>49</v>
      </c>
      <c r="G101" s="76" t="s">
        <v>728</v>
      </c>
      <c r="H101" s="50">
        <v>2951</v>
      </c>
      <c r="I101" s="49" t="s">
        <v>2</v>
      </c>
      <c r="J101" s="50" t="s">
        <v>5477</v>
      </c>
      <c r="K101" s="51">
        <v>41428</v>
      </c>
      <c r="L101" s="115">
        <v>41422</v>
      </c>
      <c r="N101" s="50" t="s">
        <v>2</v>
      </c>
      <c r="O101" s="74">
        <v>0.5</v>
      </c>
      <c r="P101" s="117">
        <v>6</v>
      </c>
      <c r="Q101" s="131">
        <v>7.03</v>
      </c>
      <c r="R101" s="119">
        <v>7.5</v>
      </c>
      <c r="S101" s="147">
        <v>20</v>
      </c>
      <c r="T101" s="50">
        <v>0.3</v>
      </c>
      <c r="U101" s="74">
        <v>2.1</v>
      </c>
      <c r="V101" s="50">
        <v>0.42</v>
      </c>
      <c r="W101" s="74">
        <v>5.0000000000000001E-3</v>
      </c>
      <c r="X101" s="50">
        <v>2.4E-2</v>
      </c>
      <c r="Y101" s="74">
        <v>2E-3</v>
      </c>
      <c r="AB101" s="50">
        <v>87.62</v>
      </c>
      <c r="AD101" s="164"/>
      <c r="AE101" s="50">
        <v>12.5</v>
      </c>
    </row>
    <row r="102" spans="1:43" ht="14">
      <c r="A102" s="41" t="s">
        <v>33</v>
      </c>
      <c r="B102" s="50" t="s">
        <v>707</v>
      </c>
      <c r="C102" s="50" t="s">
        <v>1406</v>
      </c>
      <c r="D102" s="48" t="s">
        <v>314</v>
      </c>
      <c r="E102" s="50" t="s">
        <v>49</v>
      </c>
      <c r="G102" s="76" t="s">
        <v>728</v>
      </c>
      <c r="H102" s="50">
        <v>2951</v>
      </c>
      <c r="I102" s="49" t="s">
        <v>2</v>
      </c>
      <c r="J102" s="50" t="s">
        <v>3849</v>
      </c>
      <c r="K102" s="51">
        <v>41428</v>
      </c>
      <c r="L102" s="115">
        <v>41422</v>
      </c>
      <c r="N102" s="50" t="s">
        <v>2</v>
      </c>
      <c r="O102" s="74">
        <v>1.6</v>
      </c>
      <c r="P102" s="117">
        <v>6</v>
      </c>
      <c r="Q102" s="131">
        <v>7.07</v>
      </c>
      <c r="R102" s="119">
        <v>11.3</v>
      </c>
      <c r="S102" s="147">
        <v>20</v>
      </c>
      <c r="T102" s="50">
        <v>0.2</v>
      </c>
      <c r="U102" s="74">
        <v>0.56000000000000005</v>
      </c>
      <c r="V102" s="50">
        <v>0.31</v>
      </c>
      <c r="W102" s="74">
        <v>5.0000000000000001E-3</v>
      </c>
      <c r="X102" s="50">
        <v>2.1999999999999999E-2</v>
      </c>
      <c r="Y102" s="74">
        <v>3.0000000000000001E-3</v>
      </c>
      <c r="AB102" s="50">
        <v>88.57</v>
      </c>
      <c r="AD102" s="164"/>
      <c r="AE102" s="50">
        <v>12.5</v>
      </c>
    </row>
    <row r="103" spans="1:43" ht="14">
      <c r="A103" s="41" t="s">
        <v>33</v>
      </c>
      <c r="B103" s="50" t="s">
        <v>707</v>
      </c>
      <c r="C103" s="50" t="s">
        <v>3839</v>
      </c>
      <c r="D103" s="48" t="s">
        <v>564</v>
      </c>
      <c r="E103" s="50" t="s">
        <v>782</v>
      </c>
      <c r="G103" s="76" t="s">
        <v>783</v>
      </c>
      <c r="H103" s="50" t="s">
        <v>3942</v>
      </c>
      <c r="I103" s="49" t="s">
        <v>2</v>
      </c>
      <c r="J103" s="50" t="s">
        <v>784</v>
      </c>
      <c r="K103" s="51">
        <v>41432</v>
      </c>
      <c r="L103" s="115">
        <v>41428</v>
      </c>
      <c r="N103" s="50" t="s">
        <v>2</v>
      </c>
      <c r="O103" s="74">
        <v>1.6</v>
      </c>
      <c r="P103" s="117">
        <v>5</v>
      </c>
      <c r="Q103" s="131">
        <v>7.11</v>
      </c>
      <c r="R103" s="119">
        <v>18.7</v>
      </c>
      <c r="S103" s="147">
        <v>5</v>
      </c>
      <c r="T103" s="50">
        <v>0.06</v>
      </c>
      <c r="U103" s="74">
        <v>0.2</v>
      </c>
      <c r="V103" s="50">
        <v>0.16</v>
      </c>
      <c r="W103" s="74">
        <v>8.0000000000000002E-3</v>
      </c>
      <c r="X103" s="50">
        <v>2.5000000000000001E-2</v>
      </c>
      <c r="Y103" s="74">
        <v>1E-3</v>
      </c>
      <c r="AB103" s="50">
        <v>71.599999999999994</v>
      </c>
      <c r="AD103" s="164"/>
      <c r="AE103" s="50">
        <v>12.5</v>
      </c>
    </row>
    <row r="104" spans="1:43" ht="14">
      <c r="A104" s="41" t="s">
        <v>33</v>
      </c>
      <c r="B104" s="50" t="s">
        <v>532</v>
      </c>
      <c r="C104" s="50" t="s">
        <v>1099</v>
      </c>
      <c r="D104" s="48" t="s">
        <v>372</v>
      </c>
      <c r="E104" s="50" t="s">
        <v>235</v>
      </c>
      <c r="G104" s="76" t="s">
        <v>1100</v>
      </c>
      <c r="H104" s="50">
        <v>2951</v>
      </c>
      <c r="I104" s="49" t="s">
        <v>1</v>
      </c>
      <c r="J104" s="50" t="s">
        <v>593</v>
      </c>
      <c r="K104" s="51">
        <v>41352</v>
      </c>
      <c r="L104" s="115">
        <v>41345</v>
      </c>
      <c r="N104" s="50" t="s">
        <v>2</v>
      </c>
      <c r="O104" s="74">
        <v>3.36</v>
      </c>
      <c r="P104" s="117">
        <v>5.5</v>
      </c>
      <c r="Q104" s="131">
        <v>7.3</v>
      </c>
      <c r="R104" s="119">
        <v>81</v>
      </c>
      <c r="S104" s="147">
        <v>154</v>
      </c>
      <c r="T104" s="50">
        <v>0.31</v>
      </c>
      <c r="U104" s="74">
        <v>0.68</v>
      </c>
      <c r="V104" s="50">
        <v>0.25</v>
      </c>
      <c r="W104" s="74">
        <v>0.05</v>
      </c>
      <c r="X104" s="50">
        <v>8.7999999999999995E-2</v>
      </c>
      <c r="Y104" s="74">
        <v>3.9E-2</v>
      </c>
      <c r="Z104" s="164">
        <v>1</v>
      </c>
      <c r="AA104" s="165">
        <v>1</v>
      </c>
      <c r="AB104" s="50">
        <v>28</v>
      </c>
      <c r="AC104" s="74">
        <v>289</v>
      </c>
      <c r="AD104" s="164">
        <v>1</v>
      </c>
      <c r="AE104" s="50" t="s">
        <v>955</v>
      </c>
      <c r="AK104" s="402">
        <v>0</v>
      </c>
    </row>
    <row r="105" spans="1:43" ht="14">
      <c r="A105" s="41" t="s">
        <v>33</v>
      </c>
      <c r="B105" s="50" t="s">
        <v>707</v>
      </c>
      <c r="C105" s="50" t="s">
        <v>3846</v>
      </c>
      <c r="D105" s="48" t="s">
        <v>406</v>
      </c>
      <c r="E105" s="50" t="s">
        <v>3940</v>
      </c>
      <c r="G105" s="76" t="s">
        <v>1215</v>
      </c>
      <c r="H105" s="50" t="s">
        <v>3847</v>
      </c>
      <c r="I105" s="49" t="s">
        <v>1</v>
      </c>
      <c r="J105" s="50" t="s">
        <v>733</v>
      </c>
      <c r="K105" s="51">
        <v>41432</v>
      </c>
      <c r="L105" s="115">
        <v>41428</v>
      </c>
      <c r="N105" s="50" t="s">
        <v>2</v>
      </c>
      <c r="O105" s="74">
        <v>16.399999999999999</v>
      </c>
      <c r="P105" s="117">
        <v>5</v>
      </c>
      <c r="Q105" s="131">
        <v>5.35</v>
      </c>
      <c r="R105" s="119">
        <v>432</v>
      </c>
      <c r="S105" s="147">
        <v>206</v>
      </c>
      <c r="T105" s="50">
        <v>0.5</v>
      </c>
      <c r="U105" s="74">
        <v>2.13</v>
      </c>
      <c r="V105" s="50">
        <v>0.76</v>
      </c>
      <c r="W105" s="74">
        <v>4.2999999999999997E-2</v>
      </c>
      <c r="X105" s="50">
        <v>0.314</v>
      </c>
      <c r="Y105" s="74">
        <v>3.1E-2</v>
      </c>
      <c r="AB105" s="50">
        <v>22.5</v>
      </c>
      <c r="AD105" s="164"/>
      <c r="AE105" s="50">
        <v>12.5</v>
      </c>
    </row>
    <row r="106" spans="1:43" ht="14">
      <c r="A106" s="41" t="s">
        <v>33</v>
      </c>
      <c r="B106" s="50" t="s">
        <v>532</v>
      </c>
      <c r="C106" s="49" t="s">
        <v>1077</v>
      </c>
      <c r="D106" s="48" t="s">
        <v>262</v>
      </c>
      <c r="E106" s="49" t="s">
        <v>664</v>
      </c>
      <c r="G106" s="48" t="s">
        <v>1078</v>
      </c>
      <c r="H106" s="49">
        <v>2951</v>
      </c>
      <c r="I106" s="50" t="s">
        <v>1</v>
      </c>
      <c r="J106" s="49" t="s">
        <v>477</v>
      </c>
      <c r="K106" s="51">
        <v>41044</v>
      </c>
      <c r="L106" s="173">
        <v>41039</v>
      </c>
      <c r="N106" s="50" t="s">
        <v>2</v>
      </c>
      <c r="O106" s="74">
        <v>6.8</v>
      </c>
      <c r="P106" s="50">
        <v>6.8</v>
      </c>
      <c r="Q106" s="131">
        <v>8.56</v>
      </c>
      <c r="R106" s="119">
        <v>170</v>
      </c>
      <c r="S106" s="147">
        <v>260</v>
      </c>
      <c r="T106" s="50">
        <f>0.1/2</f>
        <v>0.05</v>
      </c>
      <c r="U106" s="74">
        <f>1/2</f>
        <v>0.5</v>
      </c>
      <c r="V106" s="50">
        <v>0.11</v>
      </c>
      <c r="W106" s="74">
        <f>0.04/2</f>
        <v>0.02</v>
      </c>
      <c r="X106" s="50">
        <v>0.24</v>
      </c>
      <c r="Y106" s="74">
        <v>2.4E-2</v>
      </c>
      <c r="AD106" s="164"/>
      <c r="AE106" s="50">
        <v>1.86</v>
      </c>
    </row>
    <row r="107" spans="1:43" ht="14">
      <c r="A107" s="41" t="s">
        <v>33</v>
      </c>
      <c r="B107" s="50" t="s">
        <v>532</v>
      </c>
      <c r="C107" s="49" t="s">
        <v>1077</v>
      </c>
      <c r="D107" s="48" t="s">
        <v>262</v>
      </c>
      <c r="E107" s="49" t="s">
        <v>664</v>
      </c>
      <c r="G107" s="48" t="s">
        <v>1078</v>
      </c>
      <c r="H107" s="49">
        <v>2951</v>
      </c>
      <c r="I107" s="50" t="s">
        <v>1</v>
      </c>
      <c r="J107" s="49" t="s">
        <v>473</v>
      </c>
      <c r="K107" s="51">
        <v>41044</v>
      </c>
      <c r="L107" s="173">
        <v>41039</v>
      </c>
      <c r="N107" s="50" t="s">
        <v>2</v>
      </c>
      <c r="O107" s="74">
        <v>5.7</v>
      </c>
      <c r="P107" s="50">
        <v>6.8</v>
      </c>
      <c r="Q107" s="131">
        <v>8.85</v>
      </c>
      <c r="R107" s="119">
        <v>250</v>
      </c>
      <c r="S107" s="147">
        <v>380</v>
      </c>
      <c r="T107" s="50">
        <v>0.2</v>
      </c>
      <c r="U107" s="74">
        <f>1/2</f>
        <v>0.5</v>
      </c>
      <c r="V107" s="50">
        <f>0.1/2</f>
        <v>0.05</v>
      </c>
      <c r="W107" s="74">
        <v>5.2999999999999999E-2</v>
      </c>
      <c r="X107" s="50">
        <v>0.36</v>
      </c>
      <c r="Y107" s="74">
        <v>3.2000000000000001E-2</v>
      </c>
      <c r="AD107" s="164"/>
      <c r="AE107" s="50">
        <v>2.96</v>
      </c>
    </row>
    <row r="108" spans="1:43" ht="14">
      <c r="A108" s="41" t="s">
        <v>33</v>
      </c>
      <c r="B108" s="50" t="s">
        <v>532</v>
      </c>
      <c r="C108" s="50" t="s">
        <v>1048</v>
      </c>
      <c r="D108" s="48" t="s">
        <v>1896</v>
      </c>
      <c r="E108" s="50" t="s">
        <v>664</v>
      </c>
      <c r="G108" s="76" t="s">
        <v>1049</v>
      </c>
      <c r="H108" s="50">
        <v>3273</v>
      </c>
      <c r="I108" s="49" t="s">
        <v>1</v>
      </c>
      <c r="J108" s="50" t="s">
        <v>255</v>
      </c>
      <c r="K108" s="51">
        <v>41044</v>
      </c>
      <c r="L108" s="115">
        <v>41039</v>
      </c>
      <c r="N108" s="50" t="s">
        <v>2</v>
      </c>
      <c r="O108" s="74">
        <f>5/2</f>
        <v>2.5</v>
      </c>
      <c r="P108" s="117">
        <v>5.5</v>
      </c>
      <c r="Q108" s="131">
        <v>8.59</v>
      </c>
      <c r="R108" s="119">
        <v>26</v>
      </c>
      <c r="S108" s="147">
        <v>32</v>
      </c>
      <c r="T108" s="50">
        <f>0.1/2</f>
        <v>0.05</v>
      </c>
      <c r="U108" s="74">
        <f>1/2</f>
        <v>0.5</v>
      </c>
      <c r="V108" s="50">
        <v>0.34</v>
      </c>
      <c r="W108" s="74">
        <f>0.04/2</f>
        <v>0.02</v>
      </c>
      <c r="X108" s="50">
        <v>5.3999999999999999E-2</v>
      </c>
      <c r="Y108" s="74">
        <f>0.013/2</f>
        <v>6.4999999999999997E-3</v>
      </c>
      <c r="AD108" s="164"/>
      <c r="AE108" s="50"/>
    </row>
    <row r="109" spans="1:43" ht="14">
      <c r="A109" s="207" t="s">
        <v>33</v>
      </c>
      <c r="B109" s="50" t="s">
        <v>707</v>
      </c>
      <c r="C109" s="74" t="s">
        <v>1383</v>
      </c>
      <c r="D109" s="48" t="s">
        <v>200</v>
      </c>
      <c r="E109" s="74" t="s">
        <v>4678</v>
      </c>
      <c r="G109" s="48" t="s">
        <v>746</v>
      </c>
      <c r="H109" s="74" t="s">
        <v>3762</v>
      </c>
      <c r="I109" s="50" t="s">
        <v>1</v>
      </c>
      <c r="J109" s="74" t="s">
        <v>3766</v>
      </c>
      <c r="K109" s="51">
        <v>41478</v>
      </c>
      <c r="L109" s="173">
        <v>41468</v>
      </c>
      <c r="M109" s="50">
        <f>K109-L109</f>
        <v>10</v>
      </c>
      <c r="N109" s="50" t="s">
        <v>2</v>
      </c>
      <c r="O109" s="74">
        <v>3.6</v>
      </c>
      <c r="P109" s="50">
        <v>8.6999999999999993</v>
      </c>
      <c r="Q109" s="74">
        <v>8.6199999999999992</v>
      </c>
      <c r="R109" s="50">
        <v>35.299999999999997</v>
      </c>
      <c r="S109" s="74">
        <v>231</v>
      </c>
      <c r="T109" s="50">
        <v>0.41</v>
      </c>
      <c r="U109" s="74">
        <v>4.8</v>
      </c>
      <c r="V109" s="50">
        <v>0.44</v>
      </c>
      <c r="W109" s="74">
        <v>3.5999999999999997E-2</v>
      </c>
      <c r="X109" s="50">
        <v>8.4000000000000005E-2</v>
      </c>
      <c r="Y109" s="74">
        <v>3.0000000000000001E-3</v>
      </c>
      <c r="AD109" s="164"/>
      <c r="AE109" s="50"/>
      <c r="AN109" s="74"/>
      <c r="AO109" s="74"/>
      <c r="AP109" s="74"/>
      <c r="AQ109" s="74"/>
    </row>
    <row r="110" spans="1:43" ht="14">
      <c r="A110" s="207" t="s">
        <v>33</v>
      </c>
      <c r="B110" s="50" t="s">
        <v>707</v>
      </c>
      <c r="C110" s="74" t="s">
        <v>4680</v>
      </c>
      <c r="D110" s="48" t="s">
        <v>213</v>
      </c>
      <c r="E110" s="74" t="s">
        <v>763</v>
      </c>
      <c r="G110" s="48" t="s">
        <v>764</v>
      </c>
      <c r="H110" s="74">
        <v>2951</v>
      </c>
      <c r="I110" s="50" t="s">
        <v>2</v>
      </c>
      <c r="J110" s="74" t="s">
        <v>765</v>
      </c>
      <c r="K110" s="51">
        <v>41495</v>
      </c>
      <c r="L110" s="173">
        <v>41489</v>
      </c>
      <c r="M110" s="50">
        <f>K110-L110</f>
        <v>6</v>
      </c>
      <c r="N110" s="50" t="s">
        <v>2</v>
      </c>
      <c r="O110" s="74">
        <f>1/2</f>
        <v>0.5</v>
      </c>
      <c r="P110" s="50">
        <v>7.69</v>
      </c>
      <c r="Q110" s="74">
        <v>6.78</v>
      </c>
      <c r="R110" s="50">
        <v>53</v>
      </c>
      <c r="S110" s="74">
        <v>24</v>
      </c>
      <c r="T110" s="50">
        <v>0.11</v>
      </c>
      <c r="U110" s="74">
        <v>0.9</v>
      </c>
      <c r="V110" s="50">
        <v>0.19</v>
      </c>
      <c r="W110" s="74">
        <v>0.02</v>
      </c>
      <c r="X110" s="50">
        <v>3.1E-2</v>
      </c>
      <c r="Y110" s="74">
        <v>5.0000000000000001E-3</v>
      </c>
      <c r="AD110" s="164"/>
      <c r="AE110" s="50">
        <f>25/2</f>
        <v>12.5</v>
      </c>
      <c r="AF110" s="114"/>
      <c r="AG110" s="114"/>
      <c r="AH110" s="114"/>
      <c r="AN110" s="74"/>
      <c r="AO110" s="74"/>
      <c r="AP110" s="74"/>
      <c r="AQ110" s="74"/>
    </row>
    <row r="111" spans="1:43" ht="14">
      <c r="A111" s="207" t="s">
        <v>33</v>
      </c>
      <c r="B111" s="50" t="s">
        <v>707</v>
      </c>
      <c r="C111" s="50" t="s">
        <v>4680</v>
      </c>
      <c r="D111" s="48" t="s">
        <v>213</v>
      </c>
      <c r="E111" s="74" t="s">
        <v>763</v>
      </c>
      <c r="G111" s="48" t="s">
        <v>764</v>
      </c>
      <c r="H111" s="74">
        <v>2951</v>
      </c>
      <c r="I111" s="50" t="s">
        <v>2</v>
      </c>
      <c r="J111" s="74" t="s">
        <v>766</v>
      </c>
      <c r="K111" s="51">
        <v>41495</v>
      </c>
      <c r="L111" s="173">
        <v>41489</v>
      </c>
      <c r="M111" s="50">
        <f>K111-L111</f>
        <v>6</v>
      </c>
      <c r="N111" s="50" t="s">
        <v>2</v>
      </c>
      <c r="O111" s="74">
        <f>1/2</f>
        <v>0.5</v>
      </c>
      <c r="P111" s="50">
        <v>7.59</v>
      </c>
      <c r="Q111" s="74">
        <v>7</v>
      </c>
      <c r="R111" s="50">
        <v>58.5</v>
      </c>
      <c r="S111" s="74">
        <v>14</v>
      </c>
      <c r="T111" s="50">
        <v>8.0000000000000002E-3</v>
      </c>
      <c r="U111" s="74">
        <v>0.74</v>
      </c>
      <c r="V111" s="50">
        <f>0.1/2</f>
        <v>0.05</v>
      </c>
      <c r="W111" s="74">
        <v>0.02</v>
      </c>
      <c r="X111" s="50">
        <v>4.1000000000000002E-2</v>
      </c>
      <c r="Y111" s="74">
        <v>4.0000000000000001E-3</v>
      </c>
      <c r="AD111" s="164"/>
      <c r="AE111" s="50">
        <f>25/2</f>
        <v>12.5</v>
      </c>
      <c r="AF111" s="114"/>
      <c r="AG111" s="114"/>
      <c r="AH111" s="114"/>
      <c r="AN111" s="74"/>
    </row>
    <row r="112" spans="1:43" ht="14">
      <c r="A112" s="207" t="s">
        <v>33</v>
      </c>
      <c r="B112" s="50" t="s">
        <v>707</v>
      </c>
      <c r="C112" s="50" t="s">
        <v>4680</v>
      </c>
      <c r="D112" s="48" t="s">
        <v>213</v>
      </c>
      <c r="E112" s="74" t="s">
        <v>763</v>
      </c>
      <c r="G112" s="48" t="s">
        <v>764</v>
      </c>
      <c r="H112" s="74">
        <v>2951</v>
      </c>
      <c r="I112" s="50" t="s">
        <v>2</v>
      </c>
      <c r="J112" s="74" t="s">
        <v>767</v>
      </c>
      <c r="K112" s="51">
        <v>41495</v>
      </c>
      <c r="L112" s="173">
        <v>41489</v>
      </c>
      <c r="M112" s="50">
        <f>K112-L112</f>
        <v>6</v>
      </c>
      <c r="N112" s="50" t="s">
        <v>2</v>
      </c>
      <c r="O112" s="74">
        <f>1/2</f>
        <v>0.5</v>
      </c>
      <c r="P112" s="50">
        <v>7.77</v>
      </c>
      <c r="Q112" s="74">
        <v>7.61</v>
      </c>
      <c r="R112" s="50">
        <v>50.2</v>
      </c>
      <c r="S112" s="74">
        <v>9</v>
      </c>
      <c r="T112" s="50">
        <v>0.05</v>
      </c>
      <c r="U112" s="74">
        <v>0.7</v>
      </c>
      <c r="V112" s="50">
        <f>0.1/2</f>
        <v>0.05</v>
      </c>
      <c r="W112" s="74">
        <v>0.02</v>
      </c>
      <c r="X112" s="50">
        <v>1.4999999999999999E-2</v>
      </c>
      <c r="Y112" s="74">
        <v>3.0000000000000001E-3</v>
      </c>
      <c r="AD112" s="164"/>
      <c r="AE112" s="50">
        <f>25/2</f>
        <v>12.5</v>
      </c>
      <c r="AF112" s="114"/>
      <c r="AG112" s="114"/>
      <c r="AH112" s="114"/>
      <c r="AN112" s="74"/>
    </row>
    <row r="113" spans="1:46" ht="14">
      <c r="A113" s="41" t="s">
        <v>33</v>
      </c>
      <c r="B113" s="54" t="s">
        <v>707</v>
      </c>
      <c r="C113" s="54" t="s">
        <v>727</v>
      </c>
      <c r="D113" s="56" t="s">
        <v>314</v>
      </c>
      <c r="E113" s="54" t="s">
        <v>49</v>
      </c>
      <c r="F113" s="54"/>
      <c r="G113" s="61" t="s">
        <v>728</v>
      </c>
      <c r="H113" s="54">
        <v>2951</v>
      </c>
      <c r="I113" s="55" t="s">
        <v>2</v>
      </c>
      <c r="J113" s="54" t="s">
        <v>730</v>
      </c>
      <c r="K113" s="51">
        <v>41180</v>
      </c>
      <c r="L113" s="115">
        <v>41160</v>
      </c>
      <c r="N113" s="50" t="s">
        <v>2</v>
      </c>
      <c r="O113" s="74">
        <v>2</v>
      </c>
      <c r="P113" s="117">
        <v>5</v>
      </c>
      <c r="Q113" s="131">
        <v>7.24</v>
      </c>
      <c r="R113" s="119">
        <v>7.5</v>
      </c>
      <c r="S113" s="147">
        <v>17</v>
      </c>
      <c r="T113" s="50">
        <v>7.0000000000000007E-2</v>
      </c>
      <c r="U113" s="74">
        <v>0.93</v>
      </c>
      <c r="V113" s="50">
        <f>0.1/2</f>
        <v>0.05</v>
      </c>
      <c r="W113" s="74">
        <v>6.0000000000000001E-3</v>
      </c>
      <c r="X113" s="50">
        <v>2.5999999999999999E-2</v>
      </c>
      <c r="Y113" s="74">
        <v>2E-3</v>
      </c>
      <c r="AD113" s="164"/>
      <c r="AE113" s="50">
        <v>18.7</v>
      </c>
      <c r="AN113" s="74"/>
      <c r="AO113" s="74"/>
      <c r="AP113" s="74"/>
      <c r="AQ113" s="74"/>
      <c r="AR113" s="74"/>
      <c r="AS113" s="74"/>
      <c r="AT113" s="74"/>
    </row>
    <row r="114" spans="1:46" ht="14">
      <c r="A114" s="41" t="s">
        <v>33</v>
      </c>
      <c r="B114" s="54" t="s">
        <v>707</v>
      </c>
      <c r="C114" s="54" t="s">
        <v>727</v>
      </c>
      <c r="D114" s="56" t="s">
        <v>314</v>
      </c>
      <c r="E114" s="54" t="s">
        <v>49</v>
      </c>
      <c r="F114" s="54"/>
      <c r="G114" s="61" t="s">
        <v>728</v>
      </c>
      <c r="H114" s="54">
        <v>2951</v>
      </c>
      <c r="I114" s="55" t="s">
        <v>2</v>
      </c>
      <c r="J114" s="54" t="s">
        <v>731</v>
      </c>
      <c r="K114" s="51">
        <v>41180</v>
      </c>
      <c r="L114" s="115">
        <v>41160</v>
      </c>
      <c r="N114" s="50" t="s">
        <v>2</v>
      </c>
      <c r="O114" s="74">
        <v>2</v>
      </c>
      <c r="P114" s="117">
        <v>5</v>
      </c>
      <c r="Q114" s="131">
        <v>6.63</v>
      </c>
      <c r="R114" s="119">
        <v>252</v>
      </c>
      <c r="S114" s="147">
        <v>297</v>
      </c>
      <c r="T114" s="50">
        <v>0.28999999999999998</v>
      </c>
      <c r="U114" s="74">
        <v>2.4</v>
      </c>
      <c r="V114" s="50">
        <v>0.13</v>
      </c>
      <c r="W114" s="74">
        <v>1.7999999999999999E-2</v>
      </c>
      <c r="X114" s="50">
        <v>3.2000000000000001E-2</v>
      </c>
      <c r="Y114" s="74">
        <v>8.0000000000000002E-3</v>
      </c>
      <c r="AD114" s="164"/>
      <c r="AE114" s="50">
        <v>12.4</v>
      </c>
      <c r="AN114" s="74"/>
      <c r="AO114" s="74"/>
      <c r="AP114" s="74"/>
      <c r="AQ114" s="74"/>
      <c r="AR114" s="74"/>
      <c r="AS114" s="74"/>
      <c r="AT114" s="74"/>
    </row>
    <row r="115" spans="1:46" ht="14">
      <c r="A115" s="41" t="s">
        <v>33</v>
      </c>
      <c r="B115" s="50" t="s">
        <v>532</v>
      </c>
      <c r="C115" s="49" t="s">
        <v>1077</v>
      </c>
      <c r="D115" s="48" t="s">
        <v>262</v>
      </c>
      <c r="E115" s="49" t="s">
        <v>664</v>
      </c>
      <c r="G115" s="48" t="s">
        <v>1078</v>
      </c>
      <c r="H115" s="49">
        <v>2951</v>
      </c>
      <c r="I115" s="50" t="s">
        <v>1</v>
      </c>
      <c r="J115" s="49" t="s">
        <v>477</v>
      </c>
      <c r="K115" s="51">
        <v>41442</v>
      </c>
      <c r="L115" s="173">
        <v>41439</v>
      </c>
      <c r="N115" s="50" t="s">
        <v>2</v>
      </c>
      <c r="O115" s="74">
        <f>5/2</f>
        <v>2.5</v>
      </c>
      <c r="P115" s="50">
        <v>5.7</v>
      </c>
      <c r="R115" s="50">
        <v>55</v>
      </c>
      <c r="S115" s="74">
        <v>74</v>
      </c>
      <c r="T115" s="50">
        <f>0.1/2</f>
        <v>0.05</v>
      </c>
      <c r="U115" s="131">
        <f>1/2</f>
        <v>0.5</v>
      </c>
      <c r="V115" s="50">
        <v>0.59</v>
      </c>
      <c r="W115" s="74">
        <f>0.04/2</f>
        <v>0.02</v>
      </c>
      <c r="X115" s="50">
        <v>4.9000000000000002E-2</v>
      </c>
      <c r="Y115" s="74">
        <f>0.013/2</f>
        <v>6.4999999999999997E-3</v>
      </c>
      <c r="AD115" s="164"/>
      <c r="AE115" s="50">
        <f>70/2</f>
        <v>35</v>
      </c>
    </row>
    <row r="116" spans="1:46" ht="14">
      <c r="A116" s="41" t="s">
        <v>33</v>
      </c>
      <c r="B116" s="50" t="s">
        <v>532</v>
      </c>
      <c r="C116" s="74" t="s">
        <v>1077</v>
      </c>
      <c r="D116" s="48" t="s">
        <v>262</v>
      </c>
      <c r="E116" s="74" t="s">
        <v>664</v>
      </c>
      <c r="G116" s="48" t="s">
        <v>1078</v>
      </c>
      <c r="H116" s="74">
        <v>2951</v>
      </c>
      <c r="I116" s="50" t="s">
        <v>1</v>
      </c>
      <c r="J116" s="74" t="s">
        <v>473</v>
      </c>
      <c r="K116" s="51">
        <v>41442</v>
      </c>
      <c r="L116" s="173">
        <v>41439</v>
      </c>
      <c r="N116" s="50" t="s">
        <v>2</v>
      </c>
      <c r="O116" s="74">
        <v>8.1</v>
      </c>
      <c r="P116" s="50">
        <v>5.7</v>
      </c>
      <c r="R116" s="50">
        <v>59</v>
      </c>
      <c r="S116" s="74">
        <v>32</v>
      </c>
      <c r="T116" s="50">
        <v>0.15</v>
      </c>
      <c r="U116" s="131">
        <f>1/2</f>
        <v>0.5</v>
      </c>
      <c r="V116" s="50">
        <v>0.43</v>
      </c>
      <c r="W116" s="74">
        <f>0.04/2</f>
        <v>0.02</v>
      </c>
      <c r="X116" s="50">
        <v>4.3999999999999997E-2</v>
      </c>
      <c r="Y116" s="74">
        <f>0.013/2</f>
        <v>6.4999999999999997E-3</v>
      </c>
      <c r="AD116" s="164"/>
      <c r="AE116" s="50">
        <v>3.4</v>
      </c>
    </row>
    <row r="117" spans="1:46" ht="14">
      <c r="A117" s="207" t="s">
        <v>33</v>
      </c>
      <c r="B117" s="50" t="s">
        <v>4791</v>
      </c>
      <c r="C117" s="50" t="s">
        <v>4792</v>
      </c>
      <c r="D117" s="48" t="s">
        <v>98</v>
      </c>
      <c r="E117" s="50" t="s">
        <v>1546</v>
      </c>
      <c r="G117" s="76" t="s">
        <v>894</v>
      </c>
      <c r="H117" s="50">
        <v>2951</v>
      </c>
      <c r="I117" s="49" t="s">
        <v>1</v>
      </c>
      <c r="J117" s="50" t="s">
        <v>4793</v>
      </c>
      <c r="K117" s="51">
        <v>41428</v>
      </c>
      <c r="L117" s="115">
        <v>41423</v>
      </c>
      <c r="N117" s="50" t="s">
        <v>2</v>
      </c>
      <c r="O117" s="74">
        <f>5/2</f>
        <v>2.5</v>
      </c>
      <c r="P117" s="50">
        <v>6.1</v>
      </c>
      <c r="Q117" s="74">
        <v>7.5</v>
      </c>
      <c r="R117" s="50">
        <v>23</v>
      </c>
      <c r="S117" s="74">
        <v>5</v>
      </c>
      <c r="T117" s="50">
        <f>0.1/2</f>
        <v>0.05</v>
      </c>
      <c r="U117" s="74">
        <f>1/2</f>
        <v>0.5</v>
      </c>
      <c r="V117" s="50">
        <v>0.54</v>
      </c>
      <c r="W117" s="74">
        <f>0.04/2</f>
        <v>0.02</v>
      </c>
      <c r="X117" s="50">
        <v>4.2000000000000003E-2</v>
      </c>
      <c r="Y117" s="74">
        <f>0.013/2</f>
        <v>6.4999999999999997E-3</v>
      </c>
      <c r="AD117" s="164"/>
      <c r="AE117" s="50">
        <f>1/2</f>
        <v>0.5</v>
      </c>
      <c r="AI117" s="402">
        <v>204</v>
      </c>
      <c r="AN117" s="74"/>
      <c r="AO117" s="74"/>
      <c r="AP117" s="74"/>
      <c r="AQ117" s="74"/>
      <c r="AR117" s="74"/>
      <c r="AS117" s="74"/>
      <c r="AT117" s="74"/>
    </row>
    <row r="118" spans="1:46" ht="14">
      <c r="A118" s="207" t="s">
        <v>33</v>
      </c>
      <c r="B118" s="50" t="s">
        <v>4791</v>
      </c>
      <c r="C118" s="50" t="s">
        <v>4792</v>
      </c>
      <c r="D118" s="48" t="s">
        <v>98</v>
      </c>
      <c r="E118" s="50" t="s">
        <v>1546</v>
      </c>
      <c r="G118" s="76" t="s">
        <v>894</v>
      </c>
      <c r="H118" s="50">
        <v>2951</v>
      </c>
      <c r="I118" s="49" t="s">
        <v>1</v>
      </c>
      <c r="J118" s="50" t="s">
        <v>3946</v>
      </c>
      <c r="K118" s="51">
        <v>41428</v>
      </c>
      <c r="L118" s="115">
        <v>41423</v>
      </c>
      <c r="N118" s="50" t="s">
        <v>2</v>
      </c>
      <c r="O118" s="74">
        <f>5/2</f>
        <v>2.5</v>
      </c>
      <c r="P118" s="50">
        <v>6.1</v>
      </c>
      <c r="Q118" s="74">
        <v>6.7</v>
      </c>
      <c r="R118" s="50">
        <v>57</v>
      </c>
      <c r="S118" s="74">
        <v>20</v>
      </c>
      <c r="T118" s="50">
        <f>0.1/2</f>
        <v>0.05</v>
      </c>
      <c r="U118" s="74">
        <f>1/2</f>
        <v>0.5</v>
      </c>
      <c r="V118" s="50">
        <v>0.13</v>
      </c>
      <c r="W118" s="74">
        <f>0.04/2</f>
        <v>0.02</v>
      </c>
      <c r="X118" s="50">
        <v>0.1</v>
      </c>
      <c r="Y118" s="74">
        <f>0.01/2</f>
        <v>5.0000000000000001E-3</v>
      </c>
      <c r="AD118" s="164"/>
      <c r="AE118" s="50">
        <v>1.4</v>
      </c>
      <c r="AI118" s="402">
        <v>1296</v>
      </c>
      <c r="AN118" s="74"/>
      <c r="AO118" s="74"/>
      <c r="AP118" s="74"/>
      <c r="AQ118" s="74"/>
      <c r="AR118" s="74"/>
      <c r="AS118" s="74"/>
      <c r="AT118" s="74"/>
    </row>
    <row r="119" spans="1:46" ht="14">
      <c r="A119" s="41" t="s">
        <v>33</v>
      </c>
      <c r="B119" s="50" t="s">
        <v>532</v>
      </c>
      <c r="C119" s="50" t="s">
        <v>1099</v>
      </c>
      <c r="D119" s="48" t="s">
        <v>372</v>
      </c>
      <c r="E119" s="50" t="s">
        <v>235</v>
      </c>
      <c r="G119" s="76" t="s">
        <v>1100</v>
      </c>
      <c r="H119" s="50">
        <v>2951</v>
      </c>
      <c r="I119" s="49" t="s">
        <v>1</v>
      </c>
      <c r="J119" s="50" t="s">
        <v>366</v>
      </c>
      <c r="K119" s="51">
        <v>41529</v>
      </c>
      <c r="L119" s="115">
        <v>41514</v>
      </c>
      <c r="N119" s="50" t="s">
        <v>2</v>
      </c>
      <c r="O119" s="74">
        <f>1.5/2</f>
        <v>0.75</v>
      </c>
      <c r="P119" s="117">
        <v>5</v>
      </c>
      <c r="Q119" s="131">
        <v>6.89</v>
      </c>
      <c r="R119" s="119">
        <v>69</v>
      </c>
      <c r="S119" s="147">
        <v>52</v>
      </c>
      <c r="T119" s="50">
        <v>0.13</v>
      </c>
      <c r="U119" s="74">
        <v>1.94</v>
      </c>
      <c r="V119" s="50">
        <v>0.76</v>
      </c>
      <c r="W119" s="74">
        <v>1.2E-2</v>
      </c>
      <c r="X119" s="50">
        <v>4.8000000000000001E-2</v>
      </c>
      <c r="Y119" s="74">
        <v>4.0000000000000001E-3</v>
      </c>
      <c r="AD119" s="164"/>
      <c r="AE119" s="50"/>
    </row>
    <row r="120" spans="1:46" ht="14">
      <c r="A120" s="41" t="s">
        <v>33</v>
      </c>
      <c r="B120" s="50" t="s">
        <v>707</v>
      </c>
      <c r="C120" s="50" t="s">
        <v>1318</v>
      </c>
      <c r="D120" s="48" t="s">
        <v>372</v>
      </c>
      <c r="E120" s="50" t="s">
        <v>235</v>
      </c>
      <c r="G120" s="76" t="s">
        <v>773</v>
      </c>
      <c r="H120" s="50">
        <v>2951</v>
      </c>
      <c r="I120" s="49" t="s">
        <v>1</v>
      </c>
      <c r="J120" s="50" t="s">
        <v>774</v>
      </c>
      <c r="K120" s="51">
        <v>41201</v>
      </c>
      <c r="L120" s="115">
        <v>41197</v>
      </c>
      <c r="N120" s="50" t="s">
        <v>2</v>
      </c>
      <c r="O120" s="74">
        <v>1.6</v>
      </c>
      <c r="P120" s="117">
        <v>4</v>
      </c>
      <c r="Q120" s="131">
        <v>6.25</v>
      </c>
      <c r="R120" s="119">
        <v>15</v>
      </c>
      <c r="S120" s="147">
        <v>40</v>
      </c>
      <c r="T120" s="50">
        <f>0.05/2</f>
        <v>2.5000000000000001E-2</v>
      </c>
      <c r="U120" s="74">
        <v>0.27</v>
      </c>
      <c r="V120" s="50">
        <v>0.22</v>
      </c>
      <c r="W120" s="74">
        <v>7.0000000000000001E-3</v>
      </c>
      <c r="X120" s="50">
        <v>2.9000000000000001E-2</v>
      </c>
      <c r="Y120" s="74">
        <v>2E-3</v>
      </c>
      <c r="AD120" s="164"/>
      <c r="AE120" s="50">
        <v>50.8</v>
      </c>
      <c r="AK120" s="402">
        <v>640</v>
      </c>
    </row>
    <row r="121" spans="1:46" ht="14">
      <c r="A121" s="207" t="s">
        <v>33</v>
      </c>
      <c r="B121" s="50" t="s">
        <v>707</v>
      </c>
      <c r="C121" s="50" t="s">
        <v>5121</v>
      </c>
      <c r="D121" s="48" t="s">
        <v>827</v>
      </c>
      <c r="E121" s="50" t="s">
        <v>3556</v>
      </c>
      <c r="G121" s="76" t="s">
        <v>746</v>
      </c>
      <c r="H121" s="50" t="s">
        <v>3762</v>
      </c>
      <c r="I121" s="49" t="s">
        <v>1</v>
      </c>
      <c r="J121" s="50" t="s">
        <v>3766</v>
      </c>
      <c r="K121" s="51">
        <v>41180</v>
      </c>
      <c r="L121" s="115">
        <v>41160</v>
      </c>
      <c r="N121" s="50" t="s">
        <v>2</v>
      </c>
      <c r="O121" s="74">
        <v>1.2</v>
      </c>
      <c r="P121" s="50">
        <v>5</v>
      </c>
      <c r="Q121" s="74">
        <v>6.98</v>
      </c>
      <c r="R121" s="50">
        <v>22.2</v>
      </c>
      <c r="S121" s="74">
        <v>52</v>
      </c>
      <c r="T121" s="50">
        <v>0.08</v>
      </c>
      <c r="U121" s="74">
        <v>1.05</v>
      </c>
      <c r="V121" s="50">
        <v>2.65</v>
      </c>
      <c r="W121" s="74">
        <v>6.8000000000000005E-2</v>
      </c>
      <c r="X121" s="50">
        <v>6.0999999999999999E-2</v>
      </c>
      <c r="Y121" s="74">
        <v>3.9E-2</v>
      </c>
      <c r="Z121" s="239"/>
      <c r="AA121" s="240"/>
      <c r="AB121" s="52">
        <v>61.03</v>
      </c>
      <c r="AD121" s="164"/>
      <c r="AE121" s="74">
        <f>25/2</f>
        <v>12.5</v>
      </c>
    </row>
    <row r="122" spans="1:46" ht="14">
      <c r="A122" s="383" t="s">
        <v>33</v>
      </c>
      <c r="B122" s="50" t="s">
        <v>1093</v>
      </c>
      <c r="C122" s="50" t="s">
        <v>1094</v>
      </c>
      <c r="D122" s="48" t="s">
        <v>347</v>
      </c>
      <c r="E122" s="50" t="s">
        <v>1095</v>
      </c>
      <c r="G122" s="76" t="s">
        <v>1096</v>
      </c>
      <c r="H122" s="50">
        <v>2951</v>
      </c>
      <c r="J122" s="50" t="s">
        <v>1097</v>
      </c>
      <c r="K122" s="51">
        <v>41376</v>
      </c>
      <c r="L122" s="115">
        <v>41364</v>
      </c>
      <c r="N122" s="50" t="s">
        <v>2</v>
      </c>
      <c r="O122" s="74">
        <f>5/2</f>
        <v>2.5</v>
      </c>
      <c r="P122" s="117"/>
      <c r="Q122" s="131">
        <v>9.7799999999999994</v>
      </c>
      <c r="R122" s="119">
        <v>84</v>
      </c>
      <c r="S122" s="147">
        <v>130</v>
      </c>
      <c r="T122" s="50">
        <v>0.17</v>
      </c>
      <c r="U122" s="74">
        <v>1</v>
      </c>
      <c r="V122" s="50">
        <v>0.2</v>
      </c>
      <c r="W122" s="74">
        <f>0.04/2</f>
        <v>0.02</v>
      </c>
      <c r="X122" s="50">
        <v>8.2000000000000003E-2</v>
      </c>
      <c r="Y122" s="74">
        <v>0.26</v>
      </c>
      <c r="AD122" s="164"/>
      <c r="AE122" s="50">
        <v>5.67</v>
      </c>
    </row>
    <row r="123" spans="1:46" ht="14">
      <c r="A123" s="41" t="s">
        <v>33</v>
      </c>
      <c r="B123" s="50" t="s">
        <v>1093</v>
      </c>
      <c r="C123" s="50" t="s">
        <v>1094</v>
      </c>
      <c r="D123" s="48" t="s">
        <v>347</v>
      </c>
      <c r="E123" s="50" t="s">
        <v>1095</v>
      </c>
      <c r="G123" s="76" t="s">
        <v>1096</v>
      </c>
      <c r="H123" s="50">
        <v>2951</v>
      </c>
      <c r="J123" s="50" t="s">
        <v>1098</v>
      </c>
      <c r="K123" s="51">
        <v>41376</v>
      </c>
      <c r="L123" s="115">
        <v>41364</v>
      </c>
      <c r="N123" s="50" t="s">
        <v>2</v>
      </c>
      <c r="O123" s="74">
        <f>5/2</f>
        <v>2.5</v>
      </c>
      <c r="P123" s="117"/>
      <c r="Q123" s="131">
        <v>9.18</v>
      </c>
      <c r="R123" s="119">
        <v>9.5</v>
      </c>
      <c r="S123" s="147">
        <v>26</v>
      </c>
      <c r="T123" s="50">
        <f>0.1/2</f>
        <v>0.05</v>
      </c>
      <c r="U123" s="74">
        <f>1/2</f>
        <v>0.5</v>
      </c>
      <c r="V123" s="50">
        <v>1</v>
      </c>
      <c r="W123" s="74">
        <f>0.04/2</f>
        <v>0.02</v>
      </c>
      <c r="X123" s="50">
        <f>0.02/2</f>
        <v>0.01</v>
      </c>
      <c r="Y123" s="74">
        <f>0.013/2</f>
        <v>6.4999999999999997E-3</v>
      </c>
      <c r="AD123" s="164"/>
      <c r="AE123" s="50"/>
    </row>
    <row r="124" spans="1:46" ht="14">
      <c r="A124" s="41" t="s">
        <v>33</v>
      </c>
      <c r="B124" s="50" t="s">
        <v>1093</v>
      </c>
      <c r="C124" s="50" t="s">
        <v>1094</v>
      </c>
      <c r="D124" s="48" t="s">
        <v>347</v>
      </c>
      <c r="E124" s="50" t="s">
        <v>1095</v>
      </c>
      <c r="G124" s="76" t="s">
        <v>1096</v>
      </c>
      <c r="H124" s="50">
        <v>2951</v>
      </c>
      <c r="I124" s="49" t="s">
        <v>2</v>
      </c>
      <c r="J124" s="50" t="s">
        <v>5199</v>
      </c>
      <c r="K124" s="51">
        <v>41201</v>
      </c>
      <c r="L124" s="115">
        <v>41197</v>
      </c>
      <c r="N124" s="50" t="s">
        <v>2</v>
      </c>
      <c r="O124" s="74">
        <f>5/2</f>
        <v>2.5</v>
      </c>
      <c r="P124" s="117">
        <v>7.3</v>
      </c>
      <c r="Q124" s="131">
        <v>9.33</v>
      </c>
      <c r="R124" s="119">
        <v>110</v>
      </c>
      <c r="S124" s="147">
        <v>360</v>
      </c>
      <c r="T124" s="50">
        <v>0.16</v>
      </c>
      <c r="U124" s="74">
        <f>1/2</f>
        <v>0.5</v>
      </c>
      <c r="V124" s="50">
        <v>0.13</v>
      </c>
      <c r="W124" s="74">
        <v>0.04</v>
      </c>
      <c r="X124" s="50">
        <v>0.12</v>
      </c>
      <c r="Y124" s="74">
        <v>1.4999999999999999E-2</v>
      </c>
      <c r="Z124" s="164">
        <v>1</v>
      </c>
      <c r="AA124" s="165">
        <v>1</v>
      </c>
      <c r="AB124" s="50">
        <v>120</v>
      </c>
      <c r="AC124" s="74">
        <v>90</v>
      </c>
      <c r="AD124" s="164">
        <v>1</v>
      </c>
      <c r="AE124" s="50">
        <f>1/2</f>
        <v>0.5</v>
      </c>
    </row>
    <row r="125" spans="1:46" ht="14">
      <c r="A125" s="41" t="s">
        <v>33</v>
      </c>
      <c r="B125" s="50" t="s">
        <v>1093</v>
      </c>
      <c r="C125" s="50" t="s">
        <v>1094</v>
      </c>
      <c r="D125" s="48" t="s">
        <v>347</v>
      </c>
      <c r="E125" s="50" t="s">
        <v>1095</v>
      </c>
      <c r="G125" s="76" t="s">
        <v>1096</v>
      </c>
      <c r="H125" s="50">
        <v>2951</v>
      </c>
      <c r="I125" s="49" t="s">
        <v>2</v>
      </c>
      <c r="J125" s="50" t="s">
        <v>5200</v>
      </c>
      <c r="K125" s="51">
        <v>41201</v>
      </c>
      <c r="L125" s="115">
        <v>41197</v>
      </c>
      <c r="N125" s="50" t="s">
        <v>2</v>
      </c>
      <c r="O125" s="74">
        <f>5/2</f>
        <v>2.5</v>
      </c>
      <c r="P125" s="117">
        <v>7.3</v>
      </c>
      <c r="Q125" s="131">
        <v>8.2899999999999991</v>
      </c>
      <c r="R125" s="119">
        <v>23</v>
      </c>
      <c r="S125" s="147">
        <v>5</v>
      </c>
      <c r="T125" s="50">
        <f>0.1/2</f>
        <v>0.05</v>
      </c>
      <c r="U125" s="74">
        <f>1/2</f>
        <v>0.5</v>
      </c>
      <c r="V125" s="50">
        <f>0.1/2</f>
        <v>0.05</v>
      </c>
      <c r="W125" s="74">
        <f>0.04/4</f>
        <v>0.01</v>
      </c>
      <c r="X125" s="50">
        <f>0.02/2</f>
        <v>0.01</v>
      </c>
      <c r="Y125" s="74">
        <f>0.013/2</f>
        <v>6.4999999999999997E-3</v>
      </c>
      <c r="Z125" s="164">
        <v>1</v>
      </c>
      <c r="AA125" s="165">
        <v>1</v>
      </c>
      <c r="AB125" s="50">
        <v>79</v>
      </c>
      <c r="AC125" s="74">
        <v>295</v>
      </c>
      <c r="AD125" s="164">
        <v>1</v>
      </c>
      <c r="AE125" s="50"/>
    </row>
    <row r="126" spans="1:46" ht="14">
      <c r="A126" s="41" t="s">
        <v>33</v>
      </c>
      <c r="B126" s="50" t="s">
        <v>1093</v>
      </c>
      <c r="C126" s="50" t="s">
        <v>1094</v>
      </c>
      <c r="D126" s="48" t="s">
        <v>347</v>
      </c>
      <c r="E126" s="50" t="s">
        <v>1095</v>
      </c>
      <c r="G126" s="76" t="s">
        <v>1096</v>
      </c>
      <c r="H126" s="50">
        <v>2951</v>
      </c>
      <c r="I126" s="49" t="s">
        <v>2</v>
      </c>
      <c r="J126" s="50" t="s">
        <v>5199</v>
      </c>
      <c r="K126" s="51">
        <v>41600</v>
      </c>
      <c r="L126" s="115">
        <v>41596</v>
      </c>
      <c r="N126" s="50" t="s">
        <v>2</v>
      </c>
      <c r="P126" s="117">
        <v>6.5</v>
      </c>
      <c r="Q126" s="131">
        <v>9.6999999999999993</v>
      </c>
      <c r="R126" s="119">
        <v>150</v>
      </c>
      <c r="S126" s="147">
        <v>490</v>
      </c>
      <c r="AD126" s="164"/>
      <c r="AE126" s="50">
        <v>1.36</v>
      </c>
    </row>
    <row r="127" spans="1:46" ht="14">
      <c r="A127" s="41" t="s">
        <v>33</v>
      </c>
      <c r="B127" s="50" t="s">
        <v>532</v>
      </c>
      <c r="C127" s="50" t="s">
        <v>1048</v>
      </c>
      <c r="D127" s="48" t="s">
        <v>1896</v>
      </c>
      <c r="E127" s="50" t="s">
        <v>1538</v>
      </c>
      <c r="G127" s="76" t="s">
        <v>1049</v>
      </c>
      <c r="H127" s="50">
        <v>3273</v>
      </c>
      <c r="I127" s="49" t="s">
        <v>1</v>
      </c>
      <c r="J127" s="50" t="s">
        <v>366</v>
      </c>
      <c r="K127" s="51">
        <v>41585</v>
      </c>
      <c r="L127" s="115">
        <v>41579</v>
      </c>
      <c r="N127" s="50" t="s">
        <v>2</v>
      </c>
      <c r="P127" s="50">
        <v>7</v>
      </c>
      <c r="Q127" s="74">
        <v>8.9</v>
      </c>
      <c r="S127" s="74">
        <v>73</v>
      </c>
      <c r="T127" s="50">
        <v>0.35</v>
      </c>
      <c r="V127" s="50">
        <v>0.74</v>
      </c>
      <c r="Z127" s="164">
        <v>1</v>
      </c>
      <c r="AA127" s="165">
        <v>1</v>
      </c>
      <c r="AB127" s="50">
        <v>140</v>
      </c>
      <c r="AC127" s="74">
        <v>704</v>
      </c>
      <c r="AD127" s="164">
        <v>1</v>
      </c>
      <c r="AE127" s="50">
        <v>3.5</v>
      </c>
      <c r="AJ127" s="402">
        <v>1500</v>
      </c>
    </row>
    <row r="128" spans="1:46" ht="14">
      <c r="A128" s="207" t="s">
        <v>33</v>
      </c>
      <c r="B128" s="50" t="s">
        <v>707</v>
      </c>
      <c r="C128" s="50" t="s">
        <v>3829</v>
      </c>
      <c r="D128" s="48" t="s">
        <v>89</v>
      </c>
      <c r="E128" s="50" t="s">
        <v>893</v>
      </c>
      <c r="G128" s="76" t="s">
        <v>791</v>
      </c>
      <c r="H128" s="50">
        <v>2951</v>
      </c>
      <c r="I128" s="49" t="s">
        <v>1</v>
      </c>
      <c r="J128" s="50" t="s">
        <v>790</v>
      </c>
      <c r="K128" s="51">
        <v>41744</v>
      </c>
      <c r="L128" s="115">
        <v>41737</v>
      </c>
      <c r="N128" s="50" t="s">
        <v>2</v>
      </c>
      <c r="O128" s="74">
        <f>1/2</f>
        <v>0.5</v>
      </c>
      <c r="P128" s="117">
        <v>5</v>
      </c>
      <c r="Q128" s="131">
        <v>7.46</v>
      </c>
      <c r="R128" s="119">
        <v>35.299999999999997</v>
      </c>
      <c r="S128" s="147">
        <v>58</v>
      </c>
      <c r="T128" s="50">
        <v>0.09</v>
      </c>
      <c r="U128" s="74">
        <v>0.54</v>
      </c>
      <c r="V128" s="50">
        <v>0.1</v>
      </c>
      <c r="W128" s="74">
        <v>0.01</v>
      </c>
      <c r="X128" s="50">
        <v>2.1000000000000001E-2</v>
      </c>
      <c r="Y128" s="74">
        <v>3.0000000000000001E-3</v>
      </c>
      <c r="AD128" s="164"/>
      <c r="AE128" s="50">
        <f>25/2</f>
        <v>12.5</v>
      </c>
      <c r="AK128" s="402">
        <v>266</v>
      </c>
    </row>
    <row r="129" spans="1:37" ht="14">
      <c r="A129" s="383" t="s">
        <v>33</v>
      </c>
      <c r="B129" s="50" t="s">
        <v>707</v>
      </c>
      <c r="C129" s="50" t="s">
        <v>3838</v>
      </c>
      <c r="D129" s="48" t="s">
        <v>195</v>
      </c>
      <c r="E129" s="50" t="s">
        <v>786</v>
      </c>
      <c r="G129" s="76" t="s">
        <v>787</v>
      </c>
      <c r="H129" s="50">
        <v>2951</v>
      </c>
      <c r="I129" s="49" t="s">
        <v>2</v>
      </c>
      <c r="J129" s="50" t="s">
        <v>788</v>
      </c>
      <c r="K129" s="51">
        <v>41744</v>
      </c>
      <c r="L129" s="115">
        <v>41737</v>
      </c>
      <c r="N129" s="50" t="s">
        <v>2</v>
      </c>
      <c r="O129" s="74">
        <v>1.6</v>
      </c>
      <c r="P129" s="117">
        <v>5.2</v>
      </c>
      <c r="Q129" s="131">
        <v>8.65</v>
      </c>
      <c r="R129" s="119">
        <f>1/2</f>
        <v>0.5</v>
      </c>
      <c r="S129" s="147">
        <v>58</v>
      </c>
      <c r="T129" s="50">
        <v>7.0000000000000007E-2</v>
      </c>
      <c r="U129" s="74">
        <v>0.7</v>
      </c>
      <c r="AD129" s="164"/>
      <c r="AE129" s="50">
        <f>25/2</f>
        <v>12.5</v>
      </c>
    </row>
    <row r="130" spans="1:37" ht="14">
      <c r="A130" s="383" t="s">
        <v>33</v>
      </c>
      <c r="B130" s="50" t="s">
        <v>707</v>
      </c>
      <c r="C130" s="50" t="s">
        <v>3839</v>
      </c>
      <c r="D130" s="48" t="s">
        <v>564</v>
      </c>
      <c r="E130" s="50" t="s">
        <v>782</v>
      </c>
      <c r="G130" s="76" t="s">
        <v>783</v>
      </c>
      <c r="H130" s="50" t="s">
        <v>3942</v>
      </c>
      <c r="I130" s="49" t="s">
        <v>2</v>
      </c>
      <c r="J130" s="50" t="s">
        <v>784</v>
      </c>
      <c r="K130" s="51">
        <v>41744</v>
      </c>
      <c r="L130" s="115">
        <v>41737</v>
      </c>
      <c r="N130" s="50" t="s">
        <v>2</v>
      </c>
      <c r="O130" s="74">
        <f>1/2</f>
        <v>0.5</v>
      </c>
      <c r="P130" s="117">
        <v>5.3</v>
      </c>
      <c r="Q130" s="131">
        <v>7.87</v>
      </c>
      <c r="R130" s="119">
        <f>1/2</f>
        <v>0.5</v>
      </c>
      <c r="S130" s="147">
        <v>13</v>
      </c>
      <c r="T130" s="50">
        <v>0.11</v>
      </c>
      <c r="U130" s="74">
        <v>0.79</v>
      </c>
      <c r="V130" s="50">
        <f>0.1/2</f>
        <v>0.05</v>
      </c>
      <c r="W130" s="74">
        <v>8.9999999999999993E-3</v>
      </c>
      <c r="X130" s="50">
        <v>1.9E-2</v>
      </c>
      <c r="Y130" s="74">
        <f>0.002/2</f>
        <v>1E-3</v>
      </c>
      <c r="AD130" s="164"/>
      <c r="AE130" s="50">
        <v>12.5</v>
      </c>
    </row>
    <row r="131" spans="1:37" ht="14">
      <c r="A131" s="383" t="s">
        <v>33</v>
      </c>
      <c r="B131" s="50" t="s">
        <v>707</v>
      </c>
      <c r="C131" s="50" t="s">
        <v>1383</v>
      </c>
      <c r="D131" s="48" t="s">
        <v>200</v>
      </c>
      <c r="E131" s="50" t="s">
        <v>776</v>
      </c>
      <c r="G131" s="76" t="s">
        <v>777</v>
      </c>
      <c r="H131" s="50">
        <v>1429</v>
      </c>
      <c r="I131" s="49" t="s">
        <v>2</v>
      </c>
      <c r="J131" s="50" t="s">
        <v>3932</v>
      </c>
      <c r="K131" s="51"/>
      <c r="L131" s="115"/>
      <c r="P131" s="117"/>
      <c r="Q131" s="131"/>
      <c r="R131" s="119"/>
      <c r="S131" s="147"/>
      <c r="AD131" s="164"/>
      <c r="AE131" s="50"/>
    </row>
    <row r="132" spans="1:37" ht="14">
      <c r="A132" s="383" t="s">
        <v>33</v>
      </c>
      <c r="B132" s="50" t="s">
        <v>707</v>
      </c>
      <c r="C132" s="50" t="s">
        <v>1383</v>
      </c>
      <c r="D132" s="48" t="s">
        <v>200</v>
      </c>
      <c r="E132" s="50" t="s">
        <v>776</v>
      </c>
      <c r="G132" s="76" t="s">
        <v>777</v>
      </c>
      <c r="H132" s="50">
        <v>1429</v>
      </c>
      <c r="I132" s="49" t="s">
        <v>2</v>
      </c>
      <c r="J132" s="50" t="s">
        <v>3933</v>
      </c>
      <c r="K132" s="51"/>
      <c r="L132" s="115"/>
      <c r="P132" s="117"/>
      <c r="Q132" s="131"/>
      <c r="R132" s="119"/>
      <c r="S132" s="147"/>
      <c r="AD132" s="164"/>
      <c r="AE132" s="50"/>
    </row>
    <row r="133" spans="1:37" ht="14">
      <c r="A133" s="383" t="s">
        <v>33</v>
      </c>
      <c r="B133" s="50" t="s">
        <v>707</v>
      </c>
      <c r="C133" s="50" t="s">
        <v>1318</v>
      </c>
      <c r="D133" s="48" t="s">
        <v>372</v>
      </c>
      <c r="E133" s="50" t="s">
        <v>235</v>
      </c>
      <c r="G133" s="76" t="s">
        <v>773</v>
      </c>
      <c r="H133" s="50">
        <v>2951</v>
      </c>
      <c r="I133" s="49" t="s">
        <v>1</v>
      </c>
      <c r="J133" s="50" t="s">
        <v>774</v>
      </c>
      <c r="K133" s="51">
        <v>41744</v>
      </c>
      <c r="L133" s="115">
        <v>41737</v>
      </c>
      <c r="N133" s="50" t="s">
        <v>2</v>
      </c>
      <c r="O133" s="74">
        <v>2</v>
      </c>
      <c r="P133" s="117">
        <v>5</v>
      </c>
      <c r="Q133" s="131">
        <v>7.38</v>
      </c>
      <c r="R133" s="119">
        <v>11.3</v>
      </c>
      <c r="S133" s="147">
        <v>27</v>
      </c>
      <c r="T133" s="50">
        <f>0.05/2</f>
        <v>2.5000000000000001E-2</v>
      </c>
      <c r="U133" s="74">
        <v>0.74</v>
      </c>
      <c r="V133" s="50">
        <v>0.15</v>
      </c>
      <c r="W133" s="74">
        <v>7.0000000000000001E-3</v>
      </c>
      <c r="X133" s="50">
        <v>3.2000000000000001E-2</v>
      </c>
      <c r="Y133" s="74">
        <f>0.002/2</f>
        <v>1E-3</v>
      </c>
      <c r="AD133" s="164"/>
      <c r="AE133" s="50">
        <f>25/2</f>
        <v>12.5</v>
      </c>
      <c r="AK133" s="402">
        <v>24</v>
      </c>
    </row>
    <row r="134" spans="1:37" ht="14">
      <c r="A134" s="383" t="s">
        <v>33</v>
      </c>
      <c r="B134" s="50" t="s">
        <v>707</v>
      </c>
      <c r="C134" s="50" t="s">
        <v>3841</v>
      </c>
      <c r="D134" s="48" t="s">
        <v>213</v>
      </c>
      <c r="E134" s="50" t="s">
        <v>763</v>
      </c>
      <c r="G134" s="76" t="s">
        <v>764</v>
      </c>
      <c r="H134" s="50">
        <v>2951</v>
      </c>
      <c r="I134" s="49" t="s">
        <v>2</v>
      </c>
      <c r="J134" s="50" t="s">
        <v>765</v>
      </c>
      <c r="K134" s="51">
        <v>41744</v>
      </c>
      <c r="L134" s="115">
        <v>41737</v>
      </c>
      <c r="N134" s="50" t="s">
        <v>2</v>
      </c>
      <c r="O134" s="74">
        <v>1.2</v>
      </c>
      <c r="P134" s="117">
        <v>7.5</v>
      </c>
      <c r="Q134" s="131">
        <v>7.05</v>
      </c>
      <c r="R134" s="119">
        <f>1/2</f>
        <v>0.5</v>
      </c>
      <c r="S134" s="147">
        <v>17</v>
      </c>
      <c r="T134" s="50">
        <v>0.34</v>
      </c>
      <c r="U134" s="74">
        <v>0.23</v>
      </c>
      <c r="V134" s="50">
        <v>0.31</v>
      </c>
      <c r="W134" s="74">
        <v>1.4E-2</v>
      </c>
      <c r="X134" s="50">
        <v>2.3E-2</v>
      </c>
      <c r="Y134" s="74">
        <v>2E-3</v>
      </c>
      <c r="AD134" s="164"/>
      <c r="AE134" s="50">
        <f>25/2</f>
        <v>12.5</v>
      </c>
    </row>
    <row r="135" spans="1:37" ht="14">
      <c r="A135" s="383" t="s">
        <v>33</v>
      </c>
      <c r="B135" s="50" t="s">
        <v>707</v>
      </c>
      <c r="C135" s="50" t="s">
        <v>3841</v>
      </c>
      <c r="D135" s="48" t="s">
        <v>213</v>
      </c>
      <c r="E135" s="50" t="s">
        <v>763</v>
      </c>
      <c r="G135" s="76" t="s">
        <v>764</v>
      </c>
      <c r="H135" s="50">
        <v>2951</v>
      </c>
      <c r="I135" s="49" t="s">
        <v>2</v>
      </c>
      <c r="J135" s="50" t="s">
        <v>766</v>
      </c>
      <c r="K135" s="51">
        <v>41744</v>
      </c>
      <c r="L135" s="115">
        <v>41737</v>
      </c>
      <c r="N135" s="50" t="s">
        <v>2</v>
      </c>
      <c r="O135" s="74">
        <f>1/2</f>
        <v>0.5</v>
      </c>
      <c r="P135" s="117">
        <v>7.5</v>
      </c>
      <c r="Q135" s="131">
        <v>6.7</v>
      </c>
      <c r="R135" s="119">
        <v>18.7</v>
      </c>
      <c r="S135" s="147">
        <v>21</v>
      </c>
      <c r="T135" s="50">
        <v>7.0000000000000007E-2</v>
      </c>
      <c r="U135" s="74">
        <v>0.68</v>
      </c>
      <c r="V135" s="50">
        <v>0.32</v>
      </c>
      <c r="W135" s="74">
        <v>1.6E-2</v>
      </c>
      <c r="X135" s="50">
        <v>2.4E-2</v>
      </c>
      <c r="Y135" s="74">
        <v>2E-3</v>
      </c>
      <c r="AD135" s="164"/>
      <c r="AE135" s="50">
        <f>25/2</f>
        <v>12.5</v>
      </c>
    </row>
    <row r="136" spans="1:37" ht="14">
      <c r="A136" s="383" t="s">
        <v>33</v>
      </c>
      <c r="B136" s="50" t="s">
        <v>707</v>
      </c>
      <c r="C136" s="50" t="s">
        <v>3841</v>
      </c>
      <c r="D136" s="48" t="s">
        <v>213</v>
      </c>
      <c r="E136" s="50" t="s">
        <v>763</v>
      </c>
      <c r="G136" s="76" t="s">
        <v>764</v>
      </c>
      <c r="H136" s="50">
        <v>2951</v>
      </c>
      <c r="I136" s="49" t="s">
        <v>2</v>
      </c>
      <c r="J136" s="50" t="s">
        <v>767</v>
      </c>
      <c r="K136" s="51">
        <v>41744</v>
      </c>
      <c r="L136" s="115">
        <v>41737</v>
      </c>
      <c r="N136" s="50" t="s">
        <v>2</v>
      </c>
      <c r="O136" s="74">
        <f>1/2</f>
        <v>0.5</v>
      </c>
      <c r="P136" s="117">
        <v>7.5</v>
      </c>
      <c r="Q136" s="131">
        <v>6.61</v>
      </c>
      <c r="R136" s="119">
        <v>7.5</v>
      </c>
      <c r="S136" s="147">
        <v>5</v>
      </c>
      <c r="T136" s="50">
        <f>0.05/2</f>
        <v>2.5000000000000001E-2</v>
      </c>
      <c r="U136" s="74">
        <v>0.91</v>
      </c>
      <c r="V136" s="50">
        <v>0.3</v>
      </c>
      <c r="W136" s="74">
        <v>6.0000000000000001E-3</v>
      </c>
      <c r="X136" s="50">
        <v>1.2E-2</v>
      </c>
      <c r="Y136" s="74">
        <f>0.002/2</f>
        <v>1E-3</v>
      </c>
      <c r="AD136" s="164"/>
      <c r="AE136" s="50">
        <f>25/2</f>
        <v>12.5</v>
      </c>
    </row>
    <row r="137" spans="1:37" ht="14">
      <c r="A137" s="383" t="s">
        <v>33</v>
      </c>
      <c r="B137" s="50" t="s">
        <v>707</v>
      </c>
      <c r="C137" s="50" t="s">
        <v>3768</v>
      </c>
      <c r="D137" s="48" t="s">
        <v>756</v>
      </c>
      <c r="E137" s="50" t="s">
        <v>757</v>
      </c>
      <c r="G137" s="76" t="s">
        <v>758</v>
      </c>
      <c r="H137" s="50" t="s">
        <v>3769</v>
      </c>
      <c r="I137" s="49" t="s">
        <v>1</v>
      </c>
      <c r="J137" s="50" t="s">
        <v>760</v>
      </c>
      <c r="K137" s="51">
        <v>41744</v>
      </c>
      <c r="L137" s="115">
        <v>41737</v>
      </c>
      <c r="N137" s="50" t="s">
        <v>2</v>
      </c>
      <c r="P137" s="117">
        <v>7</v>
      </c>
      <c r="Q137" s="131"/>
      <c r="R137" s="119"/>
      <c r="S137" s="147">
        <v>650</v>
      </c>
      <c r="T137" s="50">
        <v>0.26</v>
      </c>
      <c r="X137" s="50">
        <v>0.84</v>
      </c>
      <c r="AD137" s="164"/>
      <c r="AE137" s="50"/>
    </row>
    <row r="138" spans="1:37" ht="14">
      <c r="A138" s="383" t="s">
        <v>33</v>
      </c>
      <c r="B138" s="50" t="s">
        <v>707</v>
      </c>
      <c r="C138" s="50" t="s">
        <v>3944</v>
      </c>
      <c r="D138" s="48" t="s">
        <v>684</v>
      </c>
      <c r="E138" s="50" t="s">
        <v>112</v>
      </c>
      <c r="G138" s="76" t="s">
        <v>753</v>
      </c>
      <c r="H138" s="50">
        <v>2951</v>
      </c>
      <c r="I138" s="49" t="s">
        <v>1</v>
      </c>
      <c r="J138" s="50" t="s">
        <v>754</v>
      </c>
      <c r="K138" s="51">
        <v>41744</v>
      </c>
      <c r="L138" s="115">
        <v>41737</v>
      </c>
      <c r="N138" s="50" t="s">
        <v>2</v>
      </c>
      <c r="O138" s="74">
        <v>2.4</v>
      </c>
      <c r="P138" s="117">
        <v>5</v>
      </c>
      <c r="Q138" s="131">
        <v>8.68</v>
      </c>
      <c r="R138" s="119">
        <v>3.7</v>
      </c>
      <c r="S138" s="147">
        <v>25</v>
      </c>
      <c r="T138" s="50">
        <f>0.05/2</f>
        <v>2.5000000000000001E-2</v>
      </c>
      <c r="U138" s="74">
        <v>0.7</v>
      </c>
      <c r="V138" s="50">
        <v>0.37</v>
      </c>
      <c r="W138" s="74">
        <v>8.9999999999999993E-3</v>
      </c>
      <c r="X138" s="50">
        <v>1.7999999999999999E-2</v>
      </c>
      <c r="Y138" s="74">
        <v>2E-3</v>
      </c>
      <c r="AD138" s="164"/>
      <c r="AE138" s="50">
        <v>12.5</v>
      </c>
      <c r="AI138" s="402">
        <v>39</v>
      </c>
      <c r="AJ138" s="402">
        <v>90</v>
      </c>
    </row>
    <row r="139" spans="1:37" ht="14">
      <c r="A139" s="207" t="s">
        <v>33</v>
      </c>
      <c r="B139" s="50" t="s">
        <v>707</v>
      </c>
      <c r="C139" s="50" t="s">
        <v>5121</v>
      </c>
      <c r="D139" s="48" t="s">
        <v>200</v>
      </c>
      <c r="E139" s="50" t="s">
        <v>3556</v>
      </c>
      <c r="G139" s="76" t="s">
        <v>746</v>
      </c>
      <c r="H139" s="50" t="s">
        <v>3762</v>
      </c>
      <c r="I139" s="49" t="s">
        <v>1</v>
      </c>
      <c r="J139" s="50" t="s">
        <v>3766</v>
      </c>
      <c r="K139" s="51">
        <v>41744</v>
      </c>
      <c r="L139" s="115">
        <v>41737</v>
      </c>
      <c r="N139" s="50" t="s">
        <v>2</v>
      </c>
      <c r="O139" s="74">
        <v>2.4</v>
      </c>
      <c r="P139" s="117">
        <v>7</v>
      </c>
      <c r="Q139" s="131">
        <v>7.2</v>
      </c>
      <c r="R139" s="119">
        <v>11.3</v>
      </c>
      <c r="S139" s="147">
        <v>240</v>
      </c>
      <c r="T139" s="50">
        <v>0.16</v>
      </c>
      <c r="U139" s="74">
        <v>1</v>
      </c>
      <c r="V139" s="50">
        <v>0.3</v>
      </c>
      <c r="W139" s="74">
        <v>1.6E-2</v>
      </c>
      <c r="X139" s="50">
        <v>3.6999999999999998E-2</v>
      </c>
      <c r="Y139" s="74">
        <v>7.0000000000000001E-3</v>
      </c>
      <c r="AD139" s="164"/>
      <c r="AE139" s="74">
        <f>25/2</f>
        <v>12.5</v>
      </c>
      <c r="AK139" s="402">
        <v>14</v>
      </c>
    </row>
    <row r="140" spans="1:37" ht="14">
      <c r="A140" s="383" t="s">
        <v>33</v>
      </c>
      <c r="B140" s="50" t="s">
        <v>707</v>
      </c>
      <c r="C140" s="50" t="s">
        <v>3843</v>
      </c>
      <c r="D140" s="48" t="s">
        <v>710</v>
      </c>
      <c r="E140" s="50" t="s">
        <v>711</v>
      </c>
      <c r="G140" s="76" t="s">
        <v>712</v>
      </c>
      <c r="H140" s="50">
        <v>2951</v>
      </c>
      <c r="I140" s="49" t="s">
        <v>2</v>
      </c>
      <c r="J140" s="50" t="s">
        <v>713</v>
      </c>
      <c r="K140" s="51">
        <v>41759</v>
      </c>
      <c r="L140" s="115">
        <v>41755</v>
      </c>
      <c r="N140" s="50" t="s">
        <v>2</v>
      </c>
      <c r="O140" s="74">
        <v>1.6</v>
      </c>
      <c r="P140" s="117">
        <v>5.3</v>
      </c>
      <c r="Q140" s="131">
        <v>6.62</v>
      </c>
      <c r="R140" s="119">
        <f>1/2</f>
        <v>0.5</v>
      </c>
      <c r="S140" s="147">
        <v>5</v>
      </c>
      <c r="T140" s="50">
        <v>0.05</v>
      </c>
      <c r="U140" s="74">
        <v>0.5</v>
      </c>
      <c r="V140" s="50">
        <v>0.13</v>
      </c>
      <c r="W140" s="74">
        <v>5.0000000000000001E-3</v>
      </c>
      <c r="X140" s="50">
        <v>1.0999999999999999E-2</v>
      </c>
      <c r="Y140" s="74">
        <f>0.002/2</f>
        <v>1E-3</v>
      </c>
      <c r="AD140" s="164"/>
      <c r="AE140" s="50">
        <v>12.5</v>
      </c>
    </row>
    <row r="141" spans="1:37" ht="14">
      <c r="A141" s="383" t="s">
        <v>33</v>
      </c>
      <c r="B141" s="54" t="s">
        <v>707</v>
      </c>
      <c r="C141" s="54" t="s">
        <v>727</v>
      </c>
      <c r="D141" s="56" t="s">
        <v>314</v>
      </c>
      <c r="E141" s="54" t="s">
        <v>49</v>
      </c>
      <c r="F141" s="54"/>
      <c r="G141" s="61" t="s">
        <v>728</v>
      </c>
      <c r="H141" s="54">
        <v>2951</v>
      </c>
      <c r="I141" s="55" t="s">
        <v>2</v>
      </c>
      <c r="J141" s="54" t="s">
        <v>731</v>
      </c>
      <c r="K141" s="51">
        <v>41759</v>
      </c>
      <c r="L141" s="115">
        <v>41755</v>
      </c>
      <c r="N141" s="50" t="s">
        <v>2</v>
      </c>
      <c r="O141" s="74">
        <v>2.4</v>
      </c>
      <c r="P141" s="117">
        <v>8.8000000000000007</v>
      </c>
      <c r="Q141" s="131">
        <v>7.47</v>
      </c>
      <c r="R141" s="119">
        <f>1/2</f>
        <v>0.5</v>
      </c>
      <c r="S141" s="147">
        <v>3</v>
      </c>
      <c r="U141" s="74">
        <v>0.7</v>
      </c>
      <c r="V141" s="50">
        <v>0.1</v>
      </c>
      <c r="AD141" s="164"/>
      <c r="AE141" s="50"/>
    </row>
    <row r="142" spans="1:37" ht="14">
      <c r="A142" s="207" t="s">
        <v>33</v>
      </c>
      <c r="B142" s="50" t="s">
        <v>707</v>
      </c>
      <c r="C142" s="50" t="s">
        <v>3939</v>
      </c>
      <c r="D142" s="48" t="s">
        <v>251</v>
      </c>
      <c r="E142" s="50" t="s">
        <v>719</v>
      </c>
      <c r="F142" s="50">
        <v>4402</v>
      </c>
      <c r="G142" s="76" t="s">
        <v>720</v>
      </c>
      <c r="H142" s="50" t="s">
        <v>3851</v>
      </c>
      <c r="I142" s="49" t="s">
        <v>2</v>
      </c>
      <c r="J142" s="50" t="s">
        <v>723</v>
      </c>
      <c r="K142" s="51">
        <v>41744</v>
      </c>
      <c r="L142" s="115">
        <v>41737</v>
      </c>
      <c r="N142" s="50" t="s">
        <v>2</v>
      </c>
      <c r="P142" s="117">
        <v>8</v>
      </c>
      <c r="Q142" s="131"/>
      <c r="R142" s="119"/>
      <c r="S142" s="147"/>
      <c r="AD142" s="164"/>
      <c r="AE142" s="50">
        <v>12.5</v>
      </c>
    </row>
    <row r="143" spans="1:37" ht="14">
      <c r="A143" s="207" t="s">
        <v>33</v>
      </c>
      <c r="B143" s="50" t="s">
        <v>707</v>
      </c>
      <c r="C143" s="50" t="s">
        <v>3939</v>
      </c>
      <c r="D143" s="48" t="s">
        <v>251</v>
      </c>
      <c r="E143" s="50" t="s">
        <v>719</v>
      </c>
      <c r="F143" s="50">
        <v>4402</v>
      </c>
      <c r="G143" s="76" t="s">
        <v>720</v>
      </c>
      <c r="H143" s="50" t="s">
        <v>3851</v>
      </c>
      <c r="I143" s="49" t="s">
        <v>2</v>
      </c>
      <c r="J143" s="50" t="s">
        <v>3852</v>
      </c>
      <c r="K143" s="51">
        <v>41744</v>
      </c>
      <c r="L143" s="115">
        <v>41737</v>
      </c>
      <c r="N143" s="50" t="s">
        <v>2</v>
      </c>
      <c r="P143" s="117">
        <v>8.1999999999999993</v>
      </c>
      <c r="Q143" s="131"/>
      <c r="R143" s="119"/>
      <c r="S143" s="147"/>
      <c r="AD143" s="164"/>
      <c r="AE143" s="50">
        <v>12.5</v>
      </c>
    </row>
    <row r="144" spans="1:37" ht="14">
      <c r="A144" s="383" t="s">
        <v>33</v>
      </c>
      <c r="B144" s="50" t="s">
        <v>707</v>
      </c>
      <c r="C144" s="50" t="s">
        <v>3939</v>
      </c>
      <c r="D144" s="48" t="s">
        <v>251</v>
      </c>
      <c r="E144" s="50" t="s">
        <v>719</v>
      </c>
      <c r="F144" s="50">
        <v>4402</v>
      </c>
      <c r="G144" s="76" t="s">
        <v>720</v>
      </c>
      <c r="H144" s="50" t="s">
        <v>3851</v>
      </c>
      <c r="I144" s="49" t="s">
        <v>2</v>
      </c>
      <c r="J144" s="50" t="s">
        <v>3853</v>
      </c>
      <c r="K144" s="51">
        <v>41744</v>
      </c>
      <c r="L144" s="115">
        <v>41737</v>
      </c>
      <c r="N144" s="50" t="s">
        <v>2</v>
      </c>
      <c r="O144" s="74">
        <f>1/2</f>
        <v>0.5</v>
      </c>
      <c r="P144" s="117">
        <v>8.1</v>
      </c>
      <c r="Q144" s="131">
        <v>6.91</v>
      </c>
      <c r="R144" s="119">
        <v>7.5</v>
      </c>
      <c r="S144" s="147">
        <v>1</v>
      </c>
      <c r="T144" s="50">
        <v>0.11</v>
      </c>
      <c r="U144" s="74">
        <v>0.64</v>
      </c>
      <c r="V144" s="50">
        <f>0.1/2</f>
        <v>0.05</v>
      </c>
      <c r="W144" s="74">
        <v>8.0000000000000002E-3</v>
      </c>
      <c r="X144" s="50">
        <v>0.04</v>
      </c>
      <c r="Y144" s="74">
        <f>0.002/2</f>
        <v>1E-3</v>
      </c>
      <c r="AD144" s="164"/>
      <c r="AE144" s="50">
        <v>12.5</v>
      </c>
    </row>
    <row r="145" spans="1:38" ht="14">
      <c r="A145" s="383" t="s">
        <v>33</v>
      </c>
      <c r="B145" s="50" t="s">
        <v>707</v>
      </c>
      <c r="C145" s="50" t="s">
        <v>3846</v>
      </c>
      <c r="D145" s="48" t="s">
        <v>406</v>
      </c>
      <c r="E145" s="50" t="s">
        <v>3940</v>
      </c>
      <c r="G145" s="76" t="s">
        <v>1215</v>
      </c>
      <c r="H145" s="50" t="s">
        <v>3847</v>
      </c>
      <c r="I145" s="49" t="s">
        <v>1</v>
      </c>
      <c r="J145" s="50" t="s">
        <v>733</v>
      </c>
      <c r="K145" s="51">
        <v>41759</v>
      </c>
      <c r="L145" s="115">
        <v>41755</v>
      </c>
      <c r="N145" s="50" t="s">
        <v>2</v>
      </c>
      <c r="O145" s="74">
        <f>1/2</f>
        <v>0.5</v>
      </c>
      <c r="P145" s="117">
        <v>5</v>
      </c>
      <c r="Q145" s="131">
        <v>6.84</v>
      </c>
      <c r="R145" s="119">
        <f>1/2</f>
        <v>0.5</v>
      </c>
      <c r="S145" s="147">
        <v>38</v>
      </c>
      <c r="T145" s="50">
        <v>0.05</v>
      </c>
      <c r="U145" s="74">
        <v>0.54</v>
      </c>
      <c r="V145" s="50">
        <v>0.16</v>
      </c>
      <c r="W145" s="74">
        <v>5.0000000000000001E-3</v>
      </c>
      <c r="X145" s="50">
        <v>1.7000000000000001E-2</v>
      </c>
      <c r="Y145" s="74">
        <f>0.002/2</f>
        <v>1E-3</v>
      </c>
      <c r="AD145" s="164"/>
      <c r="AE145" s="50">
        <v>12.5</v>
      </c>
      <c r="AJ145" s="402">
        <v>75</v>
      </c>
    </row>
    <row r="146" spans="1:38" ht="14">
      <c r="A146" s="383" t="s">
        <v>33</v>
      </c>
      <c r="B146" s="50" t="s">
        <v>5957</v>
      </c>
      <c r="C146" s="50" t="s">
        <v>4973</v>
      </c>
      <c r="D146" s="48" t="s">
        <v>350</v>
      </c>
      <c r="E146" s="50" t="s">
        <v>5958</v>
      </c>
      <c r="G146" s="76" t="s">
        <v>4391</v>
      </c>
      <c r="I146" s="49" t="s">
        <v>2</v>
      </c>
      <c r="K146" s="51">
        <v>41578</v>
      </c>
      <c r="L146" s="115"/>
      <c r="N146" s="50" t="s">
        <v>2</v>
      </c>
      <c r="O146" s="74">
        <f>1.4/2</f>
        <v>0.7</v>
      </c>
      <c r="P146" s="117">
        <v>5.48</v>
      </c>
      <c r="Q146" s="131">
        <v>5.0599999999999996</v>
      </c>
      <c r="R146" s="119">
        <v>22</v>
      </c>
      <c r="S146" s="147">
        <v>9.5</v>
      </c>
      <c r="T146" s="50">
        <v>7.0000000000000007E-2</v>
      </c>
      <c r="U146" s="74">
        <v>1.38</v>
      </c>
      <c r="V146" s="50">
        <v>1.1599999999999999</v>
      </c>
      <c r="W146" s="74">
        <v>8.9999999999999993E-3</v>
      </c>
      <c r="X146" s="50">
        <v>0.114</v>
      </c>
      <c r="Y146" s="74">
        <f>0.002/2</f>
        <v>1E-3</v>
      </c>
      <c r="Z146" s="164">
        <v>1</v>
      </c>
      <c r="AA146" s="165">
        <v>1</v>
      </c>
      <c r="AB146" s="50">
        <v>4</v>
      </c>
      <c r="AC146" s="74">
        <v>18</v>
      </c>
      <c r="AD146" s="164">
        <v>0.75</v>
      </c>
      <c r="AE146" s="50">
        <v>1.4E-2</v>
      </c>
      <c r="AF146" s="50">
        <v>1.08</v>
      </c>
      <c r="AG146" s="50">
        <v>5.57</v>
      </c>
      <c r="AH146" s="50">
        <v>52.13</v>
      </c>
    </row>
    <row r="147" spans="1:38" ht="14">
      <c r="A147" s="383" t="s">
        <v>33</v>
      </c>
      <c r="B147" s="50" t="s">
        <v>891</v>
      </c>
      <c r="C147" s="50" t="s">
        <v>4792</v>
      </c>
      <c r="D147" s="48" t="s">
        <v>98</v>
      </c>
      <c r="E147" s="50" t="s">
        <v>1546</v>
      </c>
      <c r="G147" s="76" t="s">
        <v>894</v>
      </c>
      <c r="H147" s="50">
        <v>2951</v>
      </c>
      <c r="I147" s="49" t="s">
        <v>1</v>
      </c>
      <c r="J147" s="50" t="s">
        <v>3945</v>
      </c>
      <c r="K147" s="51">
        <v>41585</v>
      </c>
      <c r="L147" s="115">
        <v>41579</v>
      </c>
      <c r="N147" s="50" t="s">
        <v>2</v>
      </c>
      <c r="P147" s="117"/>
      <c r="Q147" s="131"/>
      <c r="R147" s="119"/>
      <c r="S147" s="147"/>
      <c r="AD147" s="164"/>
      <c r="AE147" s="50">
        <f>1/2</f>
        <v>0.5</v>
      </c>
      <c r="AI147" s="356">
        <v>15531</v>
      </c>
    </row>
    <row r="148" spans="1:38" ht="14">
      <c r="A148" s="383" t="s">
        <v>33</v>
      </c>
      <c r="B148" s="50" t="s">
        <v>891</v>
      </c>
      <c r="C148" s="50" t="s">
        <v>4792</v>
      </c>
      <c r="D148" s="48" t="s">
        <v>98</v>
      </c>
      <c r="E148" s="50" t="s">
        <v>1546</v>
      </c>
      <c r="G148" s="76" t="s">
        <v>894</v>
      </c>
      <c r="H148" s="50">
        <v>2951</v>
      </c>
      <c r="I148" s="49" t="s">
        <v>1</v>
      </c>
      <c r="J148" s="50" t="s">
        <v>3946</v>
      </c>
      <c r="K148" s="51">
        <v>41585</v>
      </c>
      <c r="L148" s="115">
        <v>41579</v>
      </c>
      <c r="N148" s="50" t="s">
        <v>2</v>
      </c>
      <c r="P148" s="117"/>
      <c r="Q148" s="131"/>
      <c r="R148" s="119"/>
      <c r="S148" s="147"/>
      <c r="T148" s="50">
        <f>0.1/2</f>
        <v>0.05</v>
      </c>
      <c r="AD148" s="164"/>
      <c r="AE148" s="50">
        <f>1/2</f>
        <v>0.5</v>
      </c>
      <c r="AI148" s="356" t="s">
        <v>6367</v>
      </c>
    </row>
    <row r="149" spans="1:38" ht="14">
      <c r="A149" s="383" t="s">
        <v>33</v>
      </c>
      <c r="B149" s="50" t="s">
        <v>532</v>
      </c>
      <c r="C149" s="50" t="s">
        <v>533</v>
      </c>
      <c r="D149" s="48" t="s">
        <v>534</v>
      </c>
      <c r="E149" s="50" t="s">
        <v>535</v>
      </c>
      <c r="G149" s="76" t="s">
        <v>536</v>
      </c>
      <c r="H149" s="50">
        <v>2951</v>
      </c>
      <c r="I149" s="49" t="s">
        <v>2</v>
      </c>
      <c r="J149" s="50" t="s">
        <v>505</v>
      </c>
      <c r="K149" s="51">
        <v>41527</v>
      </c>
      <c r="L149" s="115">
        <v>41513</v>
      </c>
      <c r="N149" s="50" t="s">
        <v>2</v>
      </c>
      <c r="O149" s="74">
        <f>1/2</f>
        <v>0.5</v>
      </c>
      <c r="P149" s="117">
        <v>6.9</v>
      </c>
      <c r="Q149" s="131">
        <v>8.1</v>
      </c>
      <c r="R149" s="119">
        <v>41</v>
      </c>
      <c r="S149" s="147">
        <v>120</v>
      </c>
      <c r="T149" s="50">
        <v>0.14000000000000001</v>
      </c>
      <c r="U149" s="74">
        <v>1.47</v>
      </c>
      <c r="V149" s="50">
        <v>0.86</v>
      </c>
      <c r="W149" s="74">
        <v>0.01</v>
      </c>
      <c r="X149" s="50">
        <v>0.03</v>
      </c>
      <c r="Y149" s="74">
        <v>1.2999999999999999E-2</v>
      </c>
      <c r="Z149" s="164">
        <v>1</v>
      </c>
      <c r="AA149" s="165">
        <v>1</v>
      </c>
      <c r="AB149" s="50">
        <v>260</v>
      </c>
      <c r="AC149" s="74">
        <v>725</v>
      </c>
      <c r="AD149" s="164">
        <v>0.65</v>
      </c>
      <c r="AE149" s="402">
        <f>50/2</f>
        <v>25</v>
      </c>
    </row>
    <row r="150" spans="1:38" ht="14">
      <c r="A150" s="383" t="s">
        <v>33</v>
      </c>
      <c r="B150" s="50" t="s">
        <v>532</v>
      </c>
      <c r="C150" s="50" t="s">
        <v>1048</v>
      </c>
      <c r="D150" s="48" t="s">
        <v>1896</v>
      </c>
      <c r="E150" s="50" t="s">
        <v>1538</v>
      </c>
      <c r="F150" s="402" t="s">
        <v>6482</v>
      </c>
      <c r="G150" s="76" t="s">
        <v>1049</v>
      </c>
      <c r="H150" s="50">
        <v>3273</v>
      </c>
      <c r="I150" s="49" t="s">
        <v>1</v>
      </c>
      <c r="J150" s="50" t="s">
        <v>366</v>
      </c>
      <c r="K150" s="51">
        <v>41508</v>
      </c>
      <c r="L150" s="115">
        <v>41499</v>
      </c>
      <c r="N150" s="50" t="s">
        <v>2</v>
      </c>
      <c r="O150" s="74">
        <f>5/2</f>
        <v>2.5</v>
      </c>
      <c r="P150" s="117">
        <v>6.5</v>
      </c>
      <c r="Q150" s="131">
        <v>8.59</v>
      </c>
      <c r="R150" s="119">
        <v>130</v>
      </c>
      <c r="S150" s="147">
        <v>300</v>
      </c>
      <c r="T150" s="50">
        <v>2</v>
      </c>
      <c r="U150" s="74">
        <v>5.8</v>
      </c>
      <c r="V150" s="50">
        <v>0.67</v>
      </c>
      <c r="W150" s="74">
        <f>0.04/2</f>
        <v>0.02</v>
      </c>
      <c r="X150" s="50">
        <v>9.9000000000000005E-2</v>
      </c>
      <c r="Y150" s="74">
        <f>0.013/2</f>
        <v>6.4999999999999997E-3</v>
      </c>
      <c r="AD150" s="164"/>
      <c r="AE150" s="402">
        <f>75/2</f>
        <v>37.5</v>
      </c>
    </row>
    <row r="151" spans="1:38" ht="14">
      <c r="A151" s="383" t="s">
        <v>33</v>
      </c>
      <c r="B151" s="50" t="s">
        <v>5959</v>
      </c>
      <c r="C151" s="50" t="s">
        <v>1099</v>
      </c>
      <c r="D151" s="48" t="s">
        <v>372</v>
      </c>
      <c r="E151" s="50" t="s">
        <v>235</v>
      </c>
      <c r="G151" s="76" t="s">
        <v>1100</v>
      </c>
      <c r="H151" s="50">
        <v>2951</v>
      </c>
      <c r="I151" s="49" t="s">
        <v>1</v>
      </c>
      <c r="J151" s="50" t="s">
        <v>366</v>
      </c>
      <c r="K151" s="51">
        <v>41585</v>
      </c>
      <c r="L151" s="115">
        <v>41579</v>
      </c>
      <c r="N151" s="50" t="s">
        <v>2</v>
      </c>
      <c r="O151" s="74">
        <v>4.75</v>
      </c>
      <c r="P151" s="117"/>
      <c r="Q151" s="131"/>
      <c r="R151" s="119">
        <v>114</v>
      </c>
      <c r="S151" s="147">
        <v>162</v>
      </c>
      <c r="AD151" s="164"/>
      <c r="AE151" s="50">
        <f>56/2</f>
        <v>28</v>
      </c>
      <c r="AI151" s="402">
        <v>7</v>
      </c>
    </row>
    <row r="152" spans="1:38" ht="14">
      <c r="A152" s="383" t="s">
        <v>33</v>
      </c>
      <c r="B152" s="50" t="s">
        <v>5959</v>
      </c>
      <c r="C152" s="50" t="s">
        <v>533</v>
      </c>
      <c r="D152" s="48" t="s">
        <v>534</v>
      </c>
      <c r="E152" s="50" t="s">
        <v>535</v>
      </c>
      <c r="G152" s="76" t="s">
        <v>536</v>
      </c>
      <c r="H152" s="50">
        <v>2951</v>
      </c>
      <c r="I152" s="49" t="s">
        <v>2</v>
      </c>
      <c r="J152" s="50" t="s">
        <v>505</v>
      </c>
      <c r="K152" s="51">
        <v>41710</v>
      </c>
      <c r="L152" s="115">
        <v>41691</v>
      </c>
      <c r="N152" s="50" t="s">
        <v>1</v>
      </c>
      <c r="P152" s="117"/>
      <c r="Q152" s="131"/>
      <c r="R152" s="119"/>
      <c r="S152" s="147"/>
      <c r="AD152" s="164"/>
      <c r="AE152" s="50">
        <v>0.44</v>
      </c>
    </row>
    <row r="153" spans="1:38" ht="14">
      <c r="A153" s="383" t="s">
        <v>33</v>
      </c>
      <c r="B153" s="50" t="s">
        <v>532</v>
      </c>
      <c r="C153" s="50" t="s">
        <v>1077</v>
      </c>
      <c r="D153" s="48" t="s">
        <v>262</v>
      </c>
      <c r="E153" s="50" t="s">
        <v>1538</v>
      </c>
      <c r="G153" s="76" t="s">
        <v>1078</v>
      </c>
      <c r="H153" s="50">
        <v>2951</v>
      </c>
      <c r="I153" s="49" t="s">
        <v>1</v>
      </c>
      <c r="J153" s="50" t="s">
        <v>477</v>
      </c>
      <c r="K153" s="51">
        <v>41585</v>
      </c>
      <c r="L153" s="115">
        <v>41579</v>
      </c>
      <c r="N153" s="50" t="s">
        <v>2</v>
      </c>
      <c r="P153" s="117"/>
      <c r="Q153" s="131"/>
      <c r="R153" s="119"/>
      <c r="S153" s="147">
        <v>440</v>
      </c>
      <c r="AD153" s="164"/>
      <c r="AE153" s="50">
        <f>75/2</f>
        <v>37.5</v>
      </c>
      <c r="AI153" s="356" t="s">
        <v>6370</v>
      </c>
      <c r="AJ153" s="402">
        <v>400</v>
      </c>
      <c r="AL153" s="402">
        <f>1/2</f>
        <v>0.5</v>
      </c>
    </row>
    <row r="154" spans="1:38" ht="14">
      <c r="A154" s="383" t="s">
        <v>33</v>
      </c>
      <c r="B154" s="50" t="s">
        <v>5959</v>
      </c>
      <c r="C154" s="50" t="s">
        <v>1077</v>
      </c>
      <c r="D154" s="48" t="s">
        <v>262</v>
      </c>
      <c r="E154" s="50" t="s">
        <v>1538</v>
      </c>
      <c r="G154" s="76" t="s">
        <v>1078</v>
      </c>
      <c r="H154" s="50">
        <v>2951</v>
      </c>
      <c r="I154" s="49" t="s">
        <v>1</v>
      </c>
      <c r="J154" s="50" t="s">
        <v>473</v>
      </c>
      <c r="K154" s="51">
        <v>41585</v>
      </c>
      <c r="L154" s="115">
        <v>41579</v>
      </c>
      <c r="N154" s="50" t="s">
        <v>2</v>
      </c>
      <c r="O154" s="74">
        <v>24</v>
      </c>
      <c r="P154" s="117"/>
      <c r="Q154" s="131"/>
      <c r="R154" s="119">
        <v>490</v>
      </c>
      <c r="S154" s="147">
        <v>530</v>
      </c>
      <c r="AD154" s="164"/>
      <c r="AE154" s="50">
        <v>0.35</v>
      </c>
      <c r="AI154" s="356">
        <v>1012</v>
      </c>
      <c r="AJ154" s="402">
        <v>200</v>
      </c>
      <c r="AL154" s="402">
        <v>0.35</v>
      </c>
    </row>
    <row r="155" spans="1:38" ht="14">
      <c r="A155" s="383" t="s">
        <v>33</v>
      </c>
      <c r="B155" s="402" t="s">
        <v>1093</v>
      </c>
      <c r="C155" s="402" t="s">
        <v>1094</v>
      </c>
      <c r="D155" s="401" t="s">
        <v>347</v>
      </c>
      <c r="E155" s="402" t="s">
        <v>1095</v>
      </c>
      <c r="F155" s="402"/>
      <c r="G155" s="393" t="s">
        <v>1096</v>
      </c>
      <c r="H155" s="402">
        <v>2951</v>
      </c>
      <c r="I155" s="391" t="s">
        <v>2</v>
      </c>
      <c r="J155" s="402" t="s">
        <v>6505</v>
      </c>
      <c r="K155" s="51">
        <v>41744</v>
      </c>
      <c r="L155" s="115">
        <v>41737</v>
      </c>
      <c r="N155" s="50" t="s">
        <v>2</v>
      </c>
      <c r="P155" s="117">
        <v>5.5</v>
      </c>
      <c r="Q155" s="131"/>
      <c r="R155" s="119">
        <v>69</v>
      </c>
      <c r="S155" s="147">
        <v>420</v>
      </c>
      <c r="AD155" s="164"/>
      <c r="AE155" s="402">
        <v>1.26</v>
      </c>
    </row>
    <row r="156" spans="1:38" ht="14">
      <c r="A156" s="383" t="s">
        <v>33</v>
      </c>
      <c r="B156" s="402" t="s">
        <v>4791</v>
      </c>
      <c r="C156" s="402" t="s">
        <v>4792</v>
      </c>
      <c r="D156" s="401" t="s">
        <v>98</v>
      </c>
      <c r="E156" s="402" t="s">
        <v>1546</v>
      </c>
      <c r="G156" s="76" t="s">
        <v>894</v>
      </c>
      <c r="H156" s="402">
        <v>2951</v>
      </c>
      <c r="I156" s="391" t="s">
        <v>1</v>
      </c>
      <c r="J156" s="402" t="s">
        <v>4793</v>
      </c>
      <c r="K156" s="403">
        <v>41745</v>
      </c>
      <c r="L156" s="379">
        <v>41737</v>
      </c>
      <c r="M156" s="402"/>
      <c r="N156" s="402" t="s">
        <v>2</v>
      </c>
      <c r="O156" s="404"/>
      <c r="P156" s="380"/>
      <c r="Q156" s="395"/>
      <c r="R156" s="381"/>
      <c r="S156" s="382"/>
      <c r="T156" s="402"/>
      <c r="U156" s="404"/>
      <c r="V156" s="402"/>
      <c r="W156" s="404"/>
      <c r="X156" s="402"/>
      <c r="Y156" s="404"/>
      <c r="Z156" s="396"/>
      <c r="AA156" s="397"/>
      <c r="AB156" s="402"/>
      <c r="AC156" s="404"/>
      <c r="AD156" s="396"/>
      <c r="AE156" s="402">
        <f>1/2</f>
        <v>0.5</v>
      </c>
    </row>
    <row r="157" spans="1:38" ht="14">
      <c r="A157" s="383" t="s">
        <v>33</v>
      </c>
      <c r="B157" s="402" t="s">
        <v>4791</v>
      </c>
      <c r="C157" s="402" t="s">
        <v>4792</v>
      </c>
      <c r="D157" s="401" t="s">
        <v>98</v>
      </c>
      <c r="E157" s="402" t="s">
        <v>1546</v>
      </c>
      <c r="G157" s="76" t="s">
        <v>894</v>
      </c>
      <c r="H157" s="402">
        <v>2951</v>
      </c>
      <c r="I157" s="391" t="s">
        <v>1</v>
      </c>
      <c r="J157" s="402" t="s">
        <v>6580</v>
      </c>
      <c r="K157" s="403">
        <v>41745</v>
      </c>
      <c r="L157" s="379">
        <v>41737</v>
      </c>
      <c r="M157" s="402"/>
      <c r="N157" s="402" t="s">
        <v>2</v>
      </c>
      <c r="O157" s="404"/>
      <c r="P157" s="380"/>
      <c r="Q157" s="395"/>
      <c r="R157" s="381"/>
      <c r="S157" s="382"/>
      <c r="T157" s="402">
        <f>0.1/2</f>
        <v>0.05</v>
      </c>
      <c r="U157" s="404"/>
      <c r="V157" s="402"/>
      <c r="W157" s="404"/>
      <c r="X157" s="402"/>
      <c r="Y157" s="404"/>
      <c r="Z157" s="396"/>
      <c r="AA157" s="397"/>
      <c r="AB157" s="402"/>
      <c r="AC157" s="404"/>
      <c r="AD157" s="396"/>
      <c r="AE157" s="402">
        <f>1/2</f>
        <v>0.5</v>
      </c>
    </row>
  </sheetData>
  <autoFilter ref="A1:AM157"/>
  <conditionalFormatting sqref="O2:O155">
    <cfRule type="cellIs" dxfId="1514" priority="381" stopIfTrue="1" operator="greaterThan">
      <formula>5</formula>
    </cfRule>
  </conditionalFormatting>
  <conditionalFormatting sqref="Q2:Q155">
    <cfRule type="cellIs" dxfId="1513" priority="380" stopIfTrue="1" operator="notBetween">
      <formula>5</formula>
      <formula>9</formula>
    </cfRule>
  </conditionalFormatting>
  <conditionalFormatting sqref="R2:R155">
    <cfRule type="cellIs" dxfId="1512" priority="379" stopIfTrue="1" operator="greaterThan">
      <formula>75</formula>
    </cfRule>
  </conditionalFormatting>
  <conditionalFormatting sqref="S2:S155">
    <cfRule type="cellIs" dxfId="1511" priority="378" stopIfTrue="1" operator="greaterThan">
      <formula>90</formula>
    </cfRule>
  </conditionalFormatting>
  <conditionalFormatting sqref="T2:T155">
    <cfRule type="cellIs" dxfId="1510" priority="377" stopIfTrue="1" operator="greaterThan">
      <formula>0.4</formula>
    </cfRule>
  </conditionalFormatting>
  <conditionalFormatting sqref="U2:U155">
    <cfRule type="cellIs" dxfId="1509" priority="376" stopIfTrue="1" operator="greaterThan">
      <formula>2.3</formula>
    </cfRule>
  </conditionalFormatting>
  <conditionalFormatting sqref="V2:V155">
    <cfRule type="cellIs" dxfId="1508" priority="375" stopIfTrue="1" operator="greaterThan">
      <formula>1.1</formula>
    </cfRule>
  </conditionalFormatting>
  <conditionalFormatting sqref="W2:W155">
    <cfRule type="cellIs" dxfId="1507" priority="374" stopIfTrue="1" operator="greaterThan">
      <formula>0.059</formula>
    </cfRule>
  </conditionalFormatting>
  <conditionalFormatting sqref="X2:X155">
    <cfRule type="cellIs" dxfId="1506" priority="373" stopIfTrue="1" operator="greaterThan">
      <formula>0.16</formula>
    </cfRule>
  </conditionalFormatting>
  <conditionalFormatting sqref="Y2:Y155">
    <cfRule type="cellIs" dxfId="1505" priority="372" stopIfTrue="1" operator="greaterThan">
      <formula>0.076</formula>
    </cfRule>
  </conditionalFormatting>
  <conditionalFormatting sqref="O128:O145">
    <cfRule type="cellIs" dxfId="1504" priority="101" stopIfTrue="1" operator="greaterThan">
      <formula>5</formula>
    </cfRule>
  </conditionalFormatting>
  <conditionalFormatting sqref="Q128:Q145">
    <cfRule type="cellIs" dxfId="1503" priority="100" stopIfTrue="1" operator="notBetween">
      <formula>5</formula>
      <formula>9</formula>
    </cfRule>
  </conditionalFormatting>
  <conditionalFormatting sqref="R128:R145">
    <cfRule type="cellIs" dxfId="1502" priority="99" stopIfTrue="1" operator="greaterThan">
      <formula>75</formula>
    </cfRule>
  </conditionalFormatting>
  <conditionalFormatting sqref="S128:S145">
    <cfRule type="cellIs" dxfId="1501" priority="98" stopIfTrue="1" operator="greaterThan">
      <formula>90</formula>
    </cfRule>
  </conditionalFormatting>
  <conditionalFormatting sqref="T128:T145">
    <cfRule type="cellIs" dxfId="1500" priority="97" stopIfTrue="1" operator="greaterThan">
      <formula>0.4</formula>
    </cfRule>
  </conditionalFormatting>
  <conditionalFormatting sqref="U128:U145">
    <cfRule type="cellIs" dxfId="1499" priority="96" stopIfTrue="1" operator="greaterThan">
      <formula>2.3</formula>
    </cfRule>
  </conditionalFormatting>
  <conditionalFormatting sqref="V128:V145">
    <cfRule type="cellIs" dxfId="1498" priority="95" stopIfTrue="1" operator="greaterThan">
      <formula>1.1</formula>
    </cfRule>
  </conditionalFormatting>
  <conditionalFormatting sqref="W128:W145">
    <cfRule type="cellIs" dxfId="1497" priority="94" stopIfTrue="1" operator="greaterThan">
      <formula>0.059</formula>
    </cfRule>
  </conditionalFormatting>
  <conditionalFormatting sqref="X128:X145">
    <cfRule type="cellIs" dxfId="1496" priority="93" stopIfTrue="1" operator="greaterThan">
      <formula>0.16</formula>
    </cfRule>
  </conditionalFormatting>
  <conditionalFormatting sqref="Y128:Y145">
    <cfRule type="cellIs" dxfId="1495" priority="92" stopIfTrue="1" operator="greaterThan">
      <formula>0.076</formula>
    </cfRule>
  </conditionalFormatting>
  <conditionalFormatting sqref="O156:O157">
    <cfRule type="cellIs" dxfId="1494" priority="10" stopIfTrue="1" operator="greaterThan">
      <formula>5</formula>
    </cfRule>
  </conditionalFormatting>
  <conditionalFormatting sqref="Q156:Q157">
    <cfRule type="cellIs" dxfId="1493" priority="9" stopIfTrue="1" operator="notBetween">
      <formula>5</formula>
      <formula>9</formula>
    </cfRule>
  </conditionalFormatting>
  <conditionalFormatting sqref="R156:R157">
    <cfRule type="cellIs" dxfId="1492" priority="8" stopIfTrue="1" operator="greaterThan">
      <formula>75</formula>
    </cfRule>
  </conditionalFormatting>
  <conditionalFormatting sqref="S156:S157">
    <cfRule type="cellIs" dxfId="1491" priority="7" stopIfTrue="1" operator="greaterThan">
      <formula>90</formula>
    </cfRule>
  </conditionalFormatting>
  <conditionalFormatting sqref="T156:T157">
    <cfRule type="cellIs" dxfId="1490" priority="6" stopIfTrue="1" operator="greaterThan">
      <formula>0.4</formula>
    </cfRule>
  </conditionalFormatting>
  <conditionalFormatting sqref="U156:U157">
    <cfRule type="cellIs" dxfId="1489" priority="5" stopIfTrue="1" operator="greaterThan">
      <formula>2.3</formula>
    </cfRule>
  </conditionalFormatting>
  <conditionalFormatting sqref="V156:V157">
    <cfRule type="cellIs" dxfId="1488" priority="4" stopIfTrue="1" operator="greaterThan">
      <formula>1.1</formula>
    </cfRule>
  </conditionalFormatting>
  <conditionalFormatting sqref="W156:W157">
    <cfRule type="cellIs" dxfId="1487" priority="3" stopIfTrue="1" operator="greaterThan">
      <formula>0.059</formula>
    </cfRule>
  </conditionalFormatting>
  <conditionalFormatting sqref="X156:X157">
    <cfRule type="cellIs" dxfId="1486" priority="2" stopIfTrue="1" operator="greaterThan">
      <formula>0.16</formula>
    </cfRule>
  </conditionalFormatting>
  <conditionalFormatting sqref="Y156:Y157">
    <cfRule type="cellIs" dxfId="1485" priority="1" stopIfTrue="1" operator="greaterThan">
      <formula>0.076</formula>
    </cfRule>
  </conditionalFormatting>
  <pageMargins left="0.7" right="0.7" top="0.75" bottom="0.75" header="0.3" footer="0.3"/>
  <pageSetup orientation="portrait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>
    <tabColor theme="0" tint="-4.9989318521683403E-2"/>
  </sheetPr>
  <dimension ref="A1:AU171"/>
  <sheetViews>
    <sheetView showGridLines="0" workbookViewId="0">
      <pane ySplit="1" topLeftCell="A154" activePane="bottomLeft" state="frozen"/>
      <selection activeCell="F329" sqref="F329"/>
      <selection pane="bottomLeft" activeCell="A171" sqref="A171"/>
    </sheetView>
  </sheetViews>
  <sheetFormatPr baseColWidth="10" defaultColWidth="8.83203125" defaultRowHeight="15" customHeight="1" x14ac:dyDescent="0"/>
  <cols>
    <col min="1" max="1" width="21.83203125" style="41" bestFit="1" customWidth="1"/>
    <col min="2" max="2" width="19.1640625" style="50" customWidth="1"/>
    <col min="3" max="3" width="22" style="50" customWidth="1"/>
    <col min="4" max="4" width="10.6640625" style="48" customWidth="1"/>
    <col min="5" max="5" width="21.1640625" style="50" customWidth="1"/>
    <col min="6" max="6" width="10.6640625" style="50" customWidth="1"/>
    <col min="7" max="7" width="8.83203125" style="76"/>
    <col min="8" max="8" width="8.83203125" style="50"/>
    <col min="9" max="9" width="8.83203125" style="49"/>
    <col min="10" max="10" width="19.5" style="50" customWidth="1"/>
    <col min="11" max="11" width="8.83203125" style="50" customWidth="1"/>
    <col min="12" max="12" width="9.6640625" style="49" customWidth="1"/>
    <col min="13" max="13" width="10.5" style="50" customWidth="1"/>
    <col min="14" max="14" width="8.83203125" style="50"/>
    <col min="15" max="15" width="8.83203125" style="74"/>
    <col min="16" max="16" width="8.83203125" style="50"/>
    <col min="17" max="17" width="8.83203125" style="74"/>
    <col min="18" max="18" width="8.83203125" style="50"/>
    <col min="19" max="19" width="8.83203125" style="74"/>
    <col min="20" max="20" width="8.83203125" style="50"/>
    <col min="21" max="21" width="8.83203125" style="74"/>
    <col min="22" max="22" width="8.83203125" style="50"/>
    <col min="23" max="23" width="8.83203125" style="74"/>
    <col min="24" max="24" width="8.83203125" style="50"/>
    <col min="25" max="25" width="8.83203125" style="74"/>
    <col min="26" max="26" width="8.83203125" style="164"/>
    <col min="27" max="27" width="8.83203125" style="165"/>
    <col min="28" max="28" width="10" style="50" customWidth="1"/>
    <col min="29" max="29" width="12.1640625" style="74" customWidth="1"/>
    <col min="30" max="30" width="14.33203125" style="164" customWidth="1"/>
    <col min="31" max="31" width="9.1640625" style="74" customWidth="1"/>
    <col min="32" max="35" width="8.83203125" style="402"/>
    <col min="36" max="47" width="8.83203125" style="74"/>
  </cols>
  <sheetData>
    <row r="1" spans="1:35" ht="49" thickBot="1">
      <c r="A1" s="274" t="s">
        <v>32</v>
      </c>
      <c r="B1" s="37" t="s">
        <v>3</v>
      </c>
      <c r="C1" s="37" t="s">
        <v>4</v>
      </c>
      <c r="D1" s="39" t="s">
        <v>5</v>
      </c>
      <c r="E1" s="37" t="s">
        <v>6</v>
      </c>
      <c r="F1" s="37" t="s">
        <v>7</v>
      </c>
      <c r="G1" s="39" t="s">
        <v>0</v>
      </c>
      <c r="H1" s="37" t="s">
        <v>20</v>
      </c>
      <c r="I1" s="37" t="s">
        <v>8</v>
      </c>
      <c r="J1" s="37" t="s">
        <v>9</v>
      </c>
      <c r="K1" s="37" t="s">
        <v>10</v>
      </c>
      <c r="L1" s="37" t="s">
        <v>11</v>
      </c>
      <c r="M1" s="37" t="s">
        <v>12</v>
      </c>
      <c r="N1" s="37" t="s">
        <v>13</v>
      </c>
      <c r="O1" s="37" t="s">
        <v>4098</v>
      </c>
      <c r="P1" s="37" t="s">
        <v>14</v>
      </c>
      <c r="Q1" s="37" t="s">
        <v>4099</v>
      </c>
      <c r="R1" s="37" t="s">
        <v>4093</v>
      </c>
      <c r="S1" s="37" t="s">
        <v>4094</v>
      </c>
      <c r="T1" s="37" t="s">
        <v>4095</v>
      </c>
      <c r="U1" s="37" t="s">
        <v>4096</v>
      </c>
      <c r="V1" s="37" t="s">
        <v>4097</v>
      </c>
      <c r="W1" s="37" t="s">
        <v>4106</v>
      </c>
      <c r="X1" s="37" t="s">
        <v>4101</v>
      </c>
      <c r="Y1" s="37" t="s">
        <v>4102</v>
      </c>
      <c r="Z1" s="95" t="s">
        <v>15</v>
      </c>
      <c r="AA1" s="95" t="s">
        <v>16</v>
      </c>
      <c r="AB1" s="37" t="s">
        <v>17</v>
      </c>
      <c r="AC1" s="37" t="s">
        <v>18</v>
      </c>
      <c r="AD1" s="95" t="s">
        <v>19</v>
      </c>
      <c r="AE1" s="97" t="s">
        <v>963</v>
      </c>
      <c r="AF1" s="96" t="s">
        <v>6581</v>
      </c>
      <c r="AG1" s="96" t="s">
        <v>3780</v>
      </c>
      <c r="AH1" s="96" t="s">
        <v>1001</v>
      </c>
      <c r="AI1" s="402" t="s">
        <v>1003</v>
      </c>
    </row>
    <row r="2" spans="1:35" ht="14">
      <c r="A2" s="41" t="s">
        <v>34</v>
      </c>
      <c r="B2" s="42" t="s">
        <v>63</v>
      </c>
      <c r="C2" s="42" t="s">
        <v>64</v>
      </c>
      <c r="D2" s="43" t="s">
        <v>588</v>
      </c>
      <c r="E2" s="42" t="s">
        <v>382</v>
      </c>
      <c r="F2" s="305" t="s">
        <v>991</v>
      </c>
      <c r="G2" s="267" t="s">
        <v>65</v>
      </c>
      <c r="H2" s="45">
        <v>1442</v>
      </c>
      <c r="I2" s="298" t="s">
        <v>2</v>
      </c>
      <c r="J2" s="45" t="s">
        <v>66</v>
      </c>
      <c r="K2" s="46">
        <v>40819</v>
      </c>
      <c r="L2" s="100">
        <v>40815</v>
      </c>
      <c r="M2" s="45">
        <v>4</v>
      </c>
      <c r="N2" s="45" t="s">
        <v>2</v>
      </c>
      <c r="O2" s="107">
        <f>5/2</f>
        <v>2.5</v>
      </c>
      <c r="P2" s="45">
        <v>6.1</v>
      </c>
      <c r="Q2" s="44">
        <v>6.34</v>
      </c>
      <c r="R2" s="218">
        <v>59</v>
      </c>
      <c r="S2" s="219">
        <v>23</v>
      </c>
      <c r="T2" s="220">
        <f>0.1/2</f>
        <v>0.05</v>
      </c>
      <c r="U2" s="221">
        <f>1/2</f>
        <v>0.5</v>
      </c>
      <c r="V2" s="220">
        <f>0.1/2</f>
        <v>0.05</v>
      </c>
      <c r="W2" s="221">
        <f>0.04/2</f>
        <v>0.02</v>
      </c>
      <c r="X2" s="220">
        <f>0.02/2</f>
        <v>0.01</v>
      </c>
      <c r="Y2" s="221">
        <f>0.013/2</f>
        <v>6.4999999999999997E-3</v>
      </c>
      <c r="Z2" s="111">
        <v>1</v>
      </c>
      <c r="AA2" s="125">
        <v>1</v>
      </c>
      <c r="AB2" s="45">
        <v>23</v>
      </c>
      <c r="AC2" s="44">
        <v>121</v>
      </c>
      <c r="AD2" s="222">
        <v>1</v>
      </c>
    </row>
    <row r="3" spans="1:35" ht="14">
      <c r="A3" s="53" t="s">
        <v>34</v>
      </c>
      <c r="B3" s="252" t="s">
        <v>63</v>
      </c>
      <c r="C3" s="252" t="s">
        <v>64</v>
      </c>
      <c r="D3" s="56" t="s">
        <v>588</v>
      </c>
      <c r="E3" s="252" t="s">
        <v>382</v>
      </c>
      <c r="F3" s="252" t="s">
        <v>991</v>
      </c>
      <c r="G3" s="61" t="s">
        <v>65</v>
      </c>
      <c r="H3" s="54">
        <v>1442</v>
      </c>
      <c r="I3" s="149" t="s">
        <v>2</v>
      </c>
      <c r="J3" s="54" t="s">
        <v>67</v>
      </c>
      <c r="K3" s="57">
        <v>40819</v>
      </c>
      <c r="L3" s="132">
        <v>40815</v>
      </c>
      <c r="M3" s="54">
        <v>4</v>
      </c>
      <c r="N3" s="54" t="s">
        <v>2</v>
      </c>
      <c r="O3" s="135">
        <v>9.8000000000000007</v>
      </c>
      <c r="P3" s="54">
        <v>6.1</v>
      </c>
      <c r="Q3" s="155">
        <v>5.85</v>
      </c>
      <c r="R3" s="161">
        <v>70</v>
      </c>
      <c r="S3" s="253">
        <v>14</v>
      </c>
      <c r="T3" s="203">
        <f>0.1/2</f>
        <v>0.05</v>
      </c>
      <c r="U3" s="204">
        <f>1/2</f>
        <v>0.5</v>
      </c>
      <c r="V3" s="203">
        <f>0.1/2</f>
        <v>0.05</v>
      </c>
      <c r="W3" s="204">
        <v>0.04</v>
      </c>
      <c r="X3" s="203">
        <v>0.02</v>
      </c>
      <c r="Y3" s="204">
        <v>1.2999999999999999E-2</v>
      </c>
      <c r="Z3" s="144">
        <v>1</v>
      </c>
      <c r="AA3" s="306">
        <v>1</v>
      </c>
      <c r="AB3" s="54">
        <v>19</v>
      </c>
      <c r="AC3" s="155">
        <v>175</v>
      </c>
      <c r="AD3" s="157">
        <v>1</v>
      </c>
    </row>
    <row r="4" spans="1:35" ht="14">
      <c r="A4" s="53" t="s">
        <v>34</v>
      </c>
      <c r="B4" s="54" t="s">
        <v>532</v>
      </c>
      <c r="C4" s="54" t="s">
        <v>587</v>
      </c>
      <c r="D4" s="56" t="s">
        <v>534</v>
      </c>
      <c r="E4" s="54" t="s">
        <v>304</v>
      </c>
      <c r="F4" s="54"/>
      <c r="G4" s="61" t="s">
        <v>589</v>
      </c>
      <c r="H4" s="54">
        <v>1429</v>
      </c>
      <c r="I4" s="55" t="s">
        <v>2</v>
      </c>
      <c r="J4" s="54" t="s">
        <v>366</v>
      </c>
      <c r="K4" s="57">
        <v>40835</v>
      </c>
      <c r="L4" s="132">
        <v>40830</v>
      </c>
      <c r="M4" s="54">
        <v>5</v>
      </c>
      <c r="N4" s="54" t="s">
        <v>2</v>
      </c>
      <c r="O4" s="155">
        <f>1.4/2</f>
        <v>0.7</v>
      </c>
      <c r="P4" s="54">
        <v>5.5</v>
      </c>
      <c r="Q4" s="155">
        <v>7.72</v>
      </c>
      <c r="R4" s="54">
        <f>10/2</f>
        <v>5</v>
      </c>
      <c r="S4" s="155">
        <f>5/2</f>
        <v>2.5</v>
      </c>
      <c r="T4" s="54">
        <v>0.02</v>
      </c>
      <c r="U4" s="155">
        <v>0.41</v>
      </c>
      <c r="V4" s="54">
        <v>3</v>
      </c>
      <c r="W4" s="155">
        <v>1E-3</v>
      </c>
      <c r="X4" s="54">
        <v>4.0000000000000001E-3</v>
      </c>
      <c r="Y4" s="155">
        <f>0.002/2</f>
        <v>1E-3</v>
      </c>
      <c r="Z4" s="144">
        <v>1</v>
      </c>
      <c r="AA4" s="144">
        <v>1</v>
      </c>
      <c r="AB4" s="54">
        <v>302</v>
      </c>
      <c r="AC4" s="155">
        <v>613</v>
      </c>
      <c r="AD4" s="157">
        <v>1</v>
      </c>
    </row>
    <row r="5" spans="1:35" ht="14">
      <c r="A5" s="53" t="s">
        <v>34</v>
      </c>
      <c r="B5" s="291" t="s">
        <v>532</v>
      </c>
      <c r="C5" s="54" t="s">
        <v>594</v>
      </c>
      <c r="D5" s="56" t="s">
        <v>595</v>
      </c>
      <c r="E5" s="54" t="s">
        <v>235</v>
      </c>
      <c r="F5" s="54"/>
      <c r="G5" s="61" t="s">
        <v>596</v>
      </c>
      <c r="H5" s="54">
        <v>3281</v>
      </c>
      <c r="I5" s="55" t="s">
        <v>1</v>
      </c>
      <c r="J5" s="54" t="s">
        <v>366</v>
      </c>
      <c r="K5" s="57">
        <v>40843</v>
      </c>
      <c r="L5" s="132">
        <v>40835</v>
      </c>
      <c r="M5" s="54">
        <v>8</v>
      </c>
      <c r="N5" s="54" t="s">
        <v>2</v>
      </c>
      <c r="O5" s="155">
        <f>1.4/2</f>
        <v>0.7</v>
      </c>
      <c r="P5" s="54">
        <v>5.5</v>
      </c>
      <c r="Q5" s="155">
        <v>7.03</v>
      </c>
      <c r="R5" s="54">
        <f>10/2</f>
        <v>5</v>
      </c>
      <c r="S5" s="155">
        <f>5/2</f>
        <v>2.5</v>
      </c>
      <c r="T5" s="54">
        <f>0.01/2</f>
        <v>5.0000000000000001E-3</v>
      </c>
      <c r="U5" s="155">
        <v>0.24</v>
      </c>
      <c r="V5" s="54">
        <v>0.6</v>
      </c>
      <c r="W5" s="155">
        <f>0.01/2</f>
        <v>5.0000000000000001E-3</v>
      </c>
      <c r="X5" s="54">
        <v>2.1999999999999999E-2</v>
      </c>
      <c r="Y5" s="155">
        <f>0.002/2</f>
        <v>1E-3</v>
      </c>
      <c r="Z5" s="144">
        <v>1</v>
      </c>
      <c r="AA5" s="144">
        <v>1</v>
      </c>
      <c r="AB5" s="54">
        <v>68</v>
      </c>
      <c r="AC5" s="155">
        <v>208</v>
      </c>
      <c r="AD5" s="157">
        <v>1</v>
      </c>
      <c r="AE5" s="74">
        <f>10/2</f>
        <v>5</v>
      </c>
    </row>
    <row r="6" spans="1:35" ht="14">
      <c r="A6" s="53" t="s">
        <v>34</v>
      </c>
      <c r="B6" s="54" t="s">
        <v>707</v>
      </c>
      <c r="C6" s="54" t="s">
        <v>724</v>
      </c>
      <c r="D6" s="56" t="s">
        <v>133</v>
      </c>
      <c r="E6" s="54" t="s">
        <v>725</v>
      </c>
      <c r="F6" s="54"/>
      <c r="G6" s="61" t="s">
        <v>726</v>
      </c>
      <c r="H6" s="54">
        <v>3273</v>
      </c>
      <c r="I6" s="55" t="s">
        <v>2</v>
      </c>
      <c r="J6" s="54" t="s">
        <v>366</v>
      </c>
      <c r="K6" s="57">
        <v>40829</v>
      </c>
      <c r="L6" s="132">
        <v>40825</v>
      </c>
      <c r="M6" s="54">
        <v>4</v>
      </c>
      <c r="N6" s="54" t="s">
        <v>2</v>
      </c>
      <c r="O6" s="155">
        <f t="shared" ref="O6:O12" si="0">1/2</f>
        <v>0.5</v>
      </c>
      <c r="P6" s="54">
        <v>5</v>
      </c>
      <c r="Q6" s="155">
        <v>8.18</v>
      </c>
      <c r="R6" s="54">
        <v>3.7</v>
      </c>
      <c r="S6" s="155">
        <v>23</v>
      </c>
      <c r="T6" s="54">
        <f>0.05/2</f>
        <v>2.5000000000000001E-2</v>
      </c>
      <c r="U6" s="155">
        <v>1.34</v>
      </c>
      <c r="V6" s="54">
        <f>0.1/2</f>
        <v>0.05</v>
      </c>
      <c r="W6" s="155">
        <v>2.3E-2</v>
      </c>
      <c r="X6" s="54">
        <v>3.3000000000000002E-2</v>
      </c>
      <c r="Y6" s="155">
        <v>4.0000000000000001E-3</v>
      </c>
      <c r="Z6" s="144">
        <v>1</v>
      </c>
      <c r="AA6" s="144">
        <v>1</v>
      </c>
      <c r="AB6" s="54">
        <v>19.899999999999999</v>
      </c>
      <c r="AC6" s="155">
        <v>42</v>
      </c>
      <c r="AD6" s="157">
        <v>1</v>
      </c>
    </row>
    <row r="7" spans="1:35" ht="14">
      <c r="A7" s="53" t="s">
        <v>34</v>
      </c>
      <c r="B7" s="54" t="s">
        <v>707</v>
      </c>
      <c r="C7" s="54" t="s">
        <v>734</v>
      </c>
      <c r="D7" s="56" t="s">
        <v>735</v>
      </c>
      <c r="E7" s="54" t="s">
        <v>398</v>
      </c>
      <c r="F7" s="54"/>
      <c r="G7" s="61" t="s">
        <v>736</v>
      </c>
      <c r="H7" s="54">
        <v>3273</v>
      </c>
      <c r="I7" s="55" t="s">
        <v>2</v>
      </c>
      <c r="J7" s="54" t="s">
        <v>737</v>
      </c>
      <c r="K7" s="57">
        <v>40835</v>
      </c>
      <c r="L7" s="132">
        <v>40830</v>
      </c>
      <c r="M7" s="54">
        <v>5</v>
      </c>
      <c r="N7" s="54" t="s">
        <v>2</v>
      </c>
      <c r="O7" s="155">
        <f t="shared" si="0"/>
        <v>0.5</v>
      </c>
      <c r="P7" s="54">
        <v>7.83</v>
      </c>
      <c r="Q7" s="155">
        <v>8.9</v>
      </c>
      <c r="R7" s="54">
        <v>44.4</v>
      </c>
      <c r="S7" s="155">
        <v>499</v>
      </c>
      <c r="T7" s="54">
        <v>0.67</v>
      </c>
      <c r="U7" s="155">
        <v>0.32</v>
      </c>
      <c r="V7" s="54">
        <v>0.22</v>
      </c>
      <c r="W7" s="155">
        <v>3.1E-2</v>
      </c>
      <c r="X7" s="54">
        <v>0.16500000000000001</v>
      </c>
      <c r="Y7" s="155">
        <v>1.0999999999999999E-2</v>
      </c>
      <c r="Z7" s="144">
        <v>1</v>
      </c>
      <c r="AA7" s="144">
        <v>1</v>
      </c>
      <c r="AB7" s="54">
        <v>93.6</v>
      </c>
      <c r="AC7" s="155">
        <v>45</v>
      </c>
      <c r="AD7" s="157">
        <v>1</v>
      </c>
    </row>
    <row r="8" spans="1:35" ht="14">
      <c r="A8" s="53" t="s">
        <v>34</v>
      </c>
      <c r="B8" s="54" t="s">
        <v>707</v>
      </c>
      <c r="C8" s="54" t="s">
        <v>768</v>
      </c>
      <c r="D8" s="56" t="s">
        <v>78</v>
      </c>
      <c r="E8" s="54" t="s">
        <v>769</v>
      </c>
      <c r="F8" s="54"/>
      <c r="G8" s="61" t="s">
        <v>770</v>
      </c>
      <c r="H8" s="54">
        <v>4463</v>
      </c>
      <c r="I8" s="55" t="s">
        <v>1</v>
      </c>
      <c r="J8" s="54" t="s">
        <v>771</v>
      </c>
      <c r="K8" s="57">
        <v>40835</v>
      </c>
      <c r="L8" s="132">
        <v>40830</v>
      </c>
      <c r="M8" s="54">
        <v>5</v>
      </c>
      <c r="N8" s="54" t="s">
        <v>2</v>
      </c>
      <c r="O8" s="155">
        <f t="shared" si="0"/>
        <v>0.5</v>
      </c>
      <c r="P8" s="54">
        <v>5</v>
      </c>
      <c r="Q8" s="155">
        <v>7.05</v>
      </c>
      <c r="R8" s="54">
        <v>7.5</v>
      </c>
      <c r="S8" s="155">
        <v>39</v>
      </c>
      <c r="T8" s="54">
        <v>7.0000000000000007E-2</v>
      </c>
      <c r="U8" s="155">
        <v>1.62</v>
      </c>
      <c r="V8" s="54">
        <v>0.13</v>
      </c>
      <c r="W8" s="155">
        <v>8.9999999999999993E-3</v>
      </c>
      <c r="X8" s="54">
        <v>1.9E-2</v>
      </c>
      <c r="Y8" s="155">
        <v>2E-3</v>
      </c>
      <c r="Z8" s="144">
        <v>1</v>
      </c>
      <c r="AA8" s="144">
        <v>1</v>
      </c>
      <c r="AB8" s="54">
        <v>10.77</v>
      </c>
      <c r="AC8" s="155">
        <v>33</v>
      </c>
      <c r="AD8" s="157">
        <v>1</v>
      </c>
    </row>
    <row r="9" spans="1:35" ht="14">
      <c r="A9" s="53" t="s">
        <v>34</v>
      </c>
      <c r="B9" s="54" t="s">
        <v>707</v>
      </c>
      <c r="C9" s="54" t="s">
        <v>792</v>
      </c>
      <c r="D9" s="56" t="s">
        <v>89</v>
      </c>
      <c r="E9" s="54" t="s">
        <v>535</v>
      </c>
      <c r="F9" s="54"/>
      <c r="G9" s="61" t="s">
        <v>793</v>
      </c>
      <c r="H9" s="54">
        <v>5039</v>
      </c>
      <c r="I9" s="55" t="s">
        <v>1</v>
      </c>
      <c r="J9" s="54" t="s">
        <v>794</v>
      </c>
      <c r="K9" s="57">
        <v>40835</v>
      </c>
      <c r="L9" s="132">
        <v>40830</v>
      </c>
      <c r="M9" s="54">
        <v>5</v>
      </c>
      <c r="N9" s="54" t="s">
        <v>2</v>
      </c>
      <c r="O9" s="155">
        <f t="shared" si="0"/>
        <v>0.5</v>
      </c>
      <c r="P9" s="54">
        <v>5</v>
      </c>
      <c r="Q9" s="155">
        <v>7.47</v>
      </c>
      <c r="R9" s="54">
        <v>18.7</v>
      </c>
      <c r="S9" s="155">
        <v>43</v>
      </c>
      <c r="T9" s="54">
        <v>0.1</v>
      </c>
      <c r="U9" s="155">
        <v>1.08</v>
      </c>
      <c r="V9" s="54">
        <v>0.11</v>
      </c>
      <c r="W9" s="155">
        <v>1.4E-2</v>
      </c>
      <c r="X9" s="54">
        <v>5.8999999999999997E-2</v>
      </c>
      <c r="Y9" s="155">
        <v>3.0000000000000001E-3</v>
      </c>
      <c r="Z9" s="144">
        <v>1</v>
      </c>
      <c r="AA9" s="144">
        <v>1</v>
      </c>
      <c r="AB9" s="54">
        <v>22.9</v>
      </c>
      <c r="AC9" s="155">
        <v>587</v>
      </c>
      <c r="AD9" s="157">
        <v>1</v>
      </c>
    </row>
    <row r="10" spans="1:35" ht="14">
      <c r="A10" s="53" t="s">
        <v>34</v>
      </c>
      <c r="B10" s="54" t="s">
        <v>707</v>
      </c>
      <c r="C10" s="54" t="s">
        <v>792</v>
      </c>
      <c r="D10" s="56" t="s">
        <v>89</v>
      </c>
      <c r="E10" s="54" t="s">
        <v>535</v>
      </c>
      <c r="F10" s="54"/>
      <c r="G10" s="61" t="s">
        <v>793</v>
      </c>
      <c r="H10" s="54">
        <v>5039</v>
      </c>
      <c r="I10" s="55" t="s">
        <v>1</v>
      </c>
      <c r="J10" s="54" t="s">
        <v>795</v>
      </c>
      <c r="K10" s="57">
        <v>40835</v>
      </c>
      <c r="L10" s="132">
        <v>40830</v>
      </c>
      <c r="M10" s="54">
        <v>5</v>
      </c>
      <c r="N10" s="54" t="s">
        <v>2</v>
      </c>
      <c r="O10" s="155">
        <f t="shared" si="0"/>
        <v>0.5</v>
      </c>
      <c r="P10" s="54">
        <v>5</v>
      </c>
      <c r="Q10" s="155">
        <v>7.66</v>
      </c>
      <c r="R10" s="54">
        <v>73.8</v>
      </c>
      <c r="S10" s="155">
        <v>185</v>
      </c>
      <c r="T10" s="54">
        <v>0.89</v>
      </c>
      <c r="U10" s="155">
        <v>1.08</v>
      </c>
      <c r="V10" s="54">
        <v>0.3</v>
      </c>
      <c r="W10" s="155">
        <v>2.5999999999999999E-2</v>
      </c>
      <c r="X10" s="54">
        <v>8.3000000000000004E-2</v>
      </c>
      <c r="Y10" s="155">
        <v>1.7999999999999999E-2</v>
      </c>
      <c r="Z10" s="144">
        <v>1</v>
      </c>
      <c r="AA10" s="144">
        <v>1</v>
      </c>
      <c r="AB10" s="54">
        <v>221</v>
      </c>
      <c r="AC10" s="155">
        <v>563</v>
      </c>
      <c r="AD10" s="157">
        <v>1</v>
      </c>
    </row>
    <row r="11" spans="1:35" ht="14">
      <c r="A11" s="53" t="s">
        <v>34</v>
      </c>
      <c r="B11" s="54" t="s">
        <v>707</v>
      </c>
      <c r="C11" s="54" t="s">
        <v>792</v>
      </c>
      <c r="D11" s="56" t="s">
        <v>89</v>
      </c>
      <c r="E11" s="54" t="s">
        <v>535</v>
      </c>
      <c r="F11" s="54"/>
      <c r="G11" s="61" t="s">
        <v>793</v>
      </c>
      <c r="H11" s="54">
        <v>5039</v>
      </c>
      <c r="I11" s="55" t="s">
        <v>1</v>
      </c>
      <c r="J11" s="54" t="s">
        <v>796</v>
      </c>
      <c r="K11" s="57">
        <v>40835</v>
      </c>
      <c r="L11" s="132">
        <v>40830</v>
      </c>
      <c r="M11" s="54">
        <v>5</v>
      </c>
      <c r="N11" s="54" t="s">
        <v>2</v>
      </c>
      <c r="O11" s="155">
        <f t="shared" si="0"/>
        <v>0.5</v>
      </c>
      <c r="P11" s="54">
        <v>5</v>
      </c>
      <c r="Q11" s="155">
        <v>7.69</v>
      </c>
      <c r="R11" s="54">
        <v>32.1</v>
      </c>
      <c r="S11" s="155">
        <v>52</v>
      </c>
      <c r="T11" s="54">
        <f>0.05/2</f>
        <v>2.5000000000000001E-2</v>
      </c>
      <c r="U11" s="155">
        <v>0.98</v>
      </c>
      <c r="V11" s="54">
        <v>0.16</v>
      </c>
      <c r="W11" s="155">
        <v>1.4999999999999999E-2</v>
      </c>
      <c r="X11" s="54">
        <v>3.9E-2</v>
      </c>
      <c r="Y11" s="155">
        <v>8.9999999999999993E-3</v>
      </c>
      <c r="Z11" s="144">
        <v>1</v>
      </c>
      <c r="AA11" s="144">
        <v>1</v>
      </c>
      <c r="AB11" s="54">
        <v>212</v>
      </c>
      <c r="AC11" s="155">
        <v>560</v>
      </c>
      <c r="AD11" s="157">
        <v>1</v>
      </c>
    </row>
    <row r="12" spans="1:35" ht="14">
      <c r="A12" s="53" t="s">
        <v>34</v>
      </c>
      <c r="B12" s="54" t="s">
        <v>707</v>
      </c>
      <c r="C12" s="54" t="s">
        <v>797</v>
      </c>
      <c r="D12" s="56" t="s">
        <v>262</v>
      </c>
      <c r="E12" s="54" t="s">
        <v>798</v>
      </c>
      <c r="F12" s="54"/>
      <c r="G12" s="61" t="s">
        <v>799</v>
      </c>
      <c r="H12" s="54">
        <v>4469</v>
      </c>
      <c r="I12" s="55" t="s">
        <v>1</v>
      </c>
      <c r="J12" s="54" t="s">
        <v>800</v>
      </c>
      <c r="K12" s="57">
        <v>40835</v>
      </c>
      <c r="L12" s="132">
        <v>40830</v>
      </c>
      <c r="M12" s="54">
        <v>5</v>
      </c>
      <c r="N12" s="54" t="s">
        <v>2</v>
      </c>
      <c r="O12" s="155">
        <f t="shared" si="0"/>
        <v>0.5</v>
      </c>
      <c r="P12" s="54">
        <v>6</v>
      </c>
      <c r="Q12" s="155">
        <v>7.08</v>
      </c>
      <c r="R12" s="54">
        <v>61.2</v>
      </c>
      <c r="S12" s="155">
        <v>43</v>
      </c>
      <c r="T12" s="54">
        <v>0.23</v>
      </c>
      <c r="U12" s="155">
        <v>0.72</v>
      </c>
      <c r="V12" s="54">
        <v>0.68</v>
      </c>
      <c r="W12" s="155">
        <v>2.5000000000000001E-2</v>
      </c>
      <c r="X12" s="54">
        <v>9.4E-2</v>
      </c>
      <c r="Y12" s="155">
        <v>3.0000000000000001E-3</v>
      </c>
      <c r="Z12" s="144">
        <v>0.70699999999999996</v>
      </c>
      <c r="AA12" s="145">
        <v>0.70699999999999996</v>
      </c>
      <c r="AB12" s="54">
        <v>1057</v>
      </c>
      <c r="AC12" s="155">
        <v>10000</v>
      </c>
      <c r="AD12" s="157">
        <v>0</v>
      </c>
    </row>
    <row r="13" spans="1:35" ht="14">
      <c r="A13" s="41" t="s">
        <v>34</v>
      </c>
      <c r="B13" s="50" t="s">
        <v>532</v>
      </c>
      <c r="C13" s="50" t="s">
        <v>663</v>
      </c>
      <c r="D13" s="56" t="s">
        <v>262</v>
      </c>
      <c r="E13" s="50" t="s">
        <v>664</v>
      </c>
      <c r="G13" s="76" t="s">
        <v>665</v>
      </c>
      <c r="H13" s="50">
        <v>3281</v>
      </c>
      <c r="I13" s="49" t="s">
        <v>2</v>
      </c>
      <c r="J13" s="50" t="s">
        <v>366</v>
      </c>
      <c r="K13" s="51">
        <v>40835</v>
      </c>
      <c r="L13" s="115">
        <v>40829</v>
      </c>
      <c r="M13" s="50">
        <f>K13-L13</f>
        <v>6</v>
      </c>
      <c r="N13" s="50" t="s">
        <v>2</v>
      </c>
      <c r="O13" s="74">
        <v>10</v>
      </c>
      <c r="P13" s="50">
        <v>5.5</v>
      </c>
      <c r="Q13" s="74">
        <v>8.6</v>
      </c>
      <c r="R13" s="50">
        <v>100</v>
      </c>
      <c r="S13" s="74">
        <v>510</v>
      </c>
      <c r="T13" s="50">
        <v>0.45</v>
      </c>
      <c r="U13" s="74">
        <f>1/2</f>
        <v>0.5</v>
      </c>
      <c r="V13" s="50">
        <v>0.37</v>
      </c>
      <c r="W13" s="74">
        <v>7.5999999999999998E-2</v>
      </c>
      <c r="X13" s="50">
        <v>3.1E-2</v>
      </c>
      <c r="Y13" s="74">
        <v>3.7999999999999999E-2</v>
      </c>
      <c r="Z13" s="239">
        <v>1</v>
      </c>
      <c r="AA13" s="240">
        <v>1</v>
      </c>
      <c r="AB13" s="50">
        <v>160</v>
      </c>
      <c r="AC13" s="74">
        <v>96</v>
      </c>
      <c r="AD13" s="166">
        <v>1</v>
      </c>
    </row>
    <row r="14" spans="1:35" ht="14">
      <c r="A14" s="41" t="s">
        <v>34</v>
      </c>
      <c r="B14" s="50" t="s">
        <v>532</v>
      </c>
      <c r="C14" s="50" t="s">
        <v>663</v>
      </c>
      <c r="D14" s="56" t="s">
        <v>262</v>
      </c>
      <c r="E14" s="50" t="s">
        <v>664</v>
      </c>
      <c r="G14" s="76" t="s">
        <v>665</v>
      </c>
      <c r="H14" s="50">
        <v>3281</v>
      </c>
      <c r="I14" s="49" t="s">
        <v>2</v>
      </c>
      <c r="J14" s="50" t="s">
        <v>366</v>
      </c>
      <c r="K14" s="51">
        <v>40863</v>
      </c>
      <c r="L14" s="115">
        <v>40835</v>
      </c>
      <c r="M14" s="50">
        <f t="shared" ref="M14:M19" si="1">K14-L14</f>
        <v>28</v>
      </c>
      <c r="N14" s="50" t="s">
        <v>2</v>
      </c>
      <c r="Q14" s="74">
        <v>8</v>
      </c>
      <c r="S14" s="74">
        <v>850</v>
      </c>
      <c r="W14" s="74">
        <v>9.2999999999999999E-2</v>
      </c>
      <c r="X14" s="50">
        <v>0.44</v>
      </c>
      <c r="Y14" s="74">
        <v>5.3999999999999999E-2</v>
      </c>
      <c r="Z14" s="239"/>
      <c r="AA14" s="240"/>
      <c r="AD14" s="166"/>
    </row>
    <row r="15" spans="1:35" ht="14">
      <c r="A15" s="41" t="s">
        <v>34</v>
      </c>
      <c r="B15" s="50" t="s">
        <v>1103</v>
      </c>
      <c r="D15" s="48" t="s">
        <v>1633</v>
      </c>
      <c r="E15" s="50" t="s">
        <v>1104</v>
      </c>
      <c r="G15" s="76" t="s">
        <v>1105</v>
      </c>
      <c r="H15" s="50">
        <v>1442</v>
      </c>
      <c r="I15" s="49" t="s">
        <v>2</v>
      </c>
      <c r="J15" s="50">
        <v>101</v>
      </c>
      <c r="K15" s="51">
        <v>40835</v>
      </c>
      <c r="L15" s="115">
        <v>40830</v>
      </c>
      <c r="M15" s="50">
        <f t="shared" si="1"/>
        <v>5</v>
      </c>
      <c r="N15" s="50" t="s">
        <v>2</v>
      </c>
      <c r="O15" s="74">
        <v>4.9000000000000004</v>
      </c>
      <c r="P15" s="50">
        <v>7.04</v>
      </c>
      <c r="Q15" s="74">
        <v>8.18</v>
      </c>
      <c r="R15" s="50">
        <v>15.1</v>
      </c>
      <c r="S15" s="74">
        <v>114</v>
      </c>
      <c r="T15" s="50">
        <v>0.11</v>
      </c>
      <c r="U15" s="74">
        <v>2.2599999999999998</v>
      </c>
      <c r="V15" s="50">
        <f>0.2/2</f>
        <v>0.1</v>
      </c>
      <c r="W15" s="74">
        <f>0.01/2</f>
        <v>5.0000000000000001E-3</v>
      </c>
      <c r="X15" s="50">
        <v>7.0000000000000007E-2</v>
      </c>
      <c r="Y15" s="74">
        <v>0.02</v>
      </c>
      <c r="Z15" s="239">
        <v>1</v>
      </c>
      <c r="AA15" s="240">
        <v>1</v>
      </c>
      <c r="AB15" s="50">
        <v>90.5</v>
      </c>
      <c r="AC15" s="74">
        <v>86.9</v>
      </c>
      <c r="AD15" s="166">
        <v>1</v>
      </c>
    </row>
    <row r="16" spans="1:35" ht="14">
      <c r="A16" s="41" t="s">
        <v>34</v>
      </c>
      <c r="B16" s="50" t="s">
        <v>1103</v>
      </c>
      <c r="D16" s="48" t="s">
        <v>1633</v>
      </c>
      <c r="E16" s="50" t="s">
        <v>1104</v>
      </c>
      <c r="G16" s="76" t="s">
        <v>1105</v>
      </c>
      <c r="H16" s="50">
        <v>1442</v>
      </c>
      <c r="I16" s="49" t="s">
        <v>2</v>
      </c>
      <c r="J16" s="50">
        <v>102</v>
      </c>
      <c r="K16" s="51">
        <v>40870</v>
      </c>
      <c r="L16" s="115">
        <v>40832</v>
      </c>
      <c r="M16" s="50">
        <f t="shared" si="1"/>
        <v>38</v>
      </c>
      <c r="N16" s="50" t="s">
        <v>2</v>
      </c>
      <c r="O16" s="74">
        <f>1/2</f>
        <v>0.5</v>
      </c>
      <c r="P16" s="50">
        <v>7.06</v>
      </c>
      <c r="Q16" s="74">
        <v>6</v>
      </c>
      <c r="R16" s="50">
        <v>21.4</v>
      </c>
      <c r="S16" s="74">
        <f>1/2</f>
        <v>0.5</v>
      </c>
      <c r="T16" s="50">
        <v>0.63</v>
      </c>
      <c r="U16" s="74">
        <v>1.41</v>
      </c>
      <c r="V16" s="50">
        <f>0.2/2</f>
        <v>0.1</v>
      </c>
      <c r="W16" s="74">
        <f>0.01/2</f>
        <v>5.0000000000000001E-3</v>
      </c>
      <c r="X16" s="50">
        <f>0.01/2</f>
        <v>5.0000000000000001E-3</v>
      </c>
      <c r="Y16" s="74">
        <f>0.02/2</f>
        <v>0.01</v>
      </c>
      <c r="Z16" s="239"/>
      <c r="AA16" s="240"/>
      <c r="AD16" s="166"/>
    </row>
    <row r="17" spans="1:31" ht="14">
      <c r="A17" s="41" t="s">
        <v>34</v>
      </c>
      <c r="B17" s="50" t="s">
        <v>1103</v>
      </c>
      <c r="D17" s="48" t="s">
        <v>1633</v>
      </c>
      <c r="E17" s="50" t="s">
        <v>1104</v>
      </c>
      <c r="G17" s="76" t="s">
        <v>1105</v>
      </c>
      <c r="H17" s="50">
        <v>1442</v>
      </c>
      <c r="I17" s="49" t="s">
        <v>2</v>
      </c>
      <c r="J17" s="50">
        <v>103</v>
      </c>
      <c r="K17" s="51">
        <v>41240</v>
      </c>
      <c r="L17" s="115">
        <v>40929</v>
      </c>
      <c r="M17" s="50">
        <f t="shared" si="1"/>
        <v>311</v>
      </c>
      <c r="N17" s="50" t="s">
        <v>2</v>
      </c>
      <c r="O17" s="74">
        <v>2</v>
      </c>
      <c r="P17" s="50">
        <v>6</v>
      </c>
      <c r="Q17" s="74">
        <v>6.97</v>
      </c>
      <c r="R17" s="50">
        <v>35.9</v>
      </c>
      <c r="S17" s="74">
        <v>82</v>
      </c>
      <c r="T17" s="50">
        <v>0.89</v>
      </c>
      <c r="U17" s="74">
        <v>1.33</v>
      </c>
      <c r="V17" s="50">
        <v>0.65</v>
      </c>
      <c r="W17" s="74">
        <v>0.02</v>
      </c>
      <c r="X17" s="50">
        <v>0.08</v>
      </c>
      <c r="Y17" s="74">
        <v>0.03</v>
      </c>
      <c r="Z17" s="239">
        <v>1</v>
      </c>
      <c r="AA17" s="240">
        <v>1</v>
      </c>
      <c r="AB17" s="50">
        <v>39.6</v>
      </c>
      <c r="AC17" s="74">
        <v>59.9</v>
      </c>
      <c r="AD17" s="166">
        <v>1</v>
      </c>
    </row>
    <row r="18" spans="1:31" ht="14">
      <c r="A18" s="41" t="s">
        <v>34</v>
      </c>
      <c r="B18" s="50" t="s">
        <v>532</v>
      </c>
      <c r="C18" s="50" t="s">
        <v>1106</v>
      </c>
      <c r="D18" s="48" t="s">
        <v>1643</v>
      </c>
      <c r="E18" s="50" t="s">
        <v>1107</v>
      </c>
      <c r="G18" s="76" t="s">
        <v>1108</v>
      </c>
      <c r="H18" s="50">
        <v>1429</v>
      </c>
      <c r="I18" s="49" t="s">
        <v>2</v>
      </c>
      <c r="J18" s="50" t="s">
        <v>593</v>
      </c>
      <c r="K18" s="51">
        <v>40835</v>
      </c>
      <c r="L18" s="115">
        <v>40830</v>
      </c>
      <c r="M18" s="50">
        <f t="shared" si="1"/>
        <v>5</v>
      </c>
      <c r="N18" s="50" t="s">
        <v>2</v>
      </c>
      <c r="O18" s="74">
        <f>1.4/2</f>
        <v>0.7</v>
      </c>
      <c r="P18" s="50">
        <v>5.5</v>
      </c>
      <c r="Q18" s="74">
        <v>6.65</v>
      </c>
      <c r="R18" s="50">
        <v>64</v>
      </c>
      <c r="S18" s="74">
        <v>17</v>
      </c>
      <c r="T18" s="50">
        <v>0.27</v>
      </c>
      <c r="U18" s="74">
        <v>0.67</v>
      </c>
      <c r="V18" s="50">
        <f>0.01/2</f>
        <v>5.0000000000000001E-3</v>
      </c>
      <c r="W18" s="74">
        <v>3.0000000000000001E-3</v>
      </c>
      <c r="X18" s="50">
        <v>3.0000000000000001E-3</v>
      </c>
      <c r="Y18" s="74">
        <f>0.002/2</f>
        <v>1E-3</v>
      </c>
      <c r="Z18" s="239">
        <v>1</v>
      </c>
      <c r="AA18" s="240">
        <v>1</v>
      </c>
      <c r="AB18" s="50">
        <v>74</v>
      </c>
      <c r="AC18" s="74">
        <v>121</v>
      </c>
      <c r="AD18" s="166">
        <v>1</v>
      </c>
    </row>
    <row r="19" spans="1:31" ht="14">
      <c r="A19" s="41" t="s">
        <v>34</v>
      </c>
      <c r="B19" s="50" t="s">
        <v>532</v>
      </c>
      <c r="C19" s="50" t="s">
        <v>1106</v>
      </c>
      <c r="D19" s="48" t="s">
        <v>1643</v>
      </c>
      <c r="E19" s="50" t="s">
        <v>1107</v>
      </c>
      <c r="G19" s="76" t="s">
        <v>1108</v>
      </c>
      <c r="H19" s="50">
        <v>1429</v>
      </c>
      <c r="I19" s="49" t="s">
        <v>2</v>
      </c>
      <c r="J19" s="50" t="s">
        <v>477</v>
      </c>
      <c r="K19" s="51">
        <v>40835</v>
      </c>
      <c r="L19" s="115">
        <v>40830</v>
      </c>
      <c r="M19" s="50">
        <f t="shared" si="1"/>
        <v>5</v>
      </c>
      <c r="N19" s="50" t="s">
        <v>2</v>
      </c>
      <c r="O19" s="74">
        <f>1.4/2</f>
        <v>0.7</v>
      </c>
      <c r="P19" s="50">
        <v>6</v>
      </c>
      <c r="Q19" s="74">
        <v>7.75</v>
      </c>
      <c r="R19" s="50">
        <v>86</v>
      </c>
      <c r="S19" s="74">
        <v>18</v>
      </c>
      <c r="T19" s="50">
        <v>0.03</v>
      </c>
      <c r="U19" s="74">
        <v>0.23</v>
      </c>
      <c r="V19" s="50">
        <v>1.8</v>
      </c>
      <c r="W19" s="74">
        <v>2E-3</v>
      </c>
      <c r="X19" s="50">
        <v>2E-3</v>
      </c>
      <c r="Y19" s="74">
        <f>0.002/2</f>
        <v>1E-3</v>
      </c>
      <c r="Z19" s="239">
        <v>1</v>
      </c>
      <c r="AA19" s="240">
        <v>1</v>
      </c>
      <c r="AB19" s="50">
        <v>132</v>
      </c>
      <c r="AC19" s="74">
        <v>331</v>
      </c>
      <c r="AD19" s="166">
        <v>1</v>
      </c>
    </row>
    <row r="20" spans="1:31" ht="14">
      <c r="A20" s="41" t="s">
        <v>34</v>
      </c>
      <c r="B20" s="52" t="s">
        <v>1632</v>
      </c>
      <c r="C20" s="52" t="s">
        <v>1632</v>
      </c>
      <c r="D20" s="259" t="s">
        <v>1633</v>
      </c>
      <c r="E20" s="52" t="s">
        <v>1104</v>
      </c>
      <c r="F20" s="52"/>
      <c r="G20" s="260" t="s">
        <v>1105</v>
      </c>
      <c r="H20" s="52">
        <v>1442</v>
      </c>
      <c r="I20" s="75" t="s">
        <v>2</v>
      </c>
      <c r="J20" s="52">
        <v>102</v>
      </c>
      <c r="K20" s="261">
        <v>41136</v>
      </c>
      <c r="L20" s="262"/>
      <c r="N20" s="52" t="s">
        <v>2</v>
      </c>
      <c r="O20" s="41">
        <v>4.4000000000000004</v>
      </c>
      <c r="P20" s="52">
        <v>5.38</v>
      </c>
      <c r="Q20" s="41">
        <v>7.05</v>
      </c>
      <c r="R20" s="52">
        <v>75.599999999999994</v>
      </c>
      <c r="S20" s="41">
        <v>8.5</v>
      </c>
      <c r="T20" s="52">
        <v>0.68</v>
      </c>
      <c r="U20" s="41">
        <v>2.2599999999999998</v>
      </c>
      <c r="V20" s="52">
        <f>0.2/2</f>
        <v>0.1</v>
      </c>
      <c r="W20" s="41">
        <f>0.01/2</f>
        <v>5.0000000000000001E-3</v>
      </c>
      <c r="X20" s="52">
        <v>0.02</v>
      </c>
      <c r="Y20" s="41">
        <f>0.02/2</f>
        <v>0.01</v>
      </c>
      <c r="Z20" s="239">
        <v>1</v>
      </c>
      <c r="AA20" s="240">
        <v>1</v>
      </c>
      <c r="AB20" s="52">
        <v>47.6</v>
      </c>
      <c r="AC20" s="41">
        <v>105</v>
      </c>
      <c r="AD20" s="166">
        <v>1</v>
      </c>
      <c r="AE20" s="41"/>
    </row>
    <row r="21" spans="1:31" ht="14">
      <c r="A21" s="41" t="s">
        <v>34</v>
      </c>
      <c r="B21" s="50" t="s">
        <v>532</v>
      </c>
      <c r="C21" s="50" t="s">
        <v>594</v>
      </c>
      <c r="D21" s="48" t="s">
        <v>595</v>
      </c>
      <c r="E21" s="50" t="s">
        <v>235</v>
      </c>
      <c r="G21" s="76" t="s">
        <v>596</v>
      </c>
      <c r="H21" s="50">
        <v>3281</v>
      </c>
      <c r="I21" s="49" t="s">
        <v>1</v>
      </c>
      <c r="J21" s="50" t="s">
        <v>366</v>
      </c>
      <c r="K21" s="51">
        <v>41072</v>
      </c>
      <c r="L21" s="115">
        <v>41065</v>
      </c>
      <c r="M21" s="50">
        <v>7</v>
      </c>
      <c r="N21" s="50" t="s">
        <v>2</v>
      </c>
      <c r="O21" s="74">
        <f>2/2</f>
        <v>1</v>
      </c>
      <c r="P21" s="50">
        <v>5.5</v>
      </c>
      <c r="Q21" s="74">
        <v>7.6</v>
      </c>
      <c r="R21" s="50">
        <v>38</v>
      </c>
      <c r="S21" s="74">
        <v>38</v>
      </c>
      <c r="T21" s="50">
        <v>0.11</v>
      </c>
      <c r="U21" s="74">
        <v>1.1200000000000001</v>
      </c>
      <c r="V21" s="50">
        <v>0.54</v>
      </c>
      <c r="W21" s="74">
        <v>7.0000000000000001E-3</v>
      </c>
      <c r="X21" s="50">
        <v>7.5999999999999998E-2</v>
      </c>
      <c r="Y21" s="74">
        <v>6.0000000000000001E-3</v>
      </c>
      <c r="Z21" s="125"/>
      <c r="AA21" s="128"/>
    </row>
    <row r="22" spans="1:31" ht="14">
      <c r="A22" s="41" t="s">
        <v>34</v>
      </c>
      <c r="B22" s="50" t="s">
        <v>532</v>
      </c>
      <c r="C22" s="50" t="s">
        <v>1106</v>
      </c>
      <c r="D22" s="48" t="s">
        <v>1643</v>
      </c>
      <c r="E22" s="50" t="s">
        <v>1107</v>
      </c>
      <c r="G22" s="76" t="s">
        <v>1108</v>
      </c>
      <c r="H22" s="50">
        <v>1429</v>
      </c>
      <c r="I22" s="49" t="s">
        <v>2</v>
      </c>
      <c r="J22" s="50" t="s">
        <v>593</v>
      </c>
      <c r="K22" s="51">
        <v>41157</v>
      </c>
      <c r="L22" s="115">
        <v>41149</v>
      </c>
      <c r="M22" s="50">
        <v>8</v>
      </c>
      <c r="N22" s="50" t="s">
        <v>2</v>
      </c>
      <c r="O22" s="74">
        <f>1.4/2</f>
        <v>0.7</v>
      </c>
      <c r="P22" s="50">
        <v>6.5</v>
      </c>
      <c r="Q22" s="74">
        <v>7.3</v>
      </c>
      <c r="R22" s="50">
        <v>20</v>
      </c>
      <c r="S22" s="74">
        <v>7.5</v>
      </c>
      <c r="T22" s="50">
        <v>0.01</v>
      </c>
      <c r="U22" s="74">
        <v>0.74</v>
      </c>
      <c r="V22" s="50">
        <f>0.01/2</f>
        <v>5.0000000000000001E-3</v>
      </c>
      <c r="W22" s="74">
        <f>0.005/2</f>
        <v>2.5000000000000001E-3</v>
      </c>
      <c r="X22" s="50">
        <v>4.0000000000000001E-3</v>
      </c>
      <c r="Y22" s="74">
        <f>0.002/2</f>
        <v>1E-3</v>
      </c>
      <c r="Z22" s="125"/>
      <c r="AA22" s="128"/>
    </row>
    <row r="23" spans="1:31" ht="14">
      <c r="A23" s="41" t="s">
        <v>34</v>
      </c>
      <c r="B23" s="50" t="s">
        <v>532</v>
      </c>
      <c r="C23" s="50" t="s">
        <v>1106</v>
      </c>
      <c r="D23" s="48" t="s">
        <v>1643</v>
      </c>
      <c r="E23" s="50" t="s">
        <v>1107</v>
      </c>
      <c r="G23" s="76" t="s">
        <v>1108</v>
      </c>
      <c r="H23" s="50">
        <v>1429</v>
      </c>
      <c r="I23" s="49" t="s">
        <v>2</v>
      </c>
      <c r="J23" s="50" t="s">
        <v>477</v>
      </c>
      <c r="K23" s="51">
        <v>41157</v>
      </c>
      <c r="L23" s="115">
        <v>41149</v>
      </c>
      <c r="M23" s="50">
        <v>8</v>
      </c>
      <c r="N23" s="50" t="s">
        <v>2</v>
      </c>
      <c r="O23" s="74">
        <f>1.4/2</f>
        <v>0.7</v>
      </c>
      <c r="P23" s="50">
        <v>6.5</v>
      </c>
      <c r="Q23" s="74">
        <v>8.0500000000000007</v>
      </c>
      <c r="R23" s="50">
        <f>10/2</f>
        <v>5</v>
      </c>
      <c r="S23" s="74">
        <v>5</v>
      </c>
      <c r="T23" s="50">
        <f>0.002/2</f>
        <v>1E-3</v>
      </c>
      <c r="U23" s="74">
        <v>0.55000000000000004</v>
      </c>
      <c r="V23" s="50">
        <v>2.44</v>
      </c>
      <c r="W23" s="74">
        <f>0.005/2</f>
        <v>2.5000000000000001E-3</v>
      </c>
      <c r="X23" s="50">
        <f>0.002/2</f>
        <v>1E-3</v>
      </c>
      <c r="Y23" s="74">
        <f>0.002/2</f>
        <v>1E-3</v>
      </c>
      <c r="Z23" s="125"/>
      <c r="AA23" s="128"/>
    </row>
    <row r="24" spans="1:31" ht="14">
      <c r="A24" s="41" t="s">
        <v>34</v>
      </c>
      <c r="B24" s="50" t="s">
        <v>1632</v>
      </c>
      <c r="C24" s="50" t="s">
        <v>1632</v>
      </c>
      <c r="D24" s="48" t="s">
        <v>1633</v>
      </c>
      <c r="E24" s="50" t="s">
        <v>1104</v>
      </c>
      <c r="G24" s="76" t="s">
        <v>1105</v>
      </c>
      <c r="H24" s="50">
        <v>1442</v>
      </c>
      <c r="I24" s="49" t="s">
        <v>2</v>
      </c>
      <c r="J24" s="50">
        <v>103</v>
      </c>
      <c r="K24" s="51">
        <v>41170</v>
      </c>
      <c r="L24" s="115"/>
      <c r="M24" s="50">
        <v>3</v>
      </c>
      <c r="N24" s="50" t="s">
        <v>2</v>
      </c>
      <c r="O24" s="74">
        <v>6.5</v>
      </c>
      <c r="P24" s="50">
        <v>5.93</v>
      </c>
      <c r="Q24" s="74">
        <v>6.58</v>
      </c>
      <c r="R24" s="50">
        <v>235</v>
      </c>
      <c r="S24" s="74">
        <v>121</v>
      </c>
      <c r="T24" s="50">
        <v>1.3</v>
      </c>
      <c r="U24" s="74">
        <v>3.93</v>
      </c>
      <c r="V24" s="50">
        <f>0.2/2</f>
        <v>0.1</v>
      </c>
      <c r="W24" s="74">
        <v>0.02</v>
      </c>
      <c r="X24" s="50">
        <v>7.0000000000000007E-2</v>
      </c>
      <c r="Y24" s="74">
        <v>0.03</v>
      </c>
      <c r="Z24" s="125"/>
      <c r="AA24" s="128"/>
    </row>
    <row r="25" spans="1:31" ht="14">
      <c r="A25" s="41" t="s">
        <v>34</v>
      </c>
      <c r="B25" s="50" t="s">
        <v>532</v>
      </c>
      <c r="C25" s="50" t="s">
        <v>587</v>
      </c>
      <c r="D25" s="48" t="s">
        <v>534</v>
      </c>
      <c r="E25" s="50" t="s">
        <v>304</v>
      </c>
      <c r="G25" s="76" t="s">
        <v>589</v>
      </c>
      <c r="H25" s="50">
        <v>1429</v>
      </c>
      <c r="I25" s="49" t="s">
        <v>2</v>
      </c>
      <c r="J25" s="50" t="s">
        <v>366</v>
      </c>
      <c r="K25" s="51">
        <v>41072</v>
      </c>
      <c r="L25" s="115">
        <v>41062</v>
      </c>
      <c r="M25" s="50">
        <v>10</v>
      </c>
      <c r="N25" s="50" t="s">
        <v>2</v>
      </c>
      <c r="O25" s="74">
        <f>1.4/2</f>
        <v>0.7</v>
      </c>
      <c r="P25" s="50">
        <v>5.5</v>
      </c>
      <c r="Q25" s="74">
        <v>8.0399999999999991</v>
      </c>
      <c r="R25" s="50">
        <f>10/2</f>
        <v>5</v>
      </c>
      <c r="S25" s="74">
        <v>6</v>
      </c>
      <c r="T25" s="50">
        <v>0.02</v>
      </c>
      <c r="U25" s="74">
        <v>0.5</v>
      </c>
      <c r="V25" s="50">
        <v>1.22</v>
      </c>
      <c r="W25" s="74">
        <f>0.005/2</f>
        <v>2.5000000000000001E-3</v>
      </c>
      <c r="X25" s="50">
        <v>8.0000000000000002E-3</v>
      </c>
      <c r="Y25" s="74">
        <v>5.0000000000000001E-3</v>
      </c>
      <c r="Z25" s="125"/>
      <c r="AA25" s="128"/>
    </row>
    <row r="26" spans="1:31" ht="14">
      <c r="A26" s="41" t="s">
        <v>34</v>
      </c>
      <c r="B26" s="50" t="s">
        <v>2481</v>
      </c>
      <c r="C26" s="50" t="s">
        <v>2482</v>
      </c>
      <c r="D26" s="48" t="s">
        <v>213</v>
      </c>
      <c r="E26" s="50" t="s">
        <v>2483</v>
      </c>
      <c r="G26" s="76" t="s">
        <v>2484</v>
      </c>
      <c r="H26" s="50">
        <v>1442</v>
      </c>
      <c r="I26" s="49" t="s">
        <v>2</v>
      </c>
      <c r="J26" s="50" t="s">
        <v>2485</v>
      </c>
      <c r="K26" s="51">
        <v>41305</v>
      </c>
      <c r="L26" s="115">
        <v>41302</v>
      </c>
      <c r="M26" s="50">
        <v>3</v>
      </c>
      <c r="N26" s="50" t="s">
        <v>2</v>
      </c>
      <c r="O26" s="74">
        <v>2.2999999999999998</v>
      </c>
      <c r="P26" s="50">
        <v>7.67</v>
      </c>
      <c r="Q26" s="74">
        <v>7.55</v>
      </c>
      <c r="R26" s="50">
        <v>32</v>
      </c>
      <c r="S26" s="74">
        <v>560</v>
      </c>
      <c r="T26" s="50">
        <v>1.5</v>
      </c>
      <c r="U26" s="74">
        <v>3.99</v>
      </c>
      <c r="V26" s="50">
        <v>0.71</v>
      </c>
      <c r="W26" s="74">
        <v>8.1000000000000003E-2</v>
      </c>
      <c r="X26" s="50">
        <v>0.13800000000000001</v>
      </c>
      <c r="Y26" s="74">
        <v>3.7999999999999999E-2</v>
      </c>
      <c r="Z26" s="239">
        <v>1</v>
      </c>
      <c r="AA26" s="240">
        <v>1</v>
      </c>
      <c r="AB26" s="52">
        <v>56</v>
      </c>
      <c r="AC26" s="41">
        <v>1438</v>
      </c>
      <c r="AD26" s="166">
        <v>1</v>
      </c>
    </row>
    <row r="27" spans="1:31" ht="14">
      <c r="A27" s="41" t="s">
        <v>34</v>
      </c>
      <c r="B27" s="50" t="s">
        <v>532</v>
      </c>
      <c r="C27" s="50" t="s">
        <v>587</v>
      </c>
      <c r="D27" s="48" t="s">
        <v>534</v>
      </c>
      <c r="E27" s="50" t="s">
        <v>304</v>
      </c>
      <c r="G27" s="76" t="s">
        <v>589</v>
      </c>
      <c r="H27" s="50">
        <v>1429</v>
      </c>
      <c r="I27" s="49" t="s">
        <v>2</v>
      </c>
      <c r="J27" s="50" t="s">
        <v>366</v>
      </c>
      <c r="K27" s="51">
        <v>41285</v>
      </c>
      <c r="L27" s="115">
        <v>41270</v>
      </c>
      <c r="N27" s="50" t="s">
        <v>2</v>
      </c>
      <c r="O27" s="74">
        <f>1/2</f>
        <v>0.5</v>
      </c>
      <c r="P27" s="50">
        <v>5.5</v>
      </c>
      <c r="Q27" s="74">
        <v>7.5</v>
      </c>
      <c r="R27" s="50">
        <v>5.5</v>
      </c>
      <c r="S27" s="74">
        <v>3.3</v>
      </c>
      <c r="T27" s="50">
        <f>0.01/2</f>
        <v>5.0000000000000001E-3</v>
      </c>
      <c r="U27" s="74">
        <v>0.63</v>
      </c>
      <c r="V27" s="50">
        <v>3.12</v>
      </c>
      <c r="W27" s="74">
        <f>0.001/2</f>
        <v>5.0000000000000001E-4</v>
      </c>
      <c r="X27" s="50">
        <f>0.001/2</f>
        <v>5.0000000000000001E-4</v>
      </c>
      <c r="Y27" s="74">
        <v>8.0000000000000002E-3</v>
      </c>
    </row>
    <row r="28" spans="1:31" ht="14">
      <c r="A28" s="41" t="s">
        <v>34</v>
      </c>
      <c r="B28" s="50" t="s">
        <v>3742</v>
      </c>
      <c r="C28" s="50" t="s">
        <v>3742</v>
      </c>
      <c r="D28" s="48" t="s">
        <v>861</v>
      </c>
      <c r="F28" s="50" t="s">
        <v>3743</v>
      </c>
      <c r="G28" s="76" t="s">
        <v>3744</v>
      </c>
      <c r="H28" s="50">
        <v>1429</v>
      </c>
      <c r="I28" s="49" t="s">
        <v>2</v>
      </c>
      <c r="J28" s="50" t="s">
        <v>510</v>
      </c>
      <c r="K28" s="51">
        <v>41037</v>
      </c>
      <c r="L28" s="115">
        <v>41030</v>
      </c>
      <c r="N28" s="50" t="s">
        <v>2</v>
      </c>
      <c r="O28" s="74">
        <f>1.4/2</f>
        <v>0.7</v>
      </c>
      <c r="Q28" s="74">
        <v>6.66</v>
      </c>
      <c r="R28" s="50">
        <v>27</v>
      </c>
      <c r="S28" s="74">
        <f>5/2</f>
        <v>2.5</v>
      </c>
      <c r="T28" s="50">
        <v>0.03</v>
      </c>
      <c r="U28" s="74">
        <v>0.35</v>
      </c>
      <c r="V28" s="50">
        <v>0.1</v>
      </c>
      <c r="W28" s="74">
        <f>0.005/2</f>
        <v>2.5000000000000001E-3</v>
      </c>
      <c r="X28" s="50">
        <v>0.11700000000000001</v>
      </c>
      <c r="Y28" s="74">
        <v>3.0000000000000001E-3</v>
      </c>
      <c r="Z28" s="239">
        <v>1</v>
      </c>
      <c r="AA28" s="240">
        <v>1</v>
      </c>
      <c r="AB28" s="52">
        <v>20</v>
      </c>
      <c r="AC28" s="41">
        <v>100</v>
      </c>
      <c r="AD28" s="166">
        <v>1</v>
      </c>
    </row>
    <row r="29" spans="1:31" ht="14">
      <c r="A29" s="41" t="s">
        <v>34</v>
      </c>
      <c r="B29" s="50" t="s">
        <v>532</v>
      </c>
      <c r="C29" s="50" t="s">
        <v>601</v>
      </c>
      <c r="D29" s="48" t="s">
        <v>389</v>
      </c>
      <c r="E29" s="50" t="s">
        <v>602</v>
      </c>
      <c r="G29" s="76" t="s">
        <v>603</v>
      </c>
      <c r="H29" s="50">
        <v>1429</v>
      </c>
      <c r="I29" s="49" t="s">
        <v>2</v>
      </c>
      <c r="J29" s="50" t="s">
        <v>510</v>
      </c>
      <c r="K29" s="51">
        <v>41201</v>
      </c>
      <c r="L29" s="115">
        <v>41197</v>
      </c>
      <c r="N29" s="50" t="s">
        <v>2</v>
      </c>
      <c r="O29" s="74">
        <f>1.4/2</f>
        <v>0.7</v>
      </c>
      <c r="P29" s="50">
        <v>5.5</v>
      </c>
      <c r="Q29" s="74">
        <v>5.62</v>
      </c>
      <c r="R29" s="50">
        <f>10/2</f>
        <v>5</v>
      </c>
      <c r="S29" s="74">
        <f>5/2</f>
        <v>2.5</v>
      </c>
      <c r="T29" s="50">
        <v>7.0000000000000007E-2</v>
      </c>
      <c r="U29" s="74">
        <v>0.3</v>
      </c>
      <c r="V29" s="50">
        <v>0.1</v>
      </c>
      <c r="W29" s="74">
        <f>0.005/2</f>
        <v>2.5000000000000001E-3</v>
      </c>
      <c r="X29" s="50">
        <v>1.6E-2</v>
      </c>
      <c r="Y29" s="74">
        <f>0.002/2</f>
        <v>1E-3</v>
      </c>
      <c r="Z29" s="239">
        <v>1</v>
      </c>
      <c r="AA29" s="240">
        <v>1</v>
      </c>
      <c r="AB29" s="52">
        <v>12</v>
      </c>
      <c r="AC29" s="41">
        <v>21</v>
      </c>
      <c r="AD29" s="166">
        <v>1</v>
      </c>
    </row>
    <row r="30" spans="1:31" ht="14">
      <c r="A30" s="41" t="s">
        <v>34</v>
      </c>
      <c r="B30" s="50" t="s">
        <v>532</v>
      </c>
      <c r="C30" s="50" t="s">
        <v>663</v>
      </c>
      <c r="D30" s="48" t="s">
        <v>262</v>
      </c>
      <c r="E30" s="50" t="s">
        <v>1538</v>
      </c>
      <c r="G30" s="76" t="s">
        <v>665</v>
      </c>
      <c r="H30" s="50">
        <v>3281</v>
      </c>
      <c r="I30" s="49" t="s">
        <v>2</v>
      </c>
      <c r="J30" s="50" t="s">
        <v>510</v>
      </c>
      <c r="K30" s="51">
        <v>41201</v>
      </c>
      <c r="L30" s="115">
        <v>41197</v>
      </c>
      <c r="N30" s="50" t="s">
        <v>2</v>
      </c>
      <c r="O30" s="74">
        <f>5/2</f>
        <v>2.5</v>
      </c>
      <c r="P30" s="50">
        <v>5.5</v>
      </c>
      <c r="Q30" s="74">
        <v>8.15</v>
      </c>
      <c r="R30" s="50">
        <v>55</v>
      </c>
      <c r="S30" s="74">
        <v>77</v>
      </c>
      <c r="T30" s="50">
        <f>0.1/2</f>
        <v>0.05</v>
      </c>
      <c r="U30" s="74">
        <f>1/2</f>
        <v>0.5</v>
      </c>
      <c r="V30" s="50">
        <v>0.41</v>
      </c>
      <c r="W30" s="74">
        <f>0.04/2</f>
        <v>0.02</v>
      </c>
      <c r="X30" s="50">
        <v>7.2999999999999995E-2</v>
      </c>
      <c r="Y30" s="74">
        <f>0.013/2</f>
        <v>6.4999999999999997E-3</v>
      </c>
      <c r="Z30" s="239">
        <v>1</v>
      </c>
      <c r="AA30" s="240">
        <v>1</v>
      </c>
      <c r="AB30" s="52">
        <v>42</v>
      </c>
      <c r="AC30" s="41">
        <v>99</v>
      </c>
      <c r="AD30" s="166">
        <v>1</v>
      </c>
    </row>
    <row r="31" spans="1:31" ht="14">
      <c r="A31" s="41" t="s">
        <v>34</v>
      </c>
      <c r="B31" s="50" t="s">
        <v>532</v>
      </c>
      <c r="C31" s="50" t="s">
        <v>1106</v>
      </c>
      <c r="D31" s="48" t="s">
        <v>1643</v>
      </c>
      <c r="E31" s="50" t="s">
        <v>1107</v>
      </c>
      <c r="G31" s="76" t="s">
        <v>1108</v>
      </c>
      <c r="H31" s="50">
        <v>1429</v>
      </c>
      <c r="I31" s="49" t="s">
        <v>2</v>
      </c>
      <c r="J31" s="50" t="s">
        <v>593</v>
      </c>
      <c r="K31" s="51">
        <v>41201</v>
      </c>
      <c r="L31" s="115">
        <v>41197</v>
      </c>
      <c r="N31" s="50" t="s">
        <v>2</v>
      </c>
      <c r="O31" s="74">
        <f>1.4/2</f>
        <v>0.7</v>
      </c>
      <c r="P31" s="50">
        <v>6</v>
      </c>
      <c r="Q31" s="74">
        <v>7.87</v>
      </c>
      <c r="R31" s="50">
        <f>10/2</f>
        <v>5</v>
      </c>
      <c r="S31" s="74">
        <v>27</v>
      </c>
      <c r="T31" s="50">
        <v>0.06</v>
      </c>
      <c r="U31" s="74">
        <v>0.25</v>
      </c>
      <c r="V31" s="50">
        <v>2.92</v>
      </c>
      <c r="W31" s="74">
        <v>6.0000000000000001E-3</v>
      </c>
      <c r="X31" s="50">
        <v>1.0999999999999999E-2</v>
      </c>
      <c r="Y31" s="74">
        <v>2E-3</v>
      </c>
      <c r="Z31" s="239">
        <v>1</v>
      </c>
      <c r="AA31" s="240">
        <v>1</v>
      </c>
      <c r="AB31" s="52">
        <v>118</v>
      </c>
      <c r="AC31" s="41">
        <v>317</v>
      </c>
      <c r="AD31" s="166">
        <v>1</v>
      </c>
    </row>
    <row r="32" spans="1:31" ht="14">
      <c r="A32" s="41" t="s">
        <v>34</v>
      </c>
      <c r="B32" s="50" t="s">
        <v>532</v>
      </c>
      <c r="C32" s="50" t="s">
        <v>1106</v>
      </c>
      <c r="D32" s="48" t="s">
        <v>1643</v>
      </c>
      <c r="E32" s="50" t="s">
        <v>1107</v>
      </c>
      <c r="G32" s="76" t="s">
        <v>1108</v>
      </c>
      <c r="H32" s="50">
        <v>1429</v>
      </c>
      <c r="I32" s="49" t="s">
        <v>2</v>
      </c>
      <c r="J32" s="50" t="s">
        <v>477</v>
      </c>
      <c r="K32" s="51">
        <v>41201</v>
      </c>
      <c r="L32" s="115">
        <v>41197</v>
      </c>
      <c r="N32" s="50" t="s">
        <v>2</v>
      </c>
      <c r="O32" s="74">
        <f>1.4/2</f>
        <v>0.7</v>
      </c>
      <c r="P32" s="50">
        <v>6</v>
      </c>
      <c r="Q32" s="74">
        <v>7.87</v>
      </c>
      <c r="R32" s="50">
        <f>10/2</f>
        <v>5</v>
      </c>
      <c r="S32" s="74">
        <v>13</v>
      </c>
      <c r="T32" s="50">
        <v>0.02</v>
      </c>
      <c r="U32" s="74">
        <v>1.41</v>
      </c>
      <c r="V32" s="50">
        <v>2.39</v>
      </c>
      <c r="W32" s="74">
        <f>0.005/2</f>
        <v>2.5000000000000001E-3</v>
      </c>
      <c r="X32" s="50">
        <v>8.9999999999999993E-3</v>
      </c>
      <c r="Y32" s="74">
        <f>0.002/2</f>
        <v>1E-3</v>
      </c>
      <c r="Z32" s="239">
        <v>1</v>
      </c>
      <c r="AA32" s="240">
        <v>1</v>
      </c>
      <c r="AB32" s="52">
        <v>122</v>
      </c>
      <c r="AC32" s="41">
        <v>334</v>
      </c>
      <c r="AD32" s="166">
        <v>1</v>
      </c>
    </row>
    <row r="33" spans="1:34" ht="14">
      <c r="A33" s="41" t="s">
        <v>34</v>
      </c>
      <c r="B33" s="50" t="s">
        <v>532</v>
      </c>
      <c r="C33" s="50" t="s">
        <v>601</v>
      </c>
      <c r="D33" s="48" t="s">
        <v>389</v>
      </c>
      <c r="E33" s="50" t="s">
        <v>602</v>
      </c>
      <c r="G33" s="76" t="s">
        <v>603</v>
      </c>
      <c r="H33" s="50">
        <v>1429</v>
      </c>
      <c r="I33" s="49" t="s">
        <v>2</v>
      </c>
      <c r="J33" s="50" t="s">
        <v>510</v>
      </c>
      <c r="K33" s="51">
        <v>41062</v>
      </c>
      <c r="L33" s="115">
        <v>41058</v>
      </c>
      <c r="N33" s="50" t="s">
        <v>2</v>
      </c>
      <c r="O33" s="74">
        <f>1.6/2</f>
        <v>0.8</v>
      </c>
      <c r="P33" s="50">
        <v>6</v>
      </c>
      <c r="Q33" s="74">
        <v>5.67</v>
      </c>
      <c r="R33" s="50">
        <f>10/2</f>
        <v>5</v>
      </c>
      <c r="S33" s="74">
        <v>16</v>
      </c>
      <c r="T33" s="50">
        <v>0.02</v>
      </c>
      <c r="U33" s="74">
        <v>0.42</v>
      </c>
      <c r="V33" s="50">
        <v>0.28999999999999998</v>
      </c>
      <c r="W33" s="74">
        <f>0.005/2</f>
        <v>2.5000000000000001E-3</v>
      </c>
      <c r="X33" s="50">
        <v>2.1000000000000001E-2</v>
      </c>
      <c r="Y33" s="74">
        <f>0.002/2</f>
        <v>1E-3</v>
      </c>
      <c r="Z33" s="239"/>
      <c r="AA33" s="240"/>
      <c r="AB33" s="52"/>
      <c r="AC33" s="41"/>
      <c r="AD33" s="166"/>
    </row>
    <row r="34" spans="1:34" ht="14">
      <c r="A34" s="41" t="s">
        <v>34</v>
      </c>
      <c r="B34" s="50" t="s">
        <v>3745</v>
      </c>
      <c r="C34" s="50" t="s">
        <v>3746</v>
      </c>
      <c r="D34" s="48" t="s">
        <v>150</v>
      </c>
      <c r="E34" s="50" t="s">
        <v>3747</v>
      </c>
      <c r="G34" s="76" t="s">
        <v>3748</v>
      </c>
      <c r="H34" s="50">
        <v>1429</v>
      </c>
      <c r="I34" s="49" t="s">
        <v>2</v>
      </c>
      <c r="J34" s="50" t="s">
        <v>3746</v>
      </c>
      <c r="K34" s="51">
        <v>40996</v>
      </c>
      <c r="L34" s="115">
        <v>40981</v>
      </c>
      <c r="N34" s="50" t="s">
        <v>2</v>
      </c>
      <c r="O34" s="74">
        <f>1.9/2</f>
        <v>0.95</v>
      </c>
      <c r="P34" s="50">
        <v>5.0999999999999996</v>
      </c>
      <c r="Q34" s="74">
        <v>6.72</v>
      </c>
      <c r="R34" s="50">
        <v>18</v>
      </c>
      <c r="S34" s="74">
        <v>270</v>
      </c>
      <c r="T34" s="50">
        <v>0.22</v>
      </c>
      <c r="U34" s="74">
        <v>1.53</v>
      </c>
      <c r="V34" s="50">
        <v>0.12</v>
      </c>
      <c r="W34" s="74">
        <v>1.4E-2</v>
      </c>
      <c r="X34" s="50">
        <v>2.1000000000000001E-2</v>
      </c>
      <c r="Y34" s="74">
        <v>8.0000000000000002E-3</v>
      </c>
      <c r="Z34" s="239">
        <v>1</v>
      </c>
      <c r="AA34" s="240">
        <v>1</v>
      </c>
      <c r="AB34" s="52">
        <v>322</v>
      </c>
      <c r="AC34" s="41">
        <v>1294</v>
      </c>
      <c r="AD34" s="166">
        <v>1</v>
      </c>
    </row>
    <row r="35" spans="1:34" ht="14">
      <c r="A35" s="41" t="s">
        <v>34</v>
      </c>
      <c r="B35" s="50" t="s">
        <v>3745</v>
      </c>
      <c r="C35" s="50" t="s">
        <v>3749</v>
      </c>
      <c r="D35" s="48" t="s">
        <v>1135</v>
      </c>
      <c r="E35" s="50" t="s">
        <v>3750</v>
      </c>
      <c r="G35" s="76" t="s">
        <v>3751</v>
      </c>
      <c r="H35" s="50">
        <v>3273</v>
      </c>
      <c r="I35" s="49" t="s">
        <v>2</v>
      </c>
      <c r="J35" s="50" t="s">
        <v>3752</v>
      </c>
      <c r="K35" s="51">
        <v>40996</v>
      </c>
      <c r="L35" s="115">
        <v>40981</v>
      </c>
      <c r="N35" s="50" t="s">
        <v>2</v>
      </c>
      <c r="O35" s="74">
        <v>2.8</v>
      </c>
      <c r="P35" s="50">
        <v>9.3000000000000007</v>
      </c>
      <c r="Q35" s="74">
        <v>9.9700000000000006</v>
      </c>
      <c r="R35" s="50">
        <v>22</v>
      </c>
      <c r="S35" s="74">
        <v>49</v>
      </c>
      <c r="T35" s="50">
        <v>0.09</v>
      </c>
      <c r="U35" s="74">
        <v>0.73</v>
      </c>
      <c r="V35" s="50">
        <v>1.86</v>
      </c>
      <c r="W35" s="74">
        <v>0.01</v>
      </c>
      <c r="X35" s="50">
        <v>0.02</v>
      </c>
      <c r="Y35" s="74">
        <f>0.002/2</f>
        <v>1E-3</v>
      </c>
      <c r="Z35" s="239">
        <v>1</v>
      </c>
      <c r="AA35" s="240">
        <v>1</v>
      </c>
      <c r="AB35" s="52">
        <v>176</v>
      </c>
      <c r="AC35" s="41">
        <v>472</v>
      </c>
      <c r="AD35" s="166">
        <v>0.85</v>
      </c>
    </row>
    <row r="36" spans="1:34" ht="14">
      <c r="A36" s="41" t="s">
        <v>34</v>
      </c>
      <c r="B36" s="50" t="s">
        <v>3745</v>
      </c>
      <c r="C36" s="50" t="s">
        <v>3753</v>
      </c>
      <c r="D36" s="48" t="s">
        <v>308</v>
      </c>
      <c r="E36" s="50" t="s">
        <v>3754</v>
      </c>
      <c r="G36" s="76" t="s">
        <v>3755</v>
      </c>
      <c r="H36" s="50">
        <v>1442</v>
      </c>
      <c r="I36" s="49" t="s">
        <v>2</v>
      </c>
      <c r="J36" s="50" t="s">
        <v>3756</v>
      </c>
      <c r="K36" s="51">
        <v>40996</v>
      </c>
      <c r="L36" s="115">
        <v>40981</v>
      </c>
      <c r="N36" s="50" t="s">
        <v>2</v>
      </c>
      <c r="O36" s="74">
        <f>1.8/2</f>
        <v>0.9</v>
      </c>
      <c r="P36" s="50">
        <v>4.8</v>
      </c>
      <c r="Q36" s="74">
        <v>6.71</v>
      </c>
      <c r="R36" s="50">
        <v>20</v>
      </c>
      <c r="S36" s="74">
        <v>84</v>
      </c>
      <c r="T36" s="50">
        <v>0.09</v>
      </c>
      <c r="U36" s="74">
        <v>1.02</v>
      </c>
      <c r="V36" s="50">
        <v>21.6</v>
      </c>
      <c r="W36" s="74">
        <v>6.0000000000000001E-3</v>
      </c>
      <c r="X36" s="50">
        <v>2.5000000000000001E-2</v>
      </c>
      <c r="Y36" s="74">
        <f>0.002/2</f>
        <v>1E-3</v>
      </c>
      <c r="Z36" s="239">
        <v>1</v>
      </c>
      <c r="AA36" s="240">
        <v>1</v>
      </c>
      <c r="AB36" s="52">
        <v>188</v>
      </c>
      <c r="AC36" s="41">
        <v>471</v>
      </c>
      <c r="AD36" s="166">
        <f>20/20</f>
        <v>1</v>
      </c>
      <c r="AE36" s="74" t="s">
        <v>2667</v>
      </c>
    </row>
    <row r="37" spans="1:34" ht="14">
      <c r="A37" s="41" t="s">
        <v>34</v>
      </c>
      <c r="B37" s="50" t="s">
        <v>63</v>
      </c>
      <c r="C37" s="50" t="s">
        <v>64</v>
      </c>
      <c r="D37" s="48" t="s">
        <v>588</v>
      </c>
      <c r="E37" s="50" t="s">
        <v>382</v>
      </c>
      <c r="F37" s="50" t="s">
        <v>991</v>
      </c>
      <c r="G37" s="76" t="s">
        <v>65</v>
      </c>
      <c r="H37" s="50">
        <v>1442</v>
      </c>
      <c r="I37" s="49" t="s">
        <v>2</v>
      </c>
      <c r="J37" s="50" t="s">
        <v>66</v>
      </c>
      <c r="K37" s="51">
        <v>41059</v>
      </c>
      <c r="L37" s="115">
        <v>41055</v>
      </c>
      <c r="M37" s="50">
        <f>K37-L37</f>
        <v>4</v>
      </c>
      <c r="N37" s="50" t="s">
        <v>2</v>
      </c>
      <c r="O37" s="74">
        <f>5/2</f>
        <v>2.5</v>
      </c>
      <c r="P37" s="50">
        <v>6.2</v>
      </c>
      <c r="Q37" s="74">
        <v>6.74</v>
      </c>
      <c r="R37" s="50">
        <v>20</v>
      </c>
      <c r="S37" s="74">
        <f>5/2</f>
        <v>2.5</v>
      </c>
      <c r="T37" s="287">
        <f>0.1/2</f>
        <v>0.05</v>
      </c>
      <c r="U37" s="281">
        <f>1/2</f>
        <v>0.5</v>
      </c>
      <c r="V37" s="287">
        <f>0.1/2</f>
        <v>0.05</v>
      </c>
      <c r="W37" s="281">
        <f>0.04/2</f>
        <v>0.02</v>
      </c>
      <c r="X37" s="287">
        <f>0.02/2</f>
        <v>0.01</v>
      </c>
      <c r="Y37" s="74">
        <f>0.013/2</f>
        <v>6.4999999999999997E-3</v>
      </c>
      <c r="Z37" s="239">
        <v>6.25E-2</v>
      </c>
      <c r="AA37" s="240">
        <v>6.25E-2</v>
      </c>
      <c r="AB37" s="52">
        <v>23</v>
      </c>
      <c r="AC37" s="41">
        <v>107</v>
      </c>
      <c r="AD37" s="166">
        <f>0/20</f>
        <v>0</v>
      </c>
    </row>
    <row r="38" spans="1:34" ht="14">
      <c r="A38" s="41" t="s">
        <v>34</v>
      </c>
      <c r="B38" s="50" t="s">
        <v>3745</v>
      </c>
      <c r="C38" s="50" t="s">
        <v>3757</v>
      </c>
      <c r="D38" s="48" t="s">
        <v>1484</v>
      </c>
      <c r="E38" s="50" t="s">
        <v>3758</v>
      </c>
      <c r="G38" s="76" t="s">
        <v>3759</v>
      </c>
      <c r="H38" s="50">
        <v>1442</v>
      </c>
      <c r="I38" s="49" t="s">
        <v>2</v>
      </c>
      <c r="J38" s="50" t="s">
        <v>3760</v>
      </c>
      <c r="K38" s="51">
        <v>40996</v>
      </c>
      <c r="L38" s="115">
        <v>40981</v>
      </c>
      <c r="N38" s="50" t="s">
        <v>2</v>
      </c>
      <c r="O38" s="74">
        <f>1.9/2</f>
        <v>0.95</v>
      </c>
      <c r="P38" s="50">
        <v>5</v>
      </c>
      <c r="Q38" s="74">
        <v>7.61</v>
      </c>
      <c r="R38" s="50">
        <v>13</v>
      </c>
      <c r="S38" s="74">
        <v>150</v>
      </c>
      <c r="T38" s="50">
        <v>0.15</v>
      </c>
      <c r="U38" s="74">
        <v>0.49</v>
      </c>
      <c r="V38" s="50">
        <v>1.52</v>
      </c>
      <c r="W38" s="74">
        <v>1.2999999999999999E-2</v>
      </c>
      <c r="X38" s="50">
        <v>3.9E-2</v>
      </c>
      <c r="Y38" s="74">
        <v>6.0000000000000001E-3</v>
      </c>
      <c r="Z38" s="239">
        <v>1</v>
      </c>
      <c r="AA38" s="240">
        <v>1</v>
      </c>
      <c r="AB38" s="52">
        <v>116</v>
      </c>
      <c r="AC38" s="41">
        <v>398</v>
      </c>
      <c r="AD38" s="166">
        <f>20/20</f>
        <v>1</v>
      </c>
    </row>
    <row r="39" spans="1:34" ht="14">
      <c r="A39" s="41" t="s">
        <v>34</v>
      </c>
      <c r="B39" s="50" t="s">
        <v>3761</v>
      </c>
      <c r="C39" s="50" t="s">
        <v>3232</v>
      </c>
      <c r="D39" s="48" t="s">
        <v>710</v>
      </c>
      <c r="E39" s="50" t="s">
        <v>711</v>
      </c>
      <c r="G39" s="76" t="s">
        <v>3233</v>
      </c>
      <c r="H39" s="50">
        <v>1442</v>
      </c>
      <c r="J39" s="50" t="s">
        <v>3234</v>
      </c>
      <c r="K39" s="51">
        <v>41180</v>
      </c>
      <c r="L39" s="115">
        <v>41170</v>
      </c>
      <c r="N39" s="50" t="s">
        <v>2</v>
      </c>
      <c r="O39" s="74">
        <v>1.7</v>
      </c>
      <c r="P39" s="50">
        <v>5.5</v>
      </c>
      <c r="Q39" s="74">
        <v>7.7</v>
      </c>
      <c r="R39" s="50">
        <v>38</v>
      </c>
      <c r="S39" s="74">
        <v>180</v>
      </c>
      <c r="T39" s="50">
        <v>0.19</v>
      </c>
      <c r="U39" s="74">
        <f>0.05/2</f>
        <v>2.5000000000000001E-2</v>
      </c>
      <c r="V39" s="50">
        <v>0.14000000000000001</v>
      </c>
      <c r="W39" s="74">
        <v>1.2999999999999999E-2</v>
      </c>
      <c r="X39" s="50">
        <v>3.9E-2</v>
      </c>
      <c r="Y39" s="74">
        <f>0.005/2</f>
        <v>2.5000000000000001E-3</v>
      </c>
      <c r="Z39" s="239"/>
      <c r="AA39" s="240"/>
      <c r="AB39" s="52"/>
      <c r="AC39" s="41"/>
      <c r="AD39" s="166"/>
    </row>
    <row r="40" spans="1:34" ht="14">
      <c r="A40" s="41" t="s">
        <v>34</v>
      </c>
      <c r="B40" s="50" t="s">
        <v>3745</v>
      </c>
      <c r="C40" s="50" t="s">
        <v>3749</v>
      </c>
      <c r="D40" s="48" t="s">
        <v>1135</v>
      </c>
      <c r="E40" s="50" t="s">
        <v>3750</v>
      </c>
      <c r="G40" s="76" t="s">
        <v>3751</v>
      </c>
      <c r="H40" s="50">
        <v>3273</v>
      </c>
      <c r="I40" s="49" t="s">
        <v>2</v>
      </c>
      <c r="J40" s="72" t="s">
        <v>3752</v>
      </c>
      <c r="K40" s="51">
        <v>41180</v>
      </c>
      <c r="L40" s="115">
        <v>41174</v>
      </c>
      <c r="N40" s="50" t="s">
        <v>2</v>
      </c>
      <c r="O40" s="74">
        <v>3.7</v>
      </c>
      <c r="P40" s="50">
        <v>5.2</v>
      </c>
      <c r="Q40" s="74">
        <v>7.82</v>
      </c>
      <c r="R40" s="50">
        <v>40</v>
      </c>
      <c r="S40" s="74">
        <v>110</v>
      </c>
      <c r="T40" s="50">
        <v>0.26</v>
      </c>
      <c r="U40" s="74">
        <v>1.96</v>
      </c>
      <c r="V40" s="50">
        <v>1.31</v>
      </c>
      <c r="W40" s="74">
        <v>1.2999999999999999E-2</v>
      </c>
      <c r="X40" s="50">
        <v>0.1222</v>
      </c>
      <c r="Y40" s="74">
        <v>5.0000000000000001E-3</v>
      </c>
      <c r="Z40" s="239"/>
      <c r="AA40" s="240"/>
      <c r="AB40" s="52"/>
      <c r="AC40" s="41"/>
      <c r="AD40" s="166"/>
    </row>
    <row r="41" spans="1:34" ht="14">
      <c r="A41" s="41" t="s">
        <v>34</v>
      </c>
      <c r="B41" s="50" t="s">
        <v>3745</v>
      </c>
      <c r="C41" s="50" t="s">
        <v>3746</v>
      </c>
      <c r="D41" s="48" t="s">
        <v>150</v>
      </c>
      <c r="E41" s="50" t="s">
        <v>3747</v>
      </c>
      <c r="G41" s="76" t="s">
        <v>3748</v>
      </c>
      <c r="H41" s="50">
        <v>1429</v>
      </c>
      <c r="I41" s="49" t="s">
        <v>2</v>
      </c>
      <c r="J41" s="50" t="s">
        <v>3746</v>
      </c>
      <c r="K41" s="51">
        <v>41170</v>
      </c>
      <c r="L41" s="115">
        <v>41157</v>
      </c>
      <c r="N41" s="50" t="s">
        <v>2</v>
      </c>
      <c r="O41" s="74">
        <f>1.6/2</f>
        <v>0.8</v>
      </c>
      <c r="P41" s="50">
        <v>5.5</v>
      </c>
      <c r="Q41" s="74">
        <v>7.74</v>
      </c>
      <c r="R41" s="50">
        <v>22</v>
      </c>
      <c r="S41" s="74">
        <v>61</v>
      </c>
      <c r="T41" s="50">
        <v>0.12</v>
      </c>
      <c r="U41" s="74">
        <v>0.93</v>
      </c>
      <c r="V41" s="50">
        <v>0.05</v>
      </c>
      <c r="W41" s="74">
        <v>8.0000000000000002E-3</v>
      </c>
      <c r="X41" s="50">
        <v>2.1000000000000001E-2</v>
      </c>
      <c r="Y41" s="74">
        <v>5.0000000000000001E-3</v>
      </c>
      <c r="Z41" s="239"/>
      <c r="AA41" s="240"/>
      <c r="AB41" s="52"/>
      <c r="AC41" s="41"/>
      <c r="AD41" s="166"/>
    </row>
    <row r="42" spans="1:34" ht="14">
      <c r="A42" s="41" t="s">
        <v>34</v>
      </c>
      <c r="B42" s="50" t="s">
        <v>3745</v>
      </c>
      <c r="C42" s="50" t="s">
        <v>3756</v>
      </c>
      <c r="D42" s="48" t="s">
        <v>308</v>
      </c>
      <c r="E42" s="50" t="s">
        <v>3754</v>
      </c>
      <c r="G42" s="76" t="s">
        <v>3755</v>
      </c>
      <c r="H42" s="50">
        <v>1442</v>
      </c>
      <c r="I42" s="49" t="s">
        <v>2</v>
      </c>
      <c r="J42" s="50" t="s">
        <v>3756</v>
      </c>
      <c r="K42" s="51">
        <v>41170</v>
      </c>
      <c r="L42" s="115">
        <v>41157</v>
      </c>
      <c r="N42" s="50" t="s">
        <v>2</v>
      </c>
      <c r="O42" s="74">
        <v>2.6</v>
      </c>
      <c r="P42" s="50">
        <v>5.2</v>
      </c>
      <c r="Q42" s="74">
        <v>7.57</v>
      </c>
      <c r="R42" s="50">
        <v>76</v>
      </c>
      <c r="S42" s="74">
        <v>260</v>
      </c>
      <c r="T42" s="50">
        <v>0.35</v>
      </c>
      <c r="U42" s="74">
        <v>1.51</v>
      </c>
      <c r="V42" s="50">
        <v>0.66</v>
      </c>
      <c r="W42" s="74">
        <v>1.6E-2</v>
      </c>
      <c r="X42" s="50">
        <v>7.4999999999999997E-2</v>
      </c>
      <c r="Y42" s="74">
        <v>1.2E-2</v>
      </c>
      <c r="Z42" s="239"/>
      <c r="AA42" s="240"/>
      <c r="AB42" s="52"/>
      <c r="AC42" s="41"/>
      <c r="AD42" s="166"/>
    </row>
    <row r="43" spans="1:34" ht="14">
      <c r="A43" s="41" t="s">
        <v>34</v>
      </c>
      <c r="B43" s="50" t="s">
        <v>3745</v>
      </c>
      <c r="C43" s="50" t="s">
        <v>3760</v>
      </c>
      <c r="D43" s="48" t="s">
        <v>1484</v>
      </c>
      <c r="E43" s="50" t="s">
        <v>3758</v>
      </c>
      <c r="G43" s="76" t="s">
        <v>3759</v>
      </c>
      <c r="H43" s="50">
        <v>1442</v>
      </c>
      <c r="I43" s="49" t="s">
        <v>2</v>
      </c>
      <c r="J43" s="50" t="s">
        <v>3760</v>
      </c>
      <c r="K43" s="51">
        <v>41170</v>
      </c>
      <c r="L43" s="115">
        <v>41157</v>
      </c>
      <c r="N43" s="50" t="s">
        <v>2</v>
      </c>
      <c r="O43" s="74">
        <f>2.5/2</f>
        <v>1.25</v>
      </c>
      <c r="P43" s="50">
        <v>4.4000000000000004</v>
      </c>
      <c r="Q43" s="74">
        <v>7.34</v>
      </c>
      <c r="R43" s="50">
        <v>66</v>
      </c>
      <c r="S43" s="74">
        <v>270</v>
      </c>
      <c r="T43" s="50">
        <v>0.18</v>
      </c>
      <c r="U43" s="74">
        <v>1.17</v>
      </c>
      <c r="V43" s="50">
        <v>0.22</v>
      </c>
      <c r="W43" s="74">
        <v>2.4E-2</v>
      </c>
      <c r="X43" s="50">
        <v>6.9000000000000006E-2</v>
      </c>
      <c r="Y43" s="74">
        <v>1.9E-2</v>
      </c>
      <c r="Z43" s="239"/>
      <c r="AA43" s="240"/>
      <c r="AB43" s="52"/>
      <c r="AC43" s="41"/>
      <c r="AD43" s="166"/>
    </row>
    <row r="44" spans="1:34" ht="14">
      <c r="A44" s="41" t="s">
        <v>34</v>
      </c>
      <c r="B44" s="50" t="s">
        <v>1634</v>
      </c>
      <c r="C44" s="50" t="s">
        <v>1635</v>
      </c>
      <c r="D44" s="48" t="s">
        <v>1633</v>
      </c>
      <c r="E44" s="50" t="s">
        <v>1104</v>
      </c>
      <c r="G44" s="76" t="s">
        <v>1636</v>
      </c>
      <c r="H44" s="50">
        <v>1422</v>
      </c>
      <c r="I44" s="49" t="s">
        <v>1</v>
      </c>
      <c r="J44" s="50" t="s">
        <v>1637</v>
      </c>
      <c r="K44" s="51">
        <v>41072</v>
      </c>
      <c r="L44" s="115">
        <v>41063</v>
      </c>
      <c r="N44" s="50" t="s">
        <v>2</v>
      </c>
      <c r="O44" s="74">
        <f>1.4/2</f>
        <v>0.7</v>
      </c>
      <c r="P44" s="50">
        <v>5.5</v>
      </c>
      <c r="Q44" s="74">
        <v>8.6300000000000008</v>
      </c>
      <c r="R44" s="50">
        <v>38</v>
      </c>
      <c r="S44" s="74">
        <v>21</v>
      </c>
      <c r="T44" s="50">
        <v>7.0000000000000007E-2</v>
      </c>
      <c r="U44" s="74">
        <v>0.83</v>
      </c>
      <c r="V44" s="50">
        <v>1.64</v>
      </c>
      <c r="W44" s="74">
        <f>0.005/2</f>
        <v>2.5000000000000001E-3</v>
      </c>
      <c r="X44" s="50">
        <v>5.0000000000000001E-3</v>
      </c>
      <c r="Y44" s="74">
        <f>0.002/2</f>
        <v>1E-3</v>
      </c>
      <c r="Z44" s="239">
        <v>0.26900000000000002</v>
      </c>
      <c r="AA44" s="240">
        <v>0.183</v>
      </c>
      <c r="AB44" s="52">
        <v>60</v>
      </c>
      <c r="AC44" s="41">
        <v>238</v>
      </c>
      <c r="AD44" s="166">
        <f>0/20</f>
        <v>0</v>
      </c>
      <c r="AE44" s="74">
        <v>50</v>
      </c>
      <c r="AH44" s="402">
        <f>0.53/2</f>
        <v>0.26500000000000001</v>
      </c>
    </row>
    <row r="45" spans="1:34" ht="14">
      <c r="A45" s="41" t="s">
        <v>34</v>
      </c>
      <c r="B45" s="50" t="s">
        <v>1634</v>
      </c>
      <c r="C45" s="50" t="s">
        <v>1635</v>
      </c>
      <c r="D45" s="48" t="s">
        <v>1633</v>
      </c>
      <c r="E45" s="50" t="s">
        <v>1104</v>
      </c>
      <c r="G45" s="76" t="s">
        <v>1636</v>
      </c>
      <c r="H45" s="50">
        <v>1422</v>
      </c>
      <c r="I45" s="49" t="s">
        <v>1</v>
      </c>
      <c r="J45" s="50" t="s">
        <v>75</v>
      </c>
      <c r="K45" s="51">
        <v>41072</v>
      </c>
      <c r="L45" s="115">
        <v>41063</v>
      </c>
      <c r="N45" s="50" t="s">
        <v>2</v>
      </c>
      <c r="O45" s="74">
        <f>1.4/2</f>
        <v>0.7</v>
      </c>
      <c r="P45" s="50">
        <v>5.5</v>
      </c>
      <c r="Q45" s="74">
        <v>8.24</v>
      </c>
      <c r="R45" s="50">
        <f>10/2</f>
        <v>5</v>
      </c>
      <c r="S45" s="74">
        <v>6.5</v>
      </c>
      <c r="T45" s="50">
        <v>0.01</v>
      </c>
      <c r="U45" s="74">
        <v>0.24</v>
      </c>
      <c r="V45" s="50">
        <v>0.87</v>
      </c>
      <c r="W45" s="74">
        <f>0.005/2</f>
        <v>2.5000000000000001E-3</v>
      </c>
      <c r="X45" s="50">
        <v>4.0000000000000001E-3</v>
      </c>
      <c r="Y45" s="74">
        <f>0.002/2</f>
        <v>1E-3</v>
      </c>
      <c r="Z45" s="239">
        <v>0.61699999999999999</v>
      </c>
      <c r="AA45" s="240">
        <v>0.378</v>
      </c>
      <c r="AB45" s="52">
        <v>296</v>
      </c>
      <c r="AC45" s="41">
        <v>759</v>
      </c>
      <c r="AD45" s="166">
        <f>0/20</f>
        <v>0</v>
      </c>
      <c r="AE45" s="74">
        <v>50</v>
      </c>
      <c r="AH45" s="402">
        <f>0.53/2</f>
        <v>0.26500000000000001</v>
      </c>
    </row>
    <row r="46" spans="1:34" ht="14">
      <c r="A46" s="41" t="s">
        <v>34</v>
      </c>
      <c r="B46" s="50" t="s">
        <v>1634</v>
      </c>
      <c r="C46" s="50" t="s">
        <v>1635</v>
      </c>
      <c r="D46" s="48" t="s">
        <v>1633</v>
      </c>
      <c r="E46" s="50" t="s">
        <v>1104</v>
      </c>
      <c r="G46" s="76" t="s">
        <v>1636</v>
      </c>
      <c r="H46" s="50">
        <v>1422</v>
      </c>
      <c r="I46" s="49" t="s">
        <v>1</v>
      </c>
      <c r="J46" s="50" t="s">
        <v>687</v>
      </c>
      <c r="K46" s="51">
        <v>41072</v>
      </c>
      <c r="L46" s="115">
        <v>41063</v>
      </c>
      <c r="N46" s="50" t="s">
        <v>2</v>
      </c>
      <c r="O46" s="74">
        <f>1.4/2</f>
        <v>0.7</v>
      </c>
      <c r="P46" s="50">
        <v>5.5</v>
      </c>
      <c r="Q46" s="74">
        <v>6.99</v>
      </c>
      <c r="R46" s="50">
        <v>18</v>
      </c>
      <c r="S46" s="74">
        <v>13</v>
      </c>
      <c r="T46" s="50">
        <v>7.0000000000000007E-2</v>
      </c>
      <c r="U46" s="74">
        <v>0.56999999999999995</v>
      </c>
      <c r="V46" s="50">
        <f>0.01/2</f>
        <v>5.0000000000000001E-3</v>
      </c>
      <c r="W46" s="74">
        <f>0.005/2</f>
        <v>2.5000000000000001E-3</v>
      </c>
      <c r="X46" s="50">
        <v>1.6E-2</v>
      </c>
      <c r="Y46" s="74">
        <f>0.002/2</f>
        <v>1E-3</v>
      </c>
      <c r="Z46" s="239">
        <v>1</v>
      </c>
      <c r="AA46" s="240">
        <v>1</v>
      </c>
      <c r="AB46" s="52">
        <v>296</v>
      </c>
      <c r="AC46" s="41">
        <v>759</v>
      </c>
      <c r="AD46" s="166">
        <f>20/20</f>
        <v>1</v>
      </c>
      <c r="AE46" s="74">
        <v>400</v>
      </c>
    </row>
    <row r="47" spans="1:34" ht="14">
      <c r="A47" s="41" t="s">
        <v>34</v>
      </c>
      <c r="B47" s="50" t="s">
        <v>1634</v>
      </c>
      <c r="C47" s="50" t="s">
        <v>1638</v>
      </c>
      <c r="D47" s="48" t="s">
        <v>1633</v>
      </c>
      <c r="E47" s="50" t="s">
        <v>1104</v>
      </c>
      <c r="G47" s="76" t="s">
        <v>1639</v>
      </c>
      <c r="H47" s="50">
        <v>1422</v>
      </c>
      <c r="I47" s="49" t="s">
        <v>1</v>
      </c>
      <c r="J47" s="50" t="s">
        <v>1271</v>
      </c>
      <c r="K47" s="51">
        <v>41072</v>
      </c>
      <c r="L47" s="115">
        <v>41063</v>
      </c>
      <c r="N47" s="50" t="s">
        <v>2</v>
      </c>
      <c r="O47" s="74">
        <f>1.4/2</f>
        <v>0.7</v>
      </c>
      <c r="P47" s="50">
        <v>5.5</v>
      </c>
      <c r="Q47" s="74">
        <v>7.68</v>
      </c>
      <c r="R47" s="50">
        <f>10/2</f>
        <v>5</v>
      </c>
      <c r="S47" s="74">
        <v>7</v>
      </c>
      <c r="T47" s="50">
        <f>0.01/2</f>
        <v>5.0000000000000001E-3</v>
      </c>
      <c r="U47" s="74">
        <v>1.44</v>
      </c>
      <c r="V47" s="50">
        <v>8.1300000000000008</v>
      </c>
      <c r="W47" s="74">
        <f>0.005/2</f>
        <v>2.5000000000000001E-3</v>
      </c>
      <c r="X47" s="50">
        <v>6.0000000000000001E-3</v>
      </c>
      <c r="Y47" s="74">
        <f>0.002/2</f>
        <v>1E-3</v>
      </c>
      <c r="Z47" s="239">
        <v>1</v>
      </c>
      <c r="AA47" s="240">
        <v>1</v>
      </c>
      <c r="AB47" s="52">
        <v>215</v>
      </c>
      <c r="AC47" s="41">
        <v>607</v>
      </c>
      <c r="AD47" s="166">
        <f>20/20</f>
        <v>1</v>
      </c>
      <c r="AE47" s="74">
        <v>120</v>
      </c>
    </row>
    <row r="48" spans="1:34" ht="14">
      <c r="A48" s="41" t="s">
        <v>34</v>
      </c>
      <c r="B48" s="50" t="s">
        <v>1634</v>
      </c>
      <c r="C48" s="50" t="s">
        <v>1640</v>
      </c>
      <c r="D48" s="48" t="s">
        <v>1633</v>
      </c>
      <c r="E48" s="50" t="s">
        <v>1104</v>
      </c>
      <c r="G48" s="76" t="s">
        <v>1641</v>
      </c>
      <c r="H48" s="50">
        <v>1422</v>
      </c>
      <c r="I48" s="49" t="s">
        <v>1</v>
      </c>
      <c r="J48" s="50" t="s">
        <v>1642</v>
      </c>
      <c r="K48" s="51">
        <v>41072</v>
      </c>
      <c r="L48" s="115">
        <v>41063</v>
      </c>
      <c r="N48" s="50" t="s">
        <v>2</v>
      </c>
      <c r="O48" s="74">
        <v>3.9</v>
      </c>
      <c r="P48" s="50">
        <v>5.5</v>
      </c>
      <c r="Q48" s="74">
        <v>8.5</v>
      </c>
      <c r="R48" s="50">
        <v>170</v>
      </c>
      <c r="S48" s="74">
        <v>250</v>
      </c>
      <c r="T48" s="50">
        <v>0.22</v>
      </c>
      <c r="U48" s="74">
        <v>2.5499999999999998</v>
      </c>
      <c r="V48" s="50">
        <v>0.36</v>
      </c>
      <c r="W48" s="74">
        <v>1.7000000000000001E-2</v>
      </c>
      <c r="X48" s="50">
        <v>0.114</v>
      </c>
      <c r="Y48" s="74">
        <v>2E-3</v>
      </c>
      <c r="Z48" s="239">
        <v>1</v>
      </c>
      <c r="AA48" s="240">
        <v>1</v>
      </c>
      <c r="AB48" s="52">
        <v>72</v>
      </c>
      <c r="AC48" s="41">
        <v>346</v>
      </c>
      <c r="AD48" s="166">
        <f>20/20</f>
        <v>1</v>
      </c>
      <c r="AE48" s="74">
        <v>50</v>
      </c>
    </row>
    <row r="49" spans="1:34" ht="14">
      <c r="A49" s="41" t="s">
        <v>34</v>
      </c>
      <c r="B49" s="50" t="s">
        <v>707</v>
      </c>
      <c r="C49" s="50" t="s">
        <v>1383</v>
      </c>
      <c r="D49" s="48" t="s">
        <v>827</v>
      </c>
      <c r="E49" s="50" t="s">
        <v>3556</v>
      </c>
      <c r="G49" s="76" t="s">
        <v>746</v>
      </c>
      <c r="H49" s="50" t="s">
        <v>3762</v>
      </c>
      <c r="I49" s="49" t="s">
        <v>1</v>
      </c>
      <c r="J49" s="50" t="s">
        <v>3763</v>
      </c>
      <c r="K49" s="51">
        <v>41180</v>
      </c>
      <c r="L49" s="115">
        <v>41160</v>
      </c>
      <c r="N49" s="50" t="s">
        <v>2</v>
      </c>
      <c r="O49" s="74">
        <v>2</v>
      </c>
      <c r="P49" s="50">
        <v>5</v>
      </c>
      <c r="Q49" s="74">
        <v>8.07</v>
      </c>
      <c r="R49" s="50">
        <v>317</v>
      </c>
      <c r="S49" s="74">
        <v>2730</v>
      </c>
      <c r="T49" s="50">
        <v>1.79</v>
      </c>
      <c r="U49" s="74">
        <v>2.0699999999999998</v>
      </c>
      <c r="V49" s="50">
        <v>2.14</v>
      </c>
      <c r="W49" s="74">
        <v>0.193</v>
      </c>
      <c r="X49" s="50">
        <v>0.25</v>
      </c>
      <c r="Y49" s="74">
        <v>1.9E-2</v>
      </c>
      <c r="Z49" s="239"/>
      <c r="AA49" s="240"/>
      <c r="AB49" s="52">
        <v>282</v>
      </c>
      <c r="AC49" s="41"/>
      <c r="AD49" s="166"/>
      <c r="AE49" s="74">
        <v>1500</v>
      </c>
    </row>
    <row r="50" spans="1:34" ht="14">
      <c r="A50" s="41" t="s">
        <v>34</v>
      </c>
      <c r="B50" s="50" t="s">
        <v>707</v>
      </c>
      <c r="C50" s="50" t="s">
        <v>1383</v>
      </c>
      <c r="D50" s="48" t="s">
        <v>827</v>
      </c>
      <c r="E50" s="50" t="s">
        <v>112</v>
      </c>
      <c r="G50" s="76" t="s">
        <v>746</v>
      </c>
      <c r="H50" s="50" t="s">
        <v>3762</v>
      </c>
      <c r="I50" s="49" t="s">
        <v>1</v>
      </c>
      <c r="J50" s="50" t="s">
        <v>3764</v>
      </c>
      <c r="K50" s="51">
        <v>41180</v>
      </c>
      <c r="L50" s="115">
        <v>41160</v>
      </c>
      <c r="N50" s="50" t="s">
        <v>2</v>
      </c>
      <c r="O50" s="74">
        <v>2</v>
      </c>
      <c r="P50" s="50">
        <v>5</v>
      </c>
      <c r="Q50" s="74">
        <v>8.36</v>
      </c>
      <c r="R50" s="50">
        <v>1048</v>
      </c>
      <c r="S50" s="74">
        <v>10520</v>
      </c>
      <c r="T50" s="50">
        <v>6.2</v>
      </c>
      <c r="U50" s="74">
        <v>4</v>
      </c>
      <c r="V50" s="50">
        <v>1.45</v>
      </c>
      <c r="W50" s="74">
        <v>0.52700000000000002</v>
      </c>
      <c r="X50" s="50">
        <v>0.45900000000000002</v>
      </c>
      <c r="Y50" s="74">
        <v>2.8000000000000001E-2</v>
      </c>
      <c r="Z50" s="239"/>
      <c r="AA50" s="240"/>
      <c r="AB50" s="52">
        <v>718</v>
      </c>
      <c r="AC50" s="41"/>
      <c r="AD50" s="166"/>
    </row>
    <row r="51" spans="1:34" ht="14">
      <c r="A51" s="41" t="s">
        <v>34</v>
      </c>
      <c r="B51" s="50" t="s">
        <v>707</v>
      </c>
      <c r="C51" s="50" t="s">
        <v>1383</v>
      </c>
      <c r="D51" s="48" t="s">
        <v>827</v>
      </c>
      <c r="E51" s="50" t="s">
        <v>3556</v>
      </c>
      <c r="G51" s="76" t="s">
        <v>746</v>
      </c>
      <c r="H51" s="50" t="s">
        <v>3762</v>
      </c>
      <c r="I51" s="49" t="s">
        <v>1</v>
      </c>
      <c r="J51" s="50" t="s">
        <v>3765</v>
      </c>
      <c r="K51" s="51">
        <v>41180</v>
      </c>
      <c r="L51" s="115">
        <v>41160</v>
      </c>
      <c r="N51" s="50" t="s">
        <v>2</v>
      </c>
      <c r="O51" s="74">
        <v>2.4</v>
      </c>
      <c r="P51" s="50">
        <v>5</v>
      </c>
      <c r="Q51" s="74">
        <v>7.99</v>
      </c>
      <c r="R51" s="50">
        <v>965</v>
      </c>
      <c r="S51" s="74">
        <v>7590</v>
      </c>
      <c r="T51" s="50">
        <v>5.99</v>
      </c>
      <c r="U51" s="74">
        <v>3.94</v>
      </c>
      <c r="V51" s="50">
        <v>1.69</v>
      </c>
      <c r="W51" s="74">
        <v>0.42499999999999999</v>
      </c>
      <c r="X51" s="50">
        <v>0.41099999999999998</v>
      </c>
      <c r="Y51" s="74">
        <v>3.5999999999999997E-2</v>
      </c>
      <c r="Z51" s="239"/>
      <c r="AA51" s="240"/>
      <c r="AB51" s="52">
        <v>615</v>
      </c>
      <c r="AC51" s="41"/>
      <c r="AD51" s="166"/>
    </row>
    <row r="52" spans="1:34" ht="14">
      <c r="A52" s="41" t="s">
        <v>34</v>
      </c>
      <c r="B52" s="50" t="s">
        <v>707</v>
      </c>
      <c r="C52" s="50" t="s">
        <v>1383</v>
      </c>
      <c r="D52" s="48" t="s">
        <v>827</v>
      </c>
      <c r="E52" s="50" t="s">
        <v>3556</v>
      </c>
      <c r="G52" s="76" t="s">
        <v>746</v>
      </c>
      <c r="H52" s="50" t="s">
        <v>3762</v>
      </c>
      <c r="I52" s="49" t="s">
        <v>2</v>
      </c>
      <c r="J52" s="50" t="s">
        <v>3767</v>
      </c>
      <c r="K52" s="51">
        <v>41180</v>
      </c>
      <c r="L52" s="115">
        <v>41160</v>
      </c>
      <c r="N52" s="50" t="s">
        <v>2</v>
      </c>
      <c r="O52" s="74">
        <v>1.6</v>
      </c>
      <c r="P52" s="50">
        <v>5</v>
      </c>
      <c r="Q52" s="74">
        <v>8.6</v>
      </c>
      <c r="R52" s="50">
        <v>22.2</v>
      </c>
      <c r="S52" s="74">
        <v>337</v>
      </c>
      <c r="T52" s="50">
        <v>0.37</v>
      </c>
      <c r="U52" s="74">
        <v>1.41</v>
      </c>
      <c r="V52" s="50">
        <v>0.57999999999999996</v>
      </c>
      <c r="W52" s="74">
        <v>3.5999999999999997E-2</v>
      </c>
      <c r="X52" s="50">
        <v>8.2000000000000003E-2</v>
      </c>
      <c r="Y52" s="74">
        <v>0.01</v>
      </c>
      <c r="Z52" s="239"/>
      <c r="AA52" s="240"/>
      <c r="AB52" s="52">
        <v>159.69999999999999</v>
      </c>
      <c r="AC52" s="41"/>
      <c r="AD52" s="166"/>
    </row>
    <row r="53" spans="1:34" ht="14">
      <c r="A53" s="41" t="s">
        <v>34</v>
      </c>
      <c r="B53" s="50" t="s">
        <v>707</v>
      </c>
      <c r="C53" s="50" t="s">
        <v>3768</v>
      </c>
      <c r="D53" s="48" t="s">
        <v>756</v>
      </c>
      <c r="E53" s="50" t="s">
        <v>757</v>
      </c>
      <c r="G53" s="76" t="s">
        <v>758</v>
      </c>
      <c r="H53" s="50" t="s">
        <v>3769</v>
      </c>
      <c r="I53" s="49" t="s">
        <v>1</v>
      </c>
      <c r="J53" s="50" t="s">
        <v>759</v>
      </c>
      <c r="K53" s="51">
        <v>41180</v>
      </c>
      <c r="L53" s="115">
        <v>41160</v>
      </c>
      <c r="N53" s="50" t="s">
        <v>2</v>
      </c>
      <c r="O53" s="74">
        <f>1/2</f>
        <v>0.5</v>
      </c>
      <c r="P53" s="50">
        <v>5</v>
      </c>
      <c r="Q53" s="74">
        <v>6.35</v>
      </c>
      <c r="R53" s="50">
        <v>35.299999999999997</v>
      </c>
      <c r="S53" s="74">
        <v>5</v>
      </c>
      <c r="T53" s="50">
        <v>0.09</v>
      </c>
      <c r="U53" s="74">
        <v>2.37</v>
      </c>
      <c r="V53" s="50">
        <f>0.1/2</f>
        <v>0.05</v>
      </c>
      <c r="W53" s="74">
        <v>5.0000000000000001E-3</v>
      </c>
      <c r="X53" s="50">
        <v>1.7000000000000001E-2</v>
      </c>
      <c r="Y53" s="74">
        <f>0.002/2</f>
        <v>1E-3</v>
      </c>
      <c r="Z53" s="239"/>
      <c r="AA53" s="240"/>
      <c r="AB53" s="52">
        <v>40.94</v>
      </c>
      <c r="AC53" s="41"/>
      <c r="AD53" s="166"/>
      <c r="AF53" s="402">
        <f>25/2</f>
        <v>12.5</v>
      </c>
      <c r="AG53" s="402">
        <v>4.55</v>
      </c>
    </row>
    <row r="54" spans="1:34" ht="14">
      <c r="A54" s="41" t="s">
        <v>34</v>
      </c>
      <c r="B54" s="50" t="s">
        <v>707</v>
      </c>
      <c r="C54" s="50" t="s">
        <v>3768</v>
      </c>
      <c r="D54" s="48" t="s">
        <v>756</v>
      </c>
      <c r="E54" s="50" t="s">
        <v>757</v>
      </c>
      <c r="G54" s="76" t="s">
        <v>758</v>
      </c>
      <c r="H54" s="50" t="s">
        <v>3769</v>
      </c>
      <c r="I54" s="49" t="s">
        <v>1</v>
      </c>
      <c r="J54" s="50" t="s">
        <v>760</v>
      </c>
      <c r="K54" s="51">
        <v>41180</v>
      </c>
      <c r="L54" s="115">
        <v>41160</v>
      </c>
      <c r="N54" s="50" t="s">
        <v>2</v>
      </c>
      <c r="O54" s="74">
        <f>1/2</f>
        <v>0.5</v>
      </c>
      <c r="P54" s="50">
        <v>5</v>
      </c>
      <c r="Q54" s="74">
        <v>7.09</v>
      </c>
      <c r="R54" s="50">
        <v>73.8</v>
      </c>
      <c r="S54" s="74">
        <v>1040</v>
      </c>
      <c r="T54" s="50">
        <v>0.87</v>
      </c>
      <c r="U54" s="74">
        <v>0.99</v>
      </c>
      <c r="V54" s="50">
        <v>0.35</v>
      </c>
      <c r="W54" s="74">
        <v>5.0999999999999997E-2</v>
      </c>
      <c r="X54" s="50">
        <v>0.107</v>
      </c>
      <c r="Y54" s="74">
        <v>7.0000000000000001E-3</v>
      </c>
      <c r="Z54" s="239"/>
      <c r="AA54" s="240"/>
      <c r="AB54" s="52">
        <v>80.16</v>
      </c>
      <c r="AC54" s="41"/>
      <c r="AD54" s="166"/>
      <c r="AF54" s="402">
        <v>11.4</v>
      </c>
      <c r="AG54" s="402">
        <v>12.14</v>
      </c>
    </row>
    <row r="55" spans="1:34" ht="14">
      <c r="A55" s="41" t="s">
        <v>34</v>
      </c>
      <c r="B55" s="50" t="s">
        <v>707</v>
      </c>
      <c r="C55" s="50" t="s">
        <v>3768</v>
      </c>
      <c r="D55" s="48" t="s">
        <v>756</v>
      </c>
      <c r="E55" s="50" t="s">
        <v>757</v>
      </c>
      <c r="G55" s="76" t="s">
        <v>758</v>
      </c>
      <c r="H55" s="50" t="s">
        <v>3769</v>
      </c>
      <c r="I55" s="49" t="s">
        <v>1</v>
      </c>
      <c r="J55" s="50" t="s">
        <v>761</v>
      </c>
      <c r="K55" s="51">
        <v>41180</v>
      </c>
      <c r="L55" s="115">
        <v>41160</v>
      </c>
      <c r="N55" s="50" t="s">
        <v>2</v>
      </c>
      <c r="O55" s="74">
        <f>1/2</f>
        <v>0.5</v>
      </c>
      <c r="P55" s="50">
        <v>5</v>
      </c>
      <c r="Q55" s="74">
        <v>6.09</v>
      </c>
      <c r="R55" s="50">
        <v>122.8</v>
      </c>
      <c r="S55" s="74">
        <v>230</v>
      </c>
      <c r="T55" s="50">
        <v>0.28999999999999998</v>
      </c>
      <c r="U55" s="74">
        <v>4.32</v>
      </c>
      <c r="V55" s="50">
        <v>0.44</v>
      </c>
      <c r="W55" s="74">
        <v>1.0999999999999999E-2</v>
      </c>
      <c r="X55" s="50">
        <v>8.3000000000000004E-2</v>
      </c>
      <c r="Y55" s="74">
        <v>5.0000000000000001E-3</v>
      </c>
      <c r="AB55" s="50">
        <v>29.7</v>
      </c>
      <c r="AF55" s="402">
        <v>16.399999999999999</v>
      </c>
      <c r="AG55" s="402">
        <v>7.79</v>
      </c>
    </row>
    <row r="56" spans="1:34" ht="14">
      <c r="A56" s="41" t="s">
        <v>34</v>
      </c>
      <c r="B56" s="50" t="s">
        <v>707</v>
      </c>
      <c r="C56" s="50" t="s">
        <v>3770</v>
      </c>
      <c r="D56" s="48" t="s">
        <v>89</v>
      </c>
      <c r="E56" s="50" t="s">
        <v>535</v>
      </c>
      <c r="G56" s="76" t="s">
        <v>793</v>
      </c>
      <c r="H56" s="50">
        <v>5039</v>
      </c>
      <c r="I56" s="49" t="s">
        <v>1</v>
      </c>
      <c r="J56" s="50" t="s">
        <v>796</v>
      </c>
      <c r="K56" s="51">
        <v>41201</v>
      </c>
      <c r="L56" s="115">
        <v>41197</v>
      </c>
      <c r="N56" s="50" t="s">
        <v>2</v>
      </c>
      <c r="O56" s="74">
        <v>2.4</v>
      </c>
      <c r="P56" s="50">
        <v>5</v>
      </c>
      <c r="Q56" s="74">
        <v>6.56</v>
      </c>
      <c r="R56" s="50">
        <v>22.2</v>
      </c>
      <c r="S56" s="74">
        <v>36</v>
      </c>
      <c r="T56" s="50">
        <v>0.15</v>
      </c>
      <c r="U56" s="74">
        <v>1.1100000000000001</v>
      </c>
      <c r="V56" s="50">
        <v>0.11</v>
      </c>
      <c r="W56" s="74">
        <v>1.2E-2</v>
      </c>
      <c r="X56" s="50">
        <v>0.106</v>
      </c>
      <c r="Y56" s="74">
        <v>3.0000000000000001E-3</v>
      </c>
      <c r="AB56" s="50">
        <v>41.08</v>
      </c>
      <c r="AE56" s="74">
        <v>1700</v>
      </c>
    </row>
    <row r="57" spans="1:34" ht="14">
      <c r="A57" s="41" t="s">
        <v>34</v>
      </c>
      <c r="B57" s="50" t="s">
        <v>707</v>
      </c>
      <c r="C57" s="50" t="s">
        <v>3770</v>
      </c>
      <c r="D57" s="48" t="s">
        <v>89</v>
      </c>
      <c r="E57" s="50" t="s">
        <v>535</v>
      </c>
      <c r="G57" s="76" t="s">
        <v>793</v>
      </c>
      <c r="H57" s="50">
        <v>5039</v>
      </c>
      <c r="I57" s="49" t="s">
        <v>1</v>
      </c>
      <c r="J57" s="50" t="s">
        <v>794</v>
      </c>
      <c r="K57" s="51">
        <v>41201</v>
      </c>
      <c r="L57" s="115">
        <v>41197</v>
      </c>
      <c r="N57" s="50" t="s">
        <v>2</v>
      </c>
      <c r="O57" s="74">
        <v>2.4</v>
      </c>
      <c r="P57" s="50">
        <v>5</v>
      </c>
      <c r="Q57" s="74">
        <v>7.25</v>
      </c>
      <c r="R57" s="50">
        <v>28.9</v>
      </c>
      <c r="S57" s="74">
        <v>274</v>
      </c>
      <c r="T57" s="50">
        <v>0.28999999999999998</v>
      </c>
      <c r="U57" s="74">
        <v>1.1599999999999999</v>
      </c>
      <c r="V57" s="50">
        <v>0.81</v>
      </c>
      <c r="W57" s="74">
        <v>1.7000000000000001E-2</v>
      </c>
      <c r="X57" s="50">
        <v>0.159</v>
      </c>
      <c r="Y57" s="74">
        <v>3.0000000000000001E-3</v>
      </c>
      <c r="AB57" s="50">
        <v>62.73</v>
      </c>
      <c r="AE57" s="74">
        <v>760</v>
      </c>
    </row>
    <row r="58" spans="1:34" ht="14">
      <c r="A58" s="41" t="s">
        <v>34</v>
      </c>
      <c r="B58" s="50" t="s">
        <v>63</v>
      </c>
      <c r="C58" s="50" t="s">
        <v>64</v>
      </c>
      <c r="D58" s="48" t="s">
        <v>588</v>
      </c>
      <c r="E58" s="50" t="s">
        <v>382</v>
      </c>
      <c r="G58" s="76" t="s">
        <v>65</v>
      </c>
      <c r="H58" s="50">
        <v>1442</v>
      </c>
      <c r="I58" s="49" t="s">
        <v>2</v>
      </c>
      <c r="J58" s="50" t="s">
        <v>66</v>
      </c>
      <c r="K58" s="51">
        <v>41205</v>
      </c>
      <c r="L58" s="115">
        <v>41199</v>
      </c>
      <c r="M58" s="50">
        <f>K58-L58</f>
        <v>6</v>
      </c>
      <c r="N58" s="50" t="s">
        <v>2</v>
      </c>
      <c r="O58" s="74">
        <f>5/2</f>
        <v>2.5</v>
      </c>
      <c r="P58" s="50">
        <v>6.2</v>
      </c>
      <c r="Q58" s="74">
        <v>6.44</v>
      </c>
      <c r="R58" s="50">
        <v>40</v>
      </c>
      <c r="S58" s="74">
        <v>24</v>
      </c>
      <c r="T58" s="50">
        <f>0.1/2</f>
        <v>0.05</v>
      </c>
      <c r="U58" s="74">
        <f>1/2</f>
        <v>0.5</v>
      </c>
      <c r="V58" s="50">
        <f>0.1/2</f>
        <v>0.05</v>
      </c>
      <c r="W58" s="74">
        <f>0.04/2</f>
        <v>0.02</v>
      </c>
      <c r="X58" s="50">
        <f>0.02/2</f>
        <v>0.01</v>
      </c>
      <c r="Y58" s="74">
        <f>0.013/2</f>
        <v>6.4999999999999997E-3</v>
      </c>
      <c r="Z58" s="164">
        <v>1</v>
      </c>
      <c r="AA58" s="165">
        <v>1</v>
      </c>
      <c r="AB58" s="50">
        <v>19</v>
      </c>
      <c r="AC58" s="74">
        <v>171</v>
      </c>
      <c r="AD58" s="164">
        <f>20/20</f>
        <v>1</v>
      </c>
    </row>
    <row r="59" spans="1:34" ht="14">
      <c r="A59" s="41" t="s">
        <v>34</v>
      </c>
      <c r="B59" s="50" t="s">
        <v>1634</v>
      </c>
      <c r="C59" s="50" t="s">
        <v>1635</v>
      </c>
      <c r="D59" s="48" t="s">
        <v>1633</v>
      </c>
      <c r="E59" s="50" t="s">
        <v>1104</v>
      </c>
      <c r="G59" s="76" t="s">
        <v>1636</v>
      </c>
      <c r="H59" s="50">
        <v>1422</v>
      </c>
      <c r="I59" s="49" t="s">
        <v>1</v>
      </c>
      <c r="J59" s="50" t="s">
        <v>1637</v>
      </c>
      <c r="K59" s="51">
        <v>41170</v>
      </c>
      <c r="L59" s="115">
        <v>41160</v>
      </c>
      <c r="N59" s="50" t="s">
        <v>2</v>
      </c>
      <c r="O59" s="74">
        <f>1.4/2</f>
        <v>0.7</v>
      </c>
      <c r="P59" s="50">
        <v>5.5</v>
      </c>
      <c r="Q59" s="74">
        <v>6.53</v>
      </c>
      <c r="R59" s="50">
        <v>13</v>
      </c>
      <c r="S59" s="74">
        <v>31</v>
      </c>
      <c r="T59" s="50">
        <v>0.03</v>
      </c>
      <c r="U59" s="74">
        <v>0.5</v>
      </c>
      <c r="V59" s="50">
        <v>0.44</v>
      </c>
      <c r="W59" s="74">
        <f>0.005/2</f>
        <v>2.5000000000000001E-3</v>
      </c>
      <c r="X59" s="50">
        <v>2.1000000000000001E-2</v>
      </c>
      <c r="Y59" s="74">
        <v>3.0000000000000001E-3</v>
      </c>
    </row>
    <row r="60" spans="1:34" ht="14">
      <c r="A60" s="41" t="s">
        <v>34</v>
      </c>
      <c r="B60" s="50" t="s">
        <v>1634</v>
      </c>
      <c r="C60" s="50" t="s">
        <v>1635</v>
      </c>
      <c r="D60" s="48" t="s">
        <v>1633</v>
      </c>
      <c r="E60" s="50" t="s">
        <v>1104</v>
      </c>
      <c r="G60" s="76" t="s">
        <v>1636</v>
      </c>
      <c r="H60" s="50">
        <v>1422</v>
      </c>
      <c r="I60" s="49" t="s">
        <v>1</v>
      </c>
      <c r="J60" s="50" t="s">
        <v>75</v>
      </c>
      <c r="K60" s="51">
        <v>41170</v>
      </c>
      <c r="L60" s="115">
        <v>41160</v>
      </c>
      <c r="N60" s="50" t="s">
        <v>2</v>
      </c>
      <c r="O60" s="74">
        <f>1.4/2</f>
        <v>0.7</v>
      </c>
      <c r="P60" s="50">
        <v>5.5</v>
      </c>
      <c r="Q60" s="74">
        <v>7.45</v>
      </c>
      <c r="R60" s="50">
        <v>24</v>
      </c>
      <c r="S60" s="74">
        <v>99</v>
      </c>
      <c r="T60" s="50">
        <v>0.04</v>
      </c>
      <c r="U60" s="74">
        <v>0.66</v>
      </c>
      <c r="V60" s="50">
        <v>0.83</v>
      </c>
      <c r="W60" s="74">
        <f>0.005/2</f>
        <v>2.5000000000000001E-3</v>
      </c>
      <c r="X60" s="50">
        <v>4.5999999999999999E-2</v>
      </c>
      <c r="Y60" s="74">
        <v>8.0000000000000002E-3</v>
      </c>
    </row>
    <row r="61" spans="1:34" ht="14">
      <c r="A61" s="41" t="s">
        <v>34</v>
      </c>
      <c r="B61" s="50" t="s">
        <v>1634</v>
      </c>
      <c r="C61" s="50" t="s">
        <v>1635</v>
      </c>
      <c r="D61" s="48" t="s">
        <v>1633</v>
      </c>
      <c r="E61" s="50" t="s">
        <v>1104</v>
      </c>
      <c r="G61" s="76" t="s">
        <v>1636</v>
      </c>
      <c r="H61" s="50">
        <v>1422</v>
      </c>
      <c r="I61" s="49" t="s">
        <v>1</v>
      </c>
      <c r="J61" s="50" t="s">
        <v>687</v>
      </c>
      <c r="K61" s="51">
        <v>41170</v>
      </c>
      <c r="L61" s="115">
        <v>41160</v>
      </c>
      <c r="N61" s="50" t="s">
        <v>2</v>
      </c>
      <c r="O61" s="74">
        <f>1.4/2</f>
        <v>0.7</v>
      </c>
      <c r="P61" s="50">
        <v>5.5</v>
      </c>
      <c r="Q61" s="74">
        <v>5.29</v>
      </c>
      <c r="R61" s="50">
        <v>28</v>
      </c>
      <c r="S61" s="74">
        <v>7</v>
      </c>
      <c r="T61" s="50">
        <v>0.08</v>
      </c>
      <c r="U61" s="74">
        <v>0.8</v>
      </c>
      <c r="V61" s="50">
        <v>0.15</v>
      </c>
      <c r="W61" s="74">
        <v>8.9999999999999993E-3</v>
      </c>
      <c r="X61" s="50">
        <v>8.9999999999999993E-3</v>
      </c>
      <c r="Y61" s="74">
        <v>4.0000000000000001E-3</v>
      </c>
      <c r="AH61" s="402">
        <f>0.53/2</f>
        <v>0.26500000000000001</v>
      </c>
    </row>
    <row r="62" spans="1:34" ht="14">
      <c r="A62" s="41" t="s">
        <v>34</v>
      </c>
      <c r="B62" s="50" t="s">
        <v>1634</v>
      </c>
      <c r="C62" s="50" t="s">
        <v>1640</v>
      </c>
      <c r="D62" s="48" t="s">
        <v>1633</v>
      </c>
      <c r="E62" s="50" t="s">
        <v>1104</v>
      </c>
      <c r="G62" s="76" t="s">
        <v>1641</v>
      </c>
      <c r="H62" s="50">
        <v>1422</v>
      </c>
      <c r="I62" s="49" t="s">
        <v>1</v>
      </c>
      <c r="J62" s="50" t="s">
        <v>1642</v>
      </c>
      <c r="K62" s="51">
        <v>41170</v>
      </c>
      <c r="L62" s="115">
        <v>41160</v>
      </c>
      <c r="N62" s="50" t="s">
        <v>2</v>
      </c>
      <c r="O62" s="74">
        <v>6.5</v>
      </c>
      <c r="P62" s="50">
        <v>5.5</v>
      </c>
      <c r="Q62" s="74">
        <v>7.57</v>
      </c>
      <c r="R62" s="50">
        <v>150</v>
      </c>
      <c r="S62" s="74">
        <v>850</v>
      </c>
      <c r="T62" s="50">
        <v>0.41</v>
      </c>
      <c r="U62" s="74">
        <v>1.26</v>
      </c>
      <c r="V62" s="50">
        <v>0.42</v>
      </c>
      <c r="W62" s="74">
        <v>2.3E-2</v>
      </c>
      <c r="X62" s="50">
        <v>0.223</v>
      </c>
      <c r="Y62" s="74">
        <v>2E-3</v>
      </c>
    </row>
    <row r="63" spans="1:34" ht="14">
      <c r="A63" s="41" t="s">
        <v>34</v>
      </c>
      <c r="B63" s="50" t="s">
        <v>1634</v>
      </c>
      <c r="C63" s="50" t="s">
        <v>1638</v>
      </c>
      <c r="D63" s="48" t="s">
        <v>1633</v>
      </c>
      <c r="E63" s="50" t="s">
        <v>1104</v>
      </c>
      <c r="G63" s="76" t="s">
        <v>1639</v>
      </c>
      <c r="H63" s="50">
        <v>1422</v>
      </c>
      <c r="I63" s="49" t="s">
        <v>1</v>
      </c>
      <c r="J63" s="50" t="s">
        <v>3778</v>
      </c>
      <c r="K63" s="51">
        <v>41170</v>
      </c>
      <c r="L63" s="115">
        <v>41160</v>
      </c>
      <c r="N63" s="50" t="s">
        <v>2</v>
      </c>
      <c r="O63" s="74">
        <f>1.4/2</f>
        <v>0.7</v>
      </c>
      <c r="P63" s="50">
        <v>5.5</v>
      </c>
      <c r="Q63" s="74">
        <v>7.56</v>
      </c>
      <c r="R63" s="50">
        <f>10/2</f>
        <v>5</v>
      </c>
      <c r="S63" s="74">
        <v>14</v>
      </c>
      <c r="T63" s="50">
        <v>0.03</v>
      </c>
      <c r="U63" s="74">
        <v>0.44</v>
      </c>
      <c r="V63" s="50">
        <v>0.11</v>
      </c>
      <c r="W63" s="74">
        <f>0.005/2</f>
        <v>2.5000000000000001E-3</v>
      </c>
      <c r="X63" s="50">
        <v>8.9999999999999993E-3</v>
      </c>
      <c r="Y63" s="74">
        <f>0.002/2</f>
        <v>1E-3</v>
      </c>
    </row>
    <row r="64" spans="1:34" ht="14">
      <c r="A64" s="41" t="s">
        <v>34</v>
      </c>
      <c r="B64" s="50" t="s">
        <v>3742</v>
      </c>
      <c r="C64" s="50" t="s">
        <v>3742</v>
      </c>
      <c r="D64" s="48" t="s">
        <v>861</v>
      </c>
      <c r="F64" s="50" t="s">
        <v>3743</v>
      </c>
      <c r="G64" s="76" t="s">
        <v>3744</v>
      </c>
      <c r="H64" s="50">
        <v>1429</v>
      </c>
      <c r="I64" s="49" t="s">
        <v>2</v>
      </c>
      <c r="J64" s="50" t="s">
        <v>510</v>
      </c>
      <c r="K64" s="51">
        <v>41226</v>
      </c>
      <c r="L64" s="115">
        <v>41220</v>
      </c>
      <c r="N64" s="50" t="s">
        <v>2</v>
      </c>
      <c r="O64" s="74">
        <f>1.4/2</f>
        <v>0.7</v>
      </c>
      <c r="P64" s="50">
        <v>6.5</v>
      </c>
      <c r="Q64" s="74">
        <v>7.01</v>
      </c>
      <c r="R64" s="50">
        <v>14</v>
      </c>
      <c r="S64" s="74">
        <f>5/2</f>
        <v>2.5</v>
      </c>
      <c r="T64" s="50">
        <f>0.01/2</f>
        <v>5.0000000000000001E-3</v>
      </c>
      <c r="U64" s="74">
        <v>0.31</v>
      </c>
      <c r="V64" s="50">
        <v>0.21</v>
      </c>
      <c r="W64" s="74">
        <f>0.005/2</f>
        <v>2.5000000000000001E-3</v>
      </c>
      <c r="X64" s="50">
        <v>3.7999999999999999E-2</v>
      </c>
      <c r="Y64" s="74">
        <f>0.002/2</f>
        <v>1E-3</v>
      </c>
    </row>
    <row r="65" spans="1:33" ht="14">
      <c r="A65" s="41" t="s">
        <v>34</v>
      </c>
      <c r="B65" s="50" t="s">
        <v>3771</v>
      </c>
      <c r="C65" s="50" t="s">
        <v>3771</v>
      </c>
      <c r="D65" s="48" t="s">
        <v>1160</v>
      </c>
      <c r="F65" s="50">
        <v>4703</v>
      </c>
      <c r="G65" s="76" t="s">
        <v>3772</v>
      </c>
      <c r="H65" s="50">
        <v>1429</v>
      </c>
      <c r="I65" s="49" t="s">
        <v>2</v>
      </c>
      <c r="J65" s="50" t="s">
        <v>510</v>
      </c>
      <c r="K65" s="51">
        <v>40935</v>
      </c>
      <c r="L65" s="115">
        <v>40931</v>
      </c>
      <c r="N65" s="50" t="s">
        <v>2</v>
      </c>
      <c r="O65" s="74">
        <v>1.9</v>
      </c>
      <c r="P65" s="50">
        <v>6.5</v>
      </c>
      <c r="Q65" s="74">
        <v>7.89</v>
      </c>
      <c r="R65" s="50">
        <v>37</v>
      </c>
      <c r="S65" s="74">
        <v>240</v>
      </c>
      <c r="T65" s="50">
        <v>0.42</v>
      </c>
      <c r="U65" s="74">
        <v>1.86</v>
      </c>
      <c r="V65" s="50">
        <v>1.26</v>
      </c>
      <c r="W65" s="74">
        <v>0.03</v>
      </c>
      <c r="X65" s="50">
        <v>4.9000000000000002E-2</v>
      </c>
      <c r="Y65" s="74">
        <v>1.9E-2</v>
      </c>
      <c r="Z65" s="164">
        <v>1</v>
      </c>
      <c r="AA65" s="165">
        <v>1</v>
      </c>
      <c r="AB65" s="50">
        <v>150</v>
      </c>
      <c r="AC65" s="74">
        <v>510</v>
      </c>
      <c r="AD65" s="164">
        <f>20/20</f>
        <v>1</v>
      </c>
    </row>
    <row r="66" spans="1:33" ht="14">
      <c r="A66" s="41" t="s">
        <v>34</v>
      </c>
      <c r="B66" s="50" t="s">
        <v>3773</v>
      </c>
      <c r="D66" s="48" t="s">
        <v>684</v>
      </c>
      <c r="E66" s="50" t="s">
        <v>322</v>
      </c>
      <c r="F66" s="50" t="s">
        <v>1911</v>
      </c>
      <c r="G66" s="76" t="s">
        <v>3774</v>
      </c>
      <c r="H66" s="50">
        <v>1442</v>
      </c>
      <c r="I66" s="49" t="s">
        <v>2</v>
      </c>
      <c r="J66" s="50" t="s">
        <v>3775</v>
      </c>
      <c r="K66" s="51">
        <v>40968</v>
      </c>
      <c r="L66" s="115">
        <v>40963</v>
      </c>
      <c r="N66" s="50" t="s">
        <v>2</v>
      </c>
      <c r="O66" s="74">
        <v>3.5</v>
      </c>
      <c r="P66" s="50">
        <v>7.3</v>
      </c>
      <c r="Q66" s="74">
        <v>7.2</v>
      </c>
      <c r="R66" s="50">
        <f>10/2</f>
        <v>5</v>
      </c>
      <c r="S66" s="74">
        <v>34</v>
      </c>
      <c r="T66" s="50">
        <v>0.05</v>
      </c>
      <c r="U66" s="74">
        <v>1.35</v>
      </c>
      <c r="V66" s="50">
        <v>2.14</v>
      </c>
      <c r="W66" s="74">
        <v>1.0999999999999999E-2</v>
      </c>
      <c r="X66" s="50">
        <f t="shared" ref="X66:Y68" si="2">0.03/2</f>
        <v>1.4999999999999999E-2</v>
      </c>
      <c r="Y66" s="74">
        <f t="shared" si="2"/>
        <v>1.4999999999999999E-2</v>
      </c>
      <c r="Z66" s="164">
        <v>1</v>
      </c>
      <c r="AA66" s="165">
        <v>1</v>
      </c>
      <c r="AB66" s="50">
        <v>17</v>
      </c>
      <c r="AC66" s="74">
        <v>190</v>
      </c>
      <c r="AD66" s="164">
        <f>18/20</f>
        <v>0.9</v>
      </c>
    </row>
    <row r="67" spans="1:33" ht="14">
      <c r="A67" s="41" t="s">
        <v>34</v>
      </c>
      <c r="B67" s="50" t="s">
        <v>3773</v>
      </c>
      <c r="D67" s="48" t="s">
        <v>684</v>
      </c>
      <c r="E67" s="50" t="s">
        <v>322</v>
      </c>
      <c r="F67" s="50" t="s">
        <v>1911</v>
      </c>
      <c r="G67" s="76" t="s">
        <v>3774</v>
      </c>
      <c r="H67" s="50">
        <v>1442</v>
      </c>
      <c r="I67" s="49" t="s">
        <v>2</v>
      </c>
      <c r="J67" s="50" t="s">
        <v>3776</v>
      </c>
      <c r="K67" s="51">
        <v>40968</v>
      </c>
      <c r="L67" s="115">
        <v>40963</v>
      </c>
      <c r="N67" s="50" t="s">
        <v>2</v>
      </c>
      <c r="O67" s="74">
        <v>3</v>
      </c>
      <c r="P67" s="50">
        <v>7.3</v>
      </c>
      <c r="Q67" s="74">
        <v>7</v>
      </c>
      <c r="R67" s="50">
        <v>39</v>
      </c>
      <c r="S67" s="74">
        <v>48</v>
      </c>
      <c r="T67" s="50">
        <v>0.1</v>
      </c>
      <c r="U67" s="74">
        <v>1.93</v>
      </c>
      <c r="V67" s="50">
        <v>2.5099999999999998</v>
      </c>
      <c r="W67" s="74">
        <v>1.2E-2</v>
      </c>
      <c r="X67" s="50">
        <f t="shared" si="2"/>
        <v>1.4999999999999999E-2</v>
      </c>
      <c r="Y67" s="74">
        <f t="shared" si="2"/>
        <v>1.4999999999999999E-2</v>
      </c>
      <c r="Z67" s="164">
        <v>1</v>
      </c>
      <c r="AA67" s="165">
        <v>1</v>
      </c>
      <c r="AB67" s="50">
        <v>33</v>
      </c>
      <c r="AC67" s="74">
        <v>121</v>
      </c>
      <c r="AD67" s="164">
        <f>20/20</f>
        <v>1</v>
      </c>
    </row>
    <row r="68" spans="1:33" ht="14">
      <c r="A68" s="41" t="s">
        <v>34</v>
      </c>
      <c r="B68" s="50" t="s">
        <v>3773</v>
      </c>
      <c r="D68" s="48" t="s">
        <v>684</v>
      </c>
      <c r="E68" s="50" t="s">
        <v>322</v>
      </c>
      <c r="F68" s="50" t="s">
        <v>1911</v>
      </c>
      <c r="G68" s="76" t="s">
        <v>3774</v>
      </c>
      <c r="H68" s="50">
        <v>1442</v>
      </c>
      <c r="I68" s="49" t="s">
        <v>2</v>
      </c>
      <c r="J68" s="50" t="s">
        <v>3777</v>
      </c>
      <c r="K68" s="51">
        <v>40968</v>
      </c>
      <c r="L68" s="115">
        <v>40963</v>
      </c>
      <c r="N68" s="50" t="s">
        <v>2</v>
      </c>
      <c r="O68" s="74">
        <v>2.2000000000000002</v>
      </c>
      <c r="P68" s="50">
        <v>7.3</v>
      </c>
      <c r="Q68" s="74">
        <v>6.9</v>
      </c>
      <c r="R68" s="50">
        <v>19</v>
      </c>
      <c r="S68" s="74">
        <v>13</v>
      </c>
      <c r="T68" s="50">
        <v>0.05</v>
      </c>
      <c r="U68" s="74">
        <v>0.85</v>
      </c>
      <c r="V68" s="50">
        <v>3.02</v>
      </c>
      <c r="W68" s="74">
        <v>0.108</v>
      </c>
      <c r="X68" s="50">
        <f t="shared" si="2"/>
        <v>1.4999999999999999E-2</v>
      </c>
      <c r="Y68" s="74">
        <f t="shared" si="2"/>
        <v>1.4999999999999999E-2</v>
      </c>
      <c r="Z68" s="164">
        <v>6.25E-2</v>
      </c>
      <c r="AA68" s="165">
        <v>6.25E-2</v>
      </c>
      <c r="AB68" s="50">
        <v>60</v>
      </c>
      <c r="AC68" s="74">
        <v>277</v>
      </c>
      <c r="AD68" s="164">
        <f>0/20</f>
        <v>0</v>
      </c>
    </row>
    <row r="69" spans="1:33" ht="14">
      <c r="A69" s="41" t="s">
        <v>34</v>
      </c>
      <c r="B69" s="50" t="s">
        <v>1634</v>
      </c>
      <c r="C69" s="50" t="s">
        <v>1635</v>
      </c>
      <c r="D69" s="48" t="s">
        <v>1633</v>
      </c>
      <c r="E69" s="50" t="s">
        <v>1104</v>
      </c>
      <c r="G69" s="76" t="s">
        <v>1636</v>
      </c>
      <c r="H69" s="50">
        <v>1422</v>
      </c>
      <c r="I69" s="49" t="s">
        <v>1</v>
      </c>
      <c r="J69" s="50" t="s">
        <v>1637</v>
      </c>
      <c r="K69" s="51">
        <v>41345</v>
      </c>
      <c r="L69" s="115">
        <v>41341</v>
      </c>
      <c r="N69" s="50" t="s">
        <v>2</v>
      </c>
      <c r="O69" s="74">
        <f>1.4/2</f>
        <v>0.7</v>
      </c>
      <c r="P69" s="50">
        <v>5.5</v>
      </c>
      <c r="Q69" s="74">
        <v>9.65</v>
      </c>
      <c r="R69" s="50">
        <f>10/2</f>
        <v>5</v>
      </c>
      <c r="S69" s="74">
        <v>7</v>
      </c>
      <c r="T69" s="50">
        <v>0.03</v>
      </c>
      <c r="U69" s="74">
        <v>2.96</v>
      </c>
      <c r="V69" s="50">
        <v>0.46</v>
      </c>
      <c r="W69" s="74">
        <f>0.005/2</f>
        <v>2.5000000000000001E-3</v>
      </c>
      <c r="X69" s="50">
        <v>4.0000000000000001E-3</v>
      </c>
      <c r="Y69" s="74">
        <f>0.002/2</f>
        <v>1E-3</v>
      </c>
      <c r="Z69" s="164">
        <v>1</v>
      </c>
      <c r="AA69" s="165">
        <v>0.48699999999999999</v>
      </c>
      <c r="AB69" s="50">
        <v>38</v>
      </c>
      <c r="AC69" s="74">
        <v>1425</v>
      </c>
      <c r="AD69" s="164">
        <f>7/20</f>
        <v>0.35</v>
      </c>
    </row>
    <row r="70" spans="1:33" ht="14">
      <c r="A70" s="41" t="s">
        <v>34</v>
      </c>
      <c r="B70" s="50" t="s">
        <v>1634</v>
      </c>
      <c r="C70" s="50" t="s">
        <v>1635</v>
      </c>
      <c r="D70" s="48" t="s">
        <v>1633</v>
      </c>
      <c r="E70" s="50" t="s">
        <v>1104</v>
      </c>
      <c r="G70" s="76" t="s">
        <v>1636</v>
      </c>
      <c r="H70" s="50">
        <v>1422</v>
      </c>
      <c r="I70" s="49" t="s">
        <v>1</v>
      </c>
      <c r="J70" s="50" t="s">
        <v>75</v>
      </c>
      <c r="K70" s="51">
        <v>41345</v>
      </c>
      <c r="L70" s="115">
        <v>41341</v>
      </c>
      <c r="N70" s="50" t="s">
        <v>2</v>
      </c>
      <c r="O70" s="74">
        <f>1.4/2</f>
        <v>0.7</v>
      </c>
      <c r="P70" s="50">
        <v>5.5</v>
      </c>
      <c r="Q70" s="74">
        <v>8.64</v>
      </c>
      <c r="R70" s="50">
        <f>10/2</f>
        <v>5</v>
      </c>
      <c r="S70" s="74">
        <v>12</v>
      </c>
      <c r="T70" s="50">
        <v>0.03</v>
      </c>
      <c r="U70" s="74">
        <v>0.39</v>
      </c>
      <c r="V70" s="50">
        <v>0.65</v>
      </c>
      <c r="W70" s="74">
        <f>0.005/2</f>
        <v>2.5000000000000001E-3</v>
      </c>
      <c r="X70" s="50">
        <v>5.0000000000000001E-3</v>
      </c>
      <c r="Y70" s="74">
        <f>0.002/2</f>
        <v>1E-3</v>
      </c>
      <c r="Z70" s="164">
        <v>1</v>
      </c>
      <c r="AA70" s="165">
        <v>1</v>
      </c>
      <c r="AB70" s="50">
        <v>290</v>
      </c>
      <c r="AC70" s="74">
        <v>944</v>
      </c>
      <c r="AD70" s="164">
        <f>18/20</f>
        <v>0.9</v>
      </c>
    </row>
    <row r="71" spans="1:33" ht="14">
      <c r="A71" s="41" t="s">
        <v>34</v>
      </c>
      <c r="B71" s="50" t="s">
        <v>1634</v>
      </c>
      <c r="C71" s="50" t="s">
        <v>1635</v>
      </c>
      <c r="D71" s="48" t="s">
        <v>1633</v>
      </c>
      <c r="E71" s="50" t="s">
        <v>1104</v>
      </c>
      <c r="G71" s="76" t="s">
        <v>1636</v>
      </c>
      <c r="H71" s="50">
        <v>1422</v>
      </c>
      <c r="I71" s="49" t="s">
        <v>1</v>
      </c>
      <c r="J71" s="50" t="s">
        <v>687</v>
      </c>
      <c r="K71" s="51">
        <v>41345</v>
      </c>
      <c r="L71" s="115">
        <v>41341</v>
      </c>
      <c r="N71" s="50" t="s">
        <v>2</v>
      </c>
      <c r="O71" s="74">
        <f>1.4/2</f>
        <v>0.7</v>
      </c>
      <c r="P71" s="50">
        <v>5.5</v>
      </c>
      <c r="Q71" s="74">
        <v>8.0399999999999991</v>
      </c>
      <c r="R71" s="50">
        <f>10/2</f>
        <v>5</v>
      </c>
      <c r="S71" s="74">
        <f>5/2</f>
        <v>2.5</v>
      </c>
      <c r="T71" s="50">
        <v>0.02</v>
      </c>
      <c r="U71" s="74">
        <v>0.37</v>
      </c>
      <c r="V71" s="50">
        <v>0.02</v>
      </c>
      <c r="W71" s="74">
        <f>0.005/2</f>
        <v>2.5000000000000001E-3</v>
      </c>
      <c r="X71" s="50">
        <f>0.002/2</f>
        <v>1E-3</v>
      </c>
      <c r="Y71" s="74">
        <f>0.002/2</f>
        <v>1E-3</v>
      </c>
      <c r="Z71" s="164">
        <v>1</v>
      </c>
      <c r="AA71" s="165">
        <v>1</v>
      </c>
      <c r="AB71" s="50">
        <v>268</v>
      </c>
      <c r="AC71" s="74">
        <v>546</v>
      </c>
      <c r="AD71" s="164">
        <f t="shared" ref="AD71:AD76" si="3">20/20</f>
        <v>1</v>
      </c>
    </row>
    <row r="72" spans="1:33" ht="14">
      <c r="A72" s="41" t="s">
        <v>34</v>
      </c>
      <c r="B72" s="50" t="s">
        <v>1634</v>
      </c>
      <c r="C72" s="50" t="s">
        <v>1640</v>
      </c>
      <c r="D72" s="48" t="s">
        <v>1633</v>
      </c>
      <c r="E72" s="50" t="s">
        <v>1104</v>
      </c>
      <c r="G72" s="76" t="s">
        <v>1641</v>
      </c>
      <c r="H72" s="50">
        <v>1422</v>
      </c>
      <c r="I72" s="49" t="s">
        <v>1</v>
      </c>
      <c r="J72" s="50" t="s">
        <v>1642</v>
      </c>
      <c r="K72" s="51">
        <v>41345</v>
      </c>
      <c r="L72" s="115">
        <v>41341</v>
      </c>
      <c r="N72" s="50" t="s">
        <v>2</v>
      </c>
      <c r="O72" s="74">
        <v>3.1</v>
      </c>
      <c r="P72" s="50">
        <v>5.5</v>
      </c>
      <c r="Q72" s="74">
        <v>8.52</v>
      </c>
      <c r="R72" s="50">
        <v>43</v>
      </c>
      <c r="S72" s="74">
        <v>460</v>
      </c>
      <c r="T72" s="50">
        <v>0.13</v>
      </c>
      <c r="U72" s="74">
        <v>0.78</v>
      </c>
      <c r="V72" s="50">
        <v>0.64</v>
      </c>
      <c r="W72" s="74">
        <v>1.4E-2</v>
      </c>
      <c r="X72" s="50">
        <v>0.114</v>
      </c>
      <c r="Y72" s="74">
        <v>5.0000000000000001E-3</v>
      </c>
      <c r="Z72" s="164">
        <v>1</v>
      </c>
      <c r="AA72" s="165">
        <v>1</v>
      </c>
      <c r="AB72" s="50">
        <v>84</v>
      </c>
      <c r="AC72" s="74">
        <v>976</v>
      </c>
      <c r="AD72" s="164">
        <f t="shared" si="3"/>
        <v>1</v>
      </c>
    </row>
    <row r="73" spans="1:33" ht="14">
      <c r="A73" s="41" t="s">
        <v>34</v>
      </c>
      <c r="B73" s="50" t="s">
        <v>1634</v>
      </c>
      <c r="C73" s="50" t="s">
        <v>1638</v>
      </c>
      <c r="D73" s="48" t="s">
        <v>1633</v>
      </c>
      <c r="E73" s="50" t="s">
        <v>1104</v>
      </c>
      <c r="G73" s="76" t="s">
        <v>1639</v>
      </c>
      <c r="H73" s="50">
        <v>1422</v>
      </c>
      <c r="I73" s="49" t="s">
        <v>1</v>
      </c>
      <c r="J73" s="50" t="s">
        <v>3778</v>
      </c>
      <c r="K73" s="51">
        <v>41345</v>
      </c>
      <c r="L73" s="115">
        <v>41341</v>
      </c>
      <c r="N73" s="50" t="s">
        <v>2</v>
      </c>
      <c r="O73" s="74">
        <f>1.4/2</f>
        <v>0.7</v>
      </c>
      <c r="P73" s="50">
        <v>5.5</v>
      </c>
      <c r="Q73" s="74">
        <v>8.34</v>
      </c>
      <c r="R73" s="50">
        <f>10/2</f>
        <v>5</v>
      </c>
      <c r="S73" s="74">
        <v>130</v>
      </c>
      <c r="T73" s="50">
        <v>0.12</v>
      </c>
      <c r="U73" s="74">
        <v>0.34</v>
      </c>
      <c r="V73" s="50">
        <v>0.1</v>
      </c>
      <c r="W73" s="74">
        <v>8.0000000000000002E-3</v>
      </c>
      <c r="X73" s="50">
        <v>3.1E-2</v>
      </c>
      <c r="Y73" s="74">
        <f>0.002/2</f>
        <v>1E-3</v>
      </c>
      <c r="Z73" s="164">
        <v>1</v>
      </c>
      <c r="AA73" s="165">
        <v>1</v>
      </c>
      <c r="AB73" s="50">
        <v>114</v>
      </c>
      <c r="AC73" s="74">
        <v>321</v>
      </c>
      <c r="AD73" s="164">
        <f t="shared" si="3"/>
        <v>1</v>
      </c>
    </row>
    <row r="74" spans="1:33" ht="14">
      <c r="A74" s="41" t="s">
        <v>34</v>
      </c>
      <c r="B74" s="50" t="s">
        <v>1634</v>
      </c>
      <c r="C74" s="50" t="s">
        <v>1638</v>
      </c>
      <c r="D74" s="48" t="s">
        <v>1633</v>
      </c>
      <c r="E74" s="50" t="s">
        <v>1104</v>
      </c>
      <c r="G74" s="76" t="s">
        <v>1639</v>
      </c>
      <c r="H74" s="50">
        <v>1422</v>
      </c>
      <c r="I74" s="49" t="s">
        <v>1</v>
      </c>
      <c r="J74" s="50" t="s">
        <v>3779</v>
      </c>
      <c r="K74" s="51">
        <v>41345</v>
      </c>
      <c r="L74" s="115">
        <v>41341</v>
      </c>
      <c r="N74" s="50" t="s">
        <v>2</v>
      </c>
      <c r="O74" s="74">
        <f>1.4/2</f>
        <v>0.7</v>
      </c>
      <c r="P74" s="50">
        <v>5.5</v>
      </c>
      <c r="Q74" s="74">
        <v>8.8000000000000007</v>
      </c>
      <c r="R74" s="50">
        <f>10/2</f>
        <v>5</v>
      </c>
      <c r="S74" s="74">
        <v>12</v>
      </c>
      <c r="T74" s="50">
        <v>0.06</v>
      </c>
      <c r="U74" s="74">
        <v>0.47</v>
      </c>
      <c r="V74" s="50">
        <v>0.11</v>
      </c>
      <c r="W74" s="74">
        <f>0.005/2</f>
        <v>2.5000000000000001E-3</v>
      </c>
      <c r="X74" s="50">
        <v>1.4E-2</v>
      </c>
      <c r="Y74" s="74">
        <f>0.002/2</f>
        <v>1E-3</v>
      </c>
      <c r="Z74" s="164">
        <v>1</v>
      </c>
      <c r="AA74" s="165">
        <v>1</v>
      </c>
      <c r="AB74" s="50">
        <v>56</v>
      </c>
      <c r="AC74" s="74">
        <v>133</v>
      </c>
      <c r="AD74" s="164">
        <f t="shared" si="3"/>
        <v>1</v>
      </c>
    </row>
    <row r="75" spans="1:33" ht="14">
      <c r="A75" s="41" t="s">
        <v>34</v>
      </c>
      <c r="B75" s="50" t="s">
        <v>63</v>
      </c>
      <c r="C75" s="50" t="s">
        <v>64</v>
      </c>
      <c r="D75" s="48" t="s">
        <v>588</v>
      </c>
      <c r="E75" s="50" t="s">
        <v>3185</v>
      </c>
      <c r="F75" s="50" t="s">
        <v>991</v>
      </c>
      <c r="G75" s="76" t="s">
        <v>65</v>
      </c>
      <c r="H75" s="50">
        <v>1442</v>
      </c>
      <c r="I75" s="49" t="s">
        <v>2</v>
      </c>
      <c r="J75" s="50" t="s">
        <v>66</v>
      </c>
      <c r="K75" s="51">
        <v>41407</v>
      </c>
      <c r="L75" s="115">
        <v>41406</v>
      </c>
      <c r="M75" s="50">
        <f>K75-L75</f>
        <v>1</v>
      </c>
      <c r="N75" s="50" t="s">
        <v>2</v>
      </c>
      <c r="O75" s="74">
        <f>5/2</f>
        <v>2.5</v>
      </c>
      <c r="P75" s="50">
        <v>5.8</v>
      </c>
      <c r="Q75" s="74">
        <v>7.03</v>
      </c>
      <c r="R75" s="50">
        <v>9.6999999999999993</v>
      </c>
      <c r="S75" s="74">
        <f>5/2</f>
        <v>2.5</v>
      </c>
      <c r="T75" s="50">
        <f>0.1/2</f>
        <v>0.05</v>
      </c>
      <c r="U75" s="74">
        <f>1/2</f>
        <v>0.5</v>
      </c>
      <c r="V75" s="50">
        <f>0.1/2</f>
        <v>0.05</v>
      </c>
      <c r="W75" s="74">
        <f>0.04/2</f>
        <v>0.02</v>
      </c>
      <c r="X75" s="50">
        <f>0.02/2</f>
        <v>0.01</v>
      </c>
      <c r="Y75" s="74">
        <f>0.013/2</f>
        <v>6.4999999999999997E-3</v>
      </c>
      <c r="Z75" s="164">
        <v>1</v>
      </c>
      <c r="AA75" s="165">
        <v>1</v>
      </c>
      <c r="AB75" s="50">
        <v>23</v>
      </c>
      <c r="AC75" s="74">
        <v>133</v>
      </c>
      <c r="AD75" s="164">
        <f t="shared" si="3"/>
        <v>1</v>
      </c>
    </row>
    <row r="76" spans="1:33" ht="14">
      <c r="A76" s="41" t="s">
        <v>34</v>
      </c>
      <c r="B76" s="50" t="s">
        <v>707</v>
      </c>
      <c r="C76" s="50" t="s">
        <v>3768</v>
      </c>
      <c r="D76" s="48" t="s">
        <v>756</v>
      </c>
      <c r="E76" s="50" t="s">
        <v>757</v>
      </c>
      <c r="G76" s="76" t="s">
        <v>758</v>
      </c>
      <c r="H76" s="50" t="s">
        <v>3769</v>
      </c>
      <c r="I76" s="49" t="s">
        <v>1</v>
      </c>
      <c r="J76" s="50" t="s">
        <v>759</v>
      </c>
      <c r="K76" s="51">
        <v>41345</v>
      </c>
      <c r="L76" s="115">
        <v>41341</v>
      </c>
      <c r="N76" s="50" t="s">
        <v>2</v>
      </c>
      <c r="O76" s="74">
        <f>1/2</f>
        <v>0.5</v>
      </c>
      <c r="P76" s="50">
        <v>6</v>
      </c>
      <c r="Q76" s="74">
        <v>6.99</v>
      </c>
      <c r="R76" s="50">
        <v>3.7</v>
      </c>
      <c r="S76" s="74">
        <v>22</v>
      </c>
      <c r="T76" s="50">
        <v>0.26</v>
      </c>
      <c r="U76" s="74">
        <v>0.56000000000000005</v>
      </c>
      <c r="V76" s="50">
        <v>0.2</v>
      </c>
      <c r="W76" s="74">
        <v>1.4999999999999999E-2</v>
      </c>
      <c r="X76" s="50">
        <v>0.02</v>
      </c>
      <c r="Y76" s="74">
        <f>0.002/2</f>
        <v>1E-3</v>
      </c>
      <c r="Z76" s="164">
        <v>1</v>
      </c>
      <c r="AA76" s="165">
        <v>1</v>
      </c>
      <c r="AB76" s="50">
        <v>27.34</v>
      </c>
      <c r="AC76" s="74">
        <v>67</v>
      </c>
      <c r="AD76" s="164">
        <f t="shared" si="3"/>
        <v>1</v>
      </c>
      <c r="AG76" s="402">
        <v>3.75</v>
      </c>
    </row>
    <row r="77" spans="1:33" ht="14">
      <c r="A77" s="41" t="s">
        <v>34</v>
      </c>
      <c r="B77" s="50" t="s">
        <v>707</v>
      </c>
      <c r="C77" s="50" t="s">
        <v>3768</v>
      </c>
      <c r="D77" s="48" t="s">
        <v>756</v>
      </c>
      <c r="E77" s="50" t="s">
        <v>757</v>
      </c>
      <c r="G77" s="76" t="s">
        <v>758</v>
      </c>
      <c r="H77" s="50" t="s">
        <v>3769</v>
      </c>
      <c r="I77" s="49" t="s">
        <v>1</v>
      </c>
      <c r="J77" s="50" t="s">
        <v>761</v>
      </c>
      <c r="K77" s="51">
        <v>41345</v>
      </c>
      <c r="L77" s="115">
        <v>41341</v>
      </c>
      <c r="N77" s="50" t="s">
        <v>2</v>
      </c>
      <c r="O77" s="74">
        <v>1.2</v>
      </c>
      <c r="P77" s="50">
        <v>6</v>
      </c>
      <c r="Q77" s="74">
        <v>7.23</v>
      </c>
      <c r="R77" s="50">
        <v>85.5</v>
      </c>
      <c r="S77" s="74">
        <v>374</v>
      </c>
      <c r="T77" s="50">
        <v>0.78</v>
      </c>
      <c r="U77" s="74">
        <v>1.2</v>
      </c>
      <c r="V77" s="50">
        <v>0.42</v>
      </c>
      <c r="W77" s="74">
        <v>2.7E-2</v>
      </c>
      <c r="X77" s="50">
        <v>9.1999999999999998E-2</v>
      </c>
      <c r="Y77" s="74">
        <v>6.0000000000000001E-3</v>
      </c>
      <c r="Z77" s="164">
        <v>1</v>
      </c>
      <c r="AA77" s="165">
        <v>1</v>
      </c>
      <c r="AB77" s="50">
        <v>30.46</v>
      </c>
      <c r="AC77" s="74">
        <v>47</v>
      </c>
      <c r="AD77" s="164">
        <f>18/20</f>
        <v>0.9</v>
      </c>
      <c r="AG77" s="402">
        <v>7.73</v>
      </c>
    </row>
    <row r="78" spans="1:33" ht="14">
      <c r="A78" s="41" t="s">
        <v>34</v>
      </c>
      <c r="B78" s="50" t="s">
        <v>707</v>
      </c>
      <c r="C78" s="50" t="s">
        <v>3855</v>
      </c>
      <c r="D78" s="48" t="s">
        <v>827</v>
      </c>
      <c r="E78" s="50" t="s">
        <v>3856</v>
      </c>
      <c r="G78" s="76" t="s">
        <v>708</v>
      </c>
      <c r="H78" s="50" t="s">
        <v>3857</v>
      </c>
      <c r="I78" s="49" t="s">
        <v>2</v>
      </c>
      <c r="J78" s="50" t="s">
        <v>709</v>
      </c>
      <c r="K78" s="51">
        <v>41376</v>
      </c>
      <c r="L78" s="115">
        <v>41364</v>
      </c>
      <c r="N78" s="50" t="s">
        <v>2</v>
      </c>
      <c r="O78" s="74">
        <f t="shared" ref="O78:O85" si="4">1/2</f>
        <v>0.5</v>
      </c>
      <c r="P78" s="50">
        <v>5</v>
      </c>
      <c r="Q78" s="74">
        <v>6.85</v>
      </c>
      <c r="R78" s="50">
        <v>7.5</v>
      </c>
      <c r="S78" s="74">
        <v>8</v>
      </c>
      <c r="T78" s="50">
        <v>7.0000000000000007E-2</v>
      </c>
      <c r="U78" s="74">
        <v>0.19</v>
      </c>
      <c r="V78" s="50">
        <f>0.1/2</f>
        <v>0.05</v>
      </c>
      <c r="W78" s="74">
        <v>8.0000000000000002E-3</v>
      </c>
      <c r="X78" s="50">
        <v>2.5999999999999999E-2</v>
      </c>
      <c r="Y78" s="74">
        <f>0.002/2</f>
        <v>1E-3</v>
      </c>
      <c r="Z78" s="164">
        <v>1</v>
      </c>
      <c r="AA78" s="165">
        <v>1</v>
      </c>
      <c r="AB78" s="50">
        <v>65.400000000000006</v>
      </c>
      <c r="AC78" s="74">
        <v>288</v>
      </c>
      <c r="AD78" s="164">
        <f>20/20</f>
        <v>1</v>
      </c>
    </row>
    <row r="79" spans="1:33" ht="14">
      <c r="A79" s="41" t="s">
        <v>34</v>
      </c>
      <c r="B79" s="50" t="s">
        <v>707</v>
      </c>
      <c r="C79" s="50" t="s">
        <v>3858</v>
      </c>
      <c r="D79" s="48" t="s">
        <v>290</v>
      </c>
      <c r="E79" s="50" t="s">
        <v>3859</v>
      </c>
      <c r="G79" s="76" t="s">
        <v>3860</v>
      </c>
      <c r="H79" s="50">
        <v>1422</v>
      </c>
      <c r="I79" s="49" t="s">
        <v>1</v>
      </c>
      <c r="J79" s="50" t="s">
        <v>3861</v>
      </c>
      <c r="K79" s="51">
        <v>41376</v>
      </c>
      <c r="L79" s="115">
        <v>41364</v>
      </c>
      <c r="N79" s="50" t="s">
        <v>2</v>
      </c>
      <c r="O79" s="74">
        <f t="shared" si="4"/>
        <v>0.5</v>
      </c>
      <c r="P79" s="50">
        <v>5</v>
      </c>
      <c r="Q79" s="74">
        <v>7.74</v>
      </c>
      <c r="R79" s="50">
        <v>3.7</v>
      </c>
      <c r="S79" s="74">
        <v>11</v>
      </c>
      <c r="T79" s="50">
        <v>0.06</v>
      </c>
      <c r="U79" s="74">
        <v>0.28999999999999998</v>
      </c>
      <c r="V79" s="50">
        <f>0.1/2</f>
        <v>0.05</v>
      </c>
      <c r="W79" s="74">
        <v>1.2E-2</v>
      </c>
      <c r="X79" s="50">
        <v>3.5000000000000003E-2</v>
      </c>
      <c r="Y79" s="74">
        <f>0.002/2</f>
        <v>1E-3</v>
      </c>
      <c r="Z79" s="164">
        <v>1</v>
      </c>
      <c r="AA79" s="165">
        <v>1</v>
      </c>
      <c r="AB79" s="50">
        <v>116</v>
      </c>
      <c r="AC79" s="74">
        <v>382</v>
      </c>
      <c r="AD79" s="164">
        <f>20/20</f>
        <v>1</v>
      </c>
    </row>
    <row r="80" spans="1:33" ht="14">
      <c r="A80" s="41" t="s">
        <v>34</v>
      </c>
      <c r="B80" s="50" t="s">
        <v>707</v>
      </c>
      <c r="C80" s="50" t="s">
        <v>1236</v>
      </c>
      <c r="D80" s="48" t="s">
        <v>111</v>
      </c>
      <c r="E80" s="50" t="s">
        <v>739</v>
      </c>
      <c r="G80" s="76" t="s">
        <v>740</v>
      </c>
      <c r="H80" s="50" t="s">
        <v>3862</v>
      </c>
      <c r="I80" s="49" t="s">
        <v>2</v>
      </c>
      <c r="J80" s="50" t="s">
        <v>3863</v>
      </c>
      <c r="K80" s="51">
        <v>41345</v>
      </c>
      <c r="L80" s="115">
        <v>41341</v>
      </c>
      <c r="N80" s="50" t="s">
        <v>2</v>
      </c>
      <c r="O80" s="74">
        <f t="shared" si="4"/>
        <v>0.5</v>
      </c>
      <c r="P80" s="50">
        <v>6</v>
      </c>
      <c r="Q80" s="74">
        <v>6.84</v>
      </c>
      <c r="R80" s="50">
        <f>1/2</f>
        <v>0.5</v>
      </c>
      <c r="S80" s="74">
        <f>1/2</f>
        <v>0.5</v>
      </c>
      <c r="T80" s="50">
        <v>3.8</v>
      </c>
      <c r="U80" s="74">
        <v>0.34</v>
      </c>
      <c r="V80" s="50">
        <v>0.13</v>
      </c>
      <c r="W80" s="74">
        <f>0.005/2</f>
        <v>2.5000000000000001E-3</v>
      </c>
      <c r="X80" s="50">
        <v>2.4E-2</v>
      </c>
      <c r="Y80" s="74">
        <f>0.002/2</f>
        <v>1E-3</v>
      </c>
      <c r="Z80" s="164">
        <v>1</v>
      </c>
      <c r="AA80" s="165">
        <v>1</v>
      </c>
      <c r="AB80" s="50">
        <v>53.6</v>
      </c>
      <c r="AC80" s="74">
        <v>277</v>
      </c>
      <c r="AD80" s="164">
        <f>20/20</f>
        <v>1</v>
      </c>
    </row>
    <row r="81" spans="1:47" ht="14">
      <c r="A81" s="41" t="s">
        <v>34</v>
      </c>
      <c r="B81" s="50" t="s">
        <v>707</v>
      </c>
      <c r="C81" s="50" t="s">
        <v>1236</v>
      </c>
      <c r="D81" s="48" t="s">
        <v>111</v>
      </c>
      <c r="E81" s="50" t="s">
        <v>739</v>
      </c>
      <c r="G81" s="76" t="s">
        <v>740</v>
      </c>
      <c r="H81" s="50" t="s">
        <v>3862</v>
      </c>
      <c r="I81" s="49" t="s">
        <v>2</v>
      </c>
      <c r="J81" s="50" t="s">
        <v>742</v>
      </c>
      <c r="K81" s="51">
        <v>41345</v>
      </c>
      <c r="L81" s="115">
        <v>41341</v>
      </c>
      <c r="N81" s="50" t="s">
        <v>2</v>
      </c>
      <c r="O81" s="74">
        <f t="shared" si="4"/>
        <v>0.5</v>
      </c>
      <c r="P81" s="50">
        <v>6</v>
      </c>
      <c r="Q81" s="74">
        <v>7.97</v>
      </c>
      <c r="R81" s="50">
        <f>1/2</f>
        <v>0.5</v>
      </c>
      <c r="S81" s="74">
        <v>17</v>
      </c>
      <c r="T81" s="50">
        <v>0.22</v>
      </c>
      <c r="U81" s="74">
        <v>0.3</v>
      </c>
      <c r="V81" s="50">
        <v>1.17</v>
      </c>
      <c r="W81" s="74">
        <v>5.0000000000000001E-3</v>
      </c>
      <c r="X81" s="50">
        <v>1.7999999999999999E-2</v>
      </c>
      <c r="Y81" s="74">
        <f>0.002/2</f>
        <v>1E-3</v>
      </c>
      <c r="Z81" s="164">
        <v>1</v>
      </c>
      <c r="AA81" s="165">
        <v>1</v>
      </c>
      <c r="AB81" s="50">
        <v>36.33</v>
      </c>
      <c r="AC81" s="74">
        <v>270</v>
      </c>
      <c r="AD81" s="164">
        <f>20/20</f>
        <v>1</v>
      </c>
    </row>
    <row r="82" spans="1:47" ht="14">
      <c r="A82" s="41" t="s">
        <v>34</v>
      </c>
      <c r="B82" s="50" t="s">
        <v>707</v>
      </c>
      <c r="C82" s="50" t="s">
        <v>1236</v>
      </c>
      <c r="D82" s="48" t="s">
        <v>111</v>
      </c>
      <c r="E82" s="50" t="s">
        <v>739</v>
      </c>
      <c r="G82" s="76" t="s">
        <v>740</v>
      </c>
      <c r="H82" s="50" t="s">
        <v>3862</v>
      </c>
      <c r="I82" s="49" t="s">
        <v>2</v>
      </c>
      <c r="J82" s="50" t="s">
        <v>744</v>
      </c>
      <c r="K82" s="51">
        <v>41345</v>
      </c>
      <c r="L82" s="115">
        <v>41341</v>
      </c>
      <c r="N82" s="50" t="s">
        <v>2</v>
      </c>
      <c r="O82" s="74">
        <f t="shared" si="4"/>
        <v>0.5</v>
      </c>
      <c r="P82" s="50">
        <v>6</v>
      </c>
      <c r="Q82" s="74">
        <v>7.06</v>
      </c>
      <c r="R82" s="50">
        <v>7.5</v>
      </c>
      <c r="S82" s="74">
        <v>5</v>
      </c>
      <c r="T82" s="50">
        <v>0.21</v>
      </c>
      <c r="U82" s="74">
        <v>0.26</v>
      </c>
      <c r="V82" s="50">
        <v>0.35</v>
      </c>
      <c r="W82" s="74">
        <f>0.005/2</f>
        <v>2.5000000000000001E-3</v>
      </c>
      <c r="X82" s="50">
        <v>2.5000000000000001E-2</v>
      </c>
      <c r="Y82" s="74">
        <f>0.002/2</f>
        <v>1E-3</v>
      </c>
      <c r="Z82" s="164">
        <v>1</v>
      </c>
      <c r="AA82" s="165">
        <v>1</v>
      </c>
      <c r="AB82" s="50">
        <v>26.48</v>
      </c>
      <c r="AC82" s="74">
        <v>50</v>
      </c>
      <c r="AD82" s="164">
        <f>20/20</f>
        <v>1</v>
      </c>
    </row>
    <row r="83" spans="1:47" ht="14">
      <c r="A83" s="185" t="s">
        <v>34</v>
      </c>
      <c r="B83" s="54" t="s">
        <v>707</v>
      </c>
      <c r="C83" s="54" t="s">
        <v>1383</v>
      </c>
      <c r="D83" s="56"/>
      <c r="E83" s="54" t="s">
        <v>776</v>
      </c>
      <c r="F83" s="54"/>
      <c r="G83" s="61" t="s">
        <v>777</v>
      </c>
      <c r="H83" s="54">
        <v>1429</v>
      </c>
      <c r="I83" s="55" t="s">
        <v>2</v>
      </c>
      <c r="J83" s="54" t="s">
        <v>3932</v>
      </c>
      <c r="K83" s="51">
        <v>41428</v>
      </c>
      <c r="L83" s="115">
        <v>41422</v>
      </c>
      <c r="N83" s="50" t="s">
        <v>2</v>
      </c>
      <c r="O83" s="74">
        <f t="shared" si="4"/>
        <v>0.5</v>
      </c>
      <c r="P83" s="117">
        <v>5</v>
      </c>
      <c r="Q83" s="131">
        <v>6.13</v>
      </c>
      <c r="R83" s="119">
        <v>15</v>
      </c>
      <c r="S83" s="147">
        <v>28</v>
      </c>
      <c r="T83" s="50">
        <v>0.16</v>
      </c>
      <c r="U83" s="74">
        <f>0.1/2</f>
        <v>0.05</v>
      </c>
      <c r="V83" s="50">
        <v>0.65</v>
      </c>
      <c r="W83" s="74">
        <v>7.0000000000000001E-3</v>
      </c>
      <c r="X83" s="50">
        <v>3.9E-2</v>
      </c>
      <c r="Y83" s="74">
        <v>5.0000000000000001E-3</v>
      </c>
      <c r="Z83" s="164">
        <v>1</v>
      </c>
      <c r="AA83" s="165">
        <v>1</v>
      </c>
      <c r="AB83" s="50">
        <v>119.6</v>
      </c>
      <c r="AC83" s="74">
        <v>279</v>
      </c>
      <c r="AD83" s="164">
        <v>1</v>
      </c>
    </row>
    <row r="84" spans="1:47" ht="14">
      <c r="A84" s="185" t="s">
        <v>34</v>
      </c>
      <c r="B84" s="54" t="s">
        <v>707</v>
      </c>
      <c r="C84" s="54" t="s">
        <v>1383</v>
      </c>
      <c r="D84" s="56"/>
      <c r="E84" s="54" t="s">
        <v>776</v>
      </c>
      <c r="F84" s="54"/>
      <c r="G84" s="61" t="s">
        <v>777</v>
      </c>
      <c r="H84" s="54">
        <v>1429</v>
      </c>
      <c r="I84" s="55" t="s">
        <v>2</v>
      </c>
      <c r="J84" s="54" t="s">
        <v>3933</v>
      </c>
      <c r="K84" s="51">
        <v>41428</v>
      </c>
      <c r="L84" s="115">
        <v>41422</v>
      </c>
      <c r="N84" s="50" t="s">
        <v>2</v>
      </c>
      <c r="O84" s="74">
        <f t="shared" si="4"/>
        <v>0.5</v>
      </c>
      <c r="P84" s="117">
        <v>5</v>
      </c>
      <c r="Q84" s="131">
        <v>7.35</v>
      </c>
      <c r="R84" s="119">
        <f>1/2</f>
        <v>0.5</v>
      </c>
      <c r="S84" s="147">
        <v>87</v>
      </c>
      <c r="T84" s="50">
        <v>0.11</v>
      </c>
      <c r="U84" s="74">
        <v>0.15</v>
      </c>
      <c r="V84" s="50">
        <v>0.73</v>
      </c>
      <c r="W84" s="74">
        <v>1.2E-2</v>
      </c>
      <c r="X84" s="50">
        <v>4.8000000000000001E-2</v>
      </c>
      <c r="Y84" s="74">
        <v>5.0000000000000001E-3</v>
      </c>
      <c r="Z84" s="164">
        <v>1</v>
      </c>
      <c r="AA84" s="165">
        <v>1</v>
      </c>
      <c r="AB84" s="50">
        <v>120</v>
      </c>
      <c r="AC84" s="74">
        <v>263</v>
      </c>
      <c r="AD84" s="164">
        <v>1</v>
      </c>
    </row>
    <row r="85" spans="1:47" ht="14">
      <c r="A85" s="53" t="s">
        <v>34</v>
      </c>
      <c r="B85" s="54" t="s">
        <v>707</v>
      </c>
      <c r="C85" s="54" t="s">
        <v>775</v>
      </c>
      <c r="D85" s="56" t="s">
        <v>200</v>
      </c>
      <c r="E85" s="54" t="s">
        <v>776</v>
      </c>
      <c r="F85" s="54"/>
      <c r="G85" s="61" t="s">
        <v>777</v>
      </c>
      <c r="H85" s="54">
        <v>1429</v>
      </c>
      <c r="I85" s="55" t="s">
        <v>2</v>
      </c>
      <c r="J85" s="54" t="s">
        <v>778</v>
      </c>
      <c r="K85" s="57">
        <v>40829</v>
      </c>
      <c r="L85" s="132">
        <v>40820</v>
      </c>
      <c r="M85" s="54">
        <v>9</v>
      </c>
      <c r="N85" s="54" t="s">
        <v>2</v>
      </c>
      <c r="O85" s="155">
        <f t="shared" si="4"/>
        <v>0.5</v>
      </c>
      <c r="P85" s="134">
        <v>5</v>
      </c>
      <c r="Q85" s="135">
        <v>7.54</v>
      </c>
      <c r="R85" s="136">
        <f>0.1/2</f>
        <v>0.05</v>
      </c>
      <c r="S85" s="137">
        <v>6</v>
      </c>
      <c r="T85" s="54">
        <f>0.05/2</f>
        <v>2.5000000000000001E-2</v>
      </c>
      <c r="U85" s="155">
        <v>3.32</v>
      </c>
      <c r="V85" s="54">
        <f>0.1/2</f>
        <v>0.05</v>
      </c>
      <c r="W85" s="155">
        <v>7.0000000000000001E-3</v>
      </c>
      <c r="X85" s="54">
        <v>2.1999999999999999E-2</v>
      </c>
      <c r="Y85" s="155">
        <f>0.002/2</f>
        <v>1E-3</v>
      </c>
      <c r="Z85" s="157">
        <v>1</v>
      </c>
      <c r="AA85" s="157">
        <v>1</v>
      </c>
      <c r="AB85" s="54">
        <v>125.8</v>
      </c>
      <c r="AC85" s="155">
        <v>214</v>
      </c>
      <c r="AD85" s="157">
        <v>1</v>
      </c>
      <c r="AF85" s="386">
        <f>25/2</f>
        <v>12.5</v>
      </c>
    </row>
    <row r="86" spans="1:47" ht="14">
      <c r="A86" s="53" t="s">
        <v>34</v>
      </c>
      <c r="B86" s="54" t="s">
        <v>707</v>
      </c>
      <c r="C86" s="54" t="s">
        <v>775</v>
      </c>
      <c r="D86" s="56" t="s">
        <v>200</v>
      </c>
      <c r="E86" s="54" t="s">
        <v>776</v>
      </c>
      <c r="F86" s="54"/>
      <c r="G86" s="61" t="s">
        <v>777</v>
      </c>
      <c r="H86" s="54">
        <v>1429</v>
      </c>
      <c r="I86" s="55" t="s">
        <v>2</v>
      </c>
      <c r="J86" s="54" t="s">
        <v>779</v>
      </c>
      <c r="K86" s="57">
        <v>40829</v>
      </c>
      <c r="L86" s="132">
        <v>40820</v>
      </c>
      <c r="M86" s="54">
        <v>9</v>
      </c>
      <c r="N86" s="54" t="s">
        <v>2</v>
      </c>
      <c r="O86" s="155">
        <v>2</v>
      </c>
      <c r="P86" s="134">
        <v>5</v>
      </c>
      <c r="Q86" s="135">
        <v>7.55</v>
      </c>
      <c r="R86" s="136">
        <v>25.6</v>
      </c>
      <c r="S86" s="137">
        <v>45</v>
      </c>
      <c r="T86" s="54">
        <f>0.05/2</f>
        <v>2.5000000000000001E-2</v>
      </c>
      <c r="U86" s="155">
        <v>2</v>
      </c>
      <c r="V86" s="54">
        <f>0.1/2</f>
        <v>0.05</v>
      </c>
      <c r="W86" s="155">
        <v>3.6999999999999998E-2</v>
      </c>
      <c r="X86" s="54">
        <v>0.107</v>
      </c>
      <c r="Y86" s="155">
        <v>1.2E-2</v>
      </c>
      <c r="Z86" s="157">
        <v>0.91700000000000004</v>
      </c>
      <c r="AA86" s="158">
        <v>0.72299999999999998</v>
      </c>
      <c r="AB86" s="54">
        <v>85.8</v>
      </c>
      <c r="AC86" s="155">
        <v>142</v>
      </c>
      <c r="AD86" s="157">
        <v>0.35</v>
      </c>
      <c r="AF86" s="386">
        <f>25/2</f>
        <v>12.5</v>
      </c>
    </row>
    <row r="87" spans="1:47" ht="14">
      <c r="A87" s="53" t="s">
        <v>34</v>
      </c>
      <c r="B87" s="54" t="s">
        <v>707</v>
      </c>
      <c r="C87" s="54" t="s">
        <v>775</v>
      </c>
      <c r="D87" s="56" t="s">
        <v>200</v>
      </c>
      <c r="E87" s="54" t="s">
        <v>776</v>
      </c>
      <c r="F87" s="54"/>
      <c r="G87" s="61" t="s">
        <v>777</v>
      </c>
      <c r="H87" s="54">
        <v>1429</v>
      </c>
      <c r="I87" s="55" t="s">
        <v>2</v>
      </c>
      <c r="J87" s="54" t="s">
        <v>780</v>
      </c>
      <c r="K87" s="57">
        <v>40829</v>
      </c>
      <c r="L87" s="132">
        <v>40820</v>
      </c>
      <c r="M87" s="54">
        <v>9</v>
      </c>
      <c r="N87" s="54" t="s">
        <v>2</v>
      </c>
      <c r="O87" s="155">
        <v>2.4</v>
      </c>
      <c r="P87" s="134">
        <v>5</v>
      </c>
      <c r="Q87" s="135">
        <v>7.61</v>
      </c>
      <c r="R87" s="136">
        <v>28.9</v>
      </c>
      <c r="S87" s="137">
        <v>44</v>
      </c>
      <c r="T87" s="54">
        <f>0.05/2</f>
        <v>2.5000000000000001E-2</v>
      </c>
      <c r="U87" s="155">
        <v>2.12</v>
      </c>
      <c r="V87" s="54">
        <f>0.1/2</f>
        <v>0.05</v>
      </c>
      <c r="W87" s="155">
        <v>0.03</v>
      </c>
      <c r="X87" s="54">
        <v>8.3000000000000004E-2</v>
      </c>
      <c r="Y87" s="155">
        <v>8.9999999999999993E-3</v>
      </c>
      <c r="Z87" s="157">
        <v>1</v>
      </c>
      <c r="AA87" s="158">
        <v>0.80800000000000005</v>
      </c>
      <c r="AB87" s="54">
        <v>87.6</v>
      </c>
      <c r="AC87" s="155">
        <v>140</v>
      </c>
      <c r="AD87" s="157">
        <v>0.45</v>
      </c>
      <c r="AF87" s="386">
        <f>25/2</f>
        <v>12.5</v>
      </c>
    </row>
    <row r="88" spans="1:47" ht="14">
      <c r="A88" s="41" t="s">
        <v>34</v>
      </c>
      <c r="B88" s="50" t="s">
        <v>707</v>
      </c>
      <c r="C88" s="50" t="s">
        <v>1236</v>
      </c>
      <c r="D88" s="48" t="s">
        <v>111</v>
      </c>
      <c r="E88" s="50" t="s">
        <v>739</v>
      </c>
      <c r="G88" s="76" t="s">
        <v>740</v>
      </c>
      <c r="H88" s="50" t="s">
        <v>3862</v>
      </c>
      <c r="I88" s="49" t="s">
        <v>2</v>
      </c>
      <c r="J88" s="50" t="s">
        <v>743</v>
      </c>
      <c r="K88" s="51">
        <v>41201</v>
      </c>
      <c r="L88" s="115">
        <v>41197</v>
      </c>
      <c r="N88" s="50" t="s">
        <v>2</v>
      </c>
      <c r="O88" s="74">
        <f>1/2</f>
        <v>0.5</v>
      </c>
      <c r="P88" s="50">
        <v>5</v>
      </c>
      <c r="Q88" s="74">
        <v>6.42</v>
      </c>
      <c r="R88" s="50">
        <f>1/2</f>
        <v>0.5</v>
      </c>
      <c r="S88" s="74">
        <f>1/2</f>
        <v>0.5</v>
      </c>
      <c r="T88" s="50">
        <v>0.08</v>
      </c>
      <c r="U88" s="74">
        <v>0.46</v>
      </c>
      <c r="V88" s="50">
        <v>1.19</v>
      </c>
      <c r="W88" s="74">
        <v>1.0999999999999999E-2</v>
      </c>
      <c r="X88" s="50">
        <v>1.2999999999999999E-2</v>
      </c>
      <c r="Y88" s="74">
        <f>0.002/2</f>
        <v>1E-3</v>
      </c>
      <c r="AB88" s="50">
        <v>50.18</v>
      </c>
    </row>
    <row r="89" spans="1:47" s="32" customFormat="1" ht="14">
      <c r="A89" s="25" t="s">
        <v>34</v>
      </c>
      <c r="B89" s="50" t="s">
        <v>707</v>
      </c>
      <c r="C89" s="50" t="s">
        <v>1236</v>
      </c>
      <c r="D89" s="48" t="s">
        <v>111</v>
      </c>
      <c r="E89" s="50" t="s">
        <v>739</v>
      </c>
      <c r="F89" s="50"/>
      <c r="G89" s="76" t="s">
        <v>740</v>
      </c>
      <c r="H89" s="50" t="s">
        <v>3862</v>
      </c>
      <c r="I89" s="49" t="s">
        <v>2</v>
      </c>
      <c r="J89" s="50" t="s">
        <v>744</v>
      </c>
      <c r="K89" s="51">
        <v>41201</v>
      </c>
      <c r="L89" s="115"/>
      <c r="M89" s="50"/>
      <c r="N89" s="50" t="s">
        <v>2</v>
      </c>
      <c r="O89" s="74">
        <v>2.4</v>
      </c>
      <c r="P89" s="50">
        <v>5</v>
      </c>
      <c r="Q89" s="74">
        <v>6.39</v>
      </c>
      <c r="R89" s="50">
        <v>7.5</v>
      </c>
      <c r="S89" s="74">
        <f>1/2</f>
        <v>0.5</v>
      </c>
      <c r="T89" s="50">
        <v>0.08</v>
      </c>
      <c r="U89" s="74">
        <v>0.94</v>
      </c>
      <c r="V89" s="50">
        <v>1.2</v>
      </c>
      <c r="W89" s="74">
        <v>5.0000000000000001E-3</v>
      </c>
      <c r="X89" s="50">
        <v>1.6E-2</v>
      </c>
      <c r="Y89" s="74">
        <f>0.002/2</f>
        <v>1E-3</v>
      </c>
      <c r="Z89" s="164"/>
      <c r="AA89" s="165"/>
      <c r="AB89" s="50">
        <v>52.5</v>
      </c>
      <c r="AC89" s="74"/>
      <c r="AD89" s="164"/>
      <c r="AE89" s="74"/>
      <c r="AF89" s="402"/>
      <c r="AG89" s="402"/>
      <c r="AH89" s="402"/>
      <c r="AI89" s="402"/>
      <c r="AJ89" s="74"/>
      <c r="AK89" s="74"/>
      <c r="AL89" s="74"/>
      <c r="AM89" s="74"/>
      <c r="AN89" s="74"/>
      <c r="AO89" s="74"/>
      <c r="AP89" s="74"/>
      <c r="AQ89" s="74"/>
      <c r="AR89" s="74"/>
      <c r="AS89" s="74"/>
      <c r="AT89" s="74"/>
      <c r="AU89" s="74"/>
    </row>
    <row r="90" spans="1:47" ht="14">
      <c r="A90" s="41" t="s">
        <v>34</v>
      </c>
      <c r="B90" s="50" t="s">
        <v>707</v>
      </c>
      <c r="C90" s="50" t="s">
        <v>1383</v>
      </c>
      <c r="D90" s="48" t="s">
        <v>200</v>
      </c>
      <c r="E90" s="50" t="s">
        <v>112</v>
      </c>
      <c r="G90" s="76" t="s">
        <v>746</v>
      </c>
      <c r="H90" s="50" t="s">
        <v>3762</v>
      </c>
      <c r="I90" s="49" t="s">
        <v>1</v>
      </c>
      <c r="J90" s="50" t="s">
        <v>3763</v>
      </c>
      <c r="K90" s="51">
        <v>41428</v>
      </c>
      <c r="L90" s="115">
        <v>41422</v>
      </c>
      <c r="N90" s="50" t="s">
        <v>2</v>
      </c>
      <c r="O90" s="74">
        <v>0.5</v>
      </c>
      <c r="P90" s="50">
        <v>5</v>
      </c>
      <c r="Q90" s="74">
        <v>7.55</v>
      </c>
      <c r="R90" s="50">
        <v>28.9</v>
      </c>
      <c r="S90" s="74">
        <v>123</v>
      </c>
      <c r="T90" s="50">
        <v>0.35</v>
      </c>
      <c r="U90" s="74">
        <v>1.91</v>
      </c>
      <c r="V90" s="50">
        <v>0.46</v>
      </c>
      <c r="W90" s="74">
        <v>1.4999999999999999E-2</v>
      </c>
      <c r="X90" s="50">
        <v>7.5999999999999998E-2</v>
      </c>
      <c r="Y90" s="74">
        <v>4.0000000000000001E-3</v>
      </c>
      <c r="Z90" s="164">
        <v>1</v>
      </c>
      <c r="AA90" s="269">
        <v>1</v>
      </c>
      <c r="AB90" s="50">
        <v>27.79</v>
      </c>
      <c r="AC90" s="74">
        <v>77</v>
      </c>
      <c r="AD90" s="164">
        <v>1</v>
      </c>
      <c r="AE90" s="74">
        <v>375</v>
      </c>
    </row>
    <row r="91" spans="1:47" ht="14">
      <c r="A91" s="41" t="s">
        <v>34</v>
      </c>
      <c r="B91" s="50" t="s">
        <v>707</v>
      </c>
      <c r="C91" s="50" t="s">
        <v>1383</v>
      </c>
      <c r="D91" s="48" t="s">
        <v>200</v>
      </c>
      <c r="E91" s="50" t="s">
        <v>112</v>
      </c>
      <c r="G91" s="76" t="s">
        <v>746</v>
      </c>
      <c r="H91" s="50" t="s">
        <v>3762</v>
      </c>
      <c r="I91" s="49" t="s">
        <v>2</v>
      </c>
      <c r="J91" s="50" t="s">
        <v>3765</v>
      </c>
      <c r="K91" s="51">
        <v>41428</v>
      </c>
      <c r="L91" s="115">
        <v>41422</v>
      </c>
      <c r="N91" s="50" t="s">
        <v>2</v>
      </c>
      <c r="O91" s="74">
        <v>2.4</v>
      </c>
      <c r="P91" s="50">
        <v>5</v>
      </c>
      <c r="Q91" s="74">
        <v>7.2</v>
      </c>
      <c r="R91" s="50">
        <v>41.4</v>
      </c>
      <c r="S91" s="74">
        <v>129</v>
      </c>
      <c r="T91" s="50">
        <v>0.42</v>
      </c>
      <c r="U91" s="74">
        <v>2.93</v>
      </c>
      <c r="V91" s="50">
        <v>0.45</v>
      </c>
      <c r="W91" s="74">
        <v>1.7000000000000001E-2</v>
      </c>
      <c r="X91" s="50">
        <v>9.1999999999999998E-2</v>
      </c>
      <c r="Y91" s="74">
        <v>6.0000000000000001E-3</v>
      </c>
      <c r="Z91" s="164">
        <v>1</v>
      </c>
      <c r="AA91" s="165">
        <v>1</v>
      </c>
      <c r="AB91" s="50">
        <v>32.119999999999997</v>
      </c>
      <c r="AC91" s="74">
        <v>88</v>
      </c>
      <c r="AD91" s="164">
        <v>1</v>
      </c>
    </row>
    <row r="92" spans="1:47" ht="14">
      <c r="A92" s="41" t="s">
        <v>34</v>
      </c>
      <c r="B92" s="50" t="s">
        <v>707</v>
      </c>
      <c r="C92" s="50" t="s">
        <v>1383</v>
      </c>
      <c r="D92" s="48" t="s">
        <v>200</v>
      </c>
      <c r="E92" s="50" t="s">
        <v>112</v>
      </c>
      <c r="G92" s="76" t="s">
        <v>746</v>
      </c>
      <c r="H92" s="50" t="s">
        <v>3762</v>
      </c>
      <c r="I92" s="49" t="s">
        <v>1</v>
      </c>
      <c r="J92" s="50" t="s">
        <v>3766</v>
      </c>
      <c r="K92" s="51">
        <v>41428</v>
      </c>
      <c r="L92" s="115">
        <v>41422</v>
      </c>
      <c r="N92" s="50" t="s">
        <v>2</v>
      </c>
      <c r="O92" s="74">
        <v>2.4</v>
      </c>
      <c r="P92" s="50">
        <v>5</v>
      </c>
      <c r="Q92" s="74">
        <v>7.39</v>
      </c>
      <c r="R92" s="50">
        <v>32.1</v>
      </c>
      <c r="S92" s="74">
        <v>103</v>
      </c>
      <c r="T92" s="50">
        <v>0.35</v>
      </c>
      <c r="U92" s="74">
        <v>2.16</v>
      </c>
      <c r="V92" s="50">
        <v>1.89</v>
      </c>
      <c r="W92" s="74">
        <v>1.4999999999999999E-2</v>
      </c>
      <c r="X92" s="50">
        <v>7.3999999999999996E-2</v>
      </c>
      <c r="Y92" s="74">
        <v>5.0000000000000001E-3</v>
      </c>
      <c r="Z92" s="164">
        <v>1</v>
      </c>
      <c r="AA92" s="165">
        <v>1</v>
      </c>
      <c r="AB92" s="50">
        <v>27.05</v>
      </c>
      <c r="AC92" s="74">
        <v>60</v>
      </c>
      <c r="AD92" s="164">
        <v>1</v>
      </c>
      <c r="AE92" s="74">
        <v>850</v>
      </c>
      <c r="AF92" s="402">
        <v>12.5</v>
      </c>
    </row>
    <row r="93" spans="1:47" ht="14">
      <c r="A93" s="41" t="s">
        <v>34</v>
      </c>
      <c r="B93" s="50" t="s">
        <v>707</v>
      </c>
      <c r="C93" s="50" t="s">
        <v>1383</v>
      </c>
      <c r="D93" s="48" t="s">
        <v>200</v>
      </c>
      <c r="E93" s="50" t="s">
        <v>112</v>
      </c>
      <c r="G93" s="76" t="s">
        <v>746</v>
      </c>
      <c r="H93" s="50" t="s">
        <v>3762</v>
      </c>
      <c r="I93" s="49" t="s">
        <v>2</v>
      </c>
      <c r="J93" s="50" t="s">
        <v>3767</v>
      </c>
      <c r="K93" s="51">
        <v>41428</v>
      </c>
      <c r="L93" s="115">
        <v>41422</v>
      </c>
      <c r="N93" s="50" t="s">
        <v>2</v>
      </c>
      <c r="O93" s="74">
        <v>0.5</v>
      </c>
      <c r="P93" s="50">
        <v>5</v>
      </c>
      <c r="Q93" s="74">
        <v>7.45</v>
      </c>
      <c r="R93" s="50">
        <v>0.5</v>
      </c>
      <c r="S93" s="74">
        <v>399</v>
      </c>
      <c r="T93" s="50">
        <v>0.69</v>
      </c>
      <c r="U93" s="74">
        <v>0.35</v>
      </c>
      <c r="V93" s="50">
        <v>0.8</v>
      </c>
      <c r="W93" s="74">
        <v>2.1000000000000001E-2</v>
      </c>
      <c r="X93" s="50">
        <v>3.7999999999999999E-2</v>
      </c>
      <c r="Y93" s="74">
        <v>7.0000000000000001E-3</v>
      </c>
      <c r="Z93" s="164">
        <v>1</v>
      </c>
      <c r="AA93" s="165">
        <v>1</v>
      </c>
      <c r="AB93" s="50">
        <v>58.34</v>
      </c>
      <c r="AC93" s="74">
        <v>99</v>
      </c>
      <c r="AD93" s="164">
        <v>1</v>
      </c>
    </row>
    <row r="94" spans="1:47" ht="14">
      <c r="A94" s="41" t="s">
        <v>34</v>
      </c>
      <c r="B94" s="50" t="s">
        <v>707</v>
      </c>
      <c r="C94" s="50" t="s">
        <v>3768</v>
      </c>
      <c r="D94" s="48" t="s">
        <v>756</v>
      </c>
      <c r="E94" s="50" t="s">
        <v>757</v>
      </c>
      <c r="G94" s="76" t="s">
        <v>758</v>
      </c>
      <c r="H94" s="50" t="s">
        <v>3769</v>
      </c>
      <c r="J94" s="50" t="s">
        <v>759</v>
      </c>
      <c r="K94" s="51">
        <v>41376</v>
      </c>
      <c r="L94" s="115">
        <v>41364</v>
      </c>
      <c r="N94" s="50" t="s">
        <v>2</v>
      </c>
      <c r="O94" s="74">
        <v>0.5</v>
      </c>
      <c r="P94" s="50">
        <v>6</v>
      </c>
      <c r="Q94" s="74">
        <v>6.62</v>
      </c>
      <c r="R94" s="50">
        <v>18.7</v>
      </c>
      <c r="S94" s="74">
        <v>22</v>
      </c>
      <c r="T94" s="50">
        <v>0.21</v>
      </c>
      <c r="U94" s="74">
        <v>0.23</v>
      </c>
      <c r="V94" s="50">
        <v>0.05</v>
      </c>
      <c r="W94" s="74">
        <v>2.5000000000000001E-3</v>
      </c>
      <c r="X94" s="50">
        <v>1.2999999999999999E-2</v>
      </c>
      <c r="Y94" s="74">
        <v>1E-3</v>
      </c>
      <c r="AB94" s="50">
        <v>21.7</v>
      </c>
      <c r="AG94" s="402">
        <v>2.61</v>
      </c>
    </row>
    <row r="95" spans="1:47" ht="14">
      <c r="A95" s="41" t="s">
        <v>34</v>
      </c>
      <c r="B95" s="50" t="s">
        <v>707</v>
      </c>
      <c r="C95" s="50" t="s">
        <v>3768</v>
      </c>
      <c r="D95" s="48" t="s">
        <v>756</v>
      </c>
      <c r="E95" s="50" t="s">
        <v>757</v>
      </c>
      <c r="G95" s="76" t="s">
        <v>758</v>
      </c>
      <c r="H95" s="50" t="s">
        <v>3769</v>
      </c>
      <c r="I95" s="49" t="s">
        <v>1</v>
      </c>
      <c r="J95" s="50" t="s">
        <v>761</v>
      </c>
      <c r="K95" s="51">
        <v>41376</v>
      </c>
      <c r="L95" s="115">
        <v>41364</v>
      </c>
      <c r="N95" s="50" t="s">
        <v>2</v>
      </c>
      <c r="O95" s="74">
        <v>0.5</v>
      </c>
      <c r="P95" s="50">
        <v>6</v>
      </c>
      <c r="Q95" s="74">
        <v>6.16</v>
      </c>
      <c r="R95" s="50">
        <v>55.8</v>
      </c>
      <c r="S95" s="74">
        <v>154</v>
      </c>
      <c r="T95" s="50">
        <v>0.22</v>
      </c>
      <c r="U95" s="74">
        <v>1.07</v>
      </c>
      <c r="V95" s="50">
        <v>0.05</v>
      </c>
      <c r="W95" s="74">
        <v>1.0999999999999999E-2</v>
      </c>
      <c r="X95" s="50">
        <v>6.4000000000000001E-2</v>
      </c>
      <c r="Y95" s="74">
        <v>2E-3</v>
      </c>
      <c r="AB95" s="50">
        <v>14.1</v>
      </c>
      <c r="AG95" s="402">
        <v>4.82</v>
      </c>
    </row>
    <row r="96" spans="1:47" ht="14">
      <c r="A96" s="41" t="s">
        <v>34</v>
      </c>
      <c r="B96" s="50" t="s">
        <v>707</v>
      </c>
      <c r="C96" s="50" t="s">
        <v>3843</v>
      </c>
      <c r="D96" s="48" t="s">
        <v>710</v>
      </c>
      <c r="E96" s="50" t="s">
        <v>711</v>
      </c>
      <c r="G96" s="76" t="s">
        <v>712</v>
      </c>
      <c r="H96" s="50">
        <v>2951</v>
      </c>
      <c r="I96" s="49" t="s">
        <v>2</v>
      </c>
      <c r="J96" s="50" t="s">
        <v>4047</v>
      </c>
      <c r="K96" s="51">
        <v>41428</v>
      </c>
      <c r="L96" s="115">
        <v>41422</v>
      </c>
      <c r="N96" s="50" t="s">
        <v>2</v>
      </c>
      <c r="O96" s="74">
        <v>0.5</v>
      </c>
      <c r="P96" s="50">
        <v>6</v>
      </c>
      <c r="Q96" s="74">
        <v>6.43</v>
      </c>
      <c r="R96" s="50">
        <v>0.5</v>
      </c>
      <c r="S96" s="74">
        <v>0.5</v>
      </c>
      <c r="T96" s="50">
        <v>0.13</v>
      </c>
      <c r="U96" s="74">
        <v>0.05</v>
      </c>
      <c r="V96" s="50">
        <v>0.14000000000000001</v>
      </c>
      <c r="W96" s="74">
        <v>2.5000000000000001E-3</v>
      </c>
      <c r="X96" s="50">
        <v>1.4999999999999999E-2</v>
      </c>
      <c r="Y96" s="74">
        <v>1E-3</v>
      </c>
      <c r="AB96" s="50">
        <v>31.76</v>
      </c>
    </row>
    <row r="97" spans="1:33" ht="14">
      <c r="A97" s="41" t="s">
        <v>34</v>
      </c>
      <c r="B97" s="50" t="s">
        <v>707</v>
      </c>
      <c r="C97" s="50" t="s">
        <v>3843</v>
      </c>
      <c r="D97" s="48" t="s">
        <v>710</v>
      </c>
      <c r="E97" s="50" t="s">
        <v>4046</v>
      </c>
      <c r="G97" s="76" t="s">
        <v>712</v>
      </c>
      <c r="H97" s="50">
        <v>2951</v>
      </c>
      <c r="I97" s="49" t="s">
        <v>2</v>
      </c>
      <c r="J97" s="50" t="s">
        <v>3845</v>
      </c>
      <c r="K97" s="51">
        <v>41428</v>
      </c>
      <c r="L97" s="115">
        <v>41422</v>
      </c>
      <c r="N97" s="50" t="s">
        <v>2</v>
      </c>
      <c r="O97" s="74">
        <v>0.5</v>
      </c>
      <c r="P97" s="50">
        <v>6</v>
      </c>
      <c r="Q97" s="74">
        <v>6.4</v>
      </c>
      <c r="R97" s="50">
        <v>0.5</v>
      </c>
      <c r="S97" s="74">
        <v>0.5</v>
      </c>
      <c r="T97" s="50">
        <v>0.14000000000000001</v>
      </c>
      <c r="U97" s="74">
        <v>0.5</v>
      </c>
      <c r="V97" s="50">
        <v>0.27</v>
      </c>
      <c r="W97" s="74">
        <v>5.0000000000000001E-3</v>
      </c>
      <c r="X97" s="50">
        <v>2.1000000000000001E-2</v>
      </c>
      <c r="Y97" s="74">
        <v>1E-3</v>
      </c>
      <c r="AB97" s="50">
        <v>32.32</v>
      </c>
    </row>
    <row r="98" spans="1:33" ht="14">
      <c r="A98" s="53" t="s">
        <v>34</v>
      </c>
      <c r="B98" s="50" t="s">
        <v>3742</v>
      </c>
      <c r="C98" s="50" t="s">
        <v>3742</v>
      </c>
      <c r="D98" s="48" t="s">
        <v>861</v>
      </c>
      <c r="F98" s="50" t="s">
        <v>3743</v>
      </c>
      <c r="G98" s="76" t="s">
        <v>3744</v>
      </c>
      <c r="H98" s="50">
        <v>1429</v>
      </c>
      <c r="I98" s="49" t="s">
        <v>2</v>
      </c>
      <c r="J98" s="50" t="s">
        <v>510</v>
      </c>
      <c r="K98" s="51">
        <v>41345</v>
      </c>
      <c r="L98" s="115">
        <v>41341</v>
      </c>
      <c r="N98" s="50" t="s">
        <v>2</v>
      </c>
      <c r="O98" s="74">
        <v>0.7</v>
      </c>
      <c r="P98" s="50">
        <v>6.5</v>
      </c>
      <c r="Q98" s="74">
        <v>6.54</v>
      </c>
      <c r="R98" s="50">
        <v>5</v>
      </c>
      <c r="S98" s="74">
        <v>2.5</v>
      </c>
      <c r="T98" s="50">
        <v>0.03</v>
      </c>
      <c r="U98" s="74">
        <v>0.32</v>
      </c>
      <c r="V98" s="50">
        <v>0.19</v>
      </c>
      <c r="W98" s="74">
        <v>2.5000000000000001E-3</v>
      </c>
      <c r="X98" s="50">
        <v>2.8000000000000001E-2</v>
      </c>
      <c r="Y98" s="74">
        <v>1E-3</v>
      </c>
      <c r="Z98" s="164">
        <v>1</v>
      </c>
      <c r="AA98" s="165">
        <v>1</v>
      </c>
      <c r="AB98" s="50">
        <v>16</v>
      </c>
      <c r="AC98" s="74">
        <v>119</v>
      </c>
      <c r="AD98" s="164">
        <v>0.95</v>
      </c>
    </row>
    <row r="99" spans="1:33" ht="14">
      <c r="A99" s="41" t="s">
        <v>34</v>
      </c>
      <c r="B99" s="50" t="s">
        <v>707</v>
      </c>
      <c r="C99" s="50" t="s">
        <v>1383</v>
      </c>
      <c r="D99" s="48" t="s">
        <v>200</v>
      </c>
      <c r="E99" s="50" t="s">
        <v>112</v>
      </c>
      <c r="G99" s="76" t="s">
        <v>746</v>
      </c>
      <c r="H99" s="50" t="s">
        <v>3762</v>
      </c>
      <c r="I99" s="49" t="s">
        <v>2</v>
      </c>
      <c r="J99" s="50" t="s">
        <v>3764</v>
      </c>
      <c r="K99" s="51">
        <v>41428</v>
      </c>
      <c r="L99" s="115">
        <v>41422</v>
      </c>
      <c r="N99" s="50" t="s">
        <v>2</v>
      </c>
      <c r="O99" s="74">
        <v>2.4</v>
      </c>
      <c r="P99" s="50">
        <v>5</v>
      </c>
      <c r="Q99" s="74">
        <v>6.24</v>
      </c>
      <c r="R99" s="50">
        <v>41.4</v>
      </c>
      <c r="S99" s="74">
        <v>0.5</v>
      </c>
      <c r="T99" s="50">
        <v>0.48</v>
      </c>
      <c r="U99" s="74">
        <v>3.03</v>
      </c>
      <c r="V99" s="50">
        <v>0.5</v>
      </c>
      <c r="W99" s="74">
        <v>0.02</v>
      </c>
      <c r="X99" s="50">
        <v>9.7000000000000003E-2</v>
      </c>
      <c r="Y99" s="74">
        <v>6.0000000000000001E-3</v>
      </c>
      <c r="Z99" s="164">
        <v>1</v>
      </c>
      <c r="AA99" s="165">
        <v>1</v>
      </c>
      <c r="AB99" s="50">
        <v>35.58</v>
      </c>
      <c r="AC99" s="74">
        <v>437</v>
      </c>
      <c r="AD99" s="164">
        <v>1</v>
      </c>
    </row>
    <row r="100" spans="1:33" ht="14">
      <c r="A100" s="41" t="s">
        <v>34</v>
      </c>
      <c r="B100" s="7" t="s">
        <v>1634</v>
      </c>
      <c r="C100" s="7" t="s">
        <v>1635</v>
      </c>
      <c r="D100" s="14" t="s">
        <v>1633</v>
      </c>
      <c r="E100" s="7" t="s">
        <v>1104</v>
      </c>
      <c r="F100" s="7"/>
      <c r="G100" s="15" t="s">
        <v>1636</v>
      </c>
      <c r="H100" s="7">
        <v>1422</v>
      </c>
      <c r="I100" s="19" t="s">
        <v>1</v>
      </c>
      <c r="J100" s="7" t="s">
        <v>1637</v>
      </c>
      <c r="K100" s="16">
        <v>41431</v>
      </c>
      <c r="L100" s="17">
        <v>41427</v>
      </c>
      <c r="M100" s="7"/>
      <c r="N100" s="7" t="s">
        <v>2</v>
      </c>
      <c r="O100" s="6">
        <v>0.7</v>
      </c>
      <c r="P100" s="7">
        <v>5.5</v>
      </c>
      <c r="Q100" s="6">
        <v>8.16</v>
      </c>
      <c r="R100" s="7">
        <v>17</v>
      </c>
      <c r="S100" s="6">
        <v>15</v>
      </c>
      <c r="T100" s="7">
        <v>0.04</v>
      </c>
      <c r="U100" s="6">
        <v>0.99</v>
      </c>
      <c r="V100" s="7">
        <v>1.82</v>
      </c>
      <c r="W100" s="6">
        <v>2.5000000000000001E-3</v>
      </c>
      <c r="X100" s="7">
        <v>7.0000000000000001E-3</v>
      </c>
      <c r="Y100" s="6">
        <v>1E-3</v>
      </c>
      <c r="Z100" s="12"/>
      <c r="AA100" s="13"/>
      <c r="AB100" s="7"/>
      <c r="AC100" s="6"/>
      <c r="AD100" s="12"/>
      <c r="AE100"/>
      <c r="AF100" s="5"/>
      <c r="AG100" s="5"/>
    </row>
    <row r="101" spans="1:33" ht="14">
      <c r="A101" s="41" t="s">
        <v>34</v>
      </c>
      <c r="B101" s="7" t="s">
        <v>1634</v>
      </c>
      <c r="C101" s="7" t="s">
        <v>1635</v>
      </c>
      <c r="D101" s="14" t="s">
        <v>1633</v>
      </c>
      <c r="E101" s="7" t="s">
        <v>1104</v>
      </c>
      <c r="F101" s="7"/>
      <c r="G101" s="15" t="s">
        <v>1636</v>
      </c>
      <c r="H101" s="7">
        <v>1422</v>
      </c>
      <c r="I101" s="19" t="s">
        <v>1</v>
      </c>
      <c r="J101" s="7" t="s">
        <v>75</v>
      </c>
      <c r="K101" s="16">
        <v>41431</v>
      </c>
      <c r="L101" s="17">
        <v>41427</v>
      </c>
      <c r="M101" s="7"/>
      <c r="N101" s="7" t="s">
        <v>2</v>
      </c>
      <c r="O101" s="6">
        <v>0.7</v>
      </c>
      <c r="P101" s="7">
        <v>5.5</v>
      </c>
      <c r="Q101" s="6">
        <v>7.41</v>
      </c>
      <c r="R101" s="7">
        <v>5</v>
      </c>
      <c r="S101" s="6">
        <v>2.5</v>
      </c>
      <c r="T101" s="7">
        <v>0.02</v>
      </c>
      <c r="U101" s="6">
        <v>0.32</v>
      </c>
      <c r="V101" s="7">
        <v>0.78</v>
      </c>
      <c r="W101" s="6">
        <v>2.5000000000000001E-3</v>
      </c>
      <c r="X101" s="7">
        <v>1E-3</v>
      </c>
      <c r="Y101" s="6">
        <v>1E-3</v>
      </c>
      <c r="Z101" s="12"/>
      <c r="AA101" s="13"/>
      <c r="AB101" s="7"/>
      <c r="AC101" s="6"/>
      <c r="AD101" s="12"/>
      <c r="AE101"/>
      <c r="AF101" s="5"/>
      <c r="AG101" s="5"/>
    </row>
    <row r="102" spans="1:33" ht="14">
      <c r="A102" s="41" t="s">
        <v>34</v>
      </c>
      <c r="B102" s="7" t="s">
        <v>1634</v>
      </c>
      <c r="C102" s="7" t="s">
        <v>1635</v>
      </c>
      <c r="D102" s="14" t="s">
        <v>1633</v>
      </c>
      <c r="E102" s="7" t="s">
        <v>1104</v>
      </c>
      <c r="F102" s="7"/>
      <c r="G102" s="15" t="s">
        <v>1636</v>
      </c>
      <c r="H102" s="7">
        <v>1422</v>
      </c>
      <c r="I102" s="19" t="s">
        <v>1</v>
      </c>
      <c r="J102" s="7" t="s">
        <v>687</v>
      </c>
      <c r="K102" s="16">
        <v>41431</v>
      </c>
      <c r="L102" s="17">
        <v>41427</v>
      </c>
      <c r="M102" s="7"/>
      <c r="N102" s="7" t="s">
        <v>2</v>
      </c>
      <c r="O102" s="6">
        <v>0.7</v>
      </c>
      <c r="P102" s="7">
        <v>5.5</v>
      </c>
      <c r="Q102" s="6">
        <v>7.41</v>
      </c>
      <c r="R102" s="7">
        <v>5</v>
      </c>
      <c r="S102" s="6">
        <v>2.5</v>
      </c>
      <c r="T102" s="7">
        <v>0.03</v>
      </c>
      <c r="U102" s="6">
        <v>0.95</v>
      </c>
      <c r="V102" s="7">
        <v>0.03</v>
      </c>
      <c r="W102" s="6">
        <v>2.5000000000000001E-3</v>
      </c>
      <c r="X102" s="7">
        <v>1E-3</v>
      </c>
      <c r="Y102" s="6">
        <v>1E-3</v>
      </c>
      <c r="Z102" s="12"/>
      <c r="AA102" s="13"/>
      <c r="AB102" s="7"/>
      <c r="AC102" s="6"/>
      <c r="AD102" s="12"/>
      <c r="AE102"/>
      <c r="AF102" s="5"/>
      <c r="AG102" s="5"/>
    </row>
    <row r="103" spans="1:33" ht="14">
      <c r="A103" s="25" t="s">
        <v>34</v>
      </c>
      <c r="B103" s="7" t="s">
        <v>1634</v>
      </c>
      <c r="C103" s="7" t="s">
        <v>1635</v>
      </c>
      <c r="D103" s="14" t="s">
        <v>1633</v>
      </c>
      <c r="E103" s="7" t="s">
        <v>1104</v>
      </c>
      <c r="F103" s="7"/>
      <c r="G103" s="15" t="s">
        <v>1641</v>
      </c>
      <c r="H103" s="7">
        <v>1422</v>
      </c>
      <c r="I103" s="19" t="s">
        <v>1</v>
      </c>
      <c r="J103" s="7" t="s">
        <v>1642</v>
      </c>
      <c r="K103" s="16">
        <v>41431</v>
      </c>
      <c r="L103" s="17">
        <v>41427</v>
      </c>
      <c r="M103" s="7"/>
      <c r="N103" s="7" t="s">
        <v>2</v>
      </c>
      <c r="O103" s="6">
        <v>4</v>
      </c>
      <c r="P103" s="7">
        <v>5.5</v>
      </c>
      <c r="Q103" s="6">
        <v>8.2200000000000006</v>
      </c>
      <c r="R103" s="7">
        <f>10/2</f>
        <v>5</v>
      </c>
      <c r="S103" s="6">
        <v>430</v>
      </c>
      <c r="T103" s="7">
        <v>0.55000000000000004</v>
      </c>
      <c r="U103" s="6">
        <v>9.68</v>
      </c>
      <c r="V103" s="7">
        <v>1.34</v>
      </c>
      <c r="W103" s="6">
        <v>1.9E-2</v>
      </c>
      <c r="X103" s="7">
        <v>0.108</v>
      </c>
      <c r="Y103" s="6">
        <v>4.0000000000000001E-3</v>
      </c>
      <c r="Z103" s="12"/>
      <c r="AA103" s="13"/>
      <c r="AB103" s="7"/>
      <c r="AC103" s="6"/>
      <c r="AD103" s="12"/>
      <c r="AE103"/>
      <c r="AF103" s="5"/>
      <c r="AG103" s="5"/>
    </row>
    <row r="104" spans="1:33" ht="14">
      <c r="A104" s="25" t="s">
        <v>34</v>
      </c>
      <c r="B104" s="7" t="s">
        <v>1634</v>
      </c>
      <c r="C104" s="7" t="s">
        <v>1635</v>
      </c>
      <c r="D104" s="14" t="s">
        <v>1633</v>
      </c>
      <c r="E104" s="7" t="s">
        <v>1104</v>
      </c>
      <c r="F104" s="7"/>
      <c r="G104" s="15" t="s">
        <v>1639</v>
      </c>
      <c r="H104" s="7">
        <v>1422</v>
      </c>
      <c r="I104" s="19" t="s">
        <v>1</v>
      </c>
      <c r="J104" s="7" t="s">
        <v>3778</v>
      </c>
      <c r="K104" s="16">
        <v>41431</v>
      </c>
      <c r="L104" s="17">
        <v>41427</v>
      </c>
      <c r="M104" s="7"/>
      <c r="N104" s="7" t="s">
        <v>2</v>
      </c>
      <c r="O104" s="6">
        <v>0.7</v>
      </c>
      <c r="P104" s="7">
        <v>5.5</v>
      </c>
      <c r="Q104" s="6">
        <v>8.06</v>
      </c>
      <c r="R104" s="7">
        <f>10/2</f>
        <v>5</v>
      </c>
      <c r="S104" s="6">
        <v>8.5</v>
      </c>
      <c r="T104" s="7">
        <v>0.03</v>
      </c>
      <c r="U104" s="6">
        <v>0.42</v>
      </c>
      <c r="V104" s="7">
        <v>0.03</v>
      </c>
      <c r="W104" s="6">
        <f>0.005/2</f>
        <v>2.5000000000000001E-3</v>
      </c>
      <c r="X104" s="7">
        <f>0.002/2</f>
        <v>1E-3</v>
      </c>
      <c r="Y104" s="6">
        <f>0.002/2</f>
        <v>1E-3</v>
      </c>
      <c r="Z104" s="12"/>
      <c r="AA104" s="13"/>
      <c r="AB104" s="7"/>
      <c r="AC104" s="6"/>
      <c r="AD104" s="12"/>
      <c r="AE104"/>
      <c r="AF104" s="5"/>
      <c r="AG104" s="5"/>
    </row>
    <row r="105" spans="1:33" ht="14">
      <c r="A105" s="25" t="s">
        <v>34</v>
      </c>
      <c r="B105" s="7" t="s">
        <v>1634</v>
      </c>
      <c r="C105" s="7" t="s">
        <v>1635</v>
      </c>
      <c r="D105" s="14" t="s">
        <v>1633</v>
      </c>
      <c r="E105" s="7" t="s">
        <v>1104</v>
      </c>
      <c r="F105" s="7"/>
      <c r="G105" s="15" t="s">
        <v>1639</v>
      </c>
      <c r="H105" s="7">
        <v>1422</v>
      </c>
      <c r="I105" s="19" t="s">
        <v>1</v>
      </c>
      <c r="J105" s="7" t="s">
        <v>3779</v>
      </c>
      <c r="K105" s="16">
        <v>41431</v>
      </c>
      <c r="L105" s="17">
        <v>41427</v>
      </c>
      <c r="M105" s="7"/>
      <c r="N105" s="7"/>
      <c r="O105" s="6">
        <v>0.7</v>
      </c>
      <c r="P105" s="7">
        <v>5.5</v>
      </c>
      <c r="Q105" s="6">
        <v>8.11</v>
      </c>
      <c r="R105" s="7">
        <f>10/2</f>
        <v>5</v>
      </c>
      <c r="S105" s="6">
        <f>5/2</f>
        <v>2.5</v>
      </c>
      <c r="T105" s="7">
        <v>0.04</v>
      </c>
      <c r="U105" s="6">
        <v>0.57999999999999996</v>
      </c>
      <c r="V105" s="7">
        <v>0.14000000000000001</v>
      </c>
      <c r="W105" s="6">
        <f>0.005/2</f>
        <v>2.5000000000000001E-3</v>
      </c>
      <c r="X105" s="7">
        <v>2E-3</v>
      </c>
      <c r="Y105" s="6">
        <f>0.002/2</f>
        <v>1E-3</v>
      </c>
      <c r="Z105" s="12"/>
      <c r="AA105" s="13"/>
      <c r="AB105" s="7"/>
      <c r="AC105" s="6"/>
      <c r="AD105" s="12"/>
      <c r="AE105"/>
      <c r="AF105" s="5"/>
      <c r="AG105" s="5"/>
    </row>
    <row r="106" spans="1:33" ht="14">
      <c r="A106" s="41" t="s">
        <v>34</v>
      </c>
      <c r="B106" s="7" t="s">
        <v>532</v>
      </c>
      <c r="C106" s="7" t="s">
        <v>594</v>
      </c>
      <c r="D106" s="14" t="s">
        <v>595</v>
      </c>
      <c r="E106" s="7" t="s">
        <v>235</v>
      </c>
      <c r="F106" s="7"/>
      <c r="G106" s="15" t="s">
        <v>596</v>
      </c>
      <c r="H106" s="7">
        <v>3281</v>
      </c>
      <c r="I106" s="19" t="s">
        <v>1</v>
      </c>
      <c r="J106" s="7" t="s">
        <v>366</v>
      </c>
      <c r="K106" s="16">
        <v>41402</v>
      </c>
      <c r="L106" s="17">
        <v>41384</v>
      </c>
      <c r="M106" s="7"/>
      <c r="N106" s="7" t="s">
        <v>2</v>
      </c>
      <c r="O106" s="6">
        <v>1</v>
      </c>
      <c r="P106" s="7">
        <v>5.7</v>
      </c>
      <c r="Q106" s="6">
        <v>6.9</v>
      </c>
      <c r="R106" s="7">
        <v>39</v>
      </c>
      <c r="S106" s="6">
        <v>182</v>
      </c>
      <c r="T106" s="7">
        <v>0.08</v>
      </c>
      <c r="U106" s="6">
        <v>0.57999999999999996</v>
      </c>
      <c r="V106" s="7">
        <v>0.25</v>
      </c>
      <c r="W106" s="6">
        <v>0.01</v>
      </c>
      <c r="X106" s="7">
        <v>7.0000000000000007E-2</v>
      </c>
      <c r="Y106" s="6">
        <v>2.1000000000000001E-2</v>
      </c>
      <c r="Z106" s="12">
        <v>1</v>
      </c>
      <c r="AA106" s="13">
        <v>1</v>
      </c>
      <c r="AB106" s="7">
        <v>88</v>
      </c>
      <c r="AC106" s="6">
        <v>180</v>
      </c>
      <c r="AD106" s="12">
        <v>1</v>
      </c>
      <c r="AE106">
        <v>2</v>
      </c>
      <c r="AF106" s="5"/>
      <c r="AG106" s="5"/>
    </row>
    <row r="107" spans="1:33" ht="14">
      <c r="A107" s="41" t="s">
        <v>34</v>
      </c>
      <c r="B107" s="50" t="s">
        <v>532</v>
      </c>
      <c r="C107" s="50" t="s">
        <v>663</v>
      </c>
      <c r="D107" s="48" t="s">
        <v>262</v>
      </c>
      <c r="E107" s="50" t="s">
        <v>1538</v>
      </c>
      <c r="G107" s="76" t="s">
        <v>665</v>
      </c>
      <c r="H107" s="50">
        <v>3281</v>
      </c>
      <c r="I107" s="49" t="s">
        <v>2</v>
      </c>
      <c r="J107" s="50" t="s">
        <v>510</v>
      </c>
      <c r="K107" s="51">
        <v>41044</v>
      </c>
      <c r="L107" s="115">
        <v>41039</v>
      </c>
      <c r="N107" s="50" t="s">
        <v>2</v>
      </c>
      <c r="O107" s="74">
        <f>5/2</f>
        <v>2.5</v>
      </c>
      <c r="P107" s="50">
        <v>6.8</v>
      </c>
      <c r="Q107" s="74">
        <v>7.56</v>
      </c>
      <c r="R107" s="50">
        <v>120</v>
      </c>
      <c r="S107" s="74">
        <v>390</v>
      </c>
      <c r="T107" s="50">
        <f>0.1/2</f>
        <v>0.05</v>
      </c>
      <c r="U107" s="74">
        <f>1/2</f>
        <v>0.5</v>
      </c>
      <c r="V107" s="50">
        <v>0.85</v>
      </c>
      <c r="W107" s="74">
        <v>4.9000000000000002E-2</v>
      </c>
      <c r="X107" s="50">
        <v>0.2</v>
      </c>
      <c r="Y107" s="74">
        <v>3.9E-2</v>
      </c>
    </row>
    <row r="108" spans="1:33" ht="14">
      <c r="A108" s="41" t="s">
        <v>34</v>
      </c>
      <c r="B108" s="50" t="s">
        <v>4592</v>
      </c>
      <c r="C108" s="50" t="s">
        <v>601</v>
      </c>
      <c r="D108" s="48" t="s">
        <v>389</v>
      </c>
      <c r="E108" s="50" t="s">
        <v>602</v>
      </c>
      <c r="G108" s="76" t="s">
        <v>603</v>
      </c>
      <c r="H108" s="50">
        <v>1429</v>
      </c>
      <c r="I108" s="49" t="s">
        <v>2</v>
      </c>
      <c r="J108" s="50" t="s">
        <v>366</v>
      </c>
      <c r="K108" s="51">
        <v>41508</v>
      </c>
      <c r="L108" s="115">
        <v>41495</v>
      </c>
      <c r="N108" s="50" t="s">
        <v>2</v>
      </c>
      <c r="O108" s="74">
        <f>1.7/2</f>
        <v>0.85</v>
      </c>
      <c r="P108" s="50">
        <v>5</v>
      </c>
      <c r="Q108" s="74">
        <v>5.46</v>
      </c>
      <c r="R108" s="50">
        <v>26</v>
      </c>
      <c r="S108" s="74">
        <v>22</v>
      </c>
      <c r="T108" s="50">
        <v>0.1</v>
      </c>
      <c r="U108" s="74">
        <v>0.91</v>
      </c>
      <c r="V108" s="50">
        <v>0.46</v>
      </c>
      <c r="W108" s="74">
        <v>0.05</v>
      </c>
      <c r="X108" s="50">
        <v>2.5999999999999999E-2</v>
      </c>
      <c r="Y108" s="74">
        <f>0.002/2</f>
        <v>1E-3</v>
      </c>
    </row>
    <row r="109" spans="1:33" ht="14">
      <c r="A109" s="41" t="s">
        <v>34</v>
      </c>
      <c r="B109" s="50" t="s">
        <v>4593</v>
      </c>
      <c r="C109" s="50" t="s">
        <v>4594</v>
      </c>
      <c r="D109" s="48" t="s">
        <v>2741</v>
      </c>
      <c r="E109" s="50" t="s">
        <v>4595</v>
      </c>
      <c r="G109" s="76" t="s">
        <v>4580</v>
      </c>
      <c r="H109" s="50" t="s">
        <v>4596</v>
      </c>
      <c r="I109" s="49" t="s">
        <v>1</v>
      </c>
      <c r="J109" s="50" t="s">
        <v>74</v>
      </c>
      <c r="K109" s="51">
        <v>41453</v>
      </c>
      <c r="L109" s="115">
        <v>41438</v>
      </c>
      <c r="N109" s="50" t="s">
        <v>2</v>
      </c>
      <c r="O109" s="74">
        <f>2/2</f>
        <v>1</v>
      </c>
      <c r="P109" s="50">
        <v>3.33</v>
      </c>
      <c r="Q109" s="74">
        <v>3.33</v>
      </c>
      <c r="R109" s="50">
        <f>10/2</f>
        <v>5</v>
      </c>
      <c r="S109" s="74">
        <v>2</v>
      </c>
      <c r="T109" s="50">
        <f>0.05/2</f>
        <v>2.5000000000000001E-2</v>
      </c>
      <c r="U109" s="74">
        <v>0.4</v>
      </c>
      <c r="V109" s="50">
        <v>0.28000000000000003</v>
      </c>
      <c r="W109" s="74">
        <v>7.9000000000000001E-2</v>
      </c>
      <c r="X109" s="50">
        <v>0.43</v>
      </c>
      <c r="Y109" s="74">
        <f>0.03/2</f>
        <v>1.4999999999999999E-2</v>
      </c>
      <c r="Z109" s="164">
        <v>6.25E-2</v>
      </c>
      <c r="AA109" s="165">
        <v>6.25E-2</v>
      </c>
      <c r="AB109" s="50">
        <v>228</v>
      </c>
      <c r="AC109" s="74">
        <v>889</v>
      </c>
      <c r="AD109" s="164">
        <v>0</v>
      </c>
    </row>
    <row r="110" spans="1:33" ht="14">
      <c r="A110" s="41" t="s">
        <v>34</v>
      </c>
      <c r="B110" s="50" t="s">
        <v>4593</v>
      </c>
      <c r="C110" s="50" t="s">
        <v>4581</v>
      </c>
      <c r="D110" s="48" t="s">
        <v>98</v>
      </c>
      <c r="E110" s="50" t="s">
        <v>1546</v>
      </c>
      <c r="F110" s="50" t="s">
        <v>4582</v>
      </c>
      <c r="G110" s="76" t="s">
        <v>4583</v>
      </c>
      <c r="H110" s="50" t="s">
        <v>4596</v>
      </c>
      <c r="J110" s="50" t="s">
        <v>74</v>
      </c>
      <c r="K110" s="51">
        <v>41453</v>
      </c>
      <c r="L110" s="115">
        <v>41438</v>
      </c>
      <c r="N110" s="50" t="s">
        <v>2</v>
      </c>
      <c r="O110" s="74">
        <f>2/2</f>
        <v>1</v>
      </c>
      <c r="Q110" s="74">
        <v>7.8</v>
      </c>
      <c r="R110" s="50">
        <f>10/2</f>
        <v>5</v>
      </c>
      <c r="S110" s="74">
        <v>4</v>
      </c>
      <c r="T110" s="50">
        <v>0.12</v>
      </c>
      <c r="U110" s="74">
        <v>0.4</v>
      </c>
      <c r="V110" s="50">
        <v>0.1</v>
      </c>
      <c r="W110" s="74">
        <f>0.01/2</f>
        <v>5.0000000000000001E-3</v>
      </c>
      <c r="X110" s="50">
        <f>0.03/2</f>
        <v>1.4999999999999999E-2</v>
      </c>
      <c r="Y110" s="74">
        <f>0.03/2</f>
        <v>1.4999999999999999E-2</v>
      </c>
      <c r="Z110" s="164">
        <v>1</v>
      </c>
      <c r="AA110" s="165">
        <v>1</v>
      </c>
      <c r="AB110" s="50">
        <v>34</v>
      </c>
      <c r="AC110" s="74">
        <v>152</v>
      </c>
      <c r="AD110" s="164">
        <v>1</v>
      </c>
    </row>
    <row r="111" spans="1:33" ht="14">
      <c r="A111" s="41" t="s">
        <v>34</v>
      </c>
      <c r="B111" s="50" t="s">
        <v>4593</v>
      </c>
      <c r="C111" s="50" t="s">
        <v>4581</v>
      </c>
      <c r="D111" s="48" t="s">
        <v>98</v>
      </c>
      <c r="E111" s="50" t="s">
        <v>1546</v>
      </c>
      <c r="F111" s="50" t="s">
        <v>4582</v>
      </c>
      <c r="G111" s="76" t="s">
        <v>4583</v>
      </c>
      <c r="H111" s="50" t="s">
        <v>4596</v>
      </c>
      <c r="J111" s="50" t="s">
        <v>687</v>
      </c>
      <c r="K111" s="51">
        <v>41453</v>
      </c>
      <c r="L111" s="115">
        <v>41438</v>
      </c>
      <c r="N111" s="50" t="s">
        <v>2</v>
      </c>
      <c r="O111" s="74">
        <f>2/2</f>
        <v>1</v>
      </c>
      <c r="Q111" s="74">
        <v>7.7</v>
      </c>
      <c r="R111" s="50">
        <f>10/2</f>
        <v>5</v>
      </c>
      <c r="S111" s="74">
        <v>43</v>
      </c>
      <c r="T111" s="50">
        <v>0.17</v>
      </c>
      <c r="U111" s="74">
        <v>0.46</v>
      </c>
      <c r="V111" s="50">
        <v>0.62</v>
      </c>
      <c r="W111" s="74">
        <v>1.2E-2</v>
      </c>
      <c r="X111" s="50">
        <f>0.03/2</f>
        <v>1.4999999999999999E-2</v>
      </c>
      <c r="Y111" s="74">
        <f>0.03/2</f>
        <v>1.4999999999999999E-2</v>
      </c>
      <c r="Z111" s="164">
        <v>1</v>
      </c>
      <c r="AA111" s="165">
        <v>1</v>
      </c>
      <c r="AB111" s="50">
        <v>190</v>
      </c>
      <c r="AC111" s="74">
        <v>530</v>
      </c>
      <c r="AD111" s="164">
        <v>0.55000000000000004</v>
      </c>
    </row>
    <row r="112" spans="1:33" ht="14">
      <c r="A112" s="41" t="s">
        <v>34</v>
      </c>
      <c r="B112" s="50" t="s">
        <v>707</v>
      </c>
      <c r="C112" s="74" t="s">
        <v>1383</v>
      </c>
      <c r="D112" s="48" t="s">
        <v>200</v>
      </c>
      <c r="E112" s="74" t="s">
        <v>4678</v>
      </c>
      <c r="G112" s="48" t="s">
        <v>746</v>
      </c>
      <c r="H112" s="74" t="s">
        <v>3762</v>
      </c>
      <c r="I112" s="50" t="s">
        <v>1</v>
      </c>
      <c r="J112" s="74" t="s">
        <v>3763</v>
      </c>
      <c r="K112" s="51">
        <v>41478</v>
      </c>
      <c r="L112" s="173">
        <v>41468</v>
      </c>
      <c r="M112" s="50">
        <f t="shared" ref="M112:M124" si="5">K112-L112</f>
        <v>10</v>
      </c>
      <c r="N112" s="50" t="s">
        <v>2</v>
      </c>
      <c r="O112" s="74">
        <v>4.4000000000000004</v>
      </c>
      <c r="P112" s="50">
        <v>7.6</v>
      </c>
      <c r="Q112" s="74">
        <v>8.15</v>
      </c>
      <c r="R112" s="50">
        <v>108</v>
      </c>
      <c r="S112" s="74">
        <v>1210</v>
      </c>
      <c r="T112" s="50">
        <v>1.59</v>
      </c>
      <c r="U112" s="74">
        <v>1.82</v>
      </c>
      <c r="V112" s="50">
        <v>0.6</v>
      </c>
      <c r="W112" s="74">
        <v>0.11700000000000001</v>
      </c>
      <c r="X112" s="50">
        <v>0.14599999999999999</v>
      </c>
      <c r="Y112" s="74">
        <v>0.01</v>
      </c>
    </row>
    <row r="113" spans="1:47" ht="14">
      <c r="A113" s="41" t="s">
        <v>34</v>
      </c>
      <c r="B113" s="50" t="s">
        <v>707</v>
      </c>
      <c r="C113" s="74" t="s">
        <v>1383</v>
      </c>
      <c r="D113" s="48" t="s">
        <v>200</v>
      </c>
      <c r="E113" s="74" t="s">
        <v>4678</v>
      </c>
      <c r="G113" s="48" t="s">
        <v>746</v>
      </c>
      <c r="H113" s="74" t="s">
        <v>3762</v>
      </c>
      <c r="I113" s="50"/>
      <c r="J113" s="74" t="s">
        <v>3764</v>
      </c>
      <c r="K113" s="51">
        <v>41478</v>
      </c>
      <c r="L113" s="173">
        <v>41468</v>
      </c>
      <c r="M113" s="50">
        <f t="shared" si="5"/>
        <v>10</v>
      </c>
      <c r="N113" s="50" t="s">
        <v>2</v>
      </c>
      <c r="O113" s="74">
        <v>9.1999999999999993</v>
      </c>
      <c r="P113" s="50">
        <v>9</v>
      </c>
      <c r="Q113" s="74">
        <v>8.6</v>
      </c>
      <c r="R113" s="50">
        <v>447</v>
      </c>
      <c r="S113" s="74">
        <v>2930</v>
      </c>
      <c r="T113" s="50">
        <v>4.58</v>
      </c>
      <c r="U113" s="74">
        <v>2.8</v>
      </c>
      <c r="V113" s="50">
        <v>0.61</v>
      </c>
      <c r="W113" s="74">
        <v>0.13100000000000001</v>
      </c>
      <c r="X113" s="50">
        <v>0.23200000000000001</v>
      </c>
      <c r="Y113" s="74">
        <v>5.0000000000000001E-3</v>
      </c>
    </row>
    <row r="114" spans="1:47" ht="14">
      <c r="A114" s="41" t="s">
        <v>34</v>
      </c>
      <c r="B114" s="50" t="s">
        <v>707</v>
      </c>
      <c r="C114" s="74" t="s">
        <v>1383</v>
      </c>
      <c r="D114" s="48" t="s">
        <v>200</v>
      </c>
      <c r="E114" s="74" t="s">
        <v>4678</v>
      </c>
      <c r="G114" s="48" t="s">
        <v>746</v>
      </c>
      <c r="H114" s="74" t="s">
        <v>3762</v>
      </c>
      <c r="I114" s="50"/>
      <c r="J114" s="74" t="s">
        <v>3765</v>
      </c>
      <c r="K114" s="51">
        <v>41478</v>
      </c>
      <c r="L114" s="173">
        <v>41468</v>
      </c>
      <c r="M114" s="50">
        <f t="shared" si="5"/>
        <v>10</v>
      </c>
      <c r="N114" s="50" t="s">
        <v>2</v>
      </c>
      <c r="O114" s="74">
        <v>12.4</v>
      </c>
      <c r="P114" s="50">
        <v>9</v>
      </c>
      <c r="Q114" s="74">
        <v>8.6199999999999992</v>
      </c>
      <c r="R114" s="50">
        <v>303</v>
      </c>
      <c r="S114" s="74">
        <v>4620</v>
      </c>
      <c r="T114" s="50">
        <v>4.67</v>
      </c>
      <c r="U114" s="74">
        <v>1.8</v>
      </c>
      <c r="V114" s="50">
        <v>0.82</v>
      </c>
      <c r="W114" s="74">
        <v>0.16700000000000001</v>
      </c>
      <c r="X114" s="50">
        <v>0.28999999999999998</v>
      </c>
      <c r="Y114" s="74">
        <v>8.9999999999999993E-3</v>
      </c>
    </row>
    <row r="115" spans="1:47" ht="14">
      <c r="A115" s="41" t="s">
        <v>34</v>
      </c>
      <c r="B115" s="50" t="s">
        <v>707</v>
      </c>
      <c r="C115" s="50" t="s">
        <v>1383</v>
      </c>
      <c r="D115" s="48" t="s">
        <v>200</v>
      </c>
      <c r="E115" s="74" t="s">
        <v>4678</v>
      </c>
      <c r="G115" s="48" t="s">
        <v>746</v>
      </c>
      <c r="H115" s="74" t="s">
        <v>3762</v>
      </c>
      <c r="I115" s="50"/>
      <c r="J115" s="74" t="s">
        <v>3767</v>
      </c>
      <c r="K115" s="51">
        <v>41478</v>
      </c>
      <c r="L115" s="173">
        <v>41468</v>
      </c>
      <c r="M115" s="50">
        <f t="shared" si="5"/>
        <v>10</v>
      </c>
      <c r="N115" s="50" t="s">
        <v>2</v>
      </c>
      <c r="O115" s="74">
        <v>3.6</v>
      </c>
      <c r="P115" s="50">
        <v>8.1999999999999993</v>
      </c>
      <c r="Q115" s="74">
        <v>7.4</v>
      </c>
      <c r="R115" s="50">
        <v>25.6</v>
      </c>
      <c r="S115" s="74">
        <v>85</v>
      </c>
      <c r="T115" s="50">
        <v>0.13</v>
      </c>
      <c r="U115" s="74">
        <v>0.94</v>
      </c>
      <c r="V115" s="50">
        <v>2.21</v>
      </c>
      <c r="W115" s="74">
        <v>1.2999999999999999E-2</v>
      </c>
      <c r="X115" s="50">
        <v>3.4000000000000002E-2</v>
      </c>
      <c r="Y115" s="74">
        <v>2E-3</v>
      </c>
    </row>
    <row r="116" spans="1:47" ht="14">
      <c r="A116" s="41" t="s">
        <v>34</v>
      </c>
      <c r="B116" s="50" t="s">
        <v>3773</v>
      </c>
      <c r="D116" s="48" t="s">
        <v>684</v>
      </c>
      <c r="E116" s="50" t="s">
        <v>322</v>
      </c>
      <c r="F116" s="50" t="s">
        <v>1911</v>
      </c>
      <c r="G116" s="76" t="s">
        <v>3774</v>
      </c>
      <c r="H116" s="50">
        <v>1442</v>
      </c>
      <c r="I116" s="49" t="s">
        <v>2</v>
      </c>
      <c r="J116" s="50" t="s">
        <v>3775</v>
      </c>
      <c r="K116" s="51">
        <v>41332</v>
      </c>
      <c r="L116" s="115">
        <v>41327</v>
      </c>
      <c r="M116" s="50">
        <f t="shared" si="5"/>
        <v>5</v>
      </c>
      <c r="N116" s="50" t="s">
        <v>2</v>
      </c>
      <c r="O116" s="74">
        <v>4.2</v>
      </c>
      <c r="P116" s="50">
        <v>9.4</v>
      </c>
      <c r="Q116" s="74">
        <v>9.5</v>
      </c>
      <c r="R116" s="50">
        <f>10/2</f>
        <v>5</v>
      </c>
      <c r="S116" s="74">
        <v>224</v>
      </c>
      <c r="T116" s="50">
        <v>0.3</v>
      </c>
      <c r="U116" s="74">
        <v>1.1599999999999999</v>
      </c>
      <c r="V116" s="50">
        <v>0.2</v>
      </c>
      <c r="W116" s="74">
        <v>4.2999999999999997E-2</v>
      </c>
      <c r="X116" s="50">
        <v>8.5999999999999993E-2</v>
      </c>
      <c r="Y116" s="74">
        <v>4.1000000000000002E-2</v>
      </c>
      <c r="Z116" s="164">
        <v>1</v>
      </c>
      <c r="AA116" s="165">
        <v>1</v>
      </c>
      <c r="AB116" s="50">
        <v>47</v>
      </c>
      <c r="AC116" s="74">
        <v>112</v>
      </c>
      <c r="AD116" s="164">
        <v>0.85</v>
      </c>
    </row>
    <row r="117" spans="1:47" ht="14">
      <c r="A117" s="41" t="s">
        <v>34</v>
      </c>
      <c r="B117" s="50" t="s">
        <v>3773</v>
      </c>
      <c r="D117" s="48" t="s">
        <v>684</v>
      </c>
      <c r="E117" s="50" t="s">
        <v>322</v>
      </c>
      <c r="F117" s="50" t="s">
        <v>1911</v>
      </c>
      <c r="G117" s="76" t="s">
        <v>3774</v>
      </c>
      <c r="H117" s="50">
        <v>1442</v>
      </c>
      <c r="I117" s="49" t="s">
        <v>2</v>
      </c>
      <c r="J117" s="50" t="s">
        <v>3776</v>
      </c>
      <c r="K117" s="51">
        <v>41332</v>
      </c>
      <c r="L117" s="115">
        <v>41327</v>
      </c>
      <c r="M117" s="50">
        <f t="shared" si="5"/>
        <v>5</v>
      </c>
      <c r="N117" s="50" t="s">
        <v>2</v>
      </c>
      <c r="O117" s="74">
        <f>2/2</f>
        <v>1</v>
      </c>
      <c r="P117" s="50">
        <v>9.4</v>
      </c>
      <c r="Q117" s="74">
        <v>7.4</v>
      </c>
      <c r="R117" s="50">
        <f>10/2</f>
        <v>5</v>
      </c>
      <c r="S117" s="74">
        <v>83</v>
      </c>
      <c r="T117" s="50">
        <v>0.05</v>
      </c>
      <c r="U117" s="74">
        <v>0.28999999999999998</v>
      </c>
      <c r="V117" s="50">
        <v>0.11</v>
      </c>
      <c r="W117" s="74">
        <v>1.9E-2</v>
      </c>
      <c r="X117" s="50">
        <v>3.1E-2</v>
      </c>
      <c r="Y117" s="74">
        <f>0.03/2</f>
        <v>1.4999999999999999E-2</v>
      </c>
      <c r="Z117" s="164">
        <v>1</v>
      </c>
      <c r="AA117" s="165">
        <v>1</v>
      </c>
      <c r="AB117" s="50">
        <v>14</v>
      </c>
      <c r="AC117" s="74">
        <v>22</v>
      </c>
      <c r="AD117" s="164">
        <v>0.95</v>
      </c>
    </row>
    <row r="118" spans="1:47" ht="14">
      <c r="A118" s="41" t="s">
        <v>34</v>
      </c>
      <c r="B118" s="50" t="s">
        <v>3773</v>
      </c>
      <c r="D118" s="48" t="s">
        <v>684</v>
      </c>
      <c r="E118" s="50" t="s">
        <v>322</v>
      </c>
      <c r="F118" s="50" t="s">
        <v>1911</v>
      </c>
      <c r="G118" s="76" t="s">
        <v>3774</v>
      </c>
      <c r="H118" s="50">
        <v>1442</v>
      </c>
      <c r="I118" s="49" t="s">
        <v>2</v>
      </c>
      <c r="J118" s="50" t="s">
        <v>3777</v>
      </c>
      <c r="K118" s="51">
        <v>41332</v>
      </c>
      <c r="L118" s="115">
        <v>41327</v>
      </c>
      <c r="M118" s="50">
        <f t="shared" si="5"/>
        <v>5</v>
      </c>
      <c r="N118" s="50" t="s">
        <v>2</v>
      </c>
      <c r="O118" s="74">
        <f>2/2</f>
        <v>1</v>
      </c>
      <c r="P118" s="50">
        <v>9.4</v>
      </c>
      <c r="Q118" s="74">
        <v>7.4</v>
      </c>
      <c r="R118" s="50">
        <f>10/2</f>
        <v>5</v>
      </c>
      <c r="S118" s="74">
        <v>5</v>
      </c>
      <c r="T118" s="50">
        <v>0.13</v>
      </c>
      <c r="U118" s="74">
        <v>0.4</v>
      </c>
      <c r="V118" s="50">
        <v>0.15</v>
      </c>
      <c r="W118" s="74">
        <v>0.01</v>
      </c>
      <c r="X118" s="50">
        <f>0.03/2</f>
        <v>1.4999999999999999E-2</v>
      </c>
      <c r="Y118" s="74">
        <f>0.03/2</f>
        <v>1.4999999999999999E-2</v>
      </c>
      <c r="Z118" s="164">
        <v>1</v>
      </c>
      <c r="AA118" s="165">
        <v>1</v>
      </c>
      <c r="AB118" s="50">
        <v>11</v>
      </c>
      <c r="AC118" s="74">
        <v>149</v>
      </c>
      <c r="AD118" s="164">
        <v>0.5</v>
      </c>
    </row>
    <row r="119" spans="1:47" ht="14">
      <c r="A119" s="41" t="s">
        <v>34</v>
      </c>
      <c r="B119" s="54" t="s">
        <v>707</v>
      </c>
      <c r="C119" s="54" t="s">
        <v>768</v>
      </c>
      <c r="D119" s="56" t="s">
        <v>78</v>
      </c>
      <c r="E119" s="54" t="s">
        <v>769</v>
      </c>
      <c r="F119" s="54"/>
      <c r="G119" s="61" t="s">
        <v>770</v>
      </c>
      <c r="H119" s="54">
        <v>4463</v>
      </c>
      <c r="I119" s="55" t="s">
        <v>1</v>
      </c>
      <c r="J119" s="54" t="s">
        <v>771</v>
      </c>
      <c r="K119" s="51">
        <v>41345</v>
      </c>
      <c r="L119" s="115">
        <v>41341</v>
      </c>
      <c r="M119" s="50">
        <f t="shared" si="5"/>
        <v>4</v>
      </c>
      <c r="N119" s="50" t="s">
        <v>2</v>
      </c>
      <c r="O119" s="74">
        <f>1/2</f>
        <v>0.5</v>
      </c>
      <c r="P119" s="50">
        <v>6</v>
      </c>
      <c r="Q119" s="74">
        <v>7.32</v>
      </c>
      <c r="R119" s="50">
        <v>18.7</v>
      </c>
      <c r="S119" s="74">
        <v>184</v>
      </c>
      <c r="T119" s="50">
        <v>0.44</v>
      </c>
      <c r="U119" s="74">
        <v>0.78</v>
      </c>
      <c r="V119" s="50">
        <v>0.44</v>
      </c>
      <c r="W119" s="74">
        <v>0.02</v>
      </c>
      <c r="X119" s="50">
        <v>0.124</v>
      </c>
      <c r="Y119" s="74">
        <v>4.0000000000000001E-3</v>
      </c>
      <c r="Z119" s="164">
        <v>1</v>
      </c>
      <c r="AA119" s="165">
        <v>1</v>
      </c>
      <c r="AB119" s="50">
        <v>44.42</v>
      </c>
      <c r="AC119" s="74">
        <v>84</v>
      </c>
      <c r="AD119" s="164">
        <v>0.9</v>
      </c>
      <c r="AI119" s="402">
        <v>20</v>
      </c>
    </row>
    <row r="120" spans="1:47" ht="14">
      <c r="A120" s="41" t="s">
        <v>34</v>
      </c>
      <c r="B120" s="54" t="s">
        <v>707</v>
      </c>
      <c r="C120" s="54" t="s">
        <v>768</v>
      </c>
      <c r="D120" s="56" t="s">
        <v>78</v>
      </c>
      <c r="E120" s="54" t="s">
        <v>769</v>
      </c>
      <c r="F120" s="54"/>
      <c r="G120" s="61" t="s">
        <v>770</v>
      </c>
      <c r="H120" s="54">
        <v>4463</v>
      </c>
      <c r="I120" s="55" t="s">
        <v>1</v>
      </c>
      <c r="J120" s="54" t="s">
        <v>771</v>
      </c>
      <c r="K120" s="51">
        <v>41376</v>
      </c>
      <c r="L120" s="115">
        <v>41364</v>
      </c>
      <c r="M120" s="50">
        <f t="shared" si="5"/>
        <v>12</v>
      </c>
      <c r="N120" s="50" t="s">
        <v>2</v>
      </c>
      <c r="O120" s="74">
        <v>1.2</v>
      </c>
      <c r="P120" s="50">
        <v>6</v>
      </c>
      <c r="Q120" s="74">
        <v>6.84</v>
      </c>
      <c r="R120" s="50">
        <v>41.4</v>
      </c>
      <c r="S120" s="74">
        <v>420</v>
      </c>
      <c r="T120" s="50">
        <v>0.44</v>
      </c>
      <c r="U120" s="74">
        <v>0.41</v>
      </c>
      <c r="V120" s="50">
        <v>0.13</v>
      </c>
      <c r="W120" s="74">
        <v>1.2999999999999999E-2</v>
      </c>
      <c r="X120" s="50">
        <v>0.124</v>
      </c>
      <c r="Y120" s="74">
        <v>4.0000000000000001E-3</v>
      </c>
    </row>
    <row r="121" spans="1:47" ht="14">
      <c r="A121" s="41" t="s">
        <v>34</v>
      </c>
      <c r="B121" s="50" t="s">
        <v>707</v>
      </c>
      <c r="C121" s="50" t="s">
        <v>1236</v>
      </c>
      <c r="D121" s="48" t="s">
        <v>111</v>
      </c>
      <c r="E121" s="50" t="s">
        <v>739</v>
      </c>
      <c r="G121" s="76" t="s">
        <v>740</v>
      </c>
      <c r="H121" s="50" t="s">
        <v>3862</v>
      </c>
      <c r="I121" s="49" t="s">
        <v>2</v>
      </c>
      <c r="J121" s="50" t="s">
        <v>3863</v>
      </c>
      <c r="K121" s="51">
        <v>41376</v>
      </c>
      <c r="L121" s="115">
        <v>41364</v>
      </c>
      <c r="M121" s="50">
        <f t="shared" si="5"/>
        <v>12</v>
      </c>
      <c r="N121" s="50" t="s">
        <v>2</v>
      </c>
      <c r="O121" s="74">
        <f>1/2</f>
        <v>0.5</v>
      </c>
      <c r="P121" s="50">
        <v>6</v>
      </c>
      <c r="Q121" s="74">
        <v>7.17</v>
      </c>
      <c r="R121" s="50">
        <v>18.7</v>
      </c>
      <c r="S121" s="74">
        <v>40</v>
      </c>
      <c r="T121" s="50">
        <v>0.12</v>
      </c>
      <c r="U121" s="74">
        <v>0.21</v>
      </c>
      <c r="V121" s="50">
        <f>0.1/2</f>
        <v>0.05</v>
      </c>
      <c r="W121" s="74">
        <f>0.005/2</f>
        <v>2.5000000000000001E-3</v>
      </c>
      <c r="X121" s="50">
        <v>2.3E-2</v>
      </c>
      <c r="Y121" s="74">
        <f>0.002/2</f>
        <v>1E-3</v>
      </c>
    </row>
    <row r="122" spans="1:47" ht="14">
      <c r="A122" s="41" t="s">
        <v>34</v>
      </c>
      <c r="B122" s="50" t="s">
        <v>707</v>
      </c>
      <c r="C122" s="50" t="s">
        <v>1236</v>
      </c>
      <c r="D122" s="48" t="s">
        <v>111</v>
      </c>
      <c r="E122" s="50" t="s">
        <v>739</v>
      </c>
      <c r="G122" s="76" t="s">
        <v>740</v>
      </c>
      <c r="H122" s="50" t="s">
        <v>3862</v>
      </c>
      <c r="I122" s="49" t="s">
        <v>2</v>
      </c>
      <c r="J122" s="50" t="s">
        <v>742</v>
      </c>
      <c r="K122" s="51">
        <v>41376</v>
      </c>
      <c r="L122" s="115">
        <v>41364</v>
      </c>
      <c r="M122" s="50">
        <f t="shared" si="5"/>
        <v>12</v>
      </c>
      <c r="N122" s="50" t="s">
        <v>2</v>
      </c>
      <c r="O122" s="74">
        <f>1/2</f>
        <v>0.5</v>
      </c>
      <c r="P122" s="50">
        <v>6</v>
      </c>
      <c r="Q122" s="74">
        <v>6.52</v>
      </c>
      <c r="R122" s="50">
        <v>47.3</v>
      </c>
      <c r="S122" s="74">
        <v>74</v>
      </c>
      <c r="T122" s="50">
        <v>0.41</v>
      </c>
      <c r="U122" s="74">
        <v>0.55000000000000004</v>
      </c>
      <c r="V122" s="50">
        <f>0.1/2</f>
        <v>0.05</v>
      </c>
      <c r="W122" s="74">
        <v>1.7999999999999999E-2</v>
      </c>
      <c r="X122" s="50">
        <v>5.0999999999999997E-2</v>
      </c>
      <c r="Y122" s="74">
        <f>0.002/2</f>
        <v>1E-3</v>
      </c>
    </row>
    <row r="123" spans="1:47" ht="14">
      <c r="A123" s="41" t="s">
        <v>34</v>
      </c>
      <c r="B123" s="50" t="s">
        <v>707</v>
      </c>
      <c r="C123" s="50" t="s">
        <v>1236</v>
      </c>
      <c r="D123" s="48" t="s">
        <v>111</v>
      </c>
      <c r="E123" s="50" t="s">
        <v>739</v>
      </c>
      <c r="G123" s="76" t="s">
        <v>740</v>
      </c>
      <c r="H123" s="50" t="s">
        <v>3862</v>
      </c>
      <c r="I123" s="49" t="s">
        <v>2</v>
      </c>
      <c r="J123" s="50" t="s">
        <v>744</v>
      </c>
      <c r="K123" s="51">
        <v>41376</v>
      </c>
      <c r="L123" s="115">
        <v>41364</v>
      </c>
      <c r="M123" s="50">
        <f t="shared" si="5"/>
        <v>12</v>
      </c>
      <c r="N123" s="50" t="s">
        <v>2</v>
      </c>
      <c r="O123" s="74">
        <v>1.6</v>
      </c>
      <c r="P123" s="50">
        <v>6</v>
      </c>
      <c r="Q123" s="74">
        <v>7.18</v>
      </c>
      <c r="R123" s="50">
        <v>3.7</v>
      </c>
      <c r="S123" s="74">
        <v>1</v>
      </c>
      <c r="T123" s="50">
        <v>0.06</v>
      </c>
      <c r="U123" s="74">
        <v>0.22</v>
      </c>
      <c r="V123" s="50">
        <f>0.1/2</f>
        <v>0.05</v>
      </c>
      <c r="W123" s="74">
        <f>0.005/2</f>
        <v>2.5000000000000001E-3</v>
      </c>
      <c r="X123" s="50">
        <v>8.0000000000000002E-3</v>
      </c>
      <c r="Y123" s="74">
        <v>6.0000000000000001E-3</v>
      </c>
    </row>
    <row r="124" spans="1:47" ht="14">
      <c r="A124" s="41" t="s">
        <v>34</v>
      </c>
      <c r="B124" s="50" t="s">
        <v>707</v>
      </c>
      <c r="C124" s="50" t="s">
        <v>3855</v>
      </c>
      <c r="D124" s="48" t="s">
        <v>827</v>
      </c>
      <c r="E124" s="50" t="s">
        <v>3856</v>
      </c>
      <c r="G124" s="76" t="s">
        <v>708</v>
      </c>
      <c r="H124" s="50" t="s">
        <v>3857</v>
      </c>
      <c r="I124" s="49" t="s">
        <v>2</v>
      </c>
      <c r="J124" s="50" t="s">
        <v>709</v>
      </c>
      <c r="K124" s="51">
        <v>41428</v>
      </c>
      <c r="L124" s="115">
        <v>41422</v>
      </c>
      <c r="M124" s="50">
        <f t="shared" si="5"/>
        <v>6</v>
      </c>
      <c r="N124" s="50" t="s">
        <v>2</v>
      </c>
      <c r="O124" s="74">
        <f>1/2</f>
        <v>0.5</v>
      </c>
      <c r="P124" s="50">
        <v>6</v>
      </c>
      <c r="Q124" s="74">
        <v>5.68</v>
      </c>
      <c r="R124" s="50">
        <f>1/2</f>
        <v>0.5</v>
      </c>
      <c r="S124" s="74">
        <v>1352</v>
      </c>
      <c r="T124" s="50">
        <v>1.23</v>
      </c>
      <c r="U124" s="74">
        <v>0.93</v>
      </c>
      <c r="V124" s="50">
        <v>0.13</v>
      </c>
      <c r="W124" s="74">
        <v>3.1E-2</v>
      </c>
      <c r="X124" s="50">
        <v>0.09</v>
      </c>
      <c r="Y124" s="74">
        <v>1.4E-2</v>
      </c>
    </row>
    <row r="125" spans="1:47" ht="14">
      <c r="A125" s="41" t="s">
        <v>34</v>
      </c>
      <c r="B125" s="50" t="s">
        <v>3773</v>
      </c>
      <c r="D125" s="48" t="s">
        <v>684</v>
      </c>
      <c r="E125" s="50" t="s">
        <v>322</v>
      </c>
      <c r="F125" s="50" t="s">
        <v>1911</v>
      </c>
      <c r="G125" s="76" t="s">
        <v>3774</v>
      </c>
      <c r="H125" s="50">
        <v>1442</v>
      </c>
      <c r="I125" s="49" t="s">
        <v>2</v>
      </c>
      <c r="J125" s="50" t="s">
        <v>3777</v>
      </c>
      <c r="K125" s="51">
        <v>41604</v>
      </c>
      <c r="L125" s="115"/>
      <c r="N125" s="50" t="s">
        <v>2</v>
      </c>
      <c r="O125" s="74">
        <f>2/2</f>
        <v>1</v>
      </c>
      <c r="P125" s="50">
        <v>6.3</v>
      </c>
      <c r="Q125" s="74">
        <v>7.1</v>
      </c>
      <c r="R125" s="50">
        <f>10/2</f>
        <v>5</v>
      </c>
      <c r="S125" s="74">
        <v>3</v>
      </c>
      <c r="T125" s="50">
        <f>0.05/2</f>
        <v>2.5000000000000001E-2</v>
      </c>
      <c r="U125" s="74">
        <v>0.12</v>
      </c>
      <c r="V125" s="50">
        <v>0.1</v>
      </c>
      <c r="W125" s="74">
        <f>0.01/2</f>
        <v>5.0000000000000001E-3</v>
      </c>
      <c r="X125" s="50">
        <f>0.03/2</f>
        <v>1.4999999999999999E-2</v>
      </c>
      <c r="Y125" s="74">
        <f>0.03/2</f>
        <v>1.4999999999999999E-2</v>
      </c>
      <c r="Z125" s="164">
        <v>1</v>
      </c>
      <c r="AA125" s="165">
        <v>0.64200000000000002</v>
      </c>
      <c r="AB125" s="50">
        <v>8</v>
      </c>
      <c r="AC125" s="74">
        <v>40</v>
      </c>
      <c r="AD125" s="164">
        <v>0.15</v>
      </c>
    </row>
    <row r="126" spans="1:47" ht="14">
      <c r="A126" s="41" t="s">
        <v>34</v>
      </c>
      <c r="B126" s="50" t="s">
        <v>3773</v>
      </c>
      <c r="D126" s="48" t="s">
        <v>684</v>
      </c>
      <c r="E126" s="50" t="s">
        <v>322</v>
      </c>
      <c r="F126" s="50" t="s">
        <v>1911</v>
      </c>
      <c r="G126" s="76" t="s">
        <v>3774</v>
      </c>
      <c r="H126" s="50">
        <v>1442</v>
      </c>
      <c r="I126" s="49" t="s">
        <v>2</v>
      </c>
      <c r="J126" s="50" t="s">
        <v>3775</v>
      </c>
      <c r="K126" s="51">
        <v>41604</v>
      </c>
      <c r="L126" s="115"/>
      <c r="N126" s="50" t="s">
        <v>2</v>
      </c>
      <c r="O126" s="74">
        <f>2/2</f>
        <v>1</v>
      </c>
      <c r="P126" s="50">
        <v>6.3</v>
      </c>
      <c r="Q126" s="74">
        <v>7.7</v>
      </c>
      <c r="R126" s="50">
        <v>11</v>
      </c>
      <c r="S126" s="74">
        <v>57</v>
      </c>
      <c r="T126" s="50">
        <v>0.08</v>
      </c>
      <c r="U126" s="74">
        <v>0.41</v>
      </c>
      <c r="V126" s="50">
        <f>0.1/2</f>
        <v>0.05</v>
      </c>
      <c r="W126" s="74">
        <f>0.01/2</f>
        <v>5.0000000000000001E-3</v>
      </c>
      <c r="X126" s="50">
        <v>3.5999999999999997E-2</v>
      </c>
      <c r="Y126" s="74">
        <f>0.03/2</f>
        <v>1.4999999999999999E-2</v>
      </c>
      <c r="Z126" s="164">
        <v>1</v>
      </c>
      <c r="AA126" s="165">
        <v>1</v>
      </c>
      <c r="AB126" s="50">
        <v>12</v>
      </c>
      <c r="AC126" s="74">
        <v>29</v>
      </c>
      <c r="AD126" s="164">
        <v>1</v>
      </c>
    </row>
    <row r="127" spans="1:47" ht="14">
      <c r="A127" s="41" t="s">
        <v>34</v>
      </c>
      <c r="B127" s="50" t="s">
        <v>3773</v>
      </c>
      <c r="D127" s="48" t="s">
        <v>684</v>
      </c>
      <c r="E127" s="50" t="s">
        <v>322</v>
      </c>
      <c r="F127" s="50" t="s">
        <v>1911</v>
      </c>
      <c r="G127" s="76" t="s">
        <v>3774</v>
      </c>
      <c r="H127" s="50">
        <v>1442</v>
      </c>
      <c r="I127" s="49" t="s">
        <v>2</v>
      </c>
      <c r="J127" s="50" t="s">
        <v>3776</v>
      </c>
      <c r="K127" s="51">
        <v>41604</v>
      </c>
      <c r="L127" s="115"/>
      <c r="N127" s="50" t="s">
        <v>2</v>
      </c>
      <c r="O127" s="74">
        <f>2/2</f>
        <v>1</v>
      </c>
      <c r="P127" s="50">
        <v>6.3</v>
      </c>
      <c r="Q127" s="74">
        <v>7</v>
      </c>
      <c r="R127" s="50">
        <v>16</v>
      </c>
      <c r="S127" s="74">
        <v>42</v>
      </c>
      <c r="T127" s="50">
        <v>7.0000000000000007E-2</v>
      </c>
      <c r="U127" s="74">
        <v>0.56999999999999995</v>
      </c>
      <c r="V127" s="50">
        <f>0.1/2</f>
        <v>0.05</v>
      </c>
      <c r="W127" s="74">
        <f>0.01/2</f>
        <v>5.0000000000000001E-3</v>
      </c>
      <c r="X127" s="50">
        <f>0.03/2</f>
        <v>1.4999999999999999E-2</v>
      </c>
      <c r="Y127" s="74">
        <f>0.03/2</f>
        <v>1.4999999999999999E-2</v>
      </c>
      <c r="Z127" s="164">
        <v>1</v>
      </c>
      <c r="AA127" s="165">
        <v>1</v>
      </c>
      <c r="AB127" s="50">
        <v>7</v>
      </c>
      <c r="AC127" s="74">
        <v>29</v>
      </c>
      <c r="AD127" s="164">
        <v>1</v>
      </c>
    </row>
    <row r="128" spans="1:47" s="400" customFormat="1" ht="14">
      <c r="A128" s="53" t="s">
        <v>34</v>
      </c>
      <c r="B128" s="402" t="s">
        <v>3742</v>
      </c>
      <c r="C128" s="402" t="s">
        <v>3742</v>
      </c>
      <c r="D128" s="401" t="s">
        <v>861</v>
      </c>
      <c r="E128" s="402"/>
      <c r="F128" s="402" t="s">
        <v>3743</v>
      </c>
      <c r="G128" s="393" t="s">
        <v>3744</v>
      </c>
      <c r="H128" s="402">
        <v>1429</v>
      </c>
      <c r="I128" s="391" t="s">
        <v>2</v>
      </c>
      <c r="J128" s="402" t="s">
        <v>510</v>
      </c>
      <c r="K128" s="403">
        <v>41428</v>
      </c>
      <c r="L128" s="379">
        <v>41423</v>
      </c>
      <c r="M128" s="402">
        <f>K128-L128</f>
        <v>5</v>
      </c>
      <c r="N128" s="402" t="s">
        <v>2</v>
      </c>
      <c r="O128" s="404">
        <f>1.4/2</f>
        <v>0.7</v>
      </c>
      <c r="P128" s="402">
        <v>6.5</v>
      </c>
      <c r="Q128" s="404">
        <v>6.87</v>
      </c>
      <c r="R128" s="402">
        <v>493</v>
      </c>
      <c r="S128" s="404">
        <v>10</v>
      </c>
      <c r="T128" s="402">
        <f>0.1/2</f>
        <v>0.05</v>
      </c>
      <c r="U128" s="404">
        <v>0.63</v>
      </c>
      <c r="V128" s="402">
        <v>0.2</v>
      </c>
      <c r="W128" s="404">
        <f>0.005/2</f>
        <v>2.5000000000000001E-3</v>
      </c>
      <c r="X128" s="402">
        <v>2E-3</v>
      </c>
      <c r="Y128" s="404">
        <f>0.002/2</f>
        <v>1E-3</v>
      </c>
      <c r="Z128" s="396"/>
      <c r="AA128" s="397"/>
      <c r="AB128" s="402"/>
      <c r="AC128" s="404"/>
      <c r="AD128" s="396"/>
      <c r="AE128" s="404"/>
      <c r="AF128" s="402"/>
      <c r="AG128" s="402"/>
      <c r="AH128" s="402"/>
      <c r="AI128" s="402"/>
      <c r="AJ128" s="404"/>
      <c r="AK128" s="404"/>
      <c r="AL128" s="404"/>
      <c r="AM128" s="404"/>
      <c r="AN128" s="404"/>
      <c r="AO128" s="404"/>
      <c r="AP128" s="404"/>
      <c r="AQ128" s="404"/>
      <c r="AR128" s="404"/>
      <c r="AS128" s="404"/>
      <c r="AT128" s="404"/>
      <c r="AU128" s="404"/>
    </row>
    <row r="129" spans="1:30" ht="14">
      <c r="A129" s="41" t="s">
        <v>34</v>
      </c>
      <c r="B129" s="50" t="s">
        <v>4593</v>
      </c>
      <c r="C129" s="50" t="s">
        <v>4581</v>
      </c>
      <c r="D129" s="48" t="s">
        <v>98</v>
      </c>
      <c r="E129" s="50" t="s">
        <v>1546</v>
      </c>
      <c r="F129" s="50" t="s">
        <v>4582</v>
      </c>
      <c r="G129" s="76" t="s">
        <v>4583</v>
      </c>
      <c r="H129" s="50" t="s">
        <v>4596</v>
      </c>
      <c r="I129" s="49" t="s">
        <v>2</v>
      </c>
      <c r="J129" s="50" t="s">
        <v>74</v>
      </c>
      <c r="K129" s="51">
        <v>41711</v>
      </c>
      <c r="L129" s="115">
        <v>41703</v>
      </c>
      <c r="M129" s="50">
        <f>K129-L129</f>
        <v>8</v>
      </c>
      <c r="N129" s="50" t="s">
        <v>2</v>
      </c>
      <c r="O129" s="74">
        <f>2/2</f>
        <v>1</v>
      </c>
      <c r="Q129" s="74">
        <v>3.8</v>
      </c>
      <c r="R129" s="50">
        <v>25</v>
      </c>
      <c r="S129" s="74">
        <v>7</v>
      </c>
      <c r="T129" s="50">
        <v>0.01</v>
      </c>
      <c r="U129" s="74">
        <v>0.45</v>
      </c>
      <c r="V129" s="50">
        <v>0.2</v>
      </c>
      <c r="W129" s="74">
        <v>0.04</v>
      </c>
      <c r="X129" s="50">
        <v>0.22</v>
      </c>
      <c r="Y129" s="74">
        <f>0.03/2</f>
        <v>1.4999999999999999E-2</v>
      </c>
      <c r="Z129" s="164">
        <v>0.27700000000000002</v>
      </c>
      <c r="AA129" s="165">
        <v>0.13400000000000001</v>
      </c>
      <c r="AB129" s="50">
        <v>76</v>
      </c>
      <c r="AC129" s="74">
        <v>346</v>
      </c>
      <c r="AD129" s="164">
        <v>0</v>
      </c>
    </row>
    <row r="130" spans="1:30" ht="14">
      <c r="A130" s="41" t="s">
        <v>34</v>
      </c>
      <c r="B130" s="50" t="s">
        <v>4593</v>
      </c>
      <c r="C130" s="50" t="s">
        <v>4581</v>
      </c>
      <c r="D130" s="48" t="s">
        <v>98</v>
      </c>
      <c r="E130" s="50" t="s">
        <v>1546</v>
      </c>
      <c r="F130" s="50" t="s">
        <v>4582</v>
      </c>
      <c r="G130" s="76" t="s">
        <v>4583</v>
      </c>
      <c r="H130" s="50" t="s">
        <v>4596</v>
      </c>
      <c r="I130" s="49" t="s">
        <v>2</v>
      </c>
      <c r="J130" s="50" t="s">
        <v>687</v>
      </c>
      <c r="K130" s="51">
        <v>41711</v>
      </c>
      <c r="L130" s="115">
        <v>41703</v>
      </c>
      <c r="M130" s="50">
        <f>K130-L130</f>
        <v>8</v>
      </c>
      <c r="N130" s="50" t="s">
        <v>2</v>
      </c>
      <c r="O130" s="74">
        <f>2/2</f>
        <v>1</v>
      </c>
      <c r="Q130" s="74">
        <v>7.9</v>
      </c>
      <c r="R130" s="50">
        <v>36</v>
      </c>
      <c r="S130" s="74">
        <v>11</v>
      </c>
      <c r="T130" s="50">
        <v>0.09</v>
      </c>
      <c r="U130" s="74">
        <v>0.48</v>
      </c>
      <c r="V130" s="50">
        <v>2.83</v>
      </c>
      <c r="W130" s="74">
        <f>0.01/2</f>
        <v>5.0000000000000001E-3</v>
      </c>
      <c r="X130" s="50">
        <f>0.03/2</f>
        <v>1.4999999999999999E-2</v>
      </c>
      <c r="Y130" s="74">
        <f>0.03/2</f>
        <v>1.4999999999999999E-2</v>
      </c>
      <c r="Z130" s="164">
        <v>1</v>
      </c>
      <c r="AA130" s="165">
        <v>1</v>
      </c>
      <c r="AB130" s="50">
        <v>155</v>
      </c>
      <c r="AC130" s="74">
        <v>478</v>
      </c>
      <c r="AD130" s="164">
        <v>1</v>
      </c>
    </row>
    <row r="131" spans="1:30" ht="14">
      <c r="A131" s="41" t="s">
        <v>34</v>
      </c>
      <c r="B131" s="50" t="s">
        <v>4593</v>
      </c>
      <c r="D131" s="48" t="s">
        <v>2741</v>
      </c>
      <c r="E131" s="50" t="s">
        <v>4595</v>
      </c>
      <c r="G131" s="76" t="s">
        <v>4580</v>
      </c>
      <c r="H131" s="50" t="s">
        <v>4596</v>
      </c>
      <c r="I131" s="49" t="s">
        <v>2</v>
      </c>
      <c r="J131" s="50" t="s">
        <v>74</v>
      </c>
      <c r="K131" s="51">
        <v>41711</v>
      </c>
      <c r="L131" s="115">
        <v>41703</v>
      </c>
      <c r="M131" s="50">
        <f>K131-L131</f>
        <v>8</v>
      </c>
      <c r="N131" s="50" t="s">
        <v>2</v>
      </c>
      <c r="O131" s="74">
        <f>2/2</f>
        <v>1</v>
      </c>
      <c r="Q131" s="74">
        <v>6.5</v>
      </c>
      <c r="R131" s="50">
        <v>16</v>
      </c>
      <c r="S131" s="74">
        <v>36</v>
      </c>
      <c r="T131" s="50">
        <v>0.14000000000000001</v>
      </c>
      <c r="U131" s="74">
        <v>1.21</v>
      </c>
      <c r="V131" s="50">
        <v>1.69</v>
      </c>
      <c r="W131" s="74">
        <v>7.0999999999999994E-2</v>
      </c>
      <c r="X131" s="50">
        <f>0.03/2</f>
        <v>1.4999999999999999E-2</v>
      </c>
      <c r="Y131" s="74">
        <f>0.03/2</f>
        <v>1.4999999999999999E-2</v>
      </c>
      <c r="Z131" s="164">
        <v>1</v>
      </c>
      <c r="AA131" s="165">
        <v>1</v>
      </c>
      <c r="AB131" s="50">
        <v>60</v>
      </c>
      <c r="AC131" s="74">
        <v>348</v>
      </c>
      <c r="AD131" s="164">
        <v>1</v>
      </c>
    </row>
    <row r="132" spans="1:30" ht="14">
      <c r="A132" s="53" t="s">
        <v>34</v>
      </c>
      <c r="B132" s="50" t="s">
        <v>532</v>
      </c>
      <c r="C132" s="50" t="s">
        <v>1106</v>
      </c>
      <c r="D132" s="48" t="s">
        <v>1643</v>
      </c>
      <c r="E132" s="50" t="s">
        <v>1107</v>
      </c>
      <c r="G132" s="76" t="s">
        <v>1108</v>
      </c>
      <c r="H132" s="50">
        <v>1429</v>
      </c>
      <c r="I132" s="49" t="s">
        <v>2</v>
      </c>
      <c r="J132" s="50" t="s">
        <v>593</v>
      </c>
      <c r="K132" s="51">
        <v>41767</v>
      </c>
      <c r="L132" s="115">
        <v>41760</v>
      </c>
      <c r="M132" s="50">
        <f t="shared" ref="M132:M144" si="6">K132-L132</f>
        <v>7</v>
      </c>
      <c r="N132" s="50" t="s">
        <v>2</v>
      </c>
      <c r="V132" s="50">
        <v>4.3600000000000003</v>
      </c>
    </row>
    <row r="133" spans="1:30" ht="14">
      <c r="A133" s="53" t="s">
        <v>34</v>
      </c>
      <c r="B133" s="50" t="s">
        <v>532</v>
      </c>
      <c r="C133" s="50" t="s">
        <v>1106</v>
      </c>
      <c r="D133" s="48" t="s">
        <v>1643</v>
      </c>
      <c r="E133" s="50" t="s">
        <v>1107</v>
      </c>
      <c r="G133" s="76" t="s">
        <v>1108</v>
      </c>
      <c r="H133" s="50">
        <v>1429</v>
      </c>
      <c r="I133" s="49" t="s">
        <v>2</v>
      </c>
      <c r="J133" s="50" t="s">
        <v>477</v>
      </c>
      <c r="K133" s="51">
        <v>41767</v>
      </c>
      <c r="L133" s="115">
        <v>41760</v>
      </c>
      <c r="M133" s="50">
        <f t="shared" si="6"/>
        <v>7</v>
      </c>
      <c r="N133" s="50" t="s">
        <v>2</v>
      </c>
      <c r="V133" s="50">
        <v>4.38</v>
      </c>
    </row>
    <row r="134" spans="1:30" ht="14">
      <c r="A134" s="53" t="s">
        <v>34</v>
      </c>
      <c r="B134" s="50" t="s">
        <v>532</v>
      </c>
      <c r="C134" s="50" t="s">
        <v>587</v>
      </c>
      <c r="D134" s="48" t="s">
        <v>534</v>
      </c>
      <c r="E134" s="50" t="s">
        <v>304</v>
      </c>
      <c r="G134" s="76" t="s">
        <v>589</v>
      </c>
      <c r="H134" s="50">
        <v>1429</v>
      </c>
      <c r="I134" s="49" t="s">
        <v>2</v>
      </c>
      <c r="J134" s="50" t="s">
        <v>366</v>
      </c>
      <c r="K134" s="51">
        <v>41767</v>
      </c>
      <c r="L134" s="115">
        <v>41760</v>
      </c>
      <c r="M134" s="50">
        <f t="shared" si="6"/>
        <v>7</v>
      </c>
      <c r="N134" s="50" t="s">
        <v>2</v>
      </c>
      <c r="V134" s="50">
        <v>6.79</v>
      </c>
    </row>
    <row r="135" spans="1:30" ht="14">
      <c r="A135" s="53" t="s">
        <v>34</v>
      </c>
      <c r="B135" s="50" t="s">
        <v>5491</v>
      </c>
      <c r="C135" s="50" t="s">
        <v>5491</v>
      </c>
      <c r="D135" s="48" t="s">
        <v>2379</v>
      </c>
      <c r="F135" s="50" t="s">
        <v>5492</v>
      </c>
      <c r="G135" s="76" t="s">
        <v>2302</v>
      </c>
      <c r="H135" s="50">
        <v>1429</v>
      </c>
      <c r="I135" s="49" t="s">
        <v>2</v>
      </c>
      <c r="J135" s="50" t="s">
        <v>700</v>
      </c>
      <c r="K135" s="51">
        <v>41487</v>
      </c>
      <c r="L135" s="115">
        <v>41481</v>
      </c>
      <c r="M135" s="50">
        <f t="shared" si="6"/>
        <v>6</v>
      </c>
      <c r="N135" s="50" t="s">
        <v>2</v>
      </c>
      <c r="O135" s="74">
        <v>3.2</v>
      </c>
      <c r="P135" s="50">
        <v>6.3</v>
      </c>
      <c r="Q135" s="74">
        <v>6.9</v>
      </c>
      <c r="R135" s="50">
        <f>20/2</f>
        <v>10</v>
      </c>
      <c r="S135" s="74">
        <v>2.2000000000000002</v>
      </c>
      <c r="T135" s="50">
        <v>4.2000000000000003E-2</v>
      </c>
      <c r="U135" s="74">
        <v>1.6</v>
      </c>
      <c r="V135" s="50">
        <v>0.6</v>
      </c>
      <c r="W135" s="74">
        <f>0.005/2</f>
        <v>2.5000000000000001E-3</v>
      </c>
      <c r="X135" s="50">
        <f>0.01/2</f>
        <v>5.0000000000000001E-3</v>
      </c>
      <c r="Y135" s="74">
        <f>0.005/2</f>
        <v>2.5000000000000001E-3</v>
      </c>
      <c r="Z135" s="164">
        <v>1</v>
      </c>
      <c r="AA135" s="165">
        <v>1</v>
      </c>
      <c r="AB135" s="50">
        <v>80</v>
      </c>
      <c r="AC135" s="74">
        <v>515</v>
      </c>
      <c r="AD135" s="164">
        <v>1</v>
      </c>
    </row>
    <row r="136" spans="1:30" ht="14">
      <c r="A136" s="53" t="s">
        <v>34</v>
      </c>
      <c r="B136" s="50" t="s">
        <v>532</v>
      </c>
      <c r="C136" s="50" t="s">
        <v>1106</v>
      </c>
      <c r="D136" s="48" t="s">
        <v>1643</v>
      </c>
      <c r="E136" s="50" t="s">
        <v>1107</v>
      </c>
      <c r="G136" s="76" t="s">
        <v>1108</v>
      </c>
      <c r="H136" s="50">
        <v>1429</v>
      </c>
      <c r="I136" s="49" t="s">
        <v>2</v>
      </c>
      <c r="J136" s="50" t="s">
        <v>593</v>
      </c>
      <c r="K136" s="51">
        <v>41494</v>
      </c>
      <c r="L136" s="115">
        <v>41489</v>
      </c>
      <c r="M136" s="50">
        <f t="shared" si="6"/>
        <v>5</v>
      </c>
      <c r="N136" s="50" t="s">
        <v>2</v>
      </c>
      <c r="O136" s="74">
        <f>5/2</f>
        <v>2.5</v>
      </c>
      <c r="P136" s="50">
        <v>6.5</v>
      </c>
      <c r="Q136" s="74">
        <v>7.99</v>
      </c>
      <c r="R136" s="50">
        <v>9.6999999999999993</v>
      </c>
      <c r="S136" s="74">
        <v>9</v>
      </c>
      <c r="T136" s="50">
        <f>0.1/2</f>
        <v>0.05</v>
      </c>
      <c r="U136" s="74">
        <f>1/2</f>
        <v>0.5</v>
      </c>
      <c r="V136" s="50">
        <v>3.5</v>
      </c>
      <c r="W136" s="74">
        <f>0.04/2</f>
        <v>0.02</v>
      </c>
      <c r="X136" s="50">
        <f>0.02/2</f>
        <v>0.01</v>
      </c>
      <c r="Y136" s="74">
        <f>0.13/2</f>
        <v>6.5000000000000002E-2</v>
      </c>
    </row>
    <row r="137" spans="1:30" ht="14">
      <c r="A137" s="53" t="s">
        <v>34</v>
      </c>
      <c r="B137" s="50" t="s">
        <v>532</v>
      </c>
      <c r="C137" s="50" t="s">
        <v>1106</v>
      </c>
      <c r="D137" s="48" t="s">
        <v>2501</v>
      </c>
      <c r="E137" s="50" t="s">
        <v>1107</v>
      </c>
      <c r="G137" s="76" t="s">
        <v>1108</v>
      </c>
      <c r="H137" s="50">
        <v>1429</v>
      </c>
      <c r="I137" s="49" t="s">
        <v>2</v>
      </c>
      <c r="J137" s="50" t="s">
        <v>477</v>
      </c>
      <c r="K137" s="51">
        <v>41494</v>
      </c>
      <c r="L137" s="115">
        <v>41489</v>
      </c>
      <c r="M137" s="50">
        <f t="shared" si="6"/>
        <v>5</v>
      </c>
      <c r="N137" s="50" t="s">
        <v>2</v>
      </c>
      <c r="O137" s="74">
        <f>5/2</f>
        <v>2.5</v>
      </c>
      <c r="P137" s="50">
        <v>6.5</v>
      </c>
      <c r="Q137" s="74">
        <v>7.71</v>
      </c>
      <c r="R137" s="50">
        <v>7.5</v>
      </c>
      <c r="S137" s="74">
        <f>5/2</f>
        <v>2.5</v>
      </c>
      <c r="T137" s="50">
        <v>0.12</v>
      </c>
      <c r="U137" s="74">
        <f>1/2</f>
        <v>0.5</v>
      </c>
      <c r="V137" s="50">
        <v>3.3</v>
      </c>
      <c r="W137" s="74">
        <f>0.04/2</f>
        <v>0.02</v>
      </c>
      <c r="X137" s="50">
        <v>2.5000000000000001E-2</v>
      </c>
      <c r="Y137" s="74">
        <f>0.013/2</f>
        <v>6.4999999999999997E-3</v>
      </c>
    </row>
    <row r="138" spans="1:30" ht="14">
      <c r="A138" s="53" t="s">
        <v>34</v>
      </c>
      <c r="B138" s="50" t="s">
        <v>532</v>
      </c>
      <c r="C138" s="50" t="s">
        <v>663</v>
      </c>
      <c r="D138" s="48" t="s">
        <v>262</v>
      </c>
      <c r="E138" s="50" t="s">
        <v>1538</v>
      </c>
      <c r="G138" s="76" t="s">
        <v>665</v>
      </c>
      <c r="H138" s="50">
        <v>3281</v>
      </c>
      <c r="I138" s="49" t="s">
        <v>2</v>
      </c>
      <c r="J138" s="50" t="s">
        <v>366</v>
      </c>
      <c r="K138" s="51">
        <v>41508</v>
      </c>
      <c r="L138" s="115">
        <v>41499</v>
      </c>
      <c r="M138" s="50">
        <f t="shared" si="6"/>
        <v>9</v>
      </c>
      <c r="N138" s="50" t="s">
        <v>2</v>
      </c>
      <c r="O138" s="74">
        <f>5/2</f>
        <v>2.5</v>
      </c>
      <c r="R138" s="50">
        <v>190</v>
      </c>
      <c r="S138" s="74">
        <v>230</v>
      </c>
      <c r="T138" s="50">
        <v>0.11</v>
      </c>
      <c r="U138" s="74">
        <v>1.6</v>
      </c>
      <c r="V138" s="50">
        <v>1</v>
      </c>
      <c r="X138" s="50">
        <v>0.16</v>
      </c>
    </row>
    <row r="139" spans="1:30" ht="14">
      <c r="A139" s="53" t="s">
        <v>34</v>
      </c>
      <c r="B139" s="50" t="s">
        <v>532</v>
      </c>
      <c r="C139" s="50" t="s">
        <v>587</v>
      </c>
      <c r="D139" s="48" t="s">
        <v>534</v>
      </c>
      <c r="E139" s="50" t="s">
        <v>304</v>
      </c>
      <c r="G139" s="76" t="s">
        <v>589</v>
      </c>
      <c r="H139" s="50">
        <v>1429</v>
      </c>
      <c r="I139" s="49" t="s">
        <v>2</v>
      </c>
      <c r="J139" s="50" t="s">
        <v>366</v>
      </c>
      <c r="K139" s="51">
        <v>41499</v>
      </c>
      <c r="L139" s="115">
        <v>41495</v>
      </c>
      <c r="M139" s="50">
        <f t="shared" si="6"/>
        <v>4</v>
      </c>
      <c r="N139" s="50" t="s">
        <v>2</v>
      </c>
      <c r="O139" s="74">
        <f>1/2</f>
        <v>0.5</v>
      </c>
      <c r="P139" s="50">
        <v>5.5</v>
      </c>
      <c r="Q139" s="74">
        <v>7.5</v>
      </c>
      <c r="R139" s="50">
        <f>5/2</f>
        <v>2.5</v>
      </c>
      <c r="S139" s="74">
        <v>4</v>
      </c>
      <c r="T139" s="50">
        <v>0.03</v>
      </c>
      <c r="U139" s="74">
        <v>1.1299999999999999</v>
      </c>
      <c r="V139" s="50">
        <v>4.18</v>
      </c>
      <c r="W139" s="74">
        <f>0.005/2</f>
        <v>2.5000000000000001E-3</v>
      </c>
      <c r="X139" s="50">
        <f>0.005/2</f>
        <v>2.5000000000000001E-3</v>
      </c>
      <c r="Y139" s="74">
        <v>1.4E-2</v>
      </c>
      <c r="Z139" s="164">
        <v>1</v>
      </c>
      <c r="AA139" s="165">
        <v>1</v>
      </c>
      <c r="AB139" s="50">
        <v>270</v>
      </c>
      <c r="AC139" s="74">
        <v>569</v>
      </c>
      <c r="AD139" s="164">
        <v>1</v>
      </c>
    </row>
    <row r="140" spans="1:30" ht="14">
      <c r="A140" s="53" t="s">
        <v>34</v>
      </c>
      <c r="B140" s="50" t="s">
        <v>63</v>
      </c>
      <c r="C140" s="50" t="s">
        <v>64</v>
      </c>
      <c r="D140" s="48" t="s">
        <v>588</v>
      </c>
      <c r="E140" s="50" t="s">
        <v>3185</v>
      </c>
      <c r="F140" s="50" t="s">
        <v>5493</v>
      </c>
      <c r="G140" s="76" t="s">
        <v>65</v>
      </c>
      <c r="H140" s="50">
        <v>1442</v>
      </c>
      <c r="I140" s="49" t="s">
        <v>2</v>
      </c>
      <c r="J140" s="50" t="s">
        <v>66</v>
      </c>
      <c r="K140" s="51">
        <v>41577</v>
      </c>
      <c r="L140" s="115">
        <v>41565</v>
      </c>
      <c r="M140" s="50">
        <f t="shared" si="6"/>
        <v>12</v>
      </c>
      <c r="N140" s="50" t="s">
        <v>2</v>
      </c>
      <c r="O140" s="74">
        <f>5/2</f>
        <v>2.5</v>
      </c>
      <c r="P140" s="50">
        <v>6.1</v>
      </c>
      <c r="Q140" s="74">
        <v>6.8</v>
      </c>
      <c r="R140" s="50">
        <v>18</v>
      </c>
      <c r="S140" s="74">
        <v>19</v>
      </c>
      <c r="T140" s="50">
        <f>0.1/2</f>
        <v>0.05</v>
      </c>
      <c r="U140" s="74">
        <f>1/2</f>
        <v>0.5</v>
      </c>
      <c r="V140" s="50">
        <f>0.1/2</f>
        <v>0.05</v>
      </c>
      <c r="W140" s="74">
        <f>0.04/2</f>
        <v>0.02</v>
      </c>
      <c r="X140" s="50">
        <f>0.02/2</f>
        <v>0.01</v>
      </c>
      <c r="Y140" s="74">
        <f>0.013/2</f>
        <v>6.4999999999999997E-3</v>
      </c>
      <c r="Z140" s="164">
        <v>1</v>
      </c>
      <c r="AA140" s="165">
        <v>1</v>
      </c>
      <c r="AB140" s="50">
        <v>27</v>
      </c>
      <c r="AC140" s="74">
        <v>131</v>
      </c>
      <c r="AD140" s="164">
        <v>1</v>
      </c>
    </row>
    <row r="141" spans="1:30" ht="14">
      <c r="A141" s="53" t="s">
        <v>34</v>
      </c>
      <c r="B141" s="50" t="s">
        <v>532</v>
      </c>
      <c r="C141" s="50" t="s">
        <v>663</v>
      </c>
      <c r="D141" s="48" t="s">
        <v>262</v>
      </c>
      <c r="E141" s="50" t="s">
        <v>1538</v>
      </c>
      <c r="G141" s="76" t="s">
        <v>665</v>
      </c>
      <c r="H141" s="50">
        <v>3281</v>
      </c>
      <c r="I141" s="49" t="s">
        <v>2</v>
      </c>
      <c r="J141" s="50" t="s">
        <v>366</v>
      </c>
      <c r="K141" s="51">
        <v>41585</v>
      </c>
      <c r="L141" s="115">
        <v>41579</v>
      </c>
      <c r="M141" s="50">
        <f t="shared" si="6"/>
        <v>6</v>
      </c>
      <c r="N141" s="50" t="s">
        <v>2</v>
      </c>
      <c r="R141" s="50">
        <v>190</v>
      </c>
      <c r="S141" s="74">
        <v>230</v>
      </c>
      <c r="X141" s="50">
        <v>0.23</v>
      </c>
    </row>
    <row r="142" spans="1:30" ht="14">
      <c r="A142" s="53" t="s">
        <v>34</v>
      </c>
      <c r="B142" s="50" t="s">
        <v>532</v>
      </c>
      <c r="C142" s="50" t="s">
        <v>1106</v>
      </c>
      <c r="D142" s="48" t="s">
        <v>1643</v>
      </c>
      <c r="E142" s="50" t="s">
        <v>1107</v>
      </c>
      <c r="G142" s="76" t="s">
        <v>1108</v>
      </c>
      <c r="H142" s="50">
        <v>1429</v>
      </c>
      <c r="I142" s="49" t="s">
        <v>2</v>
      </c>
      <c r="J142" s="50" t="s">
        <v>593</v>
      </c>
      <c r="K142" s="51">
        <v>41585</v>
      </c>
      <c r="L142" s="115">
        <v>41579</v>
      </c>
      <c r="M142" s="50">
        <f t="shared" si="6"/>
        <v>6</v>
      </c>
      <c r="N142" s="50" t="s">
        <v>2</v>
      </c>
      <c r="V142" s="50">
        <v>2.9</v>
      </c>
    </row>
    <row r="143" spans="1:30" ht="14">
      <c r="A143" s="53" t="s">
        <v>34</v>
      </c>
      <c r="B143" s="50" t="s">
        <v>532</v>
      </c>
      <c r="C143" s="50" t="s">
        <v>1106</v>
      </c>
      <c r="D143" s="48" t="s">
        <v>1643</v>
      </c>
      <c r="E143" s="50" t="s">
        <v>1107</v>
      </c>
      <c r="G143" s="76" t="s">
        <v>1108</v>
      </c>
      <c r="H143" s="50">
        <v>1429</v>
      </c>
      <c r="I143" s="49" t="s">
        <v>2</v>
      </c>
      <c r="J143" s="50" t="s">
        <v>477</v>
      </c>
      <c r="K143" s="51">
        <v>41585</v>
      </c>
      <c r="L143" s="115">
        <v>41579</v>
      </c>
      <c r="M143" s="50">
        <f t="shared" si="6"/>
        <v>6</v>
      </c>
      <c r="N143" s="50" t="s">
        <v>2</v>
      </c>
      <c r="V143" s="50">
        <v>2.9</v>
      </c>
    </row>
    <row r="144" spans="1:30" ht="14">
      <c r="A144" s="53" t="s">
        <v>34</v>
      </c>
      <c r="B144" s="50" t="s">
        <v>532</v>
      </c>
      <c r="C144" s="50" t="s">
        <v>587</v>
      </c>
      <c r="D144" s="48" t="s">
        <v>534</v>
      </c>
      <c r="E144" s="50" t="s">
        <v>304</v>
      </c>
      <c r="G144" s="76" t="s">
        <v>589</v>
      </c>
      <c r="H144" s="50">
        <v>1429</v>
      </c>
      <c r="I144" s="49" t="s">
        <v>2</v>
      </c>
      <c r="J144" s="50" t="s">
        <v>366</v>
      </c>
      <c r="K144" s="51">
        <v>41585</v>
      </c>
      <c r="L144" s="115">
        <v>41579</v>
      </c>
      <c r="M144" s="50">
        <f t="shared" si="6"/>
        <v>6</v>
      </c>
      <c r="N144" s="50" t="s">
        <v>2</v>
      </c>
      <c r="V144" s="50">
        <v>11.4</v>
      </c>
    </row>
    <row r="145" spans="1:33" ht="14">
      <c r="A145" s="53" t="s">
        <v>34</v>
      </c>
      <c r="B145" s="50" t="s">
        <v>5494</v>
      </c>
      <c r="C145" s="50" t="s">
        <v>5494</v>
      </c>
      <c r="D145" s="48" t="s">
        <v>213</v>
      </c>
      <c r="E145" s="50" t="s">
        <v>2483</v>
      </c>
      <c r="G145" s="76" t="s">
        <v>2484</v>
      </c>
      <c r="H145" s="50">
        <v>1442</v>
      </c>
      <c r="I145" s="49" t="s">
        <v>2</v>
      </c>
      <c r="J145" s="50" t="s">
        <v>2485</v>
      </c>
      <c r="K145" s="51">
        <v>41673</v>
      </c>
      <c r="L145" s="115">
        <v>41670</v>
      </c>
      <c r="N145" s="50" t="s">
        <v>1</v>
      </c>
      <c r="O145" s="74">
        <f>1.4/2</f>
        <v>0.7</v>
      </c>
      <c r="Q145" s="74">
        <v>6.81</v>
      </c>
      <c r="R145" s="50">
        <v>12</v>
      </c>
      <c r="S145" s="74">
        <v>39</v>
      </c>
      <c r="T145" s="50">
        <v>0.06</v>
      </c>
      <c r="U145" s="74">
        <v>0.9</v>
      </c>
      <c r="V145" s="50">
        <f>0.05/2</f>
        <v>2.5000000000000001E-2</v>
      </c>
      <c r="W145" s="74">
        <f>0.005/2</f>
        <v>2.5000000000000001E-3</v>
      </c>
      <c r="X145" s="50">
        <v>8.0000000000000002E-3</v>
      </c>
      <c r="Y145" s="74">
        <f>0.002/2</f>
        <v>1E-3</v>
      </c>
    </row>
    <row r="146" spans="1:33" ht="14">
      <c r="A146" s="53" t="s">
        <v>34</v>
      </c>
      <c r="B146" s="50" t="s">
        <v>707</v>
      </c>
      <c r="C146" s="74" t="s">
        <v>1383</v>
      </c>
      <c r="D146" s="48" t="s">
        <v>200</v>
      </c>
      <c r="E146" s="74" t="s">
        <v>3549</v>
      </c>
      <c r="G146" s="48" t="s">
        <v>746</v>
      </c>
      <c r="H146" s="74" t="s">
        <v>3762</v>
      </c>
      <c r="I146" s="50" t="s">
        <v>1</v>
      </c>
      <c r="J146" s="74" t="s">
        <v>3763</v>
      </c>
      <c r="K146" s="51">
        <v>41744</v>
      </c>
      <c r="L146" s="173">
        <v>41737</v>
      </c>
      <c r="M146" s="50">
        <f t="shared" ref="M146:M166" si="7">K146-L146</f>
        <v>7</v>
      </c>
      <c r="N146" s="50" t="s">
        <v>2</v>
      </c>
      <c r="O146" s="74">
        <v>3.2</v>
      </c>
      <c r="P146" s="50">
        <v>7</v>
      </c>
      <c r="Q146" s="74">
        <v>7.85</v>
      </c>
      <c r="R146" s="50">
        <v>32.1</v>
      </c>
      <c r="S146" s="74">
        <v>3050</v>
      </c>
      <c r="T146" s="50">
        <v>1.04</v>
      </c>
      <c r="U146" s="74">
        <v>0.44</v>
      </c>
      <c r="V146" s="50">
        <v>0.87</v>
      </c>
      <c r="W146" s="74">
        <v>5.3999999999999999E-2</v>
      </c>
      <c r="X146" s="50">
        <v>0.107</v>
      </c>
      <c r="Y146" s="74">
        <v>7.0000000000000001E-3</v>
      </c>
      <c r="AE146" s="74">
        <v>180</v>
      </c>
    </row>
    <row r="147" spans="1:33" ht="14">
      <c r="A147" s="53" t="s">
        <v>34</v>
      </c>
      <c r="B147" s="50" t="s">
        <v>707</v>
      </c>
      <c r="C147" s="50" t="s">
        <v>1383</v>
      </c>
      <c r="D147" s="48" t="s">
        <v>200</v>
      </c>
      <c r="E147" s="50" t="s">
        <v>5601</v>
      </c>
      <c r="G147" s="76" t="s">
        <v>746</v>
      </c>
      <c r="H147" s="50" t="s">
        <v>3762</v>
      </c>
      <c r="I147" s="49" t="s">
        <v>2</v>
      </c>
      <c r="J147" s="50" t="s">
        <v>3764</v>
      </c>
      <c r="K147" s="51">
        <v>41744</v>
      </c>
      <c r="L147" s="115">
        <v>41737</v>
      </c>
      <c r="M147" s="50">
        <f t="shared" si="7"/>
        <v>7</v>
      </c>
      <c r="N147" s="50" t="s">
        <v>2</v>
      </c>
      <c r="O147" s="74">
        <v>6</v>
      </c>
      <c r="P147" s="50">
        <v>7</v>
      </c>
      <c r="Q147" s="74">
        <v>8.48</v>
      </c>
      <c r="R147" s="50">
        <v>417</v>
      </c>
      <c r="S147" s="74">
        <v>6480</v>
      </c>
      <c r="T147" s="50">
        <v>3.93</v>
      </c>
      <c r="U147" s="74">
        <v>0.55000000000000004</v>
      </c>
      <c r="V147" s="50">
        <v>1.32</v>
      </c>
      <c r="W147" s="74">
        <v>0.14399999999999999</v>
      </c>
      <c r="X147" s="50">
        <v>0.19400000000000001</v>
      </c>
      <c r="Y147" s="74">
        <v>1.7999999999999999E-2</v>
      </c>
    </row>
    <row r="148" spans="1:33" ht="14">
      <c r="A148" s="53" t="s">
        <v>34</v>
      </c>
      <c r="B148" s="50" t="s">
        <v>707</v>
      </c>
      <c r="C148" s="50" t="s">
        <v>1383</v>
      </c>
      <c r="D148" s="48" t="s">
        <v>200</v>
      </c>
      <c r="E148" s="50" t="s">
        <v>5601</v>
      </c>
      <c r="G148" s="76" t="s">
        <v>746</v>
      </c>
      <c r="H148" s="50" t="s">
        <v>3762</v>
      </c>
      <c r="I148" s="49" t="s">
        <v>2</v>
      </c>
      <c r="J148" s="50" t="s">
        <v>3765</v>
      </c>
      <c r="K148" s="51">
        <v>41744</v>
      </c>
      <c r="L148" s="115">
        <v>41737</v>
      </c>
      <c r="M148" s="50">
        <f t="shared" si="7"/>
        <v>7</v>
      </c>
      <c r="N148" s="50" t="s">
        <v>2</v>
      </c>
      <c r="O148" s="74">
        <f>1/2</f>
        <v>0.5</v>
      </c>
      <c r="P148" s="50">
        <v>7</v>
      </c>
      <c r="Q148" s="74">
        <v>8.5</v>
      </c>
      <c r="R148" s="50">
        <v>402</v>
      </c>
      <c r="S148" s="74">
        <v>7290</v>
      </c>
      <c r="T148" s="50">
        <v>3.75</v>
      </c>
      <c r="U148" s="74">
        <v>1.08</v>
      </c>
      <c r="V148" s="50">
        <v>1.32</v>
      </c>
      <c r="W148" s="74">
        <v>0.12</v>
      </c>
      <c r="X148" s="50">
        <v>0.17100000000000001</v>
      </c>
      <c r="Y148" s="74">
        <v>6.0000000000000001E-3</v>
      </c>
    </row>
    <row r="149" spans="1:33" ht="14">
      <c r="A149" s="53" t="s">
        <v>34</v>
      </c>
      <c r="B149" s="50" t="s">
        <v>707</v>
      </c>
      <c r="C149" s="50" t="s">
        <v>1383</v>
      </c>
      <c r="D149" s="48" t="s">
        <v>200</v>
      </c>
      <c r="E149" s="50" t="s">
        <v>5601</v>
      </c>
      <c r="G149" s="76" t="s">
        <v>746</v>
      </c>
      <c r="H149" s="50" t="s">
        <v>3762</v>
      </c>
      <c r="I149" s="49" t="s">
        <v>2</v>
      </c>
      <c r="J149" s="50" t="s">
        <v>3767</v>
      </c>
      <c r="K149" s="51">
        <v>41744</v>
      </c>
      <c r="L149" s="115">
        <v>41737</v>
      </c>
      <c r="M149" s="50">
        <f t="shared" si="7"/>
        <v>7</v>
      </c>
      <c r="N149" s="50" t="s">
        <v>2</v>
      </c>
      <c r="O149" s="74">
        <f>1/2</f>
        <v>0.5</v>
      </c>
      <c r="P149" s="50">
        <v>7</v>
      </c>
      <c r="Q149" s="74">
        <v>7.43</v>
      </c>
      <c r="R149" s="50">
        <v>3.7</v>
      </c>
      <c r="S149" s="74">
        <v>39</v>
      </c>
      <c r="T149" s="50">
        <v>0.05</v>
      </c>
      <c r="U149" s="74">
        <v>0.71</v>
      </c>
      <c r="V149" s="50">
        <v>1.58</v>
      </c>
      <c r="W149" s="74">
        <v>1.7000000000000001E-2</v>
      </c>
      <c r="X149" s="50">
        <v>5.5E-2</v>
      </c>
      <c r="Y149" s="74">
        <v>5.0000000000000001E-3</v>
      </c>
    </row>
    <row r="150" spans="1:33" ht="14">
      <c r="A150" s="53" t="s">
        <v>34</v>
      </c>
      <c r="B150" s="50" t="s">
        <v>707</v>
      </c>
      <c r="C150" s="50" t="s">
        <v>3855</v>
      </c>
      <c r="D150" s="48" t="s">
        <v>827</v>
      </c>
      <c r="E150" s="50" t="s">
        <v>3856</v>
      </c>
      <c r="G150" s="76" t="s">
        <v>708</v>
      </c>
      <c r="H150" s="50" t="s">
        <v>3857</v>
      </c>
      <c r="I150" s="49" t="s">
        <v>2</v>
      </c>
      <c r="J150" s="50" t="s">
        <v>709</v>
      </c>
      <c r="K150" s="51">
        <v>41759</v>
      </c>
      <c r="L150" s="115">
        <v>41755</v>
      </c>
      <c r="M150" s="50">
        <f t="shared" si="7"/>
        <v>4</v>
      </c>
      <c r="N150" s="50" t="s">
        <v>2</v>
      </c>
      <c r="O150" s="74">
        <v>2</v>
      </c>
      <c r="P150" s="50">
        <v>5.3</v>
      </c>
      <c r="Q150" s="74">
        <v>6.27</v>
      </c>
      <c r="R150" s="50">
        <v>15</v>
      </c>
      <c r="S150" s="74">
        <v>3</v>
      </c>
      <c r="T150" s="50">
        <f>0.05/2</f>
        <v>2.5000000000000001E-2</v>
      </c>
      <c r="U150" s="74">
        <v>0.4</v>
      </c>
      <c r="V150" s="50">
        <v>0.26</v>
      </c>
      <c r="W150" s="74">
        <f>0.005/2</f>
        <v>2.5000000000000001E-3</v>
      </c>
      <c r="X150" s="50">
        <v>8.9999999999999993E-3</v>
      </c>
      <c r="Y150" s="74">
        <f>0.002/2</f>
        <v>1E-3</v>
      </c>
    </row>
    <row r="151" spans="1:33" ht="14">
      <c r="A151" s="53" t="s">
        <v>34</v>
      </c>
      <c r="B151" s="50" t="s">
        <v>707</v>
      </c>
      <c r="C151" s="50" t="s">
        <v>3858</v>
      </c>
      <c r="D151" s="48" t="s">
        <v>290</v>
      </c>
      <c r="E151" s="50" t="s">
        <v>3859</v>
      </c>
      <c r="G151" s="76" t="s">
        <v>3860</v>
      </c>
      <c r="H151" s="50">
        <v>1422</v>
      </c>
      <c r="I151" s="49" t="s">
        <v>2</v>
      </c>
      <c r="J151" s="50" t="s">
        <v>3861</v>
      </c>
      <c r="K151" s="51">
        <v>41744</v>
      </c>
      <c r="L151" s="115">
        <v>41737</v>
      </c>
      <c r="M151" s="50">
        <f t="shared" si="7"/>
        <v>7</v>
      </c>
      <c r="N151" s="50" t="s">
        <v>2</v>
      </c>
      <c r="O151" s="74">
        <v>2.8</v>
      </c>
      <c r="P151" s="50">
        <v>7</v>
      </c>
      <c r="Q151" s="74">
        <v>7.22</v>
      </c>
      <c r="R151" s="50">
        <f>1/2</f>
        <v>0.5</v>
      </c>
      <c r="S151" s="74">
        <v>4</v>
      </c>
      <c r="T151" s="50">
        <f>0.05/2</f>
        <v>2.5000000000000001E-2</v>
      </c>
      <c r="U151" s="74">
        <v>0.8</v>
      </c>
      <c r="V151" s="50">
        <v>0.24</v>
      </c>
      <c r="W151" s="74">
        <v>7.0000000000000001E-3</v>
      </c>
      <c r="X151" s="50">
        <v>5.1999999999999998E-2</v>
      </c>
      <c r="Y151" s="74">
        <v>5.0000000000000001E-3</v>
      </c>
      <c r="Z151" s="164">
        <v>1</v>
      </c>
      <c r="AA151" s="165">
        <v>1</v>
      </c>
      <c r="AB151" s="50">
        <v>90.93</v>
      </c>
      <c r="AC151" s="74">
        <v>348</v>
      </c>
      <c r="AD151" s="164">
        <v>1</v>
      </c>
    </row>
    <row r="152" spans="1:33" ht="14">
      <c r="A152" s="53" t="s">
        <v>34</v>
      </c>
      <c r="B152" s="54" t="s">
        <v>707</v>
      </c>
      <c r="C152" s="54" t="s">
        <v>775</v>
      </c>
      <c r="D152" s="56" t="s">
        <v>200</v>
      </c>
      <c r="E152" s="54" t="s">
        <v>776</v>
      </c>
      <c r="F152" s="54"/>
      <c r="G152" s="61" t="s">
        <v>777</v>
      </c>
      <c r="H152" s="54">
        <v>1429</v>
      </c>
      <c r="I152" s="55" t="s">
        <v>2</v>
      </c>
      <c r="J152" s="54" t="s">
        <v>778</v>
      </c>
      <c r="K152" s="51">
        <v>41744</v>
      </c>
      <c r="L152" s="115">
        <v>41737</v>
      </c>
      <c r="M152" s="50">
        <f t="shared" si="7"/>
        <v>7</v>
      </c>
      <c r="N152" s="50" t="s">
        <v>2</v>
      </c>
      <c r="O152" s="74">
        <f>1/2</f>
        <v>0.5</v>
      </c>
      <c r="P152" s="50">
        <v>7</v>
      </c>
      <c r="Q152" s="74">
        <v>7.28</v>
      </c>
      <c r="R152" s="50">
        <v>11.3</v>
      </c>
      <c r="S152" s="74">
        <v>27</v>
      </c>
      <c r="T152" s="50">
        <f>0.05/2</f>
        <v>2.5000000000000001E-2</v>
      </c>
      <c r="U152" s="74">
        <v>0.52</v>
      </c>
      <c r="V152" s="50">
        <v>0.5</v>
      </c>
      <c r="W152" s="74">
        <v>1.7000000000000001E-2</v>
      </c>
      <c r="X152" s="50">
        <v>7.6999999999999999E-2</v>
      </c>
      <c r="Y152" s="74">
        <v>7.0000000000000001E-3</v>
      </c>
    </row>
    <row r="153" spans="1:33" ht="14">
      <c r="A153" s="53" t="s">
        <v>34</v>
      </c>
      <c r="B153" s="54" t="s">
        <v>707</v>
      </c>
      <c r="C153" s="54" t="s">
        <v>775</v>
      </c>
      <c r="D153" s="56" t="s">
        <v>200</v>
      </c>
      <c r="E153" s="54" t="s">
        <v>776</v>
      </c>
      <c r="F153" s="54"/>
      <c r="G153" s="61" t="s">
        <v>777</v>
      </c>
      <c r="H153" s="54">
        <v>1429</v>
      </c>
      <c r="I153" s="55" t="s">
        <v>2</v>
      </c>
      <c r="J153" s="54" t="s">
        <v>779</v>
      </c>
      <c r="K153" s="51">
        <v>41744</v>
      </c>
      <c r="L153" s="115">
        <v>41737</v>
      </c>
      <c r="M153" s="50">
        <f t="shared" si="7"/>
        <v>7</v>
      </c>
      <c r="N153" s="50" t="s">
        <v>2</v>
      </c>
      <c r="O153" s="74">
        <f>1/2</f>
        <v>0.5</v>
      </c>
      <c r="P153" s="50">
        <v>7</v>
      </c>
      <c r="Q153" s="74">
        <v>7.38</v>
      </c>
      <c r="R153" s="50">
        <v>41.4</v>
      </c>
      <c r="S153" s="74">
        <v>202</v>
      </c>
      <c r="T153" s="50">
        <v>0.13</v>
      </c>
      <c r="U153" s="74">
        <v>0.59</v>
      </c>
      <c r="V153" s="50">
        <v>0.44</v>
      </c>
      <c r="W153" s="74">
        <v>2.9000000000000001E-2</v>
      </c>
      <c r="X153" s="50">
        <v>0.13400000000000001</v>
      </c>
      <c r="Y153" s="74">
        <v>1.4E-2</v>
      </c>
    </row>
    <row r="154" spans="1:33" ht="14">
      <c r="A154" s="53" t="s">
        <v>34</v>
      </c>
      <c r="B154" s="50" t="s">
        <v>707</v>
      </c>
      <c r="C154" s="50" t="s">
        <v>3768</v>
      </c>
      <c r="D154" s="48" t="s">
        <v>756</v>
      </c>
      <c r="E154" s="50" t="s">
        <v>757</v>
      </c>
      <c r="G154" s="76" t="s">
        <v>758</v>
      </c>
      <c r="H154" s="50" t="s">
        <v>3769</v>
      </c>
      <c r="I154" s="49" t="s">
        <v>1</v>
      </c>
      <c r="J154" s="50" t="s">
        <v>761</v>
      </c>
      <c r="K154" s="51">
        <v>41744</v>
      </c>
      <c r="L154" s="115">
        <v>41737</v>
      </c>
      <c r="M154" s="50">
        <f t="shared" si="7"/>
        <v>7</v>
      </c>
      <c r="N154" s="50" t="s">
        <v>2</v>
      </c>
      <c r="O154" s="74">
        <v>5.6</v>
      </c>
      <c r="P154" s="50">
        <v>7</v>
      </c>
      <c r="Q154" s="74">
        <v>7.41</v>
      </c>
      <c r="R154" s="50">
        <v>127.9</v>
      </c>
      <c r="S154" s="74">
        <v>184</v>
      </c>
      <c r="T154" s="50">
        <v>0.42</v>
      </c>
      <c r="U154" s="74">
        <v>0.47</v>
      </c>
      <c r="V154" s="50">
        <v>0.56999999999999995</v>
      </c>
      <c r="W154" s="74">
        <v>1.4999999999999999E-2</v>
      </c>
      <c r="X154" s="50">
        <v>7.5999999999999998E-2</v>
      </c>
      <c r="Y154" s="74">
        <v>3.0000000000000001E-3</v>
      </c>
      <c r="AG154" s="402">
        <v>11.41</v>
      </c>
    </row>
    <row r="155" spans="1:33" ht="14">
      <c r="A155" s="53" t="s">
        <v>34</v>
      </c>
      <c r="B155" s="50" t="s">
        <v>707</v>
      </c>
      <c r="C155" s="50" t="s">
        <v>3768</v>
      </c>
      <c r="D155" s="48" t="s">
        <v>756</v>
      </c>
      <c r="E155" s="50" t="s">
        <v>757</v>
      </c>
      <c r="G155" s="76" t="s">
        <v>758</v>
      </c>
      <c r="H155" s="50" t="s">
        <v>3769</v>
      </c>
      <c r="I155" s="49" t="s">
        <v>1</v>
      </c>
      <c r="J155" s="50" t="s">
        <v>759</v>
      </c>
      <c r="K155" s="51">
        <v>41759</v>
      </c>
      <c r="L155" s="115">
        <v>41755</v>
      </c>
      <c r="M155" s="50">
        <f t="shared" si="7"/>
        <v>4</v>
      </c>
      <c r="N155" s="50" t="s">
        <v>2</v>
      </c>
      <c r="O155" s="74">
        <f>1/2</f>
        <v>0.5</v>
      </c>
      <c r="P155" s="50">
        <v>7</v>
      </c>
      <c r="Q155" s="74">
        <v>7.47</v>
      </c>
      <c r="S155" s="74">
        <v>9</v>
      </c>
      <c r="U155" s="74">
        <v>9</v>
      </c>
      <c r="V155" s="50">
        <v>0.12</v>
      </c>
    </row>
    <row r="156" spans="1:33" ht="14">
      <c r="A156" s="53" t="s">
        <v>34</v>
      </c>
      <c r="B156" s="50" t="s">
        <v>707</v>
      </c>
      <c r="C156" s="50" t="s">
        <v>1236</v>
      </c>
      <c r="D156" s="48" t="s">
        <v>111</v>
      </c>
      <c r="E156" s="50" t="s">
        <v>739</v>
      </c>
      <c r="G156" s="76" t="s">
        <v>740</v>
      </c>
      <c r="H156" s="50" t="s">
        <v>3862</v>
      </c>
      <c r="I156" s="49" t="s">
        <v>2</v>
      </c>
      <c r="J156" s="50" t="s">
        <v>3863</v>
      </c>
      <c r="K156" s="51">
        <v>41744</v>
      </c>
      <c r="L156" s="115">
        <v>41737</v>
      </c>
      <c r="M156" s="50">
        <f t="shared" si="7"/>
        <v>7</v>
      </c>
      <c r="N156" s="50" t="s">
        <v>2</v>
      </c>
      <c r="P156" s="50">
        <v>7</v>
      </c>
      <c r="T156" s="50">
        <f>0.05/2</f>
        <v>2.5000000000000001E-2</v>
      </c>
    </row>
    <row r="157" spans="1:33" ht="14">
      <c r="A157" s="53" t="s">
        <v>34</v>
      </c>
      <c r="B157" s="50" t="s">
        <v>707</v>
      </c>
      <c r="C157" s="50" t="s">
        <v>1236</v>
      </c>
      <c r="D157" s="48" t="s">
        <v>111</v>
      </c>
      <c r="E157" s="50" t="s">
        <v>739</v>
      </c>
      <c r="G157" s="76" t="s">
        <v>740</v>
      </c>
      <c r="H157" s="50" t="s">
        <v>3862</v>
      </c>
      <c r="I157" s="49" t="s">
        <v>2</v>
      </c>
      <c r="J157" s="50" t="s">
        <v>742</v>
      </c>
      <c r="K157" s="51">
        <v>41744</v>
      </c>
      <c r="L157" s="115">
        <v>41737</v>
      </c>
      <c r="M157" s="50">
        <f t="shared" si="7"/>
        <v>7</v>
      </c>
      <c r="N157" s="50" t="s">
        <v>2</v>
      </c>
      <c r="P157" s="50">
        <v>7</v>
      </c>
      <c r="V157" s="50">
        <v>0.14000000000000001</v>
      </c>
    </row>
    <row r="158" spans="1:33" ht="14">
      <c r="A158" s="53" t="s">
        <v>34</v>
      </c>
      <c r="B158" s="50" t="s">
        <v>707</v>
      </c>
      <c r="C158" s="50" t="s">
        <v>1236</v>
      </c>
      <c r="D158" s="48" t="s">
        <v>111</v>
      </c>
      <c r="E158" s="50" t="s">
        <v>739</v>
      </c>
      <c r="G158" s="76" t="s">
        <v>740</v>
      </c>
      <c r="H158" s="50" t="s">
        <v>3862</v>
      </c>
      <c r="I158" s="49" t="s">
        <v>2</v>
      </c>
      <c r="J158" s="50" t="s">
        <v>744</v>
      </c>
      <c r="K158" s="51">
        <v>41744</v>
      </c>
      <c r="L158" s="115">
        <v>41737</v>
      </c>
      <c r="M158" s="50">
        <f t="shared" si="7"/>
        <v>7</v>
      </c>
      <c r="N158" s="50" t="s">
        <v>2</v>
      </c>
      <c r="O158" s="74">
        <f>1/2</f>
        <v>0.5</v>
      </c>
      <c r="P158" s="50">
        <v>7</v>
      </c>
      <c r="Q158" s="74">
        <v>7.11</v>
      </c>
      <c r="S158" s="74">
        <v>2</v>
      </c>
      <c r="V158" s="50">
        <v>0.22</v>
      </c>
    </row>
    <row r="159" spans="1:33" ht="14">
      <c r="A159" s="53" t="s">
        <v>34</v>
      </c>
      <c r="B159" s="50" t="s">
        <v>532</v>
      </c>
      <c r="C159" s="50" t="s">
        <v>594</v>
      </c>
      <c r="D159" s="48" t="s">
        <v>595</v>
      </c>
      <c r="E159" s="50" t="s">
        <v>235</v>
      </c>
      <c r="G159" s="76" t="s">
        <v>596</v>
      </c>
      <c r="H159" s="50">
        <v>3281</v>
      </c>
      <c r="I159" s="49" t="s">
        <v>1</v>
      </c>
      <c r="J159" s="50" t="s">
        <v>366</v>
      </c>
      <c r="K159" s="51">
        <v>41585</v>
      </c>
      <c r="L159" s="115">
        <v>41579</v>
      </c>
      <c r="M159" s="50">
        <f t="shared" si="7"/>
        <v>6</v>
      </c>
      <c r="N159" s="50" t="s">
        <v>2</v>
      </c>
      <c r="O159" s="74">
        <f>1/2</f>
        <v>0.5</v>
      </c>
      <c r="P159" s="50">
        <v>5.7</v>
      </c>
      <c r="Q159" s="74">
        <v>7.6</v>
      </c>
      <c r="R159" s="50">
        <v>48</v>
      </c>
      <c r="S159" s="74">
        <v>39</v>
      </c>
      <c r="T159" s="50">
        <v>0.06</v>
      </c>
      <c r="U159" s="74">
        <v>1.02</v>
      </c>
      <c r="V159" s="50">
        <v>0.63</v>
      </c>
      <c r="W159" s="74">
        <v>8.0000000000000002E-3</v>
      </c>
      <c r="X159" s="50">
        <f>0.002/2</f>
        <v>1E-3</v>
      </c>
      <c r="Y159" s="74">
        <v>8.0000000000000002E-3</v>
      </c>
      <c r="AE159" s="74">
        <v>727</v>
      </c>
    </row>
    <row r="160" spans="1:33" ht="14">
      <c r="A160" s="53" t="s">
        <v>34</v>
      </c>
      <c r="B160" s="50" t="s">
        <v>63</v>
      </c>
      <c r="C160" s="50" t="s">
        <v>64</v>
      </c>
      <c r="D160" s="48" t="s">
        <v>588</v>
      </c>
      <c r="E160" s="50" t="s">
        <v>3185</v>
      </c>
      <c r="F160" s="50" t="s">
        <v>5960</v>
      </c>
      <c r="G160" s="76" t="s">
        <v>65</v>
      </c>
      <c r="H160" s="50">
        <v>1442</v>
      </c>
      <c r="I160" s="49" t="s">
        <v>2</v>
      </c>
      <c r="J160" s="50" t="s">
        <v>5961</v>
      </c>
      <c r="K160" s="51">
        <v>41765</v>
      </c>
      <c r="L160" s="115">
        <v>41758</v>
      </c>
      <c r="M160" s="50">
        <f t="shared" si="7"/>
        <v>7</v>
      </c>
      <c r="N160" s="50" t="s">
        <v>2</v>
      </c>
      <c r="O160" s="74">
        <f>5/2</f>
        <v>2.5</v>
      </c>
      <c r="P160" s="50">
        <v>6.1</v>
      </c>
      <c r="Q160" s="74">
        <v>6.61</v>
      </c>
      <c r="R160" s="50">
        <v>16</v>
      </c>
      <c r="S160" s="74">
        <f>5/2</f>
        <v>2.5</v>
      </c>
      <c r="T160" s="50">
        <f>0.1/2</f>
        <v>0.05</v>
      </c>
      <c r="U160" s="74">
        <f>1/2</f>
        <v>0.5</v>
      </c>
      <c r="V160" s="50">
        <v>0.5</v>
      </c>
      <c r="W160" s="74">
        <f>0.04/2</f>
        <v>0.02</v>
      </c>
      <c r="X160" s="50">
        <f>0.02/2</f>
        <v>0.01</v>
      </c>
      <c r="Y160" s="74">
        <f>0.013/2</f>
        <v>6.4999999999999997E-3</v>
      </c>
      <c r="Z160" s="164">
        <v>1</v>
      </c>
      <c r="AA160" s="165">
        <v>1</v>
      </c>
      <c r="AB160" s="50">
        <v>19</v>
      </c>
      <c r="AC160" s="74">
        <v>110</v>
      </c>
      <c r="AD160" s="164">
        <v>0.95</v>
      </c>
    </row>
    <row r="161" spans="1:36" ht="14">
      <c r="A161" s="53" t="s">
        <v>34</v>
      </c>
      <c r="B161" s="50" t="s">
        <v>3745</v>
      </c>
      <c r="C161" s="50" t="s">
        <v>3757</v>
      </c>
      <c r="D161" s="48" t="s">
        <v>1484</v>
      </c>
      <c r="E161" s="50" t="s">
        <v>5962</v>
      </c>
      <c r="G161" s="76" t="s">
        <v>3759</v>
      </c>
      <c r="H161" s="50">
        <v>1442</v>
      </c>
      <c r="I161" s="49" t="s">
        <v>2</v>
      </c>
      <c r="J161" s="50" t="s">
        <v>3760</v>
      </c>
      <c r="K161" s="51">
        <v>41585</v>
      </c>
      <c r="L161" s="115">
        <v>41554</v>
      </c>
      <c r="M161" s="50">
        <f t="shared" si="7"/>
        <v>31</v>
      </c>
      <c r="N161" s="50" t="s">
        <v>2</v>
      </c>
      <c r="O161" s="74">
        <v>5.9</v>
      </c>
      <c r="P161" s="50">
        <v>5.3</v>
      </c>
      <c r="Q161" s="74">
        <v>6.98</v>
      </c>
      <c r="R161" s="50">
        <v>140</v>
      </c>
      <c r="S161" s="74">
        <v>380</v>
      </c>
      <c r="T161" s="50">
        <v>0.36</v>
      </c>
      <c r="U161" s="74">
        <v>1.21</v>
      </c>
      <c r="V161" s="50">
        <f>0.01/2</f>
        <v>5.0000000000000001E-3</v>
      </c>
      <c r="W161" s="74">
        <v>3.3000000000000002E-2</v>
      </c>
      <c r="X161" s="50">
        <v>0.153</v>
      </c>
      <c r="Y161" s="74">
        <v>1.2999999999999999E-2</v>
      </c>
      <c r="Z161" s="164">
        <v>1</v>
      </c>
      <c r="AA161" s="165">
        <v>1</v>
      </c>
      <c r="AB161" s="50">
        <v>24</v>
      </c>
      <c r="AC161" s="74">
        <v>89</v>
      </c>
      <c r="AD161" s="164">
        <v>1</v>
      </c>
    </row>
    <row r="162" spans="1:36" ht="14">
      <c r="A162" s="53" t="s">
        <v>34</v>
      </c>
      <c r="B162" s="50" t="s">
        <v>3745</v>
      </c>
      <c r="C162" s="50" t="s">
        <v>5963</v>
      </c>
      <c r="D162" s="48" t="s">
        <v>150</v>
      </c>
      <c r="E162" s="50" t="s">
        <v>3747</v>
      </c>
      <c r="G162" s="76" t="s">
        <v>3748</v>
      </c>
      <c r="H162" s="50">
        <v>1429</v>
      </c>
      <c r="I162" s="49" t="s">
        <v>2</v>
      </c>
      <c r="J162" s="50" t="s">
        <v>3746</v>
      </c>
      <c r="K162" s="51">
        <v>41585</v>
      </c>
      <c r="L162" s="115">
        <v>41554</v>
      </c>
      <c r="M162" s="50">
        <f t="shared" si="7"/>
        <v>31</v>
      </c>
      <c r="N162" s="50" t="s">
        <v>2</v>
      </c>
      <c r="O162" s="74">
        <f>1.6/2</f>
        <v>0.8</v>
      </c>
      <c r="P162" s="50">
        <v>6.4</v>
      </c>
      <c r="Q162" s="74">
        <v>6.6</v>
      </c>
      <c r="R162" s="50">
        <v>37</v>
      </c>
      <c r="S162" s="74">
        <v>200</v>
      </c>
      <c r="T162" s="50">
        <v>0.24</v>
      </c>
      <c r="U162" s="74">
        <v>1.2</v>
      </c>
      <c r="V162" s="50">
        <v>0.23</v>
      </c>
      <c r="W162" s="74">
        <v>1.2999999999999999E-2</v>
      </c>
      <c r="X162" s="50">
        <v>4.4999999999999998E-2</v>
      </c>
      <c r="Y162" s="74">
        <v>7.0000000000000001E-3</v>
      </c>
      <c r="Z162" s="164">
        <v>1</v>
      </c>
      <c r="AA162" s="165">
        <v>1</v>
      </c>
      <c r="AB162" s="50">
        <v>122</v>
      </c>
      <c r="AC162" s="74">
        <v>331</v>
      </c>
      <c r="AD162" s="164">
        <v>1</v>
      </c>
    </row>
    <row r="163" spans="1:36" ht="14">
      <c r="A163" s="53" t="s">
        <v>34</v>
      </c>
      <c r="B163" s="50" t="s">
        <v>3745</v>
      </c>
      <c r="C163" s="50" t="s">
        <v>3749</v>
      </c>
      <c r="D163" s="48" t="s">
        <v>1135</v>
      </c>
      <c r="E163" s="50" t="s">
        <v>5964</v>
      </c>
      <c r="G163" s="76" t="s">
        <v>3751</v>
      </c>
      <c r="H163" s="50">
        <v>3273</v>
      </c>
      <c r="I163" s="49" t="s">
        <v>2</v>
      </c>
      <c r="J163" s="50" t="s">
        <v>3752</v>
      </c>
      <c r="K163" s="51">
        <v>41585</v>
      </c>
      <c r="L163" s="115">
        <v>41554</v>
      </c>
      <c r="M163" s="50">
        <f t="shared" si="7"/>
        <v>31</v>
      </c>
      <c r="N163" s="50" t="s">
        <v>2</v>
      </c>
      <c r="O163" s="74">
        <v>3.9</v>
      </c>
      <c r="Q163" s="74">
        <v>8.14</v>
      </c>
      <c r="R163" s="50">
        <v>98</v>
      </c>
      <c r="S163" s="74">
        <v>220</v>
      </c>
      <c r="T163" s="50">
        <v>0.61</v>
      </c>
      <c r="U163" s="74">
        <v>0.77</v>
      </c>
      <c r="V163" s="50">
        <v>7.0000000000000007E-2</v>
      </c>
      <c r="W163" s="74">
        <v>2.3E-2</v>
      </c>
      <c r="X163" s="50">
        <v>0.17</v>
      </c>
      <c r="Y163" s="74">
        <v>5.0000000000000001E-3</v>
      </c>
      <c r="Z163" s="164">
        <v>1</v>
      </c>
      <c r="AA163" s="165">
        <v>1</v>
      </c>
      <c r="AB163" s="50">
        <v>36</v>
      </c>
      <c r="AC163" s="74">
        <v>94</v>
      </c>
      <c r="AD163" s="164">
        <v>1</v>
      </c>
    </row>
    <row r="164" spans="1:36" ht="14">
      <c r="A164" s="53" t="s">
        <v>34</v>
      </c>
      <c r="B164" s="50" t="s">
        <v>3773</v>
      </c>
      <c r="D164" s="48" t="s">
        <v>684</v>
      </c>
      <c r="E164" s="50" t="s">
        <v>322</v>
      </c>
      <c r="F164" s="50" t="s">
        <v>1911</v>
      </c>
      <c r="G164" s="76" t="s">
        <v>3774</v>
      </c>
      <c r="H164" s="50">
        <v>1442</v>
      </c>
      <c r="I164" s="49" t="s">
        <v>2</v>
      </c>
      <c r="J164" s="50" t="s">
        <v>3775</v>
      </c>
      <c r="K164" s="51">
        <v>41781</v>
      </c>
      <c r="L164" s="115">
        <v>41776</v>
      </c>
      <c r="M164" s="50">
        <f t="shared" si="7"/>
        <v>5</v>
      </c>
      <c r="N164" s="50" t="s">
        <v>2</v>
      </c>
      <c r="O164" s="74">
        <f>2/2</f>
        <v>1</v>
      </c>
      <c r="P164" s="50">
        <v>6.8</v>
      </c>
      <c r="Q164" s="74">
        <v>8.1999999999999993</v>
      </c>
      <c r="R164" s="50">
        <v>18</v>
      </c>
      <c r="S164" s="74">
        <v>100</v>
      </c>
      <c r="T164" s="50">
        <f>0.05/2</f>
        <v>2.5000000000000001E-2</v>
      </c>
      <c r="U164" s="74">
        <v>8.27</v>
      </c>
      <c r="V164" s="50">
        <v>0.35</v>
      </c>
      <c r="W164" s="74">
        <v>1.4999999999999999E-2</v>
      </c>
      <c r="X164" s="50">
        <v>3.5000000000000003E-2</v>
      </c>
      <c r="Y164" s="74">
        <f>0.03/2</f>
        <v>1.4999999999999999E-2</v>
      </c>
      <c r="Z164" s="164">
        <v>1</v>
      </c>
      <c r="AA164" s="165">
        <v>1</v>
      </c>
      <c r="AB164" s="50">
        <v>22</v>
      </c>
      <c r="AC164" s="74">
        <v>49</v>
      </c>
      <c r="AD164" s="164">
        <v>1</v>
      </c>
    </row>
    <row r="165" spans="1:36" ht="14">
      <c r="A165" s="53" t="s">
        <v>34</v>
      </c>
      <c r="B165" s="50" t="s">
        <v>3773</v>
      </c>
      <c r="D165" s="48" t="s">
        <v>684</v>
      </c>
      <c r="E165" s="50" t="s">
        <v>322</v>
      </c>
      <c r="F165" s="50" t="s">
        <v>1911</v>
      </c>
      <c r="G165" s="76" t="s">
        <v>3774</v>
      </c>
      <c r="H165" s="50">
        <v>1442</v>
      </c>
      <c r="J165" s="50" t="s">
        <v>5965</v>
      </c>
      <c r="K165" s="51">
        <v>41781</v>
      </c>
      <c r="L165" s="115">
        <v>41776</v>
      </c>
      <c r="M165" s="50">
        <f t="shared" si="7"/>
        <v>5</v>
      </c>
      <c r="N165" s="50" t="s">
        <v>2</v>
      </c>
      <c r="O165" s="74">
        <f>2/2</f>
        <v>1</v>
      </c>
      <c r="P165" s="50">
        <v>6.8</v>
      </c>
      <c r="Q165" s="74">
        <v>7.5</v>
      </c>
      <c r="R165" s="50">
        <f>10/2</f>
        <v>5</v>
      </c>
      <c r="S165" s="74">
        <v>42</v>
      </c>
      <c r="T165" s="50">
        <v>7.0000000000000007E-2</v>
      </c>
      <c r="U165" s="74">
        <v>0.52</v>
      </c>
      <c r="V165" s="50">
        <v>0.24</v>
      </c>
      <c r="W165" s="74">
        <f>0.01/2</f>
        <v>5.0000000000000001E-3</v>
      </c>
      <c r="X165" s="50">
        <f>0.03/2</f>
        <v>1.4999999999999999E-2</v>
      </c>
      <c r="Y165" s="74">
        <f>0.03/2</f>
        <v>1.4999999999999999E-2</v>
      </c>
      <c r="Z165" s="164">
        <v>1</v>
      </c>
      <c r="AA165" s="165">
        <v>1</v>
      </c>
      <c r="AB165" s="50">
        <v>13</v>
      </c>
      <c r="AC165" s="74">
        <v>31</v>
      </c>
      <c r="AD165" s="164">
        <v>1</v>
      </c>
    </row>
    <row r="166" spans="1:36" ht="14">
      <c r="A166" s="53" t="s">
        <v>34</v>
      </c>
      <c r="B166" s="50" t="s">
        <v>3773</v>
      </c>
      <c r="D166" s="48" t="s">
        <v>684</v>
      </c>
      <c r="E166" s="50" t="s">
        <v>322</v>
      </c>
      <c r="F166" s="50" t="s">
        <v>1911</v>
      </c>
      <c r="G166" s="76" t="s">
        <v>3774</v>
      </c>
      <c r="H166" s="50">
        <v>1442</v>
      </c>
      <c r="I166" s="49" t="s">
        <v>2</v>
      </c>
      <c r="J166" s="50" t="s">
        <v>3777</v>
      </c>
      <c r="K166" s="51">
        <v>41781</v>
      </c>
      <c r="L166" s="115">
        <v>41776</v>
      </c>
      <c r="M166" s="50">
        <f t="shared" si="7"/>
        <v>5</v>
      </c>
      <c r="N166" s="50" t="s">
        <v>2</v>
      </c>
      <c r="O166" s="74">
        <f>2/2</f>
        <v>1</v>
      </c>
      <c r="P166" s="50">
        <v>6.8</v>
      </c>
      <c r="Q166" s="74">
        <v>6.9</v>
      </c>
      <c r="R166" s="50">
        <f>10/2</f>
        <v>5</v>
      </c>
      <c r="S166" s="74">
        <v>14</v>
      </c>
      <c r="T166" s="50">
        <v>0.91</v>
      </c>
      <c r="U166" s="74">
        <v>8.65</v>
      </c>
      <c r="V166" s="50">
        <v>0.19</v>
      </c>
      <c r="W166" s="74">
        <f>0.01/2</f>
        <v>5.0000000000000001E-3</v>
      </c>
      <c r="X166" s="50">
        <f>0.03/2</f>
        <v>1.4999999999999999E-2</v>
      </c>
      <c r="Y166" s="74">
        <f>0.03/2</f>
        <v>1.4999999999999999E-2</v>
      </c>
      <c r="Z166" s="164">
        <v>1</v>
      </c>
      <c r="AA166" s="165">
        <v>1</v>
      </c>
      <c r="AB166" s="50">
        <v>8</v>
      </c>
      <c r="AC166" s="74">
        <v>27</v>
      </c>
      <c r="AD166" s="164">
        <v>1</v>
      </c>
    </row>
    <row r="167" spans="1:36" ht="14">
      <c r="A167" s="53" t="s">
        <v>34</v>
      </c>
      <c r="B167" s="50" t="s">
        <v>3745</v>
      </c>
      <c r="C167" s="50" t="s">
        <v>3760</v>
      </c>
      <c r="D167" s="48" t="s">
        <v>1484</v>
      </c>
      <c r="E167" s="50" t="s">
        <v>3758</v>
      </c>
      <c r="G167" s="76" t="s">
        <v>3759</v>
      </c>
      <c r="H167" s="50">
        <v>1442</v>
      </c>
      <c r="I167" s="49" t="s">
        <v>2</v>
      </c>
      <c r="J167" s="50" t="s">
        <v>3760</v>
      </c>
      <c r="K167" s="51">
        <v>41736</v>
      </c>
      <c r="L167" s="115">
        <v>41729</v>
      </c>
      <c r="N167" s="50" t="s">
        <v>2</v>
      </c>
      <c r="O167" s="74">
        <v>2.2000000000000002</v>
      </c>
      <c r="R167" s="50">
        <v>34</v>
      </c>
      <c r="S167" s="74">
        <v>43</v>
      </c>
      <c r="T167" s="50">
        <v>0.11</v>
      </c>
      <c r="X167" s="50">
        <v>2.7E-2</v>
      </c>
    </row>
    <row r="168" spans="1:36" ht="14">
      <c r="A168" s="53" t="s">
        <v>34</v>
      </c>
      <c r="B168" s="50" t="s">
        <v>3745</v>
      </c>
      <c r="C168" s="50" t="s">
        <v>3756</v>
      </c>
      <c r="D168" s="48" t="s">
        <v>308</v>
      </c>
      <c r="E168" s="50" t="s">
        <v>6067</v>
      </c>
      <c r="G168" s="76" t="s">
        <v>3755</v>
      </c>
      <c r="H168" s="50">
        <v>1442</v>
      </c>
      <c r="I168" s="49" t="s">
        <v>2</v>
      </c>
      <c r="J168" s="50" t="s">
        <v>3756</v>
      </c>
      <c r="K168" s="51">
        <v>41736</v>
      </c>
      <c r="L168" s="115">
        <v>41729</v>
      </c>
      <c r="N168" s="50" t="s">
        <v>2</v>
      </c>
      <c r="R168" s="50">
        <v>21</v>
      </c>
      <c r="S168" s="74">
        <v>290</v>
      </c>
      <c r="T168" s="50">
        <v>0.31</v>
      </c>
      <c r="V168" s="50">
        <v>1.9</v>
      </c>
    </row>
    <row r="169" spans="1:36" ht="14">
      <c r="A169" s="53" t="s">
        <v>34</v>
      </c>
      <c r="B169" s="50" t="s">
        <v>3745</v>
      </c>
      <c r="C169" s="50" t="s">
        <v>3746</v>
      </c>
      <c r="D169" s="48" t="s">
        <v>150</v>
      </c>
      <c r="E169" s="50" t="s">
        <v>3747</v>
      </c>
      <c r="G169" s="76" t="s">
        <v>3748</v>
      </c>
      <c r="H169" s="50">
        <v>1429</v>
      </c>
      <c r="I169" s="49" t="s">
        <v>2</v>
      </c>
      <c r="J169" s="50" t="s">
        <v>3746</v>
      </c>
      <c r="K169" s="51">
        <v>41736</v>
      </c>
      <c r="L169" s="115">
        <v>41729</v>
      </c>
      <c r="N169" s="50" t="s">
        <v>2</v>
      </c>
      <c r="S169" s="74">
        <v>160</v>
      </c>
    </row>
    <row r="170" spans="1:36" ht="14">
      <c r="A170" s="53" t="s">
        <v>34</v>
      </c>
      <c r="B170" s="50" t="s">
        <v>3745</v>
      </c>
      <c r="C170" s="50" t="s">
        <v>3749</v>
      </c>
      <c r="D170" s="48" t="s">
        <v>1135</v>
      </c>
      <c r="E170" s="50" t="s">
        <v>3750</v>
      </c>
      <c r="G170" s="76" t="s">
        <v>3751</v>
      </c>
      <c r="H170" s="50">
        <v>3273</v>
      </c>
      <c r="I170" s="49" t="s">
        <v>2</v>
      </c>
      <c r="J170" s="50" t="s">
        <v>3752</v>
      </c>
      <c r="K170" s="51">
        <v>41736</v>
      </c>
      <c r="L170" s="115">
        <v>41729</v>
      </c>
      <c r="N170" s="50" t="s">
        <v>2</v>
      </c>
      <c r="S170" s="74">
        <v>190</v>
      </c>
    </row>
    <row r="171" spans="1:36" ht="14">
      <c r="A171" s="41" t="s">
        <v>34</v>
      </c>
      <c r="B171" s="402" t="s">
        <v>3771</v>
      </c>
      <c r="C171" s="402" t="s">
        <v>3771</v>
      </c>
      <c r="D171" s="401" t="s">
        <v>1160</v>
      </c>
      <c r="E171" s="402"/>
      <c r="F171" s="402">
        <v>4703</v>
      </c>
      <c r="G171" s="393" t="s">
        <v>3772</v>
      </c>
      <c r="H171" s="402">
        <v>1429</v>
      </c>
      <c r="I171" s="391" t="s">
        <v>2</v>
      </c>
      <c r="J171" s="402" t="s">
        <v>510</v>
      </c>
      <c r="K171" s="403">
        <v>41795</v>
      </c>
      <c r="L171" s="379">
        <v>41789</v>
      </c>
      <c r="M171" s="402"/>
      <c r="N171" s="402" t="s">
        <v>2</v>
      </c>
      <c r="O171" s="404">
        <v>1.7</v>
      </c>
      <c r="P171" s="402">
        <v>6.5</v>
      </c>
      <c r="Q171" s="404">
        <v>8.08</v>
      </c>
      <c r="R171" s="402">
        <v>57</v>
      </c>
      <c r="S171" s="404">
        <v>920</v>
      </c>
      <c r="T171" s="402">
        <v>1.7</v>
      </c>
      <c r="U171" s="404">
        <v>3.52</v>
      </c>
      <c r="V171" s="402">
        <v>0.46</v>
      </c>
      <c r="W171" s="404">
        <v>8.5999999999999993E-2</v>
      </c>
      <c r="X171" s="402">
        <v>0.14399999999999999</v>
      </c>
      <c r="Y171" s="404">
        <v>3.9E-2</v>
      </c>
      <c r="Z171" s="396"/>
      <c r="AA171" s="397"/>
      <c r="AB171" s="402"/>
      <c r="AC171" s="404"/>
      <c r="AD171" s="396"/>
      <c r="AE171" s="404"/>
      <c r="AJ171" s="404"/>
    </row>
  </sheetData>
  <autoFilter ref="A1:AI171"/>
  <conditionalFormatting sqref="O129:Y129 O2:O127 O129:O170">
    <cfRule type="cellIs" dxfId="1484" priority="373" stopIfTrue="1" operator="greaterThan">
      <formula>5</formula>
    </cfRule>
  </conditionalFormatting>
  <conditionalFormatting sqref="Q2:Q127 Q129:Q170">
    <cfRule type="cellIs" dxfId="1483" priority="372" stopIfTrue="1" operator="notBetween">
      <formula>5</formula>
      <formula>9</formula>
    </cfRule>
  </conditionalFormatting>
  <conditionalFormatting sqref="R2:R127 R129:R170">
    <cfRule type="cellIs" dxfId="1482" priority="371" stopIfTrue="1" operator="greaterThan">
      <formula>75</formula>
    </cfRule>
  </conditionalFormatting>
  <conditionalFormatting sqref="S2:S127 S129:S170">
    <cfRule type="cellIs" dxfId="1481" priority="370" stopIfTrue="1" operator="greaterThan">
      <formula>90</formula>
    </cfRule>
  </conditionalFormatting>
  <conditionalFormatting sqref="T2:T127 T129:T170">
    <cfRule type="cellIs" dxfId="1480" priority="369" stopIfTrue="1" operator="greaterThan">
      <formula>0.4</formula>
    </cfRule>
  </conditionalFormatting>
  <conditionalFormatting sqref="U2:U127 U129:U170">
    <cfRule type="cellIs" dxfId="1479" priority="368" stopIfTrue="1" operator="greaterThan">
      <formula>2.3</formula>
    </cfRule>
  </conditionalFormatting>
  <conditionalFormatting sqref="V2:V127 V129:V170">
    <cfRule type="cellIs" dxfId="1478" priority="367" stopIfTrue="1" operator="greaterThan">
      <formula>1.1</formula>
    </cfRule>
  </conditionalFormatting>
  <conditionalFormatting sqref="W2:W127 W129:W170">
    <cfRule type="cellIs" dxfId="1477" priority="366" stopIfTrue="1" operator="greaterThan">
      <formula>0.059</formula>
    </cfRule>
  </conditionalFormatting>
  <conditionalFormatting sqref="X2:X127 X129:X170">
    <cfRule type="cellIs" dxfId="1476" priority="365" stopIfTrue="1" operator="greaterThan">
      <formula>0.16</formula>
    </cfRule>
  </conditionalFormatting>
  <conditionalFormatting sqref="Y2:Y127 Y129:Y170">
    <cfRule type="cellIs" dxfId="1475" priority="364" stopIfTrue="1" operator="greaterThan">
      <formula>0.076</formula>
    </cfRule>
  </conditionalFormatting>
  <conditionalFormatting sqref="O146:O158">
    <cfRule type="cellIs" dxfId="1474" priority="120" stopIfTrue="1" operator="greaterThan">
      <formula>5</formula>
    </cfRule>
  </conditionalFormatting>
  <conditionalFormatting sqref="Q146:Q158">
    <cfRule type="cellIs" dxfId="1473" priority="119" stopIfTrue="1" operator="notBetween">
      <formula>5</formula>
      <formula>9</formula>
    </cfRule>
  </conditionalFormatting>
  <conditionalFormatting sqref="R146:R158">
    <cfRule type="cellIs" dxfId="1472" priority="118" stopIfTrue="1" operator="greaterThan">
      <formula>75</formula>
    </cfRule>
  </conditionalFormatting>
  <conditionalFormatting sqref="S146:S158">
    <cfRule type="cellIs" dxfId="1471" priority="117" stopIfTrue="1" operator="greaterThan">
      <formula>90</formula>
    </cfRule>
  </conditionalFormatting>
  <conditionalFormatting sqref="T146:T158">
    <cfRule type="cellIs" dxfId="1470" priority="116" stopIfTrue="1" operator="greaterThan">
      <formula>0.4</formula>
    </cfRule>
  </conditionalFormatting>
  <conditionalFormatting sqref="U146:U158">
    <cfRule type="cellIs" dxfId="1469" priority="115" stopIfTrue="1" operator="greaterThan">
      <formula>2.3</formula>
    </cfRule>
  </conditionalFormatting>
  <conditionalFormatting sqref="V146:V158">
    <cfRule type="cellIs" dxfId="1468" priority="114" stopIfTrue="1" operator="greaterThan">
      <formula>1.1</formula>
    </cfRule>
  </conditionalFormatting>
  <conditionalFormatting sqref="W146:W158">
    <cfRule type="cellIs" dxfId="1467" priority="113" stopIfTrue="1" operator="greaterThan">
      <formula>0.059</formula>
    </cfRule>
  </conditionalFormatting>
  <conditionalFormatting sqref="X146:X158">
    <cfRule type="cellIs" dxfId="1466" priority="112" stopIfTrue="1" operator="greaterThan">
      <formula>0.16</formula>
    </cfRule>
  </conditionalFormatting>
  <conditionalFormatting sqref="Y146:Y158">
    <cfRule type="cellIs" dxfId="1465" priority="111" stopIfTrue="1" operator="greaterThan">
      <formula>0.076</formula>
    </cfRule>
  </conditionalFormatting>
  <conditionalFormatting sqref="O167:O170">
    <cfRule type="cellIs" dxfId="1464" priority="90" stopIfTrue="1" operator="greaterThan">
      <formula>5</formula>
    </cfRule>
  </conditionalFormatting>
  <conditionalFormatting sqref="Q167:Q170">
    <cfRule type="cellIs" dxfId="1463" priority="89" stopIfTrue="1" operator="notBetween">
      <formula>5</formula>
      <formula>9</formula>
    </cfRule>
  </conditionalFormatting>
  <conditionalFormatting sqref="R167:R170">
    <cfRule type="cellIs" dxfId="1462" priority="88" stopIfTrue="1" operator="greaterThan">
      <formula>75</formula>
    </cfRule>
  </conditionalFormatting>
  <conditionalFormatting sqref="S167:S170">
    <cfRule type="cellIs" dxfId="1461" priority="87" stopIfTrue="1" operator="greaterThan">
      <formula>90</formula>
    </cfRule>
  </conditionalFormatting>
  <conditionalFormatting sqref="T167:T170">
    <cfRule type="cellIs" dxfId="1460" priority="86" stopIfTrue="1" operator="greaterThan">
      <formula>0.4</formula>
    </cfRule>
  </conditionalFormatting>
  <conditionalFormatting sqref="U167:U170">
    <cfRule type="cellIs" dxfId="1459" priority="85" stopIfTrue="1" operator="greaterThan">
      <formula>2.3</formula>
    </cfRule>
  </conditionalFormatting>
  <conditionalFormatting sqref="V167:V170">
    <cfRule type="cellIs" dxfId="1458" priority="84" stopIfTrue="1" operator="greaterThan">
      <formula>1.1</formula>
    </cfRule>
  </conditionalFormatting>
  <conditionalFormatting sqref="W167:W170">
    <cfRule type="cellIs" dxfId="1457" priority="83" stopIfTrue="1" operator="greaterThan">
      <formula>0.059</formula>
    </cfRule>
  </conditionalFormatting>
  <conditionalFormatting sqref="X167:X170">
    <cfRule type="cellIs" dxfId="1456" priority="82" stopIfTrue="1" operator="greaterThan">
      <formula>0.16</formula>
    </cfRule>
  </conditionalFormatting>
  <conditionalFormatting sqref="Y167:Y170">
    <cfRule type="cellIs" dxfId="1455" priority="81" stopIfTrue="1" operator="greaterThan">
      <formula>0.076</formula>
    </cfRule>
  </conditionalFormatting>
  <conditionalFormatting sqref="O167:O170">
    <cfRule type="cellIs" dxfId="1454" priority="80" stopIfTrue="1" operator="greaterThan">
      <formula>5</formula>
    </cfRule>
  </conditionalFormatting>
  <conditionalFormatting sqref="Q167:Q170">
    <cfRule type="cellIs" dxfId="1453" priority="79" stopIfTrue="1" operator="notBetween">
      <formula>5</formula>
      <formula>9</formula>
    </cfRule>
  </conditionalFormatting>
  <conditionalFormatting sqref="R167:R170">
    <cfRule type="cellIs" dxfId="1452" priority="78" stopIfTrue="1" operator="greaterThan">
      <formula>75</formula>
    </cfRule>
  </conditionalFormatting>
  <conditionalFormatting sqref="S167:S170">
    <cfRule type="cellIs" dxfId="1451" priority="77" stopIfTrue="1" operator="greaterThan">
      <formula>90</formula>
    </cfRule>
  </conditionalFormatting>
  <conditionalFormatting sqref="T167:T170">
    <cfRule type="cellIs" dxfId="1450" priority="76" stopIfTrue="1" operator="greaterThan">
      <formula>0.4</formula>
    </cfRule>
  </conditionalFormatting>
  <conditionalFormatting sqref="U167:U170">
    <cfRule type="cellIs" dxfId="1449" priority="75" stopIfTrue="1" operator="greaterThan">
      <formula>2.3</formula>
    </cfRule>
  </conditionalFormatting>
  <conditionalFormatting sqref="V167:V170">
    <cfRule type="cellIs" dxfId="1448" priority="74" stopIfTrue="1" operator="greaterThan">
      <formula>1.1</formula>
    </cfRule>
  </conditionalFormatting>
  <conditionalFormatting sqref="W167:W170">
    <cfRule type="cellIs" dxfId="1447" priority="73" stopIfTrue="1" operator="greaterThan">
      <formula>0.059</formula>
    </cfRule>
  </conditionalFormatting>
  <conditionalFormatting sqref="X167:X170">
    <cfRule type="cellIs" dxfId="1446" priority="72" stopIfTrue="1" operator="greaterThan">
      <formula>0.16</formula>
    </cfRule>
  </conditionalFormatting>
  <conditionalFormatting sqref="Y167:Y170">
    <cfRule type="cellIs" dxfId="1445" priority="71" stopIfTrue="1" operator="greaterThan">
      <formula>0.076</formula>
    </cfRule>
  </conditionalFormatting>
  <conditionalFormatting sqref="O167:O170">
    <cfRule type="cellIs" dxfId="1444" priority="40" stopIfTrue="1" operator="greaterThan">
      <formula>5</formula>
    </cfRule>
  </conditionalFormatting>
  <conditionalFormatting sqref="Q167:Q170">
    <cfRule type="cellIs" dxfId="1443" priority="39" stopIfTrue="1" operator="notBetween">
      <formula>5</formula>
      <formula>9</formula>
    </cfRule>
  </conditionalFormatting>
  <conditionalFormatting sqref="R167:R170">
    <cfRule type="cellIs" dxfId="1442" priority="38" stopIfTrue="1" operator="greaterThan">
      <formula>75</formula>
    </cfRule>
  </conditionalFormatting>
  <conditionalFormatting sqref="S167:S170">
    <cfRule type="cellIs" dxfId="1441" priority="37" stopIfTrue="1" operator="greaterThan">
      <formula>90</formula>
    </cfRule>
  </conditionalFormatting>
  <conditionalFormatting sqref="T167:T170">
    <cfRule type="cellIs" dxfId="1440" priority="36" stopIfTrue="1" operator="greaterThan">
      <formula>0.4</formula>
    </cfRule>
  </conditionalFormatting>
  <conditionalFormatting sqref="U167:U170">
    <cfRule type="cellIs" dxfId="1439" priority="35" stopIfTrue="1" operator="greaterThan">
      <formula>2.3</formula>
    </cfRule>
  </conditionalFormatting>
  <conditionalFormatting sqref="V167:V170">
    <cfRule type="cellIs" dxfId="1438" priority="34" stopIfTrue="1" operator="greaterThan">
      <formula>1.1</formula>
    </cfRule>
  </conditionalFormatting>
  <conditionalFormatting sqref="W167:W170">
    <cfRule type="cellIs" dxfId="1437" priority="33" stopIfTrue="1" operator="greaterThan">
      <formula>0.059</formula>
    </cfRule>
  </conditionalFormatting>
  <conditionalFormatting sqref="X167:X170">
    <cfRule type="cellIs" dxfId="1436" priority="32" stopIfTrue="1" operator="greaterThan">
      <formula>0.16</formula>
    </cfRule>
  </conditionalFormatting>
  <conditionalFormatting sqref="Y167:Y170">
    <cfRule type="cellIs" dxfId="1435" priority="31" stopIfTrue="1" operator="greaterThan">
      <formula>0.076</formula>
    </cfRule>
  </conditionalFormatting>
  <conditionalFormatting sqref="O167:O170">
    <cfRule type="cellIs" dxfId="1434" priority="30" stopIfTrue="1" operator="greaterThan">
      <formula>5</formula>
    </cfRule>
  </conditionalFormatting>
  <conditionalFormatting sqref="Q167:Q170">
    <cfRule type="cellIs" dxfId="1433" priority="29" stopIfTrue="1" operator="notBetween">
      <formula>5</formula>
      <formula>9</formula>
    </cfRule>
  </conditionalFormatting>
  <conditionalFormatting sqref="R167:R170">
    <cfRule type="cellIs" dxfId="1432" priority="28" stopIfTrue="1" operator="greaterThan">
      <formula>75</formula>
    </cfRule>
  </conditionalFormatting>
  <conditionalFormatting sqref="S167:S170">
    <cfRule type="cellIs" dxfId="1431" priority="27" stopIfTrue="1" operator="greaterThan">
      <formula>90</formula>
    </cfRule>
  </conditionalFormatting>
  <conditionalFormatting sqref="T167:T170">
    <cfRule type="cellIs" dxfId="1430" priority="26" stopIfTrue="1" operator="greaterThan">
      <formula>0.4</formula>
    </cfRule>
  </conditionalFormatting>
  <conditionalFormatting sqref="U167:U170">
    <cfRule type="cellIs" dxfId="1429" priority="25" stopIfTrue="1" operator="greaterThan">
      <formula>2.3</formula>
    </cfRule>
  </conditionalFormatting>
  <conditionalFormatting sqref="V167:V170">
    <cfRule type="cellIs" dxfId="1428" priority="24" stopIfTrue="1" operator="greaterThan">
      <formula>1.1</formula>
    </cfRule>
  </conditionalFormatting>
  <conditionalFormatting sqref="W167:W170">
    <cfRule type="cellIs" dxfId="1427" priority="23" stopIfTrue="1" operator="greaterThan">
      <formula>0.059</formula>
    </cfRule>
  </conditionalFormatting>
  <conditionalFormatting sqref="X167:X170">
    <cfRule type="cellIs" dxfId="1426" priority="22" stopIfTrue="1" operator="greaterThan">
      <formula>0.16</formula>
    </cfRule>
  </conditionalFormatting>
  <conditionalFormatting sqref="Y167:Y170">
    <cfRule type="cellIs" dxfId="1425" priority="21" stopIfTrue="1" operator="greaterThan">
      <formula>0.076</formula>
    </cfRule>
  </conditionalFormatting>
  <conditionalFormatting sqref="O171">
    <cfRule type="cellIs" dxfId="1424" priority="20" stopIfTrue="1" operator="greaterThan">
      <formula>5</formula>
    </cfRule>
  </conditionalFormatting>
  <conditionalFormatting sqref="Q171">
    <cfRule type="cellIs" dxfId="1423" priority="19" stopIfTrue="1" operator="notBetween">
      <formula>5</formula>
      <formula>9</formula>
    </cfRule>
  </conditionalFormatting>
  <conditionalFormatting sqref="R171">
    <cfRule type="cellIs" dxfId="1422" priority="18" stopIfTrue="1" operator="greaterThan">
      <formula>75</formula>
    </cfRule>
  </conditionalFormatting>
  <conditionalFormatting sqref="S171">
    <cfRule type="cellIs" dxfId="1421" priority="17" stopIfTrue="1" operator="greaterThan">
      <formula>90</formula>
    </cfRule>
  </conditionalFormatting>
  <conditionalFormatting sqref="T171">
    <cfRule type="cellIs" dxfId="1420" priority="16" stopIfTrue="1" operator="greaterThan">
      <formula>0.4</formula>
    </cfRule>
  </conditionalFormatting>
  <conditionalFormatting sqref="U171">
    <cfRule type="cellIs" dxfId="1419" priority="15" stopIfTrue="1" operator="greaterThan">
      <formula>2.3</formula>
    </cfRule>
  </conditionalFormatting>
  <conditionalFormatting sqref="V171">
    <cfRule type="cellIs" dxfId="1418" priority="14" stopIfTrue="1" operator="greaterThan">
      <formula>1.1</formula>
    </cfRule>
  </conditionalFormatting>
  <conditionalFormatting sqref="W171">
    <cfRule type="cellIs" dxfId="1417" priority="13" stopIfTrue="1" operator="greaterThan">
      <formula>0.059</formula>
    </cfRule>
  </conditionalFormatting>
  <conditionalFormatting sqref="X171">
    <cfRule type="cellIs" dxfId="1416" priority="12" stopIfTrue="1" operator="greaterThan">
      <formula>0.16</formula>
    </cfRule>
  </conditionalFormatting>
  <conditionalFormatting sqref="Y171">
    <cfRule type="cellIs" dxfId="1415" priority="11" stopIfTrue="1" operator="greaterThan">
      <formula>0.076</formula>
    </cfRule>
  </conditionalFormatting>
  <conditionalFormatting sqref="O128">
    <cfRule type="cellIs" dxfId="1414" priority="10" stopIfTrue="1" operator="greaterThan">
      <formula>5</formula>
    </cfRule>
  </conditionalFormatting>
  <conditionalFormatting sqref="Q128">
    <cfRule type="cellIs" dxfId="1413" priority="9" stopIfTrue="1" operator="notBetween">
      <formula>5</formula>
      <formula>9</formula>
    </cfRule>
  </conditionalFormatting>
  <conditionalFormatting sqref="R128">
    <cfRule type="cellIs" dxfId="1412" priority="8" stopIfTrue="1" operator="greaterThan">
      <formula>75</formula>
    </cfRule>
  </conditionalFormatting>
  <conditionalFormatting sqref="S128">
    <cfRule type="cellIs" dxfId="1411" priority="7" stopIfTrue="1" operator="greaterThan">
      <formula>90</formula>
    </cfRule>
  </conditionalFormatting>
  <conditionalFormatting sqref="T128">
    <cfRule type="cellIs" dxfId="1410" priority="6" stopIfTrue="1" operator="greaterThan">
      <formula>0.4</formula>
    </cfRule>
  </conditionalFormatting>
  <conditionalFormatting sqref="U128">
    <cfRule type="cellIs" dxfId="1409" priority="5" stopIfTrue="1" operator="greaterThan">
      <formula>2.3</formula>
    </cfRule>
  </conditionalFormatting>
  <conditionalFormatting sqref="V128">
    <cfRule type="cellIs" dxfId="1408" priority="4" stopIfTrue="1" operator="greaterThan">
      <formula>1.1</formula>
    </cfRule>
  </conditionalFormatting>
  <conditionalFormatting sqref="W128">
    <cfRule type="cellIs" dxfId="1407" priority="3" stopIfTrue="1" operator="greaterThan">
      <formula>0.059</formula>
    </cfRule>
  </conditionalFormatting>
  <conditionalFormatting sqref="X128">
    <cfRule type="cellIs" dxfId="1406" priority="2" stopIfTrue="1" operator="greaterThan">
      <formula>0.16</formula>
    </cfRule>
  </conditionalFormatting>
  <conditionalFormatting sqref="Y128">
    <cfRule type="cellIs" dxfId="1405" priority="1" stopIfTrue="1" operator="greaterThan">
      <formula>0.076</formula>
    </cfRule>
  </conditionalFormatting>
  <pageMargins left="0.7" right="0.7" top="0.75" bottom="0.75" header="0.3" footer="0.3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theme="0" tint="-0.249977111117893"/>
  </sheetPr>
  <dimension ref="A1:AY832"/>
  <sheetViews>
    <sheetView showGridLines="0" zoomScale="110" zoomScaleNormal="110" zoomScalePageLayoutView="110" workbookViewId="0">
      <pane ySplit="1" topLeftCell="A212" activePane="bottomLeft" state="frozen"/>
      <selection activeCell="C10632" sqref="C10632"/>
      <selection pane="bottomLeft" activeCell="A2" sqref="A2"/>
    </sheetView>
  </sheetViews>
  <sheetFormatPr baseColWidth="10" defaultColWidth="8.83203125" defaultRowHeight="15" customHeight="1" x14ac:dyDescent="0"/>
  <cols>
    <col min="1" max="1" width="20.33203125" style="293" bestFit="1" customWidth="1"/>
    <col min="2" max="2" width="22.5" style="50" customWidth="1"/>
    <col min="3" max="3" width="20" style="7" customWidth="1"/>
    <col min="4" max="4" width="5.33203125" style="48" customWidth="1"/>
    <col min="5" max="5" width="23.1640625" style="50" customWidth="1"/>
    <col min="6" max="6" width="15.6640625" style="50" customWidth="1"/>
    <col min="7" max="7" width="6.6640625" style="76" customWidth="1"/>
    <col min="8" max="8" width="6.33203125" style="50" customWidth="1"/>
    <col min="9" max="9" width="8.83203125" style="49"/>
    <col min="10" max="10" width="35.5" style="50" bestFit="1" customWidth="1"/>
    <col min="11" max="11" width="8.5" style="50" customWidth="1"/>
    <col min="12" max="12" width="9.33203125" style="49" customWidth="1"/>
    <col min="13" max="13" width="10.5" style="50" customWidth="1"/>
    <col min="14" max="14" width="8.83203125" style="50"/>
    <col min="15" max="15" width="8.83203125" style="74"/>
    <col min="16" max="16" width="8.83203125" style="50"/>
    <col min="17" max="17" width="8.83203125" style="74"/>
    <col min="18" max="18" width="8.83203125" style="50"/>
    <col min="19" max="19" width="8.83203125" style="74"/>
    <col min="20" max="20" width="8.83203125" style="50"/>
    <col min="21" max="21" width="8.83203125" style="74"/>
    <col min="22" max="22" width="8.83203125" style="50"/>
    <col min="23" max="23" width="8.83203125" style="74"/>
    <col min="24" max="24" width="9.5" style="50" bestFit="1" customWidth="1"/>
    <col min="25" max="25" width="8.83203125" style="74"/>
    <col min="26" max="26" width="8.83203125" style="164"/>
    <col min="27" max="27" width="8.83203125" style="165"/>
    <col min="28" max="28" width="10" style="50" customWidth="1"/>
    <col min="29" max="29" width="12.1640625" style="74" customWidth="1"/>
    <col min="30" max="30" width="14.33203125" style="164" customWidth="1"/>
    <col min="31" max="31" width="14.1640625" style="50" customWidth="1"/>
    <col min="32" max="39" width="8.83203125" style="50"/>
    <col min="40" max="40" width="8.83203125" style="114"/>
    <col min="41" max="41" width="10.1640625" style="114" customWidth="1"/>
    <col min="42" max="42" width="8.83203125" style="50"/>
    <col min="43" max="43" width="8.83203125" style="49"/>
    <col min="44" max="44" width="8.83203125" style="50"/>
    <col min="45" max="45" width="8.83203125" style="49"/>
    <col min="46" max="46" width="13.83203125" style="50" customWidth="1"/>
    <col min="47" max="47" width="8.83203125" style="2"/>
    <col min="48" max="48" width="8.83203125" style="1"/>
    <col min="49" max="49" width="8.83203125" style="5"/>
    <col min="51" max="51" width="8.83203125" style="5"/>
  </cols>
  <sheetData>
    <row r="1" spans="1:51" ht="51" customHeight="1" thickBot="1">
      <c r="A1" s="288" t="s">
        <v>32</v>
      </c>
      <c r="B1" s="37" t="s">
        <v>3</v>
      </c>
      <c r="C1" s="332" t="s">
        <v>4</v>
      </c>
      <c r="D1" s="39" t="s">
        <v>5</v>
      </c>
      <c r="E1" s="37" t="s">
        <v>6</v>
      </c>
      <c r="F1" s="37" t="s">
        <v>7</v>
      </c>
      <c r="G1" s="39" t="s">
        <v>0</v>
      </c>
      <c r="H1" s="37" t="s">
        <v>20</v>
      </c>
      <c r="I1" s="37" t="s">
        <v>8</v>
      </c>
      <c r="J1" s="37" t="s">
        <v>9</v>
      </c>
      <c r="K1" s="37" t="s">
        <v>10</v>
      </c>
      <c r="L1" s="37" t="s">
        <v>11</v>
      </c>
      <c r="M1" s="37" t="s">
        <v>12</v>
      </c>
      <c r="N1" s="37" t="s">
        <v>13</v>
      </c>
      <c r="O1" s="37" t="s">
        <v>4098</v>
      </c>
      <c r="P1" s="37" t="s">
        <v>14</v>
      </c>
      <c r="Q1" s="37" t="s">
        <v>4099</v>
      </c>
      <c r="R1" s="37" t="s">
        <v>4093</v>
      </c>
      <c r="S1" s="37" t="s">
        <v>4094</v>
      </c>
      <c r="T1" s="37" t="s">
        <v>4095</v>
      </c>
      <c r="U1" s="37" t="s">
        <v>4096</v>
      </c>
      <c r="V1" s="37" t="s">
        <v>4097</v>
      </c>
      <c r="W1" s="37" t="s">
        <v>4106</v>
      </c>
      <c r="X1" s="37" t="s">
        <v>4101</v>
      </c>
      <c r="Y1" s="37" t="s">
        <v>4102</v>
      </c>
      <c r="Z1" s="95" t="s">
        <v>15</v>
      </c>
      <c r="AA1" s="95" t="s">
        <v>16</v>
      </c>
      <c r="AB1" s="37" t="s">
        <v>17</v>
      </c>
      <c r="AC1" s="37" t="s">
        <v>18</v>
      </c>
      <c r="AD1" s="95" t="s">
        <v>19</v>
      </c>
      <c r="AE1" s="37" t="s">
        <v>4107</v>
      </c>
      <c r="AF1" s="184" t="s">
        <v>4112</v>
      </c>
      <c r="AG1" s="184" t="s">
        <v>4113</v>
      </c>
      <c r="AH1" s="184" t="s">
        <v>4114</v>
      </c>
      <c r="AI1" s="184" t="s">
        <v>5291</v>
      </c>
      <c r="AJ1" s="184" t="s">
        <v>5292</v>
      </c>
      <c r="AK1" s="184" t="s">
        <v>5293</v>
      </c>
      <c r="AL1" s="184" t="s">
        <v>5294</v>
      </c>
      <c r="AM1" s="184" t="s">
        <v>4115</v>
      </c>
      <c r="AN1" s="289" t="s">
        <v>4116</v>
      </c>
      <c r="AO1" s="97" t="s">
        <v>5607</v>
      </c>
      <c r="AP1" s="96" t="s">
        <v>1202</v>
      </c>
      <c r="AQ1" s="99" t="s">
        <v>1004</v>
      </c>
      <c r="AR1" s="96" t="s">
        <v>3022</v>
      </c>
      <c r="AS1" s="99" t="s">
        <v>3023</v>
      </c>
      <c r="AT1" s="37" t="s">
        <v>1214</v>
      </c>
      <c r="AU1" s="35" t="s">
        <v>5605</v>
      </c>
      <c r="AV1" s="24" t="s">
        <v>3583</v>
      </c>
      <c r="AW1" s="23" t="s">
        <v>30</v>
      </c>
      <c r="AX1" s="24" t="s">
        <v>1003</v>
      </c>
      <c r="AY1" s="23" t="s">
        <v>1000</v>
      </c>
    </row>
    <row r="2" spans="1:51" ht="15" customHeight="1">
      <c r="A2" s="290" t="s">
        <v>68</v>
      </c>
      <c r="B2" s="50" t="s">
        <v>232</v>
      </c>
      <c r="C2" s="7" t="s">
        <v>239</v>
      </c>
      <c r="D2" s="48" t="s">
        <v>234</v>
      </c>
      <c r="E2" s="50" t="s">
        <v>240</v>
      </c>
      <c r="G2" s="76" t="s">
        <v>241</v>
      </c>
      <c r="H2" s="50">
        <v>4212</v>
      </c>
      <c r="I2" s="49" t="s">
        <v>1</v>
      </c>
      <c r="J2" s="50" t="s">
        <v>242</v>
      </c>
      <c r="K2" s="51">
        <v>40835</v>
      </c>
      <c r="L2" s="115">
        <v>40830</v>
      </c>
      <c r="M2" s="50">
        <v>5</v>
      </c>
      <c r="N2" s="50" t="s">
        <v>2</v>
      </c>
      <c r="O2" s="49">
        <v>2.1</v>
      </c>
      <c r="P2" s="50">
        <v>5.6</v>
      </c>
      <c r="Q2" s="113">
        <v>6.8</v>
      </c>
      <c r="R2" s="50">
        <v>42</v>
      </c>
      <c r="S2" s="74">
        <v>70</v>
      </c>
      <c r="T2" s="50">
        <v>0.28000000000000003</v>
      </c>
      <c r="U2" s="74">
        <v>1.05</v>
      </c>
      <c r="V2" s="50">
        <f>0.2/2</f>
        <v>0.1</v>
      </c>
      <c r="W2" s="74">
        <v>0.01</v>
      </c>
      <c r="X2" s="50">
        <v>0.06</v>
      </c>
      <c r="Y2" s="74">
        <v>0.02</v>
      </c>
      <c r="AA2" s="164"/>
      <c r="AC2" s="50"/>
      <c r="AE2" s="50">
        <v>6.61</v>
      </c>
    </row>
    <row r="3" spans="1:51" ht="15" customHeight="1">
      <c r="A3" s="87" t="s">
        <v>68</v>
      </c>
      <c r="B3" s="291" t="s">
        <v>280</v>
      </c>
      <c r="C3" s="320" t="s">
        <v>281</v>
      </c>
      <c r="D3" s="56" t="s">
        <v>84</v>
      </c>
      <c r="E3" s="54" t="s">
        <v>282</v>
      </c>
      <c r="F3" s="54"/>
      <c r="G3" s="61" t="s">
        <v>283</v>
      </c>
      <c r="H3" s="54">
        <v>4953</v>
      </c>
      <c r="I3" s="55" t="s">
        <v>2</v>
      </c>
      <c r="J3" s="54" t="s">
        <v>284</v>
      </c>
      <c r="K3" s="57">
        <v>40835</v>
      </c>
      <c r="L3" s="132">
        <v>40830</v>
      </c>
      <c r="M3" s="54">
        <v>5</v>
      </c>
      <c r="N3" s="54" t="s">
        <v>2</v>
      </c>
      <c r="O3" s="155">
        <v>2.2000000000000002</v>
      </c>
      <c r="P3" s="54">
        <v>5.6</v>
      </c>
      <c r="Q3" s="155">
        <v>7.54</v>
      </c>
      <c r="R3" s="54">
        <v>20</v>
      </c>
      <c r="S3" s="155">
        <v>9</v>
      </c>
      <c r="T3" s="54">
        <v>2.4E-2</v>
      </c>
      <c r="U3" s="155">
        <v>1.8</v>
      </c>
      <c r="V3" s="54">
        <v>0.32800000000000001</v>
      </c>
      <c r="W3" s="155">
        <f>0.005/2</f>
        <v>2.5000000000000001E-3</v>
      </c>
      <c r="X3" s="54">
        <v>3.0800000000000001E-2</v>
      </c>
      <c r="Y3" s="155">
        <f>0.003/2</f>
        <v>1.5E-3</v>
      </c>
      <c r="Z3" s="144">
        <v>1</v>
      </c>
      <c r="AA3" s="158">
        <v>0.89700000000000002</v>
      </c>
      <c r="AB3" s="54"/>
      <c r="AC3" s="155">
        <v>238</v>
      </c>
      <c r="AD3" s="157">
        <v>0.45</v>
      </c>
      <c r="AE3" s="54">
        <v>0.313</v>
      </c>
      <c r="AF3" s="54">
        <v>6</v>
      </c>
      <c r="AG3" s="54">
        <v>9</v>
      </c>
      <c r="AH3" s="54">
        <v>1.27</v>
      </c>
      <c r="AI3" s="54">
        <f>0.0103/2</f>
        <v>5.1500000000000001E-3</v>
      </c>
      <c r="AJ3" s="54">
        <f>0.0103/2</f>
        <v>5.1500000000000001E-3</v>
      </c>
      <c r="AK3" s="54">
        <f>0.00513/2</f>
        <v>2.565E-3</v>
      </c>
      <c r="AL3" s="54">
        <f>0.00513/2</f>
        <v>2.565E-3</v>
      </c>
      <c r="AM3" s="54">
        <v>3.0800000000000001E-2</v>
      </c>
      <c r="AN3" s="258">
        <v>7.54</v>
      </c>
    </row>
    <row r="4" spans="1:51" ht="15" customHeight="1">
      <c r="A4" s="87" t="s">
        <v>68</v>
      </c>
      <c r="B4" s="291" t="s">
        <v>293</v>
      </c>
      <c r="C4" s="320" t="s">
        <v>294</v>
      </c>
      <c r="D4" s="56" t="s">
        <v>295</v>
      </c>
      <c r="E4" s="54" t="s">
        <v>296</v>
      </c>
      <c r="F4" s="54"/>
      <c r="G4" s="61" t="s">
        <v>297</v>
      </c>
      <c r="H4" s="54">
        <v>4953</v>
      </c>
      <c r="I4" s="55"/>
      <c r="J4" s="54" t="s">
        <v>298</v>
      </c>
      <c r="K4" s="57">
        <v>40835</v>
      </c>
      <c r="L4" s="132">
        <v>40830</v>
      </c>
      <c r="M4" s="54">
        <v>5</v>
      </c>
      <c r="N4" s="54" t="s">
        <v>2</v>
      </c>
      <c r="O4" s="55">
        <v>1.1000000000000001</v>
      </c>
      <c r="P4" s="54">
        <v>6.51</v>
      </c>
      <c r="Q4" s="149">
        <v>6.69</v>
      </c>
      <c r="R4" s="54">
        <f>1/2</f>
        <v>0.5</v>
      </c>
      <c r="S4" s="155">
        <v>16</v>
      </c>
      <c r="T4" s="54">
        <f>0.1/2</f>
        <v>0.05</v>
      </c>
      <c r="U4" s="155">
        <v>1.72</v>
      </c>
      <c r="V4" s="54">
        <f>0.05/2</f>
        <v>2.5000000000000001E-2</v>
      </c>
      <c r="W4" s="155">
        <v>0.11</v>
      </c>
      <c r="X4" s="54">
        <f>0.05/2</f>
        <v>2.5000000000000001E-2</v>
      </c>
      <c r="Y4" s="155">
        <f>0.05/2</f>
        <v>2.5000000000000001E-2</v>
      </c>
      <c r="Z4" s="144">
        <v>1</v>
      </c>
      <c r="AA4" s="144">
        <v>1</v>
      </c>
      <c r="AB4" s="54">
        <v>108</v>
      </c>
      <c r="AC4" s="155">
        <v>181</v>
      </c>
      <c r="AD4" s="157">
        <v>1</v>
      </c>
      <c r="AE4" s="54"/>
      <c r="AF4" s="54"/>
      <c r="AG4" s="54"/>
      <c r="AH4" s="54"/>
      <c r="AI4" s="54"/>
      <c r="AJ4" s="54"/>
      <c r="AK4" s="54"/>
      <c r="AL4" s="54"/>
      <c r="AM4" s="54"/>
      <c r="AN4" s="258"/>
    </row>
    <row r="5" spans="1:51" ht="15" customHeight="1">
      <c r="A5" s="87" t="s">
        <v>68</v>
      </c>
      <c r="B5" s="291" t="s">
        <v>293</v>
      </c>
      <c r="C5" s="320" t="s">
        <v>294</v>
      </c>
      <c r="D5" s="56" t="s">
        <v>295</v>
      </c>
      <c r="E5" s="54" t="s">
        <v>296</v>
      </c>
      <c r="F5" s="54"/>
      <c r="G5" s="61" t="s">
        <v>297</v>
      </c>
      <c r="H5" s="54">
        <v>4953</v>
      </c>
      <c r="I5" s="55"/>
      <c r="J5" s="54" t="s">
        <v>299</v>
      </c>
      <c r="K5" s="57">
        <v>40835</v>
      </c>
      <c r="L5" s="132">
        <v>40830</v>
      </c>
      <c r="M5" s="54">
        <v>5</v>
      </c>
      <c r="N5" s="54" t="s">
        <v>2</v>
      </c>
      <c r="O5" s="55">
        <v>1.8</v>
      </c>
      <c r="P5" s="54">
        <v>6.83</v>
      </c>
      <c r="Q5" s="149">
        <v>6.88</v>
      </c>
      <c r="R5" s="54">
        <v>119</v>
      </c>
      <c r="S5" s="155">
        <v>1690</v>
      </c>
      <c r="T5" s="54">
        <v>0.77</v>
      </c>
      <c r="U5" s="155">
        <v>5.74</v>
      </c>
      <c r="V5" s="54">
        <v>0.13</v>
      </c>
      <c r="W5" s="155">
        <v>0.11</v>
      </c>
      <c r="X5" s="54">
        <v>0.12</v>
      </c>
      <c r="Y5" s="155">
        <f>0.05/2</f>
        <v>2.5000000000000001E-2</v>
      </c>
      <c r="Z5" s="144">
        <v>1</v>
      </c>
      <c r="AA5" s="144">
        <v>1</v>
      </c>
      <c r="AB5" s="54">
        <v>86</v>
      </c>
      <c r="AC5" s="155">
        <v>195</v>
      </c>
      <c r="AD5" s="157">
        <v>0.9</v>
      </c>
      <c r="AE5" s="54"/>
      <c r="AF5" s="54"/>
      <c r="AG5" s="54"/>
      <c r="AH5" s="54"/>
      <c r="AI5" s="54"/>
      <c r="AJ5" s="54"/>
      <c r="AK5" s="54"/>
      <c r="AL5" s="54"/>
      <c r="AM5" s="54"/>
      <c r="AN5" s="258"/>
    </row>
    <row r="6" spans="1:51" ht="15" customHeight="1">
      <c r="A6" s="87" t="s">
        <v>68</v>
      </c>
      <c r="B6" s="54" t="s">
        <v>336</v>
      </c>
      <c r="C6" s="320" t="s">
        <v>337</v>
      </c>
      <c r="D6" s="56" t="s">
        <v>338</v>
      </c>
      <c r="E6" s="54" t="s">
        <v>235</v>
      </c>
      <c r="F6" s="54">
        <v>6900</v>
      </c>
      <c r="G6" s="61" t="s">
        <v>339</v>
      </c>
      <c r="H6" s="54">
        <v>4953</v>
      </c>
      <c r="I6" s="55"/>
      <c r="J6" s="54" t="s">
        <v>340</v>
      </c>
      <c r="K6" s="57">
        <v>40876</v>
      </c>
      <c r="L6" s="132">
        <v>40870</v>
      </c>
      <c r="M6" s="54">
        <v>6</v>
      </c>
      <c r="N6" s="54" t="s">
        <v>2</v>
      </c>
      <c r="O6" s="55">
        <v>5</v>
      </c>
      <c r="P6" s="54">
        <v>6.02</v>
      </c>
      <c r="Q6" s="149">
        <v>7.23</v>
      </c>
      <c r="R6" s="54">
        <v>47.8</v>
      </c>
      <c r="S6" s="155">
        <v>35</v>
      </c>
      <c r="T6" s="54">
        <v>0.11</v>
      </c>
      <c r="U6" s="155">
        <v>2.0699999999999998</v>
      </c>
      <c r="V6" s="54">
        <f>0.2/2</f>
        <v>0.1</v>
      </c>
      <c r="W6" s="155">
        <v>0.01</v>
      </c>
      <c r="X6" s="54">
        <v>0.04</v>
      </c>
      <c r="Y6" s="155">
        <f>0.02/2</f>
        <v>0.01</v>
      </c>
      <c r="Z6" s="144">
        <v>1</v>
      </c>
      <c r="AA6" s="144">
        <v>1</v>
      </c>
      <c r="AB6" s="54">
        <v>13.5</v>
      </c>
      <c r="AC6" s="155">
        <v>43.1</v>
      </c>
      <c r="AD6" s="157">
        <v>1</v>
      </c>
      <c r="AE6" s="54">
        <v>2.75</v>
      </c>
      <c r="AF6" s="54">
        <v>4.0999999999999996</v>
      </c>
      <c r="AG6" s="54">
        <v>35</v>
      </c>
      <c r="AH6" s="54">
        <f>0.1/2</f>
        <v>0.05</v>
      </c>
      <c r="AI6" s="54">
        <f>0.01/2</f>
        <v>5.0000000000000001E-3</v>
      </c>
      <c r="AJ6" s="54">
        <f>0.02/2</f>
        <v>0.01</v>
      </c>
      <c r="AK6" s="54">
        <f>0.01/2</f>
        <v>5.0000000000000001E-3</v>
      </c>
      <c r="AL6" s="54">
        <f>0.02/2</f>
        <v>0.01</v>
      </c>
      <c r="AM6" s="54">
        <v>0.04</v>
      </c>
      <c r="AN6" s="258">
        <v>7.23</v>
      </c>
    </row>
    <row r="7" spans="1:51" ht="15" customHeight="1">
      <c r="A7" s="87" t="s">
        <v>68</v>
      </c>
      <c r="B7" s="54" t="s">
        <v>336</v>
      </c>
      <c r="C7" s="320" t="s">
        <v>337</v>
      </c>
      <c r="D7" s="56" t="s">
        <v>338</v>
      </c>
      <c r="E7" s="54" t="s">
        <v>235</v>
      </c>
      <c r="F7" s="54">
        <v>6900</v>
      </c>
      <c r="G7" s="61" t="s">
        <v>339</v>
      </c>
      <c r="H7" s="54">
        <v>4953</v>
      </c>
      <c r="I7" s="55"/>
      <c r="J7" s="54" t="s">
        <v>341</v>
      </c>
      <c r="K7" s="57">
        <v>40876</v>
      </c>
      <c r="L7" s="132">
        <v>40870</v>
      </c>
      <c r="M7" s="54">
        <v>6</v>
      </c>
      <c r="N7" s="54" t="s">
        <v>2</v>
      </c>
      <c r="O7" s="55">
        <f>1/2</f>
        <v>0.5</v>
      </c>
      <c r="P7" s="54">
        <v>6.02</v>
      </c>
      <c r="Q7" s="149">
        <v>7.14</v>
      </c>
      <c r="R7" s="54">
        <v>32.1</v>
      </c>
      <c r="S7" s="155">
        <v>31</v>
      </c>
      <c r="T7" s="54">
        <f>0.05/2</f>
        <v>2.5000000000000001E-2</v>
      </c>
      <c r="U7" s="155">
        <v>9.43</v>
      </c>
      <c r="V7" s="54">
        <v>0.24</v>
      </c>
      <c r="W7" s="155">
        <f>0.01/2</f>
        <v>5.0000000000000001E-3</v>
      </c>
      <c r="X7" s="54">
        <v>0.02</v>
      </c>
      <c r="Y7" s="155">
        <f>0.02/2</f>
        <v>0.01</v>
      </c>
      <c r="Z7" s="144">
        <v>1</v>
      </c>
      <c r="AA7" s="144">
        <v>1</v>
      </c>
      <c r="AB7" s="54">
        <v>92.9</v>
      </c>
      <c r="AC7" s="155">
        <v>712</v>
      </c>
      <c r="AD7" s="157">
        <v>1</v>
      </c>
      <c r="AE7" s="54">
        <v>9.6300000000000008</v>
      </c>
      <c r="AF7" s="54">
        <v>1.9</v>
      </c>
      <c r="AG7" s="54">
        <v>31</v>
      </c>
      <c r="AH7" s="54">
        <v>8.67</v>
      </c>
      <c r="AI7" s="54">
        <f>0.01/2</f>
        <v>5.0000000000000001E-3</v>
      </c>
      <c r="AJ7" s="54">
        <f>0.02/2</f>
        <v>0.01</v>
      </c>
      <c r="AK7" s="54">
        <f>0.01/2</f>
        <v>5.0000000000000001E-3</v>
      </c>
      <c r="AL7" s="54">
        <f>0.02/2</f>
        <v>0.01</v>
      </c>
      <c r="AM7" s="54">
        <v>0.02</v>
      </c>
      <c r="AN7" s="258">
        <v>7.14</v>
      </c>
    </row>
    <row r="8" spans="1:51" ht="15" customHeight="1">
      <c r="A8" s="87" t="s">
        <v>68</v>
      </c>
      <c r="B8" s="54" t="s">
        <v>457</v>
      </c>
      <c r="C8" s="320" t="s">
        <v>392</v>
      </c>
      <c r="D8" s="56" t="s">
        <v>458</v>
      </c>
      <c r="E8" s="54" t="s">
        <v>969</v>
      </c>
      <c r="F8" s="54">
        <v>4710</v>
      </c>
      <c r="G8" s="61" t="s">
        <v>459</v>
      </c>
      <c r="H8" s="54">
        <v>9199</v>
      </c>
      <c r="I8" s="55" t="s">
        <v>2</v>
      </c>
      <c r="J8" s="54" t="s">
        <v>460</v>
      </c>
      <c r="K8" s="57">
        <v>40835</v>
      </c>
      <c r="L8" s="132">
        <v>40830</v>
      </c>
      <c r="M8" s="54">
        <v>5</v>
      </c>
      <c r="N8" s="54" t="s">
        <v>2</v>
      </c>
      <c r="O8" s="55">
        <f>1.6/2</f>
        <v>0.8</v>
      </c>
      <c r="P8" s="54">
        <v>5.2</v>
      </c>
      <c r="Q8" s="149">
        <v>7.04</v>
      </c>
      <c r="R8" s="54">
        <v>37</v>
      </c>
      <c r="S8" s="155">
        <v>13</v>
      </c>
      <c r="T8" s="54">
        <v>7.0000000000000007E-2</v>
      </c>
      <c r="U8" s="155">
        <v>0.49</v>
      </c>
      <c r="V8" s="54">
        <v>0.09</v>
      </c>
      <c r="W8" s="155">
        <v>7.0000000000000001E-3</v>
      </c>
      <c r="X8" s="54">
        <v>3.3000000000000002E-2</v>
      </c>
      <c r="Y8" s="155">
        <v>2E-3</v>
      </c>
      <c r="Z8" s="144">
        <v>1</v>
      </c>
      <c r="AA8" s="144">
        <v>1</v>
      </c>
      <c r="AB8" s="54">
        <v>6</v>
      </c>
      <c r="AC8" s="155">
        <v>29</v>
      </c>
      <c r="AD8" s="157">
        <v>1</v>
      </c>
      <c r="AE8" s="54"/>
      <c r="AF8" s="54"/>
      <c r="AG8" s="54"/>
      <c r="AH8" s="54"/>
      <c r="AI8" s="54"/>
      <c r="AJ8" s="54"/>
      <c r="AK8" s="54"/>
      <c r="AL8" s="54"/>
      <c r="AM8" s="54"/>
      <c r="AN8" s="258"/>
    </row>
    <row r="9" spans="1:51" ht="15" customHeight="1">
      <c r="A9" s="87" t="s">
        <v>68</v>
      </c>
      <c r="B9" s="54" t="s">
        <v>457</v>
      </c>
      <c r="C9" s="320" t="s">
        <v>392</v>
      </c>
      <c r="D9" s="56" t="s">
        <v>458</v>
      </c>
      <c r="E9" s="54" t="s">
        <v>969</v>
      </c>
      <c r="F9" s="54">
        <v>4710</v>
      </c>
      <c r="G9" s="61" t="s">
        <v>459</v>
      </c>
      <c r="H9" s="54">
        <v>9199</v>
      </c>
      <c r="I9" s="55" t="s">
        <v>2</v>
      </c>
      <c r="J9" s="54" t="s">
        <v>357</v>
      </c>
      <c r="K9" s="57">
        <v>40835</v>
      </c>
      <c r="L9" s="132">
        <v>40830</v>
      </c>
      <c r="M9" s="54">
        <v>5</v>
      </c>
      <c r="N9" s="54" t="s">
        <v>2</v>
      </c>
      <c r="O9" s="55">
        <f>1.6/2</f>
        <v>0.8</v>
      </c>
      <c r="P9" s="54">
        <v>5.2</v>
      </c>
      <c r="Q9" s="149">
        <v>6.55</v>
      </c>
      <c r="R9" s="54">
        <v>28</v>
      </c>
      <c r="S9" s="155">
        <v>30</v>
      </c>
      <c r="T9" s="54">
        <v>0.11</v>
      </c>
      <c r="U9" s="155">
        <v>0.52</v>
      </c>
      <c r="V9" s="54">
        <v>0.05</v>
      </c>
      <c r="W9" s="155">
        <v>8.9999999999999993E-3</v>
      </c>
      <c r="X9" s="54">
        <v>3.5999999999999997E-2</v>
      </c>
      <c r="Y9" s="155">
        <v>2E-3</v>
      </c>
      <c r="Z9" s="144">
        <v>1</v>
      </c>
      <c r="AA9" s="144">
        <v>1</v>
      </c>
      <c r="AB9" s="54">
        <v>22</v>
      </c>
      <c r="AC9" s="155">
        <v>104</v>
      </c>
      <c r="AD9" s="157">
        <v>1</v>
      </c>
      <c r="AE9" s="54"/>
      <c r="AF9" s="54"/>
      <c r="AG9" s="54"/>
      <c r="AH9" s="54"/>
      <c r="AI9" s="54"/>
      <c r="AJ9" s="54"/>
      <c r="AK9" s="54"/>
      <c r="AL9" s="54"/>
      <c r="AM9" s="54"/>
      <c r="AN9" s="258"/>
    </row>
    <row r="10" spans="1:51" ht="15" customHeight="1">
      <c r="A10" s="87" t="s">
        <v>68</v>
      </c>
      <c r="B10" s="54" t="s">
        <v>470</v>
      </c>
      <c r="C10" s="320" t="s">
        <v>475</v>
      </c>
      <c r="D10" s="56" t="s">
        <v>471</v>
      </c>
      <c r="E10" s="54" t="s">
        <v>970</v>
      </c>
      <c r="F10" s="54"/>
      <c r="G10" s="61" t="s">
        <v>476</v>
      </c>
      <c r="H10" s="54">
        <v>4953</v>
      </c>
      <c r="I10" s="55" t="s">
        <v>2</v>
      </c>
      <c r="J10" s="54" t="s">
        <v>477</v>
      </c>
      <c r="K10" s="57">
        <v>40904</v>
      </c>
      <c r="L10" s="132">
        <v>40900</v>
      </c>
      <c r="M10" s="54">
        <v>4</v>
      </c>
      <c r="N10" s="54" t="s">
        <v>2</v>
      </c>
      <c r="O10" s="55">
        <v>5</v>
      </c>
      <c r="P10" s="54">
        <v>5.5</v>
      </c>
      <c r="Q10" s="149">
        <v>7.32</v>
      </c>
      <c r="R10" s="54">
        <v>93</v>
      </c>
      <c r="S10" s="155">
        <v>340</v>
      </c>
      <c r="T10" s="54">
        <v>0.3</v>
      </c>
      <c r="U10" s="155">
        <v>0.93</v>
      </c>
      <c r="V10" s="54">
        <v>0.6</v>
      </c>
      <c r="W10" s="155">
        <v>2.5999999999999999E-2</v>
      </c>
      <c r="X10" s="54">
        <v>0.13</v>
      </c>
      <c r="Y10" s="155">
        <v>8.0000000000000002E-3</v>
      </c>
      <c r="Z10" s="144">
        <v>1</v>
      </c>
      <c r="AA10" s="144">
        <v>1</v>
      </c>
      <c r="AB10" s="54">
        <v>96</v>
      </c>
      <c r="AC10" s="155">
        <v>411</v>
      </c>
      <c r="AD10" s="157">
        <v>0.9</v>
      </c>
      <c r="AE10" s="54"/>
      <c r="AF10" s="54"/>
      <c r="AG10" s="54"/>
      <c r="AH10" s="54"/>
      <c r="AI10" s="54"/>
      <c r="AJ10" s="54"/>
      <c r="AK10" s="54"/>
      <c r="AL10" s="54"/>
      <c r="AM10" s="54"/>
      <c r="AN10" s="258"/>
    </row>
    <row r="11" spans="1:51" ht="15" customHeight="1">
      <c r="A11" s="87" t="s">
        <v>68</v>
      </c>
      <c r="B11" s="54" t="s">
        <v>404</v>
      </c>
      <c r="C11" s="320" t="s">
        <v>2174</v>
      </c>
      <c r="D11" s="56" t="s">
        <v>406</v>
      </c>
      <c r="E11" s="54" t="s">
        <v>614</v>
      </c>
      <c r="F11" s="54"/>
      <c r="G11" s="61" t="s">
        <v>615</v>
      </c>
      <c r="H11" s="54">
        <v>4953</v>
      </c>
      <c r="I11" s="55" t="s">
        <v>2</v>
      </c>
      <c r="J11" s="54" t="s">
        <v>616</v>
      </c>
      <c r="K11" s="57">
        <v>40857</v>
      </c>
      <c r="L11" s="132">
        <v>40846</v>
      </c>
      <c r="M11" s="54">
        <v>11</v>
      </c>
      <c r="N11" s="54" t="s">
        <v>2</v>
      </c>
      <c r="O11" s="55">
        <v>2.7</v>
      </c>
      <c r="P11" s="54">
        <v>8.0399999999999991</v>
      </c>
      <c r="Q11" s="149">
        <v>6.8</v>
      </c>
      <c r="R11" s="54">
        <v>42</v>
      </c>
      <c r="S11" s="155">
        <v>55</v>
      </c>
      <c r="T11" s="54">
        <v>0.35</v>
      </c>
      <c r="U11" s="155">
        <v>1.85</v>
      </c>
      <c r="V11" s="54">
        <v>0.3</v>
      </c>
      <c r="W11" s="155">
        <v>1.2E-2</v>
      </c>
      <c r="X11" s="54">
        <v>3.7999999999999999E-2</v>
      </c>
      <c r="Y11" s="155">
        <f>0.03/2</f>
        <v>1.4999999999999999E-2</v>
      </c>
      <c r="Z11" s="144">
        <v>1</v>
      </c>
      <c r="AA11" s="144">
        <v>1</v>
      </c>
      <c r="AB11" s="54">
        <v>18</v>
      </c>
      <c r="AC11" s="155">
        <v>85</v>
      </c>
      <c r="AD11" s="157">
        <v>1</v>
      </c>
      <c r="AE11" s="54"/>
      <c r="AF11" s="54"/>
      <c r="AG11" s="54"/>
      <c r="AH11" s="54"/>
      <c r="AI11" s="54"/>
      <c r="AJ11" s="54"/>
      <c r="AK11" s="54"/>
      <c r="AL11" s="54"/>
      <c r="AM11" s="54"/>
      <c r="AN11" s="258"/>
    </row>
    <row r="12" spans="1:51" ht="15" customHeight="1">
      <c r="A12" s="87" t="s">
        <v>68</v>
      </c>
      <c r="B12" s="54" t="s">
        <v>404</v>
      </c>
      <c r="C12" s="320" t="s">
        <v>2174</v>
      </c>
      <c r="D12" s="56" t="s">
        <v>406</v>
      </c>
      <c r="E12" s="54" t="s">
        <v>620</v>
      </c>
      <c r="F12" s="54"/>
      <c r="G12" s="61" t="s">
        <v>615</v>
      </c>
      <c r="H12" s="54">
        <v>4953</v>
      </c>
      <c r="I12" s="55" t="s">
        <v>2</v>
      </c>
      <c r="J12" s="54" t="s">
        <v>617</v>
      </c>
      <c r="K12" s="57">
        <v>40857</v>
      </c>
      <c r="L12" s="132">
        <v>40846</v>
      </c>
      <c r="M12" s="54">
        <v>11</v>
      </c>
      <c r="N12" s="54" t="s">
        <v>2</v>
      </c>
      <c r="O12" s="55">
        <f>2/2</f>
        <v>1</v>
      </c>
      <c r="P12" s="54">
        <v>8.0399999999999991</v>
      </c>
      <c r="Q12" s="149">
        <v>6.8</v>
      </c>
      <c r="R12" s="54">
        <v>53</v>
      </c>
      <c r="S12" s="155">
        <v>13</v>
      </c>
      <c r="T12" s="54">
        <v>0.65</v>
      </c>
      <c r="U12" s="155">
        <v>2.85</v>
      </c>
      <c r="V12" s="54">
        <v>0.2</v>
      </c>
      <c r="W12" s="155">
        <v>3.1E-2</v>
      </c>
      <c r="X12" s="54">
        <v>4.2000000000000003E-2</v>
      </c>
      <c r="Y12" s="155">
        <f>0.03/2</f>
        <v>1.4999999999999999E-2</v>
      </c>
      <c r="Z12" s="144">
        <v>1</v>
      </c>
      <c r="AA12" s="144">
        <v>1</v>
      </c>
      <c r="AB12" s="54">
        <v>42</v>
      </c>
      <c r="AC12" s="155">
        <v>124</v>
      </c>
      <c r="AD12" s="157">
        <v>1</v>
      </c>
      <c r="AE12" s="54"/>
      <c r="AF12" s="54"/>
      <c r="AG12" s="54"/>
      <c r="AH12" s="54"/>
      <c r="AI12" s="54"/>
      <c r="AJ12" s="54"/>
      <c r="AK12" s="54"/>
      <c r="AL12" s="54"/>
      <c r="AM12" s="54"/>
      <c r="AN12" s="258"/>
    </row>
    <row r="13" spans="1:51" ht="15" customHeight="1">
      <c r="A13" s="87" t="s">
        <v>68</v>
      </c>
      <c r="B13" s="54" t="s">
        <v>404</v>
      </c>
      <c r="C13" s="320" t="s">
        <v>2174</v>
      </c>
      <c r="D13" s="56" t="s">
        <v>406</v>
      </c>
      <c r="E13" s="54" t="s">
        <v>620</v>
      </c>
      <c r="F13" s="54"/>
      <c r="G13" s="61" t="s">
        <v>615</v>
      </c>
      <c r="H13" s="54">
        <v>4953</v>
      </c>
      <c r="I13" s="55" t="s">
        <v>2</v>
      </c>
      <c r="J13" s="54" t="s">
        <v>618</v>
      </c>
      <c r="K13" s="57">
        <v>40857</v>
      </c>
      <c r="L13" s="132">
        <v>40846</v>
      </c>
      <c r="M13" s="54">
        <v>11</v>
      </c>
      <c r="N13" s="54" t="s">
        <v>2</v>
      </c>
      <c r="O13" s="55">
        <f>2/2</f>
        <v>1</v>
      </c>
      <c r="P13" s="54">
        <v>8.0399999999999991</v>
      </c>
      <c r="Q13" s="149">
        <v>6.6</v>
      </c>
      <c r="R13" s="54">
        <v>56</v>
      </c>
      <c r="S13" s="155">
        <v>9</v>
      </c>
      <c r="T13" s="54">
        <v>0.81</v>
      </c>
      <c r="U13" s="155">
        <v>3.6</v>
      </c>
      <c r="V13" s="54">
        <v>0.2</v>
      </c>
      <c r="W13" s="155">
        <v>0.03</v>
      </c>
      <c r="X13" s="54">
        <f>0.03/2</f>
        <v>1.4999999999999999E-2</v>
      </c>
      <c r="Y13" s="155">
        <f>0.03/2</f>
        <v>1.4999999999999999E-2</v>
      </c>
      <c r="Z13" s="144">
        <v>1</v>
      </c>
      <c r="AA13" s="144">
        <v>1</v>
      </c>
      <c r="AB13" s="54">
        <v>18</v>
      </c>
      <c r="AC13" s="155">
        <v>109</v>
      </c>
      <c r="AD13" s="157">
        <v>1</v>
      </c>
      <c r="AE13" s="54"/>
      <c r="AF13" s="54"/>
      <c r="AG13" s="54"/>
      <c r="AH13" s="54"/>
      <c r="AI13" s="54"/>
      <c r="AJ13" s="54"/>
      <c r="AK13" s="54"/>
      <c r="AL13" s="54"/>
      <c r="AM13" s="54"/>
      <c r="AN13" s="258"/>
    </row>
    <row r="14" spans="1:51" ht="15" customHeight="1">
      <c r="A14" s="87" t="s">
        <v>68</v>
      </c>
      <c r="B14" s="54" t="s">
        <v>404</v>
      </c>
      <c r="C14" s="320" t="s">
        <v>2174</v>
      </c>
      <c r="D14" s="56" t="s">
        <v>406</v>
      </c>
      <c r="E14" s="54" t="s">
        <v>621</v>
      </c>
      <c r="F14" s="54"/>
      <c r="G14" s="61" t="s">
        <v>615</v>
      </c>
      <c r="H14" s="54">
        <v>4953</v>
      </c>
      <c r="I14" s="55" t="s">
        <v>2</v>
      </c>
      <c r="J14" s="54" t="s">
        <v>619</v>
      </c>
      <c r="K14" s="57">
        <v>40857</v>
      </c>
      <c r="L14" s="132">
        <v>40846</v>
      </c>
      <c r="M14" s="54">
        <v>11</v>
      </c>
      <c r="N14" s="54" t="s">
        <v>2</v>
      </c>
      <c r="O14" s="55">
        <f>2/2</f>
        <v>1</v>
      </c>
      <c r="P14" s="54">
        <v>8.0399999999999991</v>
      </c>
      <c r="Q14" s="149">
        <v>6.8</v>
      </c>
      <c r="R14" s="54">
        <v>36</v>
      </c>
      <c r="S14" s="155">
        <v>4</v>
      </c>
      <c r="T14" s="54">
        <v>0.22</v>
      </c>
      <c r="U14" s="155">
        <v>2.56</v>
      </c>
      <c r="V14" s="54">
        <v>0.2</v>
      </c>
      <c r="W14" s="155">
        <v>4.7E-2</v>
      </c>
      <c r="X14" s="54">
        <v>0.115</v>
      </c>
      <c r="Y14" s="155">
        <f>0.03/2</f>
        <v>1.4999999999999999E-2</v>
      </c>
      <c r="Z14" s="144">
        <v>1</v>
      </c>
      <c r="AA14" s="144">
        <v>1</v>
      </c>
      <c r="AB14" s="54">
        <v>22</v>
      </c>
      <c r="AC14" s="155">
        <v>69</v>
      </c>
      <c r="AD14" s="157">
        <v>1</v>
      </c>
      <c r="AE14" s="54"/>
      <c r="AF14" s="54"/>
      <c r="AG14" s="54"/>
      <c r="AH14" s="54"/>
      <c r="AI14" s="54"/>
      <c r="AJ14" s="54"/>
      <c r="AK14" s="54"/>
      <c r="AL14" s="54"/>
      <c r="AM14" s="54"/>
      <c r="AN14" s="258"/>
    </row>
    <row r="15" spans="1:51" ht="15" customHeight="1">
      <c r="A15" s="87" t="s">
        <v>68</v>
      </c>
      <c r="B15" s="54" t="s">
        <v>404</v>
      </c>
      <c r="C15" s="320" t="s">
        <v>622</v>
      </c>
      <c r="D15" s="56" t="s">
        <v>406</v>
      </c>
      <c r="E15" s="54" t="s">
        <v>623</v>
      </c>
      <c r="F15" s="54"/>
      <c r="G15" s="61" t="s">
        <v>624</v>
      </c>
      <c r="H15" s="54">
        <v>4953</v>
      </c>
      <c r="I15" s="55" t="s">
        <v>2</v>
      </c>
      <c r="J15" s="54" t="s">
        <v>625</v>
      </c>
      <c r="K15" s="57">
        <v>40857</v>
      </c>
      <c r="L15" s="132">
        <v>40846</v>
      </c>
      <c r="M15" s="54">
        <v>11</v>
      </c>
      <c r="N15" s="54" t="s">
        <v>2</v>
      </c>
      <c r="O15" s="55">
        <f>2/2</f>
        <v>1</v>
      </c>
      <c r="P15" s="54">
        <v>8.0399999999999991</v>
      </c>
      <c r="Q15" s="149">
        <v>7.1</v>
      </c>
      <c r="R15" s="54">
        <v>55</v>
      </c>
      <c r="S15" s="155">
        <v>4</v>
      </c>
      <c r="T15" s="54">
        <v>1.45</v>
      </c>
      <c r="U15" s="155">
        <v>2.68</v>
      </c>
      <c r="V15" s="54">
        <f>0.1/2</f>
        <v>0.05</v>
      </c>
      <c r="W15" s="155">
        <f>0.01/2</f>
        <v>5.0000000000000001E-3</v>
      </c>
      <c r="X15" s="54">
        <f>0.03/2</f>
        <v>1.4999999999999999E-2</v>
      </c>
      <c r="Y15" s="155">
        <f>0.03/2</f>
        <v>1.4999999999999999E-2</v>
      </c>
      <c r="Z15" s="144">
        <v>1</v>
      </c>
      <c r="AA15" s="144">
        <v>1</v>
      </c>
      <c r="AB15" s="54">
        <v>124</v>
      </c>
      <c r="AC15" s="155">
        <v>396</v>
      </c>
      <c r="AD15" s="157">
        <v>1</v>
      </c>
      <c r="AE15" s="54"/>
      <c r="AF15" s="54"/>
      <c r="AG15" s="54"/>
      <c r="AH15" s="54"/>
      <c r="AI15" s="54"/>
      <c r="AJ15" s="54"/>
      <c r="AK15" s="54"/>
      <c r="AL15" s="54"/>
      <c r="AM15" s="54"/>
      <c r="AN15" s="258"/>
    </row>
    <row r="16" spans="1:51" ht="15" customHeight="1">
      <c r="A16" s="87" t="s">
        <v>68</v>
      </c>
      <c r="B16" s="54" t="s">
        <v>639</v>
      </c>
      <c r="C16" s="320" t="s">
        <v>392</v>
      </c>
      <c r="D16" s="56" t="s">
        <v>640</v>
      </c>
      <c r="E16" s="54" t="s">
        <v>645</v>
      </c>
      <c r="F16" s="54"/>
      <c r="G16" s="61" t="s">
        <v>642</v>
      </c>
      <c r="H16" s="54">
        <v>4953</v>
      </c>
      <c r="I16" s="55" t="s">
        <v>2</v>
      </c>
      <c r="J16" s="54" t="s">
        <v>641</v>
      </c>
      <c r="K16" s="57">
        <v>40835</v>
      </c>
      <c r="L16" s="132">
        <v>40830</v>
      </c>
      <c r="M16" s="54">
        <v>5</v>
      </c>
      <c r="N16" s="54" t="s">
        <v>2</v>
      </c>
      <c r="O16" s="55">
        <f>5/2</f>
        <v>2.5</v>
      </c>
      <c r="P16" s="54">
        <v>4.63</v>
      </c>
      <c r="Q16" s="149">
        <v>7.18</v>
      </c>
      <c r="R16" s="54">
        <v>94.2</v>
      </c>
      <c r="S16" s="155">
        <v>287</v>
      </c>
      <c r="T16" s="54">
        <v>0.43</v>
      </c>
      <c r="U16" s="155">
        <v>2.2000000000000002</v>
      </c>
      <c r="V16" s="54">
        <v>0.33</v>
      </c>
      <c r="W16" s="155">
        <v>0.04</v>
      </c>
      <c r="X16" s="54">
        <v>0.187</v>
      </c>
      <c r="Y16" s="155">
        <v>3.2000000000000001E-2</v>
      </c>
      <c r="Z16" s="144">
        <v>1</v>
      </c>
      <c r="AA16" s="144">
        <v>1</v>
      </c>
      <c r="AB16" s="54">
        <v>36.5</v>
      </c>
      <c r="AC16" s="155">
        <v>80</v>
      </c>
      <c r="AD16" s="157">
        <v>1</v>
      </c>
      <c r="AE16" s="54">
        <v>5.41</v>
      </c>
      <c r="AF16" s="54">
        <v>8.1</v>
      </c>
      <c r="AG16" s="54">
        <v>287</v>
      </c>
      <c r="AH16" s="54">
        <f>0.1/2</f>
        <v>0.05</v>
      </c>
      <c r="AI16" s="54">
        <f>0.01/2</f>
        <v>5.0000000000000001E-3</v>
      </c>
      <c r="AJ16" s="54">
        <f>0.005/2</f>
        <v>2.5000000000000001E-3</v>
      </c>
      <c r="AK16" s="54">
        <f>0.05/2</f>
        <v>2.5000000000000001E-2</v>
      </c>
      <c r="AL16" s="54">
        <f>0.05/2</f>
        <v>2.5000000000000001E-2</v>
      </c>
      <c r="AM16" s="54">
        <v>0.187</v>
      </c>
      <c r="AN16" s="258">
        <v>7.18</v>
      </c>
    </row>
    <row r="17" spans="1:41" ht="15" customHeight="1">
      <c r="A17" s="87" t="s">
        <v>68</v>
      </c>
      <c r="B17" s="54" t="s">
        <v>639</v>
      </c>
      <c r="C17" s="320" t="s">
        <v>392</v>
      </c>
      <c r="D17" s="56" t="s">
        <v>640</v>
      </c>
      <c r="E17" s="54" t="s">
        <v>645</v>
      </c>
      <c r="F17" s="54"/>
      <c r="G17" s="61" t="s">
        <v>642</v>
      </c>
      <c r="H17" s="54">
        <v>4953</v>
      </c>
      <c r="I17" s="55" t="s">
        <v>2</v>
      </c>
      <c r="J17" s="54" t="s">
        <v>643</v>
      </c>
      <c r="K17" s="57">
        <v>40835</v>
      </c>
      <c r="L17" s="132">
        <v>40830</v>
      </c>
      <c r="M17" s="54">
        <v>5</v>
      </c>
      <c r="N17" s="54" t="s">
        <v>2</v>
      </c>
      <c r="O17" s="55">
        <v>8.4</v>
      </c>
      <c r="P17" s="54">
        <v>4.63</v>
      </c>
      <c r="Q17" s="149">
        <v>7.08</v>
      </c>
      <c r="R17" s="54">
        <v>277</v>
      </c>
      <c r="S17" s="155">
        <v>339</v>
      </c>
      <c r="T17" s="54">
        <f>0.05/2</f>
        <v>2.5000000000000001E-2</v>
      </c>
      <c r="U17" s="155">
        <v>2.36</v>
      </c>
      <c r="V17" s="54">
        <f>0.1/2</f>
        <v>0.05</v>
      </c>
      <c r="W17" s="155">
        <v>0.219</v>
      </c>
      <c r="X17" s="54">
        <v>0.376</v>
      </c>
      <c r="Y17" s="155">
        <v>6.2E-2</v>
      </c>
      <c r="Z17" s="144">
        <v>1</v>
      </c>
      <c r="AA17" s="144">
        <v>1</v>
      </c>
      <c r="AB17" s="54">
        <v>67.2</v>
      </c>
      <c r="AC17" s="155">
        <v>60</v>
      </c>
      <c r="AD17" s="157">
        <v>1</v>
      </c>
      <c r="AE17" s="54">
        <v>38.770000000000003</v>
      </c>
      <c r="AF17" s="54">
        <v>23.4</v>
      </c>
      <c r="AG17" s="54">
        <v>339</v>
      </c>
      <c r="AH17" s="54">
        <f>0.1/2</f>
        <v>0.05</v>
      </c>
      <c r="AI17" s="54">
        <f>0.01/2</f>
        <v>5.0000000000000001E-3</v>
      </c>
      <c r="AJ17" s="54">
        <f>0.005/2</f>
        <v>2.5000000000000001E-3</v>
      </c>
      <c r="AK17" s="54">
        <f>0.05/2</f>
        <v>2.5000000000000001E-2</v>
      </c>
      <c r="AL17" s="54">
        <f>0.05/2</f>
        <v>2.5000000000000001E-2</v>
      </c>
      <c r="AM17" s="54">
        <v>0.376</v>
      </c>
      <c r="AN17" s="258">
        <v>7.08</v>
      </c>
    </row>
    <row r="18" spans="1:41" ht="15" customHeight="1">
      <c r="A18" s="292" t="s">
        <v>68</v>
      </c>
      <c r="B18" s="54" t="s">
        <v>930</v>
      </c>
      <c r="C18" s="320" t="s">
        <v>930</v>
      </c>
      <c r="D18" s="56" t="s">
        <v>756</v>
      </c>
      <c r="E18" s="54" t="s">
        <v>931</v>
      </c>
      <c r="F18" s="54"/>
      <c r="G18" s="61" t="s">
        <v>933</v>
      </c>
      <c r="H18" s="206"/>
      <c r="I18" s="55" t="s">
        <v>2</v>
      </c>
      <c r="J18" s="54" t="s">
        <v>934</v>
      </c>
      <c r="K18" s="57">
        <v>40835</v>
      </c>
      <c r="L18" s="132">
        <v>40830</v>
      </c>
      <c r="M18" s="54">
        <v>5</v>
      </c>
      <c r="N18" s="54" t="s">
        <v>2</v>
      </c>
      <c r="O18" s="135">
        <v>2.2999999999999998</v>
      </c>
      <c r="P18" s="134">
        <v>7.2</v>
      </c>
      <c r="Q18" s="135">
        <v>7.5</v>
      </c>
      <c r="R18" s="54">
        <v>58</v>
      </c>
      <c r="S18" s="155">
        <v>23</v>
      </c>
      <c r="T18" s="54">
        <v>0.16</v>
      </c>
      <c r="U18" s="155">
        <v>2.4500000000000002</v>
      </c>
      <c r="V18" s="54">
        <v>1.1100000000000001</v>
      </c>
      <c r="W18" s="155">
        <v>3.3000000000000002E-2</v>
      </c>
      <c r="X18" s="54">
        <v>5.0999999999999997E-2</v>
      </c>
      <c r="Y18" s="155">
        <v>1.4999999999999999E-2</v>
      </c>
      <c r="Z18" s="144">
        <v>1</v>
      </c>
      <c r="AA18" s="144">
        <v>1</v>
      </c>
      <c r="AB18" s="54">
        <v>38</v>
      </c>
      <c r="AC18" s="155">
        <v>86</v>
      </c>
      <c r="AD18" s="157">
        <v>1</v>
      </c>
    </row>
    <row r="19" spans="1:41" ht="15" customHeight="1">
      <c r="A19" s="293" t="s">
        <v>68</v>
      </c>
      <c r="B19" s="50" t="s">
        <v>1109</v>
      </c>
      <c r="C19" s="7" t="s">
        <v>1110</v>
      </c>
      <c r="D19" s="48" t="s">
        <v>262</v>
      </c>
      <c r="E19" s="50" t="s">
        <v>1111</v>
      </c>
      <c r="G19" s="76" t="s">
        <v>3565</v>
      </c>
      <c r="H19" s="50">
        <v>4953</v>
      </c>
      <c r="I19" s="49" t="s">
        <v>2</v>
      </c>
      <c r="J19" s="50" t="s">
        <v>3563</v>
      </c>
      <c r="K19" s="51">
        <v>40925</v>
      </c>
      <c r="L19" s="115">
        <v>40920</v>
      </c>
      <c r="M19" s="50">
        <f>K19-L19</f>
        <v>5</v>
      </c>
      <c r="N19" s="50" t="s">
        <v>1</v>
      </c>
      <c r="P19" s="50">
        <v>7.49</v>
      </c>
      <c r="Q19" s="74">
        <v>8.5500000000000007</v>
      </c>
      <c r="AE19" s="50">
        <v>0.11</v>
      </c>
    </row>
    <row r="20" spans="1:41" ht="15" customHeight="1">
      <c r="A20" s="293" t="s">
        <v>68</v>
      </c>
      <c r="B20" s="50" t="s">
        <v>1109</v>
      </c>
      <c r="C20" s="7" t="s">
        <v>1110</v>
      </c>
      <c r="D20" s="48" t="s">
        <v>262</v>
      </c>
      <c r="E20" s="50" t="s">
        <v>1111</v>
      </c>
      <c r="G20" s="76" t="s">
        <v>3565</v>
      </c>
      <c r="H20" s="50">
        <v>4953</v>
      </c>
      <c r="I20" s="49" t="s">
        <v>2</v>
      </c>
      <c r="J20" s="50" t="s">
        <v>1112</v>
      </c>
      <c r="K20" s="51">
        <v>40925</v>
      </c>
      <c r="L20" s="115">
        <v>40920</v>
      </c>
      <c r="M20" s="50">
        <f t="shared" ref="M20:M27" si="0">K20-L20</f>
        <v>5</v>
      </c>
      <c r="N20" s="50" t="s">
        <v>1</v>
      </c>
      <c r="O20" s="74">
        <v>5.7</v>
      </c>
      <c r="P20" s="50">
        <v>7.28</v>
      </c>
      <c r="Q20" s="74">
        <v>7.49</v>
      </c>
      <c r="R20" s="50">
        <v>152</v>
      </c>
      <c r="S20" s="74">
        <v>372</v>
      </c>
      <c r="T20" s="50">
        <v>2.19</v>
      </c>
      <c r="U20" s="74">
        <v>2.94</v>
      </c>
      <c r="V20" s="50">
        <v>0.64</v>
      </c>
      <c r="W20" s="74">
        <v>0.43</v>
      </c>
      <c r="X20" s="50">
        <v>1.96</v>
      </c>
      <c r="Y20" s="74">
        <v>0.7</v>
      </c>
      <c r="Z20" s="166">
        <v>1</v>
      </c>
      <c r="AA20" s="167">
        <v>1</v>
      </c>
      <c r="AB20" s="50">
        <v>442</v>
      </c>
      <c r="AC20" s="74">
        <v>868</v>
      </c>
      <c r="AD20" s="164">
        <v>1</v>
      </c>
      <c r="AE20" s="50">
        <v>8.7899999999999991</v>
      </c>
    </row>
    <row r="21" spans="1:41" ht="15" customHeight="1">
      <c r="A21" s="293" t="s">
        <v>68</v>
      </c>
      <c r="B21" s="50" t="s">
        <v>1109</v>
      </c>
      <c r="C21" s="7" t="s">
        <v>1110</v>
      </c>
      <c r="D21" s="48" t="s">
        <v>262</v>
      </c>
      <c r="E21" s="50" t="s">
        <v>1111</v>
      </c>
      <c r="G21" s="76" t="s">
        <v>3565</v>
      </c>
      <c r="H21" s="50">
        <v>4953</v>
      </c>
      <c r="I21" s="49" t="s">
        <v>2</v>
      </c>
      <c r="J21" s="50" t="s">
        <v>3563</v>
      </c>
      <c r="K21" s="51">
        <v>40898</v>
      </c>
      <c r="L21" s="115">
        <v>40885</v>
      </c>
      <c r="M21" s="50">
        <f t="shared" si="0"/>
        <v>13</v>
      </c>
      <c r="N21" s="50" t="s">
        <v>2</v>
      </c>
      <c r="O21" s="74">
        <v>1.5</v>
      </c>
      <c r="P21" s="50">
        <v>7.12</v>
      </c>
      <c r="Q21" s="74">
        <v>7.28</v>
      </c>
      <c r="R21" s="50">
        <v>18</v>
      </c>
      <c r="S21" s="74">
        <v>126</v>
      </c>
      <c r="T21" s="50">
        <v>0.87</v>
      </c>
      <c r="U21" s="74">
        <v>3.43</v>
      </c>
      <c r="V21" s="50">
        <v>1.06</v>
      </c>
      <c r="W21" s="74">
        <v>0.25</v>
      </c>
      <c r="X21" s="50">
        <v>0.59</v>
      </c>
      <c r="Y21" s="74">
        <v>0.15</v>
      </c>
      <c r="Z21" s="166">
        <v>1</v>
      </c>
      <c r="AA21" s="167">
        <v>1</v>
      </c>
      <c r="AB21" s="50">
        <v>44</v>
      </c>
      <c r="AC21" s="74">
        <v>34</v>
      </c>
      <c r="AD21" s="164">
        <v>0.85</v>
      </c>
      <c r="AE21" s="50">
        <v>2.35</v>
      </c>
    </row>
    <row r="22" spans="1:41" ht="15" customHeight="1">
      <c r="A22" s="293" t="s">
        <v>68</v>
      </c>
      <c r="B22" s="50" t="s">
        <v>1109</v>
      </c>
      <c r="C22" s="7" t="s">
        <v>1110</v>
      </c>
      <c r="D22" s="48" t="s">
        <v>262</v>
      </c>
      <c r="E22" s="50" t="s">
        <v>1113</v>
      </c>
      <c r="G22" s="76" t="s">
        <v>3565</v>
      </c>
      <c r="H22" s="50">
        <v>4953</v>
      </c>
      <c r="I22" s="49" t="s">
        <v>2</v>
      </c>
      <c r="J22" s="50" t="s">
        <v>1114</v>
      </c>
      <c r="K22" s="51">
        <v>40898</v>
      </c>
      <c r="L22" s="115">
        <v>40885</v>
      </c>
      <c r="M22" s="50">
        <f t="shared" si="0"/>
        <v>13</v>
      </c>
      <c r="N22" s="50" t="s">
        <v>2</v>
      </c>
      <c r="P22" s="50">
        <v>7.45</v>
      </c>
      <c r="Q22" s="74">
        <v>7.87</v>
      </c>
      <c r="Z22" s="166"/>
      <c r="AA22" s="167"/>
      <c r="AE22" s="50">
        <v>7.9</v>
      </c>
    </row>
    <row r="23" spans="1:41" ht="15" customHeight="1">
      <c r="A23" s="293" t="s">
        <v>68</v>
      </c>
      <c r="B23" s="50" t="s">
        <v>1109</v>
      </c>
      <c r="C23" s="7" t="s">
        <v>1110</v>
      </c>
      <c r="D23" s="48" t="s">
        <v>262</v>
      </c>
      <c r="E23" s="50" t="s">
        <v>1113</v>
      </c>
      <c r="G23" s="76" t="s">
        <v>3565</v>
      </c>
      <c r="H23" s="50">
        <v>4953</v>
      </c>
      <c r="I23" s="49" t="s">
        <v>2</v>
      </c>
      <c r="J23" s="50" t="s">
        <v>1115</v>
      </c>
      <c r="K23" s="51">
        <v>40898</v>
      </c>
      <c r="L23" s="115">
        <v>40885</v>
      </c>
      <c r="M23" s="50">
        <f t="shared" si="0"/>
        <v>13</v>
      </c>
      <c r="N23" s="50" t="s">
        <v>2</v>
      </c>
      <c r="O23" s="74">
        <v>4.5</v>
      </c>
      <c r="P23" s="50">
        <v>8.64</v>
      </c>
      <c r="Q23" s="74">
        <v>9.25</v>
      </c>
      <c r="R23" s="50">
        <v>28</v>
      </c>
      <c r="S23" s="74">
        <v>86</v>
      </c>
      <c r="T23" s="50">
        <v>0.66</v>
      </c>
      <c r="U23" s="74">
        <v>0.91</v>
      </c>
      <c r="V23" s="50">
        <v>0.28000000000000003</v>
      </c>
      <c r="W23" s="74">
        <v>0.18</v>
      </c>
      <c r="X23" s="50">
        <v>0.65</v>
      </c>
      <c r="Y23" s="74">
        <v>0.25</v>
      </c>
      <c r="Z23" s="166">
        <v>1</v>
      </c>
      <c r="AA23" s="167">
        <v>0.73499999999999999</v>
      </c>
      <c r="AB23" s="50">
        <v>98</v>
      </c>
      <c r="AC23" s="74">
        <v>118</v>
      </c>
      <c r="AD23" s="164">
        <v>0.2</v>
      </c>
      <c r="AE23" s="50">
        <v>2.48</v>
      </c>
    </row>
    <row r="24" spans="1:41" ht="15" customHeight="1">
      <c r="A24" s="293" t="s">
        <v>68</v>
      </c>
      <c r="B24" s="50" t="s">
        <v>1116</v>
      </c>
      <c r="D24" s="48" t="s">
        <v>347</v>
      </c>
      <c r="E24" s="50" t="s">
        <v>1117</v>
      </c>
      <c r="G24" s="76" t="s">
        <v>1118</v>
      </c>
      <c r="H24" s="50">
        <v>4953</v>
      </c>
      <c r="I24" s="49" t="s">
        <v>2</v>
      </c>
      <c r="J24" s="50" t="s">
        <v>1119</v>
      </c>
      <c r="K24" s="51">
        <v>40857</v>
      </c>
      <c r="L24" s="115">
        <v>40845</v>
      </c>
      <c r="M24" s="50">
        <f t="shared" si="0"/>
        <v>12</v>
      </c>
      <c r="N24" s="50" t="s">
        <v>2</v>
      </c>
      <c r="O24" s="74">
        <f>2/2</f>
        <v>1</v>
      </c>
      <c r="P24" s="50">
        <v>7.1</v>
      </c>
      <c r="Q24" s="74">
        <v>7.2</v>
      </c>
      <c r="R24" s="50">
        <f>10/2</f>
        <v>5</v>
      </c>
      <c r="S24" s="74">
        <v>1</v>
      </c>
      <c r="T24" s="50">
        <f>0.05/2</f>
        <v>2.5000000000000001E-2</v>
      </c>
      <c r="U24" s="74">
        <v>0.25</v>
      </c>
      <c r="V24" s="50">
        <v>0.9</v>
      </c>
      <c r="W24" s="74">
        <v>3.2000000000000001E-2</v>
      </c>
      <c r="X24" s="50">
        <v>0.2</v>
      </c>
      <c r="Y24" s="74">
        <f>0.03/2</f>
        <v>1.4999999999999999E-2</v>
      </c>
      <c r="Z24" s="166">
        <v>0.191</v>
      </c>
      <c r="AA24" s="167">
        <v>0.17</v>
      </c>
      <c r="AB24" s="50">
        <v>206</v>
      </c>
      <c r="AC24" s="74">
        <v>884</v>
      </c>
      <c r="AD24" s="164">
        <v>0</v>
      </c>
    </row>
    <row r="25" spans="1:41" ht="15" customHeight="1">
      <c r="A25" s="293" t="s">
        <v>68</v>
      </c>
      <c r="B25" s="50" t="s">
        <v>1120</v>
      </c>
      <c r="D25" s="48" t="s">
        <v>347</v>
      </c>
      <c r="E25" s="50" t="s">
        <v>1117</v>
      </c>
      <c r="G25" s="76" t="s">
        <v>1121</v>
      </c>
      <c r="H25" s="50">
        <v>4953</v>
      </c>
      <c r="I25" s="49" t="s">
        <v>2</v>
      </c>
      <c r="J25" s="50" t="s">
        <v>1119</v>
      </c>
      <c r="K25" s="51">
        <v>40857</v>
      </c>
      <c r="L25" s="115">
        <v>40845</v>
      </c>
      <c r="M25" s="50">
        <f t="shared" si="0"/>
        <v>12</v>
      </c>
      <c r="N25" s="50" t="s">
        <v>2</v>
      </c>
      <c r="O25" s="74">
        <f>2/2</f>
        <v>1</v>
      </c>
      <c r="P25" s="50">
        <v>7.1</v>
      </c>
      <c r="Q25" s="74">
        <v>7.5</v>
      </c>
      <c r="R25" s="50">
        <f>10/2</f>
        <v>5</v>
      </c>
      <c r="S25" s="74">
        <f>1/2</f>
        <v>0.5</v>
      </c>
      <c r="T25" s="50">
        <f>0.05/2</f>
        <v>2.5000000000000001E-2</v>
      </c>
      <c r="U25" s="74">
        <v>0.23</v>
      </c>
      <c r="V25" s="50">
        <v>1.1200000000000001</v>
      </c>
      <c r="W25" s="74">
        <v>3.3000000000000002E-2</v>
      </c>
      <c r="X25" s="50">
        <v>0.19800000000000001</v>
      </c>
      <c r="Y25" s="74">
        <f>0.03/2</f>
        <v>1.4999999999999999E-2</v>
      </c>
      <c r="Z25" s="166">
        <v>0.1777</v>
      </c>
      <c r="AA25" s="167">
        <v>0.17100000000000001</v>
      </c>
      <c r="AB25" s="50">
        <v>210</v>
      </c>
      <c r="AC25" s="74">
        <v>884</v>
      </c>
      <c r="AD25" s="164">
        <v>0</v>
      </c>
    </row>
    <row r="26" spans="1:41" ht="15" customHeight="1">
      <c r="A26" s="293" t="s">
        <v>68</v>
      </c>
      <c r="B26" s="50" t="s">
        <v>1122</v>
      </c>
      <c r="D26" s="48" t="s">
        <v>205</v>
      </c>
      <c r="E26" s="50" t="s">
        <v>1123</v>
      </c>
      <c r="G26" s="76" t="s">
        <v>1124</v>
      </c>
      <c r="H26" s="50">
        <v>4953</v>
      </c>
      <c r="I26" s="49" t="s">
        <v>2</v>
      </c>
      <c r="J26" s="50" t="s">
        <v>1125</v>
      </c>
      <c r="K26" s="51">
        <v>40863</v>
      </c>
      <c r="L26" s="115">
        <v>40857</v>
      </c>
      <c r="M26" s="50">
        <f t="shared" si="0"/>
        <v>6</v>
      </c>
      <c r="N26" s="50" t="s">
        <v>2</v>
      </c>
      <c r="O26" s="74">
        <v>2</v>
      </c>
      <c r="P26" s="50">
        <v>4.9000000000000004</v>
      </c>
      <c r="Q26" s="74">
        <v>7.02</v>
      </c>
      <c r="R26" s="50">
        <v>110</v>
      </c>
      <c r="S26" s="74">
        <v>240</v>
      </c>
      <c r="T26" s="50">
        <v>0.51</v>
      </c>
      <c r="U26" s="74">
        <v>3.1</v>
      </c>
      <c r="V26" s="50">
        <f>0.05/2</f>
        <v>2.5000000000000001E-2</v>
      </c>
      <c r="W26" s="74">
        <v>6.6000000000000003E-2</v>
      </c>
      <c r="X26" s="50">
        <v>0.29399999999999998</v>
      </c>
      <c r="Y26" s="74">
        <v>6.8000000000000005E-2</v>
      </c>
      <c r="Z26" s="166">
        <v>1</v>
      </c>
      <c r="AA26" s="167">
        <v>1</v>
      </c>
      <c r="AB26" s="50">
        <v>110</v>
      </c>
      <c r="AC26" s="74">
        <v>336</v>
      </c>
      <c r="AD26" s="164">
        <v>1</v>
      </c>
      <c r="AE26" s="50">
        <v>16</v>
      </c>
      <c r="AF26" s="50">
        <v>19</v>
      </c>
      <c r="AG26" s="50">
        <v>240</v>
      </c>
      <c r="AH26" s="50">
        <v>0.31</v>
      </c>
      <c r="AI26" s="50">
        <f>0.01/2</f>
        <v>5.0000000000000001E-3</v>
      </c>
      <c r="AJ26" s="50">
        <f>0.01/2</f>
        <v>5.0000000000000001E-3</v>
      </c>
      <c r="AK26" s="50">
        <f>0.01/2</f>
        <v>5.0000000000000001E-3</v>
      </c>
      <c r="AL26" s="50">
        <f>0.01/2</f>
        <v>5.0000000000000001E-3</v>
      </c>
      <c r="AM26" s="50">
        <v>0.29399999999999998</v>
      </c>
      <c r="AN26" s="114">
        <v>7.02</v>
      </c>
    </row>
    <row r="27" spans="1:41" ht="15" customHeight="1">
      <c r="A27" s="293" t="s">
        <v>68</v>
      </c>
      <c r="B27" s="50" t="s">
        <v>1122</v>
      </c>
      <c r="D27" s="48" t="s">
        <v>205</v>
      </c>
      <c r="E27" s="50" t="s">
        <v>364</v>
      </c>
      <c r="G27" s="76" t="s">
        <v>1124</v>
      </c>
      <c r="H27" s="50">
        <v>4953</v>
      </c>
      <c r="I27" s="49" t="s">
        <v>2</v>
      </c>
      <c r="J27" s="50" t="s">
        <v>1126</v>
      </c>
      <c r="K27" s="51">
        <v>40863</v>
      </c>
      <c r="L27" s="115">
        <v>40857</v>
      </c>
      <c r="M27" s="50">
        <f t="shared" si="0"/>
        <v>6</v>
      </c>
      <c r="N27" s="50" t="s">
        <v>2</v>
      </c>
      <c r="O27" s="74">
        <v>1.5</v>
      </c>
      <c r="P27" s="50">
        <v>4.9000000000000004</v>
      </c>
      <c r="Q27" s="74">
        <v>7.22</v>
      </c>
      <c r="R27" s="50">
        <v>560</v>
      </c>
      <c r="S27" s="74">
        <v>1200</v>
      </c>
      <c r="T27" s="50">
        <v>0.38</v>
      </c>
      <c r="U27" s="74">
        <v>30</v>
      </c>
      <c r="V27" s="50">
        <f>0.05/2</f>
        <v>2.5000000000000001E-2</v>
      </c>
      <c r="W27" s="74">
        <v>0.03</v>
      </c>
      <c r="X27" s="50">
        <v>0.17499999999999999</v>
      </c>
      <c r="Y27" s="74">
        <v>1.7999999999999999E-2</v>
      </c>
      <c r="Z27" s="166">
        <v>1</v>
      </c>
      <c r="AA27" s="167">
        <v>0.70699999999999996</v>
      </c>
      <c r="AB27" s="50">
        <v>500</v>
      </c>
      <c r="AC27" s="74">
        <v>1411</v>
      </c>
      <c r="AD27" s="164">
        <v>0</v>
      </c>
      <c r="AE27" s="50">
        <v>7.5</v>
      </c>
      <c r="AF27" s="50">
        <v>290</v>
      </c>
      <c r="AG27" s="50">
        <v>1200</v>
      </c>
      <c r="AH27" s="50">
        <v>19</v>
      </c>
      <c r="AI27" s="50">
        <f>0.02/2</f>
        <v>0.01</v>
      </c>
      <c r="AJ27" s="50">
        <v>1.4</v>
      </c>
      <c r="AK27" s="50">
        <v>0.2</v>
      </c>
      <c r="AL27" s="50">
        <v>6.8000000000000005E-2</v>
      </c>
      <c r="AM27" s="50">
        <v>0.17499999999999999</v>
      </c>
      <c r="AN27" s="114">
        <v>7.22</v>
      </c>
    </row>
    <row r="28" spans="1:41" ht="15" customHeight="1">
      <c r="A28" s="74" t="s">
        <v>68</v>
      </c>
      <c r="B28" s="50" t="s">
        <v>1122</v>
      </c>
      <c r="C28" s="7" t="s">
        <v>1456</v>
      </c>
      <c r="D28" s="48" t="s">
        <v>205</v>
      </c>
      <c r="E28" s="50" t="s">
        <v>1123</v>
      </c>
      <c r="G28" s="76" t="s">
        <v>1124</v>
      </c>
      <c r="H28" s="50">
        <v>4953</v>
      </c>
      <c r="I28" s="49" t="s">
        <v>2</v>
      </c>
      <c r="J28" s="50" t="s">
        <v>81</v>
      </c>
      <c r="K28" s="51">
        <v>41072</v>
      </c>
      <c r="L28" s="115">
        <v>41066</v>
      </c>
      <c r="M28" s="50">
        <v>6</v>
      </c>
      <c r="N28" s="50" t="s">
        <v>2</v>
      </c>
      <c r="O28" s="49">
        <f>1.4/2</f>
        <v>0.7</v>
      </c>
      <c r="P28" s="50">
        <v>5.1100000000000003</v>
      </c>
      <c r="Q28" s="113">
        <v>7.36</v>
      </c>
      <c r="R28" s="50">
        <v>100</v>
      </c>
      <c r="S28" s="74">
        <v>52</v>
      </c>
      <c r="T28" s="50">
        <v>0.48</v>
      </c>
      <c r="U28" s="74">
        <v>2.64</v>
      </c>
      <c r="V28" s="50">
        <v>0.2</v>
      </c>
      <c r="W28" s="74">
        <v>2.7E-2</v>
      </c>
      <c r="X28" s="50">
        <v>6.2E-2</v>
      </c>
      <c r="Y28" s="74">
        <v>2.1999999999999999E-2</v>
      </c>
      <c r="AE28" s="50">
        <v>2.9</v>
      </c>
    </row>
    <row r="29" spans="1:41" ht="15" customHeight="1">
      <c r="A29" s="74" t="s">
        <v>68</v>
      </c>
      <c r="B29" s="50" t="s">
        <v>1457</v>
      </c>
      <c r="C29" s="7" t="s">
        <v>1458</v>
      </c>
      <c r="D29" s="48" t="s">
        <v>156</v>
      </c>
      <c r="E29" s="50" t="s">
        <v>1459</v>
      </c>
      <c r="G29" s="76" t="s">
        <v>1460</v>
      </c>
      <c r="H29" s="50">
        <v>4953</v>
      </c>
      <c r="I29" s="49" t="s">
        <v>1</v>
      </c>
      <c r="J29" s="50" t="s">
        <v>194</v>
      </c>
      <c r="K29" s="51">
        <v>41051</v>
      </c>
      <c r="L29" s="115">
        <v>41044</v>
      </c>
      <c r="M29" s="50">
        <v>7</v>
      </c>
      <c r="N29" s="50" t="s">
        <v>2</v>
      </c>
      <c r="O29" s="74">
        <v>2</v>
      </c>
      <c r="P29" s="50">
        <v>6</v>
      </c>
      <c r="Q29" s="74">
        <v>6.7</v>
      </c>
      <c r="R29" s="50">
        <v>46</v>
      </c>
      <c r="S29" s="74">
        <v>17</v>
      </c>
      <c r="T29" s="50">
        <v>0.1</v>
      </c>
      <c r="U29" s="74">
        <v>0.85</v>
      </c>
      <c r="V29" s="50">
        <f>0.1/2</f>
        <v>0.05</v>
      </c>
      <c r="W29" s="74">
        <v>1.4E-2</v>
      </c>
      <c r="X29" s="50">
        <v>4.2000000000000003E-2</v>
      </c>
      <c r="Y29" s="74">
        <f>0.003/2</f>
        <v>1.5E-3</v>
      </c>
      <c r="Z29" s="164">
        <v>1</v>
      </c>
      <c r="AA29" s="165">
        <v>1</v>
      </c>
      <c r="AB29" s="50">
        <v>15</v>
      </c>
      <c r="AC29" s="74">
        <v>80</v>
      </c>
      <c r="AD29" s="164">
        <v>1</v>
      </c>
      <c r="AE29" s="50">
        <v>4.41</v>
      </c>
      <c r="AO29" s="160" t="s">
        <v>1017</v>
      </c>
    </row>
    <row r="30" spans="1:41" ht="15" customHeight="1">
      <c r="A30" s="74" t="s">
        <v>68</v>
      </c>
      <c r="B30" s="50" t="s">
        <v>1457</v>
      </c>
      <c r="C30" s="7" t="s">
        <v>1461</v>
      </c>
      <c r="D30" s="48" t="s">
        <v>156</v>
      </c>
      <c r="E30" s="50" t="s">
        <v>1459</v>
      </c>
      <c r="G30" s="76" t="s">
        <v>1462</v>
      </c>
      <c r="H30" s="50">
        <v>4953</v>
      </c>
      <c r="I30" s="49" t="s">
        <v>1</v>
      </c>
      <c r="J30" s="50" t="s">
        <v>569</v>
      </c>
      <c r="K30" s="51">
        <v>41051</v>
      </c>
      <c r="L30" s="115">
        <v>41044</v>
      </c>
      <c r="M30" s="50">
        <v>7</v>
      </c>
      <c r="N30" s="50" t="s">
        <v>2</v>
      </c>
      <c r="O30" s="74">
        <v>2.1</v>
      </c>
      <c r="P30" s="50">
        <v>6</v>
      </c>
      <c r="Q30" s="74">
        <v>6.8</v>
      </c>
      <c r="R30" s="50">
        <v>39</v>
      </c>
      <c r="S30" s="74">
        <v>38</v>
      </c>
      <c r="T30" s="50">
        <v>7.0000000000000007E-2</v>
      </c>
      <c r="U30" s="74">
        <v>0.86</v>
      </c>
      <c r="V30" s="50">
        <v>2.02</v>
      </c>
      <c r="W30" s="74">
        <v>2.5999999999999999E-2</v>
      </c>
      <c r="X30" s="50">
        <v>3.2000000000000001E-2</v>
      </c>
      <c r="Y30" s="74">
        <f>0.03/2</f>
        <v>1.4999999999999999E-2</v>
      </c>
      <c r="Z30" s="164">
        <v>1</v>
      </c>
      <c r="AA30" s="165">
        <v>1</v>
      </c>
      <c r="AB30" s="50">
        <v>111</v>
      </c>
      <c r="AC30" s="74">
        <v>466</v>
      </c>
      <c r="AD30" s="164">
        <v>1</v>
      </c>
      <c r="AE30" s="50">
        <v>7.46</v>
      </c>
      <c r="AO30" s="114">
        <v>600</v>
      </c>
    </row>
    <row r="31" spans="1:41" ht="15" customHeight="1">
      <c r="A31" s="74" t="s">
        <v>68</v>
      </c>
      <c r="B31" s="50" t="s">
        <v>1457</v>
      </c>
      <c r="C31" s="7" t="s">
        <v>1461</v>
      </c>
      <c r="D31" s="48" t="s">
        <v>156</v>
      </c>
      <c r="E31" s="50" t="s">
        <v>1459</v>
      </c>
      <c r="G31" s="76" t="s">
        <v>1462</v>
      </c>
      <c r="H31" s="50">
        <v>4953</v>
      </c>
      <c r="I31" s="49" t="s">
        <v>1</v>
      </c>
      <c r="J31" s="50" t="s">
        <v>194</v>
      </c>
      <c r="K31" s="51">
        <v>41051</v>
      </c>
      <c r="L31" s="115">
        <v>41044</v>
      </c>
      <c r="M31" s="50">
        <v>7</v>
      </c>
      <c r="N31" s="50" t="s">
        <v>2</v>
      </c>
      <c r="O31" s="74">
        <v>6.1</v>
      </c>
      <c r="P31" s="50">
        <v>6</v>
      </c>
      <c r="Q31" s="74">
        <v>8</v>
      </c>
      <c r="R31" s="50">
        <v>137</v>
      </c>
      <c r="S31" s="74">
        <v>2308</v>
      </c>
      <c r="T31" s="50">
        <v>0.93</v>
      </c>
      <c r="U31" s="74">
        <v>4.24</v>
      </c>
      <c r="V31" s="50">
        <v>0.49</v>
      </c>
      <c r="W31" s="74">
        <v>3.1E-2</v>
      </c>
      <c r="X31" s="50">
        <v>0.11700000000000001</v>
      </c>
      <c r="Y31" s="74">
        <v>4.2999999999999997E-2</v>
      </c>
      <c r="Z31" s="164">
        <v>1</v>
      </c>
      <c r="AA31" s="165">
        <v>1</v>
      </c>
      <c r="AB31" s="50">
        <v>169</v>
      </c>
      <c r="AC31" s="74">
        <v>505</v>
      </c>
      <c r="AD31" s="164">
        <v>1</v>
      </c>
      <c r="AE31" s="50">
        <v>11</v>
      </c>
      <c r="AO31" s="114">
        <v>2400</v>
      </c>
    </row>
    <row r="32" spans="1:41" ht="15" customHeight="1">
      <c r="A32" s="74" t="s">
        <v>68</v>
      </c>
      <c r="B32" s="50" t="s">
        <v>1463</v>
      </c>
      <c r="C32" s="7" t="s">
        <v>1464</v>
      </c>
      <c r="D32" s="48" t="s">
        <v>133</v>
      </c>
      <c r="E32" s="50" t="s">
        <v>1465</v>
      </c>
      <c r="G32" s="76" t="s">
        <v>1466</v>
      </c>
      <c r="H32" s="50">
        <v>4953</v>
      </c>
      <c r="I32" s="49" t="s">
        <v>1</v>
      </c>
      <c r="J32" s="50" t="s">
        <v>81</v>
      </c>
      <c r="K32" s="51">
        <v>40996</v>
      </c>
      <c r="L32" s="115">
        <v>40977</v>
      </c>
      <c r="M32" s="50">
        <v>19</v>
      </c>
      <c r="N32" s="50" t="s">
        <v>2</v>
      </c>
      <c r="AE32" s="50">
        <v>5.57</v>
      </c>
    </row>
    <row r="33" spans="1:42" ht="15" customHeight="1">
      <c r="A33" s="74" t="s">
        <v>68</v>
      </c>
      <c r="B33" s="50" t="s">
        <v>1463</v>
      </c>
      <c r="C33" s="7" t="s">
        <v>1464</v>
      </c>
      <c r="D33" s="48" t="s">
        <v>133</v>
      </c>
      <c r="E33" s="50" t="s">
        <v>1465</v>
      </c>
      <c r="G33" s="76" t="s">
        <v>1466</v>
      </c>
      <c r="H33" s="50">
        <v>4953</v>
      </c>
      <c r="I33" s="49" t="s">
        <v>1</v>
      </c>
      <c r="J33" s="50" t="s">
        <v>114</v>
      </c>
      <c r="K33" s="51">
        <v>40996</v>
      </c>
      <c r="L33" s="115">
        <v>40977</v>
      </c>
      <c r="M33" s="50">
        <v>19</v>
      </c>
      <c r="N33" s="50" t="s">
        <v>2</v>
      </c>
      <c r="AE33" s="50">
        <v>0.45400000000000001</v>
      </c>
    </row>
    <row r="34" spans="1:42" ht="15" customHeight="1">
      <c r="A34" s="74" t="s">
        <v>68</v>
      </c>
      <c r="B34" s="50" t="s">
        <v>1463</v>
      </c>
      <c r="C34" s="7" t="s">
        <v>1464</v>
      </c>
      <c r="D34" s="48" t="s">
        <v>133</v>
      </c>
      <c r="E34" s="50" t="s">
        <v>1465</v>
      </c>
      <c r="G34" s="76" t="s">
        <v>1466</v>
      </c>
      <c r="H34" s="50">
        <v>4953</v>
      </c>
      <c r="I34" s="49" t="s">
        <v>1</v>
      </c>
      <c r="J34" s="50" t="s">
        <v>1467</v>
      </c>
      <c r="K34" s="51">
        <v>40996</v>
      </c>
      <c r="L34" s="115">
        <v>40977</v>
      </c>
      <c r="M34" s="50">
        <v>19</v>
      </c>
      <c r="N34" s="50" t="s">
        <v>2</v>
      </c>
      <c r="AE34" s="50">
        <v>8.1199999999999992</v>
      </c>
    </row>
    <row r="35" spans="1:42" ht="15" customHeight="1">
      <c r="A35" s="74" t="s">
        <v>68</v>
      </c>
      <c r="B35" s="50" t="s">
        <v>1463</v>
      </c>
      <c r="C35" s="7" t="s">
        <v>1468</v>
      </c>
      <c r="D35" s="48" t="s">
        <v>247</v>
      </c>
      <c r="E35" s="50" t="s">
        <v>1469</v>
      </c>
      <c r="G35" s="76" t="s">
        <v>1470</v>
      </c>
      <c r="H35" s="50">
        <v>4953</v>
      </c>
      <c r="I35" s="49" t="s">
        <v>2</v>
      </c>
      <c r="J35" s="50" t="s">
        <v>319</v>
      </c>
      <c r="K35" s="51">
        <v>41021</v>
      </c>
      <c r="L35" s="115">
        <v>41011</v>
      </c>
      <c r="M35" s="50">
        <v>10</v>
      </c>
      <c r="N35" s="50" t="s">
        <v>2</v>
      </c>
      <c r="O35" s="74">
        <f>1.4/2</f>
        <v>0.7</v>
      </c>
      <c r="P35" s="50">
        <v>7</v>
      </c>
      <c r="Q35" s="74">
        <v>6.86</v>
      </c>
      <c r="R35" s="50">
        <v>16</v>
      </c>
      <c r="S35" s="74">
        <f>5/2</f>
        <v>2.5</v>
      </c>
      <c r="T35" s="50">
        <v>0.19</v>
      </c>
      <c r="U35" s="74">
        <v>0.82</v>
      </c>
      <c r="V35" s="50">
        <v>0.03</v>
      </c>
      <c r="W35" s="74">
        <v>6.0000000000000001E-3</v>
      </c>
      <c r="X35" s="50">
        <v>4.2000000000000003E-2</v>
      </c>
      <c r="Y35" s="74">
        <f>0.002/2</f>
        <v>1E-3</v>
      </c>
      <c r="Z35" s="164">
        <v>1</v>
      </c>
      <c r="AA35" s="165">
        <v>1</v>
      </c>
      <c r="AB35" s="50">
        <v>6</v>
      </c>
      <c r="AC35" s="74">
        <v>30</v>
      </c>
      <c r="AD35" s="164">
        <v>0.95</v>
      </c>
    </row>
    <row r="36" spans="1:42" ht="15" customHeight="1">
      <c r="A36" s="74" t="s">
        <v>68</v>
      </c>
      <c r="B36" s="50" t="s">
        <v>1463</v>
      </c>
      <c r="C36" s="7" t="s">
        <v>1471</v>
      </c>
      <c r="D36" s="48" t="s">
        <v>133</v>
      </c>
      <c r="E36" s="50" t="s">
        <v>1472</v>
      </c>
      <c r="G36" s="76" t="s">
        <v>1473</v>
      </c>
      <c r="H36" s="50">
        <v>4953</v>
      </c>
      <c r="I36" s="49" t="s">
        <v>1</v>
      </c>
      <c r="J36" s="50" t="s">
        <v>926</v>
      </c>
      <c r="K36" s="51">
        <v>41072</v>
      </c>
      <c r="L36" s="115">
        <v>41062</v>
      </c>
      <c r="M36" s="50">
        <v>10</v>
      </c>
      <c r="N36" s="50" t="s">
        <v>2</v>
      </c>
      <c r="O36" s="74">
        <f>1.4/2</f>
        <v>0.7</v>
      </c>
      <c r="P36" s="50">
        <v>6.26</v>
      </c>
      <c r="Q36" s="74">
        <v>7.08</v>
      </c>
      <c r="R36" s="50">
        <v>18</v>
      </c>
      <c r="S36" s="74">
        <f>5/2</f>
        <v>2.5</v>
      </c>
      <c r="T36" s="50">
        <v>0.1</v>
      </c>
      <c r="U36" s="74">
        <v>1.1299999999999999</v>
      </c>
      <c r="V36" s="50">
        <v>1.29</v>
      </c>
      <c r="W36" s="74">
        <v>2.5000000000000001E-2</v>
      </c>
      <c r="X36" s="50">
        <v>0.90300000000000002</v>
      </c>
      <c r="Y36" s="74">
        <v>1.7000000000000001E-2</v>
      </c>
      <c r="Z36" s="164">
        <v>0.749</v>
      </c>
      <c r="AA36" s="165">
        <v>0.59499999999999997</v>
      </c>
      <c r="AB36" s="50">
        <v>92</v>
      </c>
      <c r="AC36" s="74">
        <v>256</v>
      </c>
      <c r="AD36" s="164">
        <v>0</v>
      </c>
    </row>
    <row r="37" spans="1:42" ht="15" customHeight="1">
      <c r="A37" s="74" t="s">
        <v>68</v>
      </c>
      <c r="B37" s="50" t="s">
        <v>1463</v>
      </c>
      <c r="C37" s="7" t="s">
        <v>1474</v>
      </c>
      <c r="D37" s="48" t="s">
        <v>434</v>
      </c>
      <c r="E37" s="50" t="s">
        <v>1475</v>
      </c>
      <c r="G37" s="76" t="s">
        <v>1476</v>
      </c>
      <c r="H37" s="50">
        <v>4953</v>
      </c>
      <c r="I37" s="49" t="s">
        <v>2</v>
      </c>
      <c r="J37" s="50" t="s">
        <v>1477</v>
      </c>
      <c r="K37" s="51">
        <v>40996</v>
      </c>
      <c r="L37" s="115">
        <v>40993</v>
      </c>
      <c r="M37" s="50">
        <v>3</v>
      </c>
      <c r="N37" s="50" t="s">
        <v>2</v>
      </c>
      <c r="O37" s="74">
        <v>99.7</v>
      </c>
      <c r="P37" s="50">
        <v>5.0999999999999996</v>
      </c>
      <c r="Q37" s="74">
        <v>7</v>
      </c>
      <c r="R37" s="50">
        <v>390</v>
      </c>
      <c r="S37" s="74">
        <v>148</v>
      </c>
      <c r="T37" s="50">
        <v>0.42</v>
      </c>
      <c r="U37" s="74">
        <v>8.73</v>
      </c>
      <c r="V37" s="50">
        <v>1</v>
      </c>
      <c r="W37" s="74">
        <v>6.6000000000000003E-2</v>
      </c>
      <c r="X37" s="50">
        <v>0.40600000000000003</v>
      </c>
      <c r="Y37" s="74">
        <v>5.1999999999999998E-2</v>
      </c>
    </row>
    <row r="38" spans="1:42" ht="15" customHeight="1">
      <c r="A38" s="74" t="s">
        <v>68</v>
      </c>
      <c r="B38" s="50" t="s">
        <v>1463</v>
      </c>
      <c r="C38" s="7" t="s">
        <v>1474</v>
      </c>
      <c r="D38" s="48" t="s">
        <v>434</v>
      </c>
      <c r="E38" s="50" t="s">
        <v>1475</v>
      </c>
      <c r="G38" s="76" t="s">
        <v>1476</v>
      </c>
      <c r="H38" s="50">
        <v>4953</v>
      </c>
      <c r="I38" s="49" t="s">
        <v>2</v>
      </c>
      <c r="J38" s="50" t="s">
        <v>114</v>
      </c>
      <c r="K38" s="51">
        <v>40996</v>
      </c>
      <c r="L38" s="115">
        <v>40993</v>
      </c>
      <c r="M38" s="50">
        <v>3</v>
      </c>
      <c r="N38" s="50" t="s">
        <v>2</v>
      </c>
      <c r="O38" s="74">
        <v>51.1</v>
      </c>
      <c r="P38" s="50">
        <v>5.0999999999999996</v>
      </c>
      <c r="Q38" s="74">
        <v>5.8</v>
      </c>
      <c r="R38" s="50">
        <v>370</v>
      </c>
      <c r="S38" s="74">
        <v>900</v>
      </c>
      <c r="T38" s="50">
        <v>0.74</v>
      </c>
      <c r="U38" s="74">
        <v>13.3</v>
      </c>
      <c r="V38" s="50">
        <v>1.2</v>
      </c>
      <c r="W38" s="74">
        <v>0.15</v>
      </c>
      <c r="X38" s="50">
        <v>1.34</v>
      </c>
      <c r="Y38" s="74">
        <v>0.12</v>
      </c>
    </row>
    <row r="39" spans="1:42" ht="15" customHeight="1">
      <c r="A39" s="74" t="s">
        <v>68</v>
      </c>
      <c r="B39" s="50" t="s">
        <v>1463</v>
      </c>
      <c r="C39" s="7" t="s">
        <v>1474</v>
      </c>
      <c r="D39" s="48" t="s">
        <v>434</v>
      </c>
      <c r="E39" s="50" t="s">
        <v>1475</v>
      </c>
      <c r="G39" s="76" t="s">
        <v>1476</v>
      </c>
      <c r="H39" s="50">
        <v>4953</v>
      </c>
      <c r="I39" s="49" t="s">
        <v>2</v>
      </c>
      <c r="J39" s="50" t="s">
        <v>1478</v>
      </c>
      <c r="K39" s="51">
        <v>40996</v>
      </c>
      <c r="L39" s="115">
        <v>40993</v>
      </c>
      <c r="M39" s="50">
        <v>3</v>
      </c>
      <c r="N39" s="50" t="s">
        <v>2</v>
      </c>
      <c r="O39" s="74">
        <v>21.9</v>
      </c>
      <c r="P39" s="50">
        <v>5.0999999999999996</v>
      </c>
      <c r="Q39" s="74">
        <v>7.2</v>
      </c>
      <c r="R39" s="50">
        <v>160</v>
      </c>
      <c r="S39" s="74">
        <v>111</v>
      </c>
      <c r="T39" s="50">
        <v>0.22</v>
      </c>
      <c r="U39" s="74">
        <v>3</v>
      </c>
      <c r="V39" s="50">
        <v>0.7</v>
      </c>
      <c r="W39" s="74">
        <v>2.4E-2</v>
      </c>
      <c r="X39" s="50">
        <v>0.13100000000000001</v>
      </c>
      <c r="Y39" s="74">
        <v>0.03</v>
      </c>
    </row>
    <row r="40" spans="1:42" ht="15" customHeight="1">
      <c r="A40" s="74" t="s">
        <v>68</v>
      </c>
      <c r="B40" s="50" t="s">
        <v>280</v>
      </c>
      <c r="C40" s="7" t="s">
        <v>281</v>
      </c>
      <c r="D40" s="48" t="s">
        <v>1484</v>
      </c>
      <c r="E40" s="50" t="s">
        <v>282</v>
      </c>
      <c r="G40" s="76" t="s">
        <v>283</v>
      </c>
      <c r="H40" s="50">
        <v>4953</v>
      </c>
      <c r="I40" s="49" t="s">
        <v>2</v>
      </c>
      <c r="J40" s="50" t="s">
        <v>284</v>
      </c>
      <c r="K40" s="51">
        <v>41113</v>
      </c>
      <c r="L40" s="115">
        <v>41110</v>
      </c>
      <c r="M40" s="50">
        <v>3</v>
      </c>
      <c r="N40" s="50" t="s">
        <v>2</v>
      </c>
      <c r="P40" s="50">
        <v>7.11</v>
      </c>
      <c r="Q40" s="74">
        <v>5.81</v>
      </c>
      <c r="AE40" s="50">
        <v>0.52200000000000002</v>
      </c>
    </row>
    <row r="41" spans="1:42" ht="15" customHeight="1">
      <c r="A41" s="74" t="s">
        <v>68</v>
      </c>
      <c r="B41" s="50" t="s">
        <v>82</v>
      </c>
      <c r="C41" s="7" t="s">
        <v>83</v>
      </c>
      <c r="D41" s="48" t="s">
        <v>595</v>
      </c>
      <c r="E41" s="50" t="s">
        <v>85</v>
      </c>
      <c r="G41" s="76" t="s">
        <v>86</v>
      </c>
      <c r="H41" s="50">
        <v>4953</v>
      </c>
      <c r="I41" s="49" t="s">
        <v>2</v>
      </c>
      <c r="J41" s="50" t="s">
        <v>284</v>
      </c>
      <c r="K41" s="51">
        <v>41113</v>
      </c>
      <c r="L41" s="115">
        <v>41110</v>
      </c>
      <c r="M41" s="50">
        <v>3</v>
      </c>
      <c r="N41" s="50" t="s">
        <v>2</v>
      </c>
      <c r="P41" s="50">
        <v>7.04</v>
      </c>
      <c r="Q41" s="74">
        <v>6.22</v>
      </c>
      <c r="AE41" s="50">
        <f>0.02/2</f>
        <v>0.01</v>
      </c>
    </row>
    <row r="42" spans="1:42" ht="15" customHeight="1">
      <c r="A42" s="74" t="s">
        <v>68</v>
      </c>
      <c r="B42" s="50" t="s">
        <v>1485</v>
      </c>
      <c r="C42" s="7" t="s">
        <v>1485</v>
      </c>
      <c r="D42" s="48" t="s">
        <v>480</v>
      </c>
      <c r="E42" s="50" t="s">
        <v>1486</v>
      </c>
      <c r="G42" s="76" t="s">
        <v>1487</v>
      </c>
      <c r="H42" s="50">
        <v>4212</v>
      </c>
      <c r="I42" s="49" t="s">
        <v>1</v>
      </c>
      <c r="J42" s="50" t="s">
        <v>81</v>
      </c>
      <c r="K42" s="51">
        <v>41043</v>
      </c>
      <c r="L42" s="115">
        <v>41039</v>
      </c>
      <c r="M42" s="50">
        <v>4</v>
      </c>
      <c r="N42" s="50" t="s">
        <v>2</v>
      </c>
      <c r="O42" s="74">
        <v>8</v>
      </c>
      <c r="P42" s="50">
        <v>4.9000000000000004</v>
      </c>
      <c r="Q42" s="74">
        <v>6.6</v>
      </c>
      <c r="R42" s="50">
        <v>242</v>
      </c>
      <c r="S42" s="74">
        <v>114</v>
      </c>
      <c r="T42" s="50">
        <v>0.38</v>
      </c>
      <c r="U42" s="74">
        <v>8.4700000000000006</v>
      </c>
      <c r="V42" s="50">
        <v>1.1000000000000001</v>
      </c>
      <c r="W42" s="74">
        <v>5.6000000000000001E-2</v>
      </c>
      <c r="X42" s="50">
        <v>0.38500000000000001</v>
      </c>
      <c r="Y42" s="74">
        <f>0.03/2</f>
        <v>1.4999999999999999E-2</v>
      </c>
      <c r="Z42" s="164">
        <v>1</v>
      </c>
      <c r="AA42" s="165">
        <v>1</v>
      </c>
      <c r="AB42" s="50">
        <v>31</v>
      </c>
      <c r="AC42" s="74">
        <v>157</v>
      </c>
      <c r="AD42" s="164">
        <v>1</v>
      </c>
    </row>
    <row r="43" spans="1:42" ht="15" customHeight="1">
      <c r="A43" s="74" t="s">
        <v>68</v>
      </c>
      <c r="B43" s="50" t="s">
        <v>1488</v>
      </c>
      <c r="C43" s="7" t="s">
        <v>1489</v>
      </c>
      <c r="D43" s="48" t="s">
        <v>1490</v>
      </c>
      <c r="E43" s="50" t="s">
        <v>1491</v>
      </c>
      <c r="G43" s="76" t="s">
        <v>1492</v>
      </c>
      <c r="I43" s="49" t="s">
        <v>2</v>
      </c>
      <c r="J43" s="50" t="s">
        <v>1493</v>
      </c>
      <c r="K43" s="51">
        <v>41136</v>
      </c>
      <c r="L43" s="115"/>
      <c r="N43" s="50" t="s">
        <v>2</v>
      </c>
      <c r="O43" s="74">
        <f>2/2</f>
        <v>1</v>
      </c>
      <c r="P43" s="50">
        <v>5.5</v>
      </c>
      <c r="Q43" s="74">
        <v>6.2</v>
      </c>
      <c r="R43" s="50">
        <v>26</v>
      </c>
      <c r="S43" s="74">
        <v>9</v>
      </c>
      <c r="T43" s="50">
        <v>0.12</v>
      </c>
      <c r="U43" s="74">
        <v>0.78</v>
      </c>
      <c r="V43" s="50">
        <v>0.25</v>
      </c>
      <c r="W43" s="74">
        <v>5.0000000000000001E-3</v>
      </c>
      <c r="X43" s="50">
        <v>1.7999999999999999E-2</v>
      </c>
      <c r="Y43" s="74">
        <f>0.002/2</f>
        <v>1E-3</v>
      </c>
      <c r="Z43" s="164">
        <v>1</v>
      </c>
      <c r="AA43" s="165">
        <v>1</v>
      </c>
    </row>
    <row r="44" spans="1:42" ht="15" customHeight="1">
      <c r="A44" s="74" t="s">
        <v>68</v>
      </c>
      <c r="B44" s="50" t="s">
        <v>1488</v>
      </c>
      <c r="C44" s="7" t="s">
        <v>1489</v>
      </c>
      <c r="D44" s="48" t="s">
        <v>1490</v>
      </c>
      <c r="E44" s="50" t="s">
        <v>1491</v>
      </c>
      <c r="G44" s="76" t="s">
        <v>1492</v>
      </c>
      <c r="I44" s="49" t="s">
        <v>2</v>
      </c>
      <c r="J44" s="50" t="s">
        <v>1494</v>
      </c>
      <c r="K44" s="51">
        <v>41136</v>
      </c>
      <c r="L44" s="115"/>
      <c r="N44" s="50" t="s">
        <v>2</v>
      </c>
      <c r="O44" s="74">
        <f>2/2</f>
        <v>1</v>
      </c>
      <c r="P44" s="50">
        <v>5.5</v>
      </c>
      <c r="Q44" s="74">
        <v>6.4</v>
      </c>
      <c r="R44" s="50">
        <v>56</v>
      </c>
      <c r="S44" s="74">
        <v>12</v>
      </c>
      <c r="T44" s="50">
        <v>0.28000000000000003</v>
      </c>
      <c r="U44" s="74">
        <v>1.7</v>
      </c>
      <c r="V44" s="50">
        <v>0.25</v>
      </c>
      <c r="W44" s="74">
        <v>5.1999999999999998E-3</v>
      </c>
      <c r="X44" s="50">
        <v>1.4999999999999999E-2</v>
      </c>
      <c r="Y44" s="74">
        <f>0.002/2</f>
        <v>1E-3</v>
      </c>
      <c r="Z44" s="164">
        <v>1</v>
      </c>
      <c r="AA44" s="165">
        <v>1</v>
      </c>
      <c r="AB44" s="50">
        <v>20</v>
      </c>
      <c r="AC44" s="74">
        <v>60</v>
      </c>
      <c r="AD44" s="164">
        <v>0.95</v>
      </c>
    </row>
    <row r="45" spans="1:42" ht="15" customHeight="1">
      <c r="A45" s="74" t="s">
        <v>68</v>
      </c>
      <c r="B45" s="50" t="s">
        <v>1463</v>
      </c>
      <c r="C45" s="7" t="s">
        <v>1680</v>
      </c>
      <c r="D45" s="48" t="s">
        <v>111</v>
      </c>
      <c r="E45" s="50" t="s">
        <v>112</v>
      </c>
      <c r="G45" s="76" t="s">
        <v>1681</v>
      </c>
      <c r="H45" s="50">
        <v>4953</v>
      </c>
      <c r="I45" s="49" t="s">
        <v>2</v>
      </c>
      <c r="J45" s="50" t="s">
        <v>81</v>
      </c>
      <c r="K45" s="51">
        <v>41073</v>
      </c>
      <c r="L45" s="115">
        <v>41062</v>
      </c>
      <c r="M45" s="50">
        <v>11</v>
      </c>
      <c r="N45" s="50" t="s">
        <v>2</v>
      </c>
      <c r="O45" s="74">
        <f>5/2</f>
        <v>2.5</v>
      </c>
      <c r="P45" s="50">
        <v>6.41</v>
      </c>
      <c r="Q45" s="74">
        <v>6.23</v>
      </c>
      <c r="R45" s="50">
        <v>76</v>
      </c>
      <c r="S45" s="74">
        <f>10/2</f>
        <v>5</v>
      </c>
      <c r="T45" s="50">
        <v>0.15</v>
      </c>
      <c r="U45" s="74">
        <v>1.8</v>
      </c>
      <c r="V45" s="50">
        <v>0.32</v>
      </c>
      <c r="W45" s="74">
        <v>3.2000000000000001E-2</v>
      </c>
      <c r="X45" s="50">
        <v>1.9E-2</v>
      </c>
      <c r="Y45" s="74">
        <v>1.9E-3</v>
      </c>
      <c r="Z45" s="164">
        <v>1</v>
      </c>
      <c r="AA45" s="165">
        <v>1</v>
      </c>
      <c r="AC45" s="74">
        <v>92</v>
      </c>
      <c r="AD45" s="164">
        <v>1</v>
      </c>
      <c r="AE45" s="50">
        <v>0.17</v>
      </c>
      <c r="AF45" s="50">
        <v>3.2</v>
      </c>
      <c r="AG45" s="50">
        <f>10/2</f>
        <v>5</v>
      </c>
      <c r="AH45" s="50">
        <v>0.21</v>
      </c>
      <c r="AI45" s="50">
        <f>0.01/2</f>
        <v>5.0000000000000001E-3</v>
      </c>
      <c r="AJ45" s="50">
        <v>5.4000000000000003E-3</v>
      </c>
      <c r="AK45" s="50">
        <f>0.01/2</f>
        <v>5.0000000000000001E-3</v>
      </c>
      <c r="AL45" s="50">
        <f>0.01/2</f>
        <v>5.0000000000000001E-3</v>
      </c>
      <c r="AM45" s="50">
        <v>1.9E-2</v>
      </c>
      <c r="AN45" s="114">
        <v>6.23</v>
      </c>
      <c r="AO45" s="114">
        <v>3500</v>
      </c>
    </row>
    <row r="46" spans="1:42" ht="15" customHeight="1">
      <c r="A46" s="74" t="s">
        <v>68</v>
      </c>
      <c r="B46" s="50" t="s">
        <v>1463</v>
      </c>
      <c r="C46" s="7" t="s">
        <v>1680</v>
      </c>
      <c r="D46" s="48" t="s">
        <v>111</v>
      </c>
      <c r="E46" s="50" t="s">
        <v>112</v>
      </c>
      <c r="G46" s="76" t="s">
        <v>1681</v>
      </c>
      <c r="H46" s="50">
        <v>4953</v>
      </c>
      <c r="I46" s="49" t="s">
        <v>2</v>
      </c>
      <c r="J46" s="50" t="s">
        <v>115</v>
      </c>
      <c r="K46" s="51">
        <v>41073</v>
      </c>
      <c r="L46" s="115">
        <v>41062</v>
      </c>
      <c r="M46" s="50">
        <v>11</v>
      </c>
      <c r="N46" s="50" t="s">
        <v>2</v>
      </c>
      <c r="O46" s="74">
        <f>5/2</f>
        <v>2.5</v>
      </c>
      <c r="P46" s="50">
        <v>6.41</v>
      </c>
      <c r="Q46" s="74">
        <v>7.29</v>
      </c>
      <c r="R46" s="50">
        <v>82</v>
      </c>
      <c r="S46" s="74">
        <v>14</v>
      </c>
      <c r="T46" s="50">
        <v>0.2</v>
      </c>
      <c r="U46" s="74">
        <v>2</v>
      </c>
      <c r="V46" s="50">
        <v>0.83</v>
      </c>
      <c r="W46" s="74">
        <v>3.1E-2</v>
      </c>
      <c r="X46" s="50">
        <v>0.02</v>
      </c>
      <c r="Y46" s="74">
        <v>5.4000000000000003E-3</v>
      </c>
      <c r="Z46" s="164">
        <v>1</v>
      </c>
      <c r="AA46" s="165">
        <v>1</v>
      </c>
      <c r="AC46" s="74">
        <v>1026</v>
      </c>
      <c r="AD46" s="164">
        <v>1</v>
      </c>
      <c r="AE46" s="50">
        <v>0.47</v>
      </c>
      <c r="AF46" s="50">
        <f>3/2</f>
        <v>1.5</v>
      </c>
      <c r="AG46" s="50">
        <v>14</v>
      </c>
      <c r="AH46" s="50">
        <v>0.54</v>
      </c>
      <c r="AI46" s="50">
        <f>0.0098/2</f>
        <v>4.8999999999999998E-3</v>
      </c>
      <c r="AJ46" s="50">
        <v>5.4000000000000003E-3</v>
      </c>
      <c r="AK46" s="50">
        <f>0.0098/2</f>
        <v>4.8999999999999998E-3</v>
      </c>
      <c r="AL46" s="50">
        <f>0.0098/2</f>
        <v>4.8999999999999998E-3</v>
      </c>
      <c r="AM46" s="50">
        <v>0.02</v>
      </c>
      <c r="AN46" s="114">
        <v>7.29</v>
      </c>
      <c r="AO46" s="114">
        <v>9000</v>
      </c>
    </row>
    <row r="47" spans="1:42" ht="15" customHeight="1">
      <c r="A47" s="293" t="s">
        <v>68</v>
      </c>
      <c r="B47" s="50" t="s">
        <v>1463</v>
      </c>
      <c r="C47" s="7" t="s">
        <v>1464</v>
      </c>
      <c r="D47" s="48" t="s">
        <v>133</v>
      </c>
      <c r="E47" s="50" t="s">
        <v>1465</v>
      </c>
      <c r="G47" s="76" t="s">
        <v>1466</v>
      </c>
      <c r="H47" s="50">
        <v>4953</v>
      </c>
      <c r="I47" s="49" t="s">
        <v>1</v>
      </c>
      <c r="J47" s="50" t="s">
        <v>81</v>
      </c>
      <c r="K47" s="51">
        <v>41072</v>
      </c>
      <c r="L47" s="115">
        <v>41062</v>
      </c>
      <c r="M47" s="50">
        <v>10</v>
      </c>
      <c r="N47" s="50" t="s">
        <v>2</v>
      </c>
      <c r="O47" s="74">
        <f>1.4/2</f>
        <v>0.7</v>
      </c>
      <c r="P47" s="50">
        <v>5.35</v>
      </c>
      <c r="Q47" s="74">
        <v>7.47</v>
      </c>
      <c r="R47" s="50">
        <v>150</v>
      </c>
      <c r="S47" s="74">
        <v>74</v>
      </c>
      <c r="T47" s="50">
        <v>0.97</v>
      </c>
      <c r="U47" s="74">
        <v>10.9</v>
      </c>
      <c r="V47" s="50">
        <v>5.31</v>
      </c>
      <c r="W47" s="74">
        <v>5.7000000000000002E-2</v>
      </c>
      <c r="X47" s="50">
        <v>4.1000000000000002E-2</v>
      </c>
      <c r="Y47" s="74">
        <v>8.9999999999999993E-3</v>
      </c>
      <c r="Z47" s="164">
        <v>1</v>
      </c>
      <c r="AA47" s="165">
        <v>1</v>
      </c>
      <c r="AB47" s="50">
        <v>92</v>
      </c>
      <c r="AC47" s="74">
        <v>293</v>
      </c>
      <c r="AD47" s="164">
        <v>1</v>
      </c>
      <c r="AE47" s="50">
        <v>2.2400000000000002</v>
      </c>
      <c r="AF47" s="50">
        <v>18</v>
      </c>
      <c r="AG47" s="50">
        <v>74</v>
      </c>
      <c r="AH47" s="50">
        <v>3.12</v>
      </c>
      <c r="AI47" s="50">
        <f t="shared" ref="AI47:AL49" si="1">0.01/2</f>
        <v>5.0000000000000001E-3</v>
      </c>
      <c r="AJ47" s="50">
        <f t="shared" si="1"/>
        <v>5.0000000000000001E-3</v>
      </c>
      <c r="AK47" s="50">
        <f t="shared" si="1"/>
        <v>5.0000000000000001E-3</v>
      </c>
      <c r="AL47" s="50">
        <f t="shared" si="1"/>
        <v>5.0000000000000001E-3</v>
      </c>
      <c r="AM47" s="50">
        <v>4.1000000000000002E-2</v>
      </c>
      <c r="AN47" s="114">
        <v>7.47</v>
      </c>
      <c r="AP47" s="50">
        <f>0.53/2</f>
        <v>0.26500000000000001</v>
      </c>
    </row>
    <row r="48" spans="1:42" ht="15" customHeight="1">
      <c r="A48" s="293" t="s">
        <v>68</v>
      </c>
      <c r="B48" s="50" t="s">
        <v>1463</v>
      </c>
      <c r="C48" s="7" t="s">
        <v>1464</v>
      </c>
      <c r="D48" s="48" t="s">
        <v>133</v>
      </c>
      <c r="E48" s="50" t="s">
        <v>1465</v>
      </c>
      <c r="G48" s="76" t="s">
        <v>1466</v>
      </c>
      <c r="H48" s="50">
        <v>4953</v>
      </c>
      <c r="I48" s="49" t="s">
        <v>1</v>
      </c>
      <c r="J48" s="50" t="s">
        <v>114</v>
      </c>
      <c r="K48" s="51">
        <v>41072</v>
      </c>
      <c r="L48" s="115">
        <v>41062</v>
      </c>
      <c r="M48" s="50">
        <v>10</v>
      </c>
      <c r="N48" s="50" t="s">
        <v>2</v>
      </c>
      <c r="O48" s="74">
        <f>1.4/2</f>
        <v>0.7</v>
      </c>
      <c r="P48" s="50">
        <v>5.35</v>
      </c>
      <c r="Q48" s="74">
        <v>7.5</v>
      </c>
      <c r="R48" s="50">
        <v>140</v>
      </c>
      <c r="S48" s="74">
        <v>50</v>
      </c>
      <c r="T48" s="50">
        <v>0.51</v>
      </c>
      <c r="U48" s="74">
        <v>4.1500000000000004</v>
      </c>
      <c r="V48" s="50">
        <v>0.45</v>
      </c>
      <c r="W48" s="74">
        <v>0.03</v>
      </c>
      <c r="X48" s="50">
        <v>4.8000000000000001E-2</v>
      </c>
      <c r="Y48" s="74">
        <v>1.6E-2</v>
      </c>
      <c r="Z48" s="164">
        <v>1</v>
      </c>
      <c r="AA48" s="165">
        <v>1</v>
      </c>
      <c r="AB48" s="50">
        <v>182</v>
      </c>
      <c r="AC48" s="74">
        <v>422</v>
      </c>
      <c r="AD48" s="164">
        <v>1</v>
      </c>
      <c r="AE48" s="50">
        <v>5.08</v>
      </c>
      <c r="AF48" s="50">
        <f>6/2</f>
        <v>3</v>
      </c>
      <c r="AG48" s="50">
        <v>50</v>
      </c>
      <c r="AH48" s="50">
        <v>0.39</v>
      </c>
      <c r="AI48" s="50">
        <f t="shared" si="1"/>
        <v>5.0000000000000001E-3</v>
      </c>
      <c r="AJ48" s="50">
        <f t="shared" si="1"/>
        <v>5.0000000000000001E-3</v>
      </c>
      <c r="AK48" s="50">
        <f t="shared" si="1"/>
        <v>5.0000000000000001E-3</v>
      </c>
      <c r="AL48" s="50">
        <f t="shared" si="1"/>
        <v>5.0000000000000001E-3</v>
      </c>
      <c r="AM48" s="50">
        <v>4.8000000000000001E-2</v>
      </c>
      <c r="AN48" s="114">
        <v>7.5</v>
      </c>
      <c r="AP48" s="50">
        <f>0.5/2</f>
        <v>0.25</v>
      </c>
    </row>
    <row r="49" spans="1:43" ht="15" customHeight="1">
      <c r="A49" s="293" t="s">
        <v>68</v>
      </c>
      <c r="B49" s="50" t="s">
        <v>1463</v>
      </c>
      <c r="C49" s="7" t="s">
        <v>1464</v>
      </c>
      <c r="D49" s="48" t="s">
        <v>133</v>
      </c>
      <c r="E49" s="50" t="s">
        <v>1465</v>
      </c>
      <c r="G49" s="76" t="s">
        <v>1466</v>
      </c>
      <c r="H49" s="50">
        <v>4953</v>
      </c>
      <c r="I49" s="49" t="s">
        <v>1</v>
      </c>
      <c r="J49" s="50" t="s">
        <v>1467</v>
      </c>
      <c r="K49" s="51">
        <v>41072</v>
      </c>
      <c r="L49" s="115">
        <v>41062</v>
      </c>
      <c r="M49" s="50">
        <v>10</v>
      </c>
      <c r="N49" s="50" t="s">
        <v>2</v>
      </c>
      <c r="O49" s="74">
        <v>2.8</v>
      </c>
      <c r="P49" s="50">
        <v>5.35</v>
      </c>
      <c r="Q49" s="74">
        <v>6.88</v>
      </c>
      <c r="R49" s="50">
        <v>310</v>
      </c>
      <c r="S49" s="74">
        <v>81</v>
      </c>
      <c r="T49" s="50">
        <v>0.32</v>
      </c>
      <c r="U49" s="74">
        <v>5.61</v>
      </c>
      <c r="V49" s="50">
        <v>1.1499999999999999</v>
      </c>
      <c r="W49" s="74">
        <v>4.3999999999999997E-2</v>
      </c>
      <c r="X49" s="50">
        <v>0.17899999999999999</v>
      </c>
      <c r="Y49" s="74">
        <v>3.9E-2</v>
      </c>
      <c r="Z49" s="164">
        <v>1</v>
      </c>
      <c r="AA49" s="165">
        <v>1</v>
      </c>
      <c r="AB49" s="50">
        <v>100</v>
      </c>
      <c r="AC49" s="74">
        <v>547</v>
      </c>
      <c r="AD49" s="164">
        <v>1</v>
      </c>
      <c r="AE49" s="50">
        <v>4.2699999999999996</v>
      </c>
      <c r="AF49" s="50">
        <v>44</v>
      </c>
      <c r="AG49" s="50">
        <v>81</v>
      </c>
      <c r="AH49" s="50">
        <v>1.61</v>
      </c>
      <c r="AI49" s="50">
        <f t="shared" si="1"/>
        <v>5.0000000000000001E-3</v>
      </c>
      <c r="AJ49" s="50">
        <f t="shared" si="1"/>
        <v>5.0000000000000001E-3</v>
      </c>
      <c r="AK49" s="50">
        <f t="shared" si="1"/>
        <v>5.0000000000000001E-3</v>
      </c>
      <c r="AL49" s="50">
        <f t="shared" si="1"/>
        <v>5.0000000000000001E-3</v>
      </c>
      <c r="AM49" s="50">
        <v>0.17899999999999999</v>
      </c>
      <c r="AN49" s="114">
        <v>6.88</v>
      </c>
      <c r="AP49" s="50">
        <f>0.5/2</f>
        <v>0.25</v>
      </c>
    </row>
    <row r="50" spans="1:43" ht="15" customHeight="1">
      <c r="A50" s="293" t="s">
        <v>68</v>
      </c>
      <c r="B50" s="50" t="s">
        <v>1463</v>
      </c>
      <c r="C50" s="7" t="s">
        <v>1682</v>
      </c>
      <c r="D50" s="48" t="s">
        <v>1683</v>
      </c>
      <c r="E50" s="50" t="s">
        <v>1684</v>
      </c>
      <c r="G50" s="76" t="s">
        <v>1685</v>
      </c>
      <c r="H50" s="50">
        <v>4953</v>
      </c>
      <c r="I50" s="49" t="s">
        <v>1</v>
      </c>
      <c r="J50" s="50" t="s">
        <v>81</v>
      </c>
      <c r="K50" s="51">
        <v>40920</v>
      </c>
      <c r="L50" s="115">
        <v>40909</v>
      </c>
      <c r="M50" s="50">
        <v>11</v>
      </c>
      <c r="N50" s="50" t="s">
        <v>2</v>
      </c>
      <c r="AE50" s="50">
        <v>0.28100000000000003</v>
      </c>
    </row>
    <row r="51" spans="1:43" ht="15" customHeight="1">
      <c r="A51" s="293" t="s">
        <v>68</v>
      </c>
      <c r="B51" s="50" t="s">
        <v>1463</v>
      </c>
      <c r="C51" s="7" t="s">
        <v>1682</v>
      </c>
      <c r="D51" s="48" t="s">
        <v>1683</v>
      </c>
      <c r="E51" s="50" t="s">
        <v>1684</v>
      </c>
      <c r="G51" s="76" t="s">
        <v>1685</v>
      </c>
      <c r="H51" s="50">
        <v>4953</v>
      </c>
      <c r="I51" s="49" t="s">
        <v>1</v>
      </c>
      <c r="J51" s="50" t="s">
        <v>81</v>
      </c>
      <c r="K51" s="51">
        <v>41073</v>
      </c>
      <c r="L51" s="115">
        <v>41067</v>
      </c>
      <c r="M51" s="50">
        <v>6</v>
      </c>
      <c r="N51" s="50" t="s">
        <v>2</v>
      </c>
      <c r="O51" s="74">
        <f>1.4/2</f>
        <v>0.7</v>
      </c>
      <c r="P51" s="50">
        <v>5.88</v>
      </c>
      <c r="Q51" s="74">
        <v>7.67</v>
      </c>
      <c r="R51" s="50">
        <v>29</v>
      </c>
      <c r="S51" s="74">
        <v>7</v>
      </c>
      <c r="T51" s="50">
        <v>0.08</v>
      </c>
      <c r="U51" s="74">
        <v>1.03</v>
      </c>
      <c r="V51" s="50">
        <v>0.09</v>
      </c>
      <c r="W51" s="74">
        <v>2.3E-2</v>
      </c>
      <c r="X51" s="50">
        <v>1.2999999999999999E-2</v>
      </c>
      <c r="Y51" s="74">
        <f>0.002/2</f>
        <v>1E-3</v>
      </c>
      <c r="AE51" s="50">
        <v>0.20599999999999999</v>
      </c>
      <c r="AG51" s="50">
        <v>7</v>
      </c>
      <c r="AM51" s="50">
        <v>1.2999999999999999E-2</v>
      </c>
      <c r="AN51" s="114">
        <v>7.67</v>
      </c>
    </row>
    <row r="52" spans="1:43" ht="15" customHeight="1">
      <c r="A52" s="293" t="s">
        <v>68</v>
      </c>
      <c r="B52" s="50" t="s">
        <v>1463</v>
      </c>
      <c r="C52" s="7" t="s">
        <v>1682</v>
      </c>
      <c r="D52" s="48" t="s">
        <v>1683</v>
      </c>
      <c r="E52" s="50" t="s">
        <v>1684</v>
      </c>
      <c r="G52" s="76" t="s">
        <v>1685</v>
      </c>
      <c r="H52" s="50">
        <v>4953</v>
      </c>
      <c r="I52" s="49" t="s">
        <v>1</v>
      </c>
      <c r="J52" s="50" t="s">
        <v>81</v>
      </c>
      <c r="K52" s="51">
        <v>41170</v>
      </c>
      <c r="L52" s="115">
        <v>41160</v>
      </c>
      <c r="M52" s="50">
        <v>10</v>
      </c>
      <c r="N52" s="50" t="s">
        <v>2</v>
      </c>
      <c r="AE52" s="50">
        <v>3.92</v>
      </c>
      <c r="AQ52" s="73" t="s">
        <v>1535</v>
      </c>
    </row>
    <row r="53" spans="1:43" ht="15" customHeight="1">
      <c r="A53" s="293" t="s">
        <v>68</v>
      </c>
      <c r="B53" s="50" t="s">
        <v>1463</v>
      </c>
      <c r="C53" s="7" t="s">
        <v>1682</v>
      </c>
      <c r="D53" s="48" t="s">
        <v>1683</v>
      </c>
      <c r="E53" s="50" t="s">
        <v>1684</v>
      </c>
      <c r="G53" s="76" t="s">
        <v>1685</v>
      </c>
      <c r="H53" s="50">
        <v>4953</v>
      </c>
      <c r="I53" s="49" t="s">
        <v>1</v>
      </c>
      <c r="J53" s="50" t="s">
        <v>114</v>
      </c>
      <c r="K53" s="51">
        <v>40920</v>
      </c>
      <c r="L53" s="115">
        <v>40909</v>
      </c>
      <c r="M53" s="50">
        <v>11</v>
      </c>
      <c r="N53" s="50" t="s">
        <v>2</v>
      </c>
      <c r="AE53" s="50">
        <v>1.9</v>
      </c>
    </row>
    <row r="54" spans="1:43" ht="15" customHeight="1">
      <c r="A54" s="293" t="s">
        <v>68</v>
      </c>
      <c r="B54" s="50" t="s">
        <v>1463</v>
      </c>
      <c r="C54" s="7" t="s">
        <v>1682</v>
      </c>
      <c r="D54" s="48" t="s">
        <v>1683</v>
      </c>
      <c r="E54" s="50" t="s">
        <v>1684</v>
      </c>
      <c r="G54" s="76" t="s">
        <v>1685</v>
      </c>
      <c r="H54" s="50">
        <v>4953</v>
      </c>
      <c r="I54" s="49" t="s">
        <v>1</v>
      </c>
      <c r="J54" s="50" t="s">
        <v>114</v>
      </c>
      <c r="K54" s="51">
        <v>41073</v>
      </c>
      <c r="L54" s="115">
        <v>41067</v>
      </c>
      <c r="M54" s="50">
        <v>6</v>
      </c>
      <c r="N54" s="50" t="s">
        <v>2</v>
      </c>
      <c r="O54" s="74">
        <f>1.5/2</f>
        <v>0.75</v>
      </c>
      <c r="P54" s="50">
        <v>5.88</v>
      </c>
      <c r="Q54" s="74">
        <v>7.4</v>
      </c>
      <c r="R54" s="50">
        <v>20</v>
      </c>
      <c r="S54" s="74">
        <v>14</v>
      </c>
      <c r="T54" s="50">
        <v>0.3</v>
      </c>
      <c r="U54" s="74">
        <v>0.9</v>
      </c>
      <c r="V54" s="50">
        <v>0.1</v>
      </c>
      <c r="W54" s="74">
        <v>8.9999999999999993E-3</v>
      </c>
      <c r="X54" s="50">
        <v>1.2E-2</v>
      </c>
      <c r="Y54" s="74">
        <v>3.0000000000000001E-3</v>
      </c>
      <c r="AE54" s="50">
        <v>1.28</v>
      </c>
      <c r="AG54" s="50">
        <v>14</v>
      </c>
      <c r="AM54" s="50">
        <v>1.2E-2</v>
      </c>
      <c r="AN54" s="114">
        <v>7.4</v>
      </c>
    </row>
    <row r="55" spans="1:43" ht="15" customHeight="1">
      <c r="A55" s="293" t="s">
        <v>68</v>
      </c>
      <c r="B55" s="50" t="s">
        <v>1463</v>
      </c>
      <c r="C55" s="7" t="s">
        <v>1682</v>
      </c>
      <c r="D55" s="48" t="s">
        <v>1683</v>
      </c>
      <c r="E55" s="50" t="s">
        <v>1684</v>
      </c>
      <c r="G55" s="76" t="s">
        <v>1685</v>
      </c>
      <c r="H55" s="50">
        <v>4953</v>
      </c>
      <c r="I55" s="49" t="s">
        <v>1</v>
      </c>
      <c r="J55" s="50" t="s">
        <v>114</v>
      </c>
      <c r="K55" s="51">
        <v>41170</v>
      </c>
      <c r="L55" s="115">
        <v>41160</v>
      </c>
      <c r="M55" s="50">
        <v>10</v>
      </c>
      <c r="N55" s="50" t="s">
        <v>2</v>
      </c>
      <c r="AE55" s="50">
        <v>0.39700000000000002</v>
      </c>
      <c r="AQ55" s="49" t="s">
        <v>1535</v>
      </c>
    </row>
    <row r="56" spans="1:43" ht="15" customHeight="1">
      <c r="A56" s="293" t="s">
        <v>68</v>
      </c>
      <c r="B56" s="50" t="s">
        <v>1463</v>
      </c>
      <c r="C56" s="7" t="s">
        <v>1682</v>
      </c>
      <c r="D56" s="48" t="s">
        <v>1683</v>
      </c>
      <c r="E56" s="50" t="s">
        <v>1686</v>
      </c>
      <c r="G56" s="76" t="s">
        <v>1685</v>
      </c>
      <c r="H56" s="50">
        <v>4953</v>
      </c>
      <c r="I56" s="49" t="s">
        <v>1</v>
      </c>
      <c r="J56" s="50" t="s">
        <v>115</v>
      </c>
      <c r="K56" s="51">
        <v>40920</v>
      </c>
      <c r="L56" s="115">
        <v>40909</v>
      </c>
      <c r="M56" s="50">
        <v>11</v>
      </c>
      <c r="N56" s="50" t="s">
        <v>2</v>
      </c>
      <c r="AE56" s="50">
        <v>3.83</v>
      </c>
    </row>
    <row r="57" spans="1:43" ht="15" customHeight="1">
      <c r="A57" s="293" t="s">
        <v>68</v>
      </c>
      <c r="B57" s="50" t="s">
        <v>1463</v>
      </c>
      <c r="C57" s="7" t="s">
        <v>1682</v>
      </c>
      <c r="D57" s="48" t="s">
        <v>1683</v>
      </c>
      <c r="E57" s="50" t="s">
        <v>1686</v>
      </c>
      <c r="G57" s="76" t="s">
        <v>1685</v>
      </c>
      <c r="H57" s="50">
        <v>4953</v>
      </c>
      <c r="I57" s="49" t="s">
        <v>1</v>
      </c>
      <c r="J57" s="50" t="s">
        <v>115</v>
      </c>
      <c r="K57" s="51">
        <v>41073</v>
      </c>
      <c r="L57" s="115">
        <v>41067</v>
      </c>
      <c r="M57" s="50">
        <v>6</v>
      </c>
      <c r="N57" s="50" t="s">
        <v>2</v>
      </c>
      <c r="O57" s="74">
        <f>1.6/2</f>
        <v>0.8</v>
      </c>
      <c r="P57" s="50">
        <v>5.88</v>
      </c>
      <c r="Q57" s="74">
        <v>7.08</v>
      </c>
      <c r="R57" s="50">
        <v>130</v>
      </c>
      <c r="S57" s="74">
        <v>36</v>
      </c>
      <c r="T57" s="50">
        <v>0.51</v>
      </c>
      <c r="U57" s="74">
        <v>5.0599999999999996</v>
      </c>
      <c r="V57" s="50">
        <v>0.4</v>
      </c>
      <c r="W57" s="74">
        <v>2.5999999999999999E-2</v>
      </c>
      <c r="X57" s="50">
        <v>5.2999999999999999E-2</v>
      </c>
      <c r="Y57" s="74">
        <v>0.01</v>
      </c>
      <c r="AE57" s="50">
        <v>3.11</v>
      </c>
      <c r="AG57" s="50">
        <v>36</v>
      </c>
      <c r="AM57" s="50">
        <v>5.2999999999999999E-2</v>
      </c>
      <c r="AN57" s="114">
        <v>7.08</v>
      </c>
    </row>
    <row r="58" spans="1:43" ht="15" customHeight="1">
      <c r="A58" s="293" t="s">
        <v>68</v>
      </c>
      <c r="B58" s="50" t="s">
        <v>1463</v>
      </c>
      <c r="C58" s="7" t="s">
        <v>1682</v>
      </c>
      <c r="D58" s="48" t="s">
        <v>1683</v>
      </c>
      <c r="E58" s="50" t="s">
        <v>1686</v>
      </c>
      <c r="G58" s="76" t="s">
        <v>1685</v>
      </c>
      <c r="H58" s="50">
        <v>4953</v>
      </c>
      <c r="I58" s="49" t="s">
        <v>1</v>
      </c>
      <c r="J58" s="50" t="s">
        <v>115</v>
      </c>
      <c r="K58" s="51">
        <v>41170</v>
      </c>
      <c r="L58" s="115">
        <v>41160</v>
      </c>
      <c r="M58" s="50">
        <v>10</v>
      </c>
      <c r="N58" s="50" t="s">
        <v>2</v>
      </c>
      <c r="AE58" s="50">
        <v>1.45</v>
      </c>
      <c r="AQ58" s="73" t="s">
        <v>2370</v>
      </c>
    </row>
    <row r="59" spans="1:43" ht="15" customHeight="1">
      <c r="A59" s="293" t="s">
        <v>68</v>
      </c>
      <c r="B59" s="50" t="s">
        <v>1463</v>
      </c>
      <c r="C59" s="7" t="s">
        <v>1682</v>
      </c>
      <c r="D59" s="48" t="s">
        <v>1683</v>
      </c>
      <c r="E59" s="50" t="s">
        <v>1684</v>
      </c>
      <c r="G59" s="76" t="s">
        <v>1685</v>
      </c>
      <c r="H59" s="50">
        <v>4953</v>
      </c>
      <c r="I59" s="49" t="s">
        <v>1</v>
      </c>
      <c r="J59" s="50" t="s">
        <v>924</v>
      </c>
      <c r="K59" s="51">
        <v>40920</v>
      </c>
      <c r="L59" s="115">
        <v>40909</v>
      </c>
      <c r="M59" s="50">
        <v>11</v>
      </c>
      <c r="N59" s="50" t="s">
        <v>2</v>
      </c>
      <c r="AE59" s="50">
        <v>2.99</v>
      </c>
    </row>
    <row r="60" spans="1:43" ht="15" customHeight="1">
      <c r="A60" s="293" t="s">
        <v>68</v>
      </c>
      <c r="B60" s="50" t="s">
        <v>1463</v>
      </c>
      <c r="C60" s="7" t="s">
        <v>1682</v>
      </c>
      <c r="D60" s="48" t="s">
        <v>1683</v>
      </c>
      <c r="E60" s="50" t="s">
        <v>1684</v>
      </c>
      <c r="G60" s="76" t="s">
        <v>1685</v>
      </c>
      <c r="H60" s="50">
        <v>4953</v>
      </c>
      <c r="I60" s="49" t="s">
        <v>1</v>
      </c>
      <c r="J60" s="50" t="s">
        <v>924</v>
      </c>
      <c r="K60" s="51">
        <v>41073</v>
      </c>
      <c r="L60" s="115">
        <v>41067</v>
      </c>
      <c r="M60" s="50">
        <v>6</v>
      </c>
      <c r="N60" s="50" t="s">
        <v>2</v>
      </c>
      <c r="O60" s="74">
        <f>1.5/2</f>
        <v>0.75</v>
      </c>
      <c r="P60" s="50">
        <v>5.88</v>
      </c>
      <c r="Q60" s="74">
        <v>7.3</v>
      </c>
      <c r="R60" s="50">
        <v>57</v>
      </c>
      <c r="S60" s="74">
        <v>18</v>
      </c>
      <c r="T60" s="50">
        <v>0.08</v>
      </c>
      <c r="U60" s="74">
        <v>1.34</v>
      </c>
      <c r="V60" s="50">
        <v>3.32</v>
      </c>
      <c r="W60" s="74">
        <v>1.7999999999999999E-2</v>
      </c>
      <c r="X60" s="50">
        <v>3.1E-2</v>
      </c>
      <c r="Y60" s="74">
        <v>4.0000000000000001E-3</v>
      </c>
      <c r="AE60" s="50">
        <v>0.77</v>
      </c>
      <c r="AG60" s="50">
        <v>18</v>
      </c>
      <c r="AM60" s="50">
        <v>3.1E-2</v>
      </c>
      <c r="AN60" s="114">
        <v>7.3</v>
      </c>
    </row>
    <row r="61" spans="1:43" ht="15" customHeight="1">
      <c r="A61" s="293" t="s">
        <v>68</v>
      </c>
      <c r="B61" s="50" t="s">
        <v>1463</v>
      </c>
      <c r="C61" s="7" t="s">
        <v>1682</v>
      </c>
      <c r="D61" s="48" t="s">
        <v>1683</v>
      </c>
      <c r="E61" s="50" t="s">
        <v>1684</v>
      </c>
      <c r="G61" s="76" t="s">
        <v>1685</v>
      </c>
      <c r="H61" s="50">
        <v>4953</v>
      </c>
      <c r="I61" s="49" t="s">
        <v>1</v>
      </c>
      <c r="J61" s="50" t="s">
        <v>924</v>
      </c>
      <c r="K61" s="51">
        <v>41170</v>
      </c>
      <c r="L61" s="115">
        <v>41160</v>
      </c>
      <c r="M61" s="50">
        <v>10</v>
      </c>
      <c r="N61" s="50" t="s">
        <v>2</v>
      </c>
      <c r="AE61" s="50">
        <v>2.5299999999999998</v>
      </c>
      <c r="AQ61" s="49" t="s">
        <v>1535</v>
      </c>
    </row>
    <row r="62" spans="1:43" ht="15" customHeight="1">
      <c r="A62" s="293" t="s">
        <v>68</v>
      </c>
      <c r="B62" s="50" t="s">
        <v>2305</v>
      </c>
      <c r="C62" s="7" t="s">
        <v>392</v>
      </c>
      <c r="D62" s="48" t="s">
        <v>56</v>
      </c>
      <c r="F62" s="50" t="s">
        <v>2312</v>
      </c>
      <c r="G62" s="76" t="s">
        <v>2313</v>
      </c>
      <c r="H62" s="50">
        <v>4953</v>
      </c>
      <c r="I62" s="49" t="s">
        <v>2</v>
      </c>
      <c r="J62" s="50" t="s">
        <v>2314</v>
      </c>
      <c r="K62" s="51">
        <v>40968</v>
      </c>
      <c r="L62" s="115">
        <v>40963</v>
      </c>
      <c r="M62" s="50">
        <f t="shared" ref="M62:M82" si="2">K62-L62</f>
        <v>5</v>
      </c>
      <c r="N62" s="50" t="s">
        <v>2</v>
      </c>
      <c r="O62" s="74">
        <v>7.2</v>
      </c>
      <c r="P62" s="50">
        <v>6.23</v>
      </c>
      <c r="Q62" s="74">
        <v>6.59</v>
      </c>
      <c r="R62" s="50">
        <v>821</v>
      </c>
      <c r="S62" s="74">
        <v>114</v>
      </c>
      <c r="T62" s="50">
        <v>4.55</v>
      </c>
      <c r="U62" s="74">
        <v>46</v>
      </c>
      <c r="V62" s="50">
        <v>1.26</v>
      </c>
      <c r="W62" s="74">
        <v>8.2000000000000003E-2</v>
      </c>
      <c r="X62" s="50">
        <v>0.32900000000000001</v>
      </c>
      <c r="Y62" s="74">
        <v>4.1000000000000002E-2</v>
      </c>
      <c r="AE62" s="50">
        <v>1.02</v>
      </c>
    </row>
    <row r="63" spans="1:43" ht="15" customHeight="1">
      <c r="A63" s="293" t="s">
        <v>68</v>
      </c>
      <c r="B63" s="50" t="s">
        <v>2305</v>
      </c>
      <c r="C63" s="7" t="s">
        <v>392</v>
      </c>
      <c r="D63" s="48" t="s">
        <v>56</v>
      </c>
      <c r="F63" s="50" t="s">
        <v>2312</v>
      </c>
      <c r="G63" s="76" t="s">
        <v>2313</v>
      </c>
      <c r="H63" s="50">
        <v>4953</v>
      </c>
      <c r="I63" s="49" t="s">
        <v>2</v>
      </c>
      <c r="J63" s="77" t="s">
        <v>2311</v>
      </c>
      <c r="K63" s="51">
        <v>40968</v>
      </c>
      <c r="L63" s="115">
        <v>40963</v>
      </c>
      <c r="M63" s="50">
        <f>K62-L62</f>
        <v>5</v>
      </c>
      <c r="N63" s="50" t="s">
        <v>2</v>
      </c>
      <c r="O63" s="74">
        <v>2.4</v>
      </c>
      <c r="P63" s="50">
        <v>6.23</v>
      </c>
      <c r="Q63" s="74">
        <v>6.28</v>
      </c>
      <c r="R63" s="50">
        <v>1138</v>
      </c>
      <c r="S63" s="74">
        <v>216</v>
      </c>
      <c r="T63" s="50">
        <v>7.04</v>
      </c>
      <c r="U63" s="74">
        <v>164</v>
      </c>
      <c r="V63" s="50">
        <v>1.47</v>
      </c>
      <c r="W63" s="74">
        <v>7.4999999999999997E-2</v>
      </c>
      <c r="X63" s="50">
        <v>0.47499999999999998</v>
      </c>
      <c r="Y63" s="74">
        <v>4.5999999999999999E-2</v>
      </c>
      <c r="AE63" s="50">
        <v>0.96</v>
      </c>
    </row>
    <row r="64" spans="1:43" ht="15" customHeight="1">
      <c r="A64" s="293" t="s">
        <v>68</v>
      </c>
      <c r="B64" s="50" t="s">
        <v>2305</v>
      </c>
      <c r="C64" s="7" t="s">
        <v>2315</v>
      </c>
      <c r="D64" s="48" t="s">
        <v>56</v>
      </c>
      <c r="F64" s="50" t="s">
        <v>2312</v>
      </c>
      <c r="G64" s="76" t="s">
        <v>2316</v>
      </c>
      <c r="H64" s="50">
        <v>4953</v>
      </c>
      <c r="I64" s="49" t="s">
        <v>1</v>
      </c>
      <c r="J64" s="50" t="s">
        <v>74</v>
      </c>
      <c r="K64" s="51">
        <v>40968</v>
      </c>
      <c r="L64" s="115">
        <v>40963</v>
      </c>
      <c r="M64" s="50">
        <f t="shared" si="2"/>
        <v>5</v>
      </c>
      <c r="N64" s="50" t="s">
        <v>2</v>
      </c>
      <c r="O64" s="74">
        <v>4</v>
      </c>
      <c r="P64" s="50">
        <v>6.23</v>
      </c>
      <c r="Q64" s="74">
        <v>6.61</v>
      </c>
      <c r="R64" s="50">
        <v>277</v>
      </c>
      <c r="S64" s="74">
        <v>59</v>
      </c>
      <c r="T64" s="50">
        <v>0.51</v>
      </c>
      <c r="U64" s="74">
        <v>4.4000000000000004</v>
      </c>
      <c r="V64" s="50">
        <v>0.99</v>
      </c>
      <c r="W64" s="74">
        <v>9.0999999999999998E-2</v>
      </c>
      <c r="X64" s="50">
        <v>0.186</v>
      </c>
      <c r="Y64" s="74">
        <v>0.02</v>
      </c>
      <c r="AE64" s="50">
        <v>0.89</v>
      </c>
    </row>
    <row r="65" spans="1:40" ht="15" customHeight="1">
      <c r="A65" s="293" t="s">
        <v>68</v>
      </c>
      <c r="B65" s="50" t="s">
        <v>2305</v>
      </c>
      <c r="C65" s="7" t="s">
        <v>2315</v>
      </c>
      <c r="D65" s="48" t="s">
        <v>56</v>
      </c>
      <c r="F65" s="50" t="s">
        <v>2312</v>
      </c>
      <c r="G65" s="76" t="s">
        <v>2316</v>
      </c>
      <c r="H65" s="50">
        <v>4953</v>
      </c>
      <c r="I65" s="49" t="s">
        <v>1</v>
      </c>
      <c r="J65" s="50" t="s">
        <v>75</v>
      </c>
      <c r="K65" s="51">
        <v>40968</v>
      </c>
      <c r="L65" s="115">
        <v>40963</v>
      </c>
      <c r="M65" s="50">
        <f t="shared" si="2"/>
        <v>5</v>
      </c>
      <c r="N65" s="50" t="s">
        <v>2</v>
      </c>
      <c r="O65" s="74">
        <v>5.2</v>
      </c>
      <c r="P65" s="50">
        <v>6.23</v>
      </c>
      <c r="Q65" s="74">
        <v>6.72</v>
      </c>
      <c r="R65" s="50">
        <v>290</v>
      </c>
      <c r="S65" s="74">
        <v>192</v>
      </c>
      <c r="T65" s="50">
        <v>0.68</v>
      </c>
      <c r="U65" s="74">
        <v>0.4</v>
      </c>
      <c r="V65" s="50">
        <v>0.56999999999999995</v>
      </c>
      <c r="W65" s="74">
        <v>0.13700000000000001</v>
      </c>
      <c r="X65" s="50">
        <v>0.189</v>
      </c>
      <c r="Y65" s="74">
        <v>5.6000000000000001E-2</v>
      </c>
      <c r="AE65" s="50">
        <v>2.84</v>
      </c>
    </row>
    <row r="66" spans="1:40" ht="15" customHeight="1">
      <c r="A66" s="293" t="s">
        <v>68</v>
      </c>
      <c r="B66" s="50" t="s">
        <v>2347</v>
      </c>
      <c r="C66" s="7" t="s">
        <v>2348</v>
      </c>
      <c r="D66" s="48" t="s">
        <v>684</v>
      </c>
      <c r="E66" s="50" t="s">
        <v>322</v>
      </c>
      <c r="F66" s="50" t="s">
        <v>112</v>
      </c>
      <c r="G66" s="76" t="s">
        <v>2349</v>
      </c>
      <c r="H66" s="50">
        <v>9199</v>
      </c>
      <c r="I66" s="49" t="s">
        <v>2</v>
      </c>
      <c r="J66" s="50" t="s">
        <v>2350</v>
      </c>
      <c r="K66" s="51">
        <v>40996</v>
      </c>
      <c r="L66" s="115">
        <v>40993</v>
      </c>
      <c r="M66" s="50">
        <f t="shared" si="2"/>
        <v>3</v>
      </c>
      <c r="N66" s="50" t="s">
        <v>2</v>
      </c>
      <c r="O66" s="74">
        <v>18.5</v>
      </c>
      <c r="P66" s="50">
        <v>6.2</v>
      </c>
      <c r="Q66" s="74">
        <v>8</v>
      </c>
      <c r="R66" s="50">
        <v>57</v>
      </c>
      <c r="S66" s="74">
        <v>290</v>
      </c>
      <c r="T66" s="50">
        <v>0.4</v>
      </c>
      <c r="U66" s="74">
        <v>2.93</v>
      </c>
      <c r="V66" s="50">
        <v>0.74</v>
      </c>
      <c r="W66" s="74">
        <v>8.3000000000000004E-2</v>
      </c>
      <c r="X66" s="50">
        <v>0.26100000000000001</v>
      </c>
      <c r="Y66" s="74">
        <v>5.7000000000000002E-2</v>
      </c>
      <c r="AC66" s="294"/>
    </row>
    <row r="67" spans="1:40" ht="15" customHeight="1">
      <c r="A67" s="293" t="s">
        <v>68</v>
      </c>
      <c r="B67" s="50" t="s">
        <v>2356</v>
      </c>
      <c r="D67" s="48" t="s">
        <v>756</v>
      </c>
      <c r="E67" s="50" t="s">
        <v>931</v>
      </c>
      <c r="G67" s="76" t="s">
        <v>933</v>
      </c>
      <c r="I67" s="49" t="s">
        <v>2</v>
      </c>
      <c r="J67" s="50" t="s">
        <v>2357</v>
      </c>
      <c r="K67" s="51">
        <v>40996</v>
      </c>
      <c r="L67" s="115">
        <v>40993</v>
      </c>
      <c r="M67" s="50">
        <f t="shared" si="2"/>
        <v>3</v>
      </c>
      <c r="N67" s="50" t="s">
        <v>2</v>
      </c>
      <c r="O67" s="74">
        <v>2.9</v>
      </c>
      <c r="P67" s="50">
        <v>6.7</v>
      </c>
      <c r="Q67" s="74">
        <v>7.1</v>
      </c>
      <c r="R67" s="50">
        <v>22</v>
      </c>
      <c r="S67" s="74">
        <v>83</v>
      </c>
      <c r="T67" s="50">
        <v>0.14000000000000001</v>
      </c>
      <c r="U67" s="74">
        <v>1.84</v>
      </c>
      <c r="V67" s="50">
        <v>0.96</v>
      </c>
      <c r="W67" s="74">
        <v>2.1000000000000001E-2</v>
      </c>
      <c r="X67" s="50">
        <v>6.4000000000000001E-2</v>
      </c>
      <c r="Y67" s="74">
        <f>0.03/2</f>
        <v>1.4999999999999999E-2</v>
      </c>
      <c r="Z67" s="164">
        <v>1</v>
      </c>
      <c r="AA67" s="165">
        <v>1</v>
      </c>
      <c r="AB67" s="50">
        <v>17</v>
      </c>
      <c r="AC67" s="74">
        <v>65</v>
      </c>
      <c r="AD67" s="164">
        <v>1</v>
      </c>
      <c r="AE67" s="50">
        <v>1</v>
      </c>
    </row>
    <row r="68" spans="1:40" ht="15" customHeight="1">
      <c r="A68" s="293" t="s">
        <v>68</v>
      </c>
      <c r="B68" s="50" t="s">
        <v>2358</v>
      </c>
      <c r="C68" s="7" t="s">
        <v>2359</v>
      </c>
      <c r="D68" s="48" t="s">
        <v>111</v>
      </c>
      <c r="E68" s="50" t="s">
        <v>112</v>
      </c>
      <c r="F68" s="50">
        <v>5200</v>
      </c>
      <c r="G68" s="76" t="s">
        <v>2360</v>
      </c>
      <c r="H68" s="50">
        <v>4953</v>
      </c>
      <c r="I68" s="49" t="s">
        <v>2</v>
      </c>
      <c r="J68" s="50" t="s">
        <v>2361</v>
      </c>
      <c r="K68" s="51">
        <v>40835</v>
      </c>
      <c r="L68" s="115">
        <v>40830</v>
      </c>
      <c r="M68" s="50">
        <f t="shared" si="2"/>
        <v>5</v>
      </c>
      <c r="N68" s="50" t="s">
        <v>2</v>
      </c>
      <c r="O68" s="74">
        <v>2</v>
      </c>
      <c r="P68" s="50">
        <v>7.75</v>
      </c>
      <c r="Q68" s="74">
        <v>7.35</v>
      </c>
      <c r="R68" s="50">
        <v>160</v>
      </c>
      <c r="S68" s="74">
        <v>398</v>
      </c>
      <c r="T68" s="50">
        <v>0.73</v>
      </c>
      <c r="U68" s="74">
        <v>3.3</v>
      </c>
      <c r="V68" s="50">
        <v>0.9</v>
      </c>
      <c r="W68" s="74">
        <v>4.5999999999999999E-2</v>
      </c>
      <c r="X68" s="50">
        <v>0.13500000000000001</v>
      </c>
      <c r="Y68" s="74">
        <v>3.3000000000000002E-2</v>
      </c>
      <c r="Z68" s="164">
        <v>1</v>
      </c>
      <c r="AA68" s="165">
        <v>1</v>
      </c>
      <c r="AB68" s="50">
        <v>24</v>
      </c>
      <c r="AC68" s="74">
        <v>310</v>
      </c>
      <c r="AD68" s="164">
        <v>1</v>
      </c>
      <c r="AE68" s="50">
        <v>168</v>
      </c>
    </row>
    <row r="69" spans="1:40" ht="15" customHeight="1">
      <c r="A69" s="293" t="s">
        <v>68</v>
      </c>
      <c r="B69" s="50" t="s">
        <v>280</v>
      </c>
      <c r="C69" s="7" t="s">
        <v>281</v>
      </c>
      <c r="D69" s="48" t="s">
        <v>1484</v>
      </c>
      <c r="E69" s="50" t="s">
        <v>2362</v>
      </c>
      <c r="F69" s="50" t="s">
        <v>599</v>
      </c>
      <c r="G69" s="76" t="s">
        <v>283</v>
      </c>
      <c r="H69" s="50">
        <v>4953</v>
      </c>
      <c r="I69" s="49" t="s">
        <v>2</v>
      </c>
      <c r="J69" s="50" t="s">
        <v>2363</v>
      </c>
      <c r="K69" s="51">
        <v>40984</v>
      </c>
      <c r="L69" s="115">
        <v>40980</v>
      </c>
      <c r="M69" s="50">
        <f t="shared" si="2"/>
        <v>4</v>
      </c>
      <c r="N69" s="50" t="s">
        <v>2</v>
      </c>
      <c r="P69" s="50">
        <v>7.18</v>
      </c>
      <c r="Q69" s="74">
        <v>7.51</v>
      </c>
      <c r="AE69" s="50">
        <v>0.11700000000000001</v>
      </c>
    </row>
    <row r="70" spans="1:40" ht="15" customHeight="1">
      <c r="A70" s="293" t="s">
        <v>68</v>
      </c>
      <c r="B70" s="50" t="s">
        <v>2364</v>
      </c>
      <c r="C70" s="7" t="s">
        <v>392</v>
      </c>
      <c r="D70" s="48" t="s">
        <v>56</v>
      </c>
      <c r="F70" s="50" t="s">
        <v>2312</v>
      </c>
      <c r="G70" s="76" t="s">
        <v>2313</v>
      </c>
      <c r="H70" s="50">
        <v>4953</v>
      </c>
      <c r="I70" s="49" t="s">
        <v>2</v>
      </c>
      <c r="J70" s="50" t="s">
        <v>2311</v>
      </c>
      <c r="K70" s="51">
        <v>40835</v>
      </c>
      <c r="L70" s="115">
        <v>40829</v>
      </c>
      <c r="M70" s="50">
        <f t="shared" si="2"/>
        <v>6</v>
      </c>
      <c r="N70" s="50" t="s">
        <v>2</v>
      </c>
      <c r="Y70" s="84" t="s">
        <v>1695</v>
      </c>
      <c r="AE70" s="50">
        <v>4.3600000000000003</v>
      </c>
    </row>
    <row r="71" spans="1:40" ht="15" customHeight="1">
      <c r="A71" s="293" t="s">
        <v>68</v>
      </c>
      <c r="B71" s="50" t="s">
        <v>2364</v>
      </c>
      <c r="C71" s="7" t="s">
        <v>392</v>
      </c>
      <c r="D71" s="48" t="s">
        <v>56</v>
      </c>
      <c r="F71" s="50" t="s">
        <v>2312</v>
      </c>
      <c r="G71" s="76" t="s">
        <v>2313</v>
      </c>
      <c r="H71" s="50">
        <v>4953</v>
      </c>
      <c r="I71" s="49" t="s">
        <v>2</v>
      </c>
      <c r="J71" s="50" t="s">
        <v>2314</v>
      </c>
      <c r="K71" s="51">
        <v>40835</v>
      </c>
      <c r="L71" s="115">
        <v>40829</v>
      </c>
      <c r="M71" s="50">
        <f t="shared" si="2"/>
        <v>6</v>
      </c>
      <c r="N71" s="50" t="s">
        <v>2</v>
      </c>
      <c r="AE71" s="50">
        <v>6.9</v>
      </c>
    </row>
    <row r="72" spans="1:40" ht="15" customHeight="1">
      <c r="A72" s="293" t="s">
        <v>68</v>
      </c>
      <c r="B72" s="50" t="s">
        <v>2305</v>
      </c>
      <c r="C72" s="7" t="s">
        <v>2315</v>
      </c>
      <c r="D72" s="48" t="s">
        <v>56</v>
      </c>
      <c r="F72" s="50" t="s">
        <v>2312</v>
      </c>
      <c r="G72" s="76" t="s">
        <v>2316</v>
      </c>
      <c r="H72" s="50">
        <v>4953</v>
      </c>
      <c r="I72" s="49" t="s">
        <v>1</v>
      </c>
      <c r="J72" s="50" t="s">
        <v>74</v>
      </c>
      <c r="K72" s="51">
        <v>40835</v>
      </c>
      <c r="L72" s="115">
        <v>40829</v>
      </c>
      <c r="M72" s="50">
        <f t="shared" si="2"/>
        <v>6</v>
      </c>
      <c r="N72" s="50" t="s">
        <v>2</v>
      </c>
      <c r="AE72" s="50">
        <v>5.64</v>
      </c>
    </row>
    <row r="73" spans="1:40" ht="15" customHeight="1">
      <c r="A73" s="293" t="s">
        <v>68</v>
      </c>
      <c r="B73" s="50" t="s">
        <v>2305</v>
      </c>
      <c r="C73" s="7" t="s">
        <v>2315</v>
      </c>
      <c r="D73" s="48" t="s">
        <v>56</v>
      </c>
      <c r="F73" s="50" t="s">
        <v>2312</v>
      </c>
      <c r="G73" s="76" t="s">
        <v>2316</v>
      </c>
      <c r="H73" s="50">
        <v>4953</v>
      </c>
      <c r="I73" s="49" t="s">
        <v>1</v>
      </c>
      <c r="J73" s="50" t="s">
        <v>75</v>
      </c>
      <c r="K73" s="51">
        <v>40835</v>
      </c>
      <c r="L73" s="115">
        <v>40829</v>
      </c>
      <c r="M73" s="50">
        <f t="shared" si="2"/>
        <v>6</v>
      </c>
      <c r="N73" s="50" t="s">
        <v>2</v>
      </c>
      <c r="AE73" s="50">
        <v>1.69</v>
      </c>
    </row>
    <row r="74" spans="1:40" ht="15" customHeight="1">
      <c r="A74" s="293" t="s">
        <v>68</v>
      </c>
      <c r="B74" s="50" t="s">
        <v>82</v>
      </c>
      <c r="C74" s="7" t="s">
        <v>83</v>
      </c>
      <c r="D74" s="48" t="s">
        <v>595</v>
      </c>
      <c r="E74" s="50" t="s">
        <v>85</v>
      </c>
      <c r="G74" s="76" t="s">
        <v>86</v>
      </c>
      <c r="H74" s="50">
        <v>4953</v>
      </c>
      <c r="I74" s="49" t="s">
        <v>2</v>
      </c>
      <c r="J74" s="50" t="s">
        <v>284</v>
      </c>
      <c r="K74" s="51">
        <v>40984</v>
      </c>
      <c r="L74" s="115">
        <v>40980</v>
      </c>
      <c r="M74" s="50">
        <f t="shared" si="2"/>
        <v>4</v>
      </c>
      <c r="N74" s="50" t="s">
        <v>2</v>
      </c>
      <c r="P74" s="50">
        <v>7.06</v>
      </c>
      <c r="Q74" s="74">
        <v>7.47</v>
      </c>
      <c r="AE74" s="50">
        <v>0.03</v>
      </c>
    </row>
    <row r="75" spans="1:40" ht="15" customHeight="1">
      <c r="A75" s="293" t="s">
        <v>68</v>
      </c>
      <c r="B75" s="50" t="s">
        <v>2367</v>
      </c>
      <c r="C75" s="7" t="s">
        <v>1680</v>
      </c>
      <c r="D75" s="48" t="s">
        <v>111</v>
      </c>
      <c r="E75" s="50" t="s">
        <v>112</v>
      </c>
      <c r="G75" s="76" t="s">
        <v>1681</v>
      </c>
      <c r="H75" s="50">
        <v>4953</v>
      </c>
      <c r="I75" s="49" t="s">
        <v>2</v>
      </c>
      <c r="J75" s="50" t="s">
        <v>81</v>
      </c>
      <c r="K75" s="51">
        <v>40898</v>
      </c>
      <c r="L75" s="115">
        <v>40885</v>
      </c>
      <c r="M75" s="50">
        <f t="shared" si="2"/>
        <v>13</v>
      </c>
      <c r="N75" s="50" t="s">
        <v>2</v>
      </c>
      <c r="AE75" s="50">
        <v>5.6000000000000001E-2</v>
      </c>
    </row>
    <row r="76" spans="1:40" ht="15" customHeight="1">
      <c r="A76" s="293" t="s">
        <v>68</v>
      </c>
      <c r="B76" s="50" t="s">
        <v>2367</v>
      </c>
      <c r="C76" s="7" t="s">
        <v>1680</v>
      </c>
      <c r="D76" s="48" t="s">
        <v>111</v>
      </c>
      <c r="E76" s="50" t="s">
        <v>112</v>
      </c>
      <c r="G76" s="76" t="s">
        <v>1681</v>
      </c>
      <c r="H76" s="50">
        <v>4953</v>
      </c>
      <c r="I76" s="49" t="s">
        <v>2</v>
      </c>
      <c r="J76" s="50" t="s">
        <v>115</v>
      </c>
      <c r="K76" s="51">
        <v>40898</v>
      </c>
      <c r="L76" s="115">
        <v>40885</v>
      </c>
      <c r="M76" s="50">
        <f t="shared" si="2"/>
        <v>13</v>
      </c>
      <c r="N76" s="50" t="s">
        <v>2</v>
      </c>
      <c r="AE76" s="50">
        <v>0.85099999999999998</v>
      </c>
    </row>
    <row r="77" spans="1:40" ht="15" customHeight="1">
      <c r="A77" s="293" t="s">
        <v>68</v>
      </c>
      <c r="B77" s="50" t="s">
        <v>2367</v>
      </c>
      <c r="C77" s="7" t="s">
        <v>2368</v>
      </c>
      <c r="D77" s="48" t="s">
        <v>338</v>
      </c>
      <c r="E77" s="50" t="s">
        <v>235</v>
      </c>
      <c r="F77" s="50">
        <v>6900</v>
      </c>
      <c r="G77" s="76" t="s">
        <v>2369</v>
      </c>
      <c r="H77" s="50">
        <v>4953</v>
      </c>
      <c r="I77" s="49" t="s">
        <v>2</v>
      </c>
      <c r="J77" s="50" t="s">
        <v>81</v>
      </c>
      <c r="K77" s="51">
        <v>40863</v>
      </c>
      <c r="L77" s="115">
        <v>40857</v>
      </c>
      <c r="M77" s="50">
        <f t="shared" si="2"/>
        <v>6</v>
      </c>
      <c r="N77" s="50" t="s">
        <v>2</v>
      </c>
      <c r="O77" s="74">
        <v>3.1</v>
      </c>
      <c r="P77" s="50">
        <v>6</v>
      </c>
      <c r="Q77" s="74">
        <v>6.03</v>
      </c>
      <c r="R77" s="50">
        <v>2538</v>
      </c>
      <c r="S77" s="74">
        <v>562</v>
      </c>
      <c r="T77" s="50">
        <v>5.85</v>
      </c>
      <c r="U77" s="74">
        <v>54.3</v>
      </c>
      <c r="V77" s="50">
        <v>2.4</v>
      </c>
      <c r="W77" s="74">
        <v>0.31</v>
      </c>
      <c r="X77" s="50">
        <v>1.35</v>
      </c>
      <c r="Y77" s="74">
        <v>0.23</v>
      </c>
    </row>
    <row r="78" spans="1:40" ht="15" customHeight="1">
      <c r="A78" s="293" t="s">
        <v>68</v>
      </c>
      <c r="B78" s="50" t="s">
        <v>2367</v>
      </c>
      <c r="C78" s="7" t="s">
        <v>1682</v>
      </c>
      <c r="D78" s="48" t="s">
        <v>1683</v>
      </c>
      <c r="E78" s="50" t="s">
        <v>304</v>
      </c>
      <c r="F78" s="50">
        <v>6000</v>
      </c>
      <c r="G78" s="76" t="s">
        <v>1685</v>
      </c>
      <c r="H78" s="50">
        <v>4953</v>
      </c>
      <c r="I78" s="49" t="s">
        <v>2</v>
      </c>
      <c r="J78" s="50" t="s">
        <v>81</v>
      </c>
      <c r="K78" s="51">
        <v>40835</v>
      </c>
      <c r="L78" s="115">
        <v>40830</v>
      </c>
      <c r="M78" s="50">
        <f t="shared" si="2"/>
        <v>5</v>
      </c>
      <c r="N78" s="50" t="s">
        <v>2</v>
      </c>
      <c r="O78" s="74">
        <f>1.6/2</f>
        <v>0.8</v>
      </c>
      <c r="P78" s="50">
        <v>7.23</v>
      </c>
      <c r="Q78" s="74">
        <v>7.09</v>
      </c>
      <c r="R78" s="50">
        <v>200</v>
      </c>
      <c r="S78" s="74">
        <v>7.5</v>
      </c>
      <c r="T78" s="50">
        <v>0.03</v>
      </c>
      <c r="U78" s="74">
        <v>3.6</v>
      </c>
      <c r="V78" s="50">
        <v>5.4</v>
      </c>
      <c r="W78" s="74">
        <v>1.2999999999999999E-2</v>
      </c>
      <c r="X78" s="50">
        <v>8.9999999999999993E-3</v>
      </c>
      <c r="Y78" s="74">
        <f>0.002/2</f>
        <v>1E-3</v>
      </c>
      <c r="Z78" s="164">
        <v>0.70699999999999996</v>
      </c>
      <c r="AA78" s="165">
        <v>0.70699999999999996</v>
      </c>
      <c r="AB78" s="50">
        <v>4</v>
      </c>
      <c r="AC78" s="74">
        <v>9</v>
      </c>
      <c r="AD78" s="164">
        <v>0</v>
      </c>
      <c r="AE78" s="50">
        <v>0.39</v>
      </c>
      <c r="AF78" s="50">
        <f>4/2</f>
        <v>2</v>
      </c>
      <c r="AG78" s="50">
        <v>7.5</v>
      </c>
      <c r="AH78" s="50">
        <v>2</v>
      </c>
      <c r="AI78" s="50">
        <f t="shared" ref="AI78:AL81" si="3">0.01/2</f>
        <v>5.0000000000000001E-3</v>
      </c>
      <c r="AJ78" s="50">
        <f t="shared" si="3"/>
        <v>5.0000000000000001E-3</v>
      </c>
      <c r="AK78" s="50">
        <f t="shared" si="3"/>
        <v>5.0000000000000001E-3</v>
      </c>
      <c r="AL78" s="50">
        <f t="shared" si="3"/>
        <v>5.0000000000000001E-3</v>
      </c>
      <c r="AM78" s="50">
        <v>8.9999999999999993E-3</v>
      </c>
      <c r="AN78" s="114">
        <v>7.09</v>
      </c>
    </row>
    <row r="79" spans="1:40" ht="15" customHeight="1">
      <c r="A79" s="293" t="s">
        <v>68</v>
      </c>
      <c r="B79" s="50" t="s">
        <v>2367</v>
      </c>
      <c r="C79" s="7" t="s">
        <v>1682</v>
      </c>
      <c r="D79" s="48" t="s">
        <v>1683</v>
      </c>
      <c r="E79" s="50" t="s">
        <v>304</v>
      </c>
      <c r="F79" s="50">
        <v>6000</v>
      </c>
      <c r="G79" s="76" t="s">
        <v>1685</v>
      </c>
      <c r="H79" s="50">
        <v>4953</v>
      </c>
      <c r="I79" s="49" t="s">
        <v>2</v>
      </c>
      <c r="J79" s="50" t="s">
        <v>114</v>
      </c>
      <c r="K79" s="51">
        <v>40835</v>
      </c>
      <c r="L79" s="115">
        <v>40830</v>
      </c>
      <c r="M79" s="50">
        <f t="shared" si="2"/>
        <v>5</v>
      </c>
      <c r="N79" s="50" t="s">
        <v>2</v>
      </c>
      <c r="O79" s="74">
        <f>1.6/2</f>
        <v>0.8</v>
      </c>
      <c r="P79" s="50">
        <v>7.23</v>
      </c>
      <c r="Q79" s="74">
        <v>7.21</v>
      </c>
      <c r="R79" s="50">
        <v>190</v>
      </c>
      <c r="S79" s="74">
        <v>280</v>
      </c>
      <c r="T79" s="50">
        <v>0.45</v>
      </c>
      <c r="U79" s="74">
        <v>5.6</v>
      </c>
      <c r="V79" s="50">
        <v>4.2</v>
      </c>
      <c r="W79" s="74">
        <v>4.9000000000000002E-2</v>
      </c>
      <c r="X79" s="50">
        <v>0.11600000000000001</v>
      </c>
      <c r="Y79" s="74">
        <v>0.02</v>
      </c>
      <c r="Z79" s="164">
        <v>1</v>
      </c>
      <c r="AA79" s="165">
        <v>1</v>
      </c>
      <c r="AB79" s="50">
        <v>8</v>
      </c>
      <c r="AC79" s="74">
        <v>6</v>
      </c>
      <c r="AD79" s="164">
        <v>1</v>
      </c>
      <c r="AE79" s="50">
        <v>3.45</v>
      </c>
      <c r="AF79" s="50">
        <v>18</v>
      </c>
      <c r="AG79" s="50">
        <v>280</v>
      </c>
      <c r="AH79" s="50">
        <v>3.3</v>
      </c>
      <c r="AI79" s="50">
        <f t="shared" si="3"/>
        <v>5.0000000000000001E-3</v>
      </c>
      <c r="AJ79" s="50">
        <f t="shared" si="3"/>
        <v>5.0000000000000001E-3</v>
      </c>
      <c r="AK79" s="50">
        <f t="shared" si="3"/>
        <v>5.0000000000000001E-3</v>
      </c>
      <c r="AL79" s="50">
        <f t="shared" si="3"/>
        <v>5.0000000000000001E-3</v>
      </c>
      <c r="AM79" s="50">
        <v>0.11600000000000001</v>
      </c>
      <c r="AN79" s="114">
        <v>7.21</v>
      </c>
    </row>
    <row r="80" spans="1:40" ht="15" customHeight="1">
      <c r="A80" s="293" t="s">
        <v>68</v>
      </c>
      <c r="B80" s="50" t="s">
        <v>2367</v>
      </c>
      <c r="C80" s="7" t="s">
        <v>1682</v>
      </c>
      <c r="D80" s="48" t="s">
        <v>1683</v>
      </c>
      <c r="E80" s="50" t="s">
        <v>304</v>
      </c>
      <c r="F80" s="50">
        <v>6000</v>
      </c>
      <c r="G80" s="76" t="s">
        <v>1685</v>
      </c>
      <c r="H80" s="50">
        <v>4953</v>
      </c>
      <c r="I80" s="49" t="s">
        <v>2</v>
      </c>
      <c r="J80" s="50" t="s">
        <v>115</v>
      </c>
      <c r="K80" s="51">
        <v>40835</v>
      </c>
      <c r="L80" s="115">
        <v>40830</v>
      </c>
      <c r="M80" s="50">
        <f t="shared" si="2"/>
        <v>5</v>
      </c>
      <c r="N80" s="50" t="s">
        <v>2</v>
      </c>
      <c r="O80" s="74">
        <v>2</v>
      </c>
      <c r="P80" s="50">
        <v>7.23</v>
      </c>
      <c r="Q80" s="74">
        <v>6.83</v>
      </c>
      <c r="R80" s="50">
        <v>110</v>
      </c>
      <c r="S80" s="74">
        <v>48</v>
      </c>
      <c r="T80" s="50">
        <v>0.23</v>
      </c>
      <c r="U80" s="74">
        <v>1.6</v>
      </c>
      <c r="V80" s="50">
        <v>0.18</v>
      </c>
      <c r="W80" s="74">
        <v>2.5000000000000001E-2</v>
      </c>
      <c r="X80" s="50">
        <v>7.9000000000000001E-2</v>
      </c>
      <c r="Y80" s="74">
        <v>1.7000000000000001E-2</v>
      </c>
      <c r="Z80" s="164">
        <v>1</v>
      </c>
      <c r="AA80" s="165">
        <v>1</v>
      </c>
      <c r="AB80" s="50">
        <v>40</v>
      </c>
      <c r="AC80" s="74">
        <v>181</v>
      </c>
      <c r="AD80" s="164">
        <v>1</v>
      </c>
      <c r="AE80" s="50">
        <v>3.04</v>
      </c>
      <c r="AF80" s="50">
        <v>11</v>
      </c>
      <c r="AG80" s="50">
        <v>48</v>
      </c>
      <c r="AH80" s="50">
        <v>0.37</v>
      </c>
      <c r="AI80" s="50">
        <f t="shared" si="3"/>
        <v>5.0000000000000001E-3</v>
      </c>
      <c r="AJ80" s="50">
        <f t="shared" si="3"/>
        <v>5.0000000000000001E-3</v>
      </c>
      <c r="AK80" s="50">
        <f t="shared" si="3"/>
        <v>5.0000000000000001E-3</v>
      </c>
      <c r="AL80" s="50">
        <f t="shared" si="3"/>
        <v>5.0000000000000001E-3</v>
      </c>
      <c r="AM80" s="50">
        <v>7.9000000000000001E-2</v>
      </c>
      <c r="AN80" s="114">
        <v>6.83</v>
      </c>
    </row>
    <row r="81" spans="1:51" s="1" customFormat="1" ht="15" customHeight="1">
      <c r="A81" s="290" t="s">
        <v>68</v>
      </c>
      <c r="B81" s="77" t="s">
        <v>2367</v>
      </c>
      <c r="C81" s="7" t="s">
        <v>1682</v>
      </c>
      <c r="D81" s="48" t="s">
        <v>1683</v>
      </c>
      <c r="E81" s="50" t="s">
        <v>304</v>
      </c>
      <c r="F81" s="50">
        <v>6000</v>
      </c>
      <c r="G81" s="76" t="s">
        <v>1685</v>
      </c>
      <c r="H81" s="50">
        <v>4953</v>
      </c>
      <c r="I81" s="49" t="s">
        <v>2</v>
      </c>
      <c r="J81" s="50" t="s">
        <v>924</v>
      </c>
      <c r="K81" s="51">
        <v>40835</v>
      </c>
      <c r="L81" s="115">
        <v>40830</v>
      </c>
      <c r="M81" s="50">
        <f t="shared" si="2"/>
        <v>5</v>
      </c>
      <c r="N81" s="50" t="s">
        <v>2</v>
      </c>
      <c r="O81" s="49">
        <f>1.6/2</f>
        <v>0.8</v>
      </c>
      <c r="P81" s="50">
        <v>7.23</v>
      </c>
      <c r="Q81" s="49">
        <v>7.45</v>
      </c>
      <c r="R81" s="50">
        <v>280</v>
      </c>
      <c r="S81" s="49">
        <v>76</v>
      </c>
      <c r="T81" s="50">
        <v>0.34</v>
      </c>
      <c r="U81" s="49">
        <v>2.1</v>
      </c>
      <c r="V81" s="50">
        <v>2.5</v>
      </c>
      <c r="W81" s="49">
        <v>1.4E-2</v>
      </c>
      <c r="X81" s="50">
        <v>2.1999999999999999E-2</v>
      </c>
      <c r="Y81" s="49">
        <f>0.002/2</f>
        <v>1E-3</v>
      </c>
      <c r="Z81" s="164">
        <v>0.70699999999999996</v>
      </c>
      <c r="AA81" s="269">
        <v>0.68300000000000005</v>
      </c>
      <c r="AB81" s="50"/>
      <c r="AC81" s="49"/>
      <c r="AD81" s="164">
        <v>0</v>
      </c>
      <c r="AE81" s="50">
        <v>1.57</v>
      </c>
      <c r="AF81" s="50">
        <f>4/2</f>
        <v>2</v>
      </c>
      <c r="AG81" s="50">
        <v>76</v>
      </c>
      <c r="AH81" s="50">
        <v>0.24</v>
      </c>
      <c r="AI81" s="50">
        <f t="shared" si="3"/>
        <v>5.0000000000000001E-3</v>
      </c>
      <c r="AJ81" s="50">
        <f t="shared" si="3"/>
        <v>5.0000000000000001E-3</v>
      </c>
      <c r="AK81" s="50">
        <f t="shared" si="3"/>
        <v>5.0000000000000001E-3</v>
      </c>
      <c r="AL81" s="50">
        <f t="shared" si="3"/>
        <v>5.0000000000000001E-3</v>
      </c>
      <c r="AM81" s="50">
        <v>2.1999999999999999E-2</v>
      </c>
      <c r="AN81" s="114">
        <v>7.45</v>
      </c>
      <c r="AO81" s="114"/>
      <c r="AP81" s="50"/>
      <c r="AQ81" s="49"/>
      <c r="AR81" s="50"/>
      <c r="AS81" s="49"/>
      <c r="AT81" s="50"/>
      <c r="AU81" s="2"/>
      <c r="AW81" s="5"/>
      <c r="AY81" s="5"/>
    </row>
    <row r="82" spans="1:51" ht="15" customHeight="1">
      <c r="A82" s="293" t="s">
        <v>68</v>
      </c>
      <c r="B82" s="50" t="s">
        <v>2545</v>
      </c>
      <c r="C82" s="7" t="s">
        <v>2546</v>
      </c>
      <c r="D82" s="48" t="s">
        <v>534</v>
      </c>
      <c r="E82" s="50" t="s">
        <v>304</v>
      </c>
      <c r="G82" s="76" t="s">
        <v>2547</v>
      </c>
      <c r="I82" s="49" t="s">
        <v>1</v>
      </c>
      <c r="J82" s="50" t="s">
        <v>2548</v>
      </c>
      <c r="K82" s="51">
        <v>41180</v>
      </c>
      <c r="L82" s="115">
        <v>41174</v>
      </c>
      <c r="M82" s="50">
        <f t="shared" si="2"/>
        <v>6</v>
      </c>
      <c r="N82" s="50" t="s">
        <v>2</v>
      </c>
      <c r="O82" s="74">
        <f>0.5/2</f>
        <v>0.25</v>
      </c>
      <c r="P82" s="50">
        <v>5.3</v>
      </c>
      <c r="Q82" s="74">
        <v>7.3</v>
      </c>
      <c r="R82" s="50">
        <v>12</v>
      </c>
      <c r="S82" s="74">
        <v>8</v>
      </c>
      <c r="T82" s="50">
        <v>7.2999999999999995E-2</v>
      </c>
      <c r="U82" s="74">
        <v>0.98</v>
      </c>
      <c r="V82" s="50">
        <v>0.3</v>
      </c>
      <c r="W82" s="74">
        <f>0.0052</f>
        <v>5.1999999999999998E-3</v>
      </c>
      <c r="X82" s="50">
        <v>0.03</v>
      </c>
      <c r="Y82" s="74">
        <f>0.005/2</f>
        <v>2.5000000000000001E-3</v>
      </c>
      <c r="AE82" s="50">
        <v>5.0999999999999996</v>
      </c>
    </row>
    <row r="83" spans="1:51" ht="15" customHeight="1">
      <c r="A83" s="293" t="s">
        <v>68</v>
      </c>
      <c r="B83" s="50" t="s">
        <v>2545</v>
      </c>
      <c r="C83" s="7" t="s">
        <v>2546</v>
      </c>
      <c r="D83" s="48" t="s">
        <v>534</v>
      </c>
      <c r="E83" s="50" t="s">
        <v>304</v>
      </c>
      <c r="G83" s="76" t="s">
        <v>2547</v>
      </c>
      <c r="I83" s="49" t="s">
        <v>1</v>
      </c>
      <c r="J83" s="50" t="s">
        <v>2548</v>
      </c>
      <c r="K83" s="51">
        <v>41072</v>
      </c>
      <c r="L83" s="115"/>
      <c r="N83" s="50" t="s">
        <v>2</v>
      </c>
      <c r="AE83" s="50">
        <v>2.4900000000000002</v>
      </c>
    </row>
    <row r="84" spans="1:51" ht="15" customHeight="1">
      <c r="A84" s="293" t="s">
        <v>68</v>
      </c>
      <c r="B84" s="50" t="s">
        <v>2364</v>
      </c>
      <c r="C84" s="7" t="s">
        <v>392</v>
      </c>
      <c r="D84" s="48" t="s">
        <v>56</v>
      </c>
      <c r="E84" s="50" t="s">
        <v>2312</v>
      </c>
      <c r="F84" s="50" t="s">
        <v>2312</v>
      </c>
      <c r="G84" s="76" t="s">
        <v>2313</v>
      </c>
      <c r="H84" s="50">
        <v>4953</v>
      </c>
      <c r="I84" s="49" t="s">
        <v>2</v>
      </c>
      <c r="J84" s="50" t="s">
        <v>2611</v>
      </c>
      <c r="K84" s="51">
        <v>41170</v>
      </c>
      <c r="L84" s="115">
        <v>41160</v>
      </c>
      <c r="M84" s="50">
        <f>K84-L84</f>
        <v>10</v>
      </c>
      <c r="N84" s="50" t="s">
        <v>2</v>
      </c>
      <c r="O84" s="74">
        <f>1/2</f>
        <v>0.5</v>
      </c>
      <c r="P84" s="50">
        <v>6.21</v>
      </c>
      <c r="Q84" s="74">
        <v>7.14</v>
      </c>
      <c r="R84" s="50">
        <v>165</v>
      </c>
      <c r="S84" s="74">
        <v>221</v>
      </c>
      <c r="T84" s="50">
        <v>0.41</v>
      </c>
      <c r="U84" s="74">
        <v>2.3199999999999998</v>
      </c>
      <c r="V84" s="50">
        <v>0.22</v>
      </c>
      <c r="W84" s="74">
        <v>1.6E-2</v>
      </c>
      <c r="X84" s="50">
        <v>0.05</v>
      </c>
      <c r="Y84" s="74">
        <v>7.0000000000000001E-3</v>
      </c>
      <c r="Z84" s="164">
        <v>1</v>
      </c>
      <c r="AA84" s="165">
        <v>1</v>
      </c>
      <c r="AB84" s="50">
        <v>97.36</v>
      </c>
      <c r="AC84" s="74">
        <v>209</v>
      </c>
      <c r="AD84" s="164">
        <v>1</v>
      </c>
      <c r="AE84" s="50">
        <v>0.42</v>
      </c>
    </row>
    <row r="85" spans="1:51" ht="15" customHeight="1">
      <c r="A85" s="293" t="s">
        <v>68</v>
      </c>
      <c r="B85" s="50" t="s">
        <v>2364</v>
      </c>
      <c r="C85" s="7" t="s">
        <v>392</v>
      </c>
      <c r="D85" s="48" t="s">
        <v>56</v>
      </c>
      <c r="E85" s="50" t="s">
        <v>2312</v>
      </c>
      <c r="F85" s="50" t="s">
        <v>2312</v>
      </c>
      <c r="G85" s="76" t="s">
        <v>2313</v>
      </c>
      <c r="H85" s="50">
        <v>4953</v>
      </c>
      <c r="I85" s="49" t="s">
        <v>2</v>
      </c>
      <c r="J85" s="50" t="s">
        <v>2612</v>
      </c>
      <c r="K85" s="51">
        <v>41170</v>
      </c>
      <c r="L85" s="115">
        <v>41160</v>
      </c>
      <c r="M85" s="50">
        <f t="shared" ref="M85:M96" si="4">K85-L85</f>
        <v>10</v>
      </c>
      <c r="N85" s="50" t="s">
        <v>2</v>
      </c>
      <c r="O85" s="74">
        <v>2</v>
      </c>
      <c r="P85" s="50">
        <v>6.21</v>
      </c>
      <c r="Q85" s="74">
        <v>5.99</v>
      </c>
      <c r="R85" s="50">
        <v>359</v>
      </c>
      <c r="S85" s="74">
        <v>185</v>
      </c>
      <c r="T85" s="50">
        <v>1.53</v>
      </c>
      <c r="U85" s="74">
        <v>19.22</v>
      </c>
      <c r="V85" s="50">
        <v>0.16</v>
      </c>
      <c r="W85" s="74">
        <v>7.6999999999999999E-2</v>
      </c>
      <c r="X85" s="50">
        <v>0.60699999999999998</v>
      </c>
      <c r="Y85" s="74">
        <v>8.4000000000000005E-2</v>
      </c>
      <c r="Z85" s="164">
        <v>1</v>
      </c>
      <c r="AA85" s="165">
        <v>1</v>
      </c>
      <c r="AB85" s="50">
        <v>238</v>
      </c>
      <c r="AC85" s="74">
        <v>708</v>
      </c>
      <c r="AD85" s="164">
        <v>0.7</v>
      </c>
      <c r="AE85" s="50">
        <v>1.49</v>
      </c>
    </row>
    <row r="86" spans="1:51" ht="15" customHeight="1">
      <c r="A86" s="293" t="s">
        <v>68</v>
      </c>
      <c r="B86" s="50" t="s">
        <v>2305</v>
      </c>
      <c r="C86" s="7" t="s">
        <v>2315</v>
      </c>
      <c r="D86" s="48" t="s">
        <v>56</v>
      </c>
      <c r="E86" s="50" t="s">
        <v>2312</v>
      </c>
      <c r="F86" s="50" t="s">
        <v>2312</v>
      </c>
      <c r="G86" s="76" t="s">
        <v>2316</v>
      </c>
      <c r="H86" s="50">
        <v>4953</v>
      </c>
      <c r="I86" s="49" t="s">
        <v>1</v>
      </c>
      <c r="J86" s="50" t="s">
        <v>2613</v>
      </c>
      <c r="K86" s="51">
        <v>41170</v>
      </c>
      <c r="L86" s="115">
        <v>41160</v>
      </c>
      <c r="M86" s="50">
        <f t="shared" si="4"/>
        <v>10</v>
      </c>
      <c r="N86" s="50" t="s">
        <v>2</v>
      </c>
      <c r="O86" s="74">
        <v>2.4</v>
      </c>
      <c r="P86" s="50">
        <v>6.21</v>
      </c>
      <c r="Q86" s="74">
        <v>6.22</v>
      </c>
      <c r="R86" s="50">
        <v>447</v>
      </c>
      <c r="S86" s="74">
        <v>230</v>
      </c>
      <c r="T86" s="50">
        <v>1.53</v>
      </c>
      <c r="U86" s="74">
        <v>11.54</v>
      </c>
      <c r="V86" s="50">
        <v>2.36</v>
      </c>
      <c r="W86" s="74">
        <v>0.23499999999999999</v>
      </c>
      <c r="X86" s="50">
        <v>0.72099999999999997</v>
      </c>
      <c r="Y86" s="74">
        <v>0.442</v>
      </c>
      <c r="Z86" s="164">
        <v>0.82</v>
      </c>
      <c r="AA86" s="165">
        <v>0.70699999999999996</v>
      </c>
      <c r="AB86" s="50">
        <v>209.5</v>
      </c>
      <c r="AC86" s="74">
        <v>541</v>
      </c>
      <c r="AD86" s="164">
        <v>0</v>
      </c>
      <c r="AE86" s="50">
        <v>2.39</v>
      </c>
    </row>
    <row r="87" spans="1:51" ht="15" customHeight="1">
      <c r="A87" s="293" t="s">
        <v>68</v>
      </c>
      <c r="B87" s="50" t="s">
        <v>2305</v>
      </c>
      <c r="C87" s="7" t="s">
        <v>2315</v>
      </c>
      <c r="D87" s="48" t="s">
        <v>56</v>
      </c>
      <c r="E87" s="50" t="s">
        <v>2312</v>
      </c>
      <c r="F87" s="50" t="s">
        <v>2312</v>
      </c>
      <c r="G87" s="76" t="s">
        <v>2316</v>
      </c>
      <c r="H87" s="50">
        <v>4953</v>
      </c>
      <c r="I87" s="49" t="s">
        <v>1</v>
      </c>
      <c r="J87" s="50" t="s">
        <v>2614</v>
      </c>
      <c r="K87" s="51">
        <v>41170</v>
      </c>
      <c r="L87" s="115">
        <v>41160</v>
      </c>
      <c r="M87" s="50">
        <f t="shared" si="4"/>
        <v>10</v>
      </c>
      <c r="N87" s="50" t="s">
        <v>2</v>
      </c>
      <c r="O87" s="74">
        <v>12.4</v>
      </c>
      <c r="P87" s="50">
        <v>6.21</v>
      </c>
      <c r="Q87" s="74">
        <v>6.22</v>
      </c>
      <c r="R87" s="50">
        <v>432</v>
      </c>
      <c r="S87" s="74">
        <v>28</v>
      </c>
      <c r="T87" s="50">
        <v>2.25</v>
      </c>
      <c r="U87" s="74">
        <v>11.06</v>
      </c>
      <c r="V87" s="50">
        <v>2.27</v>
      </c>
      <c r="W87" s="74">
        <v>0.36299999999999999</v>
      </c>
      <c r="X87" s="50">
        <v>1.0329999999999999</v>
      </c>
      <c r="Y87" s="74">
        <v>0.83099999999999996</v>
      </c>
      <c r="Z87" s="164">
        <v>0.48299999999999998</v>
      </c>
      <c r="AA87" s="165">
        <v>0.42</v>
      </c>
      <c r="AB87" s="50">
        <v>227.5</v>
      </c>
      <c r="AC87" s="74">
        <v>428</v>
      </c>
      <c r="AD87" s="164">
        <v>0</v>
      </c>
      <c r="AE87" s="50">
        <v>4.83</v>
      </c>
    </row>
    <row r="88" spans="1:51" ht="15" customHeight="1">
      <c r="A88" s="293" t="s">
        <v>68</v>
      </c>
      <c r="B88" s="50" t="s">
        <v>470</v>
      </c>
      <c r="C88" s="7" t="s">
        <v>475</v>
      </c>
      <c r="D88" s="48" t="s">
        <v>471</v>
      </c>
      <c r="E88" s="50" t="s">
        <v>2615</v>
      </c>
      <c r="G88" s="76" t="s">
        <v>476</v>
      </c>
      <c r="H88" s="50">
        <v>4953</v>
      </c>
      <c r="I88" s="49" t="s">
        <v>2</v>
      </c>
      <c r="J88" s="50" t="s">
        <v>477</v>
      </c>
      <c r="K88" s="51">
        <v>41197</v>
      </c>
      <c r="L88" s="115">
        <v>41192</v>
      </c>
      <c r="M88" s="50">
        <f t="shared" si="4"/>
        <v>5</v>
      </c>
      <c r="N88" s="50" t="s">
        <v>2</v>
      </c>
      <c r="O88" s="74">
        <f>1.4/2</f>
        <v>0.7</v>
      </c>
      <c r="P88" s="50">
        <v>5.5</v>
      </c>
      <c r="Q88" s="74">
        <v>6.92</v>
      </c>
      <c r="R88" s="50">
        <v>14</v>
      </c>
      <c r="S88" s="74">
        <v>36</v>
      </c>
      <c r="T88" s="50">
        <v>0.1</v>
      </c>
      <c r="U88" s="74">
        <v>0.55000000000000004</v>
      </c>
      <c r="V88" s="50">
        <v>0.16</v>
      </c>
      <c r="W88" s="74">
        <f>0.005/2</f>
        <v>2.5000000000000001E-3</v>
      </c>
      <c r="X88" s="50">
        <v>2.9000000000000001E-2</v>
      </c>
      <c r="Y88" s="74">
        <f>0.002/2</f>
        <v>1E-3</v>
      </c>
    </row>
    <row r="89" spans="1:51" ht="15" customHeight="1">
      <c r="A89" s="293" t="s">
        <v>68</v>
      </c>
      <c r="B89" s="50" t="s">
        <v>2347</v>
      </c>
      <c r="C89" s="7" t="s">
        <v>520</v>
      </c>
      <c r="D89" s="48" t="s">
        <v>684</v>
      </c>
      <c r="E89" s="50" t="s">
        <v>2616</v>
      </c>
      <c r="G89" s="76" t="s">
        <v>2349</v>
      </c>
      <c r="H89" s="50">
        <v>9199</v>
      </c>
      <c r="I89" s="49" t="s">
        <v>2</v>
      </c>
      <c r="J89" s="50" t="s">
        <v>2350</v>
      </c>
      <c r="K89" s="51">
        <v>41240</v>
      </c>
      <c r="L89" s="115">
        <v>41226</v>
      </c>
      <c r="M89" s="50">
        <f t="shared" si="4"/>
        <v>14</v>
      </c>
      <c r="N89" s="50" t="s">
        <v>2</v>
      </c>
      <c r="O89" s="74">
        <v>382</v>
      </c>
      <c r="P89" s="50">
        <v>6.5</v>
      </c>
      <c r="Q89" s="74">
        <v>7</v>
      </c>
      <c r="R89" s="50">
        <v>149</v>
      </c>
      <c r="S89" s="74">
        <v>510</v>
      </c>
      <c r="T89" s="50">
        <v>0.79</v>
      </c>
      <c r="U89" s="74">
        <v>8.9</v>
      </c>
      <c r="V89" s="50">
        <v>0.52</v>
      </c>
      <c r="W89" s="74">
        <v>0.125</v>
      </c>
      <c r="X89" s="50">
        <v>0.41699999999999998</v>
      </c>
      <c r="Y89" s="74">
        <v>0.13600000000000001</v>
      </c>
      <c r="Z89" s="164">
        <v>1</v>
      </c>
      <c r="AA89" s="165">
        <v>1</v>
      </c>
      <c r="AB89" s="50">
        <v>74</v>
      </c>
      <c r="AC89" s="74">
        <v>460</v>
      </c>
      <c r="AD89" s="164">
        <v>1</v>
      </c>
    </row>
    <row r="90" spans="1:51" ht="15" customHeight="1">
      <c r="A90" s="293" t="s">
        <v>68</v>
      </c>
      <c r="B90" s="50" t="s">
        <v>2617</v>
      </c>
      <c r="C90" s="7" t="s">
        <v>2618</v>
      </c>
      <c r="D90" s="48" t="s">
        <v>1569</v>
      </c>
      <c r="E90" s="50" t="s">
        <v>2619</v>
      </c>
      <c r="G90" s="76" t="s">
        <v>2620</v>
      </c>
      <c r="H90" s="50">
        <v>4953</v>
      </c>
      <c r="I90" s="49" t="s">
        <v>2</v>
      </c>
      <c r="J90" s="50" t="s">
        <v>2621</v>
      </c>
      <c r="K90" s="51">
        <v>41171</v>
      </c>
      <c r="L90" s="115">
        <v>41157</v>
      </c>
      <c r="M90" s="50">
        <f t="shared" si="4"/>
        <v>14</v>
      </c>
      <c r="N90" s="50" t="s">
        <v>2</v>
      </c>
      <c r="O90" s="74">
        <v>2.6</v>
      </c>
      <c r="P90" s="50">
        <v>6.78</v>
      </c>
      <c r="Q90" s="74">
        <v>6.77</v>
      </c>
      <c r="R90" s="50">
        <v>34</v>
      </c>
      <c r="S90" s="74">
        <v>140</v>
      </c>
      <c r="T90" s="50">
        <v>0.36</v>
      </c>
      <c r="U90" s="74">
        <v>1.76</v>
      </c>
      <c r="V90" s="50">
        <v>0.4</v>
      </c>
      <c r="W90" s="74">
        <v>2.1999999999999999E-2</v>
      </c>
      <c r="X90" s="50">
        <v>9.9000000000000005E-2</v>
      </c>
      <c r="Y90" s="74">
        <v>1.6E-2</v>
      </c>
      <c r="AE90" s="50">
        <v>1.99</v>
      </c>
      <c r="AF90" s="50">
        <v>16</v>
      </c>
      <c r="AG90" s="50">
        <v>140</v>
      </c>
      <c r="AM90" s="50">
        <v>9.9000000000000005E-2</v>
      </c>
      <c r="AN90" s="114">
        <v>6.77</v>
      </c>
    </row>
    <row r="91" spans="1:51" ht="15" customHeight="1">
      <c r="A91" s="293" t="s">
        <v>68</v>
      </c>
      <c r="B91" s="50" t="s">
        <v>2622</v>
      </c>
      <c r="C91" s="7" t="s">
        <v>2623</v>
      </c>
      <c r="D91" s="48" t="s">
        <v>209</v>
      </c>
      <c r="E91" s="50" t="s">
        <v>2624</v>
      </c>
      <c r="G91" s="76" t="s">
        <v>2625</v>
      </c>
      <c r="H91" s="50">
        <v>4953</v>
      </c>
      <c r="I91" s="49" t="s">
        <v>2</v>
      </c>
      <c r="J91" s="50" t="s">
        <v>2546</v>
      </c>
      <c r="K91" s="51">
        <v>41264</v>
      </c>
      <c r="L91" s="115">
        <v>41261</v>
      </c>
      <c r="M91" s="50">
        <f t="shared" si="4"/>
        <v>3</v>
      </c>
      <c r="N91" s="50" t="s">
        <v>2</v>
      </c>
      <c r="O91" s="74">
        <f>1/2</f>
        <v>0.5</v>
      </c>
      <c r="Q91" s="74">
        <v>7.03</v>
      </c>
      <c r="R91" s="50">
        <f>5/2</f>
        <v>2.5</v>
      </c>
      <c r="S91" s="74">
        <v>93</v>
      </c>
      <c r="T91" s="50">
        <v>5.9200000000000003E-2</v>
      </c>
      <c r="U91" s="74">
        <v>0.7</v>
      </c>
      <c r="V91" s="50">
        <v>0.16</v>
      </c>
      <c r="W91" s="74">
        <v>0.01</v>
      </c>
      <c r="X91" s="50">
        <v>4.5100000000000001E-2</v>
      </c>
      <c r="Y91" s="74">
        <v>8.6E-3</v>
      </c>
      <c r="AE91" s="50">
        <v>4.9000000000000004</v>
      </c>
    </row>
    <row r="92" spans="1:51" ht="15" customHeight="1">
      <c r="A92" s="293" t="s">
        <v>68</v>
      </c>
      <c r="B92" s="50" t="s">
        <v>2622</v>
      </c>
      <c r="C92" s="7" t="s">
        <v>2623</v>
      </c>
      <c r="D92" s="48" t="s">
        <v>209</v>
      </c>
      <c r="E92" s="50" t="s">
        <v>2624</v>
      </c>
      <c r="G92" s="76" t="s">
        <v>2625</v>
      </c>
      <c r="H92" s="50">
        <v>4953</v>
      </c>
      <c r="I92" s="49" t="s">
        <v>2</v>
      </c>
      <c r="J92" s="50" t="s">
        <v>2546</v>
      </c>
      <c r="K92" s="72">
        <v>41184</v>
      </c>
      <c r="L92" s="115">
        <v>41179</v>
      </c>
      <c r="M92" s="50">
        <f t="shared" si="4"/>
        <v>5</v>
      </c>
      <c r="N92" s="50" t="s">
        <v>2</v>
      </c>
      <c r="O92" s="131">
        <f>1/2</f>
        <v>0.5</v>
      </c>
      <c r="Q92" s="74">
        <v>6.95</v>
      </c>
      <c r="R92" s="50">
        <v>26.5</v>
      </c>
      <c r="S92" s="74">
        <v>125</v>
      </c>
      <c r="T92" s="50">
        <v>0.17399999999999999</v>
      </c>
      <c r="U92" s="74">
        <v>0.42</v>
      </c>
      <c r="V92" s="50">
        <v>0.13</v>
      </c>
      <c r="W92" s="74">
        <v>1.2200000000000001E-2</v>
      </c>
      <c r="X92" s="50">
        <v>3.3599999999999998E-2</v>
      </c>
      <c r="Y92" s="74">
        <v>9.7999999999999997E-3</v>
      </c>
      <c r="Z92" s="164">
        <v>1</v>
      </c>
      <c r="AA92" s="165">
        <v>1</v>
      </c>
      <c r="AB92" s="50">
        <v>26</v>
      </c>
      <c r="AC92" s="74">
        <v>86</v>
      </c>
      <c r="AD92" s="164">
        <v>1</v>
      </c>
      <c r="AE92" s="50">
        <v>4.26</v>
      </c>
      <c r="AF92" s="50">
        <v>24</v>
      </c>
      <c r="AG92" s="50">
        <v>125</v>
      </c>
      <c r="AH92" s="50">
        <f>0.2/2</f>
        <v>0.1</v>
      </c>
      <c r="AI92" s="50">
        <f>0.01/2</f>
        <v>5.0000000000000001E-3</v>
      </c>
      <c r="AJ92" s="50">
        <f>0.02/2</f>
        <v>0.01</v>
      </c>
      <c r="AK92" s="50">
        <f>0.01/2</f>
        <v>5.0000000000000001E-3</v>
      </c>
      <c r="AL92" s="50">
        <f>0.01/2</f>
        <v>5.0000000000000001E-3</v>
      </c>
      <c r="AM92" s="50">
        <v>3.3599999999999998E-2</v>
      </c>
      <c r="AN92" s="114">
        <v>6.95</v>
      </c>
    </row>
    <row r="93" spans="1:51" ht="15" customHeight="1">
      <c r="A93" s="293" t="s">
        <v>68</v>
      </c>
      <c r="B93" s="50" t="s">
        <v>2707</v>
      </c>
      <c r="C93" s="7" t="s">
        <v>2688</v>
      </c>
      <c r="D93" s="48" t="s">
        <v>379</v>
      </c>
      <c r="E93" s="50" t="s">
        <v>2709</v>
      </c>
      <c r="G93" s="76" t="s">
        <v>2994</v>
      </c>
      <c r="H93" s="50">
        <v>4953</v>
      </c>
      <c r="I93" s="49" t="s">
        <v>2</v>
      </c>
      <c r="J93" s="50" t="s">
        <v>2995</v>
      </c>
      <c r="K93" s="51">
        <v>40920</v>
      </c>
      <c r="L93" s="115">
        <v>40909</v>
      </c>
      <c r="M93" s="50">
        <f t="shared" si="4"/>
        <v>11</v>
      </c>
      <c r="N93" s="50" t="s">
        <v>2</v>
      </c>
      <c r="O93" s="74">
        <v>7.5</v>
      </c>
      <c r="P93" s="50">
        <v>5.89</v>
      </c>
      <c r="Q93" s="74">
        <v>7.17</v>
      </c>
      <c r="R93" s="50">
        <v>41</v>
      </c>
      <c r="S93" s="74">
        <v>56</v>
      </c>
      <c r="T93" s="50">
        <v>0.14000000000000001</v>
      </c>
      <c r="U93" s="74">
        <v>1.34</v>
      </c>
      <c r="W93" s="74">
        <v>8.9999999999999993E-3</v>
      </c>
      <c r="X93" s="50">
        <v>2.5000000000000001E-2</v>
      </c>
      <c r="Y93" s="74">
        <v>6.0000000000000001E-3</v>
      </c>
      <c r="Z93" s="164">
        <v>1</v>
      </c>
      <c r="AA93" s="165">
        <v>1</v>
      </c>
      <c r="AB93" s="50">
        <v>14</v>
      </c>
      <c r="AC93" s="74">
        <v>44</v>
      </c>
      <c r="AD93" s="164">
        <v>1</v>
      </c>
      <c r="AE93" s="50">
        <v>1.74</v>
      </c>
      <c r="AF93" s="50">
        <f>6/2</f>
        <v>3</v>
      </c>
      <c r="AG93" s="50">
        <v>56</v>
      </c>
      <c r="AH93" s="50">
        <v>0.31</v>
      </c>
      <c r="AI93" s="50">
        <f t="shared" ref="AI93:AL96" si="5">0.02/2</f>
        <v>0.01</v>
      </c>
      <c r="AJ93" s="50">
        <f t="shared" si="5"/>
        <v>0.01</v>
      </c>
      <c r="AK93" s="50">
        <f t="shared" si="5"/>
        <v>0.01</v>
      </c>
      <c r="AL93" s="50">
        <f t="shared" si="5"/>
        <v>0.01</v>
      </c>
      <c r="AM93" s="50">
        <v>2.5000000000000001E-2</v>
      </c>
      <c r="AN93" s="114">
        <v>7.17</v>
      </c>
    </row>
    <row r="94" spans="1:51" ht="15" customHeight="1">
      <c r="A94" s="293" t="s">
        <v>68</v>
      </c>
      <c r="B94" s="50" t="s">
        <v>2707</v>
      </c>
      <c r="C94" s="7" t="s">
        <v>2688</v>
      </c>
      <c r="D94" s="48" t="s">
        <v>379</v>
      </c>
      <c r="E94" s="50" t="s">
        <v>2709</v>
      </c>
      <c r="G94" s="76" t="s">
        <v>2994</v>
      </c>
      <c r="H94" s="50">
        <v>4953</v>
      </c>
      <c r="I94" s="49" t="s">
        <v>2</v>
      </c>
      <c r="J94" s="50" t="s">
        <v>2996</v>
      </c>
      <c r="K94" s="51">
        <v>40920</v>
      </c>
      <c r="L94" s="115">
        <v>40909</v>
      </c>
      <c r="M94" s="50">
        <f t="shared" si="4"/>
        <v>11</v>
      </c>
      <c r="N94" s="50" t="s">
        <v>2</v>
      </c>
      <c r="O94" s="74">
        <v>20</v>
      </c>
      <c r="P94" s="50">
        <v>5.89</v>
      </c>
      <c r="Q94" s="74">
        <v>7.05</v>
      </c>
      <c r="R94" s="50">
        <v>100</v>
      </c>
      <c r="S94" s="74">
        <v>350</v>
      </c>
      <c r="T94" s="50">
        <v>0.57999999999999996</v>
      </c>
      <c r="U94" s="74">
        <v>3.07</v>
      </c>
      <c r="W94" s="74">
        <v>2.5999999999999999E-2</v>
      </c>
      <c r="X94" s="50">
        <v>9.2999999999999999E-2</v>
      </c>
      <c r="Y94" s="74">
        <v>2.1999999999999999E-2</v>
      </c>
      <c r="Z94" s="164">
        <v>6.25E-2</v>
      </c>
      <c r="AA94" s="165">
        <v>6.25E-2</v>
      </c>
      <c r="AB94" s="50">
        <v>8</v>
      </c>
      <c r="AC94" s="74">
        <v>29</v>
      </c>
      <c r="AD94" s="164">
        <v>0</v>
      </c>
      <c r="AE94" s="50">
        <v>7.31</v>
      </c>
      <c r="AF94" s="50">
        <f>60/2</f>
        <v>30</v>
      </c>
      <c r="AG94" s="50">
        <v>350</v>
      </c>
      <c r="AH94" s="50">
        <v>0.28000000000000003</v>
      </c>
      <c r="AI94" s="50">
        <f t="shared" si="5"/>
        <v>0.01</v>
      </c>
      <c r="AJ94" s="50">
        <f t="shared" si="5"/>
        <v>0.01</v>
      </c>
      <c r="AK94" s="50">
        <f t="shared" si="5"/>
        <v>0.01</v>
      </c>
      <c r="AL94" s="50">
        <f t="shared" si="5"/>
        <v>0.01</v>
      </c>
      <c r="AM94" s="50">
        <v>9.2999999999999999E-2</v>
      </c>
      <c r="AN94" s="114">
        <v>7.05</v>
      </c>
    </row>
    <row r="95" spans="1:51" ht="15" customHeight="1">
      <c r="A95" s="293" t="s">
        <v>68</v>
      </c>
      <c r="B95" s="50" t="s">
        <v>2707</v>
      </c>
      <c r="C95" s="7" t="s">
        <v>2688</v>
      </c>
      <c r="D95" s="48" t="s">
        <v>379</v>
      </c>
      <c r="E95" s="50" t="s">
        <v>2709</v>
      </c>
      <c r="G95" s="76" t="s">
        <v>2994</v>
      </c>
      <c r="H95" s="50">
        <v>4953</v>
      </c>
      <c r="I95" s="49" t="s">
        <v>2</v>
      </c>
      <c r="J95" s="50" t="s">
        <v>2997</v>
      </c>
      <c r="K95" s="51">
        <v>40920</v>
      </c>
      <c r="L95" s="115">
        <v>40909</v>
      </c>
      <c r="M95" s="50">
        <f t="shared" si="4"/>
        <v>11</v>
      </c>
      <c r="N95" s="50" t="s">
        <v>2</v>
      </c>
      <c r="O95" s="74">
        <v>34</v>
      </c>
      <c r="P95" s="50">
        <v>5.89</v>
      </c>
      <c r="Q95" s="74">
        <v>7.67</v>
      </c>
      <c r="R95" s="50">
        <v>190</v>
      </c>
      <c r="S95" s="74">
        <v>1200</v>
      </c>
      <c r="T95" s="50">
        <v>3.44</v>
      </c>
      <c r="U95" s="74">
        <v>15.9</v>
      </c>
      <c r="W95" s="74">
        <v>0.161</v>
      </c>
      <c r="X95" s="50">
        <v>0.57699999999999996</v>
      </c>
      <c r="Y95" s="74">
        <v>0.13500000000000001</v>
      </c>
      <c r="Z95" s="164">
        <v>1</v>
      </c>
      <c r="AA95" s="165">
        <v>1</v>
      </c>
      <c r="AB95" s="50">
        <v>188</v>
      </c>
      <c r="AC95" s="74">
        <v>867</v>
      </c>
      <c r="AD95" s="164">
        <v>1</v>
      </c>
      <c r="AE95" s="50">
        <v>30.4</v>
      </c>
      <c r="AF95" s="50">
        <f>80/2</f>
        <v>40</v>
      </c>
      <c r="AG95" s="50">
        <v>1200</v>
      </c>
      <c r="AH95" s="50">
        <v>2.5299999999999998</v>
      </c>
      <c r="AI95" s="50">
        <f t="shared" si="5"/>
        <v>0.01</v>
      </c>
      <c r="AJ95" s="50">
        <f t="shared" si="5"/>
        <v>0.01</v>
      </c>
      <c r="AK95" s="50">
        <f t="shared" si="5"/>
        <v>0.01</v>
      </c>
      <c r="AL95" s="50">
        <f t="shared" si="5"/>
        <v>0.01</v>
      </c>
      <c r="AM95" s="50">
        <v>0.57699999999999996</v>
      </c>
      <c r="AN95" s="114">
        <v>7.67</v>
      </c>
    </row>
    <row r="96" spans="1:51" ht="15" customHeight="1">
      <c r="A96" s="293" t="s">
        <v>68</v>
      </c>
      <c r="B96" s="50" t="s">
        <v>2707</v>
      </c>
      <c r="C96" s="7" t="s">
        <v>2688</v>
      </c>
      <c r="D96" s="48" t="s">
        <v>379</v>
      </c>
      <c r="E96" s="50" t="s">
        <v>2709</v>
      </c>
      <c r="G96" s="76" t="s">
        <v>2994</v>
      </c>
      <c r="H96" s="50">
        <v>4953</v>
      </c>
      <c r="I96" s="49" t="s">
        <v>2</v>
      </c>
      <c r="J96" s="50" t="s">
        <v>2998</v>
      </c>
      <c r="K96" s="51">
        <v>40920</v>
      </c>
      <c r="L96" s="115">
        <v>40909</v>
      </c>
      <c r="M96" s="50">
        <f t="shared" si="4"/>
        <v>11</v>
      </c>
      <c r="N96" s="50" t="s">
        <v>2</v>
      </c>
      <c r="O96" s="74">
        <v>2.9</v>
      </c>
      <c r="P96" s="50">
        <v>5.89</v>
      </c>
      <c r="Q96" s="74">
        <v>7.09</v>
      </c>
      <c r="R96" s="50">
        <v>46</v>
      </c>
      <c r="S96" s="74">
        <v>63</v>
      </c>
      <c r="T96" s="50">
        <v>0.44</v>
      </c>
      <c r="U96" s="74">
        <v>0.94</v>
      </c>
      <c r="W96" s="74">
        <v>1.2999999999999999E-2</v>
      </c>
      <c r="X96" s="50">
        <v>3.6999999999999998E-2</v>
      </c>
      <c r="Y96" s="74">
        <v>0.01</v>
      </c>
      <c r="Z96" s="164">
        <v>1</v>
      </c>
      <c r="AA96" s="165">
        <v>1</v>
      </c>
      <c r="AB96" s="50">
        <v>8</v>
      </c>
      <c r="AC96" s="74">
        <v>51</v>
      </c>
      <c r="AD96" s="164">
        <v>1</v>
      </c>
      <c r="AE96" s="50">
        <v>1.83</v>
      </c>
      <c r="AF96" s="50">
        <v>9.1</v>
      </c>
      <c r="AG96" s="50">
        <v>63</v>
      </c>
      <c r="AH96" s="50">
        <v>0.15</v>
      </c>
      <c r="AI96" s="50">
        <f t="shared" si="5"/>
        <v>0.01</v>
      </c>
      <c r="AJ96" s="50">
        <f t="shared" si="5"/>
        <v>0.01</v>
      </c>
      <c r="AK96" s="50">
        <f t="shared" si="5"/>
        <v>0.01</v>
      </c>
      <c r="AL96" s="50">
        <f t="shared" si="5"/>
        <v>0.01</v>
      </c>
      <c r="AM96" s="50">
        <v>3.6999999999999998E-2</v>
      </c>
      <c r="AN96" s="114">
        <v>7.09</v>
      </c>
    </row>
    <row r="97" spans="1:47" ht="15" customHeight="1">
      <c r="A97" s="41" t="s">
        <v>68</v>
      </c>
      <c r="B97" s="50" t="s">
        <v>1488</v>
      </c>
      <c r="C97" s="7" t="s">
        <v>1489</v>
      </c>
      <c r="D97" s="48" t="s">
        <v>1490</v>
      </c>
      <c r="E97" s="50" t="s">
        <v>1491</v>
      </c>
      <c r="G97" s="76" t="s">
        <v>1492</v>
      </c>
      <c r="I97" s="49" t="s">
        <v>2</v>
      </c>
      <c r="J97" s="50" t="s">
        <v>1493</v>
      </c>
      <c r="K97" s="51">
        <v>41226</v>
      </c>
      <c r="L97" s="115"/>
      <c r="N97" s="50" t="s">
        <v>2</v>
      </c>
      <c r="O97" s="74">
        <f>1/2</f>
        <v>0.5</v>
      </c>
      <c r="P97" s="50">
        <v>5.5</v>
      </c>
      <c r="Q97" s="74">
        <v>6.2</v>
      </c>
      <c r="R97" s="50">
        <v>38</v>
      </c>
      <c r="S97" s="74">
        <v>16</v>
      </c>
      <c r="T97" s="50">
        <v>0.17</v>
      </c>
      <c r="U97" s="74">
        <f>0.5/2</f>
        <v>0.25</v>
      </c>
      <c r="V97" s="50">
        <v>0.19</v>
      </c>
      <c r="W97" s="74">
        <v>5.8999999999999999E-3</v>
      </c>
      <c r="X97" s="50">
        <v>3.5999999999999997E-2</v>
      </c>
      <c r="Y97" s="74">
        <v>2.8999999999999998E-3</v>
      </c>
      <c r="Z97" s="164">
        <v>1</v>
      </c>
      <c r="AA97" s="165">
        <v>1</v>
      </c>
      <c r="AB97" s="50">
        <v>40</v>
      </c>
      <c r="AC97" s="74">
        <v>87</v>
      </c>
      <c r="AD97" s="164">
        <v>1</v>
      </c>
    </row>
    <row r="98" spans="1:47" ht="15" customHeight="1">
      <c r="A98" s="41" t="s">
        <v>68</v>
      </c>
      <c r="B98" s="50" t="s">
        <v>1488</v>
      </c>
      <c r="C98" s="7" t="s">
        <v>1489</v>
      </c>
      <c r="D98" s="48" t="s">
        <v>1490</v>
      </c>
      <c r="E98" s="50" t="s">
        <v>1491</v>
      </c>
      <c r="G98" s="76" t="s">
        <v>1492</v>
      </c>
      <c r="I98" s="49" t="s">
        <v>2</v>
      </c>
      <c r="J98" s="50" t="s">
        <v>1494</v>
      </c>
      <c r="K98" s="51">
        <v>41226</v>
      </c>
      <c r="L98" s="115"/>
      <c r="N98" s="50" t="s">
        <v>2</v>
      </c>
      <c r="O98" s="74">
        <f>2/2</f>
        <v>1</v>
      </c>
      <c r="P98" s="50">
        <v>5.5</v>
      </c>
      <c r="Q98" s="74">
        <v>6.7</v>
      </c>
      <c r="R98" s="50">
        <v>100</v>
      </c>
      <c r="S98" s="74">
        <v>25</v>
      </c>
      <c r="T98" s="50">
        <v>0.46</v>
      </c>
      <c r="U98" s="74">
        <v>0.93</v>
      </c>
      <c r="V98" s="50">
        <v>0.08</v>
      </c>
      <c r="W98" s="74">
        <v>5.0000000000000001E-3</v>
      </c>
      <c r="X98" s="50">
        <v>3.1E-2</v>
      </c>
      <c r="Y98" s="74">
        <f>0.002/2</f>
        <v>1E-3</v>
      </c>
      <c r="Z98" s="164">
        <v>1</v>
      </c>
      <c r="AA98" s="165">
        <v>1</v>
      </c>
      <c r="AB98" s="50">
        <v>10</v>
      </c>
      <c r="AC98" s="74">
        <v>132</v>
      </c>
      <c r="AD98" s="164">
        <v>1</v>
      </c>
    </row>
    <row r="99" spans="1:47" ht="15" customHeight="1">
      <c r="A99" s="41" t="s">
        <v>68</v>
      </c>
      <c r="B99" s="50" t="s">
        <v>1488</v>
      </c>
      <c r="C99" s="7" t="s">
        <v>1489</v>
      </c>
      <c r="D99" s="48" t="s">
        <v>1490</v>
      </c>
      <c r="E99" s="50" t="s">
        <v>1491</v>
      </c>
      <c r="G99" s="76" t="s">
        <v>1492</v>
      </c>
      <c r="I99" s="49" t="s">
        <v>2</v>
      </c>
      <c r="J99" s="50" t="s">
        <v>1493</v>
      </c>
      <c r="K99" s="51">
        <v>41108</v>
      </c>
      <c r="L99" s="115"/>
      <c r="N99" s="50" t="s">
        <v>2</v>
      </c>
      <c r="O99" s="74">
        <f>2/2</f>
        <v>1</v>
      </c>
      <c r="P99" s="50">
        <v>5.5</v>
      </c>
      <c r="Q99" s="74">
        <v>5.9</v>
      </c>
      <c r="R99" s="50">
        <v>130</v>
      </c>
      <c r="S99" s="74">
        <v>240</v>
      </c>
      <c r="T99" s="50">
        <v>0.59</v>
      </c>
      <c r="U99" s="74">
        <v>2.6</v>
      </c>
      <c r="V99" s="50">
        <v>0.37</v>
      </c>
      <c r="W99" s="74">
        <v>2.7E-2</v>
      </c>
      <c r="X99" s="50">
        <v>8.3000000000000004E-2</v>
      </c>
      <c r="Y99" s="74">
        <v>1.9E-2</v>
      </c>
      <c r="Z99" s="164">
        <v>1</v>
      </c>
      <c r="AA99" s="165">
        <v>1</v>
      </c>
      <c r="AB99" s="50">
        <v>6</v>
      </c>
      <c r="AC99" s="74">
        <v>36</v>
      </c>
      <c r="AD99" s="164">
        <v>0.95</v>
      </c>
    </row>
    <row r="100" spans="1:47" ht="15" customHeight="1">
      <c r="A100" s="41" t="s">
        <v>68</v>
      </c>
      <c r="B100" s="50" t="s">
        <v>1488</v>
      </c>
      <c r="C100" s="7" t="s">
        <v>1489</v>
      </c>
      <c r="D100" s="48" t="s">
        <v>1490</v>
      </c>
      <c r="E100" s="50" t="s">
        <v>1491</v>
      </c>
      <c r="G100" s="76" t="s">
        <v>1492</v>
      </c>
      <c r="I100" s="49" t="s">
        <v>2</v>
      </c>
      <c r="J100" s="50" t="s">
        <v>1494</v>
      </c>
      <c r="K100" s="51">
        <v>41108</v>
      </c>
      <c r="L100" s="115"/>
      <c r="N100" s="50" t="s">
        <v>2</v>
      </c>
      <c r="O100" s="74">
        <f>2/2</f>
        <v>1</v>
      </c>
      <c r="P100" s="50">
        <v>5.5</v>
      </c>
      <c r="Q100" s="74">
        <v>6.2</v>
      </c>
      <c r="R100" s="50">
        <v>270</v>
      </c>
      <c r="S100" s="74">
        <v>800</v>
      </c>
      <c r="T100" s="50">
        <v>1.4</v>
      </c>
      <c r="U100" s="74">
        <v>6.1</v>
      </c>
      <c r="V100" s="50">
        <v>0.69</v>
      </c>
      <c r="W100" s="74">
        <v>5.8999999999999997E-2</v>
      </c>
      <c r="X100" s="50">
        <v>0.12</v>
      </c>
      <c r="Y100" s="74">
        <v>2.8000000000000001E-2</v>
      </c>
      <c r="Z100" s="164">
        <v>1</v>
      </c>
      <c r="AA100" s="165">
        <v>1</v>
      </c>
      <c r="AB100" s="50">
        <v>10</v>
      </c>
      <c r="AC100" s="74">
        <v>52</v>
      </c>
      <c r="AD100" s="164">
        <v>1</v>
      </c>
    </row>
    <row r="101" spans="1:47" ht="15" customHeight="1">
      <c r="A101" s="295" t="s">
        <v>68</v>
      </c>
      <c r="B101" s="50" t="s">
        <v>2999</v>
      </c>
      <c r="D101" s="48" t="s">
        <v>480</v>
      </c>
      <c r="E101" s="50" t="s">
        <v>2329</v>
      </c>
      <c r="G101" s="76" t="s">
        <v>2979</v>
      </c>
      <c r="H101" s="50">
        <v>5093</v>
      </c>
      <c r="I101" s="49" t="s">
        <v>1</v>
      </c>
      <c r="J101" s="50" t="s">
        <v>2975</v>
      </c>
      <c r="K101" s="51">
        <v>40996</v>
      </c>
      <c r="L101" s="115">
        <v>40993</v>
      </c>
      <c r="M101" s="50">
        <f t="shared" ref="M101:M112" si="6">K101-L101</f>
        <v>3</v>
      </c>
      <c r="N101" s="72" t="s">
        <v>2</v>
      </c>
      <c r="O101" s="74">
        <v>3.8</v>
      </c>
      <c r="P101" s="50">
        <v>6.5</v>
      </c>
      <c r="Q101" s="74">
        <v>7.1</v>
      </c>
      <c r="R101" s="50">
        <v>22</v>
      </c>
      <c r="S101" s="74">
        <v>54</v>
      </c>
      <c r="T101" s="50">
        <v>0.12</v>
      </c>
      <c r="U101" s="74">
        <v>0.57999999999999996</v>
      </c>
      <c r="V101" s="50">
        <v>0.14000000000000001</v>
      </c>
      <c r="W101" s="74">
        <v>1.7999999999999999E-2</v>
      </c>
      <c r="X101" s="50">
        <v>7.3999999999999996E-2</v>
      </c>
      <c r="Y101" s="74">
        <f>0.03/2</f>
        <v>1.4999999999999999E-2</v>
      </c>
      <c r="Z101" s="164">
        <v>1</v>
      </c>
      <c r="AA101" s="165">
        <v>1</v>
      </c>
      <c r="AB101" s="50">
        <v>10</v>
      </c>
      <c r="AC101" s="74">
        <v>129</v>
      </c>
      <c r="AD101" s="164">
        <v>1</v>
      </c>
    </row>
    <row r="102" spans="1:47" ht="15" customHeight="1">
      <c r="A102" s="41" t="s">
        <v>68</v>
      </c>
      <c r="B102" s="50" t="s">
        <v>2999</v>
      </c>
      <c r="D102" s="48" t="s">
        <v>480</v>
      </c>
      <c r="E102" s="50" t="s">
        <v>2329</v>
      </c>
      <c r="G102" s="76" t="s">
        <v>2979</v>
      </c>
      <c r="H102" s="50">
        <v>5093</v>
      </c>
      <c r="I102" s="49" t="s">
        <v>1</v>
      </c>
      <c r="J102" s="50" t="s">
        <v>2980</v>
      </c>
      <c r="K102" s="51">
        <v>40996</v>
      </c>
      <c r="L102" s="115">
        <v>40993</v>
      </c>
      <c r="M102" s="50">
        <f t="shared" si="6"/>
        <v>3</v>
      </c>
      <c r="N102" s="72" t="s">
        <v>2</v>
      </c>
      <c r="O102" s="74">
        <v>11.6</v>
      </c>
      <c r="P102" s="50">
        <v>6.5</v>
      </c>
      <c r="Q102" s="74">
        <v>7.5</v>
      </c>
      <c r="R102" s="50">
        <v>50</v>
      </c>
      <c r="S102" s="74">
        <v>778</v>
      </c>
      <c r="T102" s="50">
        <v>0.33</v>
      </c>
      <c r="U102" s="74">
        <v>2.1</v>
      </c>
      <c r="V102" s="50">
        <v>0.19</v>
      </c>
      <c r="W102" s="74">
        <v>6.6000000000000003E-2</v>
      </c>
      <c r="X102" s="50">
        <v>0.26100000000000001</v>
      </c>
      <c r="Y102" s="74">
        <v>0.114</v>
      </c>
      <c r="Z102" s="164">
        <v>1</v>
      </c>
      <c r="AA102" s="165">
        <v>1</v>
      </c>
      <c r="AB102" s="50">
        <v>101</v>
      </c>
      <c r="AC102" s="74">
        <v>537</v>
      </c>
      <c r="AD102" s="164">
        <v>1</v>
      </c>
    </row>
    <row r="103" spans="1:47" ht="14">
      <c r="A103" s="74" t="s">
        <v>68</v>
      </c>
      <c r="B103" s="50" t="s">
        <v>1381</v>
      </c>
      <c r="C103" s="7" t="s">
        <v>1479</v>
      </c>
      <c r="D103" s="48" t="s">
        <v>200</v>
      </c>
      <c r="E103" s="50" t="s">
        <v>214</v>
      </c>
      <c r="G103" s="76" t="s">
        <v>1480</v>
      </c>
      <c r="H103" s="50">
        <v>4953</v>
      </c>
      <c r="J103" s="50" t="s">
        <v>3013</v>
      </c>
      <c r="K103" s="51">
        <v>41178</v>
      </c>
      <c r="L103" s="115">
        <v>41174</v>
      </c>
      <c r="M103" s="50">
        <f t="shared" si="6"/>
        <v>4</v>
      </c>
      <c r="N103" s="50" t="s">
        <v>2</v>
      </c>
      <c r="AE103" s="50">
        <v>4.5599999999999996</v>
      </c>
    </row>
    <row r="104" spans="1:47" ht="15" customHeight="1">
      <c r="A104" s="293" t="s">
        <v>68</v>
      </c>
      <c r="B104" s="50" t="s">
        <v>3014</v>
      </c>
      <c r="C104" s="7" t="s">
        <v>2546</v>
      </c>
      <c r="D104" s="48" t="s">
        <v>308</v>
      </c>
      <c r="E104" s="50" t="s">
        <v>235</v>
      </c>
      <c r="G104" s="76" t="s">
        <v>3015</v>
      </c>
      <c r="H104" s="50">
        <v>4953</v>
      </c>
      <c r="I104" s="49" t="s">
        <v>1</v>
      </c>
      <c r="J104" s="50" t="s">
        <v>2036</v>
      </c>
      <c r="K104" s="51">
        <v>41260</v>
      </c>
      <c r="L104" s="115">
        <v>41253</v>
      </c>
      <c r="M104" s="50">
        <f t="shared" si="6"/>
        <v>7</v>
      </c>
      <c r="N104" s="50" t="s">
        <v>2</v>
      </c>
      <c r="AE104" s="50">
        <v>1.66</v>
      </c>
      <c r="AF104" s="50">
        <f>3/2</f>
        <v>1.5</v>
      </c>
      <c r="AG104" s="50">
        <v>9</v>
      </c>
      <c r="AH104" s="50">
        <v>0.49</v>
      </c>
      <c r="AI104" s="50">
        <f>0.01/2</f>
        <v>5.0000000000000001E-3</v>
      </c>
      <c r="AJ104" s="50">
        <f>0.05/2</f>
        <v>2.5000000000000001E-2</v>
      </c>
      <c r="AK104" s="50">
        <f>0.02/2</f>
        <v>0.01</v>
      </c>
      <c r="AL104" s="50">
        <f>0.02/2</f>
        <v>0.01</v>
      </c>
      <c r="AM104" s="50">
        <f>0.05/2</f>
        <v>2.5000000000000001E-2</v>
      </c>
      <c r="AN104" s="114">
        <v>7.4</v>
      </c>
    </row>
    <row r="105" spans="1:47" ht="15" customHeight="1">
      <c r="A105" s="293" t="s">
        <v>68</v>
      </c>
      <c r="B105" s="50" t="s">
        <v>2643</v>
      </c>
      <c r="C105" s="7" t="s">
        <v>392</v>
      </c>
      <c r="D105" s="48" t="s">
        <v>290</v>
      </c>
      <c r="E105" s="50" t="s">
        <v>112</v>
      </c>
      <c r="G105" s="76" t="s">
        <v>2644</v>
      </c>
      <c r="H105" s="50">
        <v>4953</v>
      </c>
      <c r="I105" s="49" t="s">
        <v>1</v>
      </c>
      <c r="J105" s="50" t="s">
        <v>2645</v>
      </c>
      <c r="K105" s="51">
        <v>41201</v>
      </c>
      <c r="L105" s="115">
        <v>41198</v>
      </c>
      <c r="M105" s="50">
        <f t="shared" si="6"/>
        <v>3</v>
      </c>
      <c r="N105" s="50" t="s">
        <v>2</v>
      </c>
      <c r="O105" s="131">
        <v>0.7</v>
      </c>
      <c r="P105" s="117">
        <v>5.18</v>
      </c>
      <c r="Q105" s="131">
        <v>7.27</v>
      </c>
      <c r="R105" s="50">
        <v>82</v>
      </c>
      <c r="S105" s="74">
        <v>89</v>
      </c>
      <c r="T105" s="50">
        <v>1.95</v>
      </c>
      <c r="U105" s="74">
        <v>3.84</v>
      </c>
      <c r="V105" s="50">
        <v>0.74</v>
      </c>
      <c r="W105" s="74">
        <v>1.2E-2</v>
      </c>
      <c r="X105" s="50">
        <v>3.1E-2</v>
      </c>
      <c r="Y105" s="74">
        <v>0.01</v>
      </c>
      <c r="Z105" s="164">
        <v>1</v>
      </c>
      <c r="AA105" s="165">
        <v>1</v>
      </c>
      <c r="AB105" s="50">
        <v>28</v>
      </c>
      <c r="AC105" s="74">
        <v>131</v>
      </c>
      <c r="AD105" s="164">
        <v>1</v>
      </c>
    </row>
    <row r="106" spans="1:47" ht="15" customHeight="1">
      <c r="A106" s="293" t="s">
        <v>68</v>
      </c>
      <c r="B106" s="50" t="s">
        <v>2643</v>
      </c>
      <c r="C106" s="7" t="s">
        <v>392</v>
      </c>
      <c r="D106" s="48" t="s">
        <v>290</v>
      </c>
      <c r="E106" s="50" t="s">
        <v>112</v>
      </c>
      <c r="G106" s="76" t="s">
        <v>2644</v>
      </c>
      <c r="H106" s="50">
        <v>4953</v>
      </c>
      <c r="I106" s="49" t="s">
        <v>1</v>
      </c>
      <c r="J106" s="50" t="s">
        <v>2646</v>
      </c>
      <c r="K106" s="51">
        <v>41201</v>
      </c>
      <c r="L106" s="115">
        <v>41198</v>
      </c>
      <c r="M106" s="50">
        <f t="shared" si="6"/>
        <v>3</v>
      </c>
      <c r="N106" s="50" t="s">
        <v>2</v>
      </c>
      <c r="O106" s="131">
        <v>0.7</v>
      </c>
      <c r="P106" s="117">
        <v>5.18</v>
      </c>
      <c r="Q106" s="131">
        <v>6.78</v>
      </c>
      <c r="R106" s="50">
        <v>5</v>
      </c>
      <c r="S106" s="74">
        <v>2.5</v>
      </c>
      <c r="T106" s="50">
        <v>0.02</v>
      </c>
      <c r="U106" s="74">
        <v>0.31</v>
      </c>
      <c r="V106" s="50">
        <v>0.17</v>
      </c>
      <c r="W106" s="74">
        <v>2.5000000000000001E-3</v>
      </c>
      <c r="X106" s="50">
        <v>8.0000000000000002E-3</v>
      </c>
      <c r="Y106" s="74">
        <v>1E-3</v>
      </c>
      <c r="Z106" s="164">
        <v>1</v>
      </c>
      <c r="AA106" s="165">
        <v>1</v>
      </c>
      <c r="AB106" s="50">
        <v>2</v>
      </c>
      <c r="AC106" s="74">
        <v>18</v>
      </c>
      <c r="AD106" s="164">
        <v>1</v>
      </c>
    </row>
    <row r="107" spans="1:47" ht="15" customHeight="1">
      <c r="A107" s="293" t="s">
        <v>68</v>
      </c>
      <c r="B107" s="50" t="s">
        <v>2643</v>
      </c>
      <c r="C107" s="7" t="s">
        <v>392</v>
      </c>
      <c r="D107" s="48" t="s">
        <v>290</v>
      </c>
      <c r="E107" s="50" t="s">
        <v>112</v>
      </c>
      <c r="G107" s="76" t="s">
        <v>2644</v>
      </c>
      <c r="H107" s="50">
        <v>4953</v>
      </c>
      <c r="I107" s="49" t="s">
        <v>1</v>
      </c>
      <c r="J107" s="50" t="s">
        <v>2924</v>
      </c>
      <c r="K107" s="51">
        <v>41170</v>
      </c>
      <c r="L107" s="115">
        <v>41161</v>
      </c>
      <c r="M107" s="50">
        <f t="shared" si="6"/>
        <v>9</v>
      </c>
      <c r="N107" s="50" t="s">
        <v>2</v>
      </c>
      <c r="O107" s="131">
        <v>0.7</v>
      </c>
      <c r="P107" s="117">
        <v>4.21</v>
      </c>
      <c r="Q107" s="131">
        <v>7.48</v>
      </c>
      <c r="R107" s="50">
        <v>47</v>
      </c>
      <c r="S107" s="74">
        <v>2.5</v>
      </c>
      <c r="T107" s="50">
        <v>0.5</v>
      </c>
      <c r="U107" s="74">
        <v>1.62</v>
      </c>
      <c r="V107" s="50">
        <v>0.02</v>
      </c>
      <c r="W107" s="74">
        <v>6.0000000000000001E-3</v>
      </c>
      <c r="X107" s="50">
        <v>4.0000000000000001E-3</v>
      </c>
      <c r="Y107" s="74">
        <v>1E-3</v>
      </c>
      <c r="AO107" s="114">
        <v>86</v>
      </c>
    </row>
    <row r="108" spans="1:47" ht="15" customHeight="1">
      <c r="A108" s="375" t="s">
        <v>68</v>
      </c>
      <c r="B108" s="50" t="s">
        <v>2982</v>
      </c>
      <c r="C108" s="7" t="s">
        <v>392</v>
      </c>
      <c r="D108" s="48" t="s">
        <v>2983</v>
      </c>
      <c r="E108" s="50" t="s">
        <v>2984</v>
      </c>
      <c r="G108" s="76" t="s">
        <v>3007</v>
      </c>
      <c r="H108" s="50">
        <v>5093</v>
      </c>
      <c r="I108" s="49" t="s">
        <v>2</v>
      </c>
      <c r="J108" s="50" t="s">
        <v>194</v>
      </c>
      <c r="K108" s="51">
        <v>41201</v>
      </c>
      <c r="L108" s="115">
        <v>41197</v>
      </c>
      <c r="M108" s="50">
        <f t="shared" si="6"/>
        <v>4</v>
      </c>
      <c r="N108" s="50" t="s">
        <v>2</v>
      </c>
      <c r="O108" s="74">
        <f>2/2</f>
        <v>1</v>
      </c>
      <c r="P108" s="117">
        <v>7.9</v>
      </c>
      <c r="Q108" s="131">
        <v>7.8</v>
      </c>
      <c r="R108" s="50">
        <v>11</v>
      </c>
      <c r="S108" s="74">
        <v>17</v>
      </c>
      <c r="T108" s="50">
        <v>0.13</v>
      </c>
      <c r="U108" s="74">
        <v>0.77</v>
      </c>
      <c r="V108" s="50">
        <v>0.11</v>
      </c>
      <c r="W108" s="227">
        <f>0.01/2</f>
        <v>5.0000000000000001E-3</v>
      </c>
      <c r="X108" s="226">
        <f>0.03/2</f>
        <v>1.4999999999999999E-2</v>
      </c>
      <c r="Y108" s="226">
        <f>0.03/2</f>
        <v>1.4999999999999999E-2</v>
      </c>
      <c r="Z108" s="164">
        <v>1</v>
      </c>
      <c r="AA108" s="164">
        <v>1</v>
      </c>
      <c r="AB108" s="50">
        <v>12</v>
      </c>
      <c r="AC108" s="74">
        <v>106</v>
      </c>
      <c r="AD108" s="164">
        <v>1</v>
      </c>
      <c r="AE108" s="50">
        <v>2.08</v>
      </c>
      <c r="AF108" s="273"/>
      <c r="AO108" s="296"/>
      <c r="AR108" s="273">
        <f>0.0004/2</f>
        <v>2.0000000000000001E-4</v>
      </c>
      <c r="AS108" s="49">
        <v>1.51</v>
      </c>
      <c r="AT108" s="50">
        <f>500/2</f>
        <v>250</v>
      </c>
      <c r="AU108" s="18">
        <f>10/2</f>
        <v>5</v>
      </c>
    </row>
    <row r="109" spans="1:47" ht="15" customHeight="1">
      <c r="A109" s="375" t="s">
        <v>68</v>
      </c>
      <c r="B109" s="50" t="s">
        <v>2982</v>
      </c>
      <c r="C109" s="7" t="s">
        <v>392</v>
      </c>
      <c r="D109" s="48" t="s">
        <v>2983</v>
      </c>
      <c r="E109" s="50" t="s">
        <v>2984</v>
      </c>
      <c r="G109" s="76" t="s">
        <v>3007</v>
      </c>
      <c r="H109" s="50">
        <v>5093</v>
      </c>
      <c r="I109" s="49" t="s">
        <v>2</v>
      </c>
      <c r="J109" s="50" t="s">
        <v>194</v>
      </c>
      <c r="K109" s="51">
        <v>41030</v>
      </c>
      <c r="L109" s="115">
        <v>41022</v>
      </c>
      <c r="M109" s="50">
        <f t="shared" si="6"/>
        <v>8</v>
      </c>
      <c r="N109" s="50" t="s">
        <v>2</v>
      </c>
      <c r="O109" s="74">
        <f>2/2</f>
        <v>1</v>
      </c>
      <c r="P109" s="117"/>
      <c r="Q109" s="131">
        <v>7.6</v>
      </c>
      <c r="R109" s="50">
        <f>10/2</f>
        <v>5</v>
      </c>
      <c r="S109" s="74">
        <v>53</v>
      </c>
      <c r="T109" s="50">
        <v>0.13</v>
      </c>
      <c r="U109" s="74">
        <v>0.54</v>
      </c>
      <c r="V109" s="50">
        <v>0.22</v>
      </c>
      <c r="W109" s="227">
        <v>0.01</v>
      </c>
      <c r="X109" s="226">
        <v>3.5999999999999997E-2</v>
      </c>
      <c r="Y109" s="226">
        <f>0.03/2</f>
        <v>1.4999999999999999E-2</v>
      </c>
      <c r="AE109" s="50">
        <v>4.72</v>
      </c>
      <c r="AF109" s="273"/>
      <c r="AO109" s="296"/>
      <c r="AR109" s="273">
        <f>0.0004/2</f>
        <v>2.0000000000000001E-4</v>
      </c>
      <c r="AS109" s="49">
        <v>2.99</v>
      </c>
      <c r="AT109" s="50">
        <f>500/2</f>
        <v>250</v>
      </c>
      <c r="AU109" s="18">
        <f>10/2</f>
        <v>5</v>
      </c>
    </row>
    <row r="110" spans="1:47" ht="15" customHeight="1">
      <c r="A110" s="404" t="s">
        <v>68</v>
      </c>
      <c r="B110" s="50" t="s">
        <v>3008</v>
      </c>
      <c r="C110" s="7" t="s">
        <v>392</v>
      </c>
      <c r="D110" s="48" t="s">
        <v>1633</v>
      </c>
      <c r="E110" s="50" t="s">
        <v>3009</v>
      </c>
      <c r="G110" s="76" t="s">
        <v>3010</v>
      </c>
      <c r="H110" s="50">
        <v>5093</v>
      </c>
      <c r="I110" s="49" t="s">
        <v>2</v>
      </c>
      <c r="J110" s="50" t="s">
        <v>194</v>
      </c>
      <c r="K110" s="51">
        <v>41030</v>
      </c>
      <c r="L110" s="115">
        <v>41022</v>
      </c>
      <c r="M110" s="50">
        <f t="shared" si="6"/>
        <v>8</v>
      </c>
      <c r="N110" s="50" t="s">
        <v>2</v>
      </c>
      <c r="O110" s="74">
        <v>2.8</v>
      </c>
      <c r="P110" s="117"/>
      <c r="Q110" s="131">
        <v>7.3</v>
      </c>
      <c r="R110" s="50">
        <v>35</v>
      </c>
      <c r="S110" s="74">
        <v>44</v>
      </c>
      <c r="T110" s="50">
        <v>0.13</v>
      </c>
      <c r="U110" s="74">
        <v>1.03</v>
      </c>
      <c r="V110" s="50">
        <v>0.2</v>
      </c>
      <c r="W110" s="227">
        <v>1.0999999999999999E-2</v>
      </c>
      <c r="X110" s="226">
        <v>5.0999999999999997E-2</v>
      </c>
      <c r="Y110" s="226">
        <f>0.03/2</f>
        <v>1.4999999999999999E-2</v>
      </c>
      <c r="AE110" s="50">
        <v>1.34</v>
      </c>
      <c r="AF110" s="273"/>
      <c r="AO110" s="296"/>
      <c r="AR110" s="273">
        <f>0.0004/2</f>
        <v>2.0000000000000001E-4</v>
      </c>
      <c r="AS110" s="49">
        <v>0.65</v>
      </c>
      <c r="AT110" s="50">
        <f>500/2</f>
        <v>250</v>
      </c>
      <c r="AU110" s="18">
        <f>10/2</f>
        <v>5</v>
      </c>
    </row>
    <row r="111" spans="1:47" ht="15" customHeight="1">
      <c r="A111" s="293" t="s">
        <v>68</v>
      </c>
      <c r="B111" s="50" t="s">
        <v>3106</v>
      </c>
      <c r="C111" s="7" t="s">
        <v>3107</v>
      </c>
      <c r="D111" s="48" t="s">
        <v>1830</v>
      </c>
      <c r="E111" s="50" t="s">
        <v>3108</v>
      </c>
      <c r="F111" s="85"/>
      <c r="G111" s="76" t="s">
        <v>3109</v>
      </c>
      <c r="H111" s="50">
        <v>4953</v>
      </c>
      <c r="I111" s="49" t="s">
        <v>2</v>
      </c>
      <c r="J111" s="50" t="s">
        <v>1503</v>
      </c>
      <c r="K111" s="51">
        <v>41021</v>
      </c>
      <c r="L111" s="115">
        <v>41000</v>
      </c>
      <c r="M111" s="50">
        <f t="shared" si="6"/>
        <v>21</v>
      </c>
      <c r="N111" s="50" t="s">
        <v>2</v>
      </c>
      <c r="O111" s="74">
        <f>5/2</f>
        <v>2.5</v>
      </c>
      <c r="P111" s="50">
        <v>7.82</v>
      </c>
      <c r="Q111" s="74">
        <v>6.74</v>
      </c>
      <c r="R111" s="50">
        <v>440</v>
      </c>
      <c r="S111" s="74">
        <v>480</v>
      </c>
      <c r="T111" s="50">
        <v>2</v>
      </c>
      <c r="U111" s="74">
        <v>4.5999999999999996</v>
      </c>
      <c r="V111" s="50">
        <v>0.13</v>
      </c>
      <c r="W111" s="74">
        <v>7.0000000000000007E-2</v>
      </c>
      <c r="X111" s="50">
        <v>0.32</v>
      </c>
      <c r="Y111" s="74">
        <v>2.8000000000000001E-2</v>
      </c>
      <c r="Z111" s="164">
        <v>1</v>
      </c>
      <c r="AA111" s="165">
        <v>0.186</v>
      </c>
    </row>
    <row r="112" spans="1:47" ht="15" customHeight="1">
      <c r="A112" s="293" t="s">
        <v>68</v>
      </c>
      <c r="B112" s="50" t="s">
        <v>2358</v>
      </c>
      <c r="C112" s="7" t="s">
        <v>2359</v>
      </c>
      <c r="D112" s="48" t="s">
        <v>111</v>
      </c>
      <c r="E112" s="50" t="s">
        <v>2889</v>
      </c>
      <c r="F112" s="85">
        <v>5200</v>
      </c>
      <c r="G112" s="76" t="s">
        <v>2360</v>
      </c>
      <c r="H112" s="50">
        <v>4953</v>
      </c>
      <c r="I112" s="49" t="s">
        <v>2</v>
      </c>
      <c r="J112" s="50" t="s">
        <v>2361</v>
      </c>
      <c r="K112" s="51">
        <v>41260</v>
      </c>
      <c r="L112" s="115">
        <v>41253</v>
      </c>
      <c r="M112" s="50">
        <f t="shared" si="6"/>
        <v>7</v>
      </c>
      <c r="N112" s="50" t="s">
        <v>2</v>
      </c>
      <c r="O112" s="74">
        <v>4.0999999999999996</v>
      </c>
      <c r="P112" s="50">
        <v>5.8</v>
      </c>
      <c r="Q112" s="74">
        <v>7.4</v>
      </c>
      <c r="R112" s="50">
        <v>110</v>
      </c>
      <c r="S112" s="74">
        <v>57</v>
      </c>
      <c r="T112" s="50">
        <v>0.5</v>
      </c>
      <c r="U112" s="74">
        <v>1.5</v>
      </c>
      <c r="V112" s="50">
        <v>0.2</v>
      </c>
      <c r="W112" s="74">
        <v>0.05</v>
      </c>
      <c r="X112" s="50">
        <v>0.10299999999999999</v>
      </c>
      <c r="Y112" s="74">
        <v>5.2999999999999999E-2</v>
      </c>
      <c r="Z112" s="164">
        <v>0.17699999999999999</v>
      </c>
      <c r="AA112" s="165">
        <v>0.14399999999999999</v>
      </c>
      <c r="AB112" s="50">
        <v>16</v>
      </c>
      <c r="AC112" s="74">
        <v>167</v>
      </c>
      <c r="AD112" s="164">
        <v>0</v>
      </c>
      <c r="AE112" s="50">
        <v>9.7899999999999991</v>
      </c>
    </row>
    <row r="113" spans="1:51" s="32" customFormat="1" ht="15" customHeight="1">
      <c r="A113" s="293" t="s">
        <v>68</v>
      </c>
      <c r="B113" s="50" t="s">
        <v>3123</v>
      </c>
      <c r="C113" s="7" t="s">
        <v>3285</v>
      </c>
      <c r="D113" s="48" t="s">
        <v>3125</v>
      </c>
      <c r="E113" s="50" t="s">
        <v>3128</v>
      </c>
      <c r="F113" s="50" t="s">
        <v>2667</v>
      </c>
      <c r="G113" s="76" t="s">
        <v>3129</v>
      </c>
      <c r="H113" s="50">
        <v>5093</v>
      </c>
      <c r="I113" s="49" t="s">
        <v>2</v>
      </c>
      <c r="J113" s="50" t="s">
        <v>194</v>
      </c>
      <c r="K113" s="51">
        <v>41116</v>
      </c>
      <c r="L113" s="115">
        <v>41113</v>
      </c>
      <c r="M113" s="50">
        <f t="shared" ref="M113:M122" si="7">K113-L113</f>
        <v>3</v>
      </c>
      <c r="N113" s="50" t="s">
        <v>2</v>
      </c>
      <c r="O113" s="74">
        <v>1</v>
      </c>
      <c r="P113" s="117"/>
      <c r="Q113" s="131">
        <v>6.8</v>
      </c>
      <c r="R113" s="50">
        <v>34</v>
      </c>
      <c r="S113" s="74">
        <v>98</v>
      </c>
      <c r="T113" s="50">
        <v>0.45</v>
      </c>
      <c r="U113" s="74">
        <v>1.38</v>
      </c>
      <c r="V113" s="50">
        <v>0.26</v>
      </c>
      <c r="W113" s="227">
        <v>1.2E-2</v>
      </c>
      <c r="X113" s="226">
        <v>1.4999999999999999E-2</v>
      </c>
      <c r="Y113" s="226">
        <v>1.4999999999999999E-2</v>
      </c>
      <c r="Z113" s="164"/>
      <c r="AA113" s="165"/>
      <c r="AB113" s="50"/>
      <c r="AC113" s="74"/>
      <c r="AD113" s="164"/>
      <c r="AE113" s="50"/>
      <c r="AF113" s="273"/>
      <c r="AG113" s="50"/>
      <c r="AH113" s="50"/>
      <c r="AI113" s="50"/>
      <c r="AJ113" s="50"/>
      <c r="AK113" s="50"/>
      <c r="AL113" s="50"/>
      <c r="AM113" s="50"/>
      <c r="AN113" s="114"/>
      <c r="AO113" s="114"/>
      <c r="AP113" s="50"/>
      <c r="AQ113" s="49"/>
      <c r="AR113" s="273"/>
      <c r="AS113" s="49"/>
      <c r="AT113" s="50">
        <f>500/2</f>
        <v>250</v>
      </c>
      <c r="AU113" s="18">
        <f>10/2</f>
        <v>5</v>
      </c>
      <c r="AV113" s="33"/>
      <c r="AW113" s="30"/>
      <c r="AY113" s="30"/>
    </row>
    <row r="114" spans="1:51" s="32" customFormat="1" ht="15" customHeight="1">
      <c r="A114" s="293" t="s">
        <v>68</v>
      </c>
      <c r="B114" s="50" t="s">
        <v>3123</v>
      </c>
      <c r="C114" s="7" t="s">
        <v>3285</v>
      </c>
      <c r="D114" s="48" t="s">
        <v>3125</v>
      </c>
      <c r="E114" s="50" t="s">
        <v>3128</v>
      </c>
      <c r="F114" s="50" t="s">
        <v>2667</v>
      </c>
      <c r="G114" s="76" t="s">
        <v>3129</v>
      </c>
      <c r="H114" s="50">
        <v>5093</v>
      </c>
      <c r="I114" s="49" t="s">
        <v>2</v>
      </c>
      <c r="J114" s="50" t="s">
        <v>569</v>
      </c>
      <c r="K114" s="51">
        <v>41116</v>
      </c>
      <c r="L114" s="115">
        <v>41113</v>
      </c>
      <c r="M114" s="50">
        <f t="shared" si="7"/>
        <v>3</v>
      </c>
      <c r="N114" s="50" t="s">
        <v>2</v>
      </c>
      <c r="O114" s="74">
        <v>5.4</v>
      </c>
      <c r="P114" s="117"/>
      <c r="Q114" s="131">
        <v>7.2</v>
      </c>
      <c r="R114" s="50">
        <v>146</v>
      </c>
      <c r="S114" s="74">
        <v>207</v>
      </c>
      <c r="T114" s="50">
        <v>0.35</v>
      </c>
      <c r="U114" s="74">
        <v>4.47</v>
      </c>
      <c r="V114" s="50">
        <v>0.11</v>
      </c>
      <c r="W114" s="227">
        <v>3.9E-2</v>
      </c>
      <c r="X114" s="226">
        <v>0.23599999999999999</v>
      </c>
      <c r="Y114" s="226">
        <v>1.4999999999999999E-2</v>
      </c>
      <c r="Z114" s="164"/>
      <c r="AA114" s="165"/>
      <c r="AB114" s="50"/>
      <c r="AC114" s="74"/>
      <c r="AD114" s="164"/>
      <c r="AE114" s="50"/>
      <c r="AF114" s="273"/>
      <c r="AG114" s="50"/>
      <c r="AH114" s="50"/>
      <c r="AI114" s="50"/>
      <c r="AJ114" s="50"/>
      <c r="AK114" s="50"/>
      <c r="AL114" s="50"/>
      <c r="AM114" s="50"/>
      <c r="AN114" s="114"/>
      <c r="AO114" s="114"/>
      <c r="AP114" s="50"/>
      <c r="AQ114" s="49"/>
      <c r="AR114" s="273"/>
      <c r="AS114" s="49"/>
      <c r="AT114" s="50">
        <f>500/2</f>
        <v>250</v>
      </c>
      <c r="AU114" s="18">
        <f>10/2</f>
        <v>5</v>
      </c>
      <c r="AV114" s="33"/>
      <c r="AW114" s="30"/>
      <c r="AY114" s="30"/>
    </row>
    <row r="115" spans="1:51" s="32" customFormat="1" ht="15" customHeight="1">
      <c r="A115" s="293" t="s">
        <v>68</v>
      </c>
      <c r="B115" s="50" t="s">
        <v>3008</v>
      </c>
      <c r="C115" s="7" t="s">
        <v>3285</v>
      </c>
      <c r="D115" s="48" t="s">
        <v>1633</v>
      </c>
      <c r="E115" s="50" t="s">
        <v>3009</v>
      </c>
      <c r="F115" s="50" t="s">
        <v>2667</v>
      </c>
      <c r="G115" s="76" t="s">
        <v>3010</v>
      </c>
      <c r="H115" s="50">
        <v>5093</v>
      </c>
      <c r="I115" s="49" t="s">
        <v>2</v>
      </c>
      <c r="J115" s="50" t="s">
        <v>194</v>
      </c>
      <c r="K115" s="51">
        <v>41264</v>
      </c>
      <c r="L115" s="115">
        <v>41261</v>
      </c>
      <c r="M115" s="50">
        <f t="shared" si="7"/>
        <v>3</v>
      </c>
      <c r="N115" s="50" t="s">
        <v>2</v>
      </c>
      <c r="O115" s="74">
        <v>15.3</v>
      </c>
      <c r="P115" s="117">
        <v>7.6</v>
      </c>
      <c r="Q115" s="131">
        <v>7.3</v>
      </c>
      <c r="R115" s="50">
        <v>126</v>
      </c>
      <c r="S115" s="74">
        <v>95</v>
      </c>
      <c r="T115" s="50">
        <v>0.22</v>
      </c>
      <c r="U115" s="74">
        <v>1.02</v>
      </c>
      <c r="V115" s="50">
        <v>0.17</v>
      </c>
      <c r="W115" s="227">
        <v>1.4E-2</v>
      </c>
      <c r="X115" s="226">
        <v>7.8E-2</v>
      </c>
      <c r="Y115" s="226">
        <v>1.4999999999999999E-2</v>
      </c>
      <c r="Z115" s="164">
        <v>1</v>
      </c>
      <c r="AA115" s="165">
        <v>1</v>
      </c>
      <c r="AB115" s="50">
        <v>19</v>
      </c>
      <c r="AC115" s="74">
        <v>33</v>
      </c>
      <c r="AD115" s="164"/>
      <c r="AE115" s="50">
        <v>2.13</v>
      </c>
      <c r="AF115" s="273"/>
      <c r="AG115" s="50"/>
      <c r="AH115" s="50"/>
      <c r="AI115" s="50"/>
      <c r="AJ115" s="50"/>
      <c r="AK115" s="50"/>
      <c r="AL115" s="50"/>
      <c r="AM115" s="50"/>
      <c r="AN115" s="114"/>
      <c r="AO115" s="114"/>
      <c r="AP115" s="50"/>
      <c r="AQ115" s="49"/>
      <c r="AR115" s="273">
        <f>0.0004/2</f>
        <v>2.0000000000000001E-4</v>
      </c>
      <c r="AS115" s="49">
        <v>1.1499999999999999</v>
      </c>
      <c r="AT115" s="402">
        <f>2.5/2</f>
        <v>1.25</v>
      </c>
      <c r="AU115" s="18">
        <f>10/2</f>
        <v>5</v>
      </c>
      <c r="AV115" s="33"/>
      <c r="AW115" s="30"/>
      <c r="AY115" s="30"/>
    </row>
    <row r="116" spans="1:51" s="32" customFormat="1" ht="15" customHeight="1">
      <c r="A116" s="293" t="s">
        <v>68</v>
      </c>
      <c r="B116" s="50" t="s">
        <v>1692</v>
      </c>
      <c r="C116" s="7" t="s">
        <v>3150</v>
      </c>
      <c r="D116" s="48" t="s">
        <v>276</v>
      </c>
      <c r="E116" s="50" t="s">
        <v>3151</v>
      </c>
      <c r="F116" s="50" t="s">
        <v>2667</v>
      </c>
      <c r="G116" s="76" t="s">
        <v>3152</v>
      </c>
      <c r="H116" s="50">
        <v>5093</v>
      </c>
      <c r="I116" s="49" t="s">
        <v>2</v>
      </c>
      <c r="J116" s="50" t="s">
        <v>194</v>
      </c>
      <c r="K116" s="51">
        <v>41264</v>
      </c>
      <c r="L116" s="115">
        <v>41261</v>
      </c>
      <c r="M116" s="50">
        <f t="shared" si="7"/>
        <v>3</v>
      </c>
      <c r="N116" s="50" t="s">
        <v>2</v>
      </c>
      <c r="O116" s="74"/>
      <c r="P116" s="117"/>
      <c r="Q116" s="131"/>
      <c r="R116" s="50"/>
      <c r="S116" s="74"/>
      <c r="T116" s="50"/>
      <c r="U116" s="74"/>
      <c r="V116" s="50"/>
      <c r="W116" s="227"/>
      <c r="X116" s="226"/>
      <c r="Y116" s="226"/>
      <c r="Z116" s="164"/>
      <c r="AA116" s="165"/>
      <c r="AB116" s="50"/>
      <c r="AC116" s="74"/>
      <c r="AD116" s="164"/>
      <c r="AE116" s="50">
        <v>11</v>
      </c>
      <c r="AF116" s="273"/>
      <c r="AG116" s="50"/>
      <c r="AH116" s="50"/>
      <c r="AI116" s="50"/>
      <c r="AJ116" s="50"/>
      <c r="AK116" s="50"/>
      <c r="AL116" s="50"/>
      <c r="AM116" s="50"/>
      <c r="AN116" s="114"/>
      <c r="AO116" s="114"/>
      <c r="AP116" s="50"/>
      <c r="AQ116" s="49"/>
      <c r="AR116" s="273"/>
      <c r="AS116" s="49">
        <v>7.59</v>
      </c>
      <c r="AT116" s="50"/>
      <c r="AU116" s="18"/>
      <c r="AV116" s="33"/>
      <c r="AW116" s="30"/>
      <c r="AY116" s="30"/>
    </row>
    <row r="117" spans="1:51" s="32" customFormat="1" ht="15" customHeight="1">
      <c r="A117" s="293" t="s">
        <v>68</v>
      </c>
      <c r="B117" s="50" t="s">
        <v>1692</v>
      </c>
      <c r="C117" s="7" t="s">
        <v>3150</v>
      </c>
      <c r="D117" s="48" t="s">
        <v>276</v>
      </c>
      <c r="E117" s="50" t="s">
        <v>3151</v>
      </c>
      <c r="F117" s="50" t="s">
        <v>2667</v>
      </c>
      <c r="G117" s="76" t="s">
        <v>3152</v>
      </c>
      <c r="H117" s="50">
        <v>5093</v>
      </c>
      <c r="I117" s="49" t="s">
        <v>2</v>
      </c>
      <c r="J117" s="50" t="s">
        <v>569</v>
      </c>
      <c r="K117" s="51">
        <v>41264</v>
      </c>
      <c r="L117" s="115">
        <v>41261</v>
      </c>
      <c r="M117" s="50">
        <f t="shared" si="7"/>
        <v>3</v>
      </c>
      <c r="N117" s="50" t="s">
        <v>2</v>
      </c>
      <c r="O117" s="74"/>
      <c r="P117" s="117"/>
      <c r="Q117" s="131"/>
      <c r="R117" s="50"/>
      <c r="S117" s="74"/>
      <c r="T117" s="50"/>
      <c r="U117" s="74"/>
      <c r="V117" s="50"/>
      <c r="W117" s="227"/>
      <c r="X117" s="226"/>
      <c r="Y117" s="226"/>
      <c r="Z117" s="164"/>
      <c r="AA117" s="165"/>
      <c r="AB117" s="50"/>
      <c r="AC117" s="74"/>
      <c r="AD117" s="164"/>
      <c r="AE117" s="50">
        <v>3.98</v>
      </c>
      <c r="AF117" s="273"/>
      <c r="AG117" s="50"/>
      <c r="AH117" s="50"/>
      <c r="AI117" s="50"/>
      <c r="AJ117" s="50"/>
      <c r="AK117" s="50"/>
      <c r="AL117" s="50"/>
      <c r="AM117" s="50"/>
      <c r="AN117" s="114"/>
      <c r="AO117" s="114"/>
      <c r="AP117" s="50"/>
      <c r="AQ117" s="49"/>
      <c r="AR117" s="273">
        <v>4.0000000000000002E-4</v>
      </c>
      <c r="AS117" s="49">
        <v>2.82</v>
      </c>
      <c r="AT117" s="50"/>
      <c r="AU117" s="18"/>
      <c r="AV117" s="33"/>
      <c r="AW117" s="30"/>
      <c r="AY117" s="30"/>
    </row>
    <row r="118" spans="1:51" s="32" customFormat="1" ht="15" customHeight="1">
      <c r="A118" s="293" t="s">
        <v>68</v>
      </c>
      <c r="B118" s="50" t="s">
        <v>1692</v>
      </c>
      <c r="C118" s="7" t="s">
        <v>392</v>
      </c>
      <c r="D118" s="48" t="s">
        <v>276</v>
      </c>
      <c r="E118" s="50" t="s">
        <v>3151</v>
      </c>
      <c r="F118" s="50" t="s">
        <v>2667</v>
      </c>
      <c r="G118" s="76" t="s">
        <v>3152</v>
      </c>
      <c r="H118" s="50">
        <v>5093</v>
      </c>
      <c r="I118" s="49" t="s">
        <v>2</v>
      </c>
      <c r="J118" s="50" t="s">
        <v>194</v>
      </c>
      <c r="K118" s="51">
        <v>41201</v>
      </c>
      <c r="L118" s="115">
        <v>41197</v>
      </c>
      <c r="M118" s="50">
        <f t="shared" si="7"/>
        <v>4</v>
      </c>
      <c r="N118" s="50" t="s">
        <v>2</v>
      </c>
      <c r="O118" s="74">
        <v>1</v>
      </c>
      <c r="P118" s="117">
        <v>6.7</v>
      </c>
      <c r="Q118" s="131">
        <v>6.5</v>
      </c>
      <c r="R118" s="50">
        <v>5</v>
      </c>
      <c r="S118" s="74">
        <v>13</v>
      </c>
      <c r="T118" s="50">
        <v>2.5000000000000001E-2</v>
      </c>
      <c r="U118" s="74">
        <v>0.33</v>
      </c>
      <c r="V118" s="50">
        <v>0.05</v>
      </c>
      <c r="W118" s="227">
        <v>5.0000000000000001E-3</v>
      </c>
      <c r="X118" s="226">
        <v>1.4999999999999999E-2</v>
      </c>
      <c r="Y118" s="226">
        <v>1.4999999999999999E-2</v>
      </c>
      <c r="Z118" s="164">
        <v>1</v>
      </c>
      <c r="AA118" s="165">
        <v>1</v>
      </c>
      <c r="AB118" s="50">
        <v>1</v>
      </c>
      <c r="AC118" s="74">
        <v>16</v>
      </c>
      <c r="AD118" s="164"/>
      <c r="AE118" s="50">
        <v>0.31</v>
      </c>
      <c r="AF118" s="273"/>
      <c r="AG118" s="50"/>
      <c r="AH118" s="50"/>
      <c r="AI118" s="50"/>
      <c r="AJ118" s="50"/>
      <c r="AK118" s="50"/>
      <c r="AL118" s="50"/>
      <c r="AM118" s="50"/>
      <c r="AN118" s="114"/>
      <c r="AO118" s="114"/>
      <c r="AP118" s="50"/>
      <c r="AQ118" s="49"/>
      <c r="AR118" s="273">
        <v>2.0000000000000001E-4</v>
      </c>
      <c r="AS118" s="49">
        <v>0.26</v>
      </c>
      <c r="AT118" s="50">
        <f>500/2</f>
        <v>250</v>
      </c>
      <c r="AU118" s="18">
        <f>10/2</f>
        <v>5</v>
      </c>
      <c r="AV118" s="33"/>
      <c r="AW118" s="30"/>
      <c r="AY118" s="30"/>
    </row>
    <row r="119" spans="1:51" s="32" customFormat="1" ht="15" customHeight="1">
      <c r="A119" s="293" t="s">
        <v>68</v>
      </c>
      <c r="B119" s="50" t="s">
        <v>1692</v>
      </c>
      <c r="C119" s="7" t="s">
        <v>392</v>
      </c>
      <c r="D119" s="48" t="s">
        <v>276</v>
      </c>
      <c r="E119" s="50" t="s">
        <v>3151</v>
      </c>
      <c r="F119" s="50" t="s">
        <v>2667</v>
      </c>
      <c r="G119" s="76" t="s">
        <v>3152</v>
      </c>
      <c r="H119" s="50">
        <v>5093</v>
      </c>
      <c r="I119" s="49" t="s">
        <v>2</v>
      </c>
      <c r="J119" s="50" t="s">
        <v>569</v>
      </c>
      <c r="K119" s="51">
        <v>41201</v>
      </c>
      <c r="L119" s="115">
        <v>41197</v>
      </c>
      <c r="M119" s="50">
        <f t="shared" si="7"/>
        <v>4</v>
      </c>
      <c r="N119" s="50" t="s">
        <v>2</v>
      </c>
      <c r="O119" s="74">
        <v>1</v>
      </c>
      <c r="P119" s="117">
        <v>6.7</v>
      </c>
      <c r="Q119" s="131">
        <v>6.5</v>
      </c>
      <c r="R119" s="50">
        <v>5</v>
      </c>
      <c r="S119" s="74">
        <v>11</v>
      </c>
      <c r="T119" s="50">
        <v>2.5000000000000001E-2</v>
      </c>
      <c r="U119" s="74">
        <v>0.31</v>
      </c>
      <c r="V119" s="50">
        <v>0.05</v>
      </c>
      <c r="W119" s="227">
        <v>5.0000000000000001E-3</v>
      </c>
      <c r="X119" s="226">
        <v>1.4999999999999999E-2</v>
      </c>
      <c r="Y119" s="226">
        <v>1.4999999999999999E-2</v>
      </c>
      <c r="Z119" s="164">
        <v>1</v>
      </c>
      <c r="AA119" s="165">
        <v>1</v>
      </c>
      <c r="AB119" s="50">
        <v>1</v>
      </c>
      <c r="AC119" s="74">
        <v>18</v>
      </c>
      <c r="AD119" s="164"/>
      <c r="AE119" s="50">
        <v>0.43</v>
      </c>
      <c r="AF119" s="273"/>
      <c r="AG119" s="50"/>
      <c r="AH119" s="50"/>
      <c r="AI119" s="50"/>
      <c r="AJ119" s="50"/>
      <c r="AK119" s="50"/>
      <c r="AL119" s="50"/>
      <c r="AM119" s="50"/>
      <c r="AN119" s="114"/>
      <c r="AO119" s="114"/>
      <c r="AP119" s="50"/>
      <c r="AQ119" s="49"/>
      <c r="AR119" s="273">
        <v>2.0000000000000001E-4</v>
      </c>
      <c r="AS119" s="49">
        <v>0.32</v>
      </c>
      <c r="AT119" s="50">
        <f>500/2</f>
        <v>250</v>
      </c>
      <c r="AU119" s="18">
        <f>10/2</f>
        <v>5</v>
      </c>
      <c r="AV119" s="33"/>
      <c r="AW119" s="30"/>
      <c r="AY119" s="30"/>
    </row>
    <row r="120" spans="1:51" s="32" customFormat="1" ht="15" customHeight="1">
      <c r="A120" s="293" t="s">
        <v>68</v>
      </c>
      <c r="B120" s="50" t="s">
        <v>1692</v>
      </c>
      <c r="C120" s="7" t="s">
        <v>392</v>
      </c>
      <c r="D120" s="48" t="s">
        <v>276</v>
      </c>
      <c r="E120" s="50" t="s">
        <v>3151</v>
      </c>
      <c r="F120" s="50" t="s">
        <v>2667</v>
      </c>
      <c r="G120" s="76" t="s">
        <v>3152</v>
      </c>
      <c r="H120" s="50">
        <v>5093</v>
      </c>
      <c r="I120" s="49" t="s">
        <v>2</v>
      </c>
      <c r="J120" s="50" t="s">
        <v>194</v>
      </c>
      <c r="K120" s="51">
        <v>41131</v>
      </c>
      <c r="L120" s="115">
        <v>41122</v>
      </c>
      <c r="M120" s="50">
        <f t="shared" si="7"/>
        <v>9</v>
      </c>
      <c r="N120" s="50" t="s">
        <v>2</v>
      </c>
      <c r="O120" s="74">
        <v>87</v>
      </c>
      <c r="P120" s="117"/>
      <c r="Q120" s="131">
        <v>6.5</v>
      </c>
      <c r="R120" s="50">
        <v>105</v>
      </c>
      <c r="S120" s="74">
        <v>980</v>
      </c>
      <c r="T120" s="50">
        <v>0.32</v>
      </c>
      <c r="U120" s="74">
        <v>2.76</v>
      </c>
      <c r="V120" s="50">
        <v>0.4</v>
      </c>
      <c r="W120" s="227">
        <v>0.04</v>
      </c>
      <c r="X120" s="226">
        <v>0.13900000000000001</v>
      </c>
      <c r="Y120" s="226">
        <v>1.4999999999999999E-2</v>
      </c>
      <c r="Z120" s="164"/>
      <c r="AA120" s="165"/>
      <c r="AB120" s="50"/>
      <c r="AC120" s="74"/>
      <c r="AD120" s="164"/>
      <c r="AE120" s="50">
        <v>8.65</v>
      </c>
      <c r="AF120" s="273"/>
      <c r="AG120" s="50"/>
      <c r="AH120" s="50"/>
      <c r="AI120" s="50"/>
      <c r="AJ120" s="50"/>
      <c r="AK120" s="50"/>
      <c r="AL120" s="50"/>
      <c r="AM120" s="50"/>
      <c r="AN120" s="114"/>
      <c r="AO120" s="114"/>
      <c r="AP120" s="50"/>
      <c r="AQ120" s="49"/>
      <c r="AR120" s="273">
        <v>2.0000000000000001E-4</v>
      </c>
      <c r="AS120" s="49">
        <v>5.68</v>
      </c>
      <c r="AT120" s="50">
        <f>500/2</f>
        <v>250</v>
      </c>
      <c r="AU120" s="18">
        <f>10/2</f>
        <v>5</v>
      </c>
      <c r="AV120" s="33"/>
      <c r="AW120" s="30"/>
      <c r="AY120" s="30"/>
    </row>
    <row r="121" spans="1:51" s="32" customFormat="1" ht="15" customHeight="1">
      <c r="A121" s="293" t="s">
        <v>68</v>
      </c>
      <c r="B121" s="50" t="s">
        <v>1692</v>
      </c>
      <c r="C121" s="7" t="s">
        <v>392</v>
      </c>
      <c r="D121" s="48" t="s">
        <v>276</v>
      </c>
      <c r="E121" s="50" t="s">
        <v>3151</v>
      </c>
      <c r="F121" s="50" t="s">
        <v>2667</v>
      </c>
      <c r="G121" s="76" t="s">
        <v>3152</v>
      </c>
      <c r="H121" s="50">
        <v>5093</v>
      </c>
      <c r="I121" s="49" t="s">
        <v>2</v>
      </c>
      <c r="J121" s="50" t="s">
        <v>569</v>
      </c>
      <c r="K121" s="51">
        <v>41131</v>
      </c>
      <c r="L121" s="115">
        <v>41122</v>
      </c>
      <c r="M121" s="50">
        <f t="shared" si="7"/>
        <v>9</v>
      </c>
      <c r="N121" s="50" t="s">
        <v>2</v>
      </c>
      <c r="O121" s="74">
        <v>29</v>
      </c>
      <c r="P121" s="117"/>
      <c r="Q121" s="131">
        <v>6.4</v>
      </c>
      <c r="R121" s="50">
        <v>84</v>
      </c>
      <c r="S121" s="74">
        <v>106</v>
      </c>
      <c r="T121" s="50">
        <v>0.26</v>
      </c>
      <c r="U121" s="74">
        <v>2.12</v>
      </c>
      <c r="V121" s="50">
        <v>0.34</v>
      </c>
      <c r="W121" s="227">
        <v>1.9E-2</v>
      </c>
      <c r="X121" s="226">
        <v>6.0999999999999999E-2</v>
      </c>
      <c r="Y121" s="226">
        <v>1.4999999999999999E-2</v>
      </c>
      <c r="Z121" s="164"/>
      <c r="AA121" s="165"/>
      <c r="AB121" s="50"/>
      <c r="AC121" s="74"/>
      <c r="AD121" s="164"/>
      <c r="AE121" s="50">
        <v>3.69</v>
      </c>
      <c r="AF121" s="273"/>
      <c r="AG121" s="50"/>
      <c r="AH121" s="50"/>
      <c r="AI121" s="50"/>
      <c r="AJ121" s="50"/>
      <c r="AK121" s="50"/>
      <c r="AL121" s="50"/>
      <c r="AM121" s="50"/>
      <c r="AN121" s="114"/>
      <c r="AO121" s="114"/>
      <c r="AP121" s="50"/>
      <c r="AQ121" s="49"/>
      <c r="AR121" s="273">
        <v>2.0000000000000001E-4</v>
      </c>
      <c r="AS121" s="49">
        <v>2.2599999999999998</v>
      </c>
      <c r="AT121" s="50">
        <f>500/2</f>
        <v>250</v>
      </c>
      <c r="AU121" s="18">
        <f>10/2</f>
        <v>5</v>
      </c>
      <c r="AV121" s="33"/>
      <c r="AW121" s="30"/>
      <c r="AY121" s="30"/>
    </row>
    <row r="122" spans="1:51" s="32" customFormat="1" ht="15" customHeight="1">
      <c r="A122" s="293" t="s">
        <v>68</v>
      </c>
      <c r="B122" s="50" t="s">
        <v>2358</v>
      </c>
      <c r="C122" s="7" t="s">
        <v>388</v>
      </c>
      <c r="D122" s="48" t="s">
        <v>111</v>
      </c>
      <c r="E122" s="50" t="s">
        <v>2889</v>
      </c>
      <c r="F122" s="50">
        <v>5200</v>
      </c>
      <c r="G122" s="76" t="s">
        <v>2360</v>
      </c>
      <c r="H122" s="50">
        <v>4953</v>
      </c>
      <c r="I122" s="49" t="s">
        <v>2</v>
      </c>
      <c r="J122" s="50" t="s">
        <v>2361</v>
      </c>
      <c r="K122" s="51">
        <v>40996</v>
      </c>
      <c r="L122" s="115">
        <v>40993</v>
      </c>
      <c r="M122" s="50">
        <f t="shared" si="7"/>
        <v>3</v>
      </c>
      <c r="N122" s="50" t="s">
        <v>2</v>
      </c>
      <c r="O122" s="74"/>
      <c r="P122" s="117"/>
      <c r="Q122" s="131"/>
      <c r="R122" s="50"/>
      <c r="S122" s="74"/>
      <c r="T122" s="50"/>
      <c r="U122" s="74"/>
      <c r="V122" s="50"/>
      <c r="W122" s="227"/>
      <c r="X122" s="226"/>
      <c r="Y122" s="226"/>
      <c r="Z122" s="164"/>
      <c r="AA122" s="165"/>
      <c r="AB122" s="50"/>
      <c r="AC122" s="74"/>
      <c r="AD122" s="164"/>
      <c r="AE122" s="50">
        <v>10.3</v>
      </c>
      <c r="AF122" s="273"/>
      <c r="AG122" s="50"/>
      <c r="AH122" s="50"/>
      <c r="AI122" s="50"/>
      <c r="AJ122" s="50"/>
      <c r="AK122" s="50"/>
      <c r="AL122" s="50"/>
      <c r="AM122" s="50"/>
      <c r="AN122" s="114"/>
      <c r="AO122" s="114"/>
      <c r="AP122" s="50"/>
      <c r="AQ122" s="49"/>
      <c r="AR122" s="273">
        <v>1E-4</v>
      </c>
      <c r="AS122" s="49">
        <v>6.55</v>
      </c>
      <c r="AT122" s="50"/>
      <c r="AU122" s="18"/>
      <c r="AV122" s="33"/>
      <c r="AW122" s="30"/>
      <c r="AY122" s="30"/>
    </row>
    <row r="123" spans="1:51" ht="15" customHeight="1">
      <c r="A123" s="293" t="s">
        <v>68</v>
      </c>
      <c r="B123" s="50" t="s">
        <v>1511</v>
      </c>
      <c r="C123" s="7" t="s">
        <v>1512</v>
      </c>
      <c r="D123" s="48" t="s">
        <v>710</v>
      </c>
      <c r="G123" s="76" t="s">
        <v>1513</v>
      </c>
      <c r="I123" s="49" t="s">
        <v>2</v>
      </c>
      <c r="J123" s="50" t="s">
        <v>1514</v>
      </c>
      <c r="K123" s="51">
        <v>40904</v>
      </c>
      <c r="L123" s="115">
        <v>40900</v>
      </c>
      <c r="M123" s="50">
        <v>4</v>
      </c>
      <c r="N123" s="50" t="s">
        <v>2</v>
      </c>
      <c r="O123" s="74">
        <f>2/2</f>
        <v>1</v>
      </c>
      <c r="P123" s="117">
        <v>5.8</v>
      </c>
      <c r="Q123" s="131">
        <v>6.5</v>
      </c>
      <c r="R123" s="50">
        <v>41</v>
      </c>
      <c r="S123" s="74">
        <v>23</v>
      </c>
      <c r="T123" s="50">
        <v>0.11</v>
      </c>
      <c r="U123" s="74">
        <f>0.75/2</f>
        <v>0.375</v>
      </c>
      <c r="V123" s="50">
        <f>0.1/2</f>
        <v>0.05</v>
      </c>
      <c r="W123" s="227">
        <v>0.01</v>
      </c>
      <c r="X123" s="226">
        <v>7.0000000000000007E-2</v>
      </c>
      <c r="Y123" s="226">
        <v>9.5999999999999992E-3</v>
      </c>
      <c r="Z123" s="164">
        <v>1</v>
      </c>
      <c r="AA123" s="165">
        <v>1</v>
      </c>
      <c r="AB123" s="50">
        <v>10</v>
      </c>
      <c r="AC123" s="74">
        <v>34</v>
      </c>
      <c r="AD123" s="164">
        <v>1</v>
      </c>
    </row>
    <row r="124" spans="1:51" ht="15" customHeight="1">
      <c r="A124" s="293" t="s">
        <v>68</v>
      </c>
      <c r="B124" s="50" t="s">
        <v>3123</v>
      </c>
      <c r="C124" s="7" t="s">
        <v>392</v>
      </c>
      <c r="D124" s="48" t="s">
        <v>3125</v>
      </c>
      <c r="E124" s="50" t="s">
        <v>3128</v>
      </c>
      <c r="F124" s="85" t="s">
        <v>2667</v>
      </c>
      <c r="G124" s="76" t="s">
        <v>3129</v>
      </c>
      <c r="H124" s="50">
        <v>5093</v>
      </c>
      <c r="I124" s="49" t="s">
        <v>2</v>
      </c>
      <c r="J124" s="50" t="s">
        <v>194</v>
      </c>
      <c r="K124" s="51">
        <v>41264</v>
      </c>
      <c r="L124" s="115">
        <v>41261</v>
      </c>
      <c r="M124" s="50">
        <f t="shared" ref="M124:M145" si="8">K124-L124</f>
        <v>3</v>
      </c>
      <c r="N124" s="50" t="s">
        <v>2</v>
      </c>
      <c r="O124" s="74">
        <f>2/2</f>
        <v>1</v>
      </c>
      <c r="P124" s="50">
        <v>7.4</v>
      </c>
      <c r="Q124" s="74">
        <v>7.3</v>
      </c>
      <c r="R124" s="50">
        <v>41</v>
      </c>
      <c r="S124" s="74">
        <v>61</v>
      </c>
      <c r="T124" s="50">
        <v>0.11</v>
      </c>
      <c r="U124" s="74">
        <v>0.92</v>
      </c>
      <c r="V124" s="50">
        <v>0.1</v>
      </c>
      <c r="W124" s="74">
        <v>1.4E-2</v>
      </c>
      <c r="X124" s="50">
        <v>3.5999999999999997E-2</v>
      </c>
      <c r="Y124" s="74">
        <f>0.03/2</f>
        <v>1.4999999999999999E-2</v>
      </c>
      <c r="Z124" s="164">
        <v>1</v>
      </c>
      <c r="AA124" s="165">
        <v>0.91700000000000004</v>
      </c>
      <c r="AB124" s="50">
        <v>37</v>
      </c>
      <c r="AC124" s="74">
        <v>96</v>
      </c>
      <c r="AD124" s="166">
        <v>0.8</v>
      </c>
      <c r="AE124" s="50">
        <v>3.31</v>
      </c>
      <c r="AP124" s="50">
        <f>10/2</f>
        <v>5</v>
      </c>
      <c r="AR124" s="50">
        <f>0.0004/2</f>
        <v>2.0000000000000001E-4</v>
      </c>
      <c r="AS124" s="74">
        <v>2.85</v>
      </c>
      <c r="AT124" s="50">
        <f>500/2</f>
        <v>250</v>
      </c>
    </row>
    <row r="125" spans="1:51" ht="15" customHeight="1">
      <c r="A125" s="293" t="s">
        <v>68</v>
      </c>
      <c r="B125" s="50" t="s">
        <v>3123</v>
      </c>
      <c r="C125" s="7" t="s">
        <v>392</v>
      </c>
      <c r="D125" s="48" t="s">
        <v>3125</v>
      </c>
      <c r="E125" s="50" t="s">
        <v>3128</v>
      </c>
      <c r="F125" s="85" t="s">
        <v>2667</v>
      </c>
      <c r="G125" s="76" t="s">
        <v>3129</v>
      </c>
      <c r="H125" s="50">
        <v>5093</v>
      </c>
      <c r="I125" s="49" t="s">
        <v>2</v>
      </c>
      <c r="J125" s="50" t="s">
        <v>569</v>
      </c>
      <c r="K125" s="51">
        <v>41264</v>
      </c>
      <c r="L125" s="115">
        <v>41261</v>
      </c>
      <c r="M125" s="50">
        <f t="shared" si="8"/>
        <v>3</v>
      </c>
      <c r="N125" s="50" t="s">
        <v>2</v>
      </c>
      <c r="O125" s="74">
        <f>2/2</f>
        <v>1</v>
      </c>
      <c r="P125" s="50">
        <v>7</v>
      </c>
      <c r="Q125" s="74">
        <v>7</v>
      </c>
      <c r="R125" s="50">
        <v>20</v>
      </c>
      <c r="S125" s="74">
        <v>100</v>
      </c>
      <c r="T125" s="50">
        <v>0.08</v>
      </c>
      <c r="U125" s="74">
        <v>0.46</v>
      </c>
      <c r="V125" s="50">
        <f>0.1/2</f>
        <v>0.05</v>
      </c>
      <c r="W125" s="74">
        <f>0.01/2</f>
        <v>5.0000000000000001E-3</v>
      </c>
      <c r="X125" s="50">
        <f>0.03/2</f>
        <v>1.4999999999999999E-2</v>
      </c>
      <c r="Y125" s="74">
        <f>0.03/2</f>
        <v>1.4999999999999999E-2</v>
      </c>
      <c r="Z125" s="164">
        <v>1</v>
      </c>
      <c r="AA125" s="165">
        <v>1</v>
      </c>
      <c r="AB125" s="50">
        <v>4</v>
      </c>
      <c r="AC125" s="74">
        <v>16</v>
      </c>
      <c r="AD125" s="166">
        <v>1</v>
      </c>
      <c r="AE125" s="50">
        <v>1.3</v>
      </c>
      <c r="AP125" s="50">
        <f>10/2</f>
        <v>5</v>
      </c>
      <c r="AR125" s="50">
        <f>0.0004/2</f>
        <v>2.0000000000000001E-4</v>
      </c>
      <c r="AS125" s="74">
        <v>1.07</v>
      </c>
      <c r="AT125" s="50">
        <f>500/2</f>
        <v>250</v>
      </c>
    </row>
    <row r="126" spans="1:51" ht="15" customHeight="1">
      <c r="A126" s="293" t="s">
        <v>68</v>
      </c>
      <c r="B126" s="50" t="s">
        <v>457</v>
      </c>
      <c r="C126" s="7" t="s">
        <v>392</v>
      </c>
      <c r="D126" s="48" t="s">
        <v>458</v>
      </c>
      <c r="E126" s="50" t="s">
        <v>969</v>
      </c>
      <c r="F126" s="85">
        <v>4710</v>
      </c>
      <c r="G126" s="76" t="s">
        <v>459</v>
      </c>
      <c r="H126" s="50">
        <v>9199</v>
      </c>
      <c r="I126" s="49" t="s">
        <v>2</v>
      </c>
      <c r="J126" s="50" t="s">
        <v>357</v>
      </c>
      <c r="K126" s="51">
        <v>41345</v>
      </c>
      <c r="L126" s="115">
        <v>41341</v>
      </c>
      <c r="M126" s="50">
        <f t="shared" si="8"/>
        <v>4</v>
      </c>
      <c r="N126" s="50" t="s">
        <v>1</v>
      </c>
      <c r="O126" s="74">
        <f>1.4/2</f>
        <v>0.7</v>
      </c>
      <c r="P126" s="50">
        <v>4.96</v>
      </c>
      <c r="Q126" s="74">
        <v>6.47</v>
      </c>
      <c r="R126" s="50">
        <v>30</v>
      </c>
      <c r="S126" s="74">
        <v>60</v>
      </c>
      <c r="T126" s="50">
        <v>0.2</v>
      </c>
      <c r="U126" s="74">
        <v>0.85</v>
      </c>
      <c r="V126" s="50">
        <v>0.25</v>
      </c>
      <c r="W126" s="74">
        <v>1.2E-2</v>
      </c>
      <c r="X126" s="50">
        <v>0.03</v>
      </c>
      <c r="Y126" s="74">
        <v>6.0000000000000001E-3</v>
      </c>
      <c r="AS126" s="74"/>
    </row>
    <row r="127" spans="1:51" ht="15" customHeight="1">
      <c r="A127" s="293" t="s">
        <v>68</v>
      </c>
      <c r="B127" s="50" t="s">
        <v>457</v>
      </c>
      <c r="C127" s="7" t="s">
        <v>392</v>
      </c>
      <c r="D127" s="48" t="s">
        <v>458</v>
      </c>
      <c r="E127" s="50" t="s">
        <v>969</v>
      </c>
      <c r="F127" s="85">
        <v>4710</v>
      </c>
      <c r="G127" s="76" t="s">
        <v>459</v>
      </c>
      <c r="H127" s="50">
        <v>9199</v>
      </c>
      <c r="I127" s="49" t="s">
        <v>2</v>
      </c>
      <c r="J127" s="50" t="s">
        <v>460</v>
      </c>
      <c r="K127" s="51">
        <v>41345</v>
      </c>
      <c r="L127" s="115">
        <v>41341</v>
      </c>
      <c r="M127" s="50">
        <f t="shared" si="8"/>
        <v>4</v>
      </c>
      <c r="N127" s="50" t="s">
        <v>1</v>
      </c>
      <c r="O127" s="74">
        <v>4.2</v>
      </c>
      <c r="P127" s="50">
        <v>4.96</v>
      </c>
      <c r="Q127" s="74">
        <v>7.01</v>
      </c>
      <c r="R127" s="50">
        <v>105</v>
      </c>
      <c r="S127" s="74">
        <v>160</v>
      </c>
      <c r="T127" s="50">
        <v>0.33</v>
      </c>
      <c r="U127" s="74">
        <v>1.84</v>
      </c>
      <c r="V127" s="50">
        <v>0.42</v>
      </c>
      <c r="W127" s="74">
        <v>1.7000000000000001E-2</v>
      </c>
      <c r="X127" s="50">
        <v>0.184</v>
      </c>
      <c r="Y127" s="74">
        <v>1.4999999999999999E-2</v>
      </c>
      <c r="AS127" s="74"/>
    </row>
    <row r="128" spans="1:51" ht="15" customHeight="1">
      <c r="A128" s="293" t="s">
        <v>68</v>
      </c>
      <c r="B128" s="50" t="s">
        <v>457</v>
      </c>
      <c r="C128" s="7" t="s">
        <v>392</v>
      </c>
      <c r="D128" s="48" t="s">
        <v>458</v>
      </c>
      <c r="E128" s="50" t="s">
        <v>969</v>
      </c>
      <c r="F128" s="85">
        <v>4710</v>
      </c>
      <c r="G128" s="76" t="s">
        <v>459</v>
      </c>
      <c r="H128" s="50">
        <v>9199</v>
      </c>
      <c r="I128" s="49" t="s">
        <v>2</v>
      </c>
      <c r="J128" s="50" t="s">
        <v>510</v>
      </c>
      <c r="K128" s="51">
        <v>41345</v>
      </c>
      <c r="L128" s="115">
        <v>41341</v>
      </c>
      <c r="M128" s="50">
        <f t="shared" si="8"/>
        <v>4</v>
      </c>
      <c r="N128" s="50" t="s">
        <v>1</v>
      </c>
      <c r="O128" s="74">
        <v>3.1</v>
      </c>
      <c r="P128" s="50">
        <v>4.96</v>
      </c>
      <c r="Q128" s="74">
        <v>7.2</v>
      </c>
      <c r="R128" s="50">
        <v>53</v>
      </c>
      <c r="S128" s="74">
        <v>87</v>
      </c>
      <c r="T128" s="50">
        <v>0.27</v>
      </c>
      <c r="U128" s="74">
        <v>1</v>
      </c>
      <c r="V128" s="50">
        <v>0.33</v>
      </c>
      <c r="W128" s="74">
        <v>1.4E-2</v>
      </c>
      <c r="X128" s="50">
        <v>5.6000000000000001E-2</v>
      </c>
      <c r="Y128" s="74">
        <v>1.0999999999999999E-2</v>
      </c>
      <c r="AS128" s="74"/>
    </row>
    <row r="129" spans="1:48" ht="15" customHeight="1">
      <c r="A129" s="293" t="s">
        <v>68</v>
      </c>
      <c r="B129" s="50" t="s">
        <v>2107</v>
      </c>
      <c r="C129" s="7" t="s">
        <v>2546</v>
      </c>
      <c r="D129" s="48" t="s">
        <v>308</v>
      </c>
      <c r="E129" s="50" t="s">
        <v>235</v>
      </c>
      <c r="F129" s="85"/>
      <c r="G129" s="76" t="s">
        <v>3015</v>
      </c>
      <c r="H129" s="50">
        <v>4953</v>
      </c>
      <c r="I129" s="49" t="s">
        <v>1</v>
      </c>
      <c r="J129" s="50" t="s">
        <v>3173</v>
      </c>
      <c r="K129" s="51">
        <v>41345</v>
      </c>
      <c r="L129" s="115">
        <v>41341</v>
      </c>
      <c r="M129" s="50">
        <f t="shared" si="8"/>
        <v>4</v>
      </c>
      <c r="N129" s="50" t="s">
        <v>1</v>
      </c>
      <c r="O129" s="74">
        <f>2/2</f>
        <v>1</v>
      </c>
      <c r="P129" s="50">
        <v>6.8</v>
      </c>
      <c r="Q129" s="74">
        <v>7.2</v>
      </c>
      <c r="R129" s="50">
        <f>10/2</f>
        <v>5</v>
      </c>
      <c r="S129" s="74">
        <v>40</v>
      </c>
      <c r="T129" s="50">
        <f>0.05/2</f>
        <v>2.5000000000000001E-2</v>
      </c>
      <c r="U129" s="74">
        <v>0.68</v>
      </c>
      <c r="V129" s="50">
        <v>0.4</v>
      </c>
      <c r="W129" s="74">
        <v>1.2E-2</v>
      </c>
      <c r="X129" s="50">
        <f>0.03/2</f>
        <v>1.4999999999999999E-2</v>
      </c>
      <c r="Y129" s="74">
        <f>0.03/2</f>
        <v>1.4999999999999999E-2</v>
      </c>
      <c r="Z129" s="164">
        <v>1</v>
      </c>
      <c r="AA129" s="165">
        <v>1</v>
      </c>
      <c r="AB129" s="50">
        <v>31</v>
      </c>
      <c r="AC129" s="74">
        <v>110</v>
      </c>
      <c r="AD129" s="164">
        <v>1</v>
      </c>
      <c r="AE129" s="50">
        <v>2.44</v>
      </c>
      <c r="AF129" s="50">
        <f>3/2</f>
        <v>1.5</v>
      </c>
      <c r="AG129" s="50">
        <v>40</v>
      </c>
      <c r="AH129" s="50">
        <v>0.23</v>
      </c>
      <c r="AI129" s="50">
        <f>0.01/2</f>
        <v>5.0000000000000001E-3</v>
      </c>
      <c r="AJ129" s="50">
        <f>0.05/2</f>
        <v>2.5000000000000001E-2</v>
      </c>
      <c r="AK129" s="50">
        <f>0.02/2</f>
        <v>0.01</v>
      </c>
      <c r="AL129" s="50">
        <f>0.02/2</f>
        <v>0.01</v>
      </c>
      <c r="AM129" s="50">
        <f>0.03/2</f>
        <v>1.4999999999999999E-2</v>
      </c>
      <c r="AN129" s="114">
        <v>7.2</v>
      </c>
      <c r="AS129" s="74"/>
    </row>
    <row r="130" spans="1:48" ht="15" customHeight="1">
      <c r="A130" s="293" t="s">
        <v>68</v>
      </c>
      <c r="B130" s="50" t="s">
        <v>3174</v>
      </c>
      <c r="D130" s="48" t="s">
        <v>480</v>
      </c>
      <c r="F130" s="85"/>
      <c r="G130" s="76" t="s">
        <v>3175</v>
      </c>
      <c r="J130" s="50" t="s">
        <v>569</v>
      </c>
      <c r="K130" s="51">
        <v>41345</v>
      </c>
      <c r="L130" s="115">
        <v>41341</v>
      </c>
      <c r="M130" s="50">
        <f t="shared" si="8"/>
        <v>4</v>
      </c>
      <c r="N130" s="50" t="s">
        <v>2</v>
      </c>
      <c r="O130" s="74">
        <f>2/2</f>
        <v>1</v>
      </c>
      <c r="P130" s="50">
        <v>7.8</v>
      </c>
      <c r="Q130" s="74">
        <v>8</v>
      </c>
      <c r="R130" s="50">
        <f>10/2</f>
        <v>5</v>
      </c>
      <c r="S130" s="74">
        <v>13</v>
      </c>
      <c r="T130" s="50">
        <f>0.05/2</f>
        <v>2.5000000000000001E-2</v>
      </c>
      <c r="U130" s="74">
        <v>0.61</v>
      </c>
      <c r="V130" s="50">
        <v>1.1299999999999999</v>
      </c>
      <c r="W130" s="74">
        <v>1.2999999999999999E-2</v>
      </c>
      <c r="X130" s="50">
        <f>0.03/2</f>
        <v>1.4999999999999999E-2</v>
      </c>
      <c r="Y130" s="74">
        <f>0.03/2</f>
        <v>1.4999999999999999E-2</v>
      </c>
      <c r="Z130" s="164">
        <v>1</v>
      </c>
      <c r="AA130" s="165">
        <v>1</v>
      </c>
      <c r="AB130" s="50">
        <v>96</v>
      </c>
      <c r="AC130" s="74">
        <v>513</v>
      </c>
      <c r="AD130" s="164">
        <v>1</v>
      </c>
      <c r="AE130" s="50">
        <v>0.85</v>
      </c>
      <c r="AO130" s="114">
        <v>50</v>
      </c>
      <c r="AS130" s="74"/>
    </row>
    <row r="131" spans="1:48" ht="15" customHeight="1">
      <c r="A131" s="293" t="s">
        <v>68</v>
      </c>
      <c r="B131" s="50" t="s">
        <v>1485</v>
      </c>
      <c r="C131" s="7" t="s">
        <v>1485</v>
      </c>
      <c r="D131" s="48" t="s">
        <v>480</v>
      </c>
      <c r="E131" s="50" t="s">
        <v>1486</v>
      </c>
      <c r="F131" s="85"/>
      <c r="G131" s="76" t="s">
        <v>1487</v>
      </c>
      <c r="H131" s="50">
        <v>4214</v>
      </c>
      <c r="I131" s="49" t="s">
        <v>1</v>
      </c>
      <c r="J131" s="50" t="s">
        <v>81</v>
      </c>
      <c r="K131" s="51">
        <v>41324</v>
      </c>
      <c r="L131" s="115">
        <v>41316</v>
      </c>
      <c r="M131" s="50">
        <f t="shared" si="8"/>
        <v>8</v>
      </c>
      <c r="N131" s="50" t="s">
        <v>2</v>
      </c>
      <c r="O131" s="74">
        <v>3.2</v>
      </c>
      <c r="P131" s="50">
        <v>5.5</v>
      </c>
      <c r="Q131" s="74">
        <v>6.9</v>
      </c>
      <c r="R131" s="50">
        <v>95</v>
      </c>
      <c r="S131" s="74">
        <v>138</v>
      </c>
      <c r="T131" s="50">
        <v>0.28999999999999998</v>
      </c>
      <c r="U131" s="74">
        <v>3.06</v>
      </c>
      <c r="V131" s="50">
        <v>0.47</v>
      </c>
      <c r="W131" s="74">
        <v>4.5999999999999999E-2</v>
      </c>
      <c r="X131" s="50">
        <v>0.29199999999999998</v>
      </c>
      <c r="Y131" s="74">
        <f>0.03/2</f>
        <v>1.4999999999999999E-2</v>
      </c>
      <c r="Z131" s="164">
        <v>1</v>
      </c>
      <c r="AA131" s="165">
        <v>1</v>
      </c>
      <c r="AB131" s="50">
        <v>38</v>
      </c>
      <c r="AC131" s="74">
        <v>640</v>
      </c>
      <c r="AD131" s="164">
        <v>0.9</v>
      </c>
      <c r="AS131" s="74"/>
    </row>
    <row r="132" spans="1:48" ht="15" customHeight="1">
      <c r="A132" s="293" t="s">
        <v>68</v>
      </c>
      <c r="B132" s="50" t="s">
        <v>2358</v>
      </c>
      <c r="C132" s="7" t="s">
        <v>2359</v>
      </c>
      <c r="D132" s="48" t="s">
        <v>111</v>
      </c>
      <c r="E132" s="50" t="s">
        <v>112</v>
      </c>
      <c r="F132" s="85">
        <v>5200</v>
      </c>
      <c r="G132" s="76" t="s">
        <v>2360</v>
      </c>
      <c r="H132" s="50">
        <v>4953</v>
      </c>
      <c r="I132" s="49" t="s">
        <v>2</v>
      </c>
      <c r="J132" s="50" t="s">
        <v>2361</v>
      </c>
      <c r="K132" s="51">
        <v>41324</v>
      </c>
      <c r="L132" s="115">
        <v>41316</v>
      </c>
      <c r="M132" s="50">
        <f t="shared" si="8"/>
        <v>8</v>
      </c>
      <c r="N132" s="50" t="s">
        <v>1</v>
      </c>
      <c r="P132" s="50">
        <v>7.2</v>
      </c>
      <c r="AE132" s="50">
        <v>8.92</v>
      </c>
      <c r="AS132" s="74"/>
    </row>
    <row r="133" spans="1:48" ht="15" customHeight="1">
      <c r="A133" s="293" t="s">
        <v>68</v>
      </c>
      <c r="B133" s="50" t="s">
        <v>3176</v>
      </c>
      <c r="C133" s="7" t="s">
        <v>3177</v>
      </c>
      <c r="D133" s="14" t="s">
        <v>1505</v>
      </c>
      <c r="F133" s="86" t="s">
        <v>3178</v>
      </c>
      <c r="G133" s="76" t="s">
        <v>3179</v>
      </c>
      <c r="H133" s="50">
        <v>4953</v>
      </c>
      <c r="I133" s="49" t="s">
        <v>2</v>
      </c>
      <c r="J133" s="50" t="s">
        <v>366</v>
      </c>
      <c r="K133" s="51">
        <v>41332</v>
      </c>
      <c r="L133" s="115">
        <v>41329</v>
      </c>
      <c r="M133" s="50">
        <f t="shared" si="8"/>
        <v>3</v>
      </c>
      <c r="N133" s="50" t="s">
        <v>2</v>
      </c>
      <c r="O133" s="74">
        <v>13</v>
      </c>
      <c r="P133" s="50">
        <v>7.73</v>
      </c>
      <c r="Q133" s="74">
        <v>7.57</v>
      </c>
      <c r="R133" s="50">
        <v>458</v>
      </c>
      <c r="S133" s="74">
        <v>330</v>
      </c>
      <c r="T133" s="50">
        <v>0.8</v>
      </c>
      <c r="U133" s="74">
        <v>8.51</v>
      </c>
      <c r="V133" s="50">
        <v>0.32</v>
      </c>
      <c r="W133" s="74">
        <v>6.0999999999999999E-2</v>
      </c>
      <c r="X133" s="50">
        <v>0.56299999999999994</v>
      </c>
      <c r="Y133" s="74">
        <v>0.57699999999999996</v>
      </c>
      <c r="Z133" s="164">
        <v>0.77100000000000002</v>
      </c>
      <c r="AA133" s="165">
        <v>0.70699999999999996</v>
      </c>
      <c r="AB133" s="50">
        <v>506</v>
      </c>
      <c r="AC133" s="74">
        <v>1225</v>
      </c>
      <c r="AD133" s="164">
        <v>0</v>
      </c>
      <c r="AS133" s="74"/>
    </row>
    <row r="134" spans="1:48" ht="15" customHeight="1">
      <c r="A134" s="293" t="s">
        <v>68</v>
      </c>
      <c r="B134" s="50" t="s">
        <v>3180</v>
      </c>
      <c r="C134" s="7" t="s">
        <v>3180</v>
      </c>
      <c r="D134" s="48" t="s">
        <v>1129</v>
      </c>
      <c r="E134" s="50" t="s">
        <v>398</v>
      </c>
      <c r="F134" s="85"/>
      <c r="G134" s="76" t="s">
        <v>3181</v>
      </c>
      <c r="H134" s="50">
        <v>4953</v>
      </c>
      <c r="I134" s="49" t="s">
        <v>1</v>
      </c>
      <c r="J134" s="50" t="s">
        <v>1376</v>
      </c>
      <c r="K134" s="51">
        <v>41346</v>
      </c>
      <c r="L134" s="115"/>
      <c r="N134" s="50" t="s">
        <v>2</v>
      </c>
      <c r="O134" s="74">
        <f>2/2</f>
        <v>1</v>
      </c>
      <c r="Q134" s="74">
        <v>6.1</v>
      </c>
      <c r="R134" s="50">
        <v>170</v>
      </c>
      <c r="S134" s="74">
        <v>52</v>
      </c>
      <c r="T134" s="50">
        <v>0.65</v>
      </c>
      <c r="U134" s="74">
        <v>5</v>
      </c>
      <c r="V134" s="50">
        <f>0.05/2</f>
        <v>2.5000000000000001E-2</v>
      </c>
      <c r="W134" s="74">
        <v>4.9000000000000002E-2</v>
      </c>
      <c r="X134" s="50">
        <v>0.28000000000000003</v>
      </c>
      <c r="Y134" s="74">
        <v>5.8999999999999997E-2</v>
      </c>
      <c r="AS134" s="74"/>
    </row>
    <row r="135" spans="1:48" ht="15" customHeight="1">
      <c r="A135" s="293" t="s">
        <v>68</v>
      </c>
      <c r="B135" s="50" t="s">
        <v>232</v>
      </c>
      <c r="C135" s="7" t="s">
        <v>239</v>
      </c>
      <c r="D135" s="48" t="s">
        <v>234</v>
      </c>
      <c r="E135" s="50" t="s">
        <v>240</v>
      </c>
      <c r="F135" s="85"/>
      <c r="G135" s="76" t="s">
        <v>241</v>
      </c>
      <c r="H135" s="50">
        <v>4212</v>
      </c>
      <c r="I135" s="49" t="s">
        <v>1</v>
      </c>
      <c r="J135" s="50" t="s">
        <v>242</v>
      </c>
      <c r="K135" s="51">
        <v>41345</v>
      </c>
      <c r="L135" s="115">
        <v>41341</v>
      </c>
      <c r="M135" s="50">
        <f t="shared" si="8"/>
        <v>4</v>
      </c>
      <c r="N135" s="50" t="s">
        <v>1</v>
      </c>
      <c r="O135" s="74">
        <v>1.3</v>
      </c>
      <c r="P135" s="50">
        <v>6.53</v>
      </c>
      <c r="Q135" s="74">
        <v>7</v>
      </c>
      <c r="R135" s="50">
        <v>17.2</v>
      </c>
      <c r="S135" s="74">
        <v>26.5</v>
      </c>
      <c r="T135" s="50">
        <v>0.14000000000000001</v>
      </c>
      <c r="U135" s="74">
        <v>0.6</v>
      </c>
      <c r="V135" s="50">
        <f>0.2/2</f>
        <v>0.1</v>
      </c>
      <c r="W135" s="74">
        <v>0.03</v>
      </c>
      <c r="X135" s="50">
        <f>0.01/2</f>
        <v>5.0000000000000001E-3</v>
      </c>
      <c r="Y135" s="74">
        <f>0.02/2</f>
        <v>0.01</v>
      </c>
      <c r="AE135" s="50">
        <v>2.66</v>
      </c>
      <c r="AS135" s="74"/>
    </row>
    <row r="136" spans="1:48" ht="15" customHeight="1">
      <c r="A136" s="293" t="s">
        <v>68</v>
      </c>
      <c r="B136" s="50" t="s">
        <v>3182</v>
      </c>
      <c r="C136" s="7" t="s">
        <v>3182</v>
      </c>
      <c r="D136" s="48" t="s">
        <v>1524</v>
      </c>
      <c r="E136" s="50" t="s">
        <v>3183</v>
      </c>
      <c r="F136" s="85"/>
      <c r="G136" s="76" t="s">
        <v>1526</v>
      </c>
      <c r="H136" s="50">
        <v>4953</v>
      </c>
      <c r="I136" s="49" t="s">
        <v>2</v>
      </c>
      <c r="J136" s="50" t="s">
        <v>1528</v>
      </c>
      <c r="K136" s="51">
        <v>41345</v>
      </c>
      <c r="L136" s="115">
        <v>41341</v>
      </c>
      <c r="M136" s="50">
        <f t="shared" si="8"/>
        <v>4</v>
      </c>
      <c r="N136" s="50" t="s">
        <v>2</v>
      </c>
      <c r="O136" s="74">
        <f>5/2</f>
        <v>2.5</v>
      </c>
      <c r="P136" s="50">
        <v>6.12</v>
      </c>
      <c r="Q136" s="74">
        <v>6.94</v>
      </c>
      <c r="R136" s="50">
        <v>11.7</v>
      </c>
      <c r="S136" s="74">
        <f>4/2</f>
        <v>2</v>
      </c>
      <c r="T136" s="50">
        <f>0.01/2</f>
        <v>5.0000000000000001E-3</v>
      </c>
      <c r="U136" s="74">
        <v>0.31</v>
      </c>
      <c r="V136" s="50">
        <v>0.21</v>
      </c>
      <c r="W136" s="74">
        <f>0.01/2</f>
        <v>5.0000000000000001E-3</v>
      </c>
      <c r="X136" s="50">
        <v>0.11</v>
      </c>
      <c r="Y136" s="74">
        <f>0.005/2</f>
        <v>2.5000000000000001E-3</v>
      </c>
      <c r="Z136" s="164">
        <v>1</v>
      </c>
      <c r="AA136" s="165">
        <v>1</v>
      </c>
      <c r="AB136" s="50">
        <v>20</v>
      </c>
      <c r="AC136" s="74">
        <v>85</v>
      </c>
      <c r="AD136" s="164">
        <v>1</v>
      </c>
      <c r="AS136" s="74"/>
    </row>
    <row r="137" spans="1:48" ht="15" customHeight="1">
      <c r="A137" s="293" t="s">
        <v>68</v>
      </c>
      <c r="B137" s="50" t="s">
        <v>3182</v>
      </c>
      <c r="C137" s="7" t="s">
        <v>3182</v>
      </c>
      <c r="D137" s="48" t="s">
        <v>1524</v>
      </c>
      <c r="E137" s="50" t="s">
        <v>3183</v>
      </c>
      <c r="F137" s="85"/>
      <c r="G137" s="76" t="s">
        <v>1526</v>
      </c>
      <c r="H137" s="50">
        <v>4953</v>
      </c>
      <c r="I137" s="49" t="s">
        <v>2</v>
      </c>
      <c r="J137" s="50" t="s">
        <v>1527</v>
      </c>
      <c r="K137" s="51">
        <v>41345</v>
      </c>
      <c r="L137" s="115">
        <v>41341</v>
      </c>
      <c r="M137" s="50">
        <f t="shared" si="8"/>
        <v>4</v>
      </c>
      <c r="N137" s="50" t="s">
        <v>2</v>
      </c>
      <c r="O137" s="74">
        <f>5/2</f>
        <v>2.5</v>
      </c>
      <c r="P137" s="50">
        <v>6.12</v>
      </c>
      <c r="Q137" s="74">
        <v>7.54</v>
      </c>
      <c r="R137" s="50">
        <v>71.099999999999994</v>
      </c>
      <c r="S137" s="74">
        <v>9.6</v>
      </c>
      <c r="T137" s="50">
        <v>0.09</v>
      </c>
      <c r="U137" s="74">
        <v>1.8</v>
      </c>
      <c r="V137" s="50">
        <f>0.05/2</f>
        <v>2.5000000000000001E-2</v>
      </c>
      <c r="W137" s="74">
        <v>2.1000000000000001E-2</v>
      </c>
      <c r="X137" s="50">
        <v>0.16</v>
      </c>
      <c r="Y137" s="74">
        <v>3.1E-2</v>
      </c>
      <c r="Z137" s="164">
        <v>1</v>
      </c>
      <c r="AA137" s="165">
        <v>1</v>
      </c>
      <c r="AB137" s="50">
        <v>282</v>
      </c>
      <c r="AC137" s="74">
        <v>1352</v>
      </c>
      <c r="AD137" s="164">
        <v>1</v>
      </c>
      <c r="AS137" s="74"/>
    </row>
    <row r="138" spans="1:48" ht="15.75" customHeight="1" thickBot="1">
      <c r="A138" s="293" t="s">
        <v>68</v>
      </c>
      <c r="B138" s="50" t="s">
        <v>3184</v>
      </c>
      <c r="C138" s="7" t="s">
        <v>3184</v>
      </c>
      <c r="D138" s="48" t="s">
        <v>2328</v>
      </c>
      <c r="E138" s="50" t="s">
        <v>3185</v>
      </c>
      <c r="F138" s="85">
        <v>4607</v>
      </c>
      <c r="G138" s="76" t="s">
        <v>3186</v>
      </c>
      <c r="H138" s="50">
        <v>4607</v>
      </c>
      <c r="J138" s="50" t="s">
        <v>3187</v>
      </c>
      <c r="K138" s="51">
        <v>41345</v>
      </c>
      <c r="L138" s="115">
        <v>41341</v>
      </c>
      <c r="M138" s="50">
        <f t="shared" si="8"/>
        <v>4</v>
      </c>
      <c r="N138" s="50" t="s">
        <v>1</v>
      </c>
      <c r="O138" s="74">
        <f>1/2</f>
        <v>0.5</v>
      </c>
      <c r="P138" s="50">
        <v>7.4</v>
      </c>
      <c r="Q138" s="74">
        <v>7.39</v>
      </c>
      <c r="R138" s="50">
        <v>15</v>
      </c>
      <c r="S138" s="74">
        <v>25</v>
      </c>
      <c r="T138" s="50">
        <v>0.32</v>
      </c>
      <c r="U138" s="74">
        <v>0.84</v>
      </c>
      <c r="V138" s="50">
        <v>1.69</v>
      </c>
      <c r="W138" s="74">
        <v>6.0000000000000001E-3</v>
      </c>
      <c r="X138" s="50">
        <v>3.1E-2</v>
      </c>
      <c r="Y138" s="74">
        <v>3.0000000000000001E-3</v>
      </c>
      <c r="Z138" s="164">
        <v>1</v>
      </c>
      <c r="AA138" s="165">
        <v>1</v>
      </c>
      <c r="AB138" s="50">
        <v>175.8</v>
      </c>
      <c r="AC138" s="74">
        <v>582</v>
      </c>
      <c r="AD138" s="164">
        <v>1</v>
      </c>
      <c r="AS138" s="74"/>
    </row>
    <row r="139" spans="1:48" ht="15" customHeight="1">
      <c r="A139" s="297" t="s">
        <v>68</v>
      </c>
      <c r="B139" s="45" t="s">
        <v>3297</v>
      </c>
      <c r="C139" s="333" t="s">
        <v>3298</v>
      </c>
      <c r="D139" s="43" t="s">
        <v>1837</v>
      </c>
      <c r="E139" s="45" t="s">
        <v>3299</v>
      </c>
      <c r="F139" s="45"/>
      <c r="G139" s="267" t="s">
        <v>3300</v>
      </c>
      <c r="H139" s="45">
        <v>4953</v>
      </c>
      <c r="I139" s="44" t="s">
        <v>2</v>
      </c>
      <c r="J139" s="45" t="s">
        <v>96</v>
      </c>
      <c r="K139" s="46">
        <v>40920</v>
      </c>
      <c r="L139" s="100">
        <v>40904</v>
      </c>
      <c r="N139" s="45" t="s">
        <v>2</v>
      </c>
      <c r="O139" s="44">
        <v>190</v>
      </c>
      <c r="P139" s="45">
        <v>5</v>
      </c>
      <c r="Q139" s="298">
        <v>8.25</v>
      </c>
      <c r="R139" s="45">
        <v>590</v>
      </c>
      <c r="S139" s="44">
        <v>1400</v>
      </c>
      <c r="T139" s="45">
        <v>1.01</v>
      </c>
      <c r="U139" s="44">
        <v>3.9</v>
      </c>
      <c r="V139" s="45">
        <v>0.1</v>
      </c>
      <c r="W139" s="44">
        <v>0.16700000000000001</v>
      </c>
      <c r="X139" s="45">
        <v>0.64100000000000001</v>
      </c>
      <c r="Y139" s="44">
        <v>0.21099999999999999</v>
      </c>
      <c r="Z139" s="222">
        <v>1</v>
      </c>
      <c r="AA139" s="223">
        <v>1</v>
      </c>
      <c r="AB139" s="45">
        <v>14</v>
      </c>
      <c r="AC139" s="44">
        <v>639</v>
      </c>
      <c r="AD139" s="222">
        <f>20/20</f>
        <v>1</v>
      </c>
      <c r="AN139" s="50"/>
      <c r="AO139" s="49"/>
      <c r="AV139"/>
    </row>
    <row r="140" spans="1:48" ht="15" customHeight="1">
      <c r="A140" s="88" t="s">
        <v>68</v>
      </c>
      <c r="B140" s="50" t="s">
        <v>3301</v>
      </c>
      <c r="C140" s="7" t="s">
        <v>3301</v>
      </c>
      <c r="D140" s="48" t="s">
        <v>2591</v>
      </c>
      <c r="F140" s="48" t="s">
        <v>3302</v>
      </c>
      <c r="G140" s="76" t="s">
        <v>3303</v>
      </c>
      <c r="H140" s="50">
        <v>4212</v>
      </c>
      <c r="I140" s="49" t="s">
        <v>1</v>
      </c>
      <c r="J140" s="50" t="s">
        <v>366</v>
      </c>
      <c r="K140" s="51">
        <v>41332</v>
      </c>
      <c r="L140" s="115">
        <v>41329</v>
      </c>
      <c r="M140" s="50">
        <f t="shared" si="8"/>
        <v>3</v>
      </c>
      <c r="N140" s="50" t="s">
        <v>2</v>
      </c>
      <c r="O140" s="74">
        <f>1.4/2</f>
        <v>0.7</v>
      </c>
      <c r="P140" s="50">
        <v>7.73</v>
      </c>
      <c r="Q140" s="113">
        <v>6.82</v>
      </c>
      <c r="R140" s="50">
        <v>25</v>
      </c>
      <c r="S140" s="50">
        <v>21</v>
      </c>
      <c r="T140" s="50">
        <v>0.15</v>
      </c>
      <c r="U140" s="74">
        <v>0.74</v>
      </c>
      <c r="V140" s="50">
        <v>0.05</v>
      </c>
      <c r="W140" s="74">
        <f>0.005/2</f>
        <v>2.5000000000000001E-3</v>
      </c>
      <c r="X140" s="50">
        <v>7.0000000000000001E-3</v>
      </c>
      <c r="Y140" s="74">
        <v>8.9999999999999993E-3</v>
      </c>
      <c r="Z140" s="164">
        <v>1</v>
      </c>
      <c r="AA140" s="165">
        <v>1</v>
      </c>
      <c r="AB140" s="50">
        <v>20</v>
      </c>
      <c r="AC140" s="74">
        <v>66</v>
      </c>
      <c r="AD140" s="164">
        <f>20/20</f>
        <v>1</v>
      </c>
      <c r="AN140" s="50"/>
      <c r="AO140" s="49"/>
      <c r="AV140"/>
    </row>
    <row r="141" spans="1:48" ht="15" customHeight="1">
      <c r="A141" s="88" t="s">
        <v>68</v>
      </c>
      <c r="B141" s="50" t="s">
        <v>3301</v>
      </c>
      <c r="C141" s="7" t="s">
        <v>3301</v>
      </c>
      <c r="D141" s="48" t="s">
        <v>2591</v>
      </c>
      <c r="F141" s="48" t="s">
        <v>3302</v>
      </c>
      <c r="G141" s="76" t="s">
        <v>3303</v>
      </c>
      <c r="H141" s="50">
        <v>4212</v>
      </c>
      <c r="I141" s="49" t="s">
        <v>1</v>
      </c>
      <c r="J141" s="50" t="s">
        <v>366</v>
      </c>
      <c r="K141" s="51">
        <v>41264</v>
      </c>
      <c r="L141" s="115">
        <v>41261</v>
      </c>
      <c r="M141" s="50">
        <f t="shared" si="8"/>
        <v>3</v>
      </c>
      <c r="N141" s="50" t="s">
        <v>2</v>
      </c>
      <c r="O141" s="74">
        <f>2.4/2</f>
        <v>1.2</v>
      </c>
      <c r="P141" s="50">
        <v>6.5</v>
      </c>
      <c r="Q141" s="74">
        <v>7.4</v>
      </c>
      <c r="R141" s="50">
        <v>21</v>
      </c>
      <c r="S141" s="74">
        <v>88</v>
      </c>
      <c r="T141" s="50">
        <v>0.36</v>
      </c>
      <c r="U141" s="74">
        <v>1.4</v>
      </c>
      <c r="V141" s="50">
        <v>0.14000000000000001</v>
      </c>
      <c r="W141" s="74">
        <v>1.4E-2</v>
      </c>
      <c r="X141" s="50">
        <v>2.1000000000000001E-2</v>
      </c>
      <c r="Y141" s="74">
        <v>1.7999999999999999E-2</v>
      </c>
      <c r="Z141" s="164">
        <v>1</v>
      </c>
      <c r="AA141" s="165">
        <v>1</v>
      </c>
      <c r="AB141" s="50">
        <v>18</v>
      </c>
      <c r="AC141" s="74">
        <v>68</v>
      </c>
      <c r="AD141" s="164">
        <f>20/20</f>
        <v>1</v>
      </c>
      <c r="AN141" s="50"/>
      <c r="AO141" s="49"/>
      <c r="AV141"/>
    </row>
    <row r="142" spans="1:48" ht="15" customHeight="1">
      <c r="A142" s="88" t="s">
        <v>68</v>
      </c>
      <c r="B142" s="50" t="s">
        <v>3304</v>
      </c>
      <c r="C142" s="7" t="s">
        <v>3305</v>
      </c>
      <c r="D142" s="48" t="s">
        <v>156</v>
      </c>
      <c r="F142" s="48" t="s">
        <v>3306</v>
      </c>
      <c r="G142" s="76" t="s">
        <v>3307</v>
      </c>
      <c r="H142" s="50">
        <v>4953</v>
      </c>
      <c r="I142" s="49" t="s">
        <v>2</v>
      </c>
      <c r="J142" s="50" t="s">
        <v>593</v>
      </c>
      <c r="K142" s="51">
        <v>41332</v>
      </c>
      <c r="L142" s="115">
        <v>41329</v>
      </c>
      <c r="M142" s="50">
        <f t="shared" si="8"/>
        <v>3</v>
      </c>
      <c r="N142" s="50" t="s">
        <v>2</v>
      </c>
      <c r="O142" s="74">
        <v>22</v>
      </c>
      <c r="P142" s="50">
        <v>7.73</v>
      </c>
      <c r="Q142" s="74">
        <v>7.55</v>
      </c>
      <c r="R142" s="50">
        <v>522</v>
      </c>
      <c r="S142" s="74">
        <v>680</v>
      </c>
      <c r="T142" s="50">
        <v>0.82</v>
      </c>
      <c r="U142" s="74">
        <v>5.22</v>
      </c>
      <c r="V142" s="50">
        <f>0.01/2</f>
        <v>5.0000000000000001E-3</v>
      </c>
      <c r="W142" s="74">
        <v>6.9000000000000006E-2</v>
      </c>
      <c r="X142" s="50">
        <v>0.67600000000000005</v>
      </c>
      <c r="Y142" s="281">
        <v>8.6999999999999994E-2</v>
      </c>
      <c r="Z142" s="164">
        <v>1</v>
      </c>
      <c r="AA142" s="165">
        <v>1</v>
      </c>
      <c r="AB142" s="50">
        <v>70</v>
      </c>
      <c r="AC142" s="74">
        <v>306</v>
      </c>
      <c r="AD142" s="164">
        <f>20/20</f>
        <v>1</v>
      </c>
      <c r="AN142" s="50"/>
      <c r="AO142" s="49"/>
      <c r="AV142"/>
    </row>
    <row r="143" spans="1:48" ht="15" customHeight="1">
      <c r="A143" s="88" t="s">
        <v>68</v>
      </c>
      <c r="B143" s="50" t="s">
        <v>3627</v>
      </c>
      <c r="C143" s="7" t="s">
        <v>3305</v>
      </c>
      <c r="D143" s="48" t="s">
        <v>156</v>
      </c>
      <c r="F143" s="48" t="s">
        <v>3306</v>
      </c>
      <c r="G143" s="76" t="s">
        <v>3307</v>
      </c>
      <c r="H143" s="50">
        <v>4953</v>
      </c>
      <c r="I143" s="49" t="s">
        <v>2</v>
      </c>
      <c r="J143" s="50" t="s">
        <v>593</v>
      </c>
      <c r="K143" s="51">
        <v>41264</v>
      </c>
      <c r="L143" s="115">
        <v>41261</v>
      </c>
      <c r="M143" s="50">
        <f t="shared" si="8"/>
        <v>3</v>
      </c>
      <c r="N143" s="50" t="s">
        <v>2</v>
      </c>
      <c r="O143" s="74">
        <v>25</v>
      </c>
      <c r="P143" s="50">
        <v>6.5</v>
      </c>
      <c r="Q143" s="74">
        <v>8.2899999999999991</v>
      </c>
      <c r="R143" s="50">
        <v>43</v>
      </c>
      <c r="S143" s="74">
        <v>810</v>
      </c>
      <c r="T143" s="50">
        <v>0.84</v>
      </c>
      <c r="U143" s="74">
        <v>2.98</v>
      </c>
      <c r="V143" s="50">
        <f>0.01/2</f>
        <v>5.0000000000000001E-3</v>
      </c>
      <c r="W143" s="74">
        <v>0.10100000000000001</v>
      </c>
      <c r="X143" s="50">
        <v>0.70799999999999996</v>
      </c>
      <c r="Y143" s="74">
        <v>0.19500000000000001</v>
      </c>
      <c r="AN143" s="50"/>
      <c r="AO143" s="49"/>
      <c r="AV143"/>
    </row>
    <row r="144" spans="1:48" ht="15" customHeight="1">
      <c r="A144" s="88" t="s">
        <v>68</v>
      </c>
      <c r="B144" s="50" t="s">
        <v>3627</v>
      </c>
      <c r="C144" s="7" t="s">
        <v>3305</v>
      </c>
      <c r="D144" s="48" t="s">
        <v>156</v>
      </c>
      <c r="F144" s="50" t="s">
        <v>3306</v>
      </c>
      <c r="G144" s="76" t="s">
        <v>3307</v>
      </c>
      <c r="H144" s="50">
        <v>4953</v>
      </c>
      <c r="I144" s="49" t="s">
        <v>2</v>
      </c>
      <c r="J144" s="50" t="s">
        <v>460</v>
      </c>
      <c r="K144" s="51">
        <v>40920</v>
      </c>
      <c r="L144" s="115">
        <v>40909</v>
      </c>
      <c r="M144" s="50">
        <f t="shared" si="8"/>
        <v>11</v>
      </c>
      <c r="N144" s="50" t="s">
        <v>2</v>
      </c>
      <c r="O144" s="74">
        <v>20</v>
      </c>
      <c r="P144" s="50">
        <v>7.53</v>
      </c>
      <c r="Q144" s="74">
        <v>7.18</v>
      </c>
      <c r="R144" s="50">
        <v>39</v>
      </c>
      <c r="S144" s="74">
        <v>280</v>
      </c>
      <c r="T144" s="50">
        <v>0.27</v>
      </c>
      <c r="U144" s="74">
        <v>1.47</v>
      </c>
      <c r="V144" s="50">
        <v>0.08</v>
      </c>
      <c r="W144" s="74">
        <v>3.5999999999999997E-2</v>
      </c>
      <c r="X144" s="50">
        <v>0.57299999999999995</v>
      </c>
      <c r="Y144" s="74">
        <v>4.7E-2</v>
      </c>
      <c r="Z144" s="164">
        <v>1</v>
      </c>
      <c r="AA144" s="165">
        <v>1</v>
      </c>
      <c r="AB144" s="50">
        <v>26</v>
      </c>
      <c r="AC144" s="74">
        <v>69</v>
      </c>
      <c r="AD144" s="164">
        <f>20/20</f>
        <v>1</v>
      </c>
      <c r="AN144" s="50"/>
      <c r="AO144" s="49"/>
      <c r="AV144"/>
    </row>
    <row r="145" spans="1:50" ht="15" customHeight="1">
      <c r="A145" s="88" t="s">
        <v>68</v>
      </c>
      <c r="B145" s="50" t="s">
        <v>3308</v>
      </c>
      <c r="C145" s="7" t="s">
        <v>3309</v>
      </c>
      <c r="D145" s="48" t="s">
        <v>209</v>
      </c>
      <c r="F145" s="50" t="s">
        <v>3310</v>
      </c>
      <c r="G145" s="76" t="s">
        <v>3311</v>
      </c>
      <c r="H145" s="50">
        <v>4953</v>
      </c>
      <c r="I145" s="49" t="s">
        <v>2</v>
      </c>
      <c r="J145" s="50" t="s">
        <v>460</v>
      </c>
      <c r="K145" s="51">
        <v>41037</v>
      </c>
      <c r="L145" s="115">
        <v>41032</v>
      </c>
      <c r="M145" s="50">
        <f t="shared" si="8"/>
        <v>5</v>
      </c>
      <c r="N145" s="50" t="s">
        <v>2</v>
      </c>
      <c r="O145" s="74">
        <f>1.4/2</f>
        <v>0.7</v>
      </c>
      <c r="Q145" s="74">
        <v>6.8</v>
      </c>
      <c r="R145" s="50">
        <v>120</v>
      </c>
      <c r="S145" s="74">
        <v>9</v>
      </c>
      <c r="T145" s="50">
        <v>0.09</v>
      </c>
      <c r="U145" s="74">
        <v>3.04</v>
      </c>
      <c r="V145" s="50">
        <f>0.01/2</f>
        <v>5.0000000000000001E-3</v>
      </c>
      <c r="W145" s="74">
        <f>0.005/2</f>
        <v>2.5000000000000001E-3</v>
      </c>
      <c r="X145" s="50">
        <f>0.002/2</f>
        <v>1E-3</v>
      </c>
      <c r="Y145" s="74">
        <v>6.0000000000000001E-3</v>
      </c>
      <c r="Z145" s="164">
        <v>1</v>
      </c>
      <c r="AA145" s="165">
        <v>1</v>
      </c>
      <c r="AB145" s="50">
        <v>20</v>
      </c>
      <c r="AC145" s="74">
        <v>818</v>
      </c>
      <c r="AD145" s="164">
        <f>20/20</f>
        <v>1</v>
      </c>
      <c r="AN145" s="50"/>
      <c r="AO145" s="49"/>
      <c r="AV145"/>
    </row>
    <row r="146" spans="1:50" ht="15" customHeight="1">
      <c r="A146" s="88" t="s">
        <v>68</v>
      </c>
      <c r="B146" s="54" t="s">
        <v>82</v>
      </c>
      <c r="C146" s="320" t="s">
        <v>83</v>
      </c>
      <c r="D146" s="56" t="s">
        <v>84</v>
      </c>
      <c r="E146" s="54" t="s">
        <v>85</v>
      </c>
      <c r="F146" s="54"/>
      <c r="G146" s="299" t="s">
        <v>86</v>
      </c>
      <c r="H146" s="54">
        <v>4953</v>
      </c>
      <c r="I146" s="55" t="s">
        <v>2</v>
      </c>
      <c r="J146" s="54" t="s">
        <v>87</v>
      </c>
      <c r="K146" s="57">
        <v>40835</v>
      </c>
      <c r="L146" s="132">
        <v>40830</v>
      </c>
      <c r="M146" s="54">
        <v>5</v>
      </c>
      <c r="N146" s="54" t="s">
        <v>2</v>
      </c>
      <c r="O146" s="155">
        <f>1/2</f>
        <v>0.5</v>
      </c>
      <c r="P146" s="54">
        <v>5.6</v>
      </c>
      <c r="Q146" s="155">
        <v>7.76</v>
      </c>
      <c r="R146" s="54">
        <v>9.5</v>
      </c>
      <c r="S146" s="155">
        <v>13</v>
      </c>
      <c r="T146" s="54">
        <v>0.05</v>
      </c>
      <c r="U146" s="155">
        <v>0.43</v>
      </c>
      <c r="V146" s="54">
        <v>0.46</v>
      </c>
      <c r="W146" s="155">
        <f>0.01/2</f>
        <v>5.0000000000000001E-3</v>
      </c>
      <c r="X146" s="54">
        <v>0.02</v>
      </c>
      <c r="Y146" s="155">
        <v>0.02</v>
      </c>
      <c r="Z146" s="144">
        <v>1</v>
      </c>
      <c r="AA146" s="145">
        <v>1</v>
      </c>
      <c r="AB146" s="54">
        <v>110</v>
      </c>
      <c r="AC146" s="155">
        <v>148.5</v>
      </c>
      <c r="AD146" s="157">
        <v>0.8</v>
      </c>
      <c r="AE146" s="54">
        <v>1.04</v>
      </c>
      <c r="AF146" s="54">
        <v>1.5</v>
      </c>
      <c r="AG146" s="54">
        <v>13</v>
      </c>
      <c r="AH146" s="54">
        <f>0.1/2</f>
        <v>0.05</v>
      </c>
      <c r="AI146" s="54">
        <f>0.01/2</f>
        <v>5.0000000000000001E-3</v>
      </c>
      <c r="AJ146" s="54">
        <f>0.01/2</f>
        <v>5.0000000000000001E-3</v>
      </c>
      <c r="AK146" s="54">
        <f>0.01/2</f>
        <v>5.0000000000000001E-3</v>
      </c>
      <c r="AL146" s="54">
        <f>0.01/2</f>
        <v>5.0000000000000001E-3</v>
      </c>
      <c r="AM146" s="54">
        <v>0.02</v>
      </c>
      <c r="AN146" s="54">
        <v>7.76</v>
      </c>
      <c r="AO146" s="49"/>
      <c r="AV146"/>
    </row>
    <row r="147" spans="1:50" ht="15" customHeight="1">
      <c r="A147" s="88" t="s">
        <v>68</v>
      </c>
      <c r="B147" s="50" t="s">
        <v>82</v>
      </c>
      <c r="C147" s="7" t="s">
        <v>83</v>
      </c>
      <c r="D147" s="48" t="s">
        <v>595</v>
      </c>
      <c r="E147" s="50" t="s">
        <v>85</v>
      </c>
      <c r="F147" s="48"/>
      <c r="G147" s="76" t="s">
        <v>86</v>
      </c>
      <c r="H147" s="50">
        <v>4953</v>
      </c>
      <c r="I147" s="49" t="s">
        <v>2</v>
      </c>
      <c r="J147" s="50" t="s">
        <v>284</v>
      </c>
      <c r="K147" s="51">
        <v>41264</v>
      </c>
      <c r="L147" s="115">
        <v>41261</v>
      </c>
      <c r="M147" s="50">
        <f t="shared" ref="M147:M169" si="9">K147-L147</f>
        <v>3</v>
      </c>
      <c r="N147" s="50" t="s">
        <v>2</v>
      </c>
      <c r="P147" s="50">
        <v>7.6</v>
      </c>
      <c r="Q147" s="74">
        <v>6.98</v>
      </c>
      <c r="AE147" s="50">
        <v>0.77</v>
      </c>
      <c r="AN147" s="50"/>
      <c r="AO147" s="49"/>
      <c r="AV147"/>
    </row>
    <row r="148" spans="1:50" ht="15" customHeight="1">
      <c r="A148" s="88" t="s">
        <v>68</v>
      </c>
      <c r="B148" s="50" t="s">
        <v>82</v>
      </c>
      <c r="C148" s="7" t="s">
        <v>83</v>
      </c>
      <c r="D148" s="48" t="s">
        <v>595</v>
      </c>
      <c r="E148" s="50" t="s">
        <v>85</v>
      </c>
      <c r="F148" s="48"/>
      <c r="G148" s="76" t="s">
        <v>86</v>
      </c>
      <c r="H148" s="50">
        <v>4953</v>
      </c>
      <c r="I148" s="49" t="s">
        <v>2</v>
      </c>
      <c r="J148" s="50" t="s">
        <v>284</v>
      </c>
      <c r="K148" s="51">
        <v>41332</v>
      </c>
      <c r="L148" s="115">
        <v>41328</v>
      </c>
      <c r="M148" s="50">
        <f t="shared" si="9"/>
        <v>4</v>
      </c>
      <c r="N148" s="50" t="s">
        <v>2</v>
      </c>
      <c r="O148" s="74">
        <f>1/2</f>
        <v>0.5</v>
      </c>
      <c r="P148" s="50">
        <v>8.18</v>
      </c>
      <c r="Q148" s="74">
        <v>7.82</v>
      </c>
      <c r="R148" s="50">
        <v>20.5</v>
      </c>
      <c r="S148" s="74">
        <v>68</v>
      </c>
      <c r="T148" s="50">
        <f>0.05/2</f>
        <v>2.5000000000000001E-2</v>
      </c>
      <c r="U148" s="74">
        <v>0.62</v>
      </c>
      <c r="V148" s="50">
        <v>0.53</v>
      </c>
      <c r="W148" s="74">
        <f>0.01/2</f>
        <v>5.0000000000000001E-3</v>
      </c>
      <c r="X148" s="50">
        <v>0.05</v>
      </c>
      <c r="Y148" s="74">
        <f>0.02/2</f>
        <v>0.01</v>
      </c>
      <c r="Z148" s="164">
        <v>1</v>
      </c>
      <c r="AA148" s="165">
        <v>1</v>
      </c>
      <c r="AB148" s="50">
        <v>49.6</v>
      </c>
      <c r="AC148" s="74">
        <v>859</v>
      </c>
      <c r="AD148" s="164">
        <f>19/20</f>
        <v>0.95</v>
      </c>
      <c r="AE148" s="50">
        <v>3.86</v>
      </c>
      <c r="AF148" s="50">
        <v>1.6</v>
      </c>
      <c r="AG148" s="50">
        <v>68</v>
      </c>
      <c r="AH148" s="50">
        <f>0.1/2</f>
        <v>0.05</v>
      </c>
      <c r="AI148" s="50">
        <f>0.01/2</f>
        <v>5.0000000000000001E-3</v>
      </c>
      <c r="AJ148" s="50">
        <f>0.01/2</f>
        <v>5.0000000000000001E-3</v>
      </c>
      <c r="AK148" s="50">
        <f>0.01/2</f>
        <v>5.0000000000000001E-3</v>
      </c>
      <c r="AL148" s="50">
        <f>0.01/2</f>
        <v>5.0000000000000001E-3</v>
      </c>
      <c r="AM148" s="50">
        <f>0.05</f>
        <v>0.05</v>
      </c>
      <c r="AN148" s="50">
        <v>7.82</v>
      </c>
      <c r="AO148" s="49"/>
      <c r="AV148"/>
    </row>
    <row r="149" spans="1:50" ht="15" customHeight="1">
      <c r="A149" s="88" t="s">
        <v>68</v>
      </c>
      <c r="B149" s="50" t="s">
        <v>82</v>
      </c>
      <c r="C149" s="7" t="s">
        <v>83</v>
      </c>
      <c r="D149" s="48" t="s">
        <v>595</v>
      </c>
      <c r="E149" s="50" t="s">
        <v>85</v>
      </c>
      <c r="F149" s="48"/>
      <c r="G149" s="76" t="s">
        <v>86</v>
      </c>
      <c r="H149" s="50">
        <v>4953</v>
      </c>
      <c r="I149" s="49" t="s">
        <v>2</v>
      </c>
      <c r="J149" s="50" t="s">
        <v>284</v>
      </c>
      <c r="K149" s="51">
        <v>41050</v>
      </c>
      <c r="L149" s="115">
        <v>41045</v>
      </c>
      <c r="M149" s="50">
        <f t="shared" si="9"/>
        <v>5</v>
      </c>
      <c r="N149" s="50" t="s">
        <v>2</v>
      </c>
      <c r="O149" s="74">
        <v>1</v>
      </c>
      <c r="P149" s="50">
        <v>7.9</v>
      </c>
      <c r="Q149" s="74">
        <v>6.85</v>
      </c>
      <c r="R149" s="50">
        <v>6.75</v>
      </c>
      <c r="S149" s="74">
        <f>1/2</f>
        <v>0.5</v>
      </c>
      <c r="T149" s="50">
        <f>0.05/2</f>
        <v>2.5000000000000001E-2</v>
      </c>
      <c r="U149" s="74">
        <v>0.66</v>
      </c>
      <c r="V149" s="50">
        <v>0.24</v>
      </c>
      <c r="W149" s="74">
        <f>0.01/2</f>
        <v>5.0000000000000001E-3</v>
      </c>
      <c r="X149" s="50">
        <f>0.01/2</f>
        <v>5.0000000000000001E-3</v>
      </c>
      <c r="Y149" s="74">
        <f>0.02/2</f>
        <v>0.01</v>
      </c>
      <c r="AE149" s="50">
        <f>0.02/2</f>
        <v>0.01</v>
      </c>
      <c r="AN149" s="50"/>
      <c r="AO149" s="49"/>
      <c r="AV149"/>
    </row>
    <row r="150" spans="1:50" ht="15" customHeight="1">
      <c r="A150" s="88" t="s">
        <v>68</v>
      </c>
      <c r="B150" s="50" t="s">
        <v>3314</v>
      </c>
      <c r="C150" s="7" t="s">
        <v>3315</v>
      </c>
      <c r="D150" s="48" t="s">
        <v>78</v>
      </c>
      <c r="E150" s="50" t="s">
        <v>3312</v>
      </c>
      <c r="F150" s="48"/>
      <c r="G150" s="76" t="s">
        <v>3313</v>
      </c>
      <c r="H150" s="50">
        <v>4953</v>
      </c>
      <c r="I150" s="49" t="s">
        <v>1</v>
      </c>
      <c r="J150" s="50" t="s">
        <v>510</v>
      </c>
      <c r="K150" s="51">
        <v>41030</v>
      </c>
      <c r="L150" s="115">
        <v>41000</v>
      </c>
      <c r="M150" s="50">
        <f t="shared" si="9"/>
        <v>30</v>
      </c>
      <c r="N150" s="50" t="s">
        <v>2</v>
      </c>
      <c r="O150" s="74">
        <f>1.4/2</f>
        <v>0.7</v>
      </c>
      <c r="P150" s="50">
        <v>5.75</v>
      </c>
      <c r="Q150" s="74">
        <v>7.56</v>
      </c>
      <c r="R150" s="50">
        <v>20</v>
      </c>
      <c r="S150" s="74">
        <v>46</v>
      </c>
      <c r="T150" s="50">
        <v>0.21</v>
      </c>
      <c r="U150" s="74">
        <v>1.25</v>
      </c>
      <c r="V150" s="50">
        <v>0.14000000000000001</v>
      </c>
      <c r="W150" s="74">
        <v>8.9999999999999993E-3</v>
      </c>
      <c r="X150" s="50">
        <v>2.7E-2</v>
      </c>
      <c r="Y150" s="74">
        <v>7.0000000000000001E-3</v>
      </c>
      <c r="Z150" s="164">
        <v>1</v>
      </c>
      <c r="AA150" s="165">
        <v>1</v>
      </c>
      <c r="AB150" s="50">
        <v>14</v>
      </c>
      <c r="AC150" s="74">
        <v>38</v>
      </c>
      <c r="AD150" s="164">
        <f>20/20</f>
        <v>1</v>
      </c>
      <c r="AE150" s="50">
        <v>2.34</v>
      </c>
      <c r="AF150" s="50">
        <v>5</v>
      </c>
      <c r="AG150" s="50">
        <v>46</v>
      </c>
      <c r="AH150" s="50">
        <v>25</v>
      </c>
      <c r="AI150" s="50">
        <f>0.01/2</f>
        <v>5.0000000000000001E-3</v>
      </c>
      <c r="AJ150" s="50">
        <f>0.01/2</f>
        <v>5.0000000000000001E-3</v>
      </c>
      <c r="AK150" s="50">
        <f>0.01/2</f>
        <v>5.0000000000000001E-3</v>
      </c>
      <c r="AL150" s="50">
        <f>0.01/2</f>
        <v>5.0000000000000001E-3</v>
      </c>
      <c r="AM150" s="50">
        <v>2.7E-2</v>
      </c>
      <c r="AN150" s="50">
        <v>7.56</v>
      </c>
      <c r="AO150" s="300"/>
      <c r="AV150"/>
      <c r="AX150" t="s">
        <v>1535</v>
      </c>
    </row>
    <row r="151" spans="1:50" ht="15" customHeight="1">
      <c r="A151" s="88" t="s">
        <v>68</v>
      </c>
      <c r="B151" s="50" t="s">
        <v>3314</v>
      </c>
      <c r="C151" s="7" t="s">
        <v>3315</v>
      </c>
      <c r="D151" s="48" t="s">
        <v>78</v>
      </c>
      <c r="E151" s="50" t="s">
        <v>3312</v>
      </c>
      <c r="F151" s="48"/>
      <c r="G151" s="76" t="s">
        <v>3313</v>
      </c>
      <c r="H151" s="50">
        <v>4953</v>
      </c>
      <c r="I151" s="49" t="s">
        <v>1</v>
      </c>
      <c r="J151" s="50" t="s">
        <v>3316</v>
      </c>
      <c r="K151" s="51">
        <v>41030</v>
      </c>
      <c r="L151" s="115">
        <v>41000</v>
      </c>
      <c r="M151" s="50">
        <f t="shared" si="9"/>
        <v>30</v>
      </c>
      <c r="N151" s="50" t="s">
        <v>2</v>
      </c>
      <c r="O151" s="74">
        <v>4.7</v>
      </c>
      <c r="P151" s="50">
        <v>5.75</v>
      </c>
      <c r="Q151" s="74">
        <v>7.66</v>
      </c>
      <c r="R151" s="50">
        <v>48</v>
      </c>
      <c r="S151" s="74">
        <v>170</v>
      </c>
      <c r="T151" s="50">
        <v>0.37</v>
      </c>
      <c r="U151" s="74">
        <v>1.84</v>
      </c>
      <c r="V151" s="50">
        <v>0.13</v>
      </c>
      <c r="W151" s="74">
        <v>2.5000000000000001E-2</v>
      </c>
      <c r="X151" s="50">
        <v>4.2000000000000003E-2</v>
      </c>
      <c r="Y151" s="74">
        <v>1.2999999999999999E-2</v>
      </c>
      <c r="Z151" s="164">
        <v>1</v>
      </c>
      <c r="AA151" s="165">
        <v>1</v>
      </c>
      <c r="AB151" s="50">
        <v>92</v>
      </c>
      <c r="AC151" s="74">
        <v>240</v>
      </c>
      <c r="AD151" s="164">
        <v>1</v>
      </c>
      <c r="AE151" s="50">
        <v>6.14</v>
      </c>
      <c r="AF151" s="50">
        <v>9</v>
      </c>
      <c r="AG151" s="50">
        <v>170</v>
      </c>
      <c r="AH151" s="50">
        <v>0.18</v>
      </c>
      <c r="AI151" s="50">
        <f>0.01/2</f>
        <v>5.0000000000000001E-3</v>
      </c>
      <c r="AJ151" s="50">
        <v>1.0999999999999999E-2</v>
      </c>
      <c r="AK151" s="50">
        <f>0.01/2</f>
        <v>5.0000000000000001E-3</v>
      </c>
      <c r="AL151" s="50">
        <f>0.01/2</f>
        <v>5.0000000000000001E-3</v>
      </c>
      <c r="AM151" s="50">
        <v>4.2000000000000003E-2</v>
      </c>
      <c r="AN151" s="50">
        <v>7.66</v>
      </c>
      <c r="AO151" s="49"/>
      <c r="AV151"/>
      <c r="AX151" t="s">
        <v>1535</v>
      </c>
    </row>
    <row r="152" spans="1:50" ht="15" customHeight="1">
      <c r="A152" s="88" t="s">
        <v>68</v>
      </c>
      <c r="B152" s="50" t="s">
        <v>3314</v>
      </c>
      <c r="C152" s="7" t="s">
        <v>3317</v>
      </c>
      <c r="D152" s="48" t="s">
        <v>78</v>
      </c>
      <c r="E152" s="50" t="s">
        <v>3318</v>
      </c>
      <c r="F152" s="48"/>
      <c r="G152" s="76" t="s">
        <v>3319</v>
      </c>
      <c r="H152" s="50">
        <v>4953</v>
      </c>
      <c r="I152" s="49" t="s">
        <v>1</v>
      </c>
      <c r="J152" s="50" t="s">
        <v>194</v>
      </c>
      <c r="K152" s="51">
        <v>41030</v>
      </c>
      <c r="L152" s="115">
        <v>41000</v>
      </c>
      <c r="M152" s="50">
        <f t="shared" si="9"/>
        <v>30</v>
      </c>
      <c r="N152" s="50" t="s">
        <v>2</v>
      </c>
      <c r="O152" s="74">
        <v>1.9</v>
      </c>
      <c r="P152" s="50">
        <v>5.75</v>
      </c>
      <c r="Q152" s="74">
        <v>7.56</v>
      </c>
      <c r="R152" s="50">
        <v>32</v>
      </c>
      <c r="S152" s="74">
        <v>51</v>
      </c>
      <c r="T152" s="50">
        <v>0.33</v>
      </c>
      <c r="U152" s="74">
        <v>1.76</v>
      </c>
      <c r="V152" s="50">
        <v>0.39</v>
      </c>
      <c r="W152" s="74">
        <v>1.6E-2</v>
      </c>
      <c r="X152" s="50">
        <v>7.0999999999999994E-2</v>
      </c>
      <c r="Y152" s="74">
        <v>1.4E-2</v>
      </c>
      <c r="Z152" s="164">
        <v>1</v>
      </c>
      <c r="AA152" s="165">
        <v>1</v>
      </c>
      <c r="AB152" s="50">
        <v>26</v>
      </c>
      <c r="AC152" s="74">
        <v>181</v>
      </c>
      <c r="AD152" s="164">
        <f>19/20</f>
        <v>0.95</v>
      </c>
      <c r="AN152" s="50"/>
      <c r="AO152" s="49"/>
      <c r="AV152"/>
      <c r="AX152" s="31" t="s">
        <v>1535</v>
      </c>
    </row>
    <row r="153" spans="1:50" ht="15" customHeight="1">
      <c r="A153" s="88" t="s">
        <v>68</v>
      </c>
      <c r="B153" s="50" t="s">
        <v>3314</v>
      </c>
      <c r="C153" s="7" t="s">
        <v>3317</v>
      </c>
      <c r="D153" s="48" t="s">
        <v>78</v>
      </c>
      <c r="E153" s="50" t="s">
        <v>3318</v>
      </c>
      <c r="F153" s="48"/>
      <c r="G153" s="76" t="s">
        <v>3319</v>
      </c>
      <c r="H153" s="50">
        <v>4953</v>
      </c>
      <c r="I153" s="49" t="s">
        <v>1</v>
      </c>
      <c r="J153" s="50" t="s">
        <v>586</v>
      </c>
      <c r="K153" s="51">
        <v>41030</v>
      </c>
      <c r="L153" s="115">
        <v>41000</v>
      </c>
      <c r="M153" s="50">
        <f t="shared" si="9"/>
        <v>30</v>
      </c>
      <c r="N153" s="50" t="s">
        <v>2</v>
      </c>
      <c r="O153" s="74">
        <f>1.4/2</f>
        <v>0.7</v>
      </c>
      <c r="P153" s="50">
        <v>5.75</v>
      </c>
      <c r="Q153" s="74">
        <v>8.06</v>
      </c>
      <c r="R153" s="50">
        <v>320</v>
      </c>
      <c r="S153" s="74">
        <v>18</v>
      </c>
      <c r="T153" s="50">
        <v>2.42</v>
      </c>
      <c r="U153" s="74">
        <v>5.54</v>
      </c>
      <c r="V153" s="50">
        <f>0.01/2</f>
        <v>5.0000000000000001E-3</v>
      </c>
      <c r="W153" s="74">
        <v>0.02</v>
      </c>
      <c r="X153" s="50">
        <v>2.4E-2</v>
      </c>
      <c r="Y153" s="74">
        <f>0.002/2</f>
        <v>1E-3</v>
      </c>
      <c r="Z153" s="164">
        <v>1</v>
      </c>
      <c r="AA153" s="165">
        <v>1</v>
      </c>
      <c r="AB153" s="50">
        <v>224</v>
      </c>
      <c r="AC153" s="74">
        <v>1853</v>
      </c>
      <c r="AD153" s="164">
        <f>20/20</f>
        <v>1</v>
      </c>
      <c r="AN153" s="50"/>
      <c r="AO153" s="49"/>
      <c r="AV153"/>
      <c r="AX153" s="31" t="s">
        <v>1535</v>
      </c>
    </row>
    <row r="154" spans="1:50" ht="15" customHeight="1">
      <c r="A154" s="88" t="s">
        <v>68</v>
      </c>
      <c r="B154" s="50" t="s">
        <v>3320</v>
      </c>
      <c r="C154" s="7" t="s">
        <v>3321</v>
      </c>
      <c r="D154" s="48" t="s">
        <v>262</v>
      </c>
      <c r="E154" s="50" t="s">
        <v>3322</v>
      </c>
      <c r="F154" s="48"/>
      <c r="G154" s="76" t="s">
        <v>3323</v>
      </c>
      <c r="H154" s="50">
        <v>4953</v>
      </c>
      <c r="I154" s="49" t="s">
        <v>2</v>
      </c>
      <c r="J154" s="50" t="s">
        <v>1503</v>
      </c>
      <c r="K154" s="51">
        <v>40876</v>
      </c>
      <c r="L154" s="115">
        <v>40870</v>
      </c>
      <c r="M154" s="50">
        <f t="shared" si="9"/>
        <v>6</v>
      </c>
      <c r="N154" s="50" t="s">
        <v>2</v>
      </c>
      <c r="O154" s="74">
        <v>8.1</v>
      </c>
      <c r="P154" s="50">
        <v>7.88</v>
      </c>
      <c r="Q154" s="74">
        <v>6.98</v>
      </c>
      <c r="R154" s="50">
        <v>360</v>
      </c>
      <c r="S154" s="74">
        <v>300</v>
      </c>
      <c r="T154" s="50">
        <f>0.1/2</f>
        <v>0.05</v>
      </c>
      <c r="U154" s="74">
        <f>1/2</f>
        <v>0.5</v>
      </c>
      <c r="V154" s="50">
        <f>0.1/2</f>
        <v>0.05</v>
      </c>
      <c r="W154" s="74">
        <f>0.04/2</f>
        <v>0.02</v>
      </c>
      <c r="X154" s="50">
        <v>0.39</v>
      </c>
      <c r="Y154" s="74">
        <v>0.13</v>
      </c>
      <c r="Z154" s="164">
        <v>0.70699999999999996</v>
      </c>
      <c r="AA154" s="165">
        <v>0.68600000000000005</v>
      </c>
      <c r="AB154" s="50">
        <v>23</v>
      </c>
      <c r="AC154" s="74">
        <v>172</v>
      </c>
      <c r="AD154" s="164">
        <f>0/20</f>
        <v>0</v>
      </c>
      <c r="AN154" s="50"/>
      <c r="AO154" s="49"/>
      <c r="AV154"/>
    </row>
    <row r="155" spans="1:50" ht="15" customHeight="1">
      <c r="A155" s="88" t="s">
        <v>68</v>
      </c>
      <c r="B155" s="50" t="s">
        <v>3320</v>
      </c>
      <c r="C155" s="7" t="s">
        <v>3321</v>
      </c>
      <c r="D155" s="48" t="s">
        <v>262</v>
      </c>
      <c r="E155" s="50" t="s">
        <v>3322</v>
      </c>
      <c r="F155" s="48" t="s">
        <v>3323</v>
      </c>
      <c r="G155" s="76" t="s">
        <v>3323</v>
      </c>
      <c r="H155" s="50">
        <v>4953</v>
      </c>
      <c r="I155" s="49" t="s">
        <v>2</v>
      </c>
      <c r="J155" s="50" t="s">
        <v>886</v>
      </c>
      <c r="K155" s="51">
        <v>40876</v>
      </c>
      <c r="L155" s="115">
        <v>40870</v>
      </c>
      <c r="M155" s="50">
        <f t="shared" si="9"/>
        <v>6</v>
      </c>
      <c r="N155" s="50" t="s">
        <v>2</v>
      </c>
      <c r="O155" s="74">
        <f>5/2</f>
        <v>2.5</v>
      </c>
      <c r="P155" s="50">
        <v>7.88</v>
      </c>
      <c r="Q155" s="74">
        <v>6.86</v>
      </c>
      <c r="R155" s="50">
        <v>110</v>
      </c>
      <c r="S155" s="74">
        <v>210</v>
      </c>
      <c r="T155" s="50">
        <f>0.1/2</f>
        <v>0.05</v>
      </c>
      <c r="U155" s="74">
        <f>1/2</f>
        <v>0.5</v>
      </c>
      <c r="V155" s="50">
        <f>0.1/2</f>
        <v>0.05</v>
      </c>
      <c r="W155" s="74">
        <v>0.04</v>
      </c>
      <c r="X155" s="50">
        <v>0.35</v>
      </c>
      <c r="Y155" s="74">
        <v>0.23</v>
      </c>
      <c r="Z155" s="164">
        <v>1</v>
      </c>
      <c r="AA155" s="165">
        <v>1</v>
      </c>
      <c r="AB155" s="50">
        <v>17</v>
      </c>
      <c r="AC155" s="74">
        <v>22</v>
      </c>
      <c r="AD155" s="164">
        <f>19/20</f>
        <v>0.95</v>
      </c>
      <c r="AN155" s="50"/>
      <c r="AO155" s="49"/>
      <c r="AV155"/>
    </row>
    <row r="156" spans="1:50" ht="15" customHeight="1">
      <c r="A156" s="88" t="s">
        <v>68</v>
      </c>
      <c r="B156" s="50" t="s">
        <v>3324</v>
      </c>
      <c r="C156" s="7" t="s">
        <v>3324</v>
      </c>
      <c r="D156" s="48" t="s">
        <v>262</v>
      </c>
      <c r="E156" s="50" t="s">
        <v>3325</v>
      </c>
      <c r="F156" s="50" t="s">
        <v>3326</v>
      </c>
      <c r="G156" s="76" t="s">
        <v>3327</v>
      </c>
      <c r="H156" s="50">
        <v>4953</v>
      </c>
      <c r="I156" s="49" t="s">
        <v>2</v>
      </c>
      <c r="J156" s="50" t="s">
        <v>3328</v>
      </c>
      <c r="K156" s="51">
        <v>41178</v>
      </c>
      <c r="L156" s="115">
        <v>41170</v>
      </c>
      <c r="M156" s="50">
        <f t="shared" si="9"/>
        <v>8</v>
      </c>
      <c r="N156" s="50" t="s">
        <v>2</v>
      </c>
      <c r="O156" s="74">
        <v>8</v>
      </c>
      <c r="P156" s="50">
        <v>6.97</v>
      </c>
      <c r="Q156" s="74">
        <v>7</v>
      </c>
      <c r="R156" s="50">
        <v>66</v>
      </c>
      <c r="S156" s="74">
        <v>16</v>
      </c>
      <c r="T156" s="50">
        <v>0.21</v>
      </c>
      <c r="U156" s="74">
        <v>2.21</v>
      </c>
      <c r="V156" s="50">
        <f>0.1/2</f>
        <v>0.05</v>
      </c>
      <c r="W156" s="74">
        <v>2.5000000000000001E-2</v>
      </c>
      <c r="X156" s="50">
        <v>8.7999999999999995E-2</v>
      </c>
      <c r="Y156" s="74">
        <f>0.03/2</f>
        <v>1.4999999999999999E-2</v>
      </c>
      <c r="AN156" s="50"/>
      <c r="AO156" s="49"/>
      <c r="AV156"/>
    </row>
    <row r="157" spans="1:50" ht="15" customHeight="1">
      <c r="A157" s="88" t="s">
        <v>68</v>
      </c>
      <c r="B157" s="50" t="s">
        <v>3324</v>
      </c>
      <c r="C157" s="7" t="s">
        <v>3324</v>
      </c>
      <c r="D157" s="48" t="s">
        <v>262</v>
      </c>
      <c r="E157" s="50" t="s">
        <v>3325</v>
      </c>
      <c r="F157" s="50" t="s">
        <v>3326</v>
      </c>
      <c r="G157" s="76" t="s">
        <v>3327</v>
      </c>
      <c r="H157" s="50">
        <v>4953</v>
      </c>
      <c r="I157" s="49" t="s">
        <v>2</v>
      </c>
      <c r="J157" s="50" t="s">
        <v>3328</v>
      </c>
      <c r="K157" s="51">
        <v>40999</v>
      </c>
      <c r="L157" s="115">
        <v>40996</v>
      </c>
      <c r="M157" s="50">
        <f t="shared" si="9"/>
        <v>3</v>
      </c>
      <c r="N157" s="50" t="s">
        <v>2</v>
      </c>
      <c r="O157" s="74">
        <v>8.4</v>
      </c>
      <c r="P157" s="50">
        <v>6.3</v>
      </c>
      <c r="Q157" s="74">
        <v>7.39</v>
      </c>
      <c r="R157" s="50">
        <v>261</v>
      </c>
      <c r="S157" s="74">
        <v>770</v>
      </c>
      <c r="T157" s="50">
        <v>1.29</v>
      </c>
      <c r="U157" s="74">
        <v>12.96</v>
      </c>
      <c r="V157" s="50">
        <v>1.36</v>
      </c>
      <c r="W157" s="74">
        <v>0.13</v>
      </c>
      <c r="X157" s="50">
        <v>0.44</v>
      </c>
      <c r="Y157" s="74">
        <v>0.06</v>
      </c>
      <c r="Z157" s="164">
        <v>1</v>
      </c>
      <c r="AA157" s="165">
        <v>1</v>
      </c>
      <c r="AB157" s="50">
        <v>68</v>
      </c>
      <c r="AC157" s="74">
        <v>321</v>
      </c>
      <c r="AD157" s="164">
        <f>20/20</f>
        <v>1</v>
      </c>
      <c r="AN157" s="50"/>
      <c r="AO157" s="49"/>
      <c r="AV157"/>
    </row>
    <row r="158" spans="1:50" ht="15" customHeight="1">
      <c r="A158" s="88" t="s">
        <v>68</v>
      </c>
      <c r="B158" s="50" t="s">
        <v>1442</v>
      </c>
      <c r="C158" s="7" t="s">
        <v>3329</v>
      </c>
      <c r="D158" s="48" t="s">
        <v>356</v>
      </c>
      <c r="G158" s="76" t="s">
        <v>3330</v>
      </c>
      <c r="H158" s="50">
        <v>4953</v>
      </c>
      <c r="I158" s="49" t="s">
        <v>2</v>
      </c>
      <c r="J158" s="50" t="s">
        <v>3331</v>
      </c>
      <c r="K158" s="51">
        <v>40996</v>
      </c>
      <c r="L158" s="115">
        <v>40993</v>
      </c>
      <c r="M158" s="50">
        <f t="shared" si="9"/>
        <v>3</v>
      </c>
      <c r="N158" s="50" t="s">
        <v>2</v>
      </c>
      <c r="O158" s="74">
        <v>8.4</v>
      </c>
      <c r="P158" s="50">
        <v>6</v>
      </c>
      <c r="Q158" s="74">
        <v>8.02</v>
      </c>
      <c r="R158" s="50">
        <f>10/2</f>
        <v>5</v>
      </c>
      <c r="S158" s="74">
        <v>620</v>
      </c>
      <c r="T158" s="50">
        <v>0.79</v>
      </c>
      <c r="U158" s="74">
        <v>1.88</v>
      </c>
      <c r="V158" s="50">
        <v>0.12</v>
      </c>
      <c r="W158" s="74">
        <v>4.5999999999999999E-2</v>
      </c>
      <c r="X158" s="50">
        <v>0.158</v>
      </c>
      <c r="Y158" s="74">
        <v>0.04</v>
      </c>
      <c r="Z158" s="164">
        <v>1</v>
      </c>
      <c r="AA158" s="165">
        <v>1</v>
      </c>
      <c r="AB158" s="50">
        <v>40</v>
      </c>
      <c r="AC158" s="74">
        <v>143</v>
      </c>
      <c r="AD158" s="164">
        <f>20/20</f>
        <v>1</v>
      </c>
      <c r="AE158" s="50">
        <v>21.9</v>
      </c>
      <c r="AF158" s="50">
        <v>7.5</v>
      </c>
      <c r="AG158" s="50">
        <v>620</v>
      </c>
      <c r="AH158" s="50">
        <v>0.47</v>
      </c>
      <c r="AI158" s="50">
        <f>0.01/2</f>
        <v>5.0000000000000001E-3</v>
      </c>
      <c r="AJ158" s="50">
        <f>0.01/2</f>
        <v>5.0000000000000001E-3</v>
      </c>
      <c r="AK158" s="50">
        <f>0.01/2</f>
        <v>5.0000000000000001E-3</v>
      </c>
      <c r="AL158" s="50">
        <f>0.01/2</f>
        <v>5.0000000000000001E-3</v>
      </c>
      <c r="AM158" s="50">
        <v>0.04</v>
      </c>
      <c r="AN158" s="50">
        <v>8.02</v>
      </c>
      <c r="AO158" s="49"/>
      <c r="AV158"/>
    </row>
    <row r="159" spans="1:50" ht="15" customHeight="1">
      <c r="A159" s="88" t="s">
        <v>68</v>
      </c>
      <c r="B159" s="50" t="s">
        <v>3304</v>
      </c>
      <c r="C159" s="7" t="s">
        <v>3332</v>
      </c>
      <c r="D159" s="48" t="s">
        <v>3286</v>
      </c>
      <c r="F159" s="48" t="s">
        <v>3333</v>
      </c>
      <c r="G159" s="76" t="s">
        <v>3334</v>
      </c>
      <c r="H159" s="50">
        <v>4953</v>
      </c>
      <c r="I159" s="49" t="s">
        <v>2</v>
      </c>
      <c r="J159" s="50" t="s">
        <v>510</v>
      </c>
      <c r="K159" s="51">
        <v>41051</v>
      </c>
      <c r="L159" s="115">
        <v>41044</v>
      </c>
      <c r="M159" s="50">
        <f t="shared" si="9"/>
        <v>7</v>
      </c>
      <c r="N159" s="50" t="s">
        <v>2</v>
      </c>
      <c r="O159" s="74">
        <v>48</v>
      </c>
      <c r="P159" s="50">
        <v>6.5</v>
      </c>
      <c r="Q159" s="74">
        <v>7.46</v>
      </c>
      <c r="R159" s="50">
        <v>780</v>
      </c>
      <c r="S159" s="74">
        <v>730</v>
      </c>
      <c r="T159" s="50">
        <v>1.07</v>
      </c>
      <c r="U159" s="74">
        <v>7.62</v>
      </c>
      <c r="V159" s="50">
        <v>0.44</v>
      </c>
      <c r="W159" s="74">
        <v>0.22700000000000001</v>
      </c>
      <c r="X159" s="50">
        <v>1.48</v>
      </c>
      <c r="Y159" s="74">
        <v>0.98199999999999998</v>
      </c>
      <c r="Z159" s="164">
        <v>1</v>
      </c>
      <c r="AA159" s="165">
        <v>1</v>
      </c>
      <c r="AB159" s="50">
        <v>738</v>
      </c>
      <c r="AC159" s="74">
        <v>1356</v>
      </c>
      <c r="AD159" s="164">
        <f>17/20</f>
        <v>0.85</v>
      </c>
      <c r="AN159" s="50"/>
      <c r="AO159" s="49"/>
      <c r="AV159"/>
    </row>
    <row r="160" spans="1:50" ht="15" customHeight="1">
      <c r="A160" s="88" t="s">
        <v>68</v>
      </c>
      <c r="B160" s="50" t="s">
        <v>3304</v>
      </c>
      <c r="C160" s="7" t="s">
        <v>3332</v>
      </c>
      <c r="D160" s="48" t="s">
        <v>3286</v>
      </c>
      <c r="F160" s="48" t="s">
        <v>3333</v>
      </c>
      <c r="G160" s="76" t="s">
        <v>3334</v>
      </c>
      <c r="H160" s="50">
        <v>4953</v>
      </c>
      <c r="I160" s="49" t="s">
        <v>2</v>
      </c>
      <c r="J160" s="50" t="s">
        <v>510</v>
      </c>
      <c r="K160" s="51">
        <v>40920</v>
      </c>
      <c r="L160" s="115">
        <v>40909</v>
      </c>
      <c r="M160" s="50">
        <f t="shared" si="9"/>
        <v>11</v>
      </c>
      <c r="N160" s="50" t="s">
        <v>2</v>
      </c>
      <c r="O160" s="74">
        <v>41</v>
      </c>
      <c r="P160" s="50">
        <v>7.53</v>
      </c>
      <c r="Q160" s="74">
        <v>9.19</v>
      </c>
      <c r="R160" s="50">
        <v>160</v>
      </c>
      <c r="S160" s="74">
        <v>4100</v>
      </c>
      <c r="T160" s="50">
        <v>2.16</v>
      </c>
      <c r="U160" s="74">
        <v>10.7</v>
      </c>
      <c r="V160" s="50">
        <v>7.0000000000000007E-2</v>
      </c>
      <c r="W160" s="74">
        <v>0.29799999999999999</v>
      </c>
      <c r="X160" s="50">
        <v>2.7</v>
      </c>
      <c r="Y160" s="74">
        <v>2.31</v>
      </c>
      <c r="Z160" s="164">
        <v>0.379</v>
      </c>
      <c r="AA160" s="165">
        <v>0.35399999999999998</v>
      </c>
      <c r="AB160" s="50">
        <v>688</v>
      </c>
      <c r="AC160" s="74">
        <v>1196</v>
      </c>
      <c r="AD160" s="164">
        <f>0/20</f>
        <v>0</v>
      </c>
      <c r="AN160" s="50"/>
      <c r="AO160" s="49"/>
      <c r="AV160"/>
    </row>
    <row r="161" spans="1:48" ht="15" customHeight="1">
      <c r="A161" s="88" t="s">
        <v>68</v>
      </c>
      <c r="B161" s="50" t="s">
        <v>3304</v>
      </c>
      <c r="C161" s="7" t="s">
        <v>3335</v>
      </c>
      <c r="D161" s="48" t="s">
        <v>3286</v>
      </c>
      <c r="F161" s="48" t="s">
        <v>3336</v>
      </c>
      <c r="G161" s="76" t="s">
        <v>3337</v>
      </c>
      <c r="H161" s="50">
        <v>5093</v>
      </c>
      <c r="I161" s="49" t="s">
        <v>2</v>
      </c>
      <c r="J161" s="50" t="s">
        <v>510</v>
      </c>
      <c r="K161" s="51">
        <v>41332</v>
      </c>
      <c r="L161" s="115">
        <v>41329</v>
      </c>
      <c r="M161" s="50">
        <f t="shared" si="9"/>
        <v>3</v>
      </c>
      <c r="N161" s="50" t="s">
        <v>2</v>
      </c>
      <c r="O161" s="74">
        <v>19</v>
      </c>
      <c r="P161" s="50">
        <v>7.73</v>
      </c>
      <c r="Q161" s="74">
        <v>7.59</v>
      </c>
      <c r="R161" s="50">
        <v>475</v>
      </c>
      <c r="S161" s="74">
        <v>340</v>
      </c>
      <c r="T161" s="50">
        <v>0.96</v>
      </c>
      <c r="U161" s="74">
        <v>6.05</v>
      </c>
      <c r="V161" s="50">
        <v>0.09</v>
      </c>
      <c r="W161" s="74">
        <v>0.107</v>
      </c>
      <c r="X161" s="50">
        <v>0.75600000000000001</v>
      </c>
      <c r="Y161" s="74">
        <v>0.17199999999999999</v>
      </c>
      <c r="Z161" s="164">
        <v>1</v>
      </c>
      <c r="AA161" s="165">
        <v>1</v>
      </c>
      <c r="AB161" s="50">
        <v>100</v>
      </c>
      <c r="AC161" s="74">
        <v>336</v>
      </c>
      <c r="AD161" s="164">
        <f>20/20</f>
        <v>1</v>
      </c>
      <c r="AN161" s="50"/>
      <c r="AO161" s="49"/>
      <c r="AV161"/>
    </row>
    <row r="162" spans="1:48" ht="15" customHeight="1">
      <c r="A162" s="293" t="s">
        <v>68</v>
      </c>
      <c r="B162" s="50" t="s">
        <v>3304</v>
      </c>
      <c r="C162" s="7" t="s">
        <v>3335</v>
      </c>
      <c r="D162" s="48" t="s">
        <v>3286</v>
      </c>
      <c r="F162" s="50" t="s">
        <v>3336</v>
      </c>
      <c r="G162" s="76" t="s">
        <v>3337</v>
      </c>
      <c r="H162" s="50">
        <v>5093</v>
      </c>
      <c r="I162" s="49" t="s">
        <v>2</v>
      </c>
      <c r="J162" s="50" t="s">
        <v>510</v>
      </c>
      <c r="K162" s="51">
        <v>40920</v>
      </c>
      <c r="L162" s="115">
        <v>40911</v>
      </c>
      <c r="M162" s="50">
        <f t="shared" si="9"/>
        <v>9</v>
      </c>
      <c r="N162" s="50" t="s">
        <v>2</v>
      </c>
      <c r="O162" s="74">
        <v>21</v>
      </c>
      <c r="P162" s="50">
        <v>6.5</v>
      </c>
      <c r="Q162" s="74">
        <v>7.52</v>
      </c>
      <c r="R162" s="50">
        <v>39</v>
      </c>
      <c r="S162" s="74">
        <v>190</v>
      </c>
      <c r="T162" s="50">
        <v>0.43</v>
      </c>
      <c r="U162" s="74">
        <v>1.85</v>
      </c>
      <c r="V162" s="50">
        <v>7.0000000000000007E-2</v>
      </c>
      <c r="W162" s="74">
        <v>4.1000000000000002E-2</v>
      </c>
      <c r="X162" s="50">
        <v>0.26</v>
      </c>
      <c r="Y162" s="74">
        <v>8.5000000000000006E-2</v>
      </c>
      <c r="Z162" s="164">
        <v>1</v>
      </c>
      <c r="AA162" s="165">
        <v>1</v>
      </c>
      <c r="AB162" s="50">
        <v>30</v>
      </c>
      <c r="AC162" s="74">
        <v>71</v>
      </c>
      <c r="AD162" s="164">
        <v>1</v>
      </c>
      <c r="AN162" s="50"/>
      <c r="AO162" s="49"/>
      <c r="AV162"/>
    </row>
    <row r="163" spans="1:48" ht="15" customHeight="1">
      <c r="A163" s="88" t="s">
        <v>68</v>
      </c>
      <c r="B163" s="50" t="s">
        <v>3339</v>
      </c>
      <c r="C163" s="7" t="s">
        <v>3340</v>
      </c>
      <c r="D163" s="48" t="s">
        <v>735</v>
      </c>
      <c r="F163" s="50" t="s">
        <v>3341</v>
      </c>
      <c r="G163" s="76" t="s">
        <v>3342</v>
      </c>
      <c r="H163" s="50">
        <v>4212</v>
      </c>
      <c r="I163" s="49" t="s">
        <v>2</v>
      </c>
      <c r="J163" s="50" t="s">
        <v>510</v>
      </c>
      <c r="K163" s="51">
        <v>40920</v>
      </c>
      <c r="L163" s="115">
        <v>40909</v>
      </c>
      <c r="M163" s="50">
        <f t="shared" si="9"/>
        <v>11</v>
      </c>
      <c r="N163" s="50" t="s">
        <v>2</v>
      </c>
      <c r="O163" s="74">
        <v>3.7</v>
      </c>
      <c r="P163" s="50">
        <v>7.53</v>
      </c>
      <c r="Q163" s="74">
        <v>7.48</v>
      </c>
      <c r="R163" s="50">
        <v>28</v>
      </c>
      <c r="S163" s="74">
        <v>30</v>
      </c>
      <c r="T163" s="50">
        <v>0.26</v>
      </c>
      <c r="U163" s="74">
        <v>2.2400000000000002</v>
      </c>
      <c r="V163" s="50">
        <v>0.16</v>
      </c>
      <c r="W163" s="74">
        <v>0.01</v>
      </c>
      <c r="X163" s="50">
        <v>0.10100000000000001</v>
      </c>
      <c r="Y163" s="74">
        <v>7.0000000000000001E-3</v>
      </c>
      <c r="Z163" s="164">
        <v>1</v>
      </c>
      <c r="AA163" s="165">
        <v>1</v>
      </c>
      <c r="AB163" s="50">
        <v>10</v>
      </c>
      <c r="AC163" s="74">
        <v>43</v>
      </c>
      <c r="AD163" s="164">
        <v>1</v>
      </c>
      <c r="AN163" s="50"/>
      <c r="AO163" s="49"/>
      <c r="AV163"/>
    </row>
    <row r="164" spans="1:48" ht="15" customHeight="1">
      <c r="A164" s="88" t="s">
        <v>68</v>
      </c>
      <c r="B164" s="50" t="s">
        <v>3339</v>
      </c>
      <c r="C164" s="7" t="s">
        <v>3340</v>
      </c>
      <c r="D164" s="48" t="s">
        <v>735</v>
      </c>
      <c r="F164" s="50" t="s">
        <v>3341</v>
      </c>
      <c r="G164" s="76" t="s">
        <v>3342</v>
      </c>
      <c r="H164" s="50">
        <v>4212</v>
      </c>
      <c r="I164" s="49" t="s">
        <v>2</v>
      </c>
      <c r="J164" s="50" t="s">
        <v>510</v>
      </c>
      <c r="K164" s="51">
        <v>41085</v>
      </c>
      <c r="L164" s="115">
        <v>41073</v>
      </c>
      <c r="M164" s="50">
        <f t="shared" si="9"/>
        <v>12</v>
      </c>
      <c r="N164" s="50" t="s">
        <v>2</v>
      </c>
      <c r="O164" s="74">
        <f>1.4/2</f>
        <v>0.7</v>
      </c>
      <c r="P164" s="50">
        <v>7.22</v>
      </c>
      <c r="Q164" s="74">
        <v>6.5</v>
      </c>
      <c r="R164" s="50">
        <v>59</v>
      </c>
      <c r="S164" s="74">
        <v>32</v>
      </c>
      <c r="T164" s="50">
        <v>0.09</v>
      </c>
      <c r="U164" s="74">
        <v>7.22</v>
      </c>
      <c r="V164" s="50">
        <v>0.81</v>
      </c>
      <c r="W164" s="74">
        <v>0.01</v>
      </c>
      <c r="X164" s="50">
        <v>5.8000000000000003E-2</v>
      </c>
      <c r="Y164" s="74">
        <f>0.002/2</f>
        <v>1E-3</v>
      </c>
      <c r="AN164" s="50"/>
      <c r="AO164" s="49"/>
      <c r="AV164"/>
    </row>
    <row r="165" spans="1:48" ht="15" customHeight="1">
      <c r="A165" s="88" t="s">
        <v>68</v>
      </c>
      <c r="B165" s="50" t="s">
        <v>3304</v>
      </c>
      <c r="C165" s="7" t="s">
        <v>3335</v>
      </c>
      <c r="D165" s="48" t="s">
        <v>3286</v>
      </c>
      <c r="F165" s="50" t="s">
        <v>3333</v>
      </c>
      <c r="G165" s="76" t="s">
        <v>3338</v>
      </c>
      <c r="H165" s="50">
        <v>4943</v>
      </c>
      <c r="I165" s="49" t="s">
        <v>2</v>
      </c>
      <c r="J165" s="50" t="s">
        <v>510</v>
      </c>
      <c r="K165" s="51">
        <v>41226</v>
      </c>
      <c r="L165" s="115">
        <v>41222</v>
      </c>
      <c r="M165" s="50">
        <f t="shared" si="9"/>
        <v>4</v>
      </c>
      <c r="N165" s="50" t="s">
        <v>2</v>
      </c>
      <c r="O165" s="74">
        <v>2.8</v>
      </c>
      <c r="P165" s="50">
        <v>6.5</v>
      </c>
      <c r="Q165" s="74">
        <v>8.35</v>
      </c>
      <c r="R165" s="50">
        <v>61</v>
      </c>
      <c r="S165" s="74">
        <v>160</v>
      </c>
      <c r="T165" s="50">
        <v>0.37</v>
      </c>
      <c r="U165" s="74">
        <v>1.7</v>
      </c>
      <c r="V165" s="50">
        <v>0.47</v>
      </c>
      <c r="W165" s="74">
        <v>2.1000000000000001E-2</v>
      </c>
      <c r="X165" s="50">
        <v>0.13100000000000001</v>
      </c>
      <c r="Y165" s="74">
        <v>2.5999999999999999E-2</v>
      </c>
      <c r="AN165" s="50"/>
      <c r="AO165" s="49"/>
      <c r="AV165"/>
    </row>
    <row r="166" spans="1:48" ht="15" customHeight="1">
      <c r="A166" s="88" t="s">
        <v>68</v>
      </c>
      <c r="B166" s="50" t="s">
        <v>3297</v>
      </c>
      <c r="C166" s="7" t="s">
        <v>3343</v>
      </c>
      <c r="D166" s="48" t="s">
        <v>1837</v>
      </c>
      <c r="E166" s="50" t="s">
        <v>3299</v>
      </c>
      <c r="G166" s="76" t="s">
        <v>3344</v>
      </c>
      <c r="H166" s="50">
        <v>4212</v>
      </c>
      <c r="I166" s="49" t="s">
        <v>2</v>
      </c>
      <c r="J166" s="50" t="s">
        <v>96</v>
      </c>
      <c r="K166" s="51">
        <v>40920</v>
      </c>
      <c r="L166" s="115">
        <v>40904</v>
      </c>
      <c r="M166" s="50">
        <f t="shared" si="9"/>
        <v>16</v>
      </c>
      <c r="N166" s="50" t="s">
        <v>2</v>
      </c>
      <c r="O166" s="74">
        <v>190</v>
      </c>
      <c r="P166" s="50">
        <v>5</v>
      </c>
      <c r="Q166" s="74">
        <v>8.25</v>
      </c>
      <c r="R166" s="50">
        <v>590</v>
      </c>
      <c r="S166" s="74">
        <v>1400</v>
      </c>
      <c r="T166" s="50">
        <v>1.01</v>
      </c>
      <c r="U166" s="74">
        <v>3.9</v>
      </c>
      <c r="V166" s="50">
        <v>0.1</v>
      </c>
      <c r="W166" s="74">
        <v>0.16700000000000001</v>
      </c>
      <c r="X166" s="50">
        <v>0.64100000000000001</v>
      </c>
      <c r="Y166" s="74">
        <v>0.21099999999999999</v>
      </c>
      <c r="Z166" s="164">
        <v>1</v>
      </c>
      <c r="AA166" s="165">
        <v>1</v>
      </c>
      <c r="AB166" s="50">
        <v>14</v>
      </c>
      <c r="AC166" s="74">
        <v>639</v>
      </c>
      <c r="AD166" s="164">
        <f>20/20</f>
        <v>1</v>
      </c>
      <c r="AN166" s="50"/>
      <c r="AO166" s="49"/>
      <c r="AV166"/>
    </row>
    <row r="167" spans="1:48" ht="15" customHeight="1">
      <c r="A167" s="88" t="s">
        <v>68</v>
      </c>
      <c r="B167" s="50" t="s">
        <v>3345</v>
      </c>
      <c r="C167" s="7" t="s">
        <v>3346</v>
      </c>
      <c r="D167" s="48" t="s">
        <v>756</v>
      </c>
      <c r="E167" s="50" t="s">
        <v>3347</v>
      </c>
      <c r="F167" s="48"/>
      <c r="G167" s="76" t="s">
        <v>3348</v>
      </c>
      <c r="H167" s="50">
        <v>4953</v>
      </c>
      <c r="I167" s="49" t="s">
        <v>2</v>
      </c>
      <c r="J167" s="50" t="s">
        <v>3349</v>
      </c>
      <c r="K167" s="51">
        <v>41205</v>
      </c>
      <c r="L167" s="115">
        <v>41201</v>
      </c>
      <c r="M167" s="50">
        <f t="shared" si="9"/>
        <v>4</v>
      </c>
      <c r="N167" s="50" t="s">
        <v>2</v>
      </c>
      <c r="O167" s="74">
        <v>4.0999999999999996</v>
      </c>
      <c r="P167" s="50">
        <v>6.72</v>
      </c>
      <c r="Q167" s="74">
        <v>7.61</v>
      </c>
      <c r="R167" s="50">
        <v>48</v>
      </c>
      <c r="S167" s="74">
        <v>110</v>
      </c>
      <c r="T167" s="50">
        <v>0.13</v>
      </c>
      <c r="U167" s="74">
        <v>1.1100000000000001</v>
      </c>
      <c r="V167" s="50">
        <v>0.06</v>
      </c>
      <c r="W167" s="74">
        <v>1.0999999999999999E-2</v>
      </c>
      <c r="X167" s="50">
        <v>2.5000000000000001E-2</v>
      </c>
      <c r="Y167" s="74">
        <v>2.8000000000000001E-2</v>
      </c>
      <c r="AN167" s="50"/>
      <c r="AO167" s="49"/>
      <c r="AV167"/>
    </row>
    <row r="168" spans="1:48" ht="15" customHeight="1">
      <c r="A168" s="88" t="s">
        <v>68</v>
      </c>
      <c r="B168" s="50" t="s">
        <v>3352</v>
      </c>
      <c r="C168" s="7" t="s">
        <v>3353</v>
      </c>
      <c r="D168" s="48" t="s">
        <v>1537</v>
      </c>
      <c r="F168" s="48" t="s">
        <v>3354</v>
      </c>
      <c r="G168" s="76" t="s">
        <v>3586</v>
      </c>
      <c r="H168" s="50">
        <v>4953</v>
      </c>
      <c r="I168" s="49" t="s">
        <v>1</v>
      </c>
      <c r="J168" s="50" t="s">
        <v>74</v>
      </c>
      <c r="K168" s="51">
        <v>41170</v>
      </c>
      <c r="L168" s="115">
        <v>41157</v>
      </c>
      <c r="M168" s="50">
        <f t="shared" si="9"/>
        <v>13</v>
      </c>
      <c r="N168" s="50" t="s">
        <v>2</v>
      </c>
      <c r="O168" s="74">
        <v>9.5</v>
      </c>
      <c r="Q168" s="74">
        <v>6.3</v>
      </c>
      <c r="R168" s="50">
        <v>33</v>
      </c>
      <c r="S168" s="74">
        <v>430</v>
      </c>
      <c r="T168" s="50">
        <v>0.38</v>
      </c>
      <c r="U168" s="74">
        <v>2.7</v>
      </c>
      <c r="V168" s="50">
        <v>0.23</v>
      </c>
      <c r="W168" s="74">
        <v>9.9000000000000005E-2</v>
      </c>
      <c r="X168" s="50">
        <v>0.63</v>
      </c>
      <c r="Y168" s="74">
        <v>6.6000000000000003E-2</v>
      </c>
      <c r="AN168" s="50"/>
      <c r="AO168" s="49"/>
      <c r="AV168"/>
    </row>
    <row r="169" spans="1:48" ht="15" customHeight="1">
      <c r="A169" s="88" t="s">
        <v>68</v>
      </c>
      <c r="B169" s="50" t="s">
        <v>2107</v>
      </c>
      <c r="C169" s="7" t="s">
        <v>2546</v>
      </c>
      <c r="D169" s="48" t="s">
        <v>308</v>
      </c>
      <c r="E169" s="50" t="s">
        <v>599</v>
      </c>
      <c r="F169" s="48"/>
      <c r="G169" s="76" t="s">
        <v>3015</v>
      </c>
      <c r="H169" s="50">
        <v>4953</v>
      </c>
      <c r="I169" s="49" t="s">
        <v>1</v>
      </c>
      <c r="J169" s="50" t="s">
        <v>74</v>
      </c>
      <c r="K169" s="51">
        <v>41170</v>
      </c>
      <c r="L169" s="115">
        <v>41160</v>
      </c>
      <c r="M169" s="50">
        <f t="shared" si="9"/>
        <v>10</v>
      </c>
      <c r="N169" s="50" t="s">
        <v>2</v>
      </c>
      <c r="O169" s="74">
        <f>2/2</f>
        <v>1</v>
      </c>
      <c r="Q169" s="74">
        <v>7.3</v>
      </c>
      <c r="R169" s="50">
        <v>31</v>
      </c>
      <c r="S169" s="74">
        <v>102</v>
      </c>
      <c r="T169" s="50">
        <v>0.08</v>
      </c>
      <c r="U169" s="74">
        <v>13.1</v>
      </c>
      <c r="V169" s="50">
        <v>0.71</v>
      </c>
      <c r="W169" s="74">
        <v>2.3E-2</v>
      </c>
      <c r="X169" s="50">
        <v>0.161</v>
      </c>
      <c r="Y169" s="74">
        <f>0.03/2</f>
        <v>1.4999999999999999E-2</v>
      </c>
      <c r="Z169" s="164">
        <v>1</v>
      </c>
      <c r="AA169" s="165">
        <v>1</v>
      </c>
      <c r="AB169" s="50">
        <v>276</v>
      </c>
      <c r="AC169" s="74">
        <v>945</v>
      </c>
      <c r="AD169" s="164">
        <f>20/20</f>
        <v>1</v>
      </c>
      <c r="AE169" s="50">
        <v>34.6</v>
      </c>
      <c r="AN169" s="50"/>
      <c r="AO169" s="49"/>
      <c r="AV169"/>
    </row>
    <row r="170" spans="1:48" ht="15" customHeight="1">
      <c r="A170" s="88" t="s">
        <v>68</v>
      </c>
      <c r="B170" s="50" t="s">
        <v>3355</v>
      </c>
      <c r="D170" s="48" t="s">
        <v>2328</v>
      </c>
      <c r="F170" s="48"/>
      <c r="G170" s="76" t="s">
        <v>3175</v>
      </c>
      <c r="I170" s="49" t="s">
        <v>1</v>
      </c>
      <c r="J170" s="50" t="s">
        <v>75</v>
      </c>
      <c r="K170" s="51">
        <v>41170</v>
      </c>
      <c r="L170" s="115"/>
      <c r="N170" s="50" t="s">
        <v>2</v>
      </c>
      <c r="O170" s="74">
        <v>5.3</v>
      </c>
      <c r="P170" s="50">
        <v>7.5</v>
      </c>
      <c r="Q170" s="74">
        <v>8</v>
      </c>
      <c r="R170" s="50">
        <v>35</v>
      </c>
      <c r="S170" s="74">
        <v>12</v>
      </c>
      <c r="T170" s="50">
        <v>0.06</v>
      </c>
      <c r="U170" s="74">
        <v>1.46</v>
      </c>
      <c r="V170" s="50">
        <v>1.62</v>
      </c>
      <c r="W170" s="74">
        <v>0.01</v>
      </c>
      <c r="X170" s="50">
        <f>0.03/2</f>
        <v>1.4999999999999999E-2</v>
      </c>
      <c r="Y170" s="74">
        <v>5.7000000000000002E-2</v>
      </c>
      <c r="AE170" s="50">
        <v>0.44</v>
      </c>
      <c r="AN170" s="50"/>
      <c r="AO170" s="49">
        <v>7500</v>
      </c>
      <c r="AV170"/>
    </row>
    <row r="171" spans="1:48" ht="15" customHeight="1">
      <c r="A171" s="88" t="s">
        <v>68</v>
      </c>
      <c r="B171" s="50" t="s">
        <v>1457</v>
      </c>
      <c r="D171" s="48" t="s">
        <v>156</v>
      </c>
      <c r="E171" s="50" t="s">
        <v>3356</v>
      </c>
      <c r="G171" s="76" t="s">
        <v>1462</v>
      </c>
      <c r="H171" s="50">
        <v>4953</v>
      </c>
      <c r="I171" s="49" t="s">
        <v>1</v>
      </c>
      <c r="J171" s="50" t="s">
        <v>569</v>
      </c>
      <c r="K171" s="51">
        <v>41201</v>
      </c>
      <c r="L171" s="115">
        <v>41187</v>
      </c>
      <c r="M171" s="50">
        <f>K171-L171</f>
        <v>14</v>
      </c>
      <c r="N171" s="50" t="s">
        <v>2</v>
      </c>
      <c r="O171" s="74">
        <v>3.3</v>
      </c>
      <c r="P171" s="50">
        <v>6.5</v>
      </c>
      <c r="Q171" s="74">
        <v>8.1999999999999993</v>
      </c>
      <c r="R171" s="50">
        <v>136</v>
      </c>
      <c r="S171" s="74">
        <v>756</v>
      </c>
      <c r="T171" s="50">
        <v>0.95</v>
      </c>
      <c r="U171" s="74">
        <v>2.67</v>
      </c>
      <c r="V171" s="50">
        <v>0.23</v>
      </c>
      <c r="W171" s="74">
        <v>0.14000000000000001</v>
      </c>
      <c r="X171" s="50">
        <v>0.35299999999999998</v>
      </c>
      <c r="Y171" s="74">
        <v>0.17299999999999999</v>
      </c>
      <c r="AE171" s="50">
        <v>28.6</v>
      </c>
      <c r="AF171" s="50">
        <f>3/2</f>
        <v>1.5</v>
      </c>
      <c r="AG171" s="50">
        <v>756</v>
      </c>
      <c r="AH171" s="50">
        <f>0.05/2</f>
        <v>2.5000000000000001E-2</v>
      </c>
      <c r="AI171" s="50">
        <f>0.01/2</f>
        <v>5.0000000000000001E-3</v>
      </c>
      <c r="AJ171" s="50">
        <f>0.05/2</f>
        <v>2.5000000000000001E-2</v>
      </c>
      <c r="AK171" s="50">
        <f>0.02/2</f>
        <v>0.01</v>
      </c>
      <c r="AL171" s="50">
        <f>0.02/2</f>
        <v>0.01</v>
      </c>
      <c r="AM171" s="50">
        <v>0.16</v>
      </c>
      <c r="AN171" s="50">
        <v>8.1999999999999993</v>
      </c>
      <c r="AO171" s="49"/>
      <c r="AV171"/>
    </row>
    <row r="172" spans="1:48" ht="15" customHeight="1">
      <c r="A172" s="88" t="s">
        <v>68</v>
      </c>
      <c r="B172" s="50" t="s">
        <v>2107</v>
      </c>
      <c r="C172" s="7" t="s">
        <v>2546</v>
      </c>
      <c r="D172" s="48" t="s">
        <v>308</v>
      </c>
      <c r="E172" s="50" t="s">
        <v>3357</v>
      </c>
      <c r="F172" s="287"/>
      <c r="G172" s="76" t="s">
        <v>3015</v>
      </c>
      <c r="H172" s="287">
        <v>4953</v>
      </c>
      <c r="I172" s="301" t="s">
        <v>1</v>
      </c>
      <c r="J172" s="287" t="s">
        <v>194</v>
      </c>
      <c r="K172" s="72">
        <v>41085</v>
      </c>
      <c r="L172" s="71"/>
      <c r="N172" s="50" t="s">
        <v>2</v>
      </c>
      <c r="AE172" s="50">
        <v>2.84</v>
      </c>
      <c r="AN172" s="50"/>
      <c r="AO172" s="49"/>
      <c r="AV172"/>
    </row>
    <row r="173" spans="1:48" ht="15" customHeight="1">
      <c r="A173" s="88" t="s">
        <v>68</v>
      </c>
      <c r="B173" s="50" t="s">
        <v>2107</v>
      </c>
      <c r="C173" s="7" t="s">
        <v>2546</v>
      </c>
      <c r="D173" s="48" t="s">
        <v>308</v>
      </c>
      <c r="E173" s="50" t="s">
        <v>235</v>
      </c>
      <c r="G173" s="76" t="s">
        <v>3015</v>
      </c>
      <c r="H173" s="50">
        <v>4953</v>
      </c>
      <c r="I173" s="49" t="s">
        <v>1</v>
      </c>
      <c r="J173" s="50" t="s">
        <v>194</v>
      </c>
      <c r="K173" s="51">
        <v>40996</v>
      </c>
      <c r="L173" s="115">
        <v>40971</v>
      </c>
      <c r="M173" s="50">
        <f>K173-L173</f>
        <v>25</v>
      </c>
      <c r="N173" s="50" t="s">
        <v>2</v>
      </c>
      <c r="O173" s="74">
        <v>2.4</v>
      </c>
      <c r="Q173" s="74">
        <v>7.1</v>
      </c>
      <c r="R173" s="50">
        <v>26</v>
      </c>
      <c r="S173" s="74">
        <v>46</v>
      </c>
      <c r="T173" s="50">
        <v>0.1</v>
      </c>
      <c r="U173" s="74">
        <v>3.77</v>
      </c>
      <c r="V173" s="50">
        <v>1.1299999999999999</v>
      </c>
      <c r="W173" s="74">
        <v>3.2000000000000001E-2</v>
      </c>
      <c r="X173" s="50">
        <v>0.14099999999999999</v>
      </c>
      <c r="Y173" s="74">
        <f>0.03/2</f>
        <v>1.4999999999999999E-2</v>
      </c>
      <c r="AE173" s="50">
        <v>10.4</v>
      </c>
      <c r="AN173" s="50"/>
      <c r="AO173" s="49"/>
      <c r="AV173"/>
    </row>
    <row r="174" spans="1:48" ht="15" customHeight="1">
      <c r="A174" s="88" t="s">
        <v>68</v>
      </c>
      <c r="B174" s="50" t="s">
        <v>3355</v>
      </c>
      <c r="D174" s="48" t="s">
        <v>480</v>
      </c>
      <c r="G174" s="76" t="s">
        <v>3175</v>
      </c>
      <c r="I174" s="49" t="s">
        <v>1</v>
      </c>
      <c r="J174" s="50" t="s">
        <v>74</v>
      </c>
      <c r="K174" s="51">
        <v>41030</v>
      </c>
      <c r="L174" s="115"/>
      <c r="N174" s="50" t="s">
        <v>2</v>
      </c>
      <c r="O174" s="74">
        <f>2/2</f>
        <v>1</v>
      </c>
      <c r="Q174" s="74">
        <v>7</v>
      </c>
      <c r="R174" s="50">
        <v>13</v>
      </c>
      <c r="S174" s="74">
        <v>4</v>
      </c>
      <c r="T174" s="50">
        <v>0.05</v>
      </c>
      <c r="U174" s="74">
        <v>1</v>
      </c>
      <c r="V174" s="50">
        <v>1.06</v>
      </c>
      <c r="W174" s="74">
        <v>1.2999999999999999E-2</v>
      </c>
      <c r="X174" s="50">
        <f>0.03/2</f>
        <v>1.4999999999999999E-2</v>
      </c>
      <c r="Y174" s="74">
        <f>0.03/2</f>
        <v>1.4999999999999999E-2</v>
      </c>
      <c r="Z174" s="164">
        <v>1</v>
      </c>
      <c r="AA174" s="165">
        <v>1</v>
      </c>
      <c r="AB174" s="50">
        <v>171</v>
      </c>
      <c r="AC174" s="74">
        <v>461</v>
      </c>
      <c r="AD174" s="164">
        <v>1</v>
      </c>
      <c r="AE174" s="50">
        <f>0.29</f>
        <v>0.28999999999999998</v>
      </c>
      <c r="AN174" s="50"/>
      <c r="AO174" s="49">
        <f>100/2</f>
        <v>50</v>
      </c>
      <c r="AV174"/>
    </row>
    <row r="175" spans="1:48" ht="15" customHeight="1">
      <c r="A175" s="88" t="s">
        <v>68</v>
      </c>
      <c r="B175" s="50" t="s">
        <v>3358</v>
      </c>
      <c r="C175" s="7" t="s">
        <v>3359</v>
      </c>
      <c r="D175" s="48" t="s">
        <v>1540</v>
      </c>
      <c r="E175" s="50" t="s">
        <v>3360</v>
      </c>
      <c r="F175" s="48" t="s">
        <v>3361</v>
      </c>
      <c r="G175" s="76" t="s">
        <v>3362</v>
      </c>
      <c r="H175" s="50">
        <v>4953</v>
      </c>
      <c r="I175" s="49" t="s">
        <v>2</v>
      </c>
      <c r="J175" s="50" t="s">
        <v>3363</v>
      </c>
      <c r="K175" s="51">
        <v>41170</v>
      </c>
      <c r="L175" s="115">
        <v>41157</v>
      </c>
      <c r="M175" s="50">
        <f>K175-L175</f>
        <v>13</v>
      </c>
      <c r="N175" s="50" t="s">
        <v>2</v>
      </c>
      <c r="O175" s="74">
        <f>4.8/2</f>
        <v>2.4</v>
      </c>
      <c r="Q175" s="74">
        <v>5.84</v>
      </c>
      <c r="R175" s="50">
        <f>20/2</f>
        <v>10</v>
      </c>
      <c r="S175" s="74">
        <v>84</v>
      </c>
      <c r="T175" s="50">
        <v>0.15</v>
      </c>
      <c r="U175" s="74">
        <f>1/2</f>
        <v>0.5</v>
      </c>
      <c r="V175" s="50">
        <v>0.12</v>
      </c>
      <c r="W175" s="74">
        <v>1.7999999999999999E-2</v>
      </c>
      <c r="X175" s="50">
        <v>0.15</v>
      </c>
      <c r="Y175" s="74">
        <v>1.9E-2</v>
      </c>
      <c r="AN175" s="50"/>
      <c r="AO175" s="49"/>
      <c r="AV175"/>
    </row>
    <row r="176" spans="1:48" ht="15" customHeight="1">
      <c r="A176" s="88" t="s">
        <v>68</v>
      </c>
      <c r="B176" s="50" t="s">
        <v>3358</v>
      </c>
      <c r="C176" s="7" t="s">
        <v>3359</v>
      </c>
      <c r="D176" s="48" t="s">
        <v>1540</v>
      </c>
      <c r="E176" s="50" t="s">
        <v>3360</v>
      </c>
      <c r="F176" s="48" t="s">
        <v>3361</v>
      </c>
      <c r="G176" s="76" t="s">
        <v>3362</v>
      </c>
      <c r="H176" s="50">
        <v>4953</v>
      </c>
      <c r="I176" s="49" t="s">
        <v>2</v>
      </c>
      <c r="J176" s="50" t="s">
        <v>569</v>
      </c>
      <c r="K176" s="51">
        <v>41170</v>
      </c>
      <c r="L176" s="115">
        <v>41157</v>
      </c>
      <c r="M176" s="50">
        <f>K176-L176</f>
        <v>13</v>
      </c>
      <c r="N176" s="50" t="s">
        <v>2</v>
      </c>
      <c r="O176" s="74">
        <f>4.8/2</f>
        <v>2.4</v>
      </c>
      <c r="Q176" s="74">
        <v>5.73</v>
      </c>
      <c r="R176" s="50">
        <f>20/2</f>
        <v>10</v>
      </c>
      <c r="S176" s="74">
        <v>83</v>
      </c>
      <c r="T176" s="50">
        <v>0.12</v>
      </c>
      <c r="U176" s="74">
        <f>1/2</f>
        <v>0.5</v>
      </c>
      <c r="V176" s="50">
        <v>0.12</v>
      </c>
      <c r="W176" s="74">
        <v>1.7000000000000001E-2</v>
      </c>
      <c r="X176" s="50">
        <v>1.7999999999999999E-2</v>
      </c>
      <c r="Y176" s="74">
        <v>0.14000000000000001</v>
      </c>
      <c r="AN176" s="50"/>
      <c r="AO176" s="49"/>
      <c r="AV176"/>
    </row>
    <row r="177" spans="1:48" ht="15" customHeight="1">
      <c r="A177" s="88" t="s">
        <v>68</v>
      </c>
      <c r="B177" s="50" t="s">
        <v>3184</v>
      </c>
      <c r="C177" s="7" t="s">
        <v>3184</v>
      </c>
      <c r="D177" s="48" t="s">
        <v>2328</v>
      </c>
      <c r="E177" s="50" t="s">
        <v>3364</v>
      </c>
      <c r="F177" s="48" t="s">
        <v>3365</v>
      </c>
      <c r="G177" s="76" t="s">
        <v>3186</v>
      </c>
      <c r="H177" s="50">
        <v>4953</v>
      </c>
      <c r="I177" s="49" t="s">
        <v>2</v>
      </c>
      <c r="J177" s="50" t="s">
        <v>3187</v>
      </c>
      <c r="K177" s="51">
        <v>41030</v>
      </c>
      <c r="L177" s="115"/>
      <c r="N177" s="50" t="s">
        <v>2</v>
      </c>
      <c r="O177" s="74">
        <v>0.5</v>
      </c>
      <c r="P177" s="50">
        <v>7.1</v>
      </c>
      <c r="Q177" s="74">
        <v>4.95</v>
      </c>
      <c r="R177" s="50">
        <v>58.5</v>
      </c>
      <c r="S177" s="74">
        <v>4</v>
      </c>
      <c r="T177" s="50">
        <v>0.13</v>
      </c>
      <c r="U177" s="74">
        <v>2.46</v>
      </c>
      <c r="V177" s="50">
        <v>0.87</v>
      </c>
      <c r="W177" s="74">
        <v>1.0999999999999999E-2</v>
      </c>
      <c r="X177" s="50">
        <v>0.219</v>
      </c>
      <c r="Y177" s="74">
        <v>2E-3</v>
      </c>
      <c r="Z177" s="164">
        <v>1</v>
      </c>
      <c r="AA177" s="165">
        <v>0.66</v>
      </c>
      <c r="AB177" s="50">
        <v>10.93</v>
      </c>
      <c r="AC177" s="74">
        <v>64</v>
      </c>
      <c r="AD177" s="164">
        <v>0</v>
      </c>
      <c r="AN177" s="50"/>
      <c r="AO177" s="49"/>
      <c r="AV177"/>
    </row>
    <row r="178" spans="1:48" ht="15" customHeight="1">
      <c r="A178" s="88" t="s">
        <v>68</v>
      </c>
      <c r="B178" s="50" t="s">
        <v>3184</v>
      </c>
      <c r="C178" s="7" t="s">
        <v>3184</v>
      </c>
      <c r="D178" s="48" t="s">
        <v>2328</v>
      </c>
      <c r="E178" s="50" t="s">
        <v>3364</v>
      </c>
      <c r="F178" s="48" t="s">
        <v>3365</v>
      </c>
      <c r="G178" s="76" t="s">
        <v>3186</v>
      </c>
      <c r="H178" s="50">
        <v>4953</v>
      </c>
      <c r="I178" s="49" t="s">
        <v>2</v>
      </c>
      <c r="J178" s="50" t="s">
        <v>3187</v>
      </c>
      <c r="K178" s="51">
        <v>41149</v>
      </c>
      <c r="L178" s="115">
        <v>41141</v>
      </c>
      <c r="M178" s="50">
        <f t="shared" ref="M178:M215" si="10">K178-L178</f>
        <v>8</v>
      </c>
      <c r="N178" s="50" t="s">
        <v>2</v>
      </c>
      <c r="O178" s="74">
        <v>0.5</v>
      </c>
      <c r="P178" s="50">
        <v>7.5</v>
      </c>
      <c r="Q178" s="74">
        <v>3.61</v>
      </c>
      <c r="R178" s="50">
        <v>94.2</v>
      </c>
      <c r="S178" s="74">
        <v>32</v>
      </c>
      <c r="T178" s="50">
        <v>0.12</v>
      </c>
      <c r="U178" s="74">
        <v>3.31</v>
      </c>
      <c r="V178" s="50">
        <v>0.37</v>
      </c>
      <c r="W178" s="74">
        <v>0.02</v>
      </c>
      <c r="X178" s="50">
        <v>0.17100000000000001</v>
      </c>
      <c r="Y178" s="74">
        <v>7.0000000000000001E-3</v>
      </c>
      <c r="AN178" s="50"/>
      <c r="AO178" s="49"/>
      <c r="AV178"/>
    </row>
    <row r="179" spans="1:48" ht="15" customHeight="1">
      <c r="A179" s="88" t="s">
        <v>68</v>
      </c>
      <c r="B179" s="50" t="s">
        <v>2740</v>
      </c>
      <c r="C179" s="7" t="s">
        <v>3366</v>
      </c>
      <c r="D179" s="48" t="s">
        <v>2741</v>
      </c>
      <c r="E179" s="50" t="s">
        <v>3367</v>
      </c>
      <c r="F179" s="48" t="s">
        <v>3368</v>
      </c>
      <c r="G179" s="76" t="s">
        <v>3369</v>
      </c>
      <c r="H179" s="50">
        <v>4953</v>
      </c>
      <c r="I179" s="49" t="s">
        <v>2</v>
      </c>
      <c r="J179" s="50" t="s">
        <v>194</v>
      </c>
      <c r="K179" s="51">
        <v>41156</v>
      </c>
      <c r="L179" s="115">
        <v>41139</v>
      </c>
      <c r="M179" s="50">
        <f t="shared" si="10"/>
        <v>17</v>
      </c>
      <c r="N179" s="50" t="s">
        <v>2</v>
      </c>
      <c r="O179" s="74">
        <f>14/2</f>
        <v>7</v>
      </c>
      <c r="P179" s="50">
        <v>7.1</v>
      </c>
      <c r="Q179" s="74">
        <v>6.39</v>
      </c>
      <c r="R179" s="50">
        <v>55</v>
      </c>
      <c r="S179" s="74">
        <v>17</v>
      </c>
      <c r="T179" s="50">
        <v>0.52</v>
      </c>
      <c r="U179" s="74">
        <v>2.11</v>
      </c>
      <c r="V179" s="50">
        <v>0.13</v>
      </c>
      <c r="W179" s="74">
        <v>8.9999999999999993E-3</v>
      </c>
      <c r="X179" s="50">
        <v>8.3000000000000004E-2</v>
      </c>
      <c r="Y179" s="74">
        <v>3.0000000000000001E-3</v>
      </c>
      <c r="AE179" s="50">
        <v>0.57599999999999996</v>
      </c>
      <c r="AN179" s="50"/>
      <c r="AO179" s="49"/>
      <c r="AV179"/>
    </row>
    <row r="180" spans="1:48" ht="15" customHeight="1">
      <c r="A180" s="88" t="s">
        <v>68</v>
      </c>
      <c r="B180" s="50" t="s">
        <v>2740</v>
      </c>
      <c r="C180" s="7" t="s">
        <v>3366</v>
      </c>
      <c r="D180" s="48" t="s">
        <v>2741</v>
      </c>
      <c r="E180" s="50" t="s">
        <v>3367</v>
      </c>
      <c r="F180" s="48" t="s">
        <v>3368</v>
      </c>
      <c r="G180" s="76" t="s">
        <v>3369</v>
      </c>
      <c r="H180" s="50">
        <v>4953</v>
      </c>
      <c r="I180" s="49" t="s">
        <v>2</v>
      </c>
      <c r="J180" s="50" t="s">
        <v>569</v>
      </c>
      <c r="K180" s="51">
        <v>41156</v>
      </c>
      <c r="L180" s="115">
        <v>41139</v>
      </c>
      <c r="M180" s="50">
        <f t="shared" si="10"/>
        <v>17</v>
      </c>
      <c r="N180" s="50" t="s">
        <v>2</v>
      </c>
      <c r="O180" s="74">
        <f>14/2</f>
        <v>7</v>
      </c>
      <c r="P180" s="50">
        <v>7.1</v>
      </c>
      <c r="Q180" s="74">
        <v>6.28</v>
      </c>
      <c r="R180" s="50">
        <v>60</v>
      </c>
      <c r="S180" s="74">
        <v>10</v>
      </c>
      <c r="T180" s="50">
        <v>0.21</v>
      </c>
      <c r="U180" s="74">
        <v>1.58</v>
      </c>
      <c r="V180" s="50">
        <v>0.72</v>
      </c>
      <c r="W180" s="74">
        <v>8.0000000000000002E-3</v>
      </c>
      <c r="X180" s="50">
        <v>1.4999999999999999E-2</v>
      </c>
      <c r="Y180" s="74">
        <f>0.002/2</f>
        <v>1E-3</v>
      </c>
      <c r="AE180" s="50">
        <v>0.436</v>
      </c>
      <c r="AN180" s="50"/>
      <c r="AO180" s="49"/>
      <c r="AV180"/>
    </row>
    <row r="181" spans="1:48" ht="15" customHeight="1">
      <c r="A181" s="88" t="s">
        <v>68</v>
      </c>
      <c r="B181" s="50" t="s">
        <v>2740</v>
      </c>
      <c r="C181" s="7" t="s">
        <v>3366</v>
      </c>
      <c r="D181" s="48" t="s">
        <v>2741</v>
      </c>
      <c r="E181" s="50" t="s">
        <v>3367</v>
      </c>
      <c r="F181" s="48" t="s">
        <v>3368</v>
      </c>
      <c r="G181" s="76" t="s">
        <v>3369</v>
      </c>
      <c r="H181" s="50">
        <v>4953</v>
      </c>
      <c r="I181" s="49" t="s">
        <v>2</v>
      </c>
      <c r="J181" s="50" t="s">
        <v>194</v>
      </c>
      <c r="K181" s="51">
        <v>41270</v>
      </c>
      <c r="L181" s="115">
        <v>41264</v>
      </c>
      <c r="M181" s="50">
        <f t="shared" si="10"/>
        <v>6</v>
      </c>
      <c r="N181" s="50" t="s">
        <v>1</v>
      </c>
      <c r="AE181" s="50">
        <v>5.5</v>
      </c>
      <c r="AN181" s="50"/>
      <c r="AO181" s="49"/>
      <c r="AV181"/>
    </row>
    <row r="182" spans="1:48" ht="15" customHeight="1">
      <c r="A182" s="88" t="s">
        <v>68</v>
      </c>
      <c r="B182" s="50" t="s">
        <v>2740</v>
      </c>
      <c r="C182" s="7" t="s">
        <v>3366</v>
      </c>
      <c r="D182" s="48" t="s">
        <v>2741</v>
      </c>
      <c r="E182" s="50" t="s">
        <v>3367</v>
      </c>
      <c r="F182" s="48" t="s">
        <v>3368</v>
      </c>
      <c r="G182" s="76" t="s">
        <v>3369</v>
      </c>
      <c r="H182" s="50">
        <v>4953</v>
      </c>
      <c r="I182" s="49" t="s">
        <v>2</v>
      </c>
      <c r="J182" s="50" t="s">
        <v>569</v>
      </c>
      <c r="K182" s="51">
        <v>41270</v>
      </c>
      <c r="L182" s="115">
        <v>41264</v>
      </c>
      <c r="M182" s="50">
        <f t="shared" si="10"/>
        <v>6</v>
      </c>
      <c r="N182" s="50" t="s">
        <v>1</v>
      </c>
      <c r="AE182" s="50">
        <v>0.35</v>
      </c>
      <c r="AN182" s="50"/>
      <c r="AO182" s="49"/>
      <c r="AV182"/>
    </row>
    <row r="183" spans="1:48" ht="15" customHeight="1">
      <c r="A183" s="88" t="s">
        <v>68</v>
      </c>
      <c r="B183" s="50" t="s">
        <v>2740</v>
      </c>
      <c r="C183" s="7" t="s">
        <v>3366</v>
      </c>
      <c r="D183" s="48" t="s">
        <v>2741</v>
      </c>
      <c r="E183" s="50" t="s">
        <v>3367</v>
      </c>
      <c r="F183" s="50" t="s">
        <v>3368</v>
      </c>
      <c r="G183" s="76" t="s">
        <v>3369</v>
      </c>
      <c r="H183" s="50">
        <v>4953</v>
      </c>
      <c r="I183" s="49" t="s">
        <v>2</v>
      </c>
      <c r="J183" s="50" t="s">
        <v>569</v>
      </c>
      <c r="K183" s="51">
        <v>40955</v>
      </c>
      <c r="L183" s="115">
        <v>40950</v>
      </c>
      <c r="M183" s="50">
        <f t="shared" si="10"/>
        <v>5</v>
      </c>
      <c r="N183" s="50" t="s">
        <v>2</v>
      </c>
      <c r="O183" s="74">
        <v>15</v>
      </c>
      <c r="P183" s="50">
        <v>7.3</v>
      </c>
      <c r="Q183" s="74">
        <v>6.85</v>
      </c>
      <c r="R183" s="50">
        <v>82</v>
      </c>
      <c r="S183" s="74">
        <v>1200</v>
      </c>
      <c r="T183" s="50">
        <v>3.51</v>
      </c>
      <c r="U183" s="74">
        <v>10.199999999999999</v>
      </c>
      <c r="V183" s="50">
        <v>0.86</v>
      </c>
      <c r="W183" s="74">
        <v>3.4000000000000002E-2</v>
      </c>
      <c r="X183" s="50">
        <v>0.216</v>
      </c>
      <c r="Y183" s="74">
        <v>3.5999999999999997E-2</v>
      </c>
      <c r="Z183" s="164">
        <v>1</v>
      </c>
      <c r="AA183" s="165">
        <v>1</v>
      </c>
      <c r="AB183" s="50">
        <v>12</v>
      </c>
      <c r="AC183" s="74">
        <v>143</v>
      </c>
      <c r="AD183" s="164">
        <f>20/20</f>
        <v>1</v>
      </c>
      <c r="AF183" s="50">
        <v>15</v>
      </c>
      <c r="AG183" s="50">
        <v>2300</v>
      </c>
      <c r="AH183" s="50">
        <v>1.45</v>
      </c>
      <c r="AI183" s="50">
        <f>0.05/2</f>
        <v>2.5000000000000001E-2</v>
      </c>
      <c r="AJ183" s="50">
        <v>1.2E-2</v>
      </c>
      <c r="AK183" s="50">
        <f>0.01/2</f>
        <v>5.0000000000000001E-3</v>
      </c>
      <c r="AL183" s="50">
        <f>0.01/2</f>
        <v>5.0000000000000001E-3</v>
      </c>
      <c r="AM183" s="50">
        <v>0.216</v>
      </c>
      <c r="AN183" s="50">
        <v>6.85</v>
      </c>
      <c r="AO183" s="49"/>
      <c r="AV183"/>
    </row>
    <row r="184" spans="1:48" ht="15" customHeight="1">
      <c r="A184" s="88" t="s">
        <v>68</v>
      </c>
      <c r="B184" s="50" t="s">
        <v>2740</v>
      </c>
      <c r="C184" s="7" t="s">
        <v>3366</v>
      </c>
      <c r="D184" s="48" t="s">
        <v>2741</v>
      </c>
      <c r="E184" s="50" t="s">
        <v>3367</v>
      </c>
      <c r="F184" s="50" t="s">
        <v>3368</v>
      </c>
      <c r="G184" s="76" t="s">
        <v>3369</v>
      </c>
      <c r="H184" s="50">
        <v>4953</v>
      </c>
      <c r="I184" s="49" t="s">
        <v>2</v>
      </c>
      <c r="J184" s="50" t="s">
        <v>194</v>
      </c>
      <c r="K184" s="51">
        <v>40955</v>
      </c>
      <c r="L184" s="115">
        <v>40950</v>
      </c>
      <c r="M184" s="50">
        <f t="shared" si="10"/>
        <v>5</v>
      </c>
      <c r="N184" s="50" t="s">
        <v>2</v>
      </c>
      <c r="O184" s="74">
        <v>11</v>
      </c>
      <c r="P184" s="50">
        <v>7.3</v>
      </c>
      <c r="Q184" s="74">
        <v>6.69</v>
      </c>
      <c r="R184" s="50">
        <v>55</v>
      </c>
      <c r="S184" s="74">
        <v>22</v>
      </c>
      <c r="T184" s="50">
        <v>0.21</v>
      </c>
      <c r="U184" s="74">
        <v>2.04</v>
      </c>
      <c r="V184" s="50">
        <v>0.52</v>
      </c>
      <c r="W184" s="74">
        <v>7.0000000000000001E-3</v>
      </c>
      <c r="X184" s="50">
        <v>5.3999999999999999E-2</v>
      </c>
      <c r="Y184" s="74">
        <v>5.0000000000000001E-3</v>
      </c>
      <c r="Z184" s="164">
        <v>1</v>
      </c>
      <c r="AA184" s="165">
        <v>1</v>
      </c>
      <c r="AB184" s="50">
        <v>42</v>
      </c>
      <c r="AC184" s="74">
        <v>380</v>
      </c>
      <c r="AD184" s="164">
        <f>20/20</f>
        <v>1</v>
      </c>
      <c r="AN184" s="50"/>
      <c r="AO184" s="49"/>
      <c r="AV184"/>
    </row>
    <row r="185" spans="1:48" ht="15" customHeight="1">
      <c r="A185" s="88" t="s">
        <v>68</v>
      </c>
      <c r="B185" s="50" t="s">
        <v>3370</v>
      </c>
      <c r="C185" s="7" t="s">
        <v>1468</v>
      </c>
      <c r="D185" s="48" t="s">
        <v>247</v>
      </c>
      <c r="E185" s="50" t="s">
        <v>1469</v>
      </c>
      <c r="F185" s="48"/>
      <c r="G185" s="76" t="s">
        <v>1470</v>
      </c>
      <c r="H185" s="50">
        <v>4953</v>
      </c>
      <c r="I185" s="49" t="s">
        <v>2</v>
      </c>
      <c r="J185" s="50" t="s">
        <v>319</v>
      </c>
      <c r="K185" s="51">
        <v>41170</v>
      </c>
      <c r="L185" s="115">
        <v>41160</v>
      </c>
      <c r="M185" s="50">
        <f t="shared" si="10"/>
        <v>10</v>
      </c>
      <c r="N185" s="50" t="s">
        <v>2</v>
      </c>
      <c r="O185" s="74">
        <f>1.4/2</f>
        <v>0.7</v>
      </c>
      <c r="P185" s="50">
        <v>6.89</v>
      </c>
      <c r="Q185" s="74">
        <v>7.18</v>
      </c>
      <c r="R185" s="50">
        <v>11</v>
      </c>
      <c r="S185" s="74">
        <f>5/2</f>
        <v>2.5</v>
      </c>
      <c r="T185" s="50">
        <v>0.09</v>
      </c>
      <c r="U185" s="74">
        <v>1.74</v>
      </c>
      <c r="V185" s="50">
        <v>0.54</v>
      </c>
      <c r="W185" s="74">
        <f>0.005/2</f>
        <v>2.5000000000000001E-3</v>
      </c>
      <c r="X185" s="50">
        <v>1.07</v>
      </c>
      <c r="Y185" s="74">
        <f>0.002/2</f>
        <v>1E-3</v>
      </c>
      <c r="Z185" s="164">
        <v>0.35399999999999998</v>
      </c>
      <c r="AA185" s="165">
        <v>0.318</v>
      </c>
      <c r="AB185" s="50">
        <v>14</v>
      </c>
      <c r="AC185" s="74">
        <v>53</v>
      </c>
      <c r="AD185" s="164">
        <f>0/20</f>
        <v>0</v>
      </c>
      <c r="AN185" s="50"/>
      <c r="AO185" s="49"/>
      <c r="AV185"/>
    </row>
    <row r="186" spans="1:48" ht="15" customHeight="1">
      <c r="A186" s="88" t="s">
        <v>68</v>
      </c>
      <c r="B186" s="50" t="s">
        <v>3370</v>
      </c>
      <c r="C186" s="7" t="s">
        <v>3371</v>
      </c>
      <c r="D186" s="48" t="s">
        <v>1550</v>
      </c>
      <c r="E186" s="50" t="s">
        <v>3372</v>
      </c>
      <c r="F186" s="48" t="s">
        <v>3373</v>
      </c>
      <c r="G186" s="76" t="s">
        <v>3374</v>
      </c>
      <c r="H186" s="50">
        <v>4953</v>
      </c>
      <c r="I186" s="49" t="s">
        <v>2</v>
      </c>
      <c r="J186" s="50" t="s">
        <v>81</v>
      </c>
      <c r="K186" s="51">
        <v>41116</v>
      </c>
      <c r="L186" s="115">
        <v>41113</v>
      </c>
      <c r="M186" s="50">
        <f t="shared" si="10"/>
        <v>3</v>
      </c>
      <c r="N186" s="50" t="s">
        <v>2</v>
      </c>
      <c r="O186" s="74">
        <v>3.2</v>
      </c>
      <c r="P186" s="50">
        <v>6.51</v>
      </c>
      <c r="Q186" s="74">
        <v>6.57</v>
      </c>
      <c r="R186" s="50">
        <v>490</v>
      </c>
      <c r="S186" s="74">
        <v>130</v>
      </c>
      <c r="T186" s="50">
        <v>1.17</v>
      </c>
      <c r="U186" s="74">
        <v>10.199999999999999</v>
      </c>
      <c r="V186" s="50">
        <f>0.01/2</f>
        <v>5.0000000000000001E-3</v>
      </c>
      <c r="W186" s="74">
        <v>0.121</v>
      </c>
      <c r="X186" s="50">
        <v>0.81699999999999995</v>
      </c>
      <c r="Y186" s="74">
        <v>3.6999999999999998E-2</v>
      </c>
      <c r="Z186" s="164">
        <v>1</v>
      </c>
      <c r="AA186" s="165">
        <v>1</v>
      </c>
      <c r="AB186" s="50">
        <v>160</v>
      </c>
      <c r="AC186" s="74">
        <v>299</v>
      </c>
      <c r="AD186" s="164">
        <v>1</v>
      </c>
      <c r="AN186" s="50"/>
      <c r="AO186" s="49"/>
      <c r="AV186"/>
    </row>
    <row r="187" spans="1:48" ht="15" customHeight="1">
      <c r="A187" s="88" t="s">
        <v>68</v>
      </c>
      <c r="B187" s="50" t="s">
        <v>3370</v>
      </c>
      <c r="C187" s="7" t="s">
        <v>3371</v>
      </c>
      <c r="D187" s="48" t="s">
        <v>1550</v>
      </c>
      <c r="E187" s="50" t="s">
        <v>3372</v>
      </c>
      <c r="F187" s="48" t="s">
        <v>3373</v>
      </c>
      <c r="G187" s="76" t="s">
        <v>3374</v>
      </c>
      <c r="H187" s="50">
        <v>4953</v>
      </c>
      <c r="I187" s="49" t="s">
        <v>2</v>
      </c>
      <c r="J187" s="50" t="s">
        <v>925</v>
      </c>
      <c r="K187" s="51">
        <v>41116</v>
      </c>
      <c r="L187" s="115">
        <v>41113</v>
      </c>
      <c r="M187" s="50">
        <f t="shared" si="10"/>
        <v>3</v>
      </c>
      <c r="N187" s="50" t="s">
        <v>2</v>
      </c>
      <c r="O187" s="74">
        <v>3.5</v>
      </c>
      <c r="P187" s="50">
        <v>6.51</v>
      </c>
      <c r="Q187" s="74">
        <v>7.27</v>
      </c>
      <c r="R187" s="50">
        <v>420</v>
      </c>
      <c r="S187" s="74">
        <v>140</v>
      </c>
      <c r="T187" s="50">
        <v>3.6</v>
      </c>
      <c r="U187" s="74">
        <v>18.7</v>
      </c>
      <c r="V187" s="50">
        <f>0.05/2</f>
        <v>2.5000000000000001E-2</v>
      </c>
      <c r="W187" s="74">
        <v>5.2999999999999999E-2</v>
      </c>
      <c r="X187" s="50">
        <v>0.29099999999999998</v>
      </c>
      <c r="Y187" s="74">
        <v>1.7999999999999999E-2</v>
      </c>
      <c r="Z187" s="164">
        <v>0.35399999999999998</v>
      </c>
      <c r="AA187" s="165">
        <v>0.35399999999999998</v>
      </c>
      <c r="AB187" s="50">
        <v>270</v>
      </c>
      <c r="AC187" s="74">
        <v>949</v>
      </c>
      <c r="AD187" s="164">
        <v>0</v>
      </c>
      <c r="AN187" s="50"/>
      <c r="AO187" s="49"/>
      <c r="AV187"/>
    </row>
    <row r="188" spans="1:48" ht="15" customHeight="1">
      <c r="A188" s="88" t="s">
        <v>68</v>
      </c>
      <c r="B188" s="50" t="s">
        <v>3370</v>
      </c>
      <c r="C188" s="7" t="s">
        <v>3371</v>
      </c>
      <c r="D188" s="48" t="s">
        <v>1550</v>
      </c>
      <c r="E188" s="50" t="s">
        <v>3372</v>
      </c>
      <c r="F188" s="48" t="s">
        <v>3373</v>
      </c>
      <c r="G188" s="76" t="s">
        <v>3374</v>
      </c>
      <c r="H188" s="50">
        <v>4953</v>
      </c>
      <c r="I188" s="49" t="s">
        <v>2</v>
      </c>
      <c r="J188" s="50" t="s">
        <v>926</v>
      </c>
      <c r="K188" s="51">
        <v>41116</v>
      </c>
      <c r="L188" s="115">
        <v>41103</v>
      </c>
      <c r="M188" s="50">
        <f t="shared" si="10"/>
        <v>13</v>
      </c>
      <c r="N188" s="50" t="s">
        <v>2</v>
      </c>
      <c r="O188" s="74">
        <v>2</v>
      </c>
      <c r="P188" s="50">
        <v>6.51</v>
      </c>
      <c r="Q188" s="74">
        <v>6.47</v>
      </c>
      <c r="R188" s="50">
        <v>260</v>
      </c>
      <c r="S188" s="74">
        <v>78</v>
      </c>
      <c r="T188" s="50">
        <v>0.6</v>
      </c>
      <c r="U188" s="74">
        <v>5.48</v>
      </c>
      <c r="V188" s="50">
        <f>0.01/2</f>
        <v>5.0000000000000001E-3</v>
      </c>
      <c r="W188" s="74">
        <v>4.4999999999999998E-2</v>
      </c>
      <c r="X188" s="50">
        <v>1.47</v>
      </c>
      <c r="Y188" s="74">
        <v>1.4E-2</v>
      </c>
      <c r="Z188" s="164">
        <v>1</v>
      </c>
      <c r="AA188" s="165">
        <v>1</v>
      </c>
      <c r="AB188" s="50">
        <v>68</v>
      </c>
      <c r="AC188" s="74">
        <v>206</v>
      </c>
      <c r="AD188" s="164">
        <f>20/20</f>
        <v>1</v>
      </c>
      <c r="AN188" s="50"/>
      <c r="AO188" s="49"/>
      <c r="AV188"/>
    </row>
    <row r="189" spans="1:48" ht="15" customHeight="1">
      <c r="A189" s="88" t="s">
        <v>68</v>
      </c>
      <c r="B189" s="50" t="s">
        <v>3370</v>
      </c>
      <c r="C189" s="7" t="s">
        <v>3371</v>
      </c>
      <c r="D189" s="48" t="s">
        <v>1550</v>
      </c>
      <c r="E189" s="50" t="s">
        <v>3372</v>
      </c>
      <c r="F189" s="48" t="s">
        <v>3373</v>
      </c>
      <c r="G189" s="76" t="s">
        <v>3374</v>
      </c>
      <c r="H189" s="50">
        <v>4953</v>
      </c>
      <c r="I189" s="49" t="s">
        <v>2</v>
      </c>
      <c r="J189" s="50" t="s">
        <v>81</v>
      </c>
      <c r="K189" s="51">
        <v>40996</v>
      </c>
      <c r="L189" s="115">
        <v>40993</v>
      </c>
      <c r="M189" s="50">
        <f t="shared" si="10"/>
        <v>3</v>
      </c>
      <c r="N189" s="50" t="s">
        <v>2</v>
      </c>
      <c r="O189" s="74">
        <v>36</v>
      </c>
      <c r="P189" s="50">
        <v>6.55</v>
      </c>
      <c r="Q189" s="74">
        <v>6.71</v>
      </c>
      <c r="R189" s="74">
        <v>200</v>
      </c>
      <c r="S189" s="50">
        <v>530</v>
      </c>
      <c r="T189" s="74">
        <v>2.04</v>
      </c>
      <c r="U189" s="50">
        <v>8.1999999999999993</v>
      </c>
      <c r="V189" s="74">
        <v>0.56999999999999995</v>
      </c>
      <c r="W189" s="50">
        <v>6.8000000000000005E-2</v>
      </c>
      <c r="X189" s="74">
        <v>0.435</v>
      </c>
      <c r="Y189" s="50">
        <v>3.6999999999999998E-2</v>
      </c>
      <c r="AA189" s="164"/>
      <c r="AN189" s="50"/>
      <c r="AO189" s="49"/>
      <c r="AV189"/>
    </row>
    <row r="190" spans="1:48" ht="15" customHeight="1">
      <c r="A190" s="88" t="s">
        <v>68</v>
      </c>
      <c r="B190" s="50" t="s">
        <v>3370</v>
      </c>
      <c r="C190" s="7" t="s">
        <v>3371</v>
      </c>
      <c r="D190" s="48" t="s">
        <v>1550</v>
      </c>
      <c r="E190" s="50" t="s">
        <v>3372</v>
      </c>
      <c r="F190" s="48" t="s">
        <v>3373</v>
      </c>
      <c r="G190" s="76" t="s">
        <v>3374</v>
      </c>
      <c r="H190" s="50">
        <v>4953</v>
      </c>
      <c r="I190" s="49" t="s">
        <v>2</v>
      </c>
      <c r="J190" s="50" t="s">
        <v>925</v>
      </c>
      <c r="K190" s="51">
        <v>40996</v>
      </c>
      <c r="L190" s="115">
        <v>40993</v>
      </c>
      <c r="M190" s="50">
        <f t="shared" si="10"/>
        <v>3</v>
      </c>
      <c r="N190" s="50" t="s">
        <v>2</v>
      </c>
      <c r="O190" s="74">
        <v>55</v>
      </c>
      <c r="P190" s="50">
        <v>6.55</v>
      </c>
      <c r="Q190" s="74">
        <v>6.13</v>
      </c>
      <c r="R190" s="50">
        <v>820</v>
      </c>
      <c r="S190" s="74">
        <v>1400</v>
      </c>
      <c r="T190" s="50">
        <v>10.199999999999999</v>
      </c>
      <c r="U190" s="74">
        <v>69.3</v>
      </c>
      <c r="V190" s="50">
        <f>0.05/2</f>
        <v>2.5000000000000001E-2</v>
      </c>
      <c r="W190" s="74">
        <v>0.47899999999999998</v>
      </c>
      <c r="X190" s="50">
        <v>1.7</v>
      </c>
      <c r="Y190" s="74">
        <v>0.30399999999999999</v>
      </c>
      <c r="AN190" s="50"/>
      <c r="AO190" s="49"/>
      <c r="AV190"/>
    </row>
    <row r="191" spans="1:48" ht="15" customHeight="1">
      <c r="A191" s="88" t="s">
        <v>68</v>
      </c>
      <c r="B191" s="50" t="s">
        <v>3370</v>
      </c>
      <c r="C191" s="7" t="s">
        <v>3371</v>
      </c>
      <c r="D191" s="48" t="s">
        <v>1550</v>
      </c>
      <c r="E191" s="50" t="s">
        <v>3372</v>
      </c>
      <c r="F191" s="48" t="s">
        <v>3373</v>
      </c>
      <c r="G191" s="76" t="s">
        <v>3374</v>
      </c>
      <c r="H191" s="50">
        <v>4953</v>
      </c>
      <c r="I191" s="49" t="s">
        <v>2</v>
      </c>
      <c r="J191" s="50" t="s">
        <v>926</v>
      </c>
      <c r="K191" s="51">
        <v>40996</v>
      </c>
      <c r="L191" s="115">
        <v>40993</v>
      </c>
      <c r="M191" s="50">
        <f t="shared" si="10"/>
        <v>3</v>
      </c>
      <c r="N191" s="50" t="s">
        <v>2</v>
      </c>
      <c r="O191" s="74">
        <v>15</v>
      </c>
      <c r="P191" s="50">
        <v>6.55</v>
      </c>
      <c r="Q191" s="74">
        <v>6.39</v>
      </c>
      <c r="R191" s="50">
        <v>325</v>
      </c>
      <c r="S191" s="74">
        <v>330</v>
      </c>
      <c r="T191" s="50">
        <v>1.79</v>
      </c>
      <c r="U191" s="74">
        <v>11.3</v>
      </c>
      <c r="V191" s="50">
        <v>0.73</v>
      </c>
      <c r="W191" s="74">
        <v>0.16200000000000001</v>
      </c>
      <c r="X191" s="50">
        <v>1.07</v>
      </c>
      <c r="Y191" s="74">
        <v>7.9000000000000001E-2</v>
      </c>
      <c r="AN191" s="50"/>
      <c r="AO191" s="49"/>
      <c r="AV191"/>
    </row>
    <row r="192" spans="1:48" ht="15" customHeight="1">
      <c r="A192" s="88" t="s">
        <v>68</v>
      </c>
      <c r="B192" s="50" t="s">
        <v>3375</v>
      </c>
      <c r="C192" s="7" t="s">
        <v>3376</v>
      </c>
      <c r="D192" s="48" t="s">
        <v>818</v>
      </c>
      <c r="E192" s="50" t="s">
        <v>3377</v>
      </c>
      <c r="G192" s="76" t="s">
        <v>3625</v>
      </c>
      <c r="H192" s="50">
        <v>4953</v>
      </c>
      <c r="I192" s="49" t="s">
        <v>2</v>
      </c>
      <c r="J192" s="50" t="s">
        <v>392</v>
      </c>
      <c r="K192" s="51">
        <v>40996</v>
      </c>
      <c r="L192" s="115">
        <v>40993</v>
      </c>
      <c r="M192" s="50">
        <f t="shared" si="10"/>
        <v>3</v>
      </c>
      <c r="N192" s="50" t="s">
        <v>2</v>
      </c>
      <c r="O192" s="74">
        <v>5.7</v>
      </c>
      <c r="P192" s="50">
        <v>5.05</v>
      </c>
      <c r="Q192" s="74">
        <v>6.8</v>
      </c>
      <c r="R192" s="50">
        <v>233</v>
      </c>
      <c r="S192" s="74">
        <v>519</v>
      </c>
      <c r="T192" s="50">
        <v>0.68</v>
      </c>
      <c r="U192" s="74">
        <v>3.19</v>
      </c>
      <c r="V192" s="50">
        <v>1.1000000000000001</v>
      </c>
      <c r="W192" s="74">
        <v>3.5000000000000003E-2</v>
      </c>
      <c r="X192" s="50">
        <v>0.21</v>
      </c>
      <c r="Y192" s="74">
        <v>4.4999999999999998E-2</v>
      </c>
      <c r="Z192" s="164">
        <v>0.70699999999999996</v>
      </c>
      <c r="AA192" s="165">
        <v>0.51800000000000002</v>
      </c>
      <c r="AB192" s="50">
        <v>52.2</v>
      </c>
      <c r="AC192" s="74">
        <v>117</v>
      </c>
      <c r="AD192" s="164">
        <f>0/20</f>
        <v>0</v>
      </c>
      <c r="AE192" s="50">
        <v>13.5</v>
      </c>
      <c r="AF192" s="50">
        <v>17.5</v>
      </c>
      <c r="AG192" s="50">
        <v>519</v>
      </c>
      <c r="AH192" s="50">
        <v>0.31</v>
      </c>
      <c r="AI192" s="50">
        <f>0.005/2</f>
        <v>2.5000000000000001E-3</v>
      </c>
      <c r="AJ192" s="50">
        <f>0.05/2</f>
        <v>2.5000000000000001E-2</v>
      </c>
      <c r="AK192" s="50">
        <f>0.02/2</f>
        <v>0.01</v>
      </c>
      <c r="AL192" s="50">
        <f>0.02/2</f>
        <v>0.01</v>
      </c>
      <c r="AM192" s="50">
        <v>0.21</v>
      </c>
      <c r="AN192" s="50">
        <v>6.8</v>
      </c>
      <c r="AO192" s="49"/>
      <c r="AV192"/>
    </row>
    <row r="193" spans="1:48" ht="15" customHeight="1">
      <c r="A193" s="88" t="s">
        <v>68</v>
      </c>
      <c r="B193" s="50" t="s">
        <v>3378</v>
      </c>
      <c r="C193" s="7" t="s">
        <v>3379</v>
      </c>
      <c r="D193" s="48" t="s">
        <v>3380</v>
      </c>
      <c r="F193" s="50" t="s">
        <v>3381</v>
      </c>
      <c r="G193" s="76" t="s">
        <v>3382</v>
      </c>
      <c r="H193" s="50">
        <v>4953</v>
      </c>
      <c r="I193" s="49" t="s">
        <v>2</v>
      </c>
      <c r="J193" s="50" t="s">
        <v>366</v>
      </c>
      <c r="K193" s="51">
        <v>41332</v>
      </c>
      <c r="L193" s="115">
        <v>41329</v>
      </c>
      <c r="M193" s="50">
        <f t="shared" si="10"/>
        <v>3</v>
      </c>
      <c r="N193" s="50" t="s">
        <v>2</v>
      </c>
      <c r="O193" s="74">
        <v>3.5</v>
      </c>
      <c r="P193" s="50">
        <v>6.5</v>
      </c>
      <c r="Q193" s="74">
        <v>6.9</v>
      </c>
      <c r="R193" s="50">
        <v>81</v>
      </c>
      <c r="S193" s="74">
        <v>340</v>
      </c>
      <c r="T193" s="50">
        <v>0.64</v>
      </c>
      <c r="U193" s="74">
        <v>1.38</v>
      </c>
      <c r="V193" s="50">
        <v>0.05</v>
      </c>
      <c r="W193" s="74">
        <v>3.9E-2</v>
      </c>
      <c r="X193" s="50">
        <v>9.0999999999999998E-2</v>
      </c>
      <c r="Y193" s="74">
        <v>2.4E-2</v>
      </c>
      <c r="Z193" s="164" t="s">
        <v>2667</v>
      </c>
      <c r="AN193" s="50"/>
      <c r="AO193" s="49"/>
      <c r="AV193"/>
    </row>
    <row r="194" spans="1:48" ht="15" customHeight="1">
      <c r="A194" s="88" t="s">
        <v>68</v>
      </c>
      <c r="B194" s="50" t="s">
        <v>3370</v>
      </c>
      <c r="C194" s="7" t="s">
        <v>1464</v>
      </c>
      <c r="D194" s="48" t="s">
        <v>3286</v>
      </c>
      <c r="E194" s="50" t="s">
        <v>3383</v>
      </c>
      <c r="F194" s="48"/>
      <c r="G194" s="76" t="s">
        <v>1466</v>
      </c>
      <c r="H194" s="50">
        <v>4953</v>
      </c>
      <c r="I194" s="49" t="s">
        <v>1</v>
      </c>
      <c r="J194" s="50" t="s">
        <v>81</v>
      </c>
      <c r="K194" s="51">
        <v>41149</v>
      </c>
      <c r="L194" s="115">
        <v>41139</v>
      </c>
      <c r="M194" s="50">
        <f t="shared" si="10"/>
        <v>10</v>
      </c>
      <c r="N194" s="50" t="s">
        <v>2</v>
      </c>
      <c r="O194" s="74">
        <f>1.4/2</f>
        <v>0.7</v>
      </c>
      <c r="P194" s="50">
        <v>7.54</v>
      </c>
      <c r="Q194" s="74">
        <v>8.0399999999999991</v>
      </c>
      <c r="R194" s="50">
        <v>91</v>
      </c>
      <c r="S194" s="74">
        <v>160</v>
      </c>
      <c r="T194" s="50">
        <v>0.69</v>
      </c>
      <c r="U194" s="74">
        <v>9.86</v>
      </c>
      <c r="V194" s="50">
        <v>4.13</v>
      </c>
      <c r="W194" s="74">
        <v>6.3E-2</v>
      </c>
      <c r="X194" s="50">
        <v>7.6999999999999999E-2</v>
      </c>
      <c r="Y194" s="74">
        <v>0.06</v>
      </c>
      <c r="AE194" s="50">
        <v>10.7</v>
      </c>
      <c r="AN194" s="50"/>
      <c r="AO194" s="75">
        <v>24200</v>
      </c>
      <c r="AV194"/>
    </row>
    <row r="195" spans="1:48" ht="15" customHeight="1">
      <c r="A195" s="88" t="s">
        <v>68</v>
      </c>
      <c r="B195" s="50" t="s">
        <v>3370</v>
      </c>
      <c r="C195" s="7" t="s">
        <v>1464</v>
      </c>
      <c r="D195" s="48" t="s">
        <v>3286</v>
      </c>
      <c r="E195" s="50" t="s">
        <v>3383</v>
      </c>
      <c r="F195" s="48"/>
      <c r="G195" s="76" t="s">
        <v>1466</v>
      </c>
      <c r="H195" s="50">
        <v>4953</v>
      </c>
      <c r="I195" s="49" t="s">
        <v>1</v>
      </c>
      <c r="J195" s="50" t="s">
        <v>114</v>
      </c>
      <c r="K195" s="51">
        <v>41149</v>
      </c>
      <c r="L195" s="115">
        <v>41139</v>
      </c>
      <c r="M195" s="50">
        <f t="shared" si="10"/>
        <v>10</v>
      </c>
      <c r="N195" s="50" t="s">
        <v>2</v>
      </c>
      <c r="O195" s="74">
        <f>1.4/2</f>
        <v>0.7</v>
      </c>
      <c r="P195" s="50">
        <v>7.54</v>
      </c>
      <c r="Q195" s="74">
        <v>7.71</v>
      </c>
      <c r="R195" s="50">
        <v>87</v>
      </c>
      <c r="S195" s="74">
        <v>15</v>
      </c>
      <c r="T195" s="50">
        <v>0.15</v>
      </c>
      <c r="U195" s="74">
        <v>2.52</v>
      </c>
      <c r="V195" s="50">
        <v>0.54</v>
      </c>
      <c r="W195" s="74">
        <v>1.2E-2</v>
      </c>
      <c r="X195" s="50">
        <v>1.4E-2</v>
      </c>
      <c r="Y195" s="74">
        <v>4.0000000000000001E-3</v>
      </c>
      <c r="AE195" s="50">
        <v>0.60399999999999998</v>
      </c>
      <c r="AN195" s="50"/>
      <c r="AO195" s="75">
        <v>3080</v>
      </c>
      <c r="AV195"/>
    </row>
    <row r="196" spans="1:48" ht="15" customHeight="1">
      <c r="A196" s="88" t="s">
        <v>68</v>
      </c>
      <c r="B196" s="50" t="s">
        <v>3370</v>
      </c>
      <c r="C196" s="7" t="s">
        <v>1464</v>
      </c>
      <c r="D196" s="48" t="s">
        <v>3286</v>
      </c>
      <c r="E196" s="50" t="s">
        <v>3383</v>
      </c>
      <c r="F196" s="48"/>
      <c r="G196" s="48" t="s">
        <v>1466</v>
      </c>
      <c r="H196" s="49">
        <v>4953</v>
      </c>
      <c r="I196" s="50" t="s">
        <v>1</v>
      </c>
      <c r="J196" s="49" t="s">
        <v>1467</v>
      </c>
      <c r="K196" s="51">
        <v>41149</v>
      </c>
      <c r="L196" s="51">
        <v>41139</v>
      </c>
      <c r="M196" s="50">
        <f t="shared" si="10"/>
        <v>10</v>
      </c>
      <c r="N196" s="49" t="s">
        <v>2</v>
      </c>
      <c r="O196" s="50">
        <v>2.7</v>
      </c>
      <c r="P196" s="402">
        <v>7.54</v>
      </c>
      <c r="Q196" s="74">
        <v>7.34</v>
      </c>
      <c r="R196" s="50">
        <v>130</v>
      </c>
      <c r="S196" s="74">
        <v>210</v>
      </c>
      <c r="T196" s="50">
        <v>0.48</v>
      </c>
      <c r="U196" s="74">
        <v>3.13</v>
      </c>
      <c r="V196" s="50">
        <v>0.8</v>
      </c>
      <c r="W196" s="74">
        <v>3.3000000000000002E-2</v>
      </c>
      <c r="X196" s="50">
        <v>0.109</v>
      </c>
      <c r="Y196" s="74">
        <v>0.04</v>
      </c>
      <c r="AE196" s="50">
        <v>4.78</v>
      </c>
      <c r="AN196" s="50"/>
      <c r="AO196" s="75">
        <v>19860</v>
      </c>
      <c r="AV196"/>
    </row>
    <row r="197" spans="1:48" ht="15" customHeight="1">
      <c r="A197" s="88" t="s">
        <v>68</v>
      </c>
      <c r="B197" s="50" t="s">
        <v>3370</v>
      </c>
      <c r="C197" s="7" t="s">
        <v>1464</v>
      </c>
      <c r="D197" s="48" t="s">
        <v>3286</v>
      </c>
      <c r="E197" s="50" t="s">
        <v>3383</v>
      </c>
      <c r="G197" s="76" t="s">
        <v>1466</v>
      </c>
      <c r="H197" s="50">
        <v>4953</v>
      </c>
      <c r="I197" s="49" t="s">
        <v>2</v>
      </c>
      <c r="J197" s="50" t="s">
        <v>81</v>
      </c>
      <c r="K197" s="51">
        <v>40835</v>
      </c>
      <c r="L197" s="115">
        <v>40830</v>
      </c>
      <c r="M197" s="50">
        <f t="shared" si="10"/>
        <v>5</v>
      </c>
      <c r="N197" s="50" t="s">
        <v>2</v>
      </c>
      <c r="AE197" s="50">
        <v>15.9</v>
      </c>
      <c r="AN197" s="50"/>
      <c r="AO197" s="49"/>
      <c r="AV197"/>
    </row>
    <row r="198" spans="1:48" ht="15" customHeight="1">
      <c r="A198" s="88" t="s">
        <v>68</v>
      </c>
      <c r="B198" s="50" t="s">
        <v>3370</v>
      </c>
      <c r="C198" s="7" t="s">
        <v>1464</v>
      </c>
      <c r="D198" s="48" t="s">
        <v>3286</v>
      </c>
      <c r="E198" s="50" t="s">
        <v>3383</v>
      </c>
      <c r="G198" s="76" t="s">
        <v>1466</v>
      </c>
      <c r="H198" s="50">
        <v>4953</v>
      </c>
      <c r="I198" s="49" t="s">
        <v>2</v>
      </c>
      <c r="J198" s="50" t="s">
        <v>114</v>
      </c>
      <c r="K198" s="51">
        <v>40828</v>
      </c>
      <c r="L198" s="115">
        <v>40820</v>
      </c>
      <c r="M198" s="50">
        <f t="shared" si="10"/>
        <v>8</v>
      </c>
      <c r="N198" s="50" t="s">
        <v>2</v>
      </c>
      <c r="AE198" s="50">
        <v>7.1999999999999995E-2</v>
      </c>
      <c r="AN198" s="50"/>
      <c r="AO198" s="49"/>
      <c r="AV198"/>
    </row>
    <row r="199" spans="1:48" ht="15" customHeight="1">
      <c r="A199" s="88" t="s">
        <v>68</v>
      </c>
      <c r="B199" s="50" t="s">
        <v>3370</v>
      </c>
      <c r="C199" s="7" t="s">
        <v>1464</v>
      </c>
      <c r="D199" s="48" t="s">
        <v>3286</v>
      </c>
      <c r="E199" s="50" t="s">
        <v>3383</v>
      </c>
      <c r="G199" s="76" t="s">
        <v>1466</v>
      </c>
      <c r="H199" s="50">
        <v>4953</v>
      </c>
      <c r="I199" s="49" t="s">
        <v>2</v>
      </c>
      <c r="J199" s="50" t="s">
        <v>1467</v>
      </c>
      <c r="K199" s="51">
        <v>40835</v>
      </c>
      <c r="L199" s="115">
        <v>40830</v>
      </c>
      <c r="M199" s="50">
        <f t="shared" si="10"/>
        <v>5</v>
      </c>
      <c r="N199" s="50" t="s">
        <v>2</v>
      </c>
      <c r="AE199" s="50">
        <v>0.72299999999999998</v>
      </c>
      <c r="AN199" s="50"/>
      <c r="AO199" s="49"/>
      <c r="AV199"/>
    </row>
    <row r="200" spans="1:48" ht="15" customHeight="1">
      <c r="A200" s="88" t="s">
        <v>68</v>
      </c>
      <c r="B200" s="50" t="s">
        <v>3384</v>
      </c>
      <c r="C200" s="7" t="s">
        <v>3172</v>
      </c>
      <c r="D200" s="48" t="s">
        <v>534</v>
      </c>
      <c r="E200" s="50" t="s">
        <v>304</v>
      </c>
      <c r="F200" s="48"/>
      <c r="G200" s="76" t="s">
        <v>2547</v>
      </c>
      <c r="I200" s="49" t="s">
        <v>1</v>
      </c>
      <c r="J200" s="50" t="s">
        <v>3387</v>
      </c>
      <c r="K200" s="51">
        <v>40996</v>
      </c>
      <c r="L200" s="115">
        <v>40971</v>
      </c>
      <c r="M200" s="50">
        <f t="shared" si="10"/>
        <v>25</v>
      </c>
      <c r="N200" s="50" t="s">
        <v>2</v>
      </c>
      <c r="O200" s="74">
        <v>4</v>
      </c>
      <c r="P200" s="50">
        <v>6.6</v>
      </c>
      <c r="Q200" s="74">
        <v>7.7</v>
      </c>
      <c r="R200" s="50">
        <v>6</v>
      </c>
      <c r="S200" s="74">
        <v>6</v>
      </c>
      <c r="T200" s="50">
        <f>0.01/2</f>
        <v>5.0000000000000001E-3</v>
      </c>
      <c r="U200" s="74">
        <v>0.66</v>
      </c>
      <c r="V200" s="50">
        <v>0.88</v>
      </c>
      <c r="W200" s="74">
        <f>0.005/2</f>
        <v>2.5000000000000001E-3</v>
      </c>
      <c r="X200" s="50">
        <v>0.02</v>
      </c>
      <c r="Y200" s="74">
        <f>0.005/2</f>
        <v>2.5000000000000001E-3</v>
      </c>
      <c r="Z200" s="164">
        <v>1</v>
      </c>
      <c r="AA200" s="165">
        <v>1</v>
      </c>
      <c r="AB200" s="50">
        <v>161</v>
      </c>
      <c r="AC200" s="74">
        <v>365</v>
      </c>
      <c r="AD200" s="164">
        <f>20/20</f>
        <v>1</v>
      </c>
      <c r="AE200" s="50">
        <v>0.92</v>
      </c>
      <c r="AF200" s="50">
        <v>2</v>
      </c>
      <c r="AG200" s="50">
        <v>6</v>
      </c>
      <c r="AH200" s="50">
        <f>0.02/2</f>
        <v>0.01</v>
      </c>
      <c r="AI200" s="50">
        <f>0.01/2</f>
        <v>5.0000000000000001E-3</v>
      </c>
      <c r="AJ200" s="50">
        <f>0.01/2</f>
        <v>5.0000000000000001E-3</v>
      </c>
      <c r="AK200" s="50">
        <f>0.01/2</f>
        <v>5.0000000000000001E-3</v>
      </c>
      <c r="AL200" s="50">
        <f>0.01/2</f>
        <v>5.0000000000000001E-3</v>
      </c>
      <c r="AM200" s="50">
        <v>0.02</v>
      </c>
      <c r="AN200" s="50">
        <v>7.7</v>
      </c>
      <c r="AO200" s="49"/>
      <c r="AV200"/>
    </row>
    <row r="201" spans="1:48" ht="15" customHeight="1">
      <c r="A201" s="88" t="s">
        <v>68</v>
      </c>
      <c r="B201" s="50" t="s">
        <v>2280</v>
      </c>
      <c r="C201" s="7" t="s">
        <v>3388</v>
      </c>
      <c r="D201" s="48" t="s">
        <v>195</v>
      </c>
      <c r="E201" s="50" t="s">
        <v>3001</v>
      </c>
      <c r="F201" s="50">
        <v>5304</v>
      </c>
      <c r="G201" s="76" t="s">
        <v>3002</v>
      </c>
      <c r="H201" s="50">
        <v>4953</v>
      </c>
      <c r="I201" s="49" t="s">
        <v>2</v>
      </c>
      <c r="J201" s="50" t="s">
        <v>81</v>
      </c>
      <c r="K201" s="51">
        <v>40898</v>
      </c>
      <c r="L201" s="115">
        <v>40892</v>
      </c>
      <c r="M201" s="50">
        <f t="shared" si="10"/>
        <v>6</v>
      </c>
      <c r="N201" s="50" t="s">
        <v>2</v>
      </c>
      <c r="O201" s="74">
        <f>2/2</f>
        <v>1</v>
      </c>
      <c r="P201" s="50">
        <v>5.5</v>
      </c>
      <c r="Q201" s="74">
        <v>7.6</v>
      </c>
      <c r="R201" s="50">
        <v>16</v>
      </c>
      <c r="S201" s="74">
        <f>1/2</f>
        <v>0.5</v>
      </c>
      <c r="T201" s="50">
        <v>7.0000000000000007E-2</v>
      </c>
      <c r="U201" s="74">
        <v>0.88</v>
      </c>
      <c r="V201" s="50">
        <v>1</v>
      </c>
      <c r="W201" s="74">
        <v>0.01</v>
      </c>
      <c r="X201" s="50">
        <f>0.03/2</f>
        <v>1.4999999999999999E-2</v>
      </c>
      <c r="Y201" s="74">
        <f>0.03/2</f>
        <v>1.4999999999999999E-2</v>
      </c>
      <c r="Z201" s="164">
        <v>1</v>
      </c>
      <c r="AA201" s="165">
        <v>1</v>
      </c>
      <c r="AB201" s="50">
        <v>78</v>
      </c>
      <c r="AC201" s="74">
        <v>218</v>
      </c>
      <c r="AD201" s="164">
        <f>20/20</f>
        <v>1</v>
      </c>
      <c r="AN201" s="50"/>
      <c r="AO201" s="49"/>
      <c r="AV201"/>
    </row>
    <row r="202" spans="1:48" ht="15" customHeight="1">
      <c r="A202" s="88" t="s">
        <v>68</v>
      </c>
      <c r="B202" s="50" t="s">
        <v>2280</v>
      </c>
      <c r="C202" s="7" t="s">
        <v>3389</v>
      </c>
      <c r="D202" s="48" t="s">
        <v>195</v>
      </c>
      <c r="E202" s="50" t="s">
        <v>3001</v>
      </c>
      <c r="F202" s="50">
        <v>5304</v>
      </c>
      <c r="G202" s="76" t="s">
        <v>3002</v>
      </c>
      <c r="H202" s="50">
        <v>4953</v>
      </c>
      <c r="I202" s="49" t="s">
        <v>2</v>
      </c>
      <c r="J202" s="50" t="s">
        <v>3390</v>
      </c>
      <c r="K202" s="51">
        <v>41171</v>
      </c>
      <c r="L202" s="115">
        <v>41160</v>
      </c>
      <c r="M202" s="50">
        <f t="shared" si="10"/>
        <v>11</v>
      </c>
      <c r="N202" s="50" t="s">
        <v>2</v>
      </c>
      <c r="O202" s="74">
        <f>2/2</f>
        <v>1</v>
      </c>
      <c r="P202" s="50">
        <v>6.5</v>
      </c>
      <c r="Q202" s="74">
        <v>7</v>
      </c>
      <c r="R202" s="50">
        <v>35</v>
      </c>
      <c r="S202" s="74">
        <v>12</v>
      </c>
      <c r="T202" s="50">
        <v>0.14000000000000001</v>
      </c>
      <c r="U202" s="74">
        <v>1.35</v>
      </c>
      <c r="V202" s="50">
        <v>0.65</v>
      </c>
      <c r="W202" s="74">
        <v>1.2999999999999999E-2</v>
      </c>
      <c r="X202" s="50">
        <v>3.1E-2</v>
      </c>
      <c r="Y202" s="74">
        <f>0.03/2</f>
        <v>1.4999999999999999E-2</v>
      </c>
      <c r="AN202" s="50"/>
      <c r="AO202" s="49"/>
      <c r="AV202"/>
    </row>
    <row r="203" spans="1:48" ht="15" customHeight="1">
      <c r="A203" s="88" t="s">
        <v>68</v>
      </c>
      <c r="B203" s="50" t="s">
        <v>2280</v>
      </c>
      <c r="C203" s="7" t="s">
        <v>3000</v>
      </c>
      <c r="D203" s="48" t="s">
        <v>195</v>
      </c>
      <c r="E203" s="50" t="s">
        <v>3001</v>
      </c>
      <c r="F203" s="48" t="s">
        <v>3391</v>
      </c>
      <c r="G203" s="76" t="s">
        <v>3002</v>
      </c>
      <c r="H203" s="50">
        <v>4953</v>
      </c>
      <c r="I203" s="49" t="s">
        <v>2</v>
      </c>
      <c r="J203" s="72" t="s">
        <v>81</v>
      </c>
      <c r="K203" s="51">
        <v>41226</v>
      </c>
      <c r="L203" s="115">
        <v>41221</v>
      </c>
      <c r="M203" s="50">
        <f t="shared" si="10"/>
        <v>5</v>
      </c>
      <c r="N203" s="50" t="s">
        <v>2</v>
      </c>
      <c r="O203" s="74">
        <f>2/2</f>
        <v>1</v>
      </c>
      <c r="P203" s="50">
        <v>6</v>
      </c>
      <c r="Q203" s="74">
        <v>7.9</v>
      </c>
      <c r="R203" s="50">
        <v>50</v>
      </c>
      <c r="S203" s="74">
        <v>1</v>
      </c>
      <c r="T203" s="50">
        <f>0.05/2</f>
        <v>2.5000000000000001E-2</v>
      </c>
      <c r="U203" s="74">
        <v>1.82</v>
      </c>
      <c r="V203" s="50">
        <v>2.0299999999999998</v>
      </c>
      <c r="W203" s="74">
        <v>1.4999999999999999E-2</v>
      </c>
      <c r="X203" s="50">
        <f>0.03/2</f>
        <v>1.4999999999999999E-2</v>
      </c>
      <c r="Y203" s="178">
        <f>0.03/2</f>
        <v>1.4999999999999999E-2</v>
      </c>
      <c r="Z203" s="164">
        <v>1</v>
      </c>
      <c r="AA203" s="165">
        <v>1</v>
      </c>
      <c r="AB203" s="50">
        <v>79</v>
      </c>
      <c r="AC203" s="74">
        <v>302</v>
      </c>
      <c r="AD203" s="164">
        <f>18/20</f>
        <v>0.9</v>
      </c>
      <c r="AN203" s="50"/>
      <c r="AO203" s="49"/>
      <c r="AV203"/>
    </row>
    <row r="204" spans="1:48" ht="15" customHeight="1">
      <c r="A204" s="88" t="s">
        <v>68</v>
      </c>
      <c r="B204" s="50" t="s">
        <v>280</v>
      </c>
      <c r="C204" s="7" t="s">
        <v>281</v>
      </c>
      <c r="D204" s="48" t="s">
        <v>1484</v>
      </c>
      <c r="E204" s="50" t="s">
        <v>282</v>
      </c>
      <c r="F204" s="48"/>
      <c r="G204" s="76" t="s">
        <v>283</v>
      </c>
      <c r="H204" s="50">
        <v>4953</v>
      </c>
      <c r="I204" s="49" t="s">
        <v>2</v>
      </c>
      <c r="J204" s="50" t="s">
        <v>284</v>
      </c>
      <c r="K204" s="51">
        <v>41264</v>
      </c>
      <c r="L204" s="115">
        <v>41261</v>
      </c>
      <c r="M204" s="50">
        <f t="shared" si="10"/>
        <v>3</v>
      </c>
      <c r="N204" s="50" t="s">
        <v>2</v>
      </c>
      <c r="P204" s="50">
        <v>7.05</v>
      </c>
      <c r="Q204" s="74">
        <v>6.83</v>
      </c>
      <c r="AE204" s="50">
        <v>0.31900000000000001</v>
      </c>
      <c r="AN204" s="50"/>
      <c r="AO204" s="49"/>
      <c r="AV204"/>
    </row>
    <row r="205" spans="1:48" ht="15" customHeight="1">
      <c r="A205" s="88" t="s">
        <v>68</v>
      </c>
      <c r="B205" s="50" t="s">
        <v>280</v>
      </c>
      <c r="C205" s="7" t="s">
        <v>281</v>
      </c>
      <c r="D205" s="48" t="s">
        <v>1484</v>
      </c>
      <c r="E205" s="50" t="s">
        <v>282</v>
      </c>
      <c r="F205" s="48"/>
      <c r="G205" s="76" t="s">
        <v>283</v>
      </c>
      <c r="H205" s="50">
        <v>4953</v>
      </c>
      <c r="I205" s="49" t="s">
        <v>2</v>
      </c>
      <c r="J205" s="50" t="s">
        <v>284</v>
      </c>
      <c r="K205" s="51">
        <v>41332</v>
      </c>
      <c r="L205" s="115">
        <v>41328</v>
      </c>
      <c r="M205" s="50">
        <f t="shared" si="10"/>
        <v>4</v>
      </c>
      <c r="N205" s="50" t="s">
        <v>2</v>
      </c>
      <c r="O205" s="74">
        <f>0.5/2</f>
        <v>0.25</v>
      </c>
      <c r="P205" s="50">
        <v>7.27</v>
      </c>
      <c r="Q205" s="74">
        <v>7.56</v>
      </c>
      <c r="R205" s="50">
        <v>23</v>
      </c>
      <c r="S205" s="74">
        <v>7</v>
      </c>
      <c r="T205" s="50">
        <v>0.08</v>
      </c>
      <c r="U205" s="74">
        <v>0.22800000000000001</v>
      </c>
      <c r="V205" s="50">
        <v>0.104</v>
      </c>
      <c r="W205" s="74">
        <f>0.005/2</f>
        <v>2.5000000000000001E-3</v>
      </c>
      <c r="X205" s="50">
        <v>5.0900000000000001E-2</v>
      </c>
      <c r="Y205" s="74">
        <f>0.003/2</f>
        <v>1.5E-3</v>
      </c>
      <c r="Z205" s="164">
        <v>1</v>
      </c>
      <c r="AA205" s="165">
        <v>1</v>
      </c>
      <c r="AB205" s="50">
        <v>18</v>
      </c>
      <c r="AC205" s="74">
        <v>53</v>
      </c>
      <c r="AD205" s="164">
        <f>20/20</f>
        <v>1</v>
      </c>
      <c r="AE205" s="50">
        <v>0.39900000000000002</v>
      </c>
      <c r="AF205" s="50">
        <v>5</v>
      </c>
      <c r="AG205" s="50">
        <v>7</v>
      </c>
      <c r="AH205" s="50">
        <f>0.05/2</f>
        <v>2.5000000000000001E-2</v>
      </c>
      <c r="AI205" s="50">
        <f>0.0103/2</f>
        <v>5.1500000000000001E-3</v>
      </c>
      <c r="AJ205" s="50">
        <f>0.0103/2</f>
        <v>5.1500000000000001E-3</v>
      </c>
      <c r="AK205" s="50">
        <f>0.00513/2</f>
        <v>2.565E-3</v>
      </c>
      <c r="AL205" s="50">
        <f>0.00513/2</f>
        <v>2.565E-3</v>
      </c>
      <c r="AM205" s="50">
        <v>5.0900000000000001E-2</v>
      </c>
      <c r="AN205" s="50">
        <v>7.56</v>
      </c>
      <c r="AO205" s="49"/>
      <c r="AV205"/>
    </row>
    <row r="206" spans="1:48" ht="15" customHeight="1">
      <c r="A206" s="88" t="s">
        <v>68</v>
      </c>
      <c r="B206" s="50" t="s">
        <v>280</v>
      </c>
      <c r="C206" s="7" t="s">
        <v>281</v>
      </c>
      <c r="D206" s="48" t="s">
        <v>1484</v>
      </c>
      <c r="E206" s="50" t="s">
        <v>282</v>
      </c>
      <c r="G206" s="76" t="s">
        <v>283</v>
      </c>
      <c r="H206" s="50">
        <v>4953</v>
      </c>
      <c r="I206" s="49" t="s">
        <v>2</v>
      </c>
      <c r="J206" s="50" t="s">
        <v>284</v>
      </c>
      <c r="K206" s="51">
        <v>41050</v>
      </c>
      <c r="L206" s="115">
        <v>41045</v>
      </c>
      <c r="M206" s="50">
        <f t="shared" si="10"/>
        <v>5</v>
      </c>
      <c r="N206" s="50" t="s">
        <v>2</v>
      </c>
      <c r="O206" s="74">
        <v>2</v>
      </c>
      <c r="P206" s="50">
        <v>7.89</v>
      </c>
      <c r="Q206" s="74">
        <v>7.21</v>
      </c>
      <c r="R206" s="50">
        <f>10/2</f>
        <v>5</v>
      </c>
      <c r="S206" s="74">
        <v>42</v>
      </c>
      <c r="T206" s="50">
        <v>9.0999999999999998E-2</v>
      </c>
      <c r="U206" s="74">
        <v>0.54</v>
      </c>
      <c r="V206" s="50">
        <v>0.26800000000000002</v>
      </c>
      <c r="W206" s="74">
        <f>0.005/2</f>
        <v>2.5000000000000001E-3</v>
      </c>
      <c r="X206" s="50">
        <v>2.3E-2</v>
      </c>
      <c r="Y206" s="74">
        <f>0.003/2</f>
        <v>1.5E-3</v>
      </c>
      <c r="AE206" s="50">
        <v>0.16800000000000001</v>
      </c>
      <c r="AN206" s="50"/>
      <c r="AO206" s="49"/>
      <c r="AV206"/>
    </row>
    <row r="207" spans="1:48" ht="15" customHeight="1">
      <c r="A207" s="88" t="s">
        <v>68</v>
      </c>
      <c r="B207" s="50" t="s">
        <v>3370</v>
      </c>
      <c r="C207" s="7" t="s">
        <v>3392</v>
      </c>
      <c r="D207" s="48" t="s">
        <v>133</v>
      </c>
      <c r="E207" s="50" t="s">
        <v>3393</v>
      </c>
      <c r="F207" s="48" t="s">
        <v>3394</v>
      </c>
      <c r="G207" s="76" t="s">
        <v>3395</v>
      </c>
      <c r="H207" s="50">
        <v>4953</v>
      </c>
      <c r="I207" s="49" t="s">
        <v>1</v>
      </c>
      <c r="J207" s="50" t="s">
        <v>319</v>
      </c>
      <c r="K207" s="51">
        <v>40934</v>
      </c>
      <c r="L207" s="115">
        <v>40931</v>
      </c>
      <c r="M207" s="50">
        <f t="shared" si="10"/>
        <v>3</v>
      </c>
      <c r="N207" s="50" t="s">
        <v>1</v>
      </c>
      <c r="O207" s="74">
        <v>47</v>
      </c>
      <c r="P207" s="50">
        <v>4.2300000000000004</v>
      </c>
      <c r="Q207" s="74">
        <v>8.58</v>
      </c>
      <c r="R207" s="50">
        <v>920</v>
      </c>
      <c r="S207" s="74">
        <v>420</v>
      </c>
      <c r="T207" s="50">
        <v>1.05</v>
      </c>
      <c r="U207" s="74">
        <v>9.3800000000000008</v>
      </c>
      <c r="V207" s="50">
        <v>0.73</v>
      </c>
      <c r="W207" s="74">
        <v>0.14399999999999999</v>
      </c>
      <c r="X207" s="50">
        <v>1.03</v>
      </c>
      <c r="Y207" s="74">
        <v>0.14199999999999999</v>
      </c>
      <c r="Z207" s="164">
        <v>0.379</v>
      </c>
      <c r="AA207" s="165">
        <v>0.31900000000000001</v>
      </c>
      <c r="AB207" s="50">
        <v>180</v>
      </c>
      <c r="AC207" s="74">
        <v>958</v>
      </c>
      <c r="AD207" s="164">
        <f>0/20</f>
        <v>0</v>
      </c>
      <c r="AN207" s="50"/>
      <c r="AO207" s="49"/>
      <c r="AV207"/>
    </row>
    <row r="208" spans="1:48" ht="15" customHeight="1">
      <c r="A208" s="88" t="s">
        <v>68</v>
      </c>
      <c r="B208" s="50" t="s">
        <v>3370</v>
      </c>
      <c r="C208" s="7" t="s">
        <v>3392</v>
      </c>
      <c r="D208" s="48" t="s">
        <v>133</v>
      </c>
      <c r="E208" s="50" t="s">
        <v>3393</v>
      </c>
      <c r="F208" s="48" t="s">
        <v>3394</v>
      </c>
      <c r="G208" s="76" t="s">
        <v>3395</v>
      </c>
      <c r="H208" s="50">
        <v>4953</v>
      </c>
      <c r="I208" s="49" t="s">
        <v>1</v>
      </c>
      <c r="J208" s="50" t="s">
        <v>320</v>
      </c>
      <c r="K208" s="51">
        <v>40934</v>
      </c>
      <c r="L208" s="115">
        <v>40931</v>
      </c>
      <c r="M208" s="50">
        <f t="shared" si="10"/>
        <v>3</v>
      </c>
      <c r="N208" s="50" t="s">
        <v>1</v>
      </c>
      <c r="O208" s="74">
        <v>5.7</v>
      </c>
      <c r="P208" s="50">
        <v>4.2300000000000004</v>
      </c>
      <c r="Q208" s="74">
        <v>6.71</v>
      </c>
      <c r="R208" s="50">
        <v>48</v>
      </c>
      <c r="S208" s="74">
        <v>67</v>
      </c>
      <c r="T208" s="50">
        <v>0.18</v>
      </c>
      <c r="U208" s="74">
        <v>1.71</v>
      </c>
      <c r="V208" s="50">
        <v>0.53</v>
      </c>
      <c r="W208" s="74">
        <v>1.4999999999999999E-2</v>
      </c>
      <c r="X208" s="50">
        <v>0.74</v>
      </c>
      <c r="Y208" s="74">
        <v>1.9E-2</v>
      </c>
      <c r="Z208" s="164">
        <v>1</v>
      </c>
      <c r="AA208" s="165">
        <v>0.70699999999999996</v>
      </c>
      <c r="AB208" s="50">
        <v>28</v>
      </c>
      <c r="AC208" s="74">
        <v>352</v>
      </c>
      <c r="AD208" s="164">
        <f>0/20%</f>
        <v>0</v>
      </c>
      <c r="AN208" s="50"/>
      <c r="AO208" s="49"/>
      <c r="AV208"/>
    </row>
    <row r="209" spans="1:51" ht="15" customHeight="1">
      <c r="A209" s="88" t="s">
        <v>68</v>
      </c>
      <c r="B209" s="50" t="s">
        <v>3370</v>
      </c>
      <c r="C209" s="7" t="s">
        <v>3392</v>
      </c>
      <c r="D209" s="48" t="s">
        <v>3286</v>
      </c>
      <c r="E209" s="50" t="s">
        <v>3393</v>
      </c>
      <c r="F209" s="50" t="s">
        <v>3394</v>
      </c>
      <c r="G209" s="76" t="s">
        <v>3395</v>
      </c>
      <c r="H209" s="50">
        <v>4953</v>
      </c>
      <c r="I209" s="49" t="s">
        <v>1</v>
      </c>
      <c r="J209" s="50" t="s">
        <v>3396</v>
      </c>
      <c r="K209" s="51">
        <v>41226</v>
      </c>
      <c r="L209" s="115">
        <v>41220</v>
      </c>
      <c r="M209" s="50">
        <f t="shared" si="10"/>
        <v>6</v>
      </c>
      <c r="N209" s="50" t="s">
        <v>2</v>
      </c>
      <c r="O209" s="74">
        <v>29</v>
      </c>
      <c r="P209" s="50">
        <v>4.09</v>
      </c>
      <c r="Q209" s="74">
        <v>6.73</v>
      </c>
      <c r="R209" s="50">
        <v>900</v>
      </c>
      <c r="S209" s="74">
        <v>320</v>
      </c>
      <c r="T209" s="50">
        <v>1</v>
      </c>
      <c r="U209" s="74">
        <v>7.68</v>
      </c>
      <c r="V209" s="50">
        <v>0.06</v>
      </c>
      <c r="W209" s="74">
        <v>0.11600000000000001</v>
      </c>
      <c r="X209" s="50">
        <v>1.02</v>
      </c>
      <c r="Y209" s="74">
        <v>0.13300000000000001</v>
      </c>
      <c r="AN209" s="50"/>
      <c r="AO209" s="49">
        <v>8260</v>
      </c>
      <c r="AV209"/>
    </row>
    <row r="210" spans="1:51" ht="15" customHeight="1">
      <c r="A210" s="88" t="s">
        <v>68</v>
      </c>
      <c r="B210" s="50" t="s">
        <v>3370</v>
      </c>
      <c r="C210" s="7" t="s">
        <v>3392</v>
      </c>
      <c r="D210" s="48" t="s">
        <v>3286</v>
      </c>
      <c r="E210" s="50" t="s">
        <v>3393</v>
      </c>
      <c r="F210" s="50" t="s">
        <v>3394</v>
      </c>
      <c r="G210" s="76" t="s">
        <v>3395</v>
      </c>
      <c r="H210" s="50">
        <v>4953</v>
      </c>
      <c r="I210" s="49" t="s">
        <v>1</v>
      </c>
      <c r="J210" s="50" t="s">
        <v>3397</v>
      </c>
      <c r="K210" s="51">
        <v>41226</v>
      </c>
      <c r="L210" s="115">
        <v>41220</v>
      </c>
      <c r="M210" s="50">
        <f t="shared" si="10"/>
        <v>6</v>
      </c>
      <c r="N210" s="50" t="s">
        <v>2</v>
      </c>
      <c r="O210" s="74">
        <v>3.3</v>
      </c>
      <c r="P210" s="50">
        <v>4.09</v>
      </c>
      <c r="Q210" s="74">
        <v>6.75</v>
      </c>
      <c r="R210" s="50">
        <v>73</v>
      </c>
      <c r="S210" s="74">
        <v>40</v>
      </c>
      <c r="T210" s="50">
        <v>0.11</v>
      </c>
      <c r="U210" s="74">
        <v>1.04</v>
      </c>
      <c r="V210" s="50">
        <v>0.43</v>
      </c>
      <c r="W210" s="74">
        <v>0.01</v>
      </c>
      <c r="X210" s="50">
        <v>0.29499999999999998</v>
      </c>
      <c r="Y210" s="74">
        <v>1.2999999999999999E-2</v>
      </c>
      <c r="AN210" s="50"/>
      <c r="AO210" s="49">
        <v>810</v>
      </c>
      <c r="AV210"/>
    </row>
    <row r="211" spans="1:51" ht="15" customHeight="1">
      <c r="A211" s="88" t="s">
        <v>68</v>
      </c>
      <c r="B211" s="50" t="s">
        <v>3370</v>
      </c>
      <c r="C211" s="7" t="s">
        <v>1471</v>
      </c>
      <c r="D211" s="48" t="s">
        <v>3286</v>
      </c>
      <c r="E211" s="50" t="s">
        <v>3393</v>
      </c>
      <c r="F211" s="50" t="s">
        <v>3394</v>
      </c>
      <c r="G211" s="76" t="s">
        <v>1473</v>
      </c>
      <c r="H211" s="50">
        <v>4953</v>
      </c>
      <c r="I211" s="49" t="s">
        <v>1</v>
      </c>
      <c r="J211" s="50" t="s">
        <v>926</v>
      </c>
      <c r="K211" s="51">
        <v>41170</v>
      </c>
      <c r="L211" s="115">
        <v>41161</v>
      </c>
      <c r="M211" s="50">
        <f t="shared" si="10"/>
        <v>9</v>
      </c>
      <c r="N211" s="50" t="s">
        <v>2</v>
      </c>
      <c r="P211" s="50">
        <v>4.3</v>
      </c>
      <c r="Q211" s="74">
        <v>5.73</v>
      </c>
      <c r="AN211" s="50"/>
      <c r="AO211" s="75">
        <v>2310</v>
      </c>
      <c r="AR211" s="50">
        <f>0.0002/2</f>
        <v>1E-4</v>
      </c>
      <c r="AV211"/>
    </row>
    <row r="212" spans="1:51" ht="15" customHeight="1">
      <c r="A212" s="88" t="s">
        <v>68</v>
      </c>
      <c r="B212" s="50" t="s">
        <v>3370</v>
      </c>
      <c r="C212" s="7" t="s">
        <v>3398</v>
      </c>
      <c r="D212" s="48" t="s">
        <v>133</v>
      </c>
      <c r="E212" s="50" t="s">
        <v>3393</v>
      </c>
      <c r="F212" s="48" t="s">
        <v>3394</v>
      </c>
      <c r="G212" s="76" t="s">
        <v>1473</v>
      </c>
      <c r="H212" s="50">
        <v>4953</v>
      </c>
      <c r="I212" s="49" t="s">
        <v>1</v>
      </c>
      <c r="J212" s="50" t="s">
        <v>925</v>
      </c>
      <c r="K212" s="51">
        <v>40996</v>
      </c>
      <c r="L212" s="115">
        <v>40993</v>
      </c>
      <c r="M212" s="50">
        <f t="shared" si="10"/>
        <v>3</v>
      </c>
      <c r="N212" s="50" t="s">
        <v>2</v>
      </c>
      <c r="O212" s="74">
        <v>2.9</v>
      </c>
      <c r="P212" s="50">
        <v>5.66</v>
      </c>
      <c r="Q212" s="74">
        <v>5.84</v>
      </c>
      <c r="R212" s="50">
        <v>470</v>
      </c>
      <c r="S212" s="74">
        <v>34</v>
      </c>
      <c r="T212" s="50">
        <v>2.11</v>
      </c>
      <c r="U212" s="74">
        <v>26</v>
      </c>
      <c r="V212" s="50">
        <f>0.01/2</f>
        <v>5.0000000000000001E-3</v>
      </c>
      <c r="W212" s="74">
        <v>2.7E-2</v>
      </c>
      <c r="X212" s="50">
        <v>0.35099999999999998</v>
      </c>
      <c r="Y212" s="74">
        <v>8.0000000000000002E-3</v>
      </c>
      <c r="Z212" s="164">
        <v>1</v>
      </c>
      <c r="AA212" s="165">
        <v>1</v>
      </c>
      <c r="AB212" s="50">
        <v>122</v>
      </c>
      <c r="AC212" s="74">
        <v>605</v>
      </c>
      <c r="AD212" s="164">
        <f>20/20</f>
        <v>1</v>
      </c>
      <c r="AN212" s="50"/>
      <c r="AO212" s="49"/>
      <c r="AV212"/>
    </row>
    <row r="213" spans="1:51" ht="15" customHeight="1">
      <c r="A213" s="88" t="s">
        <v>68</v>
      </c>
      <c r="B213" s="50" t="s">
        <v>3370</v>
      </c>
      <c r="C213" s="7" t="s">
        <v>3398</v>
      </c>
      <c r="D213" s="48" t="s">
        <v>133</v>
      </c>
      <c r="E213" s="50" t="s">
        <v>3393</v>
      </c>
      <c r="F213" s="48" t="s">
        <v>3394</v>
      </c>
      <c r="G213" s="76" t="s">
        <v>1473</v>
      </c>
      <c r="H213" s="50">
        <v>4953</v>
      </c>
      <c r="I213" s="49" t="s">
        <v>1</v>
      </c>
      <c r="J213" s="50" t="s">
        <v>3399</v>
      </c>
      <c r="K213" s="51">
        <v>40996</v>
      </c>
      <c r="L213" s="115">
        <v>40993</v>
      </c>
      <c r="M213" s="50">
        <f t="shared" si="10"/>
        <v>3</v>
      </c>
      <c r="N213" s="50" t="s">
        <v>2</v>
      </c>
      <c r="O213" s="74">
        <v>4.3</v>
      </c>
      <c r="P213" s="50">
        <v>5.66</v>
      </c>
      <c r="Q213" s="74">
        <v>5.75</v>
      </c>
      <c r="R213" s="50">
        <v>450</v>
      </c>
      <c r="S213" s="74">
        <v>58</v>
      </c>
      <c r="T213" s="50">
        <v>1.22</v>
      </c>
      <c r="U213" s="74">
        <v>15.6</v>
      </c>
      <c r="V213" s="50">
        <v>1.0900000000000001</v>
      </c>
      <c r="W213" s="74">
        <v>6.4000000000000001E-2</v>
      </c>
      <c r="X213" s="50">
        <v>1.38</v>
      </c>
      <c r="Y213" s="74">
        <v>5.7000000000000002E-2</v>
      </c>
      <c r="Z213" s="164">
        <v>1</v>
      </c>
      <c r="AA213" s="165">
        <v>1</v>
      </c>
      <c r="AB213" s="50">
        <v>70</v>
      </c>
      <c r="AC213" s="74">
        <v>273</v>
      </c>
      <c r="AD213" s="164">
        <v>1</v>
      </c>
      <c r="AN213" s="50"/>
      <c r="AO213" s="49"/>
      <c r="AV213"/>
    </row>
    <row r="214" spans="1:51" ht="15" customHeight="1">
      <c r="A214" s="88" t="s">
        <v>68</v>
      </c>
      <c r="B214" s="50" t="s">
        <v>3370</v>
      </c>
      <c r="C214" s="7" t="s">
        <v>3398</v>
      </c>
      <c r="D214" s="48" t="s">
        <v>3286</v>
      </c>
      <c r="E214" s="50" t="s">
        <v>3393</v>
      </c>
      <c r="F214" s="50" t="s">
        <v>3394</v>
      </c>
      <c r="G214" s="76" t="s">
        <v>1473</v>
      </c>
      <c r="H214" s="50">
        <v>4953</v>
      </c>
      <c r="I214" s="49" t="s">
        <v>1</v>
      </c>
      <c r="J214" s="50" t="s">
        <v>925</v>
      </c>
      <c r="K214" s="51">
        <v>41170</v>
      </c>
      <c r="L214" s="115">
        <v>41161</v>
      </c>
      <c r="M214" s="50">
        <f t="shared" si="10"/>
        <v>9</v>
      </c>
      <c r="N214" s="50" t="s">
        <v>2</v>
      </c>
      <c r="O214" s="74">
        <f>1.4/2</f>
        <v>0.7</v>
      </c>
      <c r="P214" s="50">
        <v>4.3</v>
      </c>
      <c r="Q214" s="74">
        <v>6.14</v>
      </c>
      <c r="R214" s="50">
        <v>120</v>
      </c>
      <c r="S214" s="74">
        <v>59</v>
      </c>
      <c r="T214" s="50">
        <v>1.32</v>
      </c>
      <c r="U214" s="74">
        <v>7.68</v>
      </c>
      <c r="V214" s="50">
        <f>0.05/2</f>
        <v>2.5000000000000001E-2</v>
      </c>
      <c r="W214" s="74">
        <v>2.1999999999999999E-2</v>
      </c>
      <c r="X214" s="50">
        <v>0.28100000000000003</v>
      </c>
      <c r="Y214" s="74">
        <v>1.0999999999999999E-2</v>
      </c>
      <c r="AN214" s="50"/>
      <c r="AO214" s="73" t="s">
        <v>964</v>
      </c>
      <c r="AV214"/>
    </row>
    <row r="215" spans="1:51" ht="15" customHeight="1">
      <c r="A215" s="88" t="s">
        <v>68</v>
      </c>
      <c r="B215" s="50" t="s">
        <v>3370</v>
      </c>
      <c r="C215" s="7" t="s">
        <v>3398</v>
      </c>
      <c r="D215" s="48" t="s">
        <v>3286</v>
      </c>
      <c r="E215" s="50" t="s">
        <v>3393</v>
      </c>
      <c r="F215" s="50" t="s">
        <v>3394</v>
      </c>
      <c r="G215" s="76" t="s">
        <v>1473</v>
      </c>
      <c r="H215" s="50">
        <v>4953</v>
      </c>
      <c r="I215" s="49" t="s">
        <v>1</v>
      </c>
      <c r="J215" s="50" t="s">
        <v>3399</v>
      </c>
      <c r="K215" s="51">
        <v>41170</v>
      </c>
      <c r="L215" s="115">
        <v>41161</v>
      </c>
      <c r="M215" s="50">
        <f t="shared" si="10"/>
        <v>9</v>
      </c>
      <c r="N215" s="50" t="s">
        <v>2</v>
      </c>
      <c r="O215" s="74">
        <f>1.4/2</f>
        <v>0.7</v>
      </c>
      <c r="P215" s="50">
        <v>4.3</v>
      </c>
      <c r="Q215" s="74">
        <v>5.45</v>
      </c>
      <c r="R215" s="50">
        <v>55</v>
      </c>
      <c r="S215" s="74">
        <v>6.5</v>
      </c>
      <c r="T215" s="50">
        <v>0.47</v>
      </c>
      <c r="U215" s="74">
        <v>3.59</v>
      </c>
      <c r="V215" s="50">
        <v>1.05</v>
      </c>
      <c r="W215" s="74">
        <v>1.2999999999999999E-2</v>
      </c>
      <c r="X215" s="50">
        <v>1.72</v>
      </c>
      <c r="Y215" s="74">
        <v>4.0000000000000001E-3</v>
      </c>
      <c r="AN215" s="50"/>
      <c r="AO215" s="75">
        <v>5172</v>
      </c>
      <c r="AV215"/>
    </row>
    <row r="216" spans="1:51" ht="15" customHeight="1">
      <c r="A216" s="88" t="s">
        <v>68</v>
      </c>
      <c r="B216" s="50" t="s">
        <v>2794</v>
      </c>
      <c r="C216" s="7" t="s">
        <v>3400</v>
      </c>
      <c r="D216" s="48" t="s">
        <v>397</v>
      </c>
      <c r="E216" s="50" t="s">
        <v>3401</v>
      </c>
      <c r="F216" s="48"/>
      <c r="G216" s="76" t="s">
        <v>3402</v>
      </c>
      <c r="H216" s="50">
        <v>4953</v>
      </c>
      <c r="I216" s="49" t="s">
        <v>2</v>
      </c>
      <c r="J216" s="50" t="s">
        <v>74</v>
      </c>
      <c r="K216" s="51">
        <v>41332</v>
      </c>
      <c r="L216" s="115" t="s">
        <v>3403</v>
      </c>
      <c r="N216" s="50" t="s">
        <v>1</v>
      </c>
      <c r="O216" s="74">
        <v>16</v>
      </c>
      <c r="Q216" s="74">
        <v>7.21</v>
      </c>
      <c r="R216" s="50">
        <v>460</v>
      </c>
      <c r="S216" s="74">
        <v>270</v>
      </c>
      <c r="T216" s="50">
        <v>1.96</v>
      </c>
      <c r="U216" s="74">
        <v>5.75</v>
      </c>
      <c r="V216" s="50">
        <v>0.27</v>
      </c>
      <c r="W216" s="74">
        <v>0.05</v>
      </c>
      <c r="X216" s="50">
        <v>0.184</v>
      </c>
      <c r="Y216" s="74">
        <v>5.7000000000000002E-2</v>
      </c>
      <c r="AE216" s="50">
        <v>12.4</v>
      </c>
      <c r="AG216" s="50">
        <v>270</v>
      </c>
      <c r="AN216" s="50">
        <v>7.21</v>
      </c>
      <c r="AO216" s="49">
        <v>730</v>
      </c>
      <c r="AR216" s="50">
        <f>0.002/2</f>
        <v>1E-3</v>
      </c>
      <c r="AS216" s="49">
        <v>8.67</v>
      </c>
      <c r="AV216"/>
      <c r="AY216" s="5" t="s">
        <v>964</v>
      </c>
    </row>
    <row r="217" spans="1:51" ht="15" customHeight="1">
      <c r="A217" s="88" t="s">
        <v>68</v>
      </c>
      <c r="B217" s="50" t="s">
        <v>3404</v>
      </c>
      <c r="C217" s="7" t="s">
        <v>3405</v>
      </c>
      <c r="D217" s="48" t="s">
        <v>434</v>
      </c>
      <c r="F217" s="50" t="s">
        <v>3406</v>
      </c>
      <c r="G217" s="76" t="s">
        <v>5251</v>
      </c>
      <c r="H217" s="50">
        <v>4953</v>
      </c>
      <c r="I217" s="49" t="s">
        <v>2</v>
      </c>
      <c r="J217" s="50" t="s">
        <v>510</v>
      </c>
      <c r="K217" s="51">
        <v>41226</v>
      </c>
      <c r="L217" s="115">
        <v>41220</v>
      </c>
      <c r="M217" s="50">
        <v>6</v>
      </c>
      <c r="N217" s="50" t="s">
        <v>2</v>
      </c>
      <c r="O217" s="74">
        <v>33</v>
      </c>
      <c r="P217" s="50">
        <v>6.5</v>
      </c>
      <c r="Q217" s="74">
        <v>7.17</v>
      </c>
      <c r="R217" s="50">
        <v>2670</v>
      </c>
      <c r="S217" s="74">
        <v>1200</v>
      </c>
      <c r="T217" s="50">
        <v>4.0999999999999996</v>
      </c>
      <c r="U217" s="74">
        <v>33.299999999999997</v>
      </c>
      <c r="V217" s="50">
        <v>0.04</v>
      </c>
      <c r="W217" s="74">
        <v>1.0900000000000001</v>
      </c>
      <c r="X217" s="50">
        <v>4.59</v>
      </c>
      <c r="Y217" s="74">
        <v>1.98</v>
      </c>
      <c r="AN217" s="50"/>
      <c r="AO217" s="49"/>
      <c r="AV217"/>
    </row>
    <row r="218" spans="1:51" ht="15" customHeight="1">
      <c r="A218" s="88" t="s">
        <v>68</v>
      </c>
      <c r="B218" s="50" t="s">
        <v>3404</v>
      </c>
      <c r="C218" s="7" t="s">
        <v>3405</v>
      </c>
      <c r="D218" s="48" t="s">
        <v>434</v>
      </c>
      <c r="F218" s="50" t="s">
        <v>3406</v>
      </c>
      <c r="G218" s="76" t="s">
        <v>5251</v>
      </c>
      <c r="H218" s="50">
        <v>4953</v>
      </c>
      <c r="I218" s="49" t="s">
        <v>2</v>
      </c>
      <c r="J218" s="50" t="s">
        <v>460</v>
      </c>
      <c r="K218" s="51">
        <v>41226</v>
      </c>
      <c r="L218" s="115">
        <v>41220</v>
      </c>
      <c r="M218" s="50">
        <v>6</v>
      </c>
      <c r="N218" s="50" t="s">
        <v>2</v>
      </c>
      <c r="O218" s="74">
        <v>29</v>
      </c>
      <c r="P218" s="50">
        <v>6.5</v>
      </c>
      <c r="Q218" s="74">
        <v>7.42</v>
      </c>
      <c r="R218" s="50">
        <v>170</v>
      </c>
      <c r="S218" s="74">
        <v>380</v>
      </c>
      <c r="T218" s="50">
        <v>0.24</v>
      </c>
      <c r="U218" s="74">
        <v>4.16</v>
      </c>
      <c r="V218" s="50">
        <f>0.05/2</f>
        <v>2.5000000000000001E-2</v>
      </c>
      <c r="W218" s="74">
        <v>0.83699999999999997</v>
      </c>
      <c r="X218" s="50">
        <v>0.75700000000000001</v>
      </c>
      <c r="Y218" s="74">
        <v>0.41199999999999998</v>
      </c>
      <c r="AN218" s="50"/>
      <c r="AO218" s="49"/>
      <c r="AV218"/>
    </row>
    <row r="219" spans="1:51" ht="15" customHeight="1">
      <c r="A219" s="88" t="s">
        <v>68</v>
      </c>
      <c r="B219" s="50" t="s">
        <v>3404</v>
      </c>
      <c r="C219" s="7" t="s">
        <v>3405</v>
      </c>
      <c r="D219" s="48" t="s">
        <v>434</v>
      </c>
      <c r="F219" s="50" t="s">
        <v>3406</v>
      </c>
      <c r="G219" s="76" t="s">
        <v>5251</v>
      </c>
      <c r="H219" s="50">
        <v>4953</v>
      </c>
      <c r="I219" s="49" t="s">
        <v>2</v>
      </c>
      <c r="J219" s="50" t="s">
        <v>510</v>
      </c>
      <c r="K219" s="51">
        <v>41044</v>
      </c>
      <c r="L219" s="115">
        <v>41039</v>
      </c>
      <c r="M219" s="50">
        <v>5</v>
      </c>
      <c r="N219" s="50" t="s">
        <v>2</v>
      </c>
      <c r="O219" s="74">
        <v>110</v>
      </c>
      <c r="P219" s="50">
        <v>6.5</v>
      </c>
      <c r="Q219" s="74">
        <v>6.69</v>
      </c>
      <c r="R219" s="50">
        <v>3760</v>
      </c>
      <c r="S219" s="74">
        <v>13000</v>
      </c>
      <c r="T219" s="50">
        <v>10.199999999999999</v>
      </c>
      <c r="U219" s="74">
        <v>35.4</v>
      </c>
      <c r="V219" s="50">
        <f>0.01/2</f>
        <v>5.0000000000000001E-3</v>
      </c>
      <c r="W219" s="74">
        <v>1.02</v>
      </c>
      <c r="X219" s="50">
        <v>6.3</v>
      </c>
      <c r="Y219" s="74">
        <v>3.57</v>
      </c>
      <c r="Z219" s="164">
        <v>0.35399999999999998</v>
      </c>
      <c r="AA219" s="165">
        <v>0.31900000000000001</v>
      </c>
      <c r="AB219" s="50">
        <v>1100</v>
      </c>
      <c r="AC219" s="74">
        <v>1770</v>
      </c>
      <c r="AD219" s="164">
        <f>0/20</f>
        <v>0</v>
      </c>
      <c r="AN219" s="50"/>
      <c r="AO219" s="49"/>
      <c r="AV219"/>
    </row>
    <row r="220" spans="1:51" ht="15" customHeight="1">
      <c r="A220" s="88" t="s">
        <v>68</v>
      </c>
      <c r="B220" s="50" t="s">
        <v>3404</v>
      </c>
      <c r="C220" s="7" t="s">
        <v>3405</v>
      </c>
      <c r="D220" s="48" t="s">
        <v>434</v>
      </c>
      <c r="F220" s="50" t="s">
        <v>3406</v>
      </c>
      <c r="G220" s="76" t="s">
        <v>5251</v>
      </c>
      <c r="H220" s="50">
        <v>4953</v>
      </c>
      <c r="I220" s="49" t="s">
        <v>2</v>
      </c>
      <c r="J220" s="50" t="s">
        <v>460</v>
      </c>
      <c r="K220" s="51">
        <v>41044</v>
      </c>
      <c r="L220" s="115">
        <v>41039</v>
      </c>
      <c r="M220" s="50">
        <v>5</v>
      </c>
      <c r="N220" s="50" t="s">
        <v>2</v>
      </c>
      <c r="O220" s="74">
        <v>74</v>
      </c>
      <c r="P220" s="50">
        <v>6.5</v>
      </c>
      <c r="Q220" s="74">
        <v>7.33</v>
      </c>
      <c r="R220" s="50">
        <v>1060</v>
      </c>
      <c r="S220" s="74">
        <v>1500</v>
      </c>
      <c r="T220" s="50">
        <v>2.0099999999999998</v>
      </c>
      <c r="U220" s="74">
        <v>13.8</v>
      </c>
      <c r="V220" s="50">
        <f>0.01/2</f>
        <v>5.0000000000000001E-3</v>
      </c>
      <c r="W220" s="74">
        <v>0.35699999999999998</v>
      </c>
      <c r="X220" s="50">
        <v>1.79</v>
      </c>
      <c r="Y220" s="74">
        <v>0.86499999999999999</v>
      </c>
      <c r="Z220" s="164">
        <v>1</v>
      </c>
      <c r="AA220" s="165">
        <v>0.77100000000000002</v>
      </c>
      <c r="AB220" s="50">
        <v>1200</v>
      </c>
      <c r="AC220" s="74">
        <v>2190</v>
      </c>
      <c r="AD220" s="164">
        <f>4/20</f>
        <v>0.2</v>
      </c>
      <c r="AN220" s="50"/>
      <c r="AO220" s="49"/>
      <c r="AV220"/>
    </row>
    <row r="221" spans="1:51" ht="15" customHeight="1">
      <c r="A221" s="88" t="s">
        <v>68</v>
      </c>
      <c r="B221" s="50" t="s">
        <v>3407</v>
      </c>
      <c r="C221" s="7" t="s">
        <v>3408</v>
      </c>
      <c r="D221" s="48" t="s">
        <v>372</v>
      </c>
      <c r="F221" s="50" t="s">
        <v>3409</v>
      </c>
      <c r="G221" s="76" t="s">
        <v>3410</v>
      </c>
      <c r="H221" s="50">
        <v>4953</v>
      </c>
      <c r="I221" s="49" t="s">
        <v>1</v>
      </c>
      <c r="J221" s="50" t="s">
        <v>510</v>
      </c>
      <c r="K221" s="51">
        <v>40920</v>
      </c>
      <c r="L221" s="115">
        <v>40909</v>
      </c>
      <c r="M221" s="50">
        <f t="shared" ref="M221:M227" si="11">K221-L221</f>
        <v>11</v>
      </c>
      <c r="N221" s="50" t="s">
        <v>2</v>
      </c>
      <c r="O221" s="74">
        <v>18</v>
      </c>
      <c r="P221" s="50">
        <v>7.53</v>
      </c>
      <c r="Q221" s="74">
        <v>8.2799999999999994</v>
      </c>
      <c r="R221" s="50">
        <v>19</v>
      </c>
      <c r="S221" s="74">
        <v>280</v>
      </c>
      <c r="T221" s="50">
        <v>0.41</v>
      </c>
      <c r="U221" s="74">
        <v>1.97</v>
      </c>
      <c r="V221" s="50">
        <v>0.12</v>
      </c>
      <c r="W221" s="74">
        <v>9.4E-2</v>
      </c>
      <c r="X221" s="50">
        <v>0.41199999999999998</v>
      </c>
      <c r="Y221" s="74">
        <v>0.314</v>
      </c>
      <c r="Z221" s="164">
        <v>1</v>
      </c>
      <c r="AA221" s="165">
        <v>1</v>
      </c>
      <c r="AB221" s="50">
        <v>128</v>
      </c>
      <c r="AC221" s="74">
        <v>347</v>
      </c>
      <c r="AN221" s="50"/>
      <c r="AO221" s="49"/>
      <c r="AV221"/>
    </row>
    <row r="222" spans="1:51" ht="15" customHeight="1">
      <c r="A222" s="88" t="s">
        <v>68</v>
      </c>
      <c r="B222" s="50" t="s">
        <v>3411</v>
      </c>
      <c r="C222" s="7" t="s">
        <v>475</v>
      </c>
      <c r="D222" s="48" t="s">
        <v>1896</v>
      </c>
      <c r="F222" s="48" t="s">
        <v>3412</v>
      </c>
      <c r="G222" s="76" t="s">
        <v>3413</v>
      </c>
      <c r="H222" s="50">
        <v>4953</v>
      </c>
      <c r="I222" s="49" t="s">
        <v>2</v>
      </c>
      <c r="J222" s="50" t="s">
        <v>3630</v>
      </c>
      <c r="K222" s="51">
        <v>41264</v>
      </c>
      <c r="L222" s="115">
        <v>41261</v>
      </c>
      <c r="M222" s="50">
        <f t="shared" si="11"/>
        <v>3</v>
      </c>
      <c r="N222" s="50" t="s">
        <v>2</v>
      </c>
      <c r="O222" s="74">
        <v>17</v>
      </c>
      <c r="P222" s="50">
        <v>6.5</v>
      </c>
      <c r="Q222" s="74">
        <v>7.53</v>
      </c>
      <c r="R222" s="50">
        <v>83</v>
      </c>
      <c r="S222" s="74">
        <v>1000</v>
      </c>
      <c r="T222" s="50">
        <v>2.73</v>
      </c>
      <c r="U222" s="74">
        <v>4.54</v>
      </c>
      <c r="V222" s="50">
        <v>0.35</v>
      </c>
      <c r="W222" s="74">
        <v>0.25</v>
      </c>
      <c r="X222" s="50">
        <v>1.28</v>
      </c>
      <c r="Y222" s="74">
        <v>0.26900000000000002</v>
      </c>
      <c r="AN222" s="50"/>
      <c r="AO222" s="49"/>
      <c r="AV222"/>
    </row>
    <row r="223" spans="1:51" ht="15" customHeight="1">
      <c r="A223" s="88" t="s">
        <v>68</v>
      </c>
      <c r="B223" s="50" t="s">
        <v>470</v>
      </c>
      <c r="C223" s="7" t="s">
        <v>475</v>
      </c>
      <c r="D223" s="48" t="s">
        <v>471</v>
      </c>
      <c r="E223" s="50" t="s">
        <v>2615</v>
      </c>
      <c r="F223" s="287"/>
      <c r="G223" s="76" t="s">
        <v>476</v>
      </c>
      <c r="H223" s="287">
        <v>4953</v>
      </c>
      <c r="I223" s="49" t="s">
        <v>2</v>
      </c>
      <c r="J223" s="50" t="s">
        <v>477</v>
      </c>
      <c r="K223" s="51">
        <v>41263</v>
      </c>
      <c r="L223" s="115">
        <v>41261</v>
      </c>
      <c r="M223" s="50">
        <f t="shared" si="11"/>
        <v>2</v>
      </c>
      <c r="N223" s="50" t="s">
        <v>2</v>
      </c>
      <c r="O223" s="74">
        <f>1.4/2</f>
        <v>0.7</v>
      </c>
      <c r="P223" s="50">
        <v>6.5</v>
      </c>
      <c r="Q223" s="74">
        <v>7.82</v>
      </c>
      <c r="R223" s="50">
        <v>300</v>
      </c>
      <c r="S223" s="74">
        <v>47</v>
      </c>
      <c r="T223" s="50">
        <v>0.13</v>
      </c>
      <c r="U223" s="74">
        <v>1.02</v>
      </c>
      <c r="V223" s="50">
        <v>3.24</v>
      </c>
      <c r="W223" s="74">
        <v>1.6E-2</v>
      </c>
      <c r="X223" s="50">
        <v>2.5000000000000001E-2</v>
      </c>
      <c r="Y223" s="74">
        <v>4.0000000000000001E-3</v>
      </c>
      <c r="Z223" s="164">
        <v>0.33</v>
      </c>
      <c r="AA223" s="165">
        <v>0.29699999999999999</v>
      </c>
      <c r="AB223" s="50">
        <v>504</v>
      </c>
      <c r="AC223" s="74">
        <v>20200</v>
      </c>
      <c r="AD223" s="164">
        <f>0/20</f>
        <v>0</v>
      </c>
      <c r="AN223" s="50"/>
      <c r="AO223" s="49"/>
      <c r="AV223"/>
    </row>
    <row r="224" spans="1:51" ht="15" customHeight="1">
      <c r="A224" s="88" t="s">
        <v>68</v>
      </c>
      <c r="B224" s="50" t="s">
        <v>1457</v>
      </c>
      <c r="C224" s="7" t="s">
        <v>3415</v>
      </c>
      <c r="D224" s="48" t="s">
        <v>156</v>
      </c>
      <c r="E224" s="50" t="s">
        <v>3356</v>
      </c>
      <c r="G224" s="76" t="s">
        <v>1462</v>
      </c>
      <c r="H224" s="50">
        <v>4953</v>
      </c>
      <c r="I224" s="49" t="s">
        <v>1</v>
      </c>
      <c r="J224" s="50" t="s">
        <v>194</v>
      </c>
      <c r="K224" s="51">
        <v>41201</v>
      </c>
      <c r="L224" s="115">
        <v>41187</v>
      </c>
      <c r="M224" s="50">
        <f t="shared" si="11"/>
        <v>14</v>
      </c>
      <c r="N224" s="50" t="s">
        <v>2</v>
      </c>
      <c r="O224" s="74">
        <f>2/2</f>
        <v>1</v>
      </c>
      <c r="P224" s="50">
        <v>6.5</v>
      </c>
      <c r="Q224" s="74">
        <v>7.9</v>
      </c>
      <c r="R224" s="50">
        <v>28</v>
      </c>
      <c r="S224" s="74">
        <v>6</v>
      </c>
      <c r="T224" s="50">
        <v>0.12</v>
      </c>
      <c r="U224" s="74">
        <v>0.92</v>
      </c>
      <c r="V224" s="50">
        <f>0.1/2</f>
        <v>0.05</v>
      </c>
      <c r="W224" s="74">
        <f>0.01/2</f>
        <v>5.0000000000000001E-3</v>
      </c>
      <c r="X224" s="50">
        <f>0.03/2</f>
        <v>1.4999999999999999E-2</v>
      </c>
      <c r="Y224" s="74">
        <f>0.03/2</f>
        <v>1.4999999999999999E-2</v>
      </c>
      <c r="AE224" s="50">
        <v>0.37</v>
      </c>
      <c r="AF224" s="50">
        <f>3/2</f>
        <v>1.5</v>
      </c>
      <c r="AG224" s="50">
        <v>6</v>
      </c>
      <c r="AH224" s="50">
        <f>0.05/2</f>
        <v>2.5000000000000001E-2</v>
      </c>
      <c r="AI224" s="50">
        <f>0.01/2</f>
        <v>5.0000000000000001E-3</v>
      </c>
      <c r="AJ224" s="50">
        <f>0.05/2</f>
        <v>2.5000000000000001E-2</v>
      </c>
      <c r="AK224" s="50">
        <f>0.02/2</f>
        <v>0.01</v>
      </c>
      <c r="AL224" s="50">
        <f>0.02/2</f>
        <v>0.01</v>
      </c>
      <c r="AM224" s="50">
        <f>0.03/2</f>
        <v>1.4999999999999999E-2</v>
      </c>
      <c r="AN224" s="50">
        <v>7.9</v>
      </c>
      <c r="AO224" s="49"/>
      <c r="AV224"/>
    </row>
    <row r="225" spans="1:48" ht="15" customHeight="1">
      <c r="A225" s="88" t="s">
        <v>68</v>
      </c>
      <c r="B225" s="50" t="s">
        <v>1457</v>
      </c>
      <c r="C225" s="7" t="s">
        <v>3416</v>
      </c>
      <c r="D225" s="48" t="s">
        <v>156</v>
      </c>
      <c r="E225" s="50" t="s">
        <v>3417</v>
      </c>
      <c r="G225" s="76" t="s">
        <v>1460</v>
      </c>
      <c r="H225" s="50">
        <v>4953</v>
      </c>
      <c r="I225" s="49" t="s">
        <v>1</v>
      </c>
      <c r="J225" s="50" t="s">
        <v>194</v>
      </c>
      <c r="K225" s="51">
        <v>41201</v>
      </c>
      <c r="L225" s="115">
        <v>41187</v>
      </c>
      <c r="M225" s="50">
        <f t="shared" si="11"/>
        <v>14</v>
      </c>
      <c r="N225" s="50" t="s">
        <v>2</v>
      </c>
      <c r="O225" s="74">
        <v>6.8</v>
      </c>
      <c r="P225" s="50">
        <v>6.5</v>
      </c>
      <c r="Q225" s="74">
        <v>6.9</v>
      </c>
      <c r="R225" s="50">
        <v>80</v>
      </c>
      <c r="S225" s="74">
        <v>112</v>
      </c>
      <c r="T225" s="50">
        <v>0.39</v>
      </c>
      <c r="U225" s="74">
        <v>0.96</v>
      </c>
      <c r="V225" s="50">
        <v>0.25</v>
      </c>
      <c r="W225" s="74">
        <v>2.8000000000000001E-2</v>
      </c>
      <c r="X225" s="50">
        <v>6.3E-2</v>
      </c>
      <c r="Y225" s="74">
        <f>0.03/2</f>
        <v>1.4999999999999999E-2</v>
      </c>
      <c r="AE225" s="50">
        <v>6.2</v>
      </c>
      <c r="AN225" s="50"/>
      <c r="AO225" s="49"/>
      <c r="AV225"/>
    </row>
    <row r="226" spans="1:48" ht="15" customHeight="1">
      <c r="A226" s="88" t="s">
        <v>68</v>
      </c>
      <c r="B226" s="50" t="s">
        <v>3418</v>
      </c>
      <c r="C226" s="7" t="s">
        <v>3419</v>
      </c>
      <c r="D226" s="48" t="s">
        <v>452</v>
      </c>
      <c r="F226" s="48" t="s">
        <v>2714</v>
      </c>
      <c r="G226" s="76" t="s">
        <v>3420</v>
      </c>
      <c r="H226" s="50">
        <v>9199</v>
      </c>
      <c r="I226" s="49" t="s">
        <v>2</v>
      </c>
      <c r="J226" s="50" t="s">
        <v>366</v>
      </c>
      <c r="K226" s="51">
        <v>41264</v>
      </c>
      <c r="L226" s="115">
        <v>41261</v>
      </c>
      <c r="M226" s="50">
        <f t="shared" si="11"/>
        <v>3</v>
      </c>
      <c r="N226" s="50" t="s">
        <v>2</v>
      </c>
      <c r="O226" s="74">
        <v>38</v>
      </c>
      <c r="P226" s="50">
        <v>6.5</v>
      </c>
      <c r="Q226" s="74">
        <v>7.23</v>
      </c>
      <c r="R226" s="50">
        <v>34</v>
      </c>
      <c r="S226" s="74">
        <v>2600</v>
      </c>
      <c r="T226" s="50">
        <v>1.64</v>
      </c>
      <c r="U226" s="74">
        <v>3.68</v>
      </c>
      <c r="V226" s="50">
        <v>0.18</v>
      </c>
      <c r="W226" s="74">
        <v>0.22800000000000001</v>
      </c>
      <c r="X226" s="50">
        <v>2.15</v>
      </c>
      <c r="Y226" s="74">
        <v>0.39200000000000002</v>
      </c>
      <c r="AN226" s="50"/>
      <c r="AO226" s="49"/>
      <c r="AV226"/>
    </row>
    <row r="227" spans="1:48" ht="15" customHeight="1">
      <c r="A227" s="88" t="s">
        <v>68</v>
      </c>
      <c r="B227" s="50" t="s">
        <v>3384</v>
      </c>
      <c r="C227" s="7" t="s">
        <v>3421</v>
      </c>
      <c r="D227" s="48" t="s">
        <v>534</v>
      </c>
      <c r="E227" s="50" t="s">
        <v>304</v>
      </c>
      <c r="F227" s="48"/>
      <c r="G227" s="76" t="s">
        <v>2547</v>
      </c>
      <c r="I227" s="49" t="s">
        <v>1</v>
      </c>
      <c r="J227" s="50" t="s">
        <v>3422</v>
      </c>
      <c r="K227" s="51">
        <v>41270</v>
      </c>
      <c r="L227" s="115">
        <v>41264</v>
      </c>
      <c r="M227" s="50">
        <f t="shared" si="11"/>
        <v>6</v>
      </c>
      <c r="N227" s="50" t="s">
        <v>1</v>
      </c>
      <c r="AE227" s="50">
        <v>0.53</v>
      </c>
      <c r="AN227" s="50"/>
      <c r="AO227" s="49"/>
      <c r="AV227"/>
    </row>
    <row r="228" spans="1:48" ht="15" customHeight="1">
      <c r="A228" s="88" t="s">
        <v>68</v>
      </c>
      <c r="B228" s="50" t="s">
        <v>3384</v>
      </c>
      <c r="C228" s="7" t="s">
        <v>3421</v>
      </c>
      <c r="D228" s="48" t="s">
        <v>534</v>
      </c>
      <c r="E228" s="50" t="s">
        <v>304</v>
      </c>
      <c r="F228" s="48"/>
      <c r="G228" s="76" t="s">
        <v>2547</v>
      </c>
      <c r="I228" s="49" t="s">
        <v>1</v>
      </c>
      <c r="J228" s="50" t="s">
        <v>3423</v>
      </c>
      <c r="K228" s="51">
        <v>40884</v>
      </c>
      <c r="L228" s="115"/>
      <c r="N228" s="50" t="s">
        <v>2</v>
      </c>
      <c r="AE228" s="50">
        <v>6.68</v>
      </c>
      <c r="AN228" s="50"/>
      <c r="AO228" s="49"/>
      <c r="AV228"/>
    </row>
    <row r="229" spans="1:48" ht="15" customHeight="1">
      <c r="A229" s="88" t="s">
        <v>68</v>
      </c>
      <c r="B229" s="50" t="s">
        <v>3561</v>
      </c>
      <c r="C229" s="7" t="s">
        <v>3424</v>
      </c>
      <c r="D229" s="48" t="s">
        <v>84</v>
      </c>
      <c r="E229" s="50" t="s">
        <v>3628</v>
      </c>
      <c r="G229" s="48" t="s">
        <v>3425</v>
      </c>
      <c r="H229" s="287">
        <v>4953</v>
      </c>
      <c r="I229" s="49" t="s">
        <v>2</v>
      </c>
      <c r="J229" s="50" t="s">
        <v>3426</v>
      </c>
      <c r="K229" s="72">
        <v>41324</v>
      </c>
      <c r="L229" s="115">
        <v>41316</v>
      </c>
      <c r="M229" s="50">
        <f>K229-L229</f>
        <v>8</v>
      </c>
      <c r="N229" s="50" t="s">
        <v>1</v>
      </c>
      <c r="O229" s="74">
        <v>1.2</v>
      </c>
      <c r="P229" s="50">
        <v>6.95</v>
      </c>
      <c r="Q229" s="74">
        <v>7.31</v>
      </c>
      <c r="R229" s="50">
        <v>52</v>
      </c>
      <c r="S229" s="74">
        <v>50</v>
      </c>
      <c r="T229" s="50">
        <v>0.35</v>
      </c>
      <c r="U229" s="74">
        <v>0.35</v>
      </c>
      <c r="V229" s="50">
        <v>0.75</v>
      </c>
      <c r="W229" s="74">
        <v>0.11</v>
      </c>
      <c r="X229" s="50">
        <v>0.12</v>
      </c>
      <c r="Y229" s="74">
        <v>2.5000000000000001E-2</v>
      </c>
      <c r="Z229" s="164">
        <v>1</v>
      </c>
      <c r="AA229" s="165">
        <v>1</v>
      </c>
      <c r="AB229" s="50">
        <v>18</v>
      </c>
      <c r="AC229" s="74">
        <v>249</v>
      </c>
      <c r="AD229" s="164">
        <f>20/20</f>
        <v>1</v>
      </c>
      <c r="AN229" s="50"/>
      <c r="AO229" s="49"/>
      <c r="AV229"/>
    </row>
    <row r="230" spans="1:48" ht="15" customHeight="1">
      <c r="A230" s="88" t="s">
        <v>5621</v>
      </c>
      <c r="B230" s="50" t="s">
        <v>3561</v>
      </c>
      <c r="C230" s="7" t="s">
        <v>3424</v>
      </c>
      <c r="D230" s="48" t="s">
        <v>84</v>
      </c>
      <c r="E230" s="50" t="s">
        <v>3628</v>
      </c>
      <c r="F230" s="48"/>
      <c r="G230" s="76" t="s">
        <v>3425</v>
      </c>
      <c r="H230" s="50">
        <v>4953</v>
      </c>
      <c r="I230" s="49" t="s">
        <v>2</v>
      </c>
      <c r="J230" s="50" t="s">
        <v>3426</v>
      </c>
      <c r="K230" s="51">
        <v>40993</v>
      </c>
      <c r="L230" s="115">
        <v>40971</v>
      </c>
      <c r="M230" s="50">
        <f>K230-L230</f>
        <v>22</v>
      </c>
      <c r="N230" s="50" t="s">
        <v>2</v>
      </c>
      <c r="O230" s="74">
        <v>1</v>
      </c>
      <c r="P230" s="50">
        <v>6.26</v>
      </c>
      <c r="Q230" s="74">
        <v>6.9</v>
      </c>
      <c r="R230" s="50">
        <v>59</v>
      </c>
      <c r="S230" s="74">
        <v>41</v>
      </c>
      <c r="T230" s="50">
        <v>0.25</v>
      </c>
      <c r="U230" s="74">
        <v>1.05</v>
      </c>
      <c r="V230" s="50">
        <v>0.35</v>
      </c>
      <c r="W230" s="74">
        <f>0.05/2</f>
        <v>2.5000000000000001E-2</v>
      </c>
      <c r="X230" s="50">
        <v>0.08</v>
      </c>
      <c r="Y230" s="74">
        <f>0.05/2</f>
        <v>2.5000000000000001E-2</v>
      </c>
      <c r="Z230" s="164">
        <v>1</v>
      </c>
      <c r="AA230" s="165">
        <v>1</v>
      </c>
      <c r="AB230" s="50">
        <v>60</v>
      </c>
      <c r="AC230" s="74">
        <v>85</v>
      </c>
      <c r="AD230" s="164">
        <f>14/20</f>
        <v>0.7</v>
      </c>
      <c r="AN230" s="50"/>
      <c r="AO230" s="49"/>
      <c r="AV230"/>
    </row>
    <row r="231" spans="1:48" ht="15" customHeight="1">
      <c r="A231" s="88" t="s">
        <v>68</v>
      </c>
      <c r="B231" s="50" t="s">
        <v>3561</v>
      </c>
      <c r="C231" s="7" t="s">
        <v>3424</v>
      </c>
      <c r="D231" s="48" t="s">
        <v>84</v>
      </c>
      <c r="E231" s="50" t="s">
        <v>3628</v>
      </c>
      <c r="G231" s="76" t="s">
        <v>3425</v>
      </c>
      <c r="H231" s="50">
        <v>4953</v>
      </c>
      <c r="I231" s="49" t="s">
        <v>2</v>
      </c>
      <c r="J231" s="50" t="s">
        <v>3426</v>
      </c>
      <c r="K231" s="51">
        <v>41131</v>
      </c>
      <c r="L231" s="115">
        <v>41127</v>
      </c>
      <c r="M231" s="50">
        <f>K231-L231</f>
        <v>4</v>
      </c>
      <c r="N231" s="50" t="s">
        <v>2</v>
      </c>
      <c r="O231" s="74">
        <v>0.5</v>
      </c>
      <c r="P231" s="50">
        <v>5.79</v>
      </c>
      <c r="Q231" s="74">
        <v>6.91</v>
      </c>
      <c r="R231" s="50">
        <v>24</v>
      </c>
      <c r="S231" s="74">
        <v>0.5</v>
      </c>
      <c r="T231" s="50">
        <v>0.15</v>
      </c>
      <c r="U231" s="74">
        <v>0.98</v>
      </c>
      <c r="V231" s="50">
        <v>0.2</v>
      </c>
      <c r="W231" s="74">
        <v>2.5000000000000001E-2</v>
      </c>
      <c r="X231" s="50">
        <v>0.06</v>
      </c>
      <c r="Y231" s="74">
        <v>2.5000000000000001E-2</v>
      </c>
      <c r="AN231" s="50"/>
      <c r="AO231" s="49"/>
      <c r="AV231"/>
    </row>
    <row r="232" spans="1:48" ht="15" customHeight="1">
      <c r="A232" s="88" t="s">
        <v>68</v>
      </c>
      <c r="B232" s="50" t="s">
        <v>2222</v>
      </c>
      <c r="C232" s="7" t="s">
        <v>3427</v>
      </c>
      <c r="D232" s="48" t="s">
        <v>372</v>
      </c>
      <c r="E232" s="50" t="s">
        <v>3428</v>
      </c>
      <c r="F232" s="48" t="s">
        <v>2896</v>
      </c>
      <c r="G232" s="76" t="s">
        <v>3429</v>
      </c>
      <c r="H232" s="50">
        <v>495</v>
      </c>
      <c r="I232" s="49" t="s">
        <v>2</v>
      </c>
      <c r="J232" s="50" t="s">
        <v>3430</v>
      </c>
      <c r="K232" s="51">
        <v>41247</v>
      </c>
      <c r="L232" s="115" t="s">
        <v>3431</v>
      </c>
      <c r="N232" s="50" t="s">
        <v>2</v>
      </c>
      <c r="AE232" s="50">
        <v>3.72</v>
      </c>
      <c r="AN232" s="50"/>
      <c r="AO232" s="49"/>
      <c r="AV232"/>
    </row>
    <row r="233" spans="1:48" ht="15" customHeight="1">
      <c r="A233" s="88" t="s">
        <v>68</v>
      </c>
      <c r="B233" s="50" t="s">
        <v>2222</v>
      </c>
      <c r="C233" s="7" t="s">
        <v>3432</v>
      </c>
      <c r="D233" s="48" t="s">
        <v>372</v>
      </c>
      <c r="E233" s="50" t="s">
        <v>3428</v>
      </c>
      <c r="F233" s="50" t="s">
        <v>3433</v>
      </c>
      <c r="G233" s="76" t="s">
        <v>3429</v>
      </c>
      <c r="H233" s="50">
        <v>4953</v>
      </c>
      <c r="J233" s="50" t="s">
        <v>3430</v>
      </c>
      <c r="K233" s="51">
        <v>41149</v>
      </c>
      <c r="L233" s="115" t="s">
        <v>3434</v>
      </c>
      <c r="N233" s="50" t="s">
        <v>2</v>
      </c>
      <c r="O233" s="74">
        <f>2.5/2</f>
        <v>1.25</v>
      </c>
      <c r="P233" s="50">
        <v>6.76</v>
      </c>
      <c r="Q233" s="74">
        <v>6.7</v>
      </c>
      <c r="R233" s="50">
        <v>48</v>
      </c>
      <c r="S233" s="74">
        <v>7.5</v>
      </c>
      <c r="T233" s="50">
        <v>0.26</v>
      </c>
      <c r="U233" s="74">
        <v>0.66</v>
      </c>
      <c r="V233" s="50">
        <v>0.62</v>
      </c>
      <c r="W233" s="74">
        <v>7.0000000000000007E-2</v>
      </c>
      <c r="X233" s="50">
        <v>0.04</v>
      </c>
      <c r="Y233" s="74">
        <f>0.004/2</f>
        <v>2E-3</v>
      </c>
      <c r="Z233" s="164">
        <v>1</v>
      </c>
      <c r="AA233" s="165">
        <v>1</v>
      </c>
      <c r="AB233" s="50">
        <v>18</v>
      </c>
      <c r="AC233" s="74">
        <v>106.4</v>
      </c>
      <c r="AD233" s="164">
        <f>20/20</f>
        <v>1</v>
      </c>
      <c r="AE233" s="50">
        <v>1.96</v>
      </c>
      <c r="AF233" s="50">
        <v>12</v>
      </c>
      <c r="AG233" s="50">
        <v>7.5</v>
      </c>
      <c r="AH233" s="50">
        <f>0.1/2</f>
        <v>0.05</v>
      </c>
      <c r="AI233" s="50">
        <f>0.01/2</f>
        <v>5.0000000000000001E-3</v>
      </c>
      <c r="AJ233" s="50">
        <f>0.01/2</f>
        <v>5.0000000000000001E-3</v>
      </c>
      <c r="AK233" s="50">
        <f>0.01/2</f>
        <v>5.0000000000000001E-3</v>
      </c>
      <c r="AL233" s="50">
        <f>0.001/2</f>
        <v>5.0000000000000001E-4</v>
      </c>
      <c r="AM233" s="50">
        <v>0.04</v>
      </c>
      <c r="AN233" s="50">
        <v>6.7</v>
      </c>
      <c r="AO233" s="49"/>
      <c r="AV233"/>
    </row>
    <row r="234" spans="1:48" ht="15" customHeight="1">
      <c r="A234" s="88" t="s">
        <v>68</v>
      </c>
      <c r="B234" s="50" t="s">
        <v>2222</v>
      </c>
      <c r="C234" s="7" t="s">
        <v>3432</v>
      </c>
      <c r="D234" s="48" t="s">
        <v>372</v>
      </c>
      <c r="E234" s="50" t="s">
        <v>3428</v>
      </c>
      <c r="F234" s="50" t="s">
        <v>2896</v>
      </c>
      <c r="G234" s="76" t="s">
        <v>3429</v>
      </c>
      <c r="H234" s="50">
        <v>4953</v>
      </c>
      <c r="I234" s="49" t="s">
        <v>2</v>
      </c>
      <c r="J234" s="50" t="s">
        <v>3430</v>
      </c>
      <c r="K234" s="51">
        <v>41050</v>
      </c>
      <c r="L234" s="115" t="s">
        <v>3435</v>
      </c>
      <c r="N234" s="50" t="s">
        <v>2</v>
      </c>
      <c r="O234" s="74">
        <f>5/2</f>
        <v>2.5</v>
      </c>
      <c r="P234" s="50">
        <v>6.39</v>
      </c>
      <c r="Q234" s="74">
        <v>7.2</v>
      </c>
      <c r="R234" s="50">
        <v>288</v>
      </c>
      <c r="S234" s="74">
        <v>40</v>
      </c>
      <c r="T234" s="50">
        <v>0.48</v>
      </c>
      <c r="U234" s="74">
        <v>1.39</v>
      </c>
      <c r="V234" s="50">
        <v>4.6500000000000004</v>
      </c>
      <c r="W234" s="74">
        <v>7.0000000000000007E-2</v>
      </c>
      <c r="X234" s="50">
        <v>0.12</v>
      </c>
      <c r="Y234" s="74">
        <v>4.7E-2</v>
      </c>
      <c r="AE234" s="50">
        <v>0.43</v>
      </c>
      <c r="AG234" s="50">
        <v>40</v>
      </c>
      <c r="AM234" s="50">
        <v>0.12</v>
      </c>
      <c r="AN234" s="50">
        <v>7.2</v>
      </c>
      <c r="AO234" s="49"/>
      <c r="AV234"/>
    </row>
    <row r="235" spans="1:48" ht="15" customHeight="1">
      <c r="A235" s="88" t="s">
        <v>68</v>
      </c>
      <c r="B235" s="50" t="s">
        <v>2222</v>
      </c>
      <c r="C235" s="7" t="s">
        <v>3432</v>
      </c>
      <c r="D235" s="48" t="s">
        <v>372</v>
      </c>
      <c r="E235" s="50" t="s">
        <v>3428</v>
      </c>
      <c r="F235" s="50" t="s">
        <v>2896</v>
      </c>
      <c r="G235" s="76" t="s">
        <v>3429</v>
      </c>
      <c r="H235" s="50">
        <v>4953</v>
      </c>
      <c r="I235" s="49" t="s">
        <v>2</v>
      </c>
      <c r="J235" s="50" t="s">
        <v>3430</v>
      </c>
      <c r="K235" s="51">
        <v>40996</v>
      </c>
      <c r="L235" s="115" t="s">
        <v>3431</v>
      </c>
      <c r="N235" s="50" t="s">
        <v>2</v>
      </c>
      <c r="P235" s="50">
        <v>5.97</v>
      </c>
      <c r="AE235" s="50">
        <v>10.3</v>
      </c>
      <c r="AN235" s="50"/>
      <c r="AO235" s="49"/>
      <c r="AV235"/>
    </row>
    <row r="236" spans="1:48" ht="15" customHeight="1">
      <c r="A236" s="88" t="s">
        <v>68</v>
      </c>
      <c r="B236" s="50" t="s">
        <v>2222</v>
      </c>
      <c r="C236" s="7" t="s">
        <v>3432</v>
      </c>
      <c r="D236" s="48" t="s">
        <v>372</v>
      </c>
      <c r="E236" s="50" t="s">
        <v>3428</v>
      </c>
      <c r="F236" s="50" t="s">
        <v>2896</v>
      </c>
      <c r="G236" s="48" t="s">
        <v>3429</v>
      </c>
      <c r="H236" s="49">
        <v>4953</v>
      </c>
      <c r="I236" s="50" t="s">
        <v>2</v>
      </c>
      <c r="J236" s="50" t="s">
        <v>4117</v>
      </c>
      <c r="K236" s="51">
        <v>40898</v>
      </c>
      <c r="L236" s="115" t="s">
        <v>3431</v>
      </c>
      <c r="N236" s="50" t="s">
        <v>2</v>
      </c>
      <c r="P236" s="50">
        <v>5.53</v>
      </c>
      <c r="AE236" s="50">
        <v>21.2</v>
      </c>
      <c r="AN236" s="50"/>
      <c r="AO236" s="49"/>
      <c r="AV236"/>
    </row>
    <row r="237" spans="1:48" ht="15" customHeight="1">
      <c r="A237" s="88" t="s">
        <v>68</v>
      </c>
      <c r="B237" s="50" t="s">
        <v>3436</v>
      </c>
      <c r="C237" s="7" t="s">
        <v>3437</v>
      </c>
      <c r="D237" s="48" t="s">
        <v>350</v>
      </c>
      <c r="F237" s="50" t="s">
        <v>3438</v>
      </c>
      <c r="G237" s="76" t="s">
        <v>3439</v>
      </c>
      <c r="H237" s="50">
        <v>4212</v>
      </c>
      <c r="I237" s="49" t="s">
        <v>2</v>
      </c>
      <c r="J237" s="50" t="s">
        <v>510</v>
      </c>
      <c r="K237" s="51">
        <v>40920</v>
      </c>
      <c r="L237" s="115">
        <v>40909</v>
      </c>
      <c r="M237" s="50">
        <f>K237-L237</f>
        <v>11</v>
      </c>
      <c r="N237" s="50" t="s">
        <v>2</v>
      </c>
      <c r="O237" s="74">
        <f>1.4/2</f>
        <v>0.7</v>
      </c>
      <c r="P237" s="50">
        <v>7.53</v>
      </c>
      <c r="Q237" s="74">
        <v>6.55</v>
      </c>
      <c r="R237" s="50">
        <v>16</v>
      </c>
      <c r="S237" s="74">
        <v>21</v>
      </c>
      <c r="T237" s="50">
        <v>0.04</v>
      </c>
      <c r="U237" s="74">
        <v>0.48</v>
      </c>
      <c r="V237" s="50">
        <v>0.03</v>
      </c>
      <c r="W237" s="74">
        <v>3.0000000000000001E-3</v>
      </c>
      <c r="X237" s="50">
        <v>2.1000000000000001E-2</v>
      </c>
      <c r="Y237" s="74">
        <f>0.002/2</f>
        <v>1E-3</v>
      </c>
      <c r="Z237" s="164">
        <v>1</v>
      </c>
      <c r="AA237" s="165">
        <v>1</v>
      </c>
      <c r="AB237" s="50">
        <v>16</v>
      </c>
      <c r="AC237" s="74">
        <v>46</v>
      </c>
      <c r="AD237" s="164">
        <f>20/20</f>
        <v>1</v>
      </c>
      <c r="AN237" s="50"/>
      <c r="AO237" s="49"/>
      <c r="AV237"/>
    </row>
    <row r="238" spans="1:48" ht="15" customHeight="1">
      <c r="A238" s="88" t="s">
        <v>68</v>
      </c>
      <c r="B238" s="50" t="s">
        <v>3304</v>
      </c>
      <c r="C238" s="7" t="s">
        <v>3440</v>
      </c>
      <c r="D238" s="48" t="s">
        <v>372</v>
      </c>
      <c r="F238" s="50" t="s">
        <v>3409</v>
      </c>
      <c r="G238" s="76" t="s">
        <v>3441</v>
      </c>
      <c r="H238" s="50">
        <v>5093</v>
      </c>
      <c r="I238" s="49" t="s">
        <v>2</v>
      </c>
      <c r="J238" s="50" t="s">
        <v>510</v>
      </c>
      <c r="K238" s="51">
        <v>41037</v>
      </c>
      <c r="L238" s="115">
        <v>41033</v>
      </c>
      <c r="M238" s="50">
        <f>K238-L238</f>
        <v>4</v>
      </c>
      <c r="N238" s="50" t="s">
        <v>2</v>
      </c>
      <c r="O238" s="74">
        <v>11</v>
      </c>
      <c r="P238" s="50">
        <v>6.5</v>
      </c>
      <c r="Q238" s="74">
        <v>6.81</v>
      </c>
      <c r="R238" s="50">
        <v>88</v>
      </c>
      <c r="S238" s="74">
        <v>180</v>
      </c>
      <c r="T238" s="50">
        <v>0.33</v>
      </c>
      <c r="U238" s="74">
        <v>2.66</v>
      </c>
      <c r="V238" s="50">
        <v>0.54</v>
      </c>
      <c r="W238" s="74">
        <v>4.1000000000000002E-2</v>
      </c>
      <c r="X238" s="50">
        <v>0.17899999999999999</v>
      </c>
      <c r="Y238" s="74">
        <v>0.05</v>
      </c>
      <c r="Z238" s="164">
        <v>1</v>
      </c>
      <c r="AA238" s="165">
        <v>1</v>
      </c>
      <c r="AB238" s="50">
        <v>28</v>
      </c>
      <c r="AC238" s="74">
        <v>88</v>
      </c>
      <c r="AD238" s="164">
        <v>1</v>
      </c>
      <c r="AN238" s="50"/>
      <c r="AO238" s="49"/>
      <c r="AV238"/>
    </row>
    <row r="239" spans="1:48" ht="14">
      <c r="A239" s="88" t="s">
        <v>68</v>
      </c>
      <c r="B239" s="50" t="s">
        <v>3446</v>
      </c>
      <c r="C239" s="7" t="s">
        <v>1479</v>
      </c>
      <c r="D239" s="48" t="s">
        <v>200</v>
      </c>
      <c r="E239" s="50" t="s">
        <v>214</v>
      </c>
      <c r="F239" s="48"/>
      <c r="G239" s="76" t="s">
        <v>1480</v>
      </c>
      <c r="H239" s="50">
        <v>4953</v>
      </c>
      <c r="I239" s="49" t="s">
        <v>2</v>
      </c>
      <c r="J239" s="50" t="s">
        <v>1481</v>
      </c>
      <c r="K239" s="51">
        <v>41352</v>
      </c>
      <c r="L239" s="115">
        <v>41345</v>
      </c>
      <c r="M239" s="50">
        <f>K239-L239</f>
        <v>7</v>
      </c>
      <c r="N239" s="50" t="s">
        <v>1</v>
      </c>
      <c r="AE239" s="50">
        <v>11.6</v>
      </c>
      <c r="AN239" s="50"/>
      <c r="AO239" s="49"/>
      <c r="AV239"/>
    </row>
    <row r="240" spans="1:48" ht="14">
      <c r="A240" s="88" t="s">
        <v>68</v>
      </c>
      <c r="B240" s="50" t="s">
        <v>1381</v>
      </c>
      <c r="C240" s="7" t="s">
        <v>1482</v>
      </c>
      <c r="D240" s="48" t="s">
        <v>200</v>
      </c>
      <c r="E240" s="50" t="s">
        <v>214</v>
      </c>
      <c r="G240" s="76" t="s">
        <v>1480</v>
      </c>
      <c r="H240" s="50">
        <v>4953</v>
      </c>
      <c r="J240" s="50" t="s">
        <v>1481</v>
      </c>
      <c r="K240" s="51">
        <v>41201</v>
      </c>
      <c r="L240" s="115">
        <v>41198</v>
      </c>
      <c r="M240" s="50">
        <f>K240-L240</f>
        <v>3</v>
      </c>
      <c r="N240" s="50" t="s">
        <v>2</v>
      </c>
      <c r="O240" s="74">
        <v>0.7</v>
      </c>
      <c r="P240" s="117">
        <v>5.92</v>
      </c>
      <c r="Q240" s="131">
        <v>7.13</v>
      </c>
      <c r="R240" s="50">
        <v>18</v>
      </c>
      <c r="S240" s="74">
        <v>36</v>
      </c>
      <c r="T240" s="50">
        <v>0.22</v>
      </c>
      <c r="U240" s="74">
        <v>0.89</v>
      </c>
      <c r="V240" s="50">
        <v>0.27500000000000002</v>
      </c>
      <c r="W240" s="74">
        <v>8.0000000000000002E-3</v>
      </c>
      <c r="X240" s="50">
        <v>0.02</v>
      </c>
      <c r="Y240" s="74">
        <v>7.0000000000000001E-3</v>
      </c>
      <c r="Z240" s="164">
        <v>1</v>
      </c>
      <c r="AA240" s="165">
        <v>1</v>
      </c>
      <c r="AB240" s="50">
        <v>26</v>
      </c>
      <c r="AC240" s="74">
        <v>77</v>
      </c>
      <c r="AD240" s="164">
        <v>1</v>
      </c>
      <c r="AE240" s="50">
        <v>1.61</v>
      </c>
      <c r="AF240" s="50">
        <v>2</v>
      </c>
      <c r="AG240" s="50">
        <v>36</v>
      </c>
      <c r="AH240" s="50">
        <v>0.11</v>
      </c>
      <c r="AI240" s="50">
        <v>5.0000000000000001E-3</v>
      </c>
      <c r="AJ240" s="50">
        <v>5.0000000000000001E-3</v>
      </c>
      <c r="AK240" s="50">
        <v>5.0000000000000001E-3</v>
      </c>
      <c r="AL240" s="50">
        <v>5.0000000000000001E-3</v>
      </c>
      <c r="AM240" s="50">
        <v>0.02</v>
      </c>
      <c r="AN240" s="50">
        <v>7.13</v>
      </c>
      <c r="AO240" s="49"/>
      <c r="AV240"/>
    </row>
    <row r="241" spans="1:48" ht="15" customHeight="1">
      <c r="A241" s="88" t="s">
        <v>68</v>
      </c>
      <c r="B241" s="252" t="s">
        <v>69</v>
      </c>
      <c r="C241" s="334" t="s">
        <v>70</v>
      </c>
      <c r="D241" s="56" t="s">
        <v>71</v>
      </c>
      <c r="E241" s="252"/>
      <c r="F241" s="252" t="s">
        <v>72</v>
      </c>
      <c r="G241" s="61" t="s">
        <v>73</v>
      </c>
      <c r="H241" s="54">
        <v>9199</v>
      </c>
      <c r="I241" s="55" t="s">
        <v>2</v>
      </c>
      <c r="J241" s="54" t="s">
        <v>74</v>
      </c>
      <c r="K241" s="57">
        <v>40835</v>
      </c>
      <c r="L241" s="132">
        <v>40830</v>
      </c>
      <c r="M241" s="54">
        <v>5</v>
      </c>
      <c r="N241" s="54" t="s">
        <v>2</v>
      </c>
      <c r="O241" s="139">
        <v>3.2</v>
      </c>
      <c r="P241" s="54"/>
      <c r="Q241" s="155">
        <v>6.25</v>
      </c>
      <c r="R241" s="161">
        <v>110</v>
      </c>
      <c r="S241" s="302">
        <v>100</v>
      </c>
      <c r="T241" s="203">
        <v>0.19</v>
      </c>
      <c r="U241" s="204">
        <v>1.3</v>
      </c>
      <c r="V241" s="203">
        <v>0.88</v>
      </c>
      <c r="W241" s="204">
        <v>1.6E-2</v>
      </c>
      <c r="X241" s="203">
        <v>0.17899999999999999</v>
      </c>
      <c r="Y241" s="204">
        <v>5.0000000000000001E-3</v>
      </c>
      <c r="Z241" s="144">
        <v>1</v>
      </c>
      <c r="AA241" s="145">
        <v>1</v>
      </c>
      <c r="AB241" s="54">
        <v>10</v>
      </c>
      <c r="AC241" s="155">
        <v>97</v>
      </c>
      <c r="AD241" s="157">
        <v>1</v>
      </c>
      <c r="AE241" s="54"/>
      <c r="AF241" s="54"/>
      <c r="AG241" s="54"/>
      <c r="AH241" s="54"/>
      <c r="AI241" s="54"/>
      <c r="AJ241" s="54"/>
      <c r="AK241" s="54"/>
      <c r="AL241" s="54"/>
      <c r="AM241" s="54"/>
      <c r="AN241" s="54"/>
      <c r="AO241" s="49"/>
      <c r="AV241"/>
    </row>
    <row r="242" spans="1:48" ht="15" customHeight="1">
      <c r="A242" s="88" t="s">
        <v>68</v>
      </c>
      <c r="B242" s="252" t="s">
        <v>69</v>
      </c>
      <c r="C242" s="334" t="s">
        <v>70</v>
      </c>
      <c r="D242" s="56" t="s">
        <v>71</v>
      </c>
      <c r="E242" s="252"/>
      <c r="F242" s="252" t="s">
        <v>72</v>
      </c>
      <c r="G242" s="61" t="s">
        <v>73</v>
      </c>
      <c r="H242" s="54">
        <v>9199</v>
      </c>
      <c r="I242" s="55" t="s">
        <v>2</v>
      </c>
      <c r="J242" s="54" t="s">
        <v>75</v>
      </c>
      <c r="K242" s="57">
        <v>40835</v>
      </c>
      <c r="L242" s="132">
        <v>40830</v>
      </c>
      <c r="M242" s="54">
        <v>5</v>
      </c>
      <c r="N242" s="54" t="s">
        <v>2</v>
      </c>
      <c r="O242" s="154">
        <f>1.5/2</f>
        <v>0.75</v>
      </c>
      <c r="P242" s="54"/>
      <c r="Q242" s="155">
        <v>7.9</v>
      </c>
      <c r="R242" s="161">
        <v>21</v>
      </c>
      <c r="S242" s="303">
        <f>5/2</f>
        <v>2.5</v>
      </c>
      <c r="T242" s="203">
        <f>0.01/2</f>
        <v>5.0000000000000001E-3</v>
      </c>
      <c r="U242" s="204">
        <v>0.35</v>
      </c>
      <c r="V242" s="203">
        <v>1.2</v>
      </c>
      <c r="W242" s="204">
        <v>2E-3</v>
      </c>
      <c r="X242" s="203">
        <v>4.8000000000000001E-2</v>
      </c>
      <c r="Y242" s="204">
        <f>0.002/2</f>
        <v>1E-3</v>
      </c>
      <c r="Z242" s="144">
        <v>1</v>
      </c>
      <c r="AA242" s="145">
        <v>1</v>
      </c>
      <c r="AB242" s="54">
        <v>128</v>
      </c>
      <c r="AC242" s="155">
        <v>328</v>
      </c>
      <c r="AD242" s="157">
        <v>1</v>
      </c>
      <c r="AE242" s="54"/>
      <c r="AF242" s="54"/>
      <c r="AG242" s="54"/>
      <c r="AH242" s="54"/>
      <c r="AI242" s="54"/>
      <c r="AJ242" s="54"/>
      <c r="AK242" s="54"/>
      <c r="AL242" s="54"/>
      <c r="AM242" s="54"/>
      <c r="AN242" s="54"/>
      <c r="AO242" s="49"/>
      <c r="AV242"/>
    </row>
    <row r="243" spans="1:48" ht="15" customHeight="1">
      <c r="A243" s="88" t="s">
        <v>68</v>
      </c>
      <c r="B243" s="50" t="s">
        <v>2358</v>
      </c>
      <c r="C243" s="7" t="s">
        <v>388</v>
      </c>
      <c r="D243" s="48" t="s">
        <v>111</v>
      </c>
      <c r="E243" s="50" t="s">
        <v>2889</v>
      </c>
      <c r="F243" s="48" t="s">
        <v>3447</v>
      </c>
      <c r="G243" s="76" t="s">
        <v>2360</v>
      </c>
      <c r="H243" s="50">
        <v>4953</v>
      </c>
      <c r="I243" s="49" t="s">
        <v>2</v>
      </c>
      <c r="J243" s="50" t="s">
        <v>2361</v>
      </c>
      <c r="K243" s="51">
        <v>41170</v>
      </c>
      <c r="L243" s="115">
        <v>41160</v>
      </c>
      <c r="M243" s="50">
        <f t="shared" ref="M243:M263" si="12">K243-L243</f>
        <v>10</v>
      </c>
      <c r="N243" s="50" t="s">
        <v>2</v>
      </c>
      <c r="AE243" s="50">
        <v>4.9000000000000004</v>
      </c>
      <c r="AN243" s="50"/>
      <c r="AO243" s="49"/>
      <c r="AR243" s="50">
        <f>0.0002/2</f>
        <v>1E-4</v>
      </c>
      <c r="AS243" s="49">
        <v>1.53</v>
      </c>
      <c r="AV243"/>
    </row>
    <row r="244" spans="1:48" ht="15" customHeight="1">
      <c r="A244" s="88" t="s">
        <v>68</v>
      </c>
      <c r="B244" s="50" t="s">
        <v>2305</v>
      </c>
      <c r="C244" s="7" t="s">
        <v>2315</v>
      </c>
      <c r="D244" s="48" t="s">
        <v>56</v>
      </c>
      <c r="F244" s="48" t="s">
        <v>2312</v>
      </c>
      <c r="G244" s="76" t="s">
        <v>2316</v>
      </c>
      <c r="H244" s="50">
        <v>4953</v>
      </c>
      <c r="I244" s="49" t="s">
        <v>1</v>
      </c>
      <c r="J244" s="50" t="s">
        <v>2614</v>
      </c>
      <c r="K244" s="51">
        <v>41345</v>
      </c>
      <c r="L244" s="115">
        <v>41340</v>
      </c>
      <c r="M244" s="50">
        <f t="shared" si="12"/>
        <v>5</v>
      </c>
      <c r="N244" s="50" t="s">
        <v>1</v>
      </c>
      <c r="O244" s="74">
        <v>12</v>
      </c>
      <c r="P244" s="50">
        <v>6.27</v>
      </c>
      <c r="Q244" s="74">
        <v>6.44</v>
      </c>
      <c r="R244" s="50">
        <v>96.3</v>
      </c>
      <c r="S244" s="74">
        <v>151</v>
      </c>
      <c r="T244" s="50">
        <v>0.56000000000000005</v>
      </c>
      <c r="U244" s="74">
        <v>1.84</v>
      </c>
      <c r="V244" s="50">
        <v>0.62</v>
      </c>
      <c r="W244" s="74">
        <v>7.6999999999999999E-2</v>
      </c>
      <c r="X244" s="50">
        <v>0.30399999999999999</v>
      </c>
      <c r="Y244" s="74">
        <v>0.13100000000000001</v>
      </c>
      <c r="AB244" s="50">
        <v>56.33</v>
      </c>
      <c r="AE244" s="50">
        <v>3.75</v>
      </c>
      <c r="AN244" s="50"/>
      <c r="AO244" s="49"/>
      <c r="AV244"/>
    </row>
    <row r="245" spans="1:48" ht="15" customHeight="1">
      <c r="A245" s="88" t="s">
        <v>68</v>
      </c>
      <c r="B245" s="50" t="s">
        <v>2305</v>
      </c>
      <c r="C245" s="7" t="s">
        <v>2315</v>
      </c>
      <c r="D245" s="48" t="s">
        <v>56</v>
      </c>
      <c r="F245" s="48" t="s">
        <v>2312</v>
      </c>
      <c r="G245" s="76" t="s">
        <v>2316</v>
      </c>
      <c r="H245" s="50">
        <v>4953</v>
      </c>
      <c r="I245" s="49" t="s">
        <v>1</v>
      </c>
      <c r="J245" s="50" t="s">
        <v>2613</v>
      </c>
      <c r="K245" s="51">
        <v>41345</v>
      </c>
      <c r="L245" s="115">
        <v>41340</v>
      </c>
      <c r="M245" s="50">
        <f t="shared" si="12"/>
        <v>5</v>
      </c>
      <c r="N245" s="50" t="s">
        <v>1</v>
      </c>
      <c r="O245" s="74">
        <v>27.6</v>
      </c>
      <c r="P245" s="50">
        <v>6.27</v>
      </c>
      <c r="Q245" s="74">
        <v>6.58</v>
      </c>
      <c r="R245" s="50">
        <v>317</v>
      </c>
      <c r="S245" s="74">
        <v>186</v>
      </c>
      <c r="T245" s="50">
        <v>0.49</v>
      </c>
      <c r="U245" s="74">
        <v>1.8</v>
      </c>
      <c r="V245" s="50">
        <v>0.28000000000000003</v>
      </c>
      <c r="W245" s="74">
        <v>5.8000000000000003E-2</v>
      </c>
      <c r="X245" s="50">
        <v>0.32100000000000001</v>
      </c>
      <c r="Y245" s="74">
        <v>0.14399999999999999</v>
      </c>
      <c r="AB245" s="50">
        <v>32.799999999999997</v>
      </c>
      <c r="AE245" s="50">
        <v>4.55</v>
      </c>
      <c r="AN245" s="50"/>
      <c r="AO245" s="49"/>
      <c r="AV245"/>
    </row>
    <row r="246" spans="1:48" ht="15" customHeight="1">
      <c r="A246" s="88" t="s">
        <v>68</v>
      </c>
      <c r="B246" s="50" t="s">
        <v>3304</v>
      </c>
      <c r="C246" s="7" t="s">
        <v>3448</v>
      </c>
      <c r="D246" s="48" t="s">
        <v>262</v>
      </c>
      <c r="F246" s="50" t="s">
        <v>3449</v>
      </c>
      <c r="G246" s="76" t="s">
        <v>3450</v>
      </c>
      <c r="H246" s="50">
        <v>4953</v>
      </c>
      <c r="I246" s="49" t="s">
        <v>2</v>
      </c>
      <c r="J246" s="50" t="s">
        <v>510</v>
      </c>
      <c r="K246" s="51">
        <v>41226</v>
      </c>
      <c r="L246" s="115">
        <v>41221</v>
      </c>
      <c r="M246" s="50">
        <f t="shared" si="12"/>
        <v>5</v>
      </c>
      <c r="N246" s="50" t="s">
        <v>2</v>
      </c>
      <c r="O246" s="74">
        <v>5.6</v>
      </c>
      <c r="P246" s="50">
        <v>6.5</v>
      </c>
      <c r="Q246" s="74">
        <v>6.98</v>
      </c>
      <c r="R246" s="50">
        <v>210</v>
      </c>
      <c r="S246" s="74">
        <v>820</v>
      </c>
      <c r="T246" s="50">
        <v>0.52</v>
      </c>
      <c r="U246" s="74">
        <v>3.16</v>
      </c>
      <c r="V246" s="50">
        <v>0.22</v>
      </c>
      <c r="W246" s="74">
        <v>0.17599999999999999</v>
      </c>
      <c r="X246" s="50">
        <v>0.99099999999999999</v>
      </c>
      <c r="Y246" s="74">
        <v>0.183</v>
      </c>
      <c r="AN246" s="50"/>
      <c r="AO246" s="49"/>
      <c r="AV246"/>
    </row>
    <row r="247" spans="1:48" ht="15" customHeight="1">
      <c r="A247" s="88" t="s">
        <v>68</v>
      </c>
      <c r="B247" s="50" t="s">
        <v>3451</v>
      </c>
      <c r="C247" s="7" t="s">
        <v>3448</v>
      </c>
      <c r="D247" s="48" t="s">
        <v>262</v>
      </c>
      <c r="F247" s="50" t="s">
        <v>3449</v>
      </c>
      <c r="G247" s="76" t="s">
        <v>3450</v>
      </c>
      <c r="H247" s="50">
        <v>4953</v>
      </c>
      <c r="I247" s="49" t="s">
        <v>2</v>
      </c>
      <c r="J247" s="50" t="s">
        <v>510</v>
      </c>
      <c r="K247" s="51">
        <v>41044</v>
      </c>
      <c r="L247" s="115">
        <v>41039</v>
      </c>
      <c r="M247" s="50">
        <f t="shared" si="12"/>
        <v>5</v>
      </c>
      <c r="N247" s="50" t="s">
        <v>2</v>
      </c>
      <c r="O247" s="74">
        <v>2.9</v>
      </c>
      <c r="Q247" s="74">
        <v>6.89</v>
      </c>
      <c r="R247" s="50">
        <v>155</v>
      </c>
      <c r="S247" s="74">
        <v>96</v>
      </c>
      <c r="T247" s="50">
        <v>0.33</v>
      </c>
      <c r="U247" s="74">
        <v>1.8</v>
      </c>
      <c r="V247" s="50">
        <v>0.12</v>
      </c>
      <c r="W247" s="74">
        <v>2.9000000000000001E-2</v>
      </c>
      <c r="X247" s="50">
        <v>0.14099999999999999</v>
      </c>
      <c r="Y247" s="74">
        <v>2.5999999999999999E-2</v>
      </c>
      <c r="Z247" s="164">
        <v>1</v>
      </c>
      <c r="AA247" s="165">
        <v>1</v>
      </c>
      <c r="AB247" s="50">
        <v>12</v>
      </c>
      <c r="AC247" s="74">
        <v>39</v>
      </c>
      <c r="AD247" s="164">
        <v>1</v>
      </c>
      <c r="AN247" s="50"/>
      <c r="AO247" s="49"/>
      <c r="AV247"/>
    </row>
    <row r="248" spans="1:48" ht="15" customHeight="1">
      <c r="A248" s="88" t="s">
        <v>68</v>
      </c>
      <c r="B248" s="50" t="s">
        <v>3561</v>
      </c>
      <c r="C248" s="7" t="s">
        <v>294</v>
      </c>
      <c r="D248" s="48" t="s">
        <v>295</v>
      </c>
      <c r="E248" s="50" t="s">
        <v>3452</v>
      </c>
      <c r="F248" s="48"/>
      <c r="G248" s="76" t="s">
        <v>297</v>
      </c>
      <c r="H248" s="50">
        <v>4953</v>
      </c>
      <c r="I248" s="49" t="s">
        <v>2</v>
      </c>
      <c r="J248" s="50" t="s">
        <v>298</v>
      </c>
      <c r="K248" s="51">
        <v>41324</v>
      </c>
      <c r="L248" s="115">
        <v>41316</v>
      </c>
      <c r="M248" s="50">
        <f t="shared" si="12"/>
        <v>8</v>
      </c>
      <c r="N248" s="50" t="s">
        <v>2</v>
      </c>
      <c r="O248" s="74">
        <v>1.5</v>
      </c>
      <c r="P248" s="50">
        <v>6.9</v>
      </c>
      <c r="Q248" s="74">
        <v>6.63</v>
      </c>
      <c r="R248" s="50">
        <v>432</v>
      </c>
      <c r="S248" s="74">
        <v>67</v>
      </c>
      <c r="T248" s="50">
        <v>0.22</v>
      </c>
      <c r="U248" s="74">
        <v>2.1</v>
      </c>
      <c r="V248" s="50">
        <v>0.8</v>
      </c>
      <c r="W248" s="74">
        <v>2.5000000000000001E-2</v>
      </c>
      <c r="X248" s="50">
        <v>0.19</v>
      </c>
      <c r="Y248" s="74">
        <v>2.5000000000000001E-2</v>
      </c>
      <c r="Z248" s="164">
        <v>0.35399999999999998</v>
      </c>
      <c r="AA248" s="165">
        <v>0.33</v>
      </c>
      <c r="AB248" s="50">
        <v>562</v>
      </c>
      <c r="AC248" s="74">
        <v>24220</v>
      </c>
      <c r="AD248" s="164">
        <v>0</v>
      </c>
      <c r="AN248" s="50"/>
      <c r="AO248" s="49"/>
      <c r="AV248"/>
    </row>
    <row r="249" spans="1:48" ht="15" customHeight="1">
      <c r="A249" s="88" t="s">
        <v>68</v>
      </c>
      <c r="B249" s="50" t="s">
        <v>3561</v>
      </c>
      <c r="C249" s="7" t="s">
        <v>294</v>
      </c>
      <c r="D249" s="48" t="s">
        <v>295</v>
      </c>
      <c r="E249" s="50" t="s">
        <v>3452</v>
      </c>
      <c r="F249" s="48"/>
      <c r="G249" s="76" t="s">
        <v>297</v>
      </c>
      <c r="H249" s="50">
        <v>4953</v>
      </c>
      <c r="I249" s="49" t="s">
        <v>2</v>
      </c>
      <c r="J249" s="50" t="s">
        <v>299</v>
      </c>
      <c r="K249" s="51">
        <v>41324</v>
      </c>
      <c r="L249" s="115">
        <v>41316</v>
      </c>
      <c r="M249" s="50">
        <f t="shared" si="12"/>
        <v>8</v>
      </c>
      <c r="N249" s="50" t="s">
        <v>2</v>
      </c>
      <c r="O249" s="74">
        <v>6.6</v>
      </c>
      <c r="P249" s="50">
        <v>6.9</v>
      </c>
      <c r="Q249" s="74">
        <v>6.93</v>
      </c>
      <c r="R249" s="50">
        <v>148</v>
      </c>
      <c r="S249" s="74">
        <v>122</v>
      </c>
      <c r="T249" s="50">
        <v>0.75</v>
      </c>
      <c r="U249" s="74">
        <v>0.1</v>
      </c>
      <c r="V249" s="50">
        <v>0.42</v>
      </c>
      <c r="W249" s="74">
        <v>0.1</v>
      </c>
      <c r="X249" s="50">
        <v>0.56000000000000005</v>
      </c>
      <c r="Y249" s="74">
        <v>0.12</v>
      </c>
      <c r="Z249" s="164">
        <v>1</v>
      </c>
      <c r="AA249" s="165">
        <v>1</v>
      </c>
      <c r="AB249" s="50">
        <v>150</v>
      </c>
      <c r="AC249" s="74">
        <v>7330</v>
      </c>
      <c r="AD249" s="164">
        <f>14/20</f>
        <v>0.7</v>
      </c>
      <c r="AN249" s="50"/>
      <c r="AO249" s="49"/>
      <c r="AV249"/>
    </row>
    <row r="250" spans="1:48" ht="15" customHeight="1">
      <c r="A250" s="88" t="s">
        <v>68</v>
      </c>
      <c r="B250" s="50" t="s">
        <v>3629</v>
      </c>
      <c r="C250" s="7" t="s">
        <v>294</v>
      </c>
      <c r="D250" s="48" t="s">
        <v>295</v>
      </c>
      <c r="E250" s="50" t="s">
        <v>3452</v>
      </c>
      <c r="G250" s="76" t="s">
        <v>297</v>
      </c>
      <c r="H250" s="50">
        <v>4953</v>
      </c>
      <c r="I250" s="49" t="s">
        <v>2</v>
      </c>
      <c r="J250" s="50" t="s">
        <v>298</v>
      </c>
      <c r="K250" s="51">
        <v>41131</v>
      </c>
      <c r="L250" s="115">
        <v>41127</v>
      </c>
      <c r="M250" s="50">
        <f t="shared" si="12"/>
        <v>4</v>
      </c>
      <c r="N250" s="50" t="s">
        <v>2</v>
      </c>
      <c r="O250" s="74">
        <v>0.5</v>
      </c>
      <c r="P250" s="50">
        <v>7.01</v>
      </c>
      <c r="Q250" s="74">
        <v>6.98</v>
      </c>
      <c r="R250" s="50">
        <v>26</v>
      </c>
      <c r="S250" s="74">
        <v>0.5</v>
      </c>
      <c r="T250" s="50">
        <v>0.11</v>
      </c>
      <c r="U250" s="74">
        <v>1.1499999999999999</v>
      </c>
      <c r="V250" s="50">
        <v>0.06</v>
      </c>
      <c r="W250" s="74">
        <v>2.5000000000000001E-2</v>
      </c>
      <c r="X250" s="50">
        <v>0.02</v>
      </c>
      <c r="Y250" s="74">
        <v>0.02</v>
      </c>
      <c r="AN250" s="50"/>
      <c r="AO250" s="49"/>
      <c r="AV250"/>
    </row>
    <row r="251" spans="1:48" ht="15" customHeight="1">
      <c r="A251" s="88" t="s">
        <v>68</v>
      </c>
      <c r="B251" s="50" t="s">
        <v>3629</v>
      </c>
      <c r="C251" s="7" t="s">
        <v>294</v>
      </c>
      <c r="D251" s="48" t="s">
        <v>295</v>
      </c>
      <c r="E251" s="50" t="s">
        <v>3452</v>
      </c>
      <c r="G251" s="76" t="s">
        <v>297</v>
      </c>
      <c r="H251" s="50">
        <v>4953</v>
      </c>
      <c r="I251" s="49" t="s">
        <v>2</v>
      </c>
      <c r="J251" s="50" t="s">
        <v>3453</v>
      </c>
      <c r="K251" s="51">
        <v>41131</v>
      </c>
      <c r="L251" s="115">
        <v>41127</v>
      </c>
      <c r="M251" s="50">
        <f t="shared" si="12"/>
        <v>4</v>
      </c>
      <c r="N251" s="50" t="s">
        <v>2</v>
      </c>
      <c r="O251" s="74">
        <v>8.6999999999999993</v>
      </c>
      <c r="P251" s="50">
        <v>6.96</v>
      </c>
      <c r="Q251" s="74">
        <v>3.38</v>
      </c>
      <c r="R251" s="50">
        <v>397</v>
      </c>
      <c r="S251" s="74">
        <v>164</v>
      </c>
      <c r="T251" s="50">
        <v>1.34</v>
      </c>
      <c r="U251" s="74">
        <v>9.32</v>
      </c>
      <c r="V251" s="50">
        <v>40</v>
      </c>
      <c r="W251" s="74">
        <v>0.05</v>
      </c>
      <c r="X251" s="50">
        <v>0.32</v>
      </c>
      <c r="Y251" s="74">
        <v>2.5000000000000001E-2</v>
      </c>
      <c r="AN251" s="50"/>
      <c r="AO251" s="49"/>
      <c r="AV251"/>
    </row>
    <row r="252" spans="1:48" ht="15" customHeight="1">
      <c r="A252" s="88" t="s">
        <v>68</v>
      </c>
      <c r="B252" s="50" t="s">
        <v>3339</v>
      </c>
      <c r="C252" s="7" t="s">
        <v>3454</v>
      </c>
      <c r="D252" s="48" t="s">
        <v>516</v>
      </c>
      <c r="F252" s="50" t="s">
        <v>3341</v>
      </c>
      <c r="G252" s="76" t="s">
        <v>3455</v>
      </c>
      <c r="H252" s="50">
        <v>4953</v>
      </c>
      <c r="I252" s="49" t="s">
        <v>2</v>
      </c>
      <c r="J252" s="50" t="s">
        <v>510</v>
      </c>
      <c r="K252" s="51">
        <v>40920</v>
      </c>
      <c r="L252" s="115">
        <v>40909</v>
      </c>
      <c r="M252" s="50">
        <f t="shared" si="12"/>
        <v>11</v>
      </c>
      <c r="N252" s="50" t="s">
        <v>2</v>
      </c>
      <c r="O252" s="74">
        <v>33</v>
      </c>
      <c r="P252" s="50">
        <v>7.53</v>
      </c>
      <c r="Q252" s="74">
        <v>8.18</v>
      </c>
      <c r="R252" s="50">
        <v>39</v>
      </c>
      <c r="S252" s="74">
        <v>1300</v>
      </c>
      <c r="T252" s="50">
        <v>1.8</v>
      </c>
      <c r="U252" s="74">
        <v>3.73</v>
      </c>
      <c r="V252" s="50">
        <v>7.0000000000000007E-2</v>
      </c>
      <c r="W252" s="74">
        <v>0.218</v>
      </c>
      <c r="X252" s="50">
        <v>1.49</v>
      </c>
      <c r="Y252" s="74">
        <v>0.46800000000000003</v>
      </c>
      <c r="Z252" s="164">
        <v>0.55500000000000005</v>
      </c>
      <c r="AA252" s="165">
        <v>0.34200000000000003</v>
      </c>
      <c r="AN252" s="50"/>
      <c r="AO252" s="49"/>
      <c r="AV252"/>
    </row>
    <row r="253" spans="1:48" ht="15" customHeight="1">
      <c r="A253" s="88" t="s">
        <v>68</v>
      </c>
      <c r="B253" s="50" t="s">
        <v>3339</v>
      </c>
      <c r="C253" s="7" t="s">
        <v>3454</v>
      </c>
      <c r="D253" s="48" t="s">
        <v>516</v>
      </c>
      <c r="F253" s="50" t="s">
        <v>3341</v>
      </c>
      <c r="G253" s="76" t="s">
        <v>3455</v>
      </c>
      <c r="H253" s="50">
        <v>4953</v>
      </c>
      <c r="I253" s="49" t="s">
        <v>2</v>
      </c>
      <c r="J253" s="50" t="s">
        <v>510</v>
      </c>
      <c r="K253" s="51">
        <v>41226</v>
      </c>
      <c r="L253" s="115">
        <v>41221</v>
      </c>
      <c r="M253" s="50">
        <f t="shared" si="12"/>
        <v>5</v>
      </c>
      <c r="N253" s="50" t="s">
        <v>2</v>
      </c>
      <c r="O253" s="74">
        <v>18</v>
      </c>
      <c r="P253" s="50">
        <v>6.5</v>
      </c>
      <c r="Q253" s="74">
        <v>7.67</v>
      </c>
      <c r="R253" s="50">
        <v>150</v>
      </c>
      <c r="S253" s="74">
        <v>170</v>
      </c>
      <c r="T253" s="50">
        <v>0.53</v>
      </c>
      <c r="U253" s="74">
        <v>2.87</v>
      </c>
      <c r="V253" s="50">
        <v>0.21</v>
      </c>
      <c r="W253" s="74">
        <v>4.2999999999999997E-2</v>
      </c>
      <c r="X253" s="50">
        <v>0.33300000000000002</v>
      </c>
      <c r="Y253" s="74">
        <v>0.20399999999999999</v>
      </c>
      <c r="AN253" s="50"/>
      <c r="AO253" s="49"/>
      <c r="AV253"/>
    </row>
    <row r="254" spans="1:48" ht="15" customHeight="1">
      <c r="A254" s="88" t="s">
        <v>68</v>
      </c>
      <c r="B254" s="50" t="s">
        <v>3456</v>
      </c>
      <c r="C254" s="7" t="s">
        <v>337</v>
      </c>
      <c r="D254" s="48" t="s">
        <v>338</v>
      </c>
      <c r="E254" s="50" t="s">
        <v>599</v>
      </c>
      <c r="F254" s="48" t="s">
        <v>3457</v>
      </c>
      <c r="G254" s="76" t="s">
        <v>339</v>
      </c>
      <c r="H254" s="50">
        <v>4953</v>
      </c>
      <c r="J254" s="50" t="s">
        <v>74</v>
      </c>
      <c r="K254" s="51">
        <v>41170</v>
      </c>
      <c r="L254" s="115">
        <v>41160</v>
      </c>
      <c r="M254" s="50">
        <f t="shared" si="12"/>
        <v>10</v>
      </c>
      <c r="N254" s="50" t="s">
        <v>2</v>
      </c>
      <c r="O254" s="74">
        <v>5.8</v>
      </c>
      <c r="P254" s="50">
        <v>7.6</v>
      </c>
      <c r="Q254" s="74">
        <v>7.6</v>
      </c>
      <c r="R254" s="50">
        <v>57.8</v>
      </c>
      <c r="S254" s="74">
        <v>14</v>
      </c>
      <c r="T254" s="50">
        <v>0.14000000000000001</v>
      </c>
      <c r="U254" s="74">
        <v>19.079999999999998</v>
      </c>
      <c r="V254" s="50">
        <v>1.4</v>
      </c>
      <c r="W254" s="74">
        <f>0.01/2</f>
        <v>5.0000000000000001E-3</v>
      </c>
      <c r="X254" s="50">
        <v>0.02</v>
      </c>
      <c r="Y254" s="74">
        <f>0.02/2</f>
        <v>0.01</v>
      </c>
      <c r="AE254" s="50">
        <v>7.6</v>
      </c>
      <c r="AF254" s="50">
        <v>1.9</v>
      </c>
      <c r="AG254" s="50">
        <v>31</v>
      </c>
      <c r="AH254" s="50">
        <v>8.67</v>
      </c>
      <c r="AI254" s="50">
        <f>0.01/2</f>
        <v>5.0000000000000001E-3</v>
      </c>
      <c r="AJ254" s="50">
        <f>0.02/2</f>
        <v>0.01</v>
      </c>
      <c r="AK254" s="50">
        <f>0.01/2</f>
        <v>5.0000000000000001E-3</v>
      </c>
      <c r="AL254" s="50">
        <f>0.02/2</f>
        <v>0.01</v>
      </c>
      <c r="AM254" s="50">
        <v>0.02</v>
      </c>
      <c r="AN254" s="50">
        <v>7.14</v>
      </c>
      <c r="AO254" s="49"/>
      <c r="AV254"/>
    </row>
    <row r="255" spans="1:48" ht="15" customHeight="1">
      <c r="A255" s="88" t="s">
        <v>68</v>
      </c>
      <c r="B255" s="50" t="s">
        <v>3456</v>
      </c>
      <c r="C255" s="7" t="s">
        <v>337</v>
      </c>
      <c r="D255" s="48" t="s">
        <v>338</v>
      </c>
      <c r="E255" s="50" t="s">
        <v>599</v>
      </c>
      <c r="F255" s="48" t="s">
        <v>3457</v>
      </c>
      <c r="G255" s="76" t="s">
        <v>339</v>
      </c>
      <c r="H255" s="50">
        <v>4953</v>
      </c>
      <c r="J255" s="50" t="s">
        <v>75</v>
      </c>
      <c r="K255" s="51">
        <v>41170</v>
      </c>
      <c r="L255" s="115">
        <v>41160</v>
      </c>
      <c r="M255" s="50">
        <f t="shared" si="12"/>
        <v>10</v>
      </c>
      <c r="N255" s="50" t="s">
        <v>2</v>
      </c>
      <c r="O255" s="74">
        <v>11.2</v>
      </c>
      <c r="P255" s="50">
        <v>6.86</v>
      </c>
      <c r="Q255" s="74">
        <v>6.85</v>
      </c>
      <c r="R255" s="50">
        <v>111.1</v>
      </c>
      <c r="S255" s="74">
        <v>135</v>
      </c>
      <c r="T255" s="50">
        <v>0.28999999999999998</v>
      </c>
      <c r="U255" s="74">
        <v>2.2599999999999998</v>
      </c>
      <c r="V255" s="50">
        <v>0.84</v>
      </c>
      <c r="W255" s="74">
        <v>0.03</v>
      </c>
      <c r="X255" s="50">
        <v>0.21</v>
      </c>
      <c r="Y255" s="74">
        <v>0.03</v>
      </c>
      <c r="AE255" s="50">
        <v>9.1199999999999992</v>
      </c>
      <c r="AF255" s="50">
        <v>4.0999999999999996</v>
      </c>
      <c r="AG255" s="50">
        <v>35</v>
      </c>
      <c r="AH255" s="50">
        <f>0.1/2</f>
        <v>0.05</v>
      </c>
      <c r="AI255" s="287">
        <f>0.01/2</f>
        <v>5.0000000000000001E-3</v>
      </c>
      <c r="AJ255" s="287">
        <f>0.02/2</f>
        <v>0.01</v>
      </c>
      <c r="AK255" s="287">
        <f>0.01/2</f>
        <v>5.0000000000000001E-3</v>
      </c>
      <c r="AL255" s="287">
        <f>0.02/2</f>
        <v>0.01</v>
      </c>
      <c r="AM255" s="50">
        <v>0.04</v>
      </c>
      <c r="AN255" s="50">
        <v>7.23</v>
      </c>
      <c r="AO255" s="49"/>
      <c r="AV255"/>
    </row>
    <row r="256" spans="1:48" ht="15" customHeight="1">
      <c r="A256" s="88" t="s">
        <v>68</v>
      </c>
      <c r="B256" s="50" t="s">
        <v>336</v>
      </c>
      <c r="C256" s="7" t="s">
        <v>337</v>
      </c>
      <c r="D256" s="48" t="s">
        <v>338</v>
      </c>
      <c r="E256" s="50" t="s">
        <v>599</v>
      </c>
      <c r="F256" s="50">
        <v>6900</v>
      </c>
      <c r="G256" s="76" t="s">
        <v>339</v>
      </c>
      <c r="H256" s="50">
        <v>4953</v>
      </c>
      <c r="I256" s="49" t="s">
        <v>2</v>
      </c>
      <c r="J256" s="50" t="s">
        <v>81</v>
      </c>
      <c r="K256" s="51">
        <v>41226</v>
      </c>
      <c r="L256" s="115">
        <v>41221</v>
      </c>
      <c r="M256" s="50">
        <f t="shared" si="12"/>
        <v>5</v>
      </c>
      <c r="N256" s="50" t="s">
        <v>2</v>
      </c>
      <c r="O256" s="74">
        <f>1/2</f>
        <v>0.5</v>
      </c>
      <c r="P256" s="50">
        <v>5.23</v>
      </c>
      <c r="Q256" s="74">
        <v>7.36</v>
      </c>
      <c r="R256" s="50">
        <v>44.3</v>
      </c>
      <c r="S256" s="74">
        <v>95</v>
      </c>
      <c r="T256" s="50">
        <v>7.0000000000000007E-2</v>
      </c>
      <c r="U256" s="74">
        <v>8.4</v>
      </c>
      <c r="V256" s="50">
        <f>0.02/2</f>
        <v>0.01</v>
      </c>
      <c r="W256" s="74">
        <f>0.01/2</f>
        <v>5.0000000000000001E-3</v>
      </c>
      <c r="X256" s="50">
        <v>0.02</v>
      </c>
      <c r="Y256" s="74">
        <f>0.02/2</f>
        <v>0.01</v>
      </c>
      <c r="Z256" s="164">
        <v>1</v>
      </c>
      <c r="AA256" s="165">
        <v>1</v>
      </c>
      <c r="AB256" s="50">
        <v>144</v>
      </c>
      <c r="AC256" s="74">
        <v>1057</v>
      </c>
      <c r="AD256" s="164">
        <f>20/20</f>
        <v>1</v>
      </c>
      <c r="AE256" s="50">
        <v>12.8</v>
      </c>
      <c r="AF256" s="50">
        <v>2.6</v>
      </c>
      <c r="AG256" s="50">
        <v>95</v>
      </c>
      <c r="AH256" s="50">
        <v>10.65</v>
      </c>
      <c r="AI256" s="50">
        <f>0.01/2</f>
        <v>5.0000000000000001E-3</v>
      </c>
      <c r="AJ256" s="50">
        <f>0.01/2</f>
        <v>5.0000000000000001E-3</v>
      </c>
      <c r="AK256" s="50">
        <f>0.01/2</f>
        <v>5.0000000000000001E-3</v>
      </c>
      <c r="AL256" s="50">
        <f>0.01/2</f>
        <v>5.0000000000000001E-3</v>
      </c>
      <c r="AM256" s="50">
        <v>0.02</v>
      </c>
      <c r="AN256" s="50">
        <v>7.36</v>
      </c>
      <c r="AO256" s="49"/>
      <c r="AV256"/>
    </row>
    <row r="257" spans="1:50" ht="15" customHeight="1">
      <c r="A257" s="88" t="s">
        <v>68</v>
      </c>
      <c r="B257" s="50" t="s">
        <v>336</v>
      </c>
      <c r="C257" s="7" t="s">
        <v>337</v>
      </c>
      <c r="D257" s="48" t="s">
        <v>338</v>
      </c>
      <c r="E257" s="50" t="s">
        <v>3458</v>
      </c>
      <c r="F257" s="50">
        <v>6900</v>
      </c>
      <c r="G257" s="76" t="s">
        <v>339</v>
      </c>
      <c r="H257" s="50">
        <v>4953</v>
      </c>
      <c r="I257" s="49" t="s">
        <v>2</v>
      </c>
      <c r="J257" s="50" t="s">
        <v>114</v>
      </c>
      <c r="K257" s="51">
        <v>41226</v>
      </c>
      <c r="L257" s="115">
        <v>41221</v>
      </c>
      <c r="M257" s="50">
        <f t="shared" si="12"/>
        <v>5</v>
      </c>
      <c r="N257" s="50" t="s">
        <v>2</v>
      </c>
      <c r="O257" s="74">
        <v>7</v>
      </c>
      <c r="P257" s="50">
        <v>5.23</v>
      </c>
      <c r="Q257" s="74">
        <v>6.8</v>
      </c>
      <c r="R257" s="50">
        <v>71.3</v>
      </c>
      <c r="S257" s="74">
        <v>184</v>
      </c>
      <c r="T257" s="50">
        <v>0.6</v>
      </c>
      <c r="U257" s="74">
        <v>2.67</v>
      </c>
      <c r="V257" s="50">
        <f>0.2/2</f>
        <v>0.1</v>
      </c>
      <c r="W257" s="74">
        <v>0.03</v>
      </c>
      <c r="X257" s="50">
        <v>0.14000000000000001</v>
      </c>
      <c r="Y257" s="74">
        <v>0.04</v>
      </c>
      <c r="Z257" s="164">
        <v>1</v>
      </c>
      <c r="AA257" s="165">
        <v>1</v>
      </c>
      <c r="AC257" s="74">
        <v>222</v>
      </c>
      <c r="AD257" s="164">
        <f>20/20</f>
        <v>1</v>
      </c>
      <c r="AE257" s="50">
        <v>10.8</v>
      </c>
      <c r="AF257" s="50">
        <v>7</v>
      </c>
      <c r="AG257" s="50">
        <v>184</v>
      </c>
      <c r="AH257" s="50">
        <v>0.11</v>
      </c>
      <c r="AI257" s="50">
        <f>0.01/2</f>
        <v>5.0000000000000001E-3</v>
      </c>
      <c r="AJ257" s="50">
        <f>0.02/2</f>
        <v>0.01</v>
      </c>
      <c r="AK257" s="50">
        <f>0.01/2</f>
        <v>5.0000000000000001E-3</v>
      </c>
      <c r="AL257" s="50">
        <f>0.02/2</f>
        <v>0.01</v>
      </c>
      <c r="AM257" s="50">
        <v>0.14000000000000001</v>
      </c>
      <c r="AN257" s="50">
        <v>6.8</v>
      </c>
      <c r="AO257" s="49"/>
      <c r="AV257"/>
    </row>
    <row r="258" spans="1:50" ht="15" customHeight="1">
      <c r="A258" s="88" t="s">
        <v>68</v>
      </c>
      <c r="B258" s="50" t="s">
        <v>3459</v>
      </c>
      <c r="C258" s="7" t="s">
        <v>3460</v>
      </c>
      <c r="D258" s="48" t="s">
        <v>3461</v>
      </c>
      <c r="E258" s="72"/>
      <c r="F258" s="304" t="s">
        <v>3462</v>
      </c>
      <c r="G258" s="76" t="s">
        <v>3463</v>
      </c>
      <c r="H258" s="50">
        <v>4953</v>
      </c>
      <c r="I258" s="49" t="s">
        <v>2</v>
      </c>
      <c r="J258" s="50" t="s">
        <v>3464</v>
      </c>
      <c r="K258" s="51">
        <v>41345</v>
      </c>
      <c r="L258" s="115">
        <v>41341</v>
      </c>
      <c r="M258" s="50">
        <f t="shared" si="12"/>
        <v>4</v>
      </c>
      <c r="N258" s="50" t="s">
        <v>2</v>
      </c>
      <c r="O258" s="74">
        <f>1.4/2</f>
        <v>0.7</v>
      </c>
      <c r="P258" s="50">
        <v>6.5</v>
      </c>
      <c r="Q258" s="74">
        <v>8.3800000000000008</v>
      </c>
      <c r="R258" s="50">
        <v>197</v>
      </c>
      <c r="S258" s="74">
        <v>1400</v>
      </c>
      <c r="T258" s="50">
        <v>1.77</v>
      </c>
      <c r="U258" s="74">
        <v>3.31</v>
      </c>
      <c r="V258" s="50">
        <v>7.0000000000000007E-2</v>
      </c>
      <c r="W258" s="74">
        <v>6.0999999999999999E-2</v>
      </c>
      <c r="X258" s="50">
        <v>0.34699999999999998</v>
      </c>
      <c r="Y258" s="74">
        <v>8.1000000000000003E-2</v>
      </c>
      <c r="Z258" s="144">
        <v>1</v>
      </c>
      <c r="AA258" s="145">
        <v>1</v>
      </c>
      <c r="AB258" s="50">
        <v>58</v>
      </c>
      <c r="AC258" s="74">
        <v>1422</v>
      </c>
      <c r="AD258" s="164">
        <v>1</v>
      </c>
      <c r="AN258" s="50"/>
      <c r="AO258" s="49"/>
      <c r="AV258"/>
    </row>
    <row r="259" spans="1:50" ht="15" customHeight="1">
      <c r="A259" s="88" t="s">
        <v>68</v>
      </c>
      <c r="B259" s="50" t="s">
        <v>3459</v>
      </c>
      <c r="C259" s="7" t="s">
        <v>3460</v>
      </c>
      <c r="D259" s="48" t="s">
        <v>3461</v>
      </c>
      <c r="F259" s="48" t="s">
        <v>3462</v>
      </c>
      <c r="G259" s="76" t="s">
        <v>3463</v>
      </c>
      <c r="H259" s="50">
        <v>4953</v>
      </c>
      <c r="I259" s="49" t="s">
        <v>2</v>
      </c>
      <c r="J259" s="50" t="s">
        <v>3465</v>
      </c>
      <c r="K259" s="51">
        <v>41345</v>
      </c>
      <c r="L259" s="115">
        <v>41341</v>
      </c>
      <c r="M259" s="50">
        <f t="shared" si="12"/>
        <v>4</v>
      </c>
      <c r="N259" s="50" t="s">
        <v>2</v>
      </c>
      <c r="O259" s="74">
        <v>3.4</v>
      </c>
      <c r="P259" s="50">
        <v>6.5</v>
      </c>
      <c r="Q259" s="74">
        <v>7.76</v>
      </c>
      <c r="R259" s="50">
        <v>261</v>
      </c>
      <c r="S259" s="74">
        <v>1400</v>
      </c>
      <c r="T259" s="50">
        <v>1.6</v>
      </c>
      <c r="U259" s="74">
        <v>5.0999999999999996</v>
      </c>
      <c r="V259" s="50">
        <v>0.4</v>
      </c>
      <c r="W259" s="74">
        <v>9.8000000000000004E-2</v>
      </c>
      <c r="X259" s="50">
        <v>0.57899999999999996</v>
      </c>
      <c r="Y259" s="74">
        <v>0.19600000000000001</v>
      </c>
      <c r="Z259" s="164">
        <v>1</v>
      </c>
      <c r="AA259" s="165">
        <v>1</v>
      </c>
      <c r="AB259" s="50">
        <v>96</v>
      </c>
      <c r="AC259" s="74">
        <v>909</v>
      </c>
      <c r="AD259" s="164">
        <v>1</v>
      </c>
      <c r="AN259" s="50"/>
      <c r="AO259" s="49"/>
      <c r="AV259"/>
    </row>
    <row r="260" spans="1:50" ht="15" customHeight="1">
      <c r="A260" s="88" t="s">
        <v>68</v>
      </c>
      <c r="B260" s="50" t="s">
        <v>3459</v>
      </c>
      <c r="C260" s="7" t="s">
        <v>3460</v>
      </c>
      <c r="D260" s="48" t="s">
        <v>3461</v>
      </c>
      <c r="F260" s="48" t="s">
        <v>3462</v>
      </c>
      <c r="G260" s="76" t="s">
        <v>3463</v>
      </c>
      <c r="H260" s="50">
        <v>4953</v>
      </c>
      <c r="I260" s="49" t="s">
        <v>2</v>
      </c>
      <c r="J260" s="72" t="s">
        <v>3414</v>
      </c>
      <c r="K260" s="51">
        <v>41345</v>
      </c>
      <c r="L260" s="115">
        <v>41341</v>
      </c>
      <c r="M260" s="50">
        <f t="shared" si="12"/>
        <v>4</v>
      </c>
      <c r="N260" s="50" t="s">
        <v>2</v>
      </c>
      <c r="O260" s="74">
        <f>1.4/2</f>
        <v>0.7</v>
      </c>
      <c r="P260" s="50">
        <v>6.5</v>
      </c>
      <c r="Q260" s="74">
        <v>6.71</v>
      </c>
      <c r="R260" s="50">
        <v>221</v>
      </c>
      <c r="S260" s="74">
        <v>260</v>
      </c>
      <c r="T260" s="50">
        <v>1.72</v>
      </c>
      <c r="U260" s="74">
        <v>3</v>
      </c>
      <c r="V260" s="50">
        <f>0.01/2</f>
        <v>5.0000000000000001E-3</v>
      </c>
      <c r="W260" s="74">
        <v>1.4E-2</v>
      </c>
      <c r="X260" s="50">
        <v>5.0999999999999997E-2</v>
      </c>
      <c r="Y260" s="74">
        <v>1.4E-2</v>
      </c>
      <c r="Z260" s="164">
        <v>1</v>
      </c>
      <c r="AA260" s="165">
        <v>1</v>
      </c>
      <c r="AB260" s="50">
        <v>140</v>
      </c>
      <c r="AC260" s="74">
        <v>1330</v>
      </c>
      <c r="AD260" s="164">
        <v>1</v>
      </c>
      <c r="AN260" s="50"/>
      <c r="AO260" s="49"/>
      <c r="AV260"/>
    </row>
    <row r="261" spans="1:50" ht="15" customHeight="1">
      <c r="A261" s="88" t="s">
        <v>68</v>
      </c>
      <c r="B261" s="50" t="s">
        <v>3466</v>
      </c>
      <c r="C261" s="7" t="s">
        <v>3467</v>
      </c>
      <c r="D261" s="14" t="s">
        <v>1505</v>
      </c>
      <c r="F261" s="48" t="s">
        <v>3178</v>
      </c>
      <c r="G261" s="76" t="s">
        <v>3179</v>
      </c>
      <c r="H261" s="50">
        <v>4953</v>
      </c>
      <c r="I261" s="49" t="s">
        <v>2</v>
      </c>
      <c r="J261" s="50" t="s">
        <v>510</v>
      </c>
      <c r="K261" s="51">
        <v>41201</v>
      </c>
      <c r="L261" s="115">
        <v>41197</v>
      </c>
      <c r="M261" s="50">
        <f t="shared" si="12"/>
        <v>4</v>
      </c>
      <c r="N261" s="50" t="s">
        <v>2</v>
      </c>
      <c r="O261" s="74">
        <v>10</v>
      </c>
      <c r="P261" s="50">
        <v>6.5</v>
      </c>
      <c r="Q261" s="74">
        <v>7.25</v>
      </c>
      <c r="R261" s="50">
        <v>220</v>
      </c>
      <c r="S261" s="74">
        <v>240</v>
      </c>
      <c r="T261" s="50">
        <v>1.22</v>
      </c>
      <c r="U261" s="74">
        <v>6.12</v>
      </c>
      <c r="V261" s="50">
        <f>0.05/2</f>
        <v>2.5000000000000001E-2</v>
      </c>
      <c r="W261" s="74">
        <v>7.3999999999999996E-2</v>
      </c>
      <c r="X261" s="50">
        <v>0.6</v>
      </c>
      <c r="Y261" s="74">
        <v>0.40699999999999997</v>
      </c>
      <c r="AN261" s="50"/>
      <c r="AO261" s="49"/>
      <c r="AV261"/>
    </row>
    <row r="262" spans="1:50" ht="15" customHeight="1">
      <c r="A262" s="88" t="s">
        <v>68</v>
      </c>
      <c r="B262" s="50" t="s">
        <v>3466</v>
      </c>
      <c r="C262" s="7" t="s">
        <v>3467</v>
      </c>
      <c r="D262" s="14" t="s">
        <v>1505</v>
      </c>
      <c r="F262" s="48" t="s">
        <v>3178</v>
      </c>
      <c r="G262" s="76" t="s">
        <v>3179</v>
      </c>
      <c r="H262" s="50">
        <v>4953</v>
      </c>
      <c r="I262" s="49" t="s">
        <v>2</v>
      </c>
      <c r="J262" s="50" t="s">
        <v>510</v>
      </c>
      <c r="K262" s="51">
        <v>40920</v>
      </c>
      <c r="L262" s="115">
        <v>40909</v>
      </c>
      <c r="M262" s="50">
        <f t="shared" si="12"/>
        <v>11</v>
      </c>
      <c r="N262" s="50" t="s">
        <v>2</v>
      </c>
      <c r="O262" s="74">
        <v>19</v>
      </c>
      <c r="P262" s="50">
        <v>7.53</v>
      </c>
      <c r="Q262" s="74">
        <v>7.38</v>
      </c>
      <c r="R262" s="50">
        <v>140</v>
      </c>
      <c r="S262" s="74">
        <v>440</v>
      </c>
      <c r="T262" s="50">
        <v>0.91</v>
      </c>
      <c r="U262" s="74">
        <v>4.42</v>
      </c>
      <c r="V262" s="50">
        <v>0.13</v>
      </c>
      <c r="W262" s="74">
        <v>9.9000000000000005E-2</v>
      </c>
      <c r="X262" s="50">
        <v>1.67</v>
      </c>
      <c r="Y262" s="74">
        <v>0.81299999999999994</v>
      </c>
      <c r="Z262" s="164">
        <v>1</v>
      </c>
      <c r="AA262" s="165">
        <v>0.90100000000000002</v>
      </c>
      <c r="AB262" s="50">
        <v>194</v>
      </c>
      <c r="AC262" s="74">
        <v>465</v>
      </c>
      <c r="AD262" s="164">
        <f>9/20</f>
        <v>0.45</v>
      </c>
      <c r="AN262" s="50"/>
      <c r="AO262" s="49"/>
      <c r="AV262"/>
    </row>
    <row r="263" spans="1:50" ht="15" customHeight="1">
      <c r="A263" s="88" t="s">
        <v>68</v>
      </c>
      <c r="B263" s="50" t="s">
        <v>2617</v>
      </c>
      <c r="C263" s="7" t="s">
        <v>2618</v>
      </c>
      <c r="D263" s="48" t="s">
        <v>1569</v>
      </c>
      <c r="E263" s="50" t="s">
        <v>2619</v>
      </c>
      <c r="G263" s="76" t="s">
        <v>2620</v>
      </c>
      <c r="H263" s="50">
        <v>4953</v>
      </c>
      <c r="I263" s="49" t="s">
        <v>2</v>
      </c>
      <c r="J263" s="50" t="s">
        <v>3468</v>
      </c>
      <c r="K263" s="51">
        <v>41021</v>
      </c>
      <c r="L263" s="115">
        <v>41011</v>
      </c>
      <c r="M263" s="50">
        <f t="shared" si="12"/>
        <v>10</v>
      </c>
      <c r="N263" s="50" t="s">
        <v>2</v>
      </c>
      <c r="O263" s="74">
        <f>1.4/2</f>
        <v>0.7</v>
      </c>
      <c r="P263" s="50">
        <v>6.58</v>
      </c>
      <c r="Q263" s="74">
        <v>7.57</v>
      </c>
      <c r="R263" s="50">
        <v>67</v>
      </c>
      <c r="S263" s="74">
        <v>84</v>
      </c>
      <c r="T263" s="50">
        <v>0.25</v>
      </c>
      <c r="U263" s="74">
        <v>3.02</v>
      </c>
      <c r="V263" s="50">
        <v>0.36</v>
      </c>
      <c r="W263" s="74">
        <v>6.0000000000000001E-3</v>
      </c>
      <c r="X263" s="50">
        <v>4.2999999999999997E-2</v>
      </c>
      <c r="Y263" s="74">
        <v>4.0000000000000001E-3</v>
      </c>
      <c r="Z263" s="164">
        <v>1</v>
      </c>
      <c r="AA263" s="165">
        <v>1</v>
      </c>
      <c r="AB263" s="50">
        <v>250</v>
      </c>
      <c r="AC263" s="74">
        <v>733</v>
      </c>
      <c r="AD263" s="164">
        <f>20/20</f>
        <v>1</v>
      </c>
      <c r="AE263" s="50">
        <v>21.6</v>
      </c>
      <c r="AG263" s="50">
        <v>84</v>
      </c>
      <c r="AH263" s="50">
        <v>0.9</v>
      </c>
      <c r="AI263" s="50">
        <f>0.01/2</f>
        <v>5.0000000000000001E-3</v>
      </c>
      <c r="AJ263" s="50">
        <f>0.01/2</f>
        <v>5.0000000000000001E-3</v>
      </c>
      <c r="AK263" s="50">
        <f>0.01/2</f>
        <v>5.0000000000000001E-3</v>
      </c>
      <c r="AL263" s="50">
        <f>0.01/2</f>
        <v>5.0000000000000001E-3</v>
      </c>
      <c r="AM263" s="50">
        <v>4.2999999999999997E-2</v>
      </c>
      <c r="AN263" s="50">
        <v>7.57</v>
      </c>
      <c r="AO263" s="49"/>
      <c r="AV263"/>
    </row>
    <row r="264" spans="1:50" ht="15" customHeight="1">
      <c r="A264" s="88" t="s">
        <v>68</v>
      </c>
      <c r="B264" s="50" t="s">
        <v>3180</v>
      </c>
      <c r="C264" s="7" t="s">
        <v>3469</v>
      </c>
      <c r="D264" s="48" t="s">
        <v>1129</v>
      </c>
      <c r="E264" s="50" t="s">
        <v>398</v>
      </c>
      <c r="F264" s="48"/>
      <c r="G264" s="76" t="s">
        <v>3181</v>
      </c>
      <c r="H264" s="50">
        <v>4953</v>
      </c>
      <c r="I264" s="49" t="s">
        <v>1</v>
      </c>
      <c r="J264" s="50" t="s">
        <v>1376</v>
      </c>
      <c r="K264" s="51">
        <v>41247</v>
      </c>
      <c r="L264" s="115"/>
      <c r="N264" s="50" t="s">
        <v>2</v>
      </c>
      <c r="AN264" s="50"/>
      <c r="AO264" s="49"/>
      <c r="AQ264" s="49">
        <v>9800</v>
      </c>
      <c r="AR264" s="50">
        <f>0.0002/2</f>
        <v>1E-4</v>
      </c>
      <c r="AV264"/>
      <c r="AX264">
        <v>1160</v>
      </c>
    </row>
    <row r="265" spans="1:50" ht="15" customHeight="1">
      <c r="A265" s="88" t="s">
        <v>68</v>
      </c>
      <c r="B265" s="50" t="s">
        <v>3370</v>
      </c>
      <c r="C265" s="7" t="s">
        <v>1474</v>
      </c>
      <c r="D265" s="48" t="s">
        <v>434</v>
      </c>
      <c r="E265" s="50" t="s">
        <v>1538</v>
      </c>
      <c r="F265" s="50" t="s">
        <v>3470</v>
      </c>
      <c r="G265" s="76" t="s">
        <v>1476</v>
      </c>
      <c r="H265" s="50">
        <v>4953</v>
      </c>
      <c r="I265" s="49" t="s">
        <v>2</v>
      </c>
      <c r="J265" s="50" t="s">
        <v>114</v>
      </c>
      <c r="K265" s="51">
        <v>41226</v>
      </c>
      <c r="L265" s="115">
        <v>41221</v>
      </c>
      <c r="M265" s="50">
        <f t="shared" ref="M265:M282" si="13">K265-L265</f>
        <v>5</v>
      </c>
      <c r="N265" s="50" t="s">
        <v>2</v>
      </c>
      <c r="O265" s="74">
        <v>2.6</v>
      </c>
      <c r="P265" s="50">
        <v>8.9</v>
      </c>
      <c r="Q265" s="74">
        <v>6.6</v>
      </c>
      <c r="R265" s="50">
        <v>15</v>
      </c>
      <c r="S265" s="74">
        <v>8</v>
      </c>
      <c r="T265" s="50">
        <f>0.05/2</f>
        <v>2.5000000000000001E-2</v>
      </c>
      <c r="U265" s="74">
        <v>0.88</v>
      </c>
      <c r="V265" s="50">
        <v>0.51</v>
      </c>
      <c r="W265" s="74">
        <f>0.01/2</f>
        <v>5.0000000000000001E-3</v>
      </c>
      <c r="X265" s="50">
        <v>0.44700000000000001</v>
      </c>
      <c r="Y265" s="74">
        <f>0.03/2</f>
        <v>1.4999999999999999E-2</v>
      </c>
      <c r="Z265" s="164">
        <v>1</v>
      </c>
      <c r="AA265" s="165">
        <v>0.93300000000000005</v>
      </c>
      <c r="AB265" s="50">
        <v>24</v>
      </c>
      <c r="AC265" s="74">
        <v>160</v>
      </c>
      <c r="AD265" s="164">
        <f>9/20</f>
        <v>0.45</v>
      </c>
      <c r="AN265" s="50"/>
      <c r="AO265" s="49"/>
      <c r="AV265"/>
    </row>
    <row r="266" spans="1:50" ht="15" customHeight="1">
      <c r="A266" s="88" t="s">
        <v>68</v>
      </c>
      <c r="B266" s="50" t="s">
        <v>3370</v>
      </c>
      <c r="C266" s="7" t="s">
        <v>1474</v>
      </c>
      <c r="D266" s="48" t="s">
        <v>434</v>
      </c>
      <c r="E266" s="50" t="s">
        <v>1538</v>
      </c>
      <c r="F266" s="50" t="s">
        <v>3470</v>
      </c>
      <c r="G266" s="76" t="s">
        <v>1476</v>
      </c>
      <c r="H266" s="50">
        <v>4953</v>
      </c>
      <c r="I266" s="49" t="s">
        <v>2</v>
      </c>
      <c r="J266" s="50" t="s">
        <v>1477</v>
      </c>
      <c r="K266" s="51">
        <v>41197</v>
      </c>
      <c r="L266" s="115">
        <v>41192</v>
      </c>
      <c r="M266" s="50">
        <f t="shared" si="13"/>
        <v>5</v>
      </c>
      <c r="N266" s="50" t="s">
        <v>2</v>
      </c>
      <c r="O266" s="74">
        <v>7.8</v>
      </c>
      <c r="P266" s="50">
        <v>4.9000000000000004</v>
      </c>
      <c r="Q266" s="74">
        <v>7</v>
      </c>
      <c r="R266" s="50">
        <v>49</v>
      </c>
      <c r="S266" s="74">
        <v>110</v>
      </c>
      <c r="T266" s="50">
        <v>0.09</v>
      </c>
      <c r="U266" s="74">
        <v>1.25</v>
      </c>
      <c r="V266" s="50">
        <v>0.23</v>
      </c>
      <c r="W266" s="74">
        <v>1.6E-2</v>
      </c>
      <c r="X266" s="50">
        <v>0.11</v>
      </c>
      <c r="Y266" s="74">
        <f>0.03/2</f>
        <v>1.4999999999999999E-2</v>
      </c>
      <c r="Z266" s="164">
        <v>1</v>
      </c>
      <c r="AA266" s="165">
        <v>1</v>
      </c>
      <c r="AB266" s="50">
        <v>15</v>
      </c>
      <c r="AC266" s="74">
        <v>38</v>
      </c>
      <c r="AD266" s="164">
        <v>1</v>
      </c>
      <c r="AN266" s="50"/>
      <c r="AO266" s="49"/>
      <c r="AV266"/>
    </row>
    <row r="267" spans="1:50" ht="15" customHeight="1">
      <c r="A267" s="88" t="s">
        <v>68</v>
      </c>
      <c r="B267" s="50" t="s">
        <v>3370</v>
      </c>
      <c r="C267" s="7" t="s">
        <v>1474</v>
      </c>
      <c r="D267" s="48" t="s">
        <v>434</v>
      </c>
      <c r="E267" s="50" t="s">
        <v>1538</v>
      </c>
      <c r="F267" s="50" t="s">
        <v>3470</v>
      </c>
      <c r="G267" s="76" t="s">
        <v>1476</v>
      </c>
      <c r="H267" s="50">
        <v>4953</v>
      </c>
      <c r="I267" s="49" t="s">
        <v>2</v>
      </c>
      <c r="J267" s="50" t="s">
        <v>1478</v>
      </c>
      <c r="K267" s="51">
        <v>41226</v>
      </c>
      <c r="L267" s="115">
        <v>41221</v>
      </c>
      <c r="M267" s="50">
        <f t="shared" si="13"/>
        <v>5</v>
      </c>
      <c r="N267" s="50" t="s">
        <v>2</v>
      </c>
      <c r="O267" s="74">
        <v>16.899999999999999</v>
      </c>
      <c r="P267" s="50">
        <v>8.9</v>
      </c>
      <c r="Q267" s="74">
        <v>7.7</v>
      </c>
      <c r="R267" s="50">
        <v>156</v>
      </c>
      <c r="S267" s="74">
        <v>92</v>
      </c>
      <c r="T267" s="50">
        <v>0.28999999999999998</v>
      </c>
      <c r="U267" s="74">
        <v>6.15</v>
      </c>
      <c r="V267" s="50">
        <v>0.33</v>
      </c>
      <c r="W267" s="74">
        <v>5.5E-2</v>
      </c>
      <c r="X267" s="50">
        <v>0.26100000000000001</v>
      </c>
      <c r="Y267" s="74">
        <v>3.9E-2</v>
      </c>
      <c r="Z267" s="164">
        <v>0.70699999999999996</v>
      </c>
      <c r="AA267" s="165">
        <v>0.36599999999999999</v>
      </c>
      <c r="AB267" s="50">
        <v>45</v>
      </c>
      <c r="AC267" s="74">
        <v>356</v>
      </c>
      <c r="AD267" s="164">
        <f>0/20</f>
        <v>0</v>
      </c>
      <c r="AN267" s="50"/>
      <c r="AO267" s="49"/>
      <c r="AV267"/>
    </row>
    <row r="268" spans="1:50" ht="15" customHeight="1">
      <c r="A268" s="88" t="s">
        <v>68</v>
      </c>
      <c r="B268" s="50" t="s">
        <v>3471</v>
      </c>
      <c r="C268" s="7" t="s">
        <v>3472</v>
      </c>
      <c r="D268" s="48" t="s">
        <v>2372</v>
      </c>
      <c r="F268" s="48" t="s">
        <v>3473</v>
      </c>
      <c r="G268" s="76" t="s">
        <v>3474</v>
      </c>
      <c r="H268" s="50">
        <v>4214</v>
      </c>
      <c r="I268" s="49" t="s">
        <v>2</v>
      </c>
      <c r="J268" s="50" t="s">
        <v>357</v>
      </c>
      <c r="K268" s="51">
        <v>41030</v>
      </c>
      <c r="L268" s="115">
        <v>41022</v>
      </c>
      <c r="M268" s="50">
        <f t="shared" si="13"/>
        <v>8</v>
      </c>
      <c r="N268" s="50" t="s">
        <v>2</v>
      </c>
      <c r="O268" s="74">
        <v>2.1</v>
      </c>
      <c r="P268" s="50">
        <v>6.5</v>
      </c>
      <c r="Q268" s="74">
        <v>6.93</v>
      </c>
      <c r="R268" s="50">
        <v>43</v>
      </c>
      <c r="S268" s="74">
        <v>65</v>
      </c>
      <c r="T268" s="50">
        <v>0.22</v>
      </c>
      <c r="U268" s="74">
        <v>1.41</v>
      </c>
      <c r="V268" s="50">
        <v>2.11</v>
      </c>
      <c r="W268" s="74">
        <v>1.7999999999999999E-2</v>
      </c>
      <c r="X268" s="50">
        <v>4.7E-2</v>
      </c>
      <c r="Y268" s="74">
        <v>1.9E-2</v>
      </c>
      <c r="Z268" s="164">
        <v>1</v>
      </c>
      <c r="AA268" s="165">
        <v>1</v>
      </c>
      <c r="AB268" s="50">
        <v>40</v>
      </c>
      <c r="AC268" s="74">
        <v>114</v>
      </c>
      <c r="AD268" s="164">
        <v>1</v>
      </c>
      <c r="AN268" s="50"/>
      <c r="AO268" s="49"/>
      <c r="AV268"/>
    </row>
    <row r="269" spans="1:50" ht="15" customHeight="1">
      <c r="A269" s="88" t="s">
        <v>68</v>
      </c>
      <c r="B269" s="50" t="s">
        <v>3370</v>
      </c>
      <c r="C269" s="7" t="s">
        <v>3475</v>
      </c>
      <c r="D269" s="48" t="s">
        <v>308</v>
      </c>
      <c r="E269" s="50" t="s">
        <v>3476</v>
      </c>
      <c r="F269" s="48" t="s">
        <v>3477</v>
      </c>
      <c r="G269" s="76" t="s">
        <v>3478</v>
      </c>
      <c r="H269" s="50">
        <v>4953</v>
      </c>
      <c r="I269" s="49" t="s">
        <v>1</v>
      </c>
      <c r="J269" s="50" t="s">
        <v>3479</v>
      </c>
      <c r="K269" s="51">
        <v>40996</v>
      </c>
      <c r="L269" s="115">
        <v>40992</v>
      </c>
      <c r="M269" s="50">
        <f t="shared" si="13"/>
        <v>4</v>
      </c>
      <c r="N269" s="50" t="s">
        <v>2</v>
      </c>
      <c r="O269" s="74">
        <v>1.2</v>
      </c>
      <c r="P269" s="50">
        <v>6</v>
      </c>
      <c r="Q269" s="74">
        <v>6.24</v>
      </c>
      <c r="R269" s="50">
        <v>230.2</v>
      </c>
      <c r="S269" s="74">
        <v>52</v>
      </c>
      <c r="T269" s="50">
        <v>1.3</v>
      </c>
      <c r="U269" s="74">
        <v>14.03</v>
      </c>
      <c r="V269" s="50">
        <f>0.2/2</f>
        <v>0.1</v>
      </c>
      <c r="W269" s="74">
        <v>0.02</v>
      </c>
      <c r="X269" s="50">
        <v>0.04</v>
      </c>
      <c r="Y269" s="74">
        <f>0.02/2</f>
        <v>0.01</v>
      </c>
      <c r="Z269" s="164">
        <v>1</v>
      </c>
      <c r="AA269" s="165">
        <v>1</v>
      </c>
      <c r="AB269" s="50">
        <v>104</v>
      </c>
      <c r="AC269" s="74">
        <v>804</v>
      </c>
      <c r="AD269" s="164">
        <f>20/20</f>
        <v>1</v>
      </c>
      <c r="AN269" s="50"/>
      <c r="AO269" s="49"/>
      <c r="AV269"/>
    </row>
    <row r="270" spans="1:50" ht="15" customHeight="1">
      <c r="A270" s="88" t="s">
        <v>68</v>
      </c>
      <c r="B270" s="50" t="s">
        <v>3370</v>
      </c>
      <c r="C270" s="7" t="s">
        <v>3475</v>
      </c>
      <c r="D270" s="48" t="s">
        <v>308</v>
      </c>
      <c r="E270" s="50" t="s">
        <v>3476</v>
      </c>
      <c r="F270" s="48" t="s">
        <v>3477</v>
      </c>
      <c r="G270" s="76" t="s">
        <v>3478</v>
      </c>
      <c r="H270" s="50">
        <v>4953</v>
      </c>
      <c r="I270" s="49" t="s">
        <v>1</v>
      </c>
      <c r="J270" s="50" t="s">
        <v>3480</v>
      </c>
      <c r="K270" s="51">
        <v>40996</v>
      </c>
      <c r="L270" s="115">
        <v>40992</v>
      </c>
      <c r="M270" s="50">
        <f t="shared" si="13"/>
        <v>4</v>
      </c>
      <c r="N270" s="50" t="s">
        <v>2</v>
      </c>
      <c r="O270" s="74">
        <f>1/2</f>
        <v>0.5</v>
      </c>
      <c r="P270" s="50">
        <v>6</v>
      </c>
      <c r="Q270" s="74">
        <v>6.6</v>
      </c>
      <c r="R270" s="50">
        <v>38.5</v>
      </c>
      <c r="S270" s="74">
        <v>53</v>
      </c>
      <c r="T270" s="50">
        <v>0.35</v>
      </c>
      <c r="U270" s="74">
        <v>4.07</v>
      </c>
      <c r="V270" s="50">
        <f>0.2/2</f>
        <v>0.1</v>
      </c>
      <c r="W270" s="74">
        <v>0.01</v>
      </c>
      <c r="X270" s="50">
        <v>0.05</v>
      </c>
      <c r="Y270" s="74">
        <f>0.02/2</f>
        <v>0.01</v>
      </c>
      <c r="Z270" s="164">
        <v>1</v>
      </c>
      <c r="AA270" s="165">
        <v>1</v>
      </c>
      <c r="AB270" s="50">
        <v>40</v>
      </c>
      <c r="AC270" s="74">
        <v>486</v>
      </c>
      <c r="AD270" s="164">
        <f>19/20</f>
        <v>0.95</v>
      </c>
      <c r="AN270" s="50"/>
      <c r="AO270" s="49"/>
      <c r="AV270"/>
    </row>
    <row r="271" spans="1:50" ht="15" customHeight="1">
      <c r="A271" s="88" t="s">
        <v>68</v>
      </c>
      <c r="B271" s="50" t="s">
        <v>3370</v>
      </c>
      <c r="C271" s="7" t="s">
        <v>3475</v>
      </c>
      <c r="D271" s="48" t="s">
        <v>308</v>
      </c>
      <c r="E271" s="50" t="s">
        <v>3476</v>
      </c>
      <c r="F271" s="48" t="s">
        <v>3477</v>
      </c>
      <c r="G271" s="76" t="s">
        <v>3478</v>
      </c>
      <c r="H271" s="50">
        <v>4953</v>
      </c>
      <c r="I271" s="49" t="s">
        <v>1</v>
      </c>
      <c r="J271" s="50" t="s">
        <v>3479</v>
      </c>
      <c r="K271" s="51">
        <v>41072</v>
      </c>
      <c r="L271" s="115">
        <v>41063</v>
      </c>
      <c r="M271" s="50">
        <f t="shared" si="13"/>
        <v>9</v>
      </c>
      <c r="N271" s="50" t="s">
        <v>2</v>
      </c>
      <c r="O271" s="74">
        <v>11</v>
      </c>
      <c r="P271" s="50">
        <v>6.36</v>
      </c>
      <c r="Q271" s="74">
        <v>6.21</v>
      </c>
      <c r="R271" s="50">
        <v>111.9</v>
      </c>
      <c r="S271" s="74">
        <v>74</v>
      </c>
      <c r="T271" s="50">
        <v>2.2000000000000002</v>
      </c>
      <c r="U271" s="74">
        <v>15.31</v>
      </c>
      <c r="V271" s="50">
        <f>0.2/2</f>
        <v>0.1</v>
      </c>
      <c r="W271" s="74">
        <v>0.05</v>
      </c>
      <c r="X271" s="50">
        <v>0.14000000000000001</v>
      </c>
      <c r="Y271" s="74">
        <v>0.03</v>
      </c>
      <c r="AN271" s="50"/>
      <c r="AO271" s="49">
        <v>3500</v>
      </c>
      <c r="AV271"/>
    </row>
    <row r="272" spans="1:50" ht="15" customHeight="1">
      <c r="A272" s="88" t="s">
        <v>68</v>
      </c>
      <c r="B272" s="50" t="s">
        <v>3370</v>
      </c>
      <c r="C272" s="7" t="s">
        <v>3475</v>
      </c>
      <c r="D272" s="48" t="s">
        <v>308</v>
      </c>
      <c r="E272" s="50" t="s">
        <v>3476</v>
      </c>
      <c r="F272" s="48" t="s">
        <v>3477</v>
      </c>
      <c r="G272" s="76" t="s">
        <v>3478</v>
      </c>
      <c r="H272" s="50">
        <v>4953</v>
      </c>
      <c r="I272" s="49" t="s">
        <v>1</v>
      </c>
      <c r="J272" s="50" t="s">
        <v>3480</v>
      </c>
      <c r="K272" s="51">
        <v>41072</v>
      </c>
      <c r="L272" s="115">
        <v>41063</v>
      </c>
      <c r="M272" s="50">
        <f t="shared" si="13"/>
        <v>9</v>
      </c>
      <c r="N272" s="50" t="s">
        <v>2</v>
      </c>
      <c r="O272" s="74">
        <v>10.4</v>
      </c>
      <c r="P272" s="50">
        <v>5.83</v>
      </c>
      <c r="Q272" s="74">
        <v>6.53</v>
      </c>
      <c r="R272" s="50">
        <v>530.5</v>
      </c>
      <c r="S272" s="74">
        <v>55</v>
      </c>
      <c r="T272" s="50">
        <v>2.5499999999999998</v>
      </c>
      <c r="U272" s="74">
        <v>33.56</v>
      </c>
      <c r="V272" s="50">
        <v>0.3</v>
      </c>
      <c r="W272" s="74">
        <v>0.03</v>
      </c>
      <c r="X272" s="50">
        <v>0.2</v>
      </c>
      <c r="Y272" s="74">
        <f>0.02/2</f>
        <v>0.01</v>
      </c>
      <c r="AN272" s="50"/>
      <c r="AO272" s="49">
        <v>10300</v>
      </c>
      <c r="AV272"/>
    </row>
    <row r="273" spans="1:49" ht="15" customHeight="1">
      <c r="A273" s="88" t="s">
        <v>68</v>
      </c>
      <c r="B273" s="50" t="s">
        <v>3370</v>
      </c>
      <c r="C273" s="7" t="s">
        <v>3475</v>
      </c>
      <c r="D273" s="48" t="s">
        <v>308</v>
      </c>
      <c r="E273" s="50" t="s">
        <v>3476</v>
      </c>
      <c r="F273" s="50">
        <v>6905</v>
      </c>
      <c r="G273" s="76" t="s">
        <v>3478</v>
      </c>
      <c r="H273" s="50">
        <v>4953</v>
      </c>
      <c r="I273" s="49" t="s">
        <v>1</v>
      </c>
      <c r="J273" s="50" t="s">
        <v>3479</v>
      </c>
      <c r="K273" s="51">
        <v>41201</v>
      </c>
      <c r="L273" s="115">
        <v>41197</v>
      </c>
      <c r="M273" s="50">
        <f t="shared" si="13"/>
        <v>4</v>
      </c>
      <c r="N273" s="50" t="s">
        <v>2</v>
      </c>
      <c r="O273" s="74">
        <v>2.9</v>
      </c>
      <c r="P273" s="50">
        <v>6.61</v>
      </c>
      <c r="Q273" s="74">
        <v>6.41</v>
      </c>
      <c r="R273" s="50">
        <v>26.9</v>
      </c>
      <c r="S273" s="74">
        <v>19.5</v>
      </c>
      <c r="T273" s="50">
        <v>0.15</v>
      </c>
      <c r="U273" s="74">
        <v>0.69</v>
      </c>
      <c r="V273" s="50">
        <f>0.2/2</f>
        <v>0.1</v>
      </c>
      <c r="W273" s="74">
        <f>0.01/2</f>
        <v>5.0000000000000001E-3</v>
      </c>
      <c r="X273" s="50">
        <v>7.0000000000000007E-2</v>
      </c>
      <c r="Y273" s="74">
        <f>0.02/2</f>
        <v>0.01</v>
      </c>
      <c r="Z273" s="164">
        <v>1</v>
      </c>
      <c r="AA273" s="165">
        <v>1</v>
      </c>
      <c r="AB273" s="50">
        <v>48.1</v>
      </c>
      <c r="AC273" s="74">
        <v>22.6</v>
      </c>
      <c r="AD273" s="164">
        <f>20/20</f>
        <v>1</v>
      </c>
      <c r="AN273" s="50"/>
      <c r="AO273" s="49"/>
      <c r="AV273"/>
    </row>
    <row r="274" spans="1:49" ht="15" customHeight="1">
      <c r="A274" s="88" t="s">
        <v>68</v>
      </c>
      <c r="B274" s="50" t="s">
        <v>3370</v>
      </c>
      <c r="C274" s="7" t="s">
        <v>3475</v>
      </c>
      <c r="D274" s="48" t="s">
        <v>308</v>
      </c>
      <c r="E274" s="50" t="s">
        <v>3476</v>
      </c>
      <c r="F274" s="50">
        <v>6905</v>
      </c>
      <c r="G274" s="76" t="s">
        <v>3478</v>
      </c>
      <c r="H274" s="50">
        <v>4953</v>
      </c>
      <c r="I274" s="49" t="s">
        <v>1</v>
      </c>
      <c r="J274" s="50" t="s">
        <v>3480</v>
      </c>
      <c r="K274" s="51">
        <v>41201</v>
      </c>
      <c r="L274" s="115">
        <v>41197</v>
      </c>
      <c r="M274" s="50">
        <f t="shared" si="13"/>
        <v>4</v>
      </c>
      <c r="N274" s="50" t="s">
        <v>2</v>
      </c>
      <c r="O274" s="74">
        <v>6.9</v>
      </c>
      <c r="P274" s="50">
        <v>6.63</v>
      </c>
      <c r="Q274" s="74">
        <v>6.63</v>
      </c>
      <c r="R274" s="50">
        <v>124.2</v>
      </c>
      <c r="S274" s="74">
        <v>47</v>
      </c>
      <c r="T274" s="50">
        <v>0.45</v>
      </c>
      <c r="U274" s="74">
        <v>4.49</v>
      </c>
      <c r="V274" s="50">
        <f>0.2/2</f>
        <v>0.1</v>
      </c>
      <c r="W274" s="74">
        <v>0.03</v>
      </c>
      <c r="X274" s="50">
        <v>0.12</v>
      </c>
      <c r="Y274" s="74">
        <v>0.02</v>
      </c>
      <c r="Z274" s="164">
        <v>1</v>
      </c>
      <c r="AA274" s="165">
        <v>1</v>
      </c>
      <c r="AB274" s="50">
        <v>48.1</v>
      </c>
      <c r="AC274" s="74">
        <v>162</v>
      </c>
      <c r="AD274" s="164">
        <f>20/20</f>
        <v>1</v>
      </c>
      <c r="AN274" s="50"/>
      <c r="AO274" s="49"/>
      <c r="AV274"/>
    </row>
    <row r="275" spans="1:49" ht="15" customHeight="1">
      <c r="A275" s="88" t="s">
        <v>68</v>
      </c>
      <c r="B275" s="50" t="s">
        <v>3370</v>
      </c>
      <c r="C275" s="7" t="s">
        <v>3475</v>
      </c>
      <c r="D275" s="48" t="s">
        <v>308</v>
      </c>
      <c r="E275" s="50" t="s">
        <v>3476</v>
      </c>
      <c r="F275" s="50">
        <v>6905</v>
      </c>
      <c r="G275" s="76" t="s">
        <v>3478</v>
      </c>
      <c r="H275" s="50">
        <v>4953</v>
      </c>
      <c r="I275" s="49" t="s">
        <v>1</v>
      </c>
      <c r="J275" s="50" t="s">
        <v>3479</v>
      </c>
      <c r="K275" s="51">
        <v>40863</v>
      </c>
      <c r="L275" s="115">
        <v>40857</v>
      </c>
      <c r="M275" s="50">
        <f t="shared" si="13"/>
        <v>6</v>
      </c>
      <c r="N275" s="50" t="s">
        <v>2</v>
      </c>
      <c r="O275" s="74">
        <v>3</v>
      </c>
      <c r="P275" s="50">
        <v>6</v>
      </c>
      <c r="Q275" s="74">
        <v>5.45</v>
      </c>
      <c r="R275" s="50">
        <v>124.1</v>
      </c>
      <c r="S275" s="74">
        <v>20</v>
      </c>
      <c r="T275" s="50">
        <v>0.68</v>
      </c>
      <c r="U275" s="74">
        <v>5.51</v>
      </c>
      <c r="V275" s="50">
        <f>0.2/2</f>
        <v>0.1</v>
      </c>
      <c r="W275" s="74">
        <v>0.01</v>
      </c>
      <c r="X275" s="50">
        <v>0.03</v>
      </c>
      <c r="Y275" s="74">
        <f>0.02/2</f>
        <v>0.01</v>
      </c>
      <c r="AN275" s="50"/>
      <c r="AO275" s="49"/>
      <c r="AV275"/>
    </row>
    <row r="276" spans="1:49" ht="15" customHeight="1">
      <c r="A276" s="88" t="s">
        <v>68</v>
      </c>
      <c r="B276" s="50" t="s">
        <v>3370</v>
      </c>
      <c r="C276" s="7" t="s">
        <v>3475</v>
      </c>
      <c r="D276" s="48" t="s">
        <v>308</v>
      </c>
      <c r="E276" s="50" t="s">
        <v>3476</v>
      </c>
      <c r="F276" s="50">
        <v>6905</v>
      </c>
      <c r="G276" s="76" t="s">
        <v>3478</v>
      </c>
      <c r="H276" s="50">
        <v>4953</v>
      </c>
      <c r="I276" s="49" t="s">
        <v>1</v>
      </c>
      <c r="J276" s="50" t="s">
        <v>3480</v>
      </c>
      <c r="K276" s="51">
        <v>40863</v>
      </c>
      <c r="L276" s="115">
        <v>40857</v>
      </c>
      <c r="M276" s="50">
        <f t="shared" si="13"/>
        <v>6</v>
      </c>
      <c r="N276" s="50" t="s">
        <v>2</v>
      </c>
      <c r="O276" s="74">
        <v>1.3</v>
      </c>
      <c r="P276" s="50">
        <v>6</v>
      </c>
      <c r="Q276" s="74">
        <v>6.01</v>
      </c>
      <c r="R276" s="50">
        <v>898</v>
      </c>
      <c r="S276" s="74">
        <v>324</v>
      </c>
      <c r="T276" s="50">
        <v>3.11</v>
      </c>
      <c r="U276" s="74">
        <v>18.34</v>
      </c>
      <c r="V276" s="50">
        <f>0.2/2</f>
        <v>0.1</v>
      </c>
      <c r="W276" s="74">
        <v>0.16</v>
      </c>
      <c r="X276" s="50">
        <v>0.66</v>
      </c>
      <c r="Y276" s="74">
        <v>0.1</v>
      </c>
      <c r="AN276" s="50"/>
      <c r="AO276" s="49"/>
      <c r="AV276"/>
    </row>
    <row r="277" spans="1:49" ht="15" customHeight="1">
      <c r="A277" s="88" t="s">
        <v>68</v>
      </c>
      <c r="B277" s="50" t="s">
        <v>2712</v>
      </c>
      <c r="C277" s="7" t="s">
        <v>3481</v>
      </c>
      <c r="F277" s="50" t="s">
        <v>3482</v>
      </c>
      <c r="G277" s="76" t="s">
        <v>3483</v>
      </c>
      <c r="H277" s="50">
        <v>4953</v>
      </c>
      <c r="I277" s="49" t="s">
        <v>2</v>
      </c>
      <c r="J277" s="50" t="s">
        <v>510</v>
      </c>
      <c r="K277" s="51">
        <v>41030</v>
      </c>
      <c r="L277" s="115">
        <v>41022</v>
      </c>
      <c r="M277" s="50">
        <f t="shared" si="13"/>
        <v>8</v>
      </c>
      <c r="N277" s="50" t="s">
        <v>2</v>
      </c>
      <c r="O277" s="74">
        <v>1.6</v>
      </c>
      <c r="Q277" s="74">
        <v>7.39</v>
      </c>
      <c r="R277" s="50">
        <v>25</v>
      </c>
      <c r="S277" s="74">
        <v>150</v>
      </c>
      <c r="T277" s="50">
        <v>0.21</v>
      </c>
      <c r="U277" s="74">
        <v>1.34</v>
      </c>
      <c r="V277" s="50">
        <v>0.21</v>
      </c>
      <c r="W277" s="74">
        <v>0.03</v>
      </c>
      <c r="X277" s="50">
        <v>7.1999999999999995E-2</v>
      </c>
      <c r="Y277" s="74">
        <v>4.9000000000000002E-2</v>
      </c>
      <c r="Z277" s="164">
        <v>1</v>
      </c>
      <c r="AA277" s="165">
        <v>1</v>
      </c>
      <c r="AB277" s="50">
        <v>22</v>
      </c>
      <c r="AC277" s="74">
        <v>319</v>
      </c>
      <c r="AD277" s="164">
        <f>20/20</f>
        <v>1</v>
      </c>
      <c r="AN277" s="50"/>
      <c r="AO277" s="49"/>
      <c r="AV277"/>
    </row>
    <row r="278" spans="1:49" ht="15" customHeight="1">
      <c r="A278" s="88" t="s">
        <v>68</v>
      </c>
      <c r="B278" s="50" t="s">
        <v>2712</v>
      </c>
      <c r="C278" s="7" t="s">
        <v>3481</v>
      </c>
      <c r="D278" s="48" t="s">
        <v>2372</v>
      </c>
      <c r="F278" s="50" t="s">
        <v>3482</v>
      </c>
      <c r="G278" s="76" t="s">
        <v>3483</v>
      </c>
      <c r="H278" s="50">
        <v>4953</v>
      </c>
      <c r="I278" s="49" t="s">
        <v>2</v>
      </c>
      <c r="J278" s="50" t="s">
        <v>510</v>
      </c>
      <c r="K278" s="51">
        <v>41226</v>
      </c>
      <c r="L278" s="115">
        <v>41220</v>
      </c>
      <c r="M278" s="50">
        <f t="shared" si="13"/>
        <v>6</v>
      </c>
      <c r="N278" s="50" t="s">
        <v>2</v>
      </c>
      <c r="O278" s="74">
        <f>1.4/2</f>
        <v>0.7</v>
      </c>
      <c r="P278" s="50">
        <v>6.5</v>
      </c>
      <c r="Q278" s="74">
        <v>6.89</v>
      </c>
      <c r="R278" s="50">
        <v>65</v>
      </c>
      <c r="S278" s="74">
        <v>22</v>
      </c>
      <c r="T278" s="50">
        <v>0.11</v>
      </c>
      <c r="U278" s="74">
        <v>1.32</v>
      </c>
      <c r="V278" s="50">
        <v>0.1</v>
      </c>
      <c r="W278" s="74">
        <f>0.005/2</f>
        <v>2.5000000000000001E-3</v>
      </c>
      <c r="X278" s="50">
        <v>1.9E-2</v>
      </c>
      <c r="Y278" s="74">
        <v>2E-3</v>
      </c>
      <c r="AN278" s="50"/>
      <c r="AO278" s="49"/>
      <c r="AV278"/>
    </row>
    <row r="279" spans="1:49" ht="15" customHeight="1">
      <c r="A279" s="88" t="s">
        <v>68</v>
      </c>
      <c r="B279" s="50" t="s">
        <v>2763</v>
      </c>
      <c r="C279" s="7" t="s">
        <v>3003</v>
      </c>
      <c r="D279" s="48" t="s">
        <v>2378</v>
      </c>
      <c r="F279" s="48" t="s">
        <v>3484</v>
      </c>
      <c r="G279" s="76" t="s">
        <v>3004</v>
      </c>
      <c r="H279" s="50">
        <v>4953</v>
      </c>
      <c r="I279" s="49" t="s">
        <v>2</v>
      </c>
      <c r="J279" s="50" t="s">
        <v>510</v>
      </c>
      <c r="K279" s="51">
        <v>41021</v>
      </c>
      <c r="L279" s="115">
        <v>40999</v>
      </c>
      <c r="M279" s="50">
        <f t="shared" si="13"/>
        <v>22</v>
      </c>
      <c r="N279" s="50" t="s">
        <v>2</v>
      </c>
      <c r="O279" s="74">
        <v>1.8</v>
      </c>
      <c r="P279" s="50">
        <v>6.5</v>
      </c>
      <c r="Q279" s="74">
        <v>6.72</v>
      </c>
      <c r="R279" s="50">
        <v>55</v>
      </c>
      <c r="S279" s="74">
        <v>160</v>
      </c>
      <c r="T279" s="50">
        <v>0.41</v>
      </c>
      <c r="U279" s="74">
        <v>1.71</v>
      </c>
      <c r="V279" s="50">
        <v>0.26</v>
      </c>
      <c r="W279" s="74">
        <v>2.1000000000000001E-2</v>
      </c>
      <c r="X279" s="50">
        <v>4.4999999999999998E-2</v>
      </c>
      <c r="Y279" s="74">
        <v>1.7000000000000001E-2</v>
      </c>
      <c r="Z279" s="164">
        <v>1</v>
      </c>
      <c r="AA279" s="165">
        <v>1</v>
      </c>
      <c r="AB279" s="50">
        <v>14</v>
      </c>
      <c r="AC279" s="74">
        <v>130</v>
      </c>
      <c r="AD279" s="164">
        <f>20/20</f>
        <v>1</v>
      </c>
      <c r="AN279" s="50"/>
      <c r="AO279" s="49"/>
      <c r="AV279"/>
    </row>
    <row r="280" spans="1:49" ht="15" customHeight="1">
      <c r="A280" s="88" t="s">
        <v>68</v>
      </c>
      <c r="B280" s="50" t="s">
        <v>2774</v>
      </c>
      <c r="C280" s="7" t="s">
        <v>3485</v>
      </c>
      <c r="D280" s="48" t="s">
        <v>2775</v>
      </c>
      <c r="F280" s="50" t="s">
        <v>3486</v>
      </c>
      <c r="G280" s="76" t="s">
        <v>3487</v>
      </c>
      <c r="H280" s="50">
        <v>4953</v>
      </c>
      <c r="I280" s="49" t="s">
        <v>2</v>
      </c>
      <c r="J280" s="50" t="s">
        <v>510</v>
      </c>
      <c r="K280" s="51">
        <v>41044</v>
      </c>
      <c r="L280" s="115">
        <v>41041</v>
      </c>
      <c r="M280" s="50">
        <f t="shared" si="13"/>
        <v>3</v>
      </c>
      <c r="N280" s="50" t="s">
        <v>2</v>
      </c>
      <c r="O280" s="74">
        <f>1.4/2</f>
        <v>0.7</v>
      </c>
      <c r="Q280" s="74">
        <v>6.52</v>
      </c>
      <c r="R280" s="50">
        <v>71</v>
      </c>
      <c r="S280" s="74">
        <v>74</v>
      </c>
      <c r="T280" s="50">
        <v>0.33</v>
      </c>
      <c r="U280" s="74">
        <v>2.0499999999999998</v>
      </c>
      <c r="V280" s="50">
        <v>0.59</v>
      </c>
      <c r="W280" s="74">
        <v>1.7999999999999999E-2</v>
      </c>
      <c r="X280" s="50">
        <v>3.9E-2</v>
      </c>
      <c r="Y280" s="74">
        <v>7.0000000000000001E-3</v>
      </c>
      <c r="Z280" s="164">
        <v>1</v>
      </c>
      <c r="AA280" s="165">
        <v>1</v>
      </c>
      <c r="AB280" s="50">
        <v>8</v>
      </c>
      <c r="AC280" s="74">
        <v>88</v>
      </c>
      <c r="AD280" s="164">
        <f>20/20</f>
        <v>1</v>
      </c>
      <c r="AN280" s="50"/>
      <c r="AO280" s="49"/>
      <c r="AV280"/>
    </row>
    <row r="281" spans="1:49" ht="15" customHeight="1">
      <c r="A281" s="88" t="s">
        <v>68</v>
      </c>
      <c r="B281" s="50" t="s">
        <v>232</v>
      </c>
      <c r="C281" s="7" t="s">
        <v>239</v>
      </c>
      <c r="D281" s="48" t="s">
        <v>234</v>
      </c>
      <c r="E281" s="50" t="s">
        <v>240</v>
      </c>
      <c r="F281" s="48"/>
      <c r="G281" s="76" t="s">
        <v>241</v>
      </c>
      <c r="H281" s="50">
        <v>4212</v>
      </c>
      <c r="I281" s="49" t="s">
        <v>2</v>
      </c>
      <c r="J281" s="50" t="s">
        <v>3488</v>
      </c>
      <c r="K281" s="51">
        <v>41136</v>
      </c>
      <c r="L281" s="115">
        <v>41131</v>
      </c>
      <c r="M281" s="50">
        <f t="shared" si="13"/>
        <v>5</v>
      </c>
      <c r="N281" s="50" t="s">
        <v>2</v>
      </c>
      <c r="O281" s="74">
        <v>5.4</v>
      </c>
      <c r="P281" s="50">
        <v>6.94</v>
      </c>
      <c r="Q281" s="74">
        <v>6.77</v>
      </c>
      <c r="R281" s="50">
        <v>13.8</v>
      </c>
      <c r="S281" s="74">
        <v>21.5</v>
      </c>
      <c r="T281" s="50">
        <v>0.16</v>
      </c>
      <c r="U281" s="74">
        <v>0.72</v>
      </c>
      <c r="V281" s="50">
        <v>0.28999999999999998</v>
      </c>
      <c r="W281" s="74">
        <f>0.01/2</f>
        <v>5.0000000000000001E-3</v>
      </c>
      <c r="X281" s="50">
        <v>0.03</v>
      </c>
      <c r="Y281" s="74">
        <f>0.02/2</f>
        <v>0.01</v>
      </c>
      <c r="Z281" s="164">
        <v>1</v>
      </c>
      <c r="AA281" s="165">
        <v>1</v>
      </c>
      <c r="AB281" s="50">
        <v>28</v>
      </c>
      <c r="AC281" s="74">
        <v>127.9</v>
      </c>
      <c r="AD281" s="164">
        <f>19/20</f>
        <v>0.95</v>
      </c>
      <c r="AE281" s="50">
        <v>2.6</v>
      </c>
      <c r="AF281" s="50">
        <v>2</v>
      </c>
      <c r="AG281" s="50">
        <v>21.5</v>
      </c>
      <c r="AH281" s="50">
        <f>0.1/2</f>
        <v>0.05</v>
      </c>
      <c r="AI281" s="50">
        <f>0.02/2</f>
        <v>0.01</v>
      </c>
      <c r="AJ281" s="50">
        <f>0.01/2</f>
        <v>5.0000000000000001E-3</v>
      </c>
      <c r="AK281" s="50">
        <f>0.01/2</f>
        <v>5.0000000000000001E-3</v>
      </c>
      <c r="AL281" s="50">
        <f>0.01/2</f>
        <v>5.0000000000000001E-3</v>
      </c>
      <c r="AM281" s="50">
        <v>0.03</v>
      </c>
      <c r="AN281" s="50">
        <v>6.77</v>
      </c>
      <c r="AO281" s="49"/>
      <c r="AV281"/>
    </row>
    <row r="282" spans="1:49" ht="15" customHeight="1">
      <c r="A282" s="88" t="s">
        <v>68</v>
      </c>
      <c r="B282" s="50" t="s">
        <v>3456</v>
      </c>
      <c r="C282" s="7" t="s">
        <v>3489</v>
      </c>
      <c r="D282" s="48" t="s">
        <v>165</v>
      </c>
      <c r="F282" s="48" t="s">
        <v>3490</v>
      </c>
      <c r="G282" s="76" t="s">
        <v>3491</v>
      </c>
      <c r="H282" s="50">
        <v>9199</v>
      </c>
      <c r="I282" s="49" t="s">
        <v>2</v>
      </c>
      <c r="J282" s="50" t="s">
        <v>366</v>
      </c>
      <c r="K282" s="51">
        <v>40920</v>
      </c>
      <c r="L282" s="115">
        <v>40909</v>
      </c>
      <c r="M282" s="50">
        <f t="shared" si="13"/>
        <v>11</v>
      </c>
      <c r="N282" s="50" t="s">
        <v>2</v>
      </c>
      <c r="O282" s="74">
        <f>1.4/2</f>
        <v>0.7</v>
      </c>
      <c r="P282" s="50">
        <v>7.53</v>
      </c>
      <c r="Q282" s="74">
        <v>6.67</v>
      </c>
      <c r="R282" s="50">
        <v>19</v>
      </c>
      <c r="S282" s="74">
        <v>23</v>
      </c>
      <c r="T282" s="50">
        <v>0.03</v>
      </c>
      <c r="U282" s="74">
        <v>0.62</v>
      </c>
      <c r="V282" s="50">
        <v>0.11</v>
      </c>
      <c r="W282" s="74">
        <v>4.0000000000000001E-3</v>
      </c>
      <c r="X282" s="50">
        <v>1.9E-2</v>
      </c>
      <c r="Y282" s="74">
        <v>3.0000000000000001E-3</v>
      </c>
      <c r="Z282" s="164">
        <v>1</v>
      </c>
      <c r="AA282" s="165">
        <v>1</v>
      </c>
      <c r="AB282" s="50">
        <v>20</v>
      </c>
      <c r="AC282" s="74">
        <v>268</v>
      </c>
      <c r="AD282" s="164">
        <f>20/20</f>
        <v>1</v>
      </c>
      <c r="AN282" s="50"/>
      <c r="AO282" s="49"/>
      <c r="AV282"/>
    </row>
    <row r="283" spans="1:49" ht="15" customHeight="1">
      <c r="A283" s="88" t="s">
        <v>68</v>
      </c>
      <c r="B283" s="50" t="s">
        <v>3456</v>
      </c>
      <c r="C283" s="7" t="s">
        <v>3492</v>
      </c>
      <c r="D283" s="48" t="s">
        <v>165</v>
      </c>
      <c r="F283" s="48"/>
      <c r="G283" s="76" t="s">
        <v>3588</v>
      </c>
      <c r="H283" s="50">
        <v>4953</v>
      </c>
      <c r="I283" s="49" t="s">
        <v>1</v>
      </c>
      <c r="J283" s="50" t="s">
        <v>477</v>
      </c>
      <c r="K283" s="51">
        <v>41156</v>
      </c>
      <c r="L283" s="115"/>
      <c r="N283" s="50" t="s">
        <v>2</v>
      </c>
      <c r="O283" s="74">
        <f>1.4/2</f>
        <v>0.7</v>
      </c>
      <c r="P283" s="50">
        <v>5.15</v>
      </c>
      <c r="Q283" s="74">
        <v>6.09</v>
      </c>
      <c r="R283" s="50">
        <v>48</v>
      </c>
      <c r="S283" s="74">
        <v>84</v>
      </c>
      <c r="T283" s="50">
        <v>0.36</v>
      </c>
      <c r="U283" s="74">
        <v>3.84</v>
      </c>
      <c r="V283" s="50">
        <v>0.99</v>
      </c>
      <c r="W283" s="74">
        <v>6.0000000000000001E-3</v>
      </c>
      <c r="X283" s="50">
        <v>6.9000000000000006E-2</v>
      </c>
      <c r="Y283" s="74">
        <v>5.0000000000000001E-3</v>
      </c>
      <c r="Z283" s="164">
        <v>1</v>
      </c>
      <c r="AA283" s="165">
        <v>1</v>
      </c>
      <c r="AB283" s="50">
        <v>14</v>
      </c>
      <c r="AC283" s="74">
        <v>69</v>
      </c>
      <c r="AD283" s="164">
        <f>20/20</f>
        <v>1</v>
      </c>
      <c r="AE283" s="50">
        <v>0.96899999999999997</v>
      </c>
      <c r="AN283" s="50"/>
      <c r="AO283" s="49"/>
      <c r="AV283"/>
    </row>
    <row r="284" spans="1:49" ht="15" customHeight="1">
      <c r="A284" s="88" t="s">
        <v>68</v>
      </c>
      <c r="B284" s="50" t="s">
        <v>3456</v>
      </c>
      <c r="C284" s="7" t="s">
        <v>3492</v>
      </c>
      <c r="D284" s="48" t="s">
        <v>165</v>
      </c>
      <c r="F284" s="48" t="s">
        <v>3493</v>
      </c>
      <c r="G284" s="76" t="s">
        <v>3588</v>
      </c>
      <c r="H284" s="50">
        <v>4953</v>
      </c>
      <c r="I284" s="49" t="s">
        <v>1</v>
      </c>
      <c r="J284" s="50" t="s">
        <v>477</v>
      </c>
      <c r="K284" s="51">
        <v>40920</v>
      </c>
      <c r="L284" s="115">
        <v>40909</v>
      </c>
      <c r="M284" s="50">
        <f>K284-L284</f>
        <v>11</v>
      </c>
      <c r="N284" s="50" t="s">
        <v>2</v>
      </c>
      <c r="O284" s="74">
        <f>1.4/2</f>
        <v>0.7</v>
      </c>
      <c r="P284" s="50">
        <v>7.53</v>
      </c>
      <c r="Q284" s="74">
        <v>7.22</v>
      </c>
      <c r="R284" s="50">
        <v>16</v>
      </c>
      <c r="S284" s="74">
        <f>5/2</f>
        <v>2.5</v>
      </c>
      <c r="T284" s="50">
        <v>0.1</v>
      </c>
      <c r="U284" s="74">
        <v>0.56999999999999995</v>
      </c>
      <c r="V284" s="50">
        <v>0.1</v>
      </c>
      <c r="W284" s="74">
        <v>3.0000000000000001E-3</v>
      </c>
      <c r="X284" s="50">
        <v>3.0000000000000001E-3</v>
      </c>
      <c r="Y284" s="74">
        <f>0.002/2</f>
        <v>1E-3</v>
      </c>
      <c r="Z284" s="164">
        <v>1</v>
      </c>
      <c r="AA284" s="165">
        <v>1</v>
      </c>
      <c r="AB284" s="50">
        <v>20</v>
      </c>
      <c r="AC284" s="74">
        <v>56</v>
      </c>
      <c r="AD284" s="164">
        <v>1</v>
      </c>
      <c r="AN284" s="50"/>
      <c r="AO284" s="49"/>
      <c r="AV284"/>
    </row>
    <row r="285" spans="1:49" ht="15" customHeight="1">
      <c r="A285" s="88" t="s">
        <v>68</v>
      </c>
      <c r="B285" s="50" t="s">
        <v>3456</v>
      </c>
      <c r="C285" s="7" t="s">
        <v>3494</v>
      </c>
      <c r="D285" s="48" t="s">
        <v>165</v>
      </c>
      <c r="F285" s="48" t="s">
        <v>3490</v>
      </c>
      <c r="G285" s="76" t="s">
        <v>3491</v>
      </c>
      <c r="H285" s="50">
        <v>9199</v>
      </c>
      <c r="I285" s="49" t="s">
        <v>2</v>
      </c>
      <c r="J285" s="50" t="s">
        <v>366</v>
      </c>
      <c r="K285" s="51">
        <v>41156</v>
      </c>
      <c r="L285" s="115"/>
      <c r="N285" s="50" t="s">
        <v>2</v>
      </c>
      <c r="O285" s="74">
        <f>1.4/2</f>
        <v>0.7</v>
      </c>
      <c r="P285" s="50">
        <v>5.15</v>
      </c>
      <c r="Q285" s="74">
        <v>6.07</v>
      </c>
      <c r="R285" s="50">
        <v>18</v>
      </c>
      <c r="S285" s="74">
        <v>84</v>
      </c>
      <c r="T285" s="50">
        <v>0.01</v>
      </c>
      <c r="U285" s="74">
        <v>2.36</v>
      </c>
      <c r="V285" s="50">
        <v>0.11</v>
      </c>
      <c r="W285" s="74">
        <f>0.05/2</f>
        <v>2.5000000000000001E-2</v>
      </c>
      <c r="X285" s="50">
        <v>0.16</v>
      </c>
      <c r="Y285" s="74">
        <f>0.02/2</f>
        <v>0.01</v>
      </c>
      <c r="Z285" s="164">
        <v>1</v>
      </c>
      <c r="AA285" s="165">
        <v>1</v>
      </c>
      <c r="AB285" s="50">
        <v>26</v>
      </c>
      <c r="AC285" s="74">
        <v>272</v>
      </c>
      <c r="AD285" s="164">
        <f>20/20</f>
        <v>1</v>
      </c>
      <c r="AE285" s="50">
        <v>13.3</v>
      </c>
      <c r="AN285" s="50"/>
      <c r="AO285" s="49"/>
      <c r="AV285">
        <f>0.01/2</f>
        <v>5.0000000000000001E-3</v>
      </c>
      <c r="AW285" s="5">
        <v>70</v>
      </c>
    </row>
    <row r="286" spans="1:49" ht="15" customHeight="1">
      <c r="A286" s="88" t="s">
        <v>68</v>
      </c>
      <c r="B286" s="50" t="s">
        <v>3495</v>
      </c>
      <c r="C286" s="7" t="s">
        <v>3495</v>
      </c>
      <c r="D286" s="48" t="s">
        <v>347</v>
      </c>
      <c r="E286" s="50" t="s">
        <v>3496</v>
      </c>
      <c r="F286" s="48"/>
      <c r="G286" s="76" t="s">
        <v>1121</v>
      </c>
      <c r="H286" s="50">
        <v>4953</v>
      </c>
      <c r="I286" s="49" t="s">
        <v>2</v>
      </c>
      <c r="J286" s="50" t="s">
        <v>3328</v>
      </c>
      <c r="K286" s="51">
        <v>41264</v>
      </c>
      <c r="L286" s="115">
        <v>41261</v>
      </c>
      <c r="M286" s="50">
        <f t="shared" ref="M286:M349" si="14">K286-L286</f>
        <v>3</v>
      </c>
      <c r="N286" s="50" t="s">
        <v>2</v>
      </c>
      <c r="O286" s="74">
        <v>3.3</v>
      </c>
      <c r="P286" s="50">
        <v>7</v>
      </c>
      <c r="Q286" s="74">
        <v>6.5</v>
      </c>
      <c r="R286" s="50">
        <v>46</v>
      </c>
      <c r="S286" s="74">
        <v>78</v>
      </c>
      <c r="T286" s="50">
        <v>7.0000000000000007E-2</v>
      </c>
      <c r="U286" s="74">
        <v>0.73</v>
      </c>
      <c r="V286" s="50">
        <v>0.25</v>
      </c>
      <c r="W286" s="74">
        <v>3.6999999999999998E-2</v>
      </c>
      <c r="X286" s="50">
        <v>0.27300000000000002</v>
      </c>
      <c r="Y286" s="74">
        <f>0.03/2</f>
        <v>1.4999999999999999E-2</v>
      </c>
      <c r="Z286" s="164">
        <v>0.91700000000000004</v>
      </c>
      <c r="AA286" s="165">
        <v>0.76200000000000001</v>
      </c>
      <c r="AB286" s="50">
        <v>7</v>
      </c>
      <c r="AC286" s="74">
        <v>37</v>
      </c>
      <c r="AD286" s="164">
        <f>2/20</f>
        <v>0.1</v>
      </c>
      <c r="AN286" s="50"/>
      <c r="AO286" s="49"/>
      <c r="AV286"/>
    </row>
    <row r="287" spans="1:49" ht="15" customHeight="1">
      <c r="A287" s="88" t="s">
        <v>68</v>
      </c>
      <c r="B287" s="50" t="s">
        <v>3497</v>
      </c>
      <c r="C287" s="7" t="s">
        <v>392</v>
      </c>
      <c r="D287" s="48" t="s">
        <v>56</v>
      </c>
      <c r="F287" s="48" t="s">
        <v>2312</v>
      </c>
      <c r="G287" s="76" t="s">
        <v>2313</v>
      </c>
      <c r="H287" s="50">
        <v>4953</v>
      </c>
      <c r="I287" s="49" t="s">
        <v>1</v>
      </c>
      <c r="J287" s="50" t="s">
        <v>3498</v>
      </c>
      <c r="K287" s="51">
        <v>41345</v>
      </c>
      <c r="L287" s="115">
        <v>41340</v>
      </c>
      <c r="M287" s="50">
        <f t="shared" si="14"/>
        <v>5</v>
      </c>
      <c r="N287" s="50" t="s">
        <v>1</v>
      </c>
      <c r="O287" s="74">
        <v>38.799999999999997</v>
      </c>
      <c r="P287" s="50">
        <v>6.27</v>
      </c>
      <c r="Q287" s="74">
        <v>6</v>
      </c>
      <c r="R287" s="50">
        <v>463</v>
      </c>
      <c r="S287" s="74">
        <v>175</v>
      </c>
      <c r="T287" s="50">
        <v>2.64</v>
      </c>
      <c r="U287" s="74">
        <v>22</v>
      </c>
      <c r="V287" s="50">
        <v>0.2</v>
      </c>
      <c r="W287" s="74">
        <v>4.1000000000000002E-2</v>
      </c>
      <c r="X287" s="50">
        <v>0.57399999999999995</v>
      </c>
      <c r="Y287" s="74">
        <v>0.114</v>
      </c>
      <c r="AB287" s="50">
        <v>36.479999999999997</v>
      </c>
      <c r="AE287" s="50">
        <v>2.78</v>
      </c>
      <c r="AN287" s="50"/>
      <c r="AO287" s="49"/>
      <c r="AV287"/>
    </row>
    <row r="288" spans="1:49" ht="15" customHeight="1">
      <c r="A288" s="88" t="s">
        <v>68</v>
      </c>
      <c r="B288" s="50" t="s">
        <v>3497</v>
      </c>
      <c r="C288" s="7" t="s">
        <v>392</v>
      </c>
      <c r="D288" s="48" t="s">
        <v>56</v>
      </c>
      <c r="F288" s="48" t="s">
        <v>2312</v>
      </c>
      <c r="G288" s="76" t="s">
        <v>2313</v>
      </c>
      <c r="H288" s="50">
        <v>4953</v>
      </c>
      <c r="I288" s="49" t="s">
        <v>1</v>
      </c>
      <c r="J288" s="72" t="s">
        <v>3589</v>
      </c>
      <c r="K288" s="51">
        <v>41345</v>
      </c>
      <c r="L288" s="115">
        <v>41340</v>
      </c>
      <c r="M288" s="50">
        <f t="shared" si="14"/>
        <v>5</v>
      </c>
      <c r="N288" s="50" t="s">
        <v>1</v>
      </c>
      <c r="O288" s="74">
        <v>32</v>
      </c>
      <c r="P288" s="50">
        <v>6.27</v>
      </c>
      <c r="Q288" s="74">
        <v>5.37</v>
      </c>
      <c r="R288" s="50">
        <v>733</v>
      </c>
      <c r="S288" s="74">
        <v>197</v>
      </c>
      <c r="T288" s="50">
        <v>2.58</v>
      </c>
      <c r="U288" s="74">
        <v>18.2</v>
      </c>
      <c r="V288" s="50">
        <v>0.24</v>
      </c>
      <c r="W288" s="74">
        <v>4.4999999999999998E-2</v>
      </c>
      <c r="X288" s="50">
        <v>0.54100000000000004</v>
      </c>
      <c r="Y288" s="74">
        <v>0.10299999999999999</v>
      </c>
      <c r="AB288" s="50">
        <v>52.08</v>
      </c>
      <c r="AE288" s="50">
        <v>1.91</v>
      </c>
      <c r="AN288" s="50"/>
      <c r="AO288" s="49"/>
      <c r="AV288"/>
    </row>
    <row r="289" spans="1:49" ht="15" customHeight="1">
      <c r="A289" s="88" t="s">
        <v>68</v>
      </c>
      <c r="B289" s="50" t="s">
        <v>2920</v>
      </c>
      <c r="C289" s="7" t="s">
        <v>392</v>
      </c>
      <c r="D289" s="48" t="s">
        <v>2921</v>
      </c>
      <c r="E289" s="50" t="s">
        <v>3005</v>
      </c>
      <c r="F289" s="48"/>
      <c r="G289" s="76" t="s">
        <v>3006</v>
      </c>
      <c r="H289" s="50">
        <v>4953</v>
      </c>
      <c r="I289" s="49" t="s">
        <v>2</v>
      </c>
      <c r="J289" s="50" t="s">
        <v>272</v>
      </c>
      <c r="K289" s="51">
        <v>41264</v>
      </c>
      <c r="L289" s="115">
        <v>41261</v>
      </c>
      <c r="M289" s="50">
        <f t="shared" si="14"/>
        <v>3</v>
      </c>
      <c r="N289" s="50" t="s">
        <v>2</v>
      </c>
      <c r="O289" s="74">
        <f>1/2</f>
        <v>0.5</v>
      </c>
      <c r="P289" s="50">
        <v>5.88</v>
      </c>
      <c r="Q289" s="74">
        <v>6</v>
      </c>
      <c r="R289" s="50">
        <v>58.5</v>
      </c>
      <c r="S289" s="74">
        <v>102</v>
      </c>
      <c r="T289" s="50">
        <v>0.14000000000000001</v>
      </c>
      <c r="U289" s="74">
        <v>2.6</v>
      </c>
      <c r="V289" s="50">
        <f>0.1/2</f>
        <v>0.05</v>
      </c>
      <c r="W289" s="74">
        <v>1.7000000000000001E-2</v>
      </c>
      <c r="X289" s="50">
        <v>0.08</v>
      </c>
      <c r="Y289" s="74">
        <v>1.2E-2</v>
      </c>
      <c r="AE289" s="50">
        <v>3.19</v>
      </c>
      <c r="AF289" s="50">
        <v>2.4</v>
      </c>
      <c r="AN289" s="50"/>
      <c r="AO289" s="49"/>
      <c r="AV289"/>
    </row>
    <row r="290" spans="1:49" ht="15" customHeight="1">
      <c r="A290" s="88" t="s">
        <v>68</v>
      </c>
      <c r="B290" s="50" t="s">
        <v>3499</v>
      </c>
      <c r="C290" s="7" t="s">
        <v>392</v>
      </c>
      <c r="D290" s="48" t="s">
        <v>640</v>
      </c>
      <c r="E290" s="50" t="s">
        <v>3500</v>
      </c>
      <c r="F290" s="48"/>
      <c r="G290" s="76" t="s">
        <v>642</v>
      </c>
      <c r="H290" s="50">
        <v>4953</v>
      </c>
      <c r="I290" s="49" t="s">
        <v>2</v>
      </c>
      <c r="J290" s="50" t="s">
        <v>641</v>
      </c>
      <c r="K290" s="51">
        <v>41180</v>
      </c>
      <c r="L290" s="115">
        <v>41170</v>
      </c>
      <c r="M290" s="50">
        <f t="shared" si="14"/>
        <v>10</v>
      </c>
      <c r="N290" s="50" t="s">
        <v>2</v>
      </c>
      <c r="O290" s="74">
        <v>32</v>
      </c>
      <c r="P290" s="50">
        <v>6</v>
      </c>
      <c r="Q290" s="74">
        <v>5.4</v>
      </c>
      <c r="R290" s="50">
        <v>129.6</v>
      </c>
      <c r="S290" s="74">
        <v>134</v>
      </c>
      <c r="T290" s="50">
        <v>0.28999999999999998</v>
      </c>
      <c r="U290" s="74">
        <v>3.25</v>
      </c>
      <c r="V290" s="50">
        <v>1.47</v>
      </c>
      <c r="W290" s="74">
        <v>2.1999999999999999E-2</v>
      </c>
      <c r="X290" s="50">
        <v>0.159</v>
      </c>
      <c r="Y290" s="74">
        <v>1.9E-2</v>
      </c>
      <c r="AB290" s="50">
        <v>16.73</v>
      </c>
      <c r="AE290" s="50">
        <v>3.32</v>
      </c>
      <c r="AN290" s="50"/>
      <c r="AO290" s="49"/>
      <c r="AV290"/>
    </row>
    <row r="291" spans="1:49" ht="15" customHeight="1">
      <c r="A291" s="88" t="s">
        <v>68</v>
      </c>
      <c r="B291" s="50" t="s">
        <v>3499</v>
      </c>
      <c r="C291" s="7" t="s">
        <v>392</v>
      </c>
      <c r="D291" s="48" t="s">
        <v>640</v>
      </c>
      <c r="E291" s="50" t="s">
        <v>3500</v>
      </c>
      <c r="F291" s="48"/>
      <c r="G291" s="76" t="s">
        <v>642</v>
      </c>
      <c r="H291" s="50">
        <v>4953</v>
      </c>
      <c r="I291" s="49" t="s">
        <v>2</v>
      </c>
      <c r="J291" s="50" t="s">
        <v>643</v>
      </c>
      <c r="K291" s="51">
        <v>41180</v>
      </c>
      <c r="L291" s="115">
        <v>41170</v>
      </c>
      <c r="M291" s="50">
        <f t="shared" si="14"/>
        <v>10</v>
      </c>
      <c r="N291" s="50" t="s">
        <v>2</v>
      </c>
      <c r="O291" s="74">
        <v>1.2</v>
      </c>
      <c r="P291" s="50">
        <v>6</v>
      </c>
      <c r="Q291" s="74">
        <v>6.16</v>
      </c>
      <c r="R291" s="50">
        <v>92.1</v>
      </c>
      <c r="S291" s="74">
        <v>106</v>
      </c>
      <c r="T291" s="50">
        <v>0.2</v>
      </c>
      <c r="U291" s="74">
        <v>1.91</v>
      </c>
      <c r="V291" s="50">
        <v>0.9</v>
      </c>
      <c r="W291" s="74">
        <v>1.4E-2</v>
      </c>
      <c r="X291" s="50">
        <v>8.5999999999999993E-2</v>
      </c>
      <c r="Y291" s="74">
        <v>1.2E-2</v>
      </c>
      <c r="AB291" s="50">
        <v>13.07</v>
      </c>
      <c r="AE291" s="50">
        <v>2.08</v>
      </c>
      <c r="AN291" s="50"/>
      <c r="AO291" s="49"/>
      <c r="AV291"/>
    </row>
    <row r="292" spans="1:49" ht="15" customHeight="1">
      <c r="A292" s="88" t="s">
        <v>68</v>
      </c>
      <c r="B292" s="50" t="s">
        <v>3499</v>
      </c>
      <c r="C292" s="7" t="s">
        <v>392</v>
      </c>
      <c r="D292" s="48" t="s">
        <v>640</v>
      </c>
      <c r="E292" s="50" t="s">
        <v>3500</v>
      </c>
      <c r="F292" s="48"/>
      <c r="G292" s="76" t="s">
        <v>642</v>
      </c>
      <c r="H292" s="50">
        <v>4953</v>
      </c>
      <c r="I292" s="49" t="s">
        <v>2</v>
      </c>
      <c r="J292" s="50" t="s">
        <v>647</v>
      </c>
      <c r="K292" s="51">
        <v>41180</v>
      </c>
      <c r="L292" s="115">
        <v>41170</v>
      </c>
      <c r="M292" s="50">
        <f t="shared" si="14"/>
        <v>10</v>
      </c>
      <c r="N292" s="50" t="s">
        <v>2</v>
      </c>
      <c r="O292" s="74">
        <v>2.4</v>
      </c>
      <c r="P292" s="50">
        <v>6</v>
      </c>
      <c r="Q292" s="74">
        <v>6.22</v>
      </c>
      <c r="R292" s="50">
        <v>496</v>
      </c>
      <c r="S292" s="74">
        <v>190</v>
      </c>
      <c r="T292" s="50">
        <v>1.1399999999999999</v>
      </c>
      <c r="U292" s="74">
        <v>2.74</v>
      </c>
      <c r="V292" s="50">
        <v>0.42</v>
      </c>
      <c r="W292" s="74">
        <v>8.5000000000000006E-2</v>
      </c>
      <c r="X292" s="50">
        <v>0.38100000000000001</v>
      </c>
      <c r="Y292" s="74">
        <v>6.9000000000000006E-2</v>
      </c>
      <c r="AB292" s="50">
        <v>27.54</v>
      </c>
      <c r="AN292" s="50"/>
      <c r="AO292" s="49"/>
      <c r="AV292">
        <f>0.01/2</f>
        <v>5.0000000000000001E-3</v>
      </c>
      <c r="AW292" s="5">
        <v>14.74</v>
      </c>
    </row>
    <row r="293" spans="1:49" ht="15" customHeight="1">
      <c r="A293" s="88" t="s">
        <v>68</v>
      </c>
      <c r="B293" s="50" t="s">
        <v>2920</v>
      </c>
      <c r="C293" s="7" t="s">
        <v>392</v>
      </c>
      <c r="D293" s="48" t="s">
        <v>2921</v>
      </c>
      <c r="E293" s="50" t="s">
        <v>3005</v>
      </c>
      <c r="F293" s="48"/>
      <c r="G293" s="76" t="s">
        <v>3006</v>
      </c>
      <c r="H293" s="50">
        <v>4953</v>
      </c>
      <c r="I293" s="49" t="s">
        <v>2</v>
      </c>
      <c r="J293" s="50" t="s">
        <v>272</v>
      </c>
      <c r="K293" s="51">
        <v>41073</v>
      </c>
      <c r="L293" s="115">
        <v>41066</v>
      </c>
      <c r="M293" s="50">
        <f t="shared" si="14"/>
        <v>7</v>
      </c>
      <c r="N293" s="50" t="s">
        <v>2</v>
      </c>
      <c r="O293" s="74">
        <f>1/2</f>
        <v>0.5</v>
      </c>
      <c r="P293" s="50">
        <v>6</v>
      </c>
      <c r="Q293" s="74">
        <v>6.52</v>
      </c>
      <c r="R293" s="50">
        <v>15</v>
      </c>
      <c r="S293" s="74">
        <v>21</v>
      </c>
      <c r="T293" s="50">
        <v>0.33</v>
      </c>
      <c r="U293" s="74">
        <v>0.56000000000000005</v>
      </c>
      <c r="V293" s="50">
        <f>0.1/2</f>
        <v>0.05</v>
      </c>
      <c r="W293" s="74">
        <v>1.2999999999999999E-2</v>
      </c>
      <c r="X293" s="50">
        <v>1.9E-2</v>
      </c>
      <c r="Y293" s="74">
        <v>4.0000000000000001E-3</v>
      </c>
      <c r="Z293" s="164">
        <v>1</v>
      </c>
      <c r="AA293" s="165">
        <v>1</v>
      </c>
      <c r="AB293" s="50">
        <v>15.67</v>
      </c>
      <c r="AC293" s="74">
        <v>83</v>
      </c>
      <c r="AD293" s="164">
        <f>20/20</f>
        <v>1</v>
      </c>
      <c r="AE293" s="50">
        <v>0.62</v>
      </c>
      <c r="AF293" s="50">
        <v>8.5</v>
      </c>
      <c r="AG293" s="50">
        <v>21</v>
      </c>
      <c r="AH293" s="50">
        <v>0.36</v>
      </c>
      <c r="AI293" s="50">
        <f>0.01/2</f>
        <v>5.0000000000000001E-3</v>
      </c>
      <c r="AJ293" s="50">
        <f>0.005/2</f>
        <v>2.5000000000000001E-3</v>
      </c>
      <c r="AK293" s="50">
        <f>0.005/2</f>
        <v>2.5000000000000001E-3</v>
      </c>
      <c r="AL293" s="50">
        <f>0.005/2</f>
        <v>2.5000000000000001E-3</v>
      </c>
      <c r="AM293" s="50">
        <v>1.9E-2</v>
      </c>
      <c r="AN293" s="50">
        <v>6.52</v>
      </c>
      <c r="AO293" s="49"/>
      <c r="AV293"/>
    </row>
    <row r="294" spans="1:49" ht="15" customHeight="1">
      <c r="A294" s="88" t="s">
        <v>68</v>
      </c>
      <c r="B294" s="50" t="s">
        <v>457</v>
      </c>
      <c r="C294" s="7" t="s">
        <v>392</v>
      </c>
      <c r="D294" s="48" t="s">
        <v>458</v>
      </c>
      <c r="E294" s="50" t="s">
        <v>3501</v>
      </c>
      <c r="F294" s="50">
        <v>4710</v>
      </c>
      <c r="G294" s="76" t="s">
        <v>459</v>
      </c>
      <c r="H294" s="50">
        <v>9199</v>
      </c>
      <c r="I294" s="49" t="s">
        <v>2</v>
      </c>
      <c r="J294" s="50" t="s">
        <v>3502</v>
      </c>
      <c r="K294" s="51">
        <v>41220</v>
      </c>
      <c r="L294" s="115">
        <v>41205</v>
      </c>
      <c r="M294" s="50">
        <f t="shared" si="14"/>
        <v>15</v>
      </c>
      <c r="N294" s="50" t="s">
        <v>2</v>
      </c>
      <c r="O294" s="74">
        <f>1.6/2</f>
        <v>0.8</v>
      </c>
      <c r="P294" s="50">
        <v>6.5</v>
      </c>
      <c r="Q294" s="74">
        <v>6.7</v>
      </c>
      <c r="R294" s="50">
        <v>31</v>
      </c>
      <c r="S294" s="74">
        <v>12</v>
      </c>
      <c r="T294" s="50">
        <v>0.08</v>
      </c>
      <c r="U294" s="74">
        <v>0.86</v>
      </c>
      <c r="V294" s="50">
        <v>0.16</v>
      </c>
      <c r="W294" s="74">
        <v>7.0000000000000001E-3</v>
      </c>
      <c r="X294" s="50">
        <v>3.6999999999999998E-2</v>
      </c>
      <c r="Y294" s="74">
        <v>7.0000000000000001E-3</v>
      </c>
      <c r="Z294" s="164">
        <v>1</v>
      </c>
      <c r="AA294" s="165">
        <v>1</v>
      </c>
      <c r="AB294" s="50">
        <v>28</v>
      </c>
      <c r="AC294" s="74">
        <v>99</v>
      </c>
      <c r="AD294" s="164">
        <v>1</v>
      </c>
      <c r="AN294" s="50"/>
      <c r="AO294" s="49"/>
      <c r="AV294"/>
    </row>
    <row r="295" spans="1:49" ht="15" customHeight="1">
      <c r="A295" s="88" t="s">
        <v>68</v>
      </c>
      <c r="B295" s="50" t="s">
        <v>2820</v>
      </c>
      <c r="C295" s="7" t="s">
        <v>392</v>
      </c>
      <c r="D295" s="48" t="s">
        <v>588</v>
      </c>
      <c r="F295" s="50" t="s">
        <v>3503</v>
      </c>
      <c r="G295" s="76" t="s">
        <v>3504</v>
      </c>
      <c r="H295" s="50">
        <v>4953</v>
      </c>
      <c r="I295" s="49" t="s">
        <v>2</v>
      </c>
      <c r="J295" s="50" t="s">
        <v>510</v>
      </c>
      <c r="K295" s="51">
        <v>41021</v>
      </c>
      <c r="L295" s="115">
        <v>41011</v>
      </c>
      <c r="M295" s="50">
        <f t="shared" si="14"/>
        <v>10</v>
      </c>
      <c r="N295" s="50" t="s">
        <v>2</v>
      </c>
      <c r="O295" s="74">
        <f>1.4/2</f>
        <v>0.7</v>
      </c>
      <c r="P295" s="50">
        <v>6.5</v>
      </c>
      <c r="Q295" s="74">
        <v>7.26</v>
      </c>
      <c r="R295" s="50">
        <v>25</v>
      </c>
      <c r="S295" s="74">
        <v>7</v>
      </c>
      <c r="T295" s="50">
        <v>0.05</v>
      </c>
      <c r="U295" s="74">
        <v>1.1200000000000001</v>
      </c>
      <c r="V295" s="50">
        <v>3.02</v>
      </c>
      <c r="W295" s="74">
        <v>6.0000000000000001E-3</v>
      </c>
      <c r="X295" s="50">
        <v>3.0000000000000001E-3</v>
      </c>
      <c r="Y295" s="74">
        <f>0.002/2</f>
        <v>1E-3</v>
      </c>
      <c r="Z295" s="164">
        <v>1</v>
      </c>
      <c r="AA295" s="165">
        <v>1</v>
      </c>
      <c r="AB295" s="50">
        <v>22</v>
      </c>
      <c r="AC295" s="74">
        <v>203</v>
      </c>
      <c r="AD295" s="164">
        <f>20/20</f>
        <v>1</v>
      </c>
      <c r="AN295" s="50"/>
      <c r="AO295" s="49"/>
      <c r="AV295"/>
    </row>
    <row r="296" spans="1:49" ht="15" customHeight="1">
      <c r="A296" s="88" t="s">
        <v>68</v>
      </c>
      <c r="B296" s="50" t="s">
        <v>2820</v>
      </c>
      <c r="C296" s="7" t="s">
        <v>392</v>
      </c>
      <c r="D296" s="48" t="s">
        <v>588</v>
      </c>
      <c r="F296" s="50" t="s">
        <v>3503</v>
      </c>
      <c r="G296" s="76" t="s">
        <v>3504</v>
      </c>
      <c r="H296" s="50">
        <v>4953</v>
      </c>
      <c r="I296" s="49" t="s">
        <v>2</v>
      </c>
      <c r="J296" s="50" t="s">
        <v>510</v>
      </c>
      <c r="K296" s="51">
        <v>41085</v>
      </c>
      <c r="L296" s="115">
        <v>41073</v>
      </c>
      <c r="M296" s="50">
        <f t="shared" si="14"/>
        <v>12</v>
      </c>
      <c r="N296" s="50" t="s">
        <v>2</v>
      </c>
      <c r="O296" s="74">
        <f>1.4/2</f>
        <v>0.7</v>
      </c>
      <c r="P296" s="50">
        <v>6.5</v>
      </c>
      <c r="Q296" s="74">
        <v>7.25</v>
      </c>
      <c r="R296" s="50">
        <v>34</v>
      </c>
      <c r="S296" s="74">
        <v>12</v>
      </c>
      <c r="T296" s="50">
        <v>7.0000000000000007E-2</v>
      </c>
      <c r="U296" s="74">
        <v>0.87</v>
      </c>
      <c r="V296" s="50">
        <v>0.8</v>
      </c>
      <c r="W296" s="74">
        <v>5.0000000000000001E-3</v>
      </c>
      <c r="X296" s="50">
        <v>0.01</v>
      </c>
      <c r="Y296" s="74">
        <f>0.002/2</f>
        <v>1E-3</v>
      </c>
      <c r="AN296" s="50"/>
      <c r="AO296" s="49"/>
      <c r="AV296"/>
    </row>
    <row r="297" spans="1:49" ht="15" customHeight="1">
      <c r="A297" s="88" t="s">
        <v>68</v>
      </c>
      <c r="B297" s="50" t="s">
        <v>1442</v>
      </c>
      <c r="C297" s="7" t="s">
        <v>392</v>
      </c>
      <c r="D297" s="48" t="s">
        <v>356</v>
      </c>
      <c r="G297" s="76" t="s">
        <v>3505</v>
      </c>
      <c r="H297" s="50">
        <v>4953</v>
      </c>
      <c r="I297" s="49" t="s">
        <v>2</v>
      </c>
      <c r="J297" s="50" t="s">
        <v>3506</v>
      </c>
      <c r="K297" s="51">
        <v>40996</v>
      </c>
      <c r="L297" s="115">
        <v>40993</v>
      </c>
      <c r="M297" s="50">
        <f t="shared" si="14"/>
        <v>3</v>
      </c>
      <c r="N297" s="50" t="s">
        <v>2</v>
      </c>
      <c r="O297" s="74">
        <v>4.5999999999999996</v>
      </c>
      <c r="P297" s="50">
        <v>6</v>
      </c>
      <c r="Q297" s="74">
        <v>7.27</v>
      </c>
      <c r="R297" s="50">
        <v>90</v>
      </c>
      <c r="S297" s="74">
        <v>180</v>
      </c>
      <c r="T297" s="50">
        <v>0.43</v>
      </c>
      <c r="U297" s="74">
        <v>2.98</v>
      </c>
      <c r="V297" s="50">
        <v>0.32</v>
      </c>
      <c r="W297" s="74">
        <v>3.5999999999999997E-2</v>
      </c>
      <c r="X297" s="50">
        <v>0.14299999999999999</v>
      </c>
      <c r="Y297" s="74">
        <v>2.1999999999999999E-2</v>
      </c>
      <c r="Z297" s="164">
        <v>1</v>
      </c>
      <c r="AA297" s="165">
        <v>1</v>
      </c>
      <c r="AB297" s="50">
        <v>102</v>
      </c>
      <c r="AC297" s="74">
        <v>1960</v>
      </c>
      <c r="AD297" s="164">
        <f>20/20</f>
        <v>1</v>
      </c>
      <c r="AN297" s="50"/>
      <c r="AO297" s="49"/>
      <c r="AV297"/>
    </row>
    <row r="298" spans="1:49" ht="15" customHeight="1">
      <c r="A298" s="88" t="s">
        <v>68</v>
      </c>
      <c r="B298" s="50" t="s">
        <v>1442</v>
      </c>
      <c r="C298" s="7" t="s">
        <v>392</v>
      </c>
      <c r="D298" s="48" t="s">
        <v>356</v>
      </c>
      <c r="G298" s="76" t="s">
        <v>3505</v>
      </c>
      <c r="H298" s="50">
        <v>4953</v>
      </c>
      <c r="I298" s="49" t="s">
        <v>2</v>
      </c>
      <c r="J298" s="50" t="s">
        <v>3507</v>
      </c>
      <c r="K298" s="51">
        <v>40996</v>
      </c>
      <c r="L298" s="115">
        <v>40993</v>
      </c>
      <c r="M298" s="50">
        <f t="shared" si="14"/>
        <v>3</v>
      </c>
      <c r="N298" s="50" t="s">
        <v>2</v>
      </c>
      <c r="O298" s="74">
        <f>1.5/2</f>
        <v>0.75</v>
      </c>
      <c r="P298" s="50">
        <v>6</v>
      </c>
      <c r="Q298" s="74">
        <v>7.15</v>
      </c>
      <c r="R298" s="50">
        <f>10/2</f>
        <v>5</v>
      </c>
      <c r="S298" s="74">
        <v>110</v>
      </c>
      <c r="T298" s="50">
        <v>0.17</v>
      </c>
      <c r="U298" s="74">
        <v>1.18</v>
      </c>
      <c r="V298" s="50">
        <v>2.66</v>
      </c>
      <c r="W298" s="74">
        <v>7.0000000000000001E-3</v>
      </c>
      <c r="X298" s="50">
        <v>2.9000000000000001E-2</v>
      </c>
      <c r="Y298" s="74">
        <v>8.0000000000000002E-3</v>
      </c>
      <c r="Z298" s="164">
        <v>1</v>
      </c>
      <c r="AA298" s="165">
        <v>1</v>
      </c>
      <c r="AB298" s="50">
        <v>72</v>
      </c>
      <c r="AC298" s="74">
        <v>360</v>
      </c>
      <c r="AD298" s="164">
        <f>20/20</f>
        <v>1</v>
      </c>
      <c r="AN298" s="50"/>
      <c r="AO298" s="49"/>
      <c r="AV298"/>
    </row>
    <row r="299" spans="1:49" ht="15" customHeight="1">
      <c r="A299" s="88" t="s">
        <v>68</v>
      </c>
      <c r="B299" s="50" t="s">
        <v>2707</v>
      </c>
      <c r="C299" s="7" t="s">
        <v>2688</v>
      </c>
      <c r="D299" s="48" t="s">
        <v>379</v>
      </c>
      <c r="E299" s="50" t="s">
        <v>3350</v>
      </c>
      <c r="G299" s="76" t="s">
        <v>2994</v>
      </c>
      <c r="H299" s="50">
        <v>4953</v>
      </c>
      <c r="I299" s="49" t="s">
        <v>2</v>
      </c>
      <c r="J299" s="50" t="s">
        <v>2995</v>
      </c>
      <c r="K299" s="51">
        <v>41180</v>
      </c>
      <c r="L299" s="115">
        <v>41174</v>
      </c>
      <c r="M299" s="50">
        <f t="shared" si="14"/>
        <v>6</v>
      </c>
      <c r="N299" s="50" t="s">
        <v>2</v>
      </c>
      <c r="O299" s="74">
        <v>2.5</v>
      </c>
      <c r="P299" s="50">
        <v>6</v>
      </c>
      <c r="Q299" s="74">
        <v>7.18</v>
      </c>
      <c r="R299" s="50">
        <v>77</v>
      </c>
      <c r="S299" s="74">
        <v>91</v>
      </c>
      <c r="T299" s="50">
        <v>0.44</v>
      </c>
      <c r="U299" s="74">
        <v>1.68</v>
      </c>
      <c r="V299" s="50">
        <v>0.57999999999999996</v>
      </c>
      <c r="W299" s="74">
        <v>2.3E-2</v>
      </c>
      <c r="X299" s="50">
        <v>6.7000000000000004E-2</v>
      </c>
      <c r="Y299" s="74">
        <v>1.9E-2</v>
      </c>
      <c r="AE299" s="50">
        <v>4.1500000000000004</v>
      </c>
      <c r="AN299" s="50"/>
      <c r="AO299" s="49"/>
      <c r="AV299"/>
    </row>
    <row r="300" spans="1:49" ht="15" customHeight="1">
      <c r="A300" s="88" t="s">
        <v>68</v>
      </c>
      <c r="B300" s="50" t="s">
        <v>2707</v>
      </c>
      <c r="C300" s="7" t="s">
        <v>2688</v>
      </c>
      <c r="D300" s="48" t="s">
        <v>379</v>
      </c>
      <c r="E300" s="50" t="s">
        <v>3350</v>
      </c>
      <c r="G300" s="76" t="s">
        <v>2994</v>
      </c>
      <c r="H300" s="50">
        <v>4953</v>
      </c>
      <c r="I300" s="49" t="s">
        <v>2</v>
      </c>
      <c r="J300" s="50" t="s">
        <v>3508</v>
      </c>
      <c r="K300" s="51">
        <v>41180</v>
      </c>
      <c r="L300" s="115">
        <v>41174</v>
      </c>
      <c r="M300" s="50">
        <f t="shared" si="14"/>
        <v>6</v>
      </c>
      <c r="N300" s="50" t="s">
        <v>2</v>
      </c>
      <c r="O300" s="74">
        <v>16</v>
      </c>
      <c r="P300" s="50">
        <v>6</v>
      </c>
      <c r="Q300" s="74">
        <v>6.94</v>
      </c>
      <c r="R300" s="50">
        <v>360</v>
      </c>
      <c r="S300" s="74">
        <v>330</v>
      </c>
      <c r="T300" s="50">
        <v>1</v>
      </c>
      <c r="U300" s="74">
        <v>5.98</v>
      </c>
      <c r="V300" s="50">
        <v>0.08</v>
      </c>
      <c r="W300" s="74">
        <v>5.8999999999999997E-2</v>
      </c>
      <c r="X300" s="50">
        <v>0.27600000000000002</v>
      </c>
      <c r="Y300" s="74">
        <v>5.7000000000000002E-2</v>
      </c>
      <c r="AE300" s="50">
        <v>11.8</v>
      </c>
      <c r="AN300" s="50"/>
      <c r="AO300" s="49"/>
      <c r="AV300"/>
    </row>
    <row r="301" spans="1:49" ht="15" customHeight="1">
      <c r="A301" s="88" t="s">
        <v>68</v>
      </c>
      <c r="B301" s="50" t="s">
        <v>2707</v>
      </c>
      <c r="C301" s="7" t="s">
        <v>2688</v>
      </c>
      <c r="D301" s="48" t="s">
        <v>379</v>
      </c>
      <c r="E301" s="50" t="s">
        <v>3350</v>
      </c>
      <c r="G301" s="76" t="s">
        <v>2994</v>
      </c>
      <c r="H301" s="50">
        <v>4953</v>
      </c>
      <c r="I301" s="49" t="s">
        <v>2</v>
      </c>
      <c r="J301" s="50" t="s">
        <v>3509</v>
      </c>
      <c r="K301" s="51">
        <v>41180</v>
      </c>
      <c r="L301" s="115">
        <v>41174</v>
      </c>
      <c r="M301" s="50">
        <f t="shared" si="14"/>
        <v>6</v>
      </c>
      <c r="N301" s="50" t="s">
        <v>2</v>
      </c>
      <c r="O301" s="74">
        <v>1.4</v>
      </c>
      <c r="P301" s="50">
        <v>6</v>
      </c>
      <c r="Q301" s="74">
        <v>7.08</v>
      </c>
      <c r="R301" s="50">
        <v>82</v>
      </c>
      <c r="S301" s="74">
        <v>110</v>
      </c>
      <c r="T301" s="50">
        <v>0.67</v>
      </c>
      <c r="U301" s="74">
        <v>2.87</v>
      </c>
      <c r="V301" s="50">
        <v>0.42</v>
      </c>
      <c r="W301" s="74">
        <v>1.4E-2</v>
      </c>
      <c r="X301" s="50">
        <v>5.6000000000000001E-2</v>
      </c>
      <c r="Y301" s="74">
        <v>1.4E-2</v>
      </c>
      <c r="AE301" s="50">
        <v>1.76</v>
      </c>
      <c r="AN301" s="50"/>
      <c r="AO301" s="49"/>
      <c r="AV301"/>
    </row>
    <row r="302" spans="1:49" ht="15" customHeight="1">
      <c r="A302" s="88" t="s">
        <v>68</v>
      </c>
      <c r="B302" s="50" t="s">
        <v>3320</v>
      </c>
      <c r="C302" s="7" t="s">
        <v>3510</v>
      </c>
      <c r="D302" s="48" t="s">
        <v>127</v>
      </c>
      <c r="E302" s="50" t="s">
        <v>3511</v>
      </c>
      <c r="F302" s="48"/>
      <c r="G302" s="76" t="s">
        <v>3512</v>
      </c>
      <c r="H302" s="50">
        <v>4953</v>
      </c>
      <c r="I302" s="49" t="s">
        <v>2</v>
      </c>
      <c r="J302" s="50" t="s">
        <v>886</v>
      </c>
      <c r="K302" s="51">
        <v>40996</v>
      </c>
      <c r="L302" s="115">
        <v>40993</v>
      </c>
      <c r="M302" s="50">
        <f t="shared" si="14"/>
        <v>3</v>
      </c>
      <c r="N302" s="50" t="s">
        <v>2</v>
      </c>
      <c r="O302" s="74">
        <v>11</v>
      </c>
      <c r="P302" s="50">
        <v>7.1</v>
      </c>
      <c r="Q302" s="74">
        <v>7.22</v>
      </c>
      <c r="R302" s="50">
        <v>170</v>
      </c>
      <c r="S302" s="74">
        <v>73</v>
      </c>
      <c r="T302" s="50">
        <v>0.28000000000000003</v>
      </c>
      <c r="U302" s="74">
        <v>2.9</v>
      </c>
      <c r="V302" s="50">
        <v>0.35</v>
      </c>
      <c r="W302" s="74">
        <f>0.04/2</f>
        <v>0.02</v>
      </c>
      <c r="X302" s="50">
        <v>0.12</v>
      </c>
      <c r="Y302" s="74">
        <v>2.3E-2</v>
      </c>
      <c r="Z302" s="164">
        <v>1</v>
      </c>
      <c r="AA302" s="165">
        <v>1</v>
      </c>
      <c r="AB302" s="50">
        <v>35</v>
      </c>
      <c r="AC302" s="74">
        <v>126</v>
      </c>
      <c r="AD302" s="164">
        <v>0.8</v>
      </c>
      <c r="AN302" s="50"/>
      <c r="AO302" s="49"/>
      <c r="AV302"/>
    </row>
    <row r="303" spans="1:49" ht="15" customHeight="1">
      <c r="A303" s="88" t="s">
        <v>68</v>
      </c>
      <c r="B303" s="50" t="s">
        <v>1116</v>
      </c>
      <c r="C303" s="7" t="s">
        <v>1116</v>
      </c>
      <c r="D303" s="48" t="s">
        <v>347</v>
      </c>
      <c r="E303" s="50" t="s">
        <v>3496</v>
      </c>
      <c r="F303" s="48"/>
      <c r="G303" s="76" t="s">
        <v>1118</v>
      </c>
      <c r="H303" s="50">
        <v>4953</v>
      </c>
      <c r="I303" s="49" t="s">
        <v>2</v>
      </c>
      <c r="J303" s="50" t="s">
        <v>3513</v>
      </c>
      <c r="K303" s="51">
        <v>41264</v>
      </c>
      <c r="L303" s="115">
        <v>41261</v>
      </c>
      <c r="M303" s="50">
        <f t="shared" si="14"/>
        <v>3</v>
      </c>
      <c r="N303" s="50" t="s">
        <v>2</v>
      </c>
      <c r="O303" s="74">
        <f>2/2</f>
        <v>1</v>
      </c>
      <c r="P303" s="50">
        <v>7</v>
      </c>
      <c r="Q303" s="74">
        <v>6</v>
      </c>
      <c r="R303" s="50">
        <v>15</v>
      </c>
      <c r="S303" s="74">
        <v>8</v>
      </c>
      <c r="T303" s="50">
        <f>0.05/2</f>
        <v>2.5000000000000001E-2</v>
      </c>
      <c r="U303" s="74">
        <v>0.24</v>
      </c>
      <c r="V303" s="50">
        <v>0.2</v>
      </c>
      <c r="W303" s="74">
        <f>0.01/2</f>
        <v>5.0000000000000001E-3</v>
      </c>
      <c r="X303" s="50">
        <v>0.11</v>
      </c>
      <c r="Y303" s="74">
        <f>0.03/2</f>
        <v>1.4999999999999999E-2</v>
      </c>
      <c r="Z303" s="164">
        <v>0.95499999999999996</v>
      </c>
      <c r="AA303" s="165">
        <v>0.61599999999999999</v>
      </c>
      <c r="AB303" s="50">
        <v>3</v>
      </c>
      <c r="AC303" s="74">
        <v>20</v>
      </c>
      <c r="AD303" s="164">
        <f>1/20</f>
        <v>0.05</v>
      </c>
      <c r="AN303" s="50"/>
      <c r="AO303" s="49"/>
      <c r="AV303"/>
    </row>
    <row r="304" spans="1:49" ht="15" customHeight="1">
      <c r="A304" s="88" t="s">
        <v>68</v>
      </c>
      <c r="B304" s="50" t="s">
        <v>3514</v>
      </c>
      <c r="C304" s="7" t="s">
        <v>3515</v>
      </c>
      <c r="D304" s="48" t="s">
        <v>1135</v>
      </c>
      <c r="F304" s="50" t="s">
        <v>3516</v>
      </c>
      <c r="G304" s="76" t="s">
        <v>3517</v>
      </c>
      <c r="H304" s="50">
        <v>4212</v>
      </c>
      <c r="I304" s="49" t="s">
        <v>2</v>
      </c>
      <c r="J304" s="72" t="s">
        <v>510</v>
      </c>
      <c r="K304" s="51">
        <v>40920</v>
      </c>
      <c r="L304" s="115">
        <v>40909</v>
      </c>
      <c r="M304" s="50">
        <f t="shared" si="14"/>
        <v>11</v>
      </c>
      <c r="N304" s="50" t="s">
        <v>2</v>
      </c>
      <c r="O304" s="74">
        <f>1.4/2</f>
        <v>0.7</v>
      </c>
      <c r="P304" s="50">
        <v>7.53</v>
      </c>
      <c r="Q304" s="74">
        <v>7.12</v>
      </c>
      <c r="R304" s="50">
        <f>10/2</f>
        <v>5</v>
      </c>
      <c r="S304" s="74">
        <v>8</v>
      </c>
      <c r="T304" s="50">
        <v>0.05</v>
      </c>
      <c r="U304" s="74">
        <v>0.43</v>
      </c>
      <c r="V304" s="50">
        <v>0.16</v>
      </c>
      <c r="W304" s="74">
        <v>3.0000000000000001E-3</v>
      </c>
      <c r="X304" s="50">
        <v>1.7999999999999999E-2</v>
      </c>
      <c r="Y304" s="74">
        <f>0.002/2</f>
        <v>1E-3</v>
      </c>
      <c r="Z304" s="164">
        <v>1</v>
      </c>
      <c r="AA304" s="165">
        <v>1</v>
      </c>
      <c r="AB304" s="50">
        <v>40</v>
      </c>
      <c r="AC304" s="74">
        <v>107</v>
      </c>
      <c r="AD304" s="164">
        <f>20/20</f>
        <v>1</v>
      </c>
      <c r="AN304" s="50"/>
      <c r="AO304" s="49"/>
      <c r="AV304"/>
    </row>
    <row r="305" spans="1:48" ht="15" customHeight="1">
      <c r="A305" s="88" t="s">
        <v>68</v>
      </c>
      <c r="B305" s="50" t="s">
        <v>3304</v>
      </c>
      <c r="C305" s="7" t="s">
        <v>3518</v>
      </c>
      <c r="D305" s="48" t="s">
        <v>3286</v>
      </c>
      <c r="F305" s="48" t="s">
        <v>3333</v>
      </c>
      <c r="G305" s="76" t="s">
        <v>3338</v>
      </c>
      <c r="H305" s="50">
        <v>4953</v>
      </c>
      <c r="I305" s="49" t="s">
        <v>2</v>
      </c>
      <c r="J305" s="50" t="s">
        <v>510</v>
      </c>
      <c r="K305" s="51">
        <v>40920</v>
      </c>
      <c r="L305" s="115">
        <v>40909</v>
      </c>
      <c r="M305" s="50">
        <f t="shared" si="14"/>
        <v>11</v>
      </c>
      <c r="N305" s="50" t="s">
        <v>2</v>
      </c>
      <c r="O305" s="74">
        <v>550</v>
      </c>
      <c r="P305" s="50">
        <v>6.5</v>
      </c>
      <c r="Q305" s="74">
        <v>8.7899999999999991</v>
      </c>
      <c r="R305" s="50">
        <v>46</v>
      </c>
      <c r="S305" s="74">
        <v>170</v>
      </c>
      <c r="T305" s="50">
        <v>0.25</v>
      </c>
      <c r="U305" s="74">
        <v>0.85</v>
      </c>
      <c r="V305" s="50">
        <v>0.06</v>
      </c>
      <c r="W305" s="74">
        <v>2.3E-2</v>
      </c>
      <c r="X305" s="50">
        <v>0.126</v>
      </c>
      <c r="Y305" s="74">
        <v>0.04</v>
      </c>
      <c r="Z305" s="164">
        <v>1</v>
      </c>
      <c r="AA305" s="165">
        <v>1</v>
      </c>
      <c r="AB305" s="50">
        <v>28</v>
      </c>
      <c r="AC305" s="74">
        <v>67</v>
      </c>
      <c r="AD305" s="164">
        <f>20/20</f>
        <v>1</v>
      </c>
      <c r="AN305" s="50"/>
      <c r="AO305" s="49"/>
      <c r="AV305"/>
    </row>
    <row r="306" spans="1:48" ht="15" customHeight="1">
      <c r="A306" s="88" t="s">
        <v>68</v>
      </c>
      <c r="B306" s="50" t="s">
        <v>3519</v>
      </c>
      <c r="C306" s="7" t="s">
        <v>3520</v>
      </c>
      <c r="D306" s="48" t="s">
        <v>534</v>
      </c>
      <c r="F306" s="50" t="s">
        <v>3521</v>
      </c>
      <c r="G306" s="76" t="s">
        <v>3522</v>
      </c>
      <c r="H306" s="50">
        <v>4212</v>
      </c>
      <c r="I306" s="49" t="s">
        <v>2</v>
      </c>
      <c r="J306" s="50" t="s">
        <v>460</v>
      </c>
      <c r="K306" s="51">
        <v>41226</v>
      </c>
      <c r="L306" s="115">
        <v>41220</v>
      </c>
      <c r="M306" s="50">
        <f t="shared" si="14"/>
        <v>6</v>
      </c>
      <c r="N306" s="50" t="s">
        <v>2</v>
      </c>
      <c r="O306" s="74">
        <v>12</v>
      </c>
      <c r="P306" s="50">
        <v>6.5</v>
      </c>
      <c r="Q306" s="74">
        <v>7.78</v>
      </c>
      <c r="R306" s="50">
        <v>155</v>
      </c>
      <c r="S306" s="74">
        <v>210</v>
      </c>
      <c r="T306" s="50">
        <v>0.45</v>
      </c>
      <c r="U306" s="74">
        <v>2.48</v>
      </c>
      <c r="V306" s="50">
        <v>0.21</v>
      </c>
      <c r="W306" s="74">
        <v>0.04</v>
      </c>
      <c r="X306" s="50">
        <v>0.16900000000000001</v>
      </c>
      <c r="Y306" s="74">
        <v>3.5999999999999997E-2</v>
      </c>
      <c r="AN306" s="50"/>
      <c r="AO306" s="49"/>
      <c r="AV306"/>
    </row>
    <row r="307" spans="1:48" ht="15" customHeight="1">
      <c r="A307" s="88" t="s">
        <v>68</v>
      </c>
      <c r="B307" s="50" t="s">
        <v>3519</v>
      </c>
      <c r="C307" s="7" t="s">
        <v>3520</v>
      </c>
      <c r="D307" s="48" t="s">
        <v>534</v>
      </c>
      <c r="F307" s="50" t="s">
        <v>3523</v>
      </c>
      <c r="G307" s="76" t="s">
        <v>3522</v>
      </c>
      <c r="H307" s="50">
        <v>4212</v>
      </c>
      <c r="I307" s="49" t="s">
        <v>2</v>
      </c>
      <c r="J307" s="50" t="s">
        <v>460</v>
      </c>
      <c r="K307" s="51">
        <v>40920</v>
      </c>
      <c r="L307" s="115"/>
      <c r="N307" s="50" t="s">
        <v>2</v>
      </c>
      <c r="O307" s="74">
        <v>4.5999999999999996</v>
      </c>
      <c r="P307" s="50">
        <v>7.53</v>
      </c>
      <c r="Q307" s="74">
        <v>8.82</v>
      </c>
      <c r="R307" s="50">
        <v>48</v>
      </c>
      <c r="S307" s="74">
        <v>140</v>
      </c>
      <c r="T307" s="50">
        <v>0.27</v>
      </c>
      <c r="U307" s="74">
        <v>1.33</v>
      </c>
      <c r="V307" s="50">
        <v>0.11</v>
      </c>
      <c r="W307" s="74">
        <v>2.5999999999999999E-2</v>
      </c>
      <c r="X307" s="50">
        <v>0.127</v>
      </c>
      <c r="Y307" s="74">
        <v>2.1000000000000001E-2</v>
      </c>
      <c r="Z307" s="164">
        <v>1</v>
      </c>
      <c r="AA307" s="165">
        <v>1</v>
      </c>
      <c r="AB307" s="50">
        <v>114</v>
      </c>
      <c r="AC307" s="74">
        <v>326</v>
      </c>
      <c r="AD307" s="164">
        <f>20/20</f>
        <v>1</v>
      </c>
      <c r="AN307" s="50"/>
      <c r="AO307" s="49"/>
      <c r="AV307"/>
    </row>
    <row r="308" spans="1:48" ht="15" customHeight="1">
      <c r="A308" s="88" t="s">
        <v>68</v>
      </c>
      <c r="B308" s="50" t="s">
        <v>3514</v>
      </c>
      <c r="C308" s="7" t="s">
        <v>3524</v>
      </c>
      <c r="D308" s="48" t="s">
        <v>84</v>
      </c>
      <c r="F308" s="50" t="s">
        <v>3525</v>
      </c>
      <c r="G308" s="76" t="s">
        <v>3526</v>
      </c>
      <c r="H308" s="50">
        <v>4212</v>
      </c>
      <c r="I308" s="49" t="s">
        <v>2</v>
      </c>
      <c r="J308" s="50" t="s">
        <v>510</v>
      </c>
      <c r="K308" s="51">
        <v>40920</v>
      </c>
      <c r="L308" s="115">
        <v>40909</v>
      </c>
      <c r="M308" s="50">
        <f t="shared" si="14"/>
        <v>11</v>
      </c>
      <c r="N308" s="50" t="s">
        <v>2</v>
      </c>
      <c r="O308" s="74">
        <f>1.4/2</f>
        <v>0.7</v>
      </c>
      <c r="P308" s="50">
        <v>7.53</v>
      </c>
      <c r="Q308" s="74">
        <v>7.68</v>
      </c>
      <c r="R308" s="50">
        <f>10/2</f>
        <v>5</v>
      </c>
      <c r="S308" s="74">
        <v>22</v>
      </c>
      <c r="T308" s="50">
        <v>0.09</v>
      </c>
      <c r="U308" s="74">
        <v>0.55000000000000004</v>
      </c>
      <c r="V308" s="50">
        <v>0.34</v>
      </c>
      <c r="W308" s="74">
        <v>6.0000000000000001E-3</v>
      </c>
      <c r="X308" s="50">
        <v>1.7000000000000001E-2</v>
      </c>
      <c r="Y308" s="74">
        <f>0.002/2</f>
        <v>1E-3</v>
      </c>
      <c r="Z308" s="164">
        <v>1</v>
      </c>
      <c r="AA308" s="165">
        <v>1</v>
      </c>
      <c r="AB308" s="50">
        <v>10</v>
      </c>
      <c r="AC308" s="74">
        <v>27</v>
      </c>
      <c r="AD308" s="164">
        <v>1</v>
      </c>
      <c r="AN308" s="50"/>
      <c r="AO308" s="49"/>
      <c r="AV308"/>
    </row>
    <row r="309" spans="1:48" ht="15" customHeight="1">
      <c r="A309" s="88" t="s">
        <v>68</v>
      </c>
      <c r="B309" s="50" t="s">
        <v>3527</v>
      </c>
      <c r="C309" s="7" t="s">
        <v>3528</v>
      </c>
      <c r="D309" s="48" t="s">
        <v>2913</v>
      </c>
      <c r="F309" s="50" t="s">
        <v>3529</v>
      </c>
      <c r="G309" s="76" t="s">
        <v>2768</v>
      </c>
      <c r="H309" s="50">
        <v>4212</v>
      </c>
      <c r="I309" s="49" t="s">
        <v>2</v>
      </c>
      <c r="J309" s="50" t="s">
        <v>510</v>
      </c>
      <c r="K309" s="51">
        <v>40935</v>
      </c>
      <c r="L309" s="115">
        <v>40931</v>
      </c>
      <c r="M309" s="50">
        <f t="shared" si="14"/>
        <v>4</v>
      </c>
      <c r="N309" s="50" t="s">
        <v>2</v>
      </c>
      <c r="O309" s="74">
        <v>8.1</v>
      </c>
      <c r="P309" s="50">
        <v>7.53</v>
      </c>
      <c r="Q309" s="74">
        <v>10.119999999999999</v>
      </c>
      <c r="R309" s="50">
        <v>22</v>
      </c>
      <c r="S309" s="74">
        <v>1800</v>
      </c>
      <c r="T309" s="50">
        <v>2.33</v>
      </c>
      <c r="U309" s="74">
        <v>2.83</v>
      </c>
      <c r="V309" s="50">
        <v>0.13</v>
      </c>
      <c r="W309" s="74">
        <v>0.24399999999999999</v>
      </c>
      <c r="X309" s="50">
        <v>1.03</v>
      </c>
      <c r="Y309" s="74">
        <v>0.34200000000000003</v>
      </c>
      <c r="Z309" s="164">
        <v>1</v>
      </c>
      <c r="AA309" s="165">
        <v>1</v>
      </c>
      <c r="AB309" s="50">
        <v>50</v>
      </c>
      <c r="AC309" s="74">
        <v>252</v>
      </c>
      <c r="AD309" s="164">
        <v>1</v>
      </c>
      <c r="AN309" s="50"/>
      <c r="AO309" s="49"/>
      <c r="AV309"/>
    </row>
    <row r="310" spans="1:48" ht="15" customHeight="1">
      <c r="A310" s="88" t="s">
        <v>68</v>
      </c>
      <c r="B310" s="50" t="s">
        <v>3527</v>
      </c>
      <c r="C310" s="7" t="s">
        <v>3528</v>
      </c>
      <c r="D310" s="48" t="s">
        <v>2913</v>
      </c>
      <c r="F310" s="50" t="s">
        <v>3529</v>
      </c>
      <c r="G310" s="76" t="s">
        <v>2768</v>
      </c>
      <c r="H310" s="50">
        <v>4212</v>
      </c>
      <c r="I310" s="49" t="s">
        <v>2</v>
      </c>
      <c r="J310" s="50" t="s">
        <v>510</v>
      </c>
      <c r="K310" s="51">
        <v>41037</v>
      </c>
      <c r="L310" s="115">
        <v>41032</v>
      </c>
      <c r="M310" s="50">
        <f t="shared" si="14"/>
        <v>5</v>
      </c>
      <c r="N310" s="50" t="s">
        <v>2</v>
      </c>
      <c r="O310" s="74">
        <v>4.8</v>
      </c>
      <c r="P310" s="50">
        <v>6.5</v>
      </c>
      <c r="Q310" s="74">
        <v>8.36</v>
      </c>
      <c r="R310" s="50">
        <v>27</v>
      </c>
      <c r="S310" s="74">
        <v>690</v>
      </c>
      <c r="T310" s="50">
        <v>0.81</v>
      </c>
      <c r="U310" s="74">
        <v>1.05</v>
      </c>
      <c r="V310" s="50">
        <v>0.53</v>
      </c>
      <c r="W310" s="74">
        <v>0.113</v>
      </c>
      <c r="X310" s="50">
        <v>0.47599999999999998</v>
      </c>
      <c r="Y310" s="74">
        <v>0.152</v>
      </c>
      <c r="Z310" s="164">
        <v>1</v>
      </c>
      <c r="AA310" s="165">
        <v>1</v>
      </c>
      <c r="AB310" s="50">
        <v>74</v>
      </c>
      <c r="AC310" s="74">
        <v>269</v>
      </c>
      <c r="AD310" s="164">
        <v>1</v>
      </c>
      <c r="AN310" s="50"/>
      <c r="AO310" s="49"/>
      <c r="AV310"/>
    </row>
    <row r="311" spans="1:48" ht="15" customHeight="1">
      <c r="A311" s="88" t="s">
        <v>68</v>
      </c>
      <c r="B311" s="50" t="s">
        <v>3304</v>
      </c>
      <c r="C311" s="7" t="s">
        <v>3530</v>
      </c>
      <c r="D311" s="48" t="s">
        <v>350</v>
      </c>
      <c r="F311" s="50" t="s">
        <v>3438</v>
      </c>
      <c r="G311" s="76" t="s">
        <v>3439</v>
      </c>
      <c r="H311" s="50">
        <v>4953</v>
      </c>
      <c r="I311" s="49" t="s">
        <v>2</v>
      </c>
      <c r="J311" s="50" t="s">
        <v>510</v>
      </c>
      <c r="K311" s="51">
        <v>41201</v>
      </c>
      <c r="L311" s="115">
        <v>41197</v>
      </c>
      <c r="M311" s="50">
        <f t="shared" si="14"/>
        <v>4</v>
      </c>
      <c r="N311" s="50" t="s">
        <v>2</v>
      </c>
      <c r="O311" s="74">
        <f>1.4/2</f>
        <v>0.7</v>
      </c>
      <c r="P311" s="50">
        <v>6.5</v>
      </c>
      <c r="Q311" s="74">
        <v>5.88</v>
      </c>
      <c r="R311" s="50">
        <v>110</v>
      </c>
      <c r="S311" s="74">
        <v>17</v>
      </c>
      <c r="T311" s="50">
        <v>0.09</v>
      </c>
      <c r="U311" s="74">
        <v>1.25</v>
      </c>
      <c r="V311" s="50">
        <f>0.01/2</f>
        <v>5.0000000000000001E-3</v>
      </c>
      <c r="W311" s="74">
        <v>0.01</v>
      </c>
      <c r="X311" s="50">
        <v>7.9000000000000001E-2</v>
      </c>
      <c r="Y311" s="74">
        <v>3.0000000000000001E-3</v>
      </c>
      <c r="AN311" s="50"/>
      <c r="AO311" s="49"/>
      <c r="AV311"/>
    </row>
    <row r="312" spans="1:48" ht="15" customHeight="1">
      <c r="A312" s="88" t="s">
        <v>68</v>
      </c>
      <c r="B312" s="50" t="s">
        <v>3339</v>
      </c>
      <c r="C312" s="7" t="s">
        <v>3531</v>
      </c>
      <c r="D312" s="48" t="s">
        <v>3532</v>
      </c>
      <c r="F312" s="50">
        <v>3700</v>
      </c>
      <c r="G312" s="76" t="s">
        <v>3533</v>
      </c>
      <c r="H312" s="50">
        <v>4953</v>
      </c>
      <c r="I312" s="49" t="s">
        <v>2</v>
      </c>
      <c r="J312" s="50" t="s">
        <v>510</v>
      </c>
      <c r="K312" s="51">
        <v>41226</v>
      </c>
      <c r="L312" s="115">
        <v>41221</v>
      </c>
      <c r="M312" s="50">
        <f t="shared" si="14"/>
        <v>5</v>
      </c>
      <c r="N312" s="50" t="s">
        <v>2</v>
      </c>
      <c r="O312" s="74">
        <v>21</v>
      </c>
      <c r="P312" s="50">
        <v>6.5</v>
      </c>
      <c r="Q312" s="74">
        <v>7.27</v>
      </c>
      <c r="R312" s="50">
        <v>460</v>
      </c>
      <c r="S312" s="74">
        <v>540</v>
      </c>
      <c r="T312" s="50">
        <v>1.78</v>
      </c>
      <c r="U312" s="74">
        <v>4.2699999999999996</v>
      </c>
      <c r="V312" s="50">
        <v>0.88</v>
      </c>
      <c r="W312" s="74">
        <v>0.14699999999999999</v>
      </c>
      <c r="X312" s="50">
        <v>0.627</v>
      </c>
      <c r="Y312" s="74">
        <v>0.155</v>
      </c>
      <c r="AN312" s="50"/>
      <c r="AO312" s="49"/>
      <c r="AV312"/>
    </row>
    <row r="313" spans="1:48" ht="15" customHeight="1">
      <c r="A313" s="88" t="s">
        <v>68</v>
      </c>
      <c r="B313" s="50" t="s">
        <v>3339</v>
      </c>
      <c r="C313" s="7" t="s">
        <v>3534</v>
      </c>
      <c r="D313" s="48" t="s">
        <v>3532</v>
      </c>
      <c r="F313" s="50">
        <v>3700</v>
      </c>
      <c r="G313" s="76" t="s">
        <v>3533</v>
      </c>
      <c r="H313" s="50">
        <v>4953</v>
      </c>
      <c r="I313" s="49" t="s">
        <v>2</v>
      </c>
      <c r="J313" s="72" t="s">
        <v>510</v>
      </c>
      <c r="K313" s="51">
        <v>40920</v>
      </c>
      <c r="L313" s="115">
        <v>40909</v>
      </c>
      <c r="M313" s="50">
        <f t="shared" si="14"/>
        <v>11</v>
      </c>
      <c r="N313" s="50" t="s">
        <v>2</v>
      </c>
      <c r="O313" s="74">
        <v>2.8</v>
      </c>
      <c r="P313" s="50">
        <v>7.53</v>
      </c>
      <c r="Q313" s="74">
        <v>6.81</v>
      </c>
      <c r="R313" s="50">
        <v>21</v>
      </c>
      <c r="S313" s="74">
        <v>290</v>
      </c>
      <c r="T313" s="50">
        <v>0.36</v>
      </c>
      <c r="U313" s="74">
        <v>0.64</v>
      </c>
      <c r="V313" s="50">
        <v>0.06</v>
      </c>
      <c r="W313" s="74">
        <v>5.8000000000000003E-2</v>
      </c>
      <c r="X313" s="50">
        <v>0.217</v>
      </c>
      <c r="Y313" s="178">
        <v>4.4999999999999998E-2</v>
      </c>
      <c r="Z313" s="164">
        <v>1</v>
      </c>
      <c r="AA313" s="165">
        <v>1</v>
      </c>
      <c r="AB313" s="50">
        <v>14</v>
      </c>
      <c r="AC313" s="74">
        <v>37</v>
      </c>
      <c r="AD313" s="164">
        <v>1</v>
      </c>
      <c r="AN313" s="50"/>
      <c r="AO313" s="49"/>
      <c r="AV313"/>
    </row>
    <row r="314" spans="1:48" ht="15" customHeight="1">
      <c r="A314" s="88" t="s">
        <v>68</v>
      </c>
      <c r="B314" s="50" t="s">
        <v>3352</v>
      </c>
      <c r="C314" s="7" t="s">
        <v>3535</v>
      </c>
      <c r="D314" s="48" t="s">
        <v>1896</v>
      </c>
      <c r="F314" s="48" t="s">
        <v>3631</v>
      </c>
      <c r="G314" s="76" t="s">
        <v>3536</v>
      </c>
      <c r="H314" s="50">
        <v>4953</v>
      </c>
      <c r="I314" s="49" t="s">
        <v>2</v>
      </c>
      <c r="J314" s="50" t="s">
        <v>3632</v>
      </c>
      <c r="K314" s="51">
        <v>41131</v>
      </c>
      <c r="L314" s="115">
        <v>41126</v>
      </c>
      <c r="M314" s="50">
        <f t="shared" si="14"/>
        <v>5</v>
      </c>
      <c r="N314" s="50" t="s">
        <v>2</v>
      </c>
      <c r="O314" s="74">
        <f>5/2</f>
        <v>2.5</v>
      </c>
      <c r="Q314" s="74">
        <v>6.45</v>
      </c>
      <c r="R314" s="50">
        <v>28</v>
      </c>
      <c r="S314" s="74">
        <v>12</v>
      </c>
      <c r="T314" s="50">
        <v>0.19</v>
      </c>
      <c r="U314" s="74">
        <f>1/2</f>
        <v>0.5</v>
      </c>
      <c r="V314" s="50">
        <v>6.6000000000000003E-2</v>
      </c>
      <c r="W314" s="74">
        <v>1.4999999999999999E-2</v>
      </c>
      <c r="X314" s="50">
        <v>0.06</v>
      </c>
      <c r="Y314" s="74">
        <v>7.0000000000000001E-3</v>
      </c>
      <c r="AN314" s="50"/>
      <c r="AO314" s="49"/>
      <c r="AV314"/>
    </row>
    <row r="315" spans="1:48" ht="15" customHeight="1">
      <c r="A315" s="88" t="s">
        <v>68</v>
      </c>
      <c r="B315" s="50" t="s">
        <v>3537</v>
      </c>
      <c r="C315" s="7" t="s">
        <v>3538</v>
      </c>
      <c r="D315" s="48" t="s">
        <v>56</v>
      </c>
      <c r="F315" s="48" t="s">
        <v>3539</v>
      </c>
      <c r="G315" s="76" t="s">
        <v>3544</v>
      </c>
      <c r="H315" s="50">
        <v>4953</v>
      </c>
      <c r="I315" s="49" t="s">
        <v>2</v>
      </c>
      <c r="J315" s="50" t="s">
        <v>510</v>
      </c>
      <c r="K315" s="51">
        <v>41332</v>
      </c>
      <c r="L315" s="115">
        <v>41329</v>
      </c>
      <c r="M315" s="50">
        <f t="shared" si="14"/>
        <v>3</v>
      </c>
      <c r="N315" s="50" t="s">
        <v>2</v>
      </c>
      <c r="O315" s="74">
        <v>19</v>
      </c>
      <c r="P315" s="50">
        <v>7.73</v>
      </c>
      <c r="Q315" s="74">
        <v>7.66</v>
      </c>
      <c r="R315" s="50">
        <v>479</v>
      </c>
      <c r="S315" s="74">
        <v>820</v>
      </c>
      <c r="T315" s="50">
        <v>1.51</v>
      </c>
      <c r="U315" s="74">
        <v>5.32</v>
      </c>
      <c r="V315" s="50">
        <v>0.1</v>
      </c>
      <c r="W315" s="74">
        <v>0.13200000000000001</v>
      </c>
      <c r="X315" s="50">
        <v>0.88300000000000001</v>
      </c>
      <c r="Y315" s="74">
        <v>0.25</v>
      </c>
      <c r="Z315" s="164">
        <v>1</v>
      </c>
      <c r="AA315" s="165">
        <v>1</v>
      </c>
      <c r="AB315" s="50">
        <v>38</v>
      </c>
      <c r="AC315" s="74">
        <v>149</v>
      </c>
      <c r="AD315" s="164">
        <f>20/20</f>
        <v>1</v>
      </c>
      <c r="AN315" s="50"/>
      <c r="AO315" s="49"/>
      <c r="AV315"/>
    </row>
    <row r="316" spans="1:48" ht="15" customHeight="1">
      <c r="A316" s="88" t="s">
        <v>68</v>
      </c>
      <c r="B316" s="50" t="s">
        <v>3540</v>
      </c>
      <c r="C316" s="7" t="s">
        <v>3538</v>
      </c>
      <c r="D316" s="48" t="s">
        <v>1537</v>
      </c>
      <c r="F316" s="48" t="s">
        <v>3541</v>
      </c>
      <c r="G316" s="76" t="s">
        <v>3542</v>
      </c>
      <c r="H316" s="50">
        <v>4953</v>
      </c>
      <c r="I316" s="49" t="s">
        <v>2</v>
      </c>
      <c r="J316" s="50" t="s">
        <v>510</v>
      </c>
      <c r="K316" s="51">
        <v>41044</v>
      </c>
      <c r="L316" s="115">
        <v>41039</v>
      </c>
      <c r="M316" s="50">
        <f t="shared" si="14"/>
        <v>5</v>
      </c>
      <c r="N316" s="50" t="s">
        <v>2</v>
      </c>
      <c r="O316" s="74">
        <v>8.6</v>
      </c>
      <c r="P316" s="50">
        <v>6.5</v>
      </c>
      <c r="Q316" s="74">
        <v>7.72</v>
      </c>
      <c r="R316" s="50">
        <v>55</v>
      </c>
      <c r="S316" s="74">
        <v>510</v>
      </c>
      <c r="T316" s="50">
        <v>0.77</v>
      </c>
      <c r="U316" s="281">
        <v>2.91</v>
      </c>
      <c r="V316" s="287">
        <v>0.02</v>
      </c>
      <c r="W316" s="74">
        <v>0.14499999999999999</v>
      </c>
      <c r="X316" s="50">
        <v>0.69399999999999995</v>
      </c>
      <c r="Y316" s="74">
        <v>0.52700000000000002</v>
      </c>
      <c r="Z316" s="164">
        <v>1</v>
      </c>
      <c r="AA316" s="165">
        <v>1</v>
      </c>
      <c r="AB316" s="50">
        <v>362</v>
      </c>
      <c r="AC316" s="74">
        <v>734</v>
      </c>
      <c r="AD316" s="164">
        <f>20/20</f>
        <v>1</v>
      </c>
      <c r="AN316" s="50"/>
      <c r="AO316" s="49"/>
      <c r="AV316"/>
    </row>
    <row r="317" spans="1:48" ht="15" customHeight="1">
      <c r="A317" s="88" t="s">
        <v>68</v>
      </c>
      <c r="B317" s="50" t="s">
        <v>3540</v>
      </c>
      <c r="C317" s="7" t="s">
        <v>3538</v>
      </c>
      <c r="D317" s="48" t="s">
        <v>1537</v>
      </c>
      <c r="F317" s="48" t="s">
        <v>3541</v>
      </c>
      <c r="G317" s="76" t="s">
        <v>3542</v>
      </c>
      <c r="H317" s="50">
        <v>4953</v>
      </c>
      <c r="I317" s="49" t="s">
        <v>2</v>
      </c>
      <c r="J317" s="50" t="s">
        <v>510</v>
      </c>
      <c r="K317" s="72">
        <v>41180</v>
      </c>
      <c r="L317" s="115">
        <v>41174</v>
      </c>
      <c r="M317" s="50">
        <f t="shared" si="14"/>
        <v>6</v>
      </c>
      <c r="N317" s="50" t="s">
        <v>2</v>
      </c>
      <c r="O317" s="74">
        <v>3.5</v>
      </c>
      <c r="P317" s="50">
        <v>6.5</v>
      </c>
      <c r="Q317" s="74">
        <v>8.83</v>
      </c>
      <c r="R317" s="50">
        <v>150</v>
      </c>
      <c r="S317" s="74">
        <v>130</v>
      </c>
      <c r="T317" s="50">
        <v>0.4</v>
      </c>
      <c r="U317" s="74">
        <v>1.71</v>
      </c>
      <c r="V317" s="50">
        <f>0.01/2</f>
        <v>5.0000000000000001E-3</v>
      </c>
      <c r="W317" s="74">
        <v>2.4E-2</v>
      </c>
      <c r="X317" s="50">
        <v>0.29199999999999998</v>
      </c>
      <c r="Y317" s="74">
        <v>0.187</v>
      </c>
      <c r="AN317" s="50"/>
      <c r="AO317" s="49"/>
      <c r="AV317"/>
    </row>
    <row r="318" spans="1:48" ht="15" customHeight="1">
      <c r="A318" s="88" t="s">
        <v>68</v>
      </c>
      <c r="B318" s="50" t="s">
        <v>3308</v>
      </c>
      <c r="C318" s="7" t="s">
        <v>3538</v>
      </c>
      <c r="D318" s="48" t="s">
        <v>209</v>
      </c>
      <c r="F318" s="48" t="s">
        <v>3310</v>
      </c>
      <c r="G318" s="76" t="s">
        <v>3311</v>
      </c>
      <c r="H318" s="50">
        <v>4953</v>
      </c>
      <c r="I318" s="49" t="s">
        <v>2</v>
      </c>
      <c r="J318" s="50" t="s">
        <v>460</v>
      </c>
      <c r="K318" s="51">
        <v>41201</v>
      </c>
      <c r="L318" s="115">
        <v>41197</v>
      </c>
      <c r="M318" s="50">
        <f t="shared" si="14"/>
        <v>4</v>
      </c>
      <c r="N318" s="50" t="s">
        <v>2</v>
      </c>
      <c r="O318" s="74">
        <v>14</v>
      </c>
      <c r="P318" s="50">
        <v>6.5</v>
      </c>
      <c r="Q318" s="74">
        <v>7.69</v>
      </c>
      <c r="R318" s="50">
        <v>29</v>
      </c>
      <c r="S318" s="74">
        <v>890</v>
      </c>
      <c r="T318" s="50">
        <v>1.38</v>
      </c>
      <c r="U318" s="74">
        <v>5.42</v>
      </c>
      <c r="V318" s="50">
        <v>0.39</v>
      </c>
      <c r="W318" s="74">
        <v>9.2999999999999999E-2</v>
      </c>
      <c r="X318" s="50">
        <v>0.79600000000000004</v>
      </c>
      <c r="Y318" s="74">
        <v>0.56200000000000006</v>
      </c>
      <c r="AN318" s="50"/>
      <c r="AO318" s="49"/>
      <c r="AV318"/>
    </row>
    <row r="319" spans="1:48" ht="15" customHeight="1">
      <c r="A319" s="88" t="s">
        <v>68</v>
      </c>
      <c r="B319" s="50" t="s">
        <v>3543</v>
      </c>
      <c r="C319" s="7" t="s">
        <v>3538</v>
      </c>
      <c r="D319" s="48" t="s">
        <v>56</v>
      </c>
      <c r="F319" s="50" t="s">
        <v>3539</v>
      </c>
      <c r="G319" s="76" t="s">
        <v>3544</v>
      </c>
      <c r="H319" s="50">
        <v>4953</v>
      </c>
      <c r="I319" s="49" t="s">
        <v>2</v>
      </c>
      <c r="J319" s="50" t="s">
        <v>510</v>
      </c>
      <c r="K319" s="51">
        <v>41226</v>
      </c>
      <c r="L319" s="115">
        <v>41220</v>
      </c>
      <c r="M319" s="50">
        <f t="shared" si="14"/>
        <v>6</v>
      </c>
      <c r="N319" s="50" t="s">
        <v>2</v>
      </c>
      <c r="O319" s="74">
        <v>3.5</v>
      </c>
      <c r="P319" s="50">
        <v>6.5</v>
      </c>
      <c r="Q319" s="74">
        <v>7.37</v>
      </c>
      <c r="R319" s="50">
        <v>150</v>
      </c>
      <c r="S319" s="74">
        <v>200</v>
      </c>
      <c r="T319" s="50">
        <v>0.45</v>
      </c>
      <c r="U319" s="74">
        <v>4.24</v>
      </c>
      <c r="V319" s="50">
        <v>0.23</v>
      </c>
      <c r="W319" s="74">
        <v>0.10299999999999999</v>
      </c>
      <c r="X319" s="50">
        <v>0.371</v>
      </c>
      <c r="Y319" s="74">
        <v>0.108</v>
      </c>
      <c r="AN319" s="50"/>
      <c r="AO319" s="49"/>
      <c r="AV319"/>
    </row>
    <row r="320" spans="1:48" ht="15" customHeight="1">
      <c r="A320" s="88" t="s">
        <v>68</v>
      </c>
      <c r="B320" s="50" t="s">
        <v>3545</v>
      </c>
      <c r="C320" s="7" t="s">
        <v>3538</v>
      </c>
      <c r="D320" s="48" t="s">
        <v>56</v>
      </c>
      <c r="F320" s="50" t="s">
        <v>3539</v>
      </c>
      <c r="G320" s="76" t="s">
        <v>3544</v>
      </c>
      <c r="H320" s="50">
        <v>4953</v>
      </c>
      <c r="I320" s="49" t="s">
        <v>2</v>
      </c>
      <c r="J320" s="50" t="s">
        <v>510</v>
      </c>
      <c r="K320" s="51">
        <v>41180</v>
      </c>
      <c r="L320" s="115">
        <v>41175</v>
      </c>
      <c r="M320" s="50">
        <f t="shared" si="14"/>
        <v>5</v>
      </c>
      <c r="N320" s="50" t="s">
        <v>2</v>
      </c>
      <c r="O320" s="74">
        <v>37</v>
      </c>
      <c r="P320" s="50">
        <v>6.5</v>
      </c>
      <c r="Q320" s="74">
        <v>7.86</v>
      </c>
      <c r="R320" s="50">
        <v>600</v>
      </c>
      <c r="S320" s="74">
        <v>650</v>
      </c>
      <c r="T320" s="50">
        <v>1.06</v>
      </c>
      <c r="U320" s="74">
        <v>7.86</v>
      </c>
      <c r="V320" s="50">
        <v>0.12</v>
      </c>
      <c r="W320" s="74">
        <v>0.17299999999999999</v>
      </c>
      <c r="X320" s="50">
        <v>1.51</v>
      </c>
      <c r="Y320" s="74">
        <v>0.71199999999999997</v>
      </c>
      <c r="Z320" s="164">
        <v>1</v>
      </c>
      <c r="AA320" s="165">
        <v>1</v>
      </c>
      <c r="AB320" s="50">
        <v>150</v>
      </c>
      <c r="AC320" s="74">
        <v>362</v>
      </c>
      <c r="AD320" s="164">
        <v>1</v>
      </c>
      <c r="AN320" s="50"/>
      <c r="AO320" s="49"/>
      <c r="AV320"/>
    </row>
    <row r="321" spans="1:48" ht="15" customHeight="1">
      <c r="A321" s="88" t="s">
        <v>68</v>
      </c>
      <c r="B321" s="50" t="s">
        <v>3546</v>
      </c>
      <c r="C321" s="7" t="s">
        <v>3538</v>
      </c>
      <c r="D321" s="48" t="s">
        <v>1541</v>
      </c>
      <c r="F321" s="50" t="s">
        <v>3547</v>
      </c>
      <c r="G321" s="76" t="s">
        <v>3548</v>
      </c>
      <c r="H321" s="50">
        <v>4953</v>
      </c>
      <c r="I321" s="49" t="s">
        <v>2</v>
      </c>
      <c r="J321" s="50" t="s">
        <v>510</v>
      </c>
      <c r="K321" s="51">
        <v>41044</v>
      </c>
      <c r="L321" s="115">
        <v>41039</v>
      </c>
      <c r="M321" s="50">
        <f t="shared" si="14"/>
        <v>5</v>
      </c>
      <c r="N321" s="50" t="s">
        <v>2</v>
      </c>
      <c r="O321" s="74">
        <v>1.6</v>
      </c>
      <c r="P321" s="50">
        <v>6.5</v>
      </c>
      <c r="Q321" s="74">
        <v>6.89</v>
      </c>
      <c r="R321" s="50">
        <v>100</v>
      </c>
      <c r="S321" s="74">
        <v>180</v>
      </c>
      <c r="T321" s="50">
        <v>0.26</v>
      </c>
      <c r="U321" s="74">
        <v>1.7</v>
      </c>
      <c r="V321" s="50">
        <v>0.16</v>
      </c>
      <c r="W321" s="74">
        <v>1.7000000000000001E-2</v>
      </c>
      <c r="X321" s="50">
        <v>0.26100000000000001</v>
      </c>
      <c r="Y321" s="74">
        <v>3.1E-2</v>
      </c>
      <c r="Z321" s="164">
        <v>1</v>
      </c>
      <c r="AA321" s="165">
        <v>1</v>
      </c>
      <c r="AB321" s="50">
        <v>32</v>
      </c>
      <c r="AC321" s="74">
        <v>74</v>
      </c>
      <c r="AD321" s="164">
        <v>1</v>
      </c>
      <c r="AN321" s="50"/>
      <c r="AO321" s="49"/>
      <c r="AV321"/>
    </row>
    <row r="322" spans="1:48" ht="15" customHeight="1">
      <c r="A322" s="88" t="s">
        <v>68</v>
      </c>
      <c r="B322" s="50" t="s">
        <v>3370</v>
      </c>
      <c r="C322" s="7" t="s">
        <v>1680</v>
      </c>
      <c r="D322" s="48" t="s">
        <v>111</v>
      </c>
      <c r="E322" s="50" t="s">
        <v>112</v>
      </c>
      <c r="F322" s="48"/>
      <c r="G322" s="76" t="s">
        <v>1681</v>
      </c>
      <c r="H322" s="50">
        <v>4953</v>
      </c>
      <c r="I322" s="49" t="s">
        <v>2</v>
      </c>
      <c r="J322" s="50" t="s">
        <v>1477</v>
      </c>
      <c r="K322" s="51">
        <v>40981</v>
      </c>
      <c r="L322" s="115">
        <v>40971</v>
      </c>
      <c r="M322" s="50">
        <f t="shared" si="14"/>
        <v>10</v>
      </c>
      <c r="N322" s="50" t="s">
        <v>2</v>
      </c>
      <c r="O322" s="74">
        <v>3.1</v>
      </c>
      <c r="P322" s="50">
        <v>7.43</v>
      </c>
      <c r="Q322" s="74">
        <v>8.01</v>
      </c>
      <c r="R322" s="50">
        <v>59</v>
      </c>
      <c r="S322" s="74">
        <v>67</v>
      </c>
      <c r="T322" s="50">
        <f>0.1/2</f>
        <v>0.05</v>
      </c>
      <c r="U322" s="74">
        <v>17</v>
      </c>
      <c r="V322" s="50">
        <v>14</v>
      </c>
      <c r="W322" s="74">
        <v>2.8000000000000001E-2</v>
      </c>
      <c r="X322" s="50">
        <v>2.7E-2</v>
      </c>
      <c r="Y322" s="74">
        <v>2.0999999999999999E-3</v>
      </c>
      <c r="AE322" s="50">
        <v>0.86</v>
      </c>
      <c r="AN322" s="50"/>
      <c r="AO322" s="49"/>
      <c r="AV322"/>
    </row>
    <row r="323" spans="1:48" ht="15" customHeight="1">
      <c r="A323" s="88" t="s">
        <v>68</v>
      </c>
      <c r="B323" s="50" t="s">
        <v>3370</v>
      </c>
      <c r="C323" s="7" t="s">
        <v>1680</v>
      </c>
      <c r="D323" s="48" t="s">
        <v>111</v>
      </c>
      <c r="E323" s="50" t="s">
        <v>3549</v>
      </c>
      <c r="G323" s="76" t="s">
        <v>1681</v>
      </c>
      <c r="H323" s="50">
        <v>4953</v>
      </c>
      <c r="I323" s="49" t="s">
        <v>2</v>
      </c>
      <c r="J323" s="50" t="s">
        <v>81</v>
      </c>
      <c r="K323" s="51">
        <v>41180</v>
      </c>
      <c r="L323" s="115">
        <v>41174</v>
      </c>
      <c r="M323" s="50">
        <f t="shared" si="14"/>
        <v>6</v>
      </c>
      <c r="N323" s="50" t="s">
        <v>2</v>
      </c>
      <c r="P323" s="50">
        <v>5.36</v>
      </c>
      <c r="Q323" s="74">
        <v>6.17</v>
      </c>
      <c r="R323" s="50">
        <v>90</v>
      </c>
      <c r="S323" s="74">
        <v>17</v>
      </c>
      <c r="T323" s="50">
        <v>0.2</v>
      </c>
      <c r="U323" s="74">
        <v>3.8</v>
      </c>
      <c r="V323" s="50">
        <v>0.94</v>
      </c>
      <c r="W323" s="74">
        <v>9.8000000000000004E-2</v>
      </c>
      <c r="X323" s="50">
        <v>9.6000000000000002E-2</v>
      </c>
      <c r="Y323" s="74">
        <v>2.0999999999999999E-3</v>
      </c>
      <c r="AE323" s="50">
        <v>0.68</v>
      </c>
      <c r="AG323" s="50">
        <v>17</v>
      </c>
      <c r="AM323" s="50">
        <v>9.6000000000000002E-2</v>
      </c>
      <c r="AN323" s="50">
        <v>6.17</v>
      </c>
      <c r="AO323" s="49"/>
      <c r="AV323"/>
    </row>
    <row r="324" spans="1:48" ht="15" customHeight="1">
      <c r="A324" s="88" t="s">
        <v>68</v>
      </c>
      <c r="B324" s="50" t="s">
        <v>3370</v>
      </c>
      <c r="C324" s="7" t="s">
        <v>1680</v>
      </c>
      <c r="D324" s="48" t="s">
        <v>111</v>
      </c>
      <c r="E324" s="50" t="s">
        <v>3549</v>
      </c>
      <c r="G324" s="76" t="s">
        <v>1681</v>
      </c>
      <c r="H324" s="50">
        <v>4953</v>
      </c>
      <c r="I324" s="49" t="s">
        <v>2</v>
      </c>
      <c r="J324" s="50" t="s">
        <v>1477</v>
      </c>
      <c r="K324" s="51">
        <v>41180</v>
      </c>
      <c r="L324" s="115">
        <v>41174</v>
      </c>
      <c r="M324" s="50">
        <f t="shared" si="14"/>
        <v>6</v>
      </c>
      <c r="N324" s="50" t="s">
        <v>2</v>
      </c>
      <c r="P324" s="50">
        <v>5.36</v>
      </c>
      <c r="AE324" s="50">
        <v>1.9</v>
      </c>
      <c r="AN324" s="50"/>
      <c r="AO324" s="49"/>
      <c r="AV324"/>
    </row>
    <row r="325" spans="1:48" ht="15" customHeight="1">
      <c r="A325" s="88" t="s">
        <v>68</v>
      </c>
      <c r="B325" s="50" t="s">
        <v>3550</v>
      </c>
      <c r="C325" s="7" t="s">
        <v>3551</v>
      </c>
      <c r="D325" s="48" t="s">
        <v>303</v>
      </c>
      <c r="E325" s="50" t="s">
        <v>467</v>
      </c>
      <c r="F325" s="50" t="s">
        <v>3552</v>
      </c>
      <c r="G325" s="76" t="s">
        <v>3626</v>
      </c>
      <c r="H325" s="50">
        <v>4953</v>
      </c>
      <c r="I325" s="49" t="s">
        <v>2</v>
      </c>
      <c r="J325" s="50">
        <v>1</v>
      </c>
      <c r="K325" s="51">
        <v>40996</v>
      </c>
      <c r="L325" s="115">
        <v>40993</v>
      </c>
      <c r="M325" s="50">
        <f t="shared" si="14"/>
        <v>3</v>
      </c>
      <c r="N325" s="50" t="s">
        <v>2</v>
      </c>
      <c r="O325" s="74">
        <f>5/2</f>
        <v>2.5</v>
      </c>
      <c r="Q325" s="74">
        <v>6.67</v>
      </c>
      <c r="R325" s="50">
        <v>25</v>
      </c>
      <c r="S325" s="74">
        <v>500</v>
      </c>
      <c r="T325" s="50">
        <v>0.54</v>
      </c>
      <c r="U325" s="74">
        <v>1.9</v>
      </c>
      <c r="V325" s="50">
        <v>0.45</v>
      </c>
      <c r="W325" s="74">
        <v>7.0000000000000007E-2</v>
      </c>
      <c r="X325" s="50">
        <v>0.3</v>
      </c>
      <c r="Y325" s="74">
        <v>8.5999999999999993E-2</v>
      </c>
      <c r="Z325" s="164">
        <v>1</v>
      </c>
      <c r="AA325" s="165">
        <v>1</v>
      </c>
      <c r="AB325" s="50">
        <v>42</v>
      </c>
      <c r="AC325" s="74">
        <v>69</v>
      </c>
      <c r="AD325" s="164">
        <f>20/20</f>
        <v>1</v>
      </c>
      <c r="AN325" s="50"/>
      <c r="AO325" s="49"/>
      <c r="AV325"/>
    </row>
    <row r="326" spans="1:48" ht="15" customHeight="1">
      <c r="A326" s="88" t="s">
        <v>68</v>
      </c>
      <c r="B326" s="50" t="s">
        <v>3370</v>
      </c>
      <c r="C326" s="7" t="s">
        <v>2368</v>
      </c>
      <c r="D326" s="48" t="s">
        <v>338</v>
      </c>
      <c r="E326" s="50" t="s">
        <v>599</v>
      </c>
      <c r="F326" s="48" t="s">
        <v>3457</v>
      </c>
      <c r="G326" s="76" t="s">
        <v>2369</v>
      </c>
      <c r="H326" s="50">
        <v>4953</v>
      </c>
      <c r="I326" s="49" t="s">
        <v>1</v>
      </c>
      <c r="J326" s="50" t="s">
        <v>81</v>
      </c>
      <c r="K326" s="51">
        <v>40996</v>
      </c>
      <c r="L326" s="115">
        <v>40992</v>
      </c>
      <c r="M326" s="50">
        <f t="shared" si="14"/>
        <v>4</v>
      </c>
      <c r="N326" s="50" t="s">
        <v>2</v>
      </c>
      <c r="O326" s="74">
        <v>14.4</v>
      </c>
      <c r="P326" s="50">
        <v>6.11</v>
      </c>
      <c r="Q326" s="74">
        <v>6.42</v>
      </c>
      <c r="R326" s="50">
        <v>1272.2</v>
      </c>
      <c r="S326" s="74">
        <v>415</v>
      </c>
      <c r="T326" s="50">
        <v>3.2</v>
      </c>
      <c r="U326" s="74">
        <v>31.9</v>
      </c>
      <c r="V326" s="50">
        <v>1.3</v>
      </c>
      <c r="W326" s="74">
        <v>0.13</v>
      </c>
      <c r="X326" s="50">
        <v>0.7</v>
      </c>
      <c r="Y326" s="74">
        <v>0.12</v>
      </c>
      <c r="Z326" s="164">
        <v>1</v>
      </c>
      <c r="AA326" s="165">
        <v>1</v>
      </c>
      <c r="AB326" s="50">
        <v>233</v>
      </c>
      <c r="AC326" s="74">
        <v>733</v>
      </c>
      <c r="AD326" s="164">
        <f>13/20</f>
        <v>0.65</v>
      </c>
      <c r="AN326" s="50"/>
      <c r="AO326" s="49"/>
      <c r="AV326"/>
    </row>
    <row r="327" spans="1:48" ht="15" customHeight="1">
      <c r="A327" s="88" t="s">
        <v>68</v>
      </c>
      <c r="B327" s="50" t="s">
        <v>3370</v>
      </c>
      <c r="C327" s="7" t="s">
        <v>2368</v>
      </c>
      <c r="D327" s="48" t="s">
        <v>338</v>
      </c>
      <c r="E327" s="50" t="s">
        <v>599</v>
      </c>
      <c r="F327" s="48" t="s">
        <v>3457</v>
      </c>
      <c r="G327" s="76" t="s">
        <v>2369</v>
      </c>
      <c r="H327" s="50">
        <v>4953</v>
      </c>
      <c r="I327" s="49" t="s">
        <v>1</v>
      </c>
      <c r="J327" s="50" t="s">
        <v>81</v>
      </c>
      <c r="K327" s="51">
        <v>41072</v>
      </c>
      <c r="L327" s="115">
        <v>41063</v>
      </c>
      <c r="M327" s="50">
        <f t="shared" si="14"/>
        <v>9</v>
      </c>
      <c r="N327" s="50" t="s">
        <v>2</v>
      </c>
      <c r="O327" s="74">
        <v>33.700000000000003</v>
      </c>
      <c r="P327" s="50">
        <v>6.88</v>
      </c>
      <c r="Q327" s="74">
        <v>6.41</v>
      </c>
      <c r="R327" s="50">
        <v>1795</v>
      </c>
      <c r="S327" s="74">
        <v>79</v>
      </c>
      <c r="T327" s="50">
        <v>2.33</v>
      </c>
      <c r="U327" s="74">
        <v>35.47</v>
      </c>
      <c r="V327" s="50">
        <v>3.6</v>
      </c>
      <c r="W327" s="74">
        <v>0.14000000000000001</v>
      </c>
      <c r="X327" s="50">
        <v>0.51</v>
      </c>
      <c r="Y327" s="74">
        <v>0.03</v>
      </c>
      <c r="AN327" s="50"/>
      <c r="AO327" s="49">
        <v>41800</v>
      </c>
      <c r="AV327"/>
    </row>
    <row r="328" spans="1:48" ht="15" customHeight="1">
      <c r="A328" s="88" t="s">
        <v>68</v>
      </c>
      <c r="B328" s="50" t="s">
        <v>3370</v>
      </c>
      <c r="C328" s="7" t="s">
        <v>2368</v>
      </c>
      <c r="D328" s="48" t="s">
        <v>338</v>
      </c>
      <c r="E328" s="50" t="s">
        <v>599</v>
      </c>
      <c r="F328" s="50">
        <v>6900</v>
      </c>
      <c r="G328" s="76" t="s">
        <v>2369</v>
      </c>
      <c r="H328" s="50">
        <v>4953</v>
      </c>
      <c r="I328" s="49" t="s">
        <v>1</v>
      </c>
      <c r="J328" s="50" t="s">
        <v>81</v>
      </c>
      <c r="K328" s="51">
        <v>41201</v>
      </c>
      <c r="L328" s="115">
        <v>41197</v>
      </c>
      <c r="M328" s="50">
        <f t="shared" si="14"/>
        <v>4</v>
      </c>
      <c r="N328" s="50" t="s">
        <v>2</v>
      </c>
      <c r="O328" s="74">
        <v>8.1999999999999993</v>
      </c>
      <c r="P328" s="50">
        <v>7.04</v>
      </c>
      <c r="Q328" s="74">
        <v>6.91</v>
      </c>
      <c r="R328" s="50">
        <v>595</v>
      </c>
      <c r="S328" s="74">
        <v>1030</v>
      </c>
      <c r="T328" s="50">
        <v>5.0999999999999996</v>
      </c>
      <c r="U328" s="74">
        <v>24.03</v>
      </c>
      <c r="V328" s="50">
        <v>0.28999999999999998</v>
      </c>
      <c r="W328" s="74">
        <v>0.21</v>
      </c>
      <c r="X328" s="50">
        <v>1.77</v>
      </c>
      <c r="Y328" s="74">
        <v>0.28999999999999998</v>
      </c>
      <c r="Z328" s="164">
        <v>1</v>
      </c>
      <c r="AA328" s="165">
        <v>0.75</v>
      </c>
      <c r="AB328" s="50">
        <v>154</v>
      </c>
      <c r="AC328" s="74">
        <v>173</v>
      </c>
      <c r="AD328" s="164">
        <f>0/20</f>
        <v>0</v>
      </c>
      <c r="AN328" s="50"/>
      <c r="AO328" s="49"/>
      <c r="AV328"/>
    </row>
    <row r="329" spans="1:48" ht="15" customHeight="1">
      <c r="A329" s="88" t="s">
        <v>68</v>
      </c>
      <c r="B329" s="50" t="s">
        <v>3554</v>
      </c>
      <c r="C329" s="7" t="s">
        <v>3555</v>
      </c>
      <c r="D329" s="48" t="s">
        <v>347</v>
      </c>
      <c r="E329" s="50" t="s">
        <v>3556</v>
      </c>
      <c r="G329" s="76" t="s">
        <v>3557</v>
      </c>
      <c r="H329" s="50">
        <v>4953</v>
      </c>
      <c r="I329" s="49" t="s">
        <v>1</v>
      </c>
      <c r="J329" s="50" t="s">
        <v>81</v>
      </c>
      <c r="K329" s="51">
        <v>40996</v>
      </c>
      <c r="L329" s="115">
        <v>40993</v>
      </c>
      <c r="M329" s="50">
        <f t="shared" si="14"/>
        <v>3</v>
      </c>
      <c r="N329" s="50" t="s">
        <v>2</v>
      </c>
      <c r="O329" s="74">
        <v>82.8</v>
      </c>
      <c r="P329" s="50">
        <v>6</v>
      </c>
      <c r="Q329" s="74">
        <v>6.8</v>
      </c>
      <c r="R329" s="50">
        <v>33</v>
      </c>
      <c r="S329" s="74">
        <v>1160</v>
      </c>
      <c r="T329" s="50">
        <v>0.31</v>
      </c>
      <c r="U329" s="74">
        <v>2.25</v>
      </c>
      <c r="V329" s="50">
        <v>0.19</v>
      </c>
      <c r="W329" s="74">
        <v>0.25800000000000001</v>
      </c>
      <c r="X329" s="50">
        <v>0.442</v>
      </c>
      <c r="Y329" s="74">
        <v>9.8000000000000004E-2</v>
      </c>
      <c r="Z329" s="164">
        <v>1</v>
      </c>
      <c r="AA329" s="165">
        <v>1</v>
      </c>
      <c r="AB329" s="50">
        <v>43</v>
      </c>
      <c r="AC329" s="74">
        <v>200</v>
      </c>
      <c r="AD329" s="164">
        <f>20/20</f>
        <v>1</v>
      </c>
      <c r="AE329" s="50">
        <v>13.9</v>
      </c>
      <c r="AF329" s="50">
        <v>21</v>
      </c>
      <c r="AG329" s="50">
        <v>1160</v>
      </c>
      <c r="AH329" s="50">
        <v>0.22</v>
      </c>
      <c r="AI329" s="50">
        <f>0.005/2</f>
        <v>2.5000000000000001E-3</v>
      </c>
      <c r="AJ329" s="50">
        <f>0.05/2</f>
        <v>2.5000000000000001E-2</v>
      </c>
      <c r="AK329" s="50">
        <f>0.02/2</f>
        <v>0.01</v>
      </c>
      <c r="AL329" s="50">
        <f>0.02/2</f>
        <v>0.01</v>
      </c>
      <c r="AM329" s="50">
        <v>0.442</v>
      </c>
      <c r="AN329" s="50">
        <v>6.8</v>
      </c>
      <c r="AO329" s="49">
        <v>400</v>
      </c>
      <c r="AV329"/>
    </row>
    <row r="330" spans="1:48" ht="15" customHeight="1">
      <c r="A330" s="88" t="s">
        <v>68</v>
      </c>
      <c r="B330" s="50" t="s">
        <v>3554</v>
      </c>
      <c r="C330" s="7" t="s">
        <v>3555</v>
      </c>
      <c r="D330" s="48" t="s">
        <v>347</v>
      </c>
      <c r="E330" s="50" t="s">
        <v>112</v>
      </c>
      <c r="G330" s="76" t="s">
        <v>3557</v>
      </c>
      <c r="H330" s="50">
        <v>4953</v>
      </c>
      <c r="I330" s="49" t="s">
        <v>1</v>
      </c>
      <c r="J330" s="50" t="s">
        <v>81</v>
      </c>
      <c r="K330" s="51">
        <v>41170</v>
      </c>
      <c r="L330" s="115">
        <v>41160</v>
      </c>
      <c r="M330" s="50">
        <f t="shared" si="14"/>
        <v>10</v>
      </c>
      <c r="N330" s="50" t="s">
        <v>2</v>
      </c>
      <c r="O330" s="74">
        <v>6.5</v>
      </c>
      <c r="P330" s="50">
        <v>3.5</v>
      </c>
      <c r="Q330" s="74">
        <v>6.8</v>
      </c>
      <c r="R330" s="50">
        <v>61</v>
      </c>
      <c r="S330" s="74">
        <v>51</v>
      </c>
      <c r="T330" s="50">
        <v>0.24</v>
      </c>
      <c r="U330" s="74">
        <v>2.09</v>
      </c>
      <c r="V330" s="50">
        <v>0.61</v>
      </c>
      <c r="W330" s="74">
        <v>6.2E-2</v>
      </c>
      <c r="X330" s="50">
        <v>0.152</v>
      </c>
      <c r="Y330" s="74">
        <f>0.03/2</f>
        <v>1.4999999999999999E-2</v>
      </c>
      <c r="AE330" s="50">
        <v>3.39</v>
      </c>
      <c r="AN330" s="50"/>
      <c r="AO330" s="49"/>
      <c r="AV330"/>
    </row>
    <row r="331" spans="1:48" ht="15" customHeight="1">
      <c r="A331" s="88" t="s">
        <v>68</v>
      </c>
      <c r="B331" s="50" t="s">
        <v>3320</v>
      </c>
      <c r="C331" s="7" t="s">
        <v>3558</v>
      </c>
      <c r="D331" s="48" t="s">
        <v>2274</v>
      </c>
      <c r="E331" s="50" t="s">
        <v>3559</v>
      </c>
      <c r="F331" s="48"/>
      <c r="G331" s="76" t="s">
        <v>3560</v>
      </c>
      <c r="H331" s="50">
        <v>4953</v>
      </c>
      <c r="I331" s="49" t="s">
        <v>2</v>
      </c>
      <c r="J331" s="50" t="s">
        <v>1503</v>
      </c>
      <c r="K331" s="51">
        <v>40883</v>
      </c>
      <c r="L331" s="115">
        <v>40877</v>
      </c>
      <c r="M331" s="50">
        <f t="shared" si="14"/>
        <v>6</v>
      </c>
      <c r="N331" s="50" t="s">
        <v>2</v>
      </c>
      <c r="O331" s="74">
        <f>5/2</f>
        <v>2.5</v>
      </c>
      <c r="P331" s="50">
        <v>7.72</v>
      </c>
      <c r="Q331" s="74">
        <v>6.4</v>
      </c>
      <c r="R331" s="50">
        <v>380</v>
      </c>
      <c r="S331" s="74">
        <v>1300</v>
      </c>
      <c r="T331" s="50">
        <v>2.1</v>
      </c>
      <c r="U331" s="74">
        <v>9.4</v>
      </c>
      <c r="V331" s="50">
        <f>0.1/2</f>
        <v>0.05</v>
      </c>
      <c r="W331" s="74">
        <v>0.13</v>
      </c>
      <c r="X331" s="50">
        <v>0.38</v>
      </c>
      <c r="Y331" s="74">
        <v>5.8999999999999997E-2</v>
      </c>
      <c r="Z331" s="164">
        <v>0.31900000000000001</v>
      </c>
      <c r="AA331" s="165">
        <v>0.14099999999999999</v>
      </c>
      <c r="AB331" s="50">
        <v>88</v>
      </c>
      <c r="AC331" s="74">
        <v>353</v>
      </c>
      <c r="AD331" s="164">
        <f>0/20</f>
        <v>0</v>
      </c>
      <c r="AN331" s="50"/>
      <c r="AO331" s="49"/>
      <c r="AV331"/>
    </row>
    <row r="332" spans="1:48" ht="15" customHeight="1">
      <c r="A332" s="88" t="s">
        <v>68</v>
      </c>
      <c r="B332" s="50" t="s">
        <v>3320</v>
      </c>
      <c r="C332" s="7" t="s">
        <v>3558</v>
      </c>
      <c r="D332" s="48" t="s">
        <v>2274</v>
      </c>
      <c r="E332" s="50" t="s">
        <v>3559</v>
      </c>
      <c r="F332" s="48"/>
      <c r="G332" s="76" t="s">
        <v>3560</v>
      </c>
      <c r="H332" s="50">
        <v>4953</v>
      </c>
      <c r="I332" s="49" t="s">
        <v>2</v>
      </c>
      <c r="J332" s="50" t="s">
        <v>1503</v>
      </c>
      <c r="K332" s="51">
        <v>41021</v>
      </c>
      <c r="L332" s="115">
        <v>41000</v>
      </c>
      <c r="M332" s="50">
        <f t="shared" si="14"/>
        <v>21</v>
      </c>
      <c r="N332" s="50" t="s">
        <v>2</v>
      </c>
      <c r="O332" s="74">
        <f>5/2</f>
        <v>2.5</v>
      </c>
      <c r="P332" s="50">
        <v>7.82</v>
      </c>
      <c r="Q332" s="74">
        <v>7.25</v>
      </c>
      <c r="R332" s="50">
        <v>74</v>
      </c>
      <c r="S332" s="74">
        <v>150</v>
      </c>
      <c r="T332" s="50">
        <v>0.27</v>
      </c>
      <c r="U332" s="74">
        <f>1/2</f>
        <v>0.5</v>
      </c>
      <c r="V332" s="50">
        <v>0.12</v>
      </c>
      <c r="W332" s="74">
        <v>4.2999999999999997E-2</v>
      </c>
      <c r="X332" s="50">
        <v>0.19</v>
      </c>
      <c r="Y332" s="74">
        <v>9.5000000000000001E-2</v>
      </c>
      <c r="AN332" s="50"/>
      <c r="AO332" s="49"/>
      <c r="AV332"/>
    </row>
    <row r="333" spans="1:48" ht="15" customHeight="1">
      <c r="A333" s="88" t="s">
        <v>68</v>
      </c>
      <c r="B333" s="50" t="s">
        <v>3561</v>
      </c>
      <c r="C333" s="7" t="s">
        <v>3561</v>
      </c>
      <c r="D333" s="48" t="s">
        <v>262</v>
      </c>
      <c r="E333" s="50" t="s">
        <v>3562</v>
      </c>
      <c r="F333" s="48"/>
      <c r="G333" s="76" t="s">
        <v>3565</v>
      </c>
      <c r="H333" s="50">
        <v>4953</v>
      </c>
      <c r="I333" s="49" t="s">
        <v>2</v>
      </c>
      <c r="J333" s="50" t="s">
        <v>3563</v>
      </c>
      <c r="K333" s="51">
        <v>41324</v>
      </c>
      <c r="L333" s="115">
        <v>41316</v>
      </c>
      <c r="M333" s="50">
        <f t="shared" si="14"/>
        <v>8</v>
      </c>
      <c r="N333" s="50" t="s">
        <v>2</v>
      </c>
      <c r="O333" s="74">
        <v>1.3</v>
      </c>
      <c r="P333" s="50">
        <v>8.16</v>
      </c>
      <c r="Q333" s="74">
        <v>6.61</v>
      </c>
      <c r="R333" s="50">
        <v>57</v>
      </c>
      <c r="S333" s="74">
        <v>2</v>
      </c>
      <c r="T333" s="50">
        <v>0.48</v>
      </c>
      <c r="U333" s="74">
        <v>5.25</v>
      </c>
      <c r="V333" s="50">
        <v>0.38</v>
      </c>
      <c r="W333" s="74">
        <v>0.05</v>
      </c>
      <c r="X333" s="50">
        <v>0.26</v>
      </c>
      <c r="Y333" s="74">
        <v>2.5000000000000001E-2</v>
      </c>
      <c r="Z333" s="164">
        <v>1</v>
      </c>
      <c r="AA333" s="165">
        <v>1</v>
      </c>
      <c r="AB333" s="50">
        <v>24</v>
      </c>
      <c r="AC333" s="74">
        <v>99</v>
      </c>
      <c r="AD333" s="164">
        <f>15/20</f>
        <v>0.75</v>
      </c>
      <c r="AE333" s="50">
        <v>0.49</v>
      </c>
      <c r="AN333" s="50"/>
      <c r="AO333" s="49"/>
      <c r="AV333"/>
    </row>
    <row r="334" spans="1:48" ht="15" customHeight="1">
      <c r="A334" s="88" t="s">
        <v>68</v>
      </c>
      <c r="B334" s="50" t="s">
        <v>3561</v>
      </c>
      <c r="C334" s="7" t="s">
        <v>3561</v>
      </c>
      <c r="D334" s="48" t="s">
        <v>262</v>
      </c>
      <c r="E334" s="50" t="s">
        <v>3562</v>
      </c>
      <c r="F334" s="48"/>
      <c r="G334" s="76" t="s">
        <v>3565</v>
      </c>
      <c r="H334" s="50">
        <v>4953</v>
      </c>
      <c r="I334" s="49" t="s">
        <v>2</v>
      </c>
      <c r="J334" s="50" t="s">
        <v>1112</v>
      </c>
      <c r="K334" s="51">
        <v>41324</v>
      </c>
      <c r="L334" s="115">
        <v>41316</v>
      </c>
      <c r="M334" s="50">
        <f t="shared" si="14"/>
        <v>8</v>
      </c>
      <c r="N334" s="50" t="s">
        <v>1</v>
      </c>
      <c r="O334" s="74">
        <v>3.8</v>
      </c>
      <c r="P334" s="50">
        <v>8.16</v>
      </c>
      <c r="Q334" s="74">
        <v>8.26</v>
      </c>
      <c r="R334" s="50">
        <v>374</v>
      </c>
      <c r="S334" s="74">
        <v>73</v>
      </c>
      <c r="T334" s="50">
        <v>1.47</v>
      </c>
      <c r="U334" s="74">
        <v>2.83</v>
      </c>
      <c r="V334" s="50">
        <v>0.95</v>
      </c>
      <c r="W334" s="74">
        <v>0.25</v>
      </c>
      <c r="X334" s="50">
        <v>0.66</v>
      </c>
      <c r="Y334" s="74">
        <v>0.16</v>
      </c>
      <c r="Z334" s="164">
        <v>1</v>
      </c>
      <c r="AA334" s="165">
        <v>1</v>
      </c>
      <c r="AB334" s="50">
        <v>372</v>
      </c>
      <c r="AC334" s="74">
        <v>6470</v>
      </c>
      <c r="AD334" s="164">
        <f>18/20</f>
        <v>0.9</v>
      </c>
      <c r="AE334" s="50">
        <v>2.68</v>
      </c>
      <c r="AN334" s="50"/>
      <c r="AO334" s="49"/>
      <c r="AV334"/>
    </row>
    <row r="335" spans="1:48" ht="15" customHeight="1">
      <c r="A335" s="88" t="s">
        <v>68</v>
      </c>
      <c r="B335" s="50" t="s">
        <v>3561</v>
      </c>
      <c r="C335" s="7" t="s">
        <v>3561</v>
      </c>
      <c r="D335" s="48" t="s">
        <v>262</v>
      </c>
      <c r="E335" s="50" t="s">
        <v>3562</v>
      </c>
      <c r="F335" s="48"/>
      <c r="G335" s="76" t="s">
        <v>3565</v>
      </c>
      <c r="H335" s="50">
        <v>4953</v>
      </c>
      <c r="I335" s="49" t="s">
        <v>2</v>
      </c>
      <c r="J335" s="50" t="s">
        <v>1114</v>
      </c>
      <c r="K335" s="51">
        <v>41240</v>
      </c>
      <c r="L335" s="115">
        <v>41221</v>
      </c>
      <c r="M335" s="50">
        <f t="shared" si="14"/>
        <v>19</v>
      </c>
      <c r="N335" s="50" t="s">
        <v>2</v>
      </c>
      <c r="P335" s="50">
        <v>5.8</v>
      </c>
      <c r="Q335" s="74">
        <v>6.84</v>
      </c>
      <c r="AE335" s="50">
        <v>1.05</v>
      </c>
      <c r="AN335" s="50"/>
      <c r="AO335" s="49"/>
      <c r="AV335"/>
    </row>
    <row r="336" spans="1:48" ht="15" customHeight="1">
      <c r="A336" s="88" t="s">
        <v>68</v>
      </c>
      <c r="B336" s="50" t="s">
        <v>3561</v>
      </c>
      <c r="C336" s="7" t="s">
        <v>3561</v>
      </c>
      <c r="D336" s="48" t="s">
        <v>262</v>
      </c>
      <c r="E336" s="50" t="s">
        <v>3562</v>
      </c>
      <c r="G336" s="48" t="s">
        <v>3565</v>
      </c>
      <c r="H336" s="50">
        <v>4953</v>
      </c>
      <c r="I336" s="49" t="s">
        <v>2</v>
      </c>
      <c r="J336" s="50" t="s">
        <v>3563</v>
      </c>
      <c r="K336" s="51">
        <v>41230</v>
      </c>
      <c r="L336" s="115">
        <v>41221</v>
      </c>
      <c r="M336" s="50">
        <f t="shared" si="14"/>
        <v>9</v>
      </c>
      <c r="N336" s="50" t="s">
        <v>2</v>
      </c>
      <c r="P336" s="50">
        <v>6.88</v>
      </c>
      <c r="Q336" s="74">
        <v>7.97</v>
      </c>
      <c r="AE336" s="50">
        <v>0.7</v>
      </c>
      <c r="AN336" s="50"/>
      <c r="AO336" s="49"/>
      <c r="AV336"/>
    </row>
    <row r="337" spans="1:49" ht="15" customHeight="1">
      <c r="A337" s="88" t="s">
        <v>68</v>
      </c>
      <c r="B337" s="50" t="s">
        <v>3561</v>
      </c>
      <c r="C337" s="7" t="s">
        <v>3561</v>
      </c>
      <c r="D337" s="48" t="s">
        <v>262</v>
      </c>
      <c r="E337" s="50" t="s">
        <v>3562</v>
      </c>
      <c r="F337" s="48"/>
      <c r="G337" s="76" t="s">
        <v>3565</v>
      </c>
      <c r="H337" s="50">
        <v>4953</v>
      </c>
      <c r="I337" s="49" t="s">
        <v>2</v>
      </c>
      <c r="J337" s="50" t="s">
        <v>1114</v>
      </c>
      <c r="K337" s="51">
        <v>41131</v>
      </c>
      <c r="L337" s="115">
        <v>41127</v>
      </c>
      <c r="M337" s="50">
        <f t="shared" si="14"/>
        <v>4</v>
      </c>
      <c r="N337" s="50" t="s">
        <v>2</v>
      </c>
      <c r="O337" s="74">
        <v>3.6</v>
      </c>
      <c r="P337" s="50">
        <v>6.57</v>
      </c>
      <c r="Q337" s="74">
        <v>7.05</v>
      </c>
      <c r="R337" s="50">
        <v>234</v>
      </c>
      <c r="S337" s="74">
        <v>72</v>
      </c>
      <c r="T337" s="50">
        <v>0.85</v>
      </c>
      <c r="U337" s="74">
        <v>4.13</v>
      </c>
      <c r="V337" s="50">
        <v>1.21</v>
      </c>
      <c r="W337" s="74">
        <v>0.12</v>
      </c>
      <c r="X337" s="50">
        <v>0.32</v>
      </c>
      <c r="Y337" s="74">
        <v>0.09</v>
      </c>
      <c r="AE337" s="50">
        <v>0.4</v>
      </c>
      <c r="AN337" s="50"/>
      <c r="AO337" s="49"/>
      <c r="AV337"/>
    </row>
    <row r="338" spans="1:49" ht="15" customHeight="1">
      <c r="A338" s="88" t="s">
        <v>68</v>
      </c>
      <c r="B338" s="50" t="s">
        <v>3561</v>
      </c>
      <c r="C338" s="7" t="s">
        <v>3561</v>
      </c>
      <c r="D338" s="48" t="s">
        <v>262</v>
      </c>
      <c r="E338" s="50" t="s">
        <v>3562</v>
      </c>
      <c r="F338" s="48"/>
      <c r="G338" s="76" t="s">
        <v>3565</v>
      </c>
      <c r="H338" s="50">
        <v>4953</v>
      </c>
      <c r="I338" s="49" t="s">
        <v>2</v>
      </c>
      <c r="J338" s="50" t="s">
        <v>3563</v>
      </c>
      <c r="K338" s="51">
        <v>41131</v>
      </c>
      <c r="L338" s="115">
        <v>41127</v>
      </c>
      <c r="M338" s="50">
        <f t="shared" si="14"/>
        <v>4</v>
      </c>
      <c r="N338" s="50" t="s">
        <v>2</v>
      </c>
      <c r="P338" s="50">
        <v>6.27</v>
      </c>
      <c r="Q338" s="74">
        <v>7.68</v>
      </c>
      <c r="AE338" s="50">
        <v>2.56</v>
      </c>
      <c r="AN338" s="50"/>
      <c r="AO338" s="49"/>
      <c r="AV338"/>
    </row>
    <row r="339" spans="1:49" ht="15" customHeight="1">
      <c r="A339" s="88" t="s">
        <v>68</v>
      </c>
      <c r="B339" s="50" t="s">
        <v>3561</v>
      </c>
      <c r="C339" s="7" t="s">
        <v>3561</v>
      </c>
      <c r="D339" s="48" t="s">
        <v>262</v>
      </c>
      <c r="E339" s="50" t="s">
        <v>1976</v>
      </c>
      <c r="F339" s="48"/>
      <c r="G339" s="76" t="s">
        <v>3565</v>
      </c>
      <c r="H339" s="50">
        <v>4953</v>
      </c>
      <c r="I339" s="49" t="s">
        <v>2</v>
      </c>
      <c r="J339" s="50" t="s">
        <v>3566</v>
      </c>
      <c r="K339" s="51">
        <v>41131</v>
      </c>
      <c r="L339" s="115">
        <v>41127</v>
      </c>
      <c r="M339" s="50">
        <f t="shared" si="14"/>
        <v>4</v>
      </c>
      <c r="N339" s="50" t="s">
        <v>2</v>
      </c>
      <c r="P339" s="50">
        <v>6.47</v>
      </c>
      <c r="Q339" s="74">
        <v>8.0500000000000007</v>
      </c>
      <c r="AE339" s="50">
        <v>2.9</v>
      </c>
      <c r="AN339" s="50"/>
      <c r="AO339" s="49"/>
      <c r="AV339"/>
    </row>
    <row r="340" spans="1:49" ht="15" customHeight="1">
      <c r="A340" s="88" t="s">
        <v>68</v>
      </c>
      <c r="B340" s="50" t="s">
        <v>3561</v>
      </c>
      <c r="C340" s="7" t="s">
        <v>3561</v>
      </c>
      <c r="D340" s="48" t="s">
        <v>262</v>
      </c>
      <c r="E340" s="50" t="s">
        <v>1976</v>
      </c>
      <c r="F340" s="48"/>
      <c r="G340" s="76" t="s">
        <v>3565</v>
      </c>
      <c r="H340" s="50">
        <v>4953</v>
      </c>
      <c r="I340" s="49" t="s">
        <v>2</v>
      </c>
      <c r="J340" s="50" t="s">
        <v>3566</v>
      </c>
      <c r="K340" s="51">
        <v>41180</v>
      </c>
      <c r="L340" s="115">
        <v>41170</v>
      </c>
      <c r="M340" s="50">
        <f t="shared" si="14"/>
        <v>10</v>
      </c>
      <c r="N340" s="50" t="s">
        <v>2</v>
      </c>
      <c r="O340" s="74">
        <v>0.5</v>
      </c>
      <c r="P340" s="50">
        <v>8.1300000000000008</v>
      </c>
      <c r="Q340" s="74">
        <v>8.31</v>
      </c>
      <c r="R340" s="50">
        <v>32</v>
      </c>
      <c r="S340" s="74">
        <v>8</v>
      </c>
      <c r="T340" s="50">
        <v>0.2</v>
      </c>
      <c r="U340" s="74">
        <v>0.84</v>
      </c>
      <c r="V340" s="50">
        <v>1.6</v>
      </c>
      <c r="W340" s="74">
        <v>0.05</v>
      </c>
      <c r="X340" s="50">
        <v>0.08</v>
      </c>
      <c r="Y340" s="74">
        <v>1.2500000000000001E-2</v>
      </c>
      <c r="AB340" s="50">
        <v>0.5</v>
      </c>
      <c r="AE340" s="50">
        <v>0.5</v>
      </c>
      <c r="AN340" s="50"/>
      <c r="AO340" s="49"/>
      <c r="AV340"/>
    </row>
    <row r="341" spans="1:49" ht="15" customHeight="1">
      <c r="A341" s="88" t="s">
        <v>68</v>
      </c>
      <c r="B341" s="50" t="s">
        <v>1523</v>
      </c>
      <c r="C341" s="7" t="s">
        <v>3567</v>
      </c>
      <c r="D341" s="48" t="s">
        <v>1524</v>
      </c>
      <c r="E341" s="50" t="s">
        <v>3568</v>
      </c>
      <c r="F341" s="48"/>
      <c r="G341" s="76" t="s">
        <v>1526</v>
      </c>
      <c r="H341" s="50">
        <v>4953</v>
      </c>
      <c r="I341" s="49" t="s">
        <v>2</v>
      </c>
      <c r="J341" s="50" t="s">
        <v>1527</v>
      </c>
      <c r="K341" s="51">
        <v>41073</v>
      </c>
      <c r="L341" s="115">
        <v>41066</v>
      </c>
      <c r="M341" s="50">
        <f t="shared" si="14"/>
        <v>7</v>
      </c>
      <c r="N341" s="50" t="s">
        <v>2</v>
      </c>
      <c r="O341" s="74">
        <f>5/2</f>
        <v>2.5</v>
      </c>
      <c r="P341" s="50">
        <v>7.57</v>
      </c>
      <c r="Q341" s="74">
        <v>6.57</v>
      </c>
      <c r="R341" s="50">
        <v>92.8</v>
      </c>
      <c r="S341" s="74">
        <v>10</v>
      </c>
      <c r="T341" s="50">
        <v>0.26</v>
      </c>
      <c r="U341" s="74">
        <v>2.1</v>
      </c>
      <c r="V341" s="50">
        <f>0.05/2</f>
        <v>2.5000000000000001E-2</v>
      </c>
      <c r="W341" s="74">
        <v>6.8000000000000005E-2</v>
      </c>
      <c r="X341" s="50">
        <v>0.25</v>
      </c>
      <c r="Y341" s="74">
        <v>6.0999999999999999E-2</v>
      </c>
      <c r="Z341" s="164">
        <v>1</v>
      </c>
      <c r="AA341" s="165">
        <v>1</v>
      </c>
      <c r="AB341" s="50">
        <v>168</v>
      </c>
      <c r="AC341" s="74">
        <v>515</v>
      </c>
      <c r="AD341" s="164">
        <f>20/20</f>
        <v>1</v>
      </c>
      <c r="AE341" s="50">
        <v>1.1000000000000001</v>
      </c>
      <c r="AN341" s="50"/>
      <c r="AO341" s="49"/>
      <c r="AV341"/>
    </row>
    <row r="342" spans="1:49" ht="15" customHeight="1">
      <c r="A342" s="88" t="s">
        <v>68</v>
      </c>
      <c r="B342" s="50" t="s">
        <v>1523</v>
      </c>
      <c r="C342" s="7" t="s">
        <v>3567</v>
      </c>
      <c r="D342" s="48" t="s">
        <v>1524</v>
      </c>
      <c r="E342" s="50" t="s">
        <v>3568</v>
      </c>
      <c r="F342" s="48"/>
      <c r="G342" s="76" t="s">
        <v>1526</v>
      </c>
      <c r="H342" s="50">
        <v>4953</v>
      </c>
      <c r="I342" s="49" t="s">
        <v>2</v>
      </c>
      <c r="J342" s="50" t="s">
        <v>1528</v>
      </c>
      <c r="K342" s="51">
        <v>41073</v>
      </c>
      <c r="L342" s="115">
        <v>41066</v>
      </c>
      <c r="M342" s="50">
        <f t="shared" si="14"/>
        <v>7</v>
      </c>
      <c r="N342" s="50" t="s">
        <v>2</v>
      </c>
      <c r="O342" s="74">
        <f>5/2</f>
        <v>2.5</v>
      </c>
      <c r="P342" s="50">
        <v>6.57</v>
      </c>
      <c r="Q342" s="74">
        <v>6.89</v>
      </c>
      <c r="R342" s="50">
        <f>4/2</f>
        <v>2</v>
      </c>
      <c r="S342" s="74">
        <f>0.01/2</f>
        <v>5.0000000000000001E-3</v>
      </c>
      <c r="T342" s="50">
        <v>0.05</v>
      </c>
      <c r="U342" s="74">
        <v>0.73</v>
      </c>
      <c r="V342" s="50">
        <v>0.33</v>
      </c>
      <c r="W342" s="74">
        <f>0.01/2</f>
        <v>5.0000000000000001E-3</v>
      </c>
      <c r="X342" s="50">
        <v>0.22</v>
      </c>
      <c r="Y342" s="74">
        <v>5.8999999999999999E-3</v>
      </c>
      <c r="Z342" s="164">
        <v>0.88800000000000001</v>
      </c>
      <c r="AA342" s="165">
        <v>0.61599999999999999</v>
      </c>
      <c r="AB342" s="50">
        <v>6</v>
      </c>
      <c r="AC342" s="74">
        <v>27</v>
      </c>
      <c r="AD342" s="164">
        <f>0/20</f>
        <v>0</v>
      </c>
      <c r="AE342" s="50">
        <v>0.16</v>
      </c>
      <c r="AN342" s="50"/>
      <c r="AO342" s="49"/>
      <c r="AV342"/>
    </row>
    <row r="343" spans="1:49" ht="15" customHeight="1">
      <c r="A343" s="88" t="s">
        <v>68</v>
      </c>
      <c r="B343" s="50" t="s">
        <v>3339</v>
      </c>
      <c r="C343" s="7" t="s">
        <v>3569</v>
      </c>
      <c r="D343" s="48" t="s">
        <v>516</v>
      </c>
      <c r="F343" s="50" t="s">
        <v>3570</v>
      </c>
      <c r="G343" s="76" t="s">
        <v>3571</v>
      </c>
      <c r="H343" s="50">
        <v>4953</v>
      </c>
      <c r="I343" s="49" t="s">
        <v>2</v>
      </c>
      <c r="J343" s="50" t="s">
        <v>510</v>
      </c>
      <c r="K343" s="51">
        <v>41136</v>
      </c>
      <c r="L343" s="115">
        <v>41131</v>
      </c>
      <c r="M343" s="50">
        <f t="shared" si="14"/>
        <v>5</v>
      </c>
      <c r="N343" s="50" t="s">
        <v>2</v>
      </c>
      <c r="O343" s="74">
        <v>21</v>
      </c>
      <c r="P343" s="50">
        <v>6.5</v>
      </c>
      <c r="Q343" s="74">
        <v>6.69</v>
      </c>
      <c r="R343" s="50">
        <v>290</v>
      </c>
      <c r="S343" s="74">
        <v>180</v>
      </c>
      <c r="T343" s="50">
        <v>0.33</v>
      </c>
      <c r="U343" s="74">
        <v>2.59</v>
      </c>
      <c r="V343" s="50">
        <v>0.21</v>
      </c>
      <c r="W343" s="74">
        <v>5.6000000000000001E-2</v>
      </c>
      <c r="X343" s="50">
        <v>0.374</v>
      </c>
      <c r="Y343" s="74">
        <v>6.3E-2</v>
      </c>
      <c r="Z343" s="164">
        <v>0.70699999999999996</v>
      </c>
      <c r="AA343" s="165">
        <v>0.70699999999999996</v>
      </c>
      <c r="AB343" s="50">
        <v>46</v>
      </c>
      <c r="AC343" s="74">
        <v>133</v>
      </c>
      <c r="AD343" s="164">
        <f>0/20</f>
        <v>0</v>
      </c>
      <c r="AE343" s="50">
        <v>5.89</v>
      </c>
      <c r="AN343" s="50"/>
      <c r="AO343" s="49"/>
      <c r="AR343" s="50">
        <f>0.0002/2</f>
        <v>1E-4</v>
      </c>
      <c r="AS343" s="49">
        <v>3.59</v>
      </c>
      <c r="AV343"/>
    </row>
    <row r="344" spans="1:49" ht="15" customHeight="1">
      <c r="A344" s="88" t="s">
        <v>68</v>
      </c>
      <c r="B344" s="50" t="s">
        <v>3339</v>
      </c>
      <c r="C344" s="7" t="s">
        <v>3569</v>
      </c>
      <c r="D344" s="48" t="s">
        <v>516</v>
      </c>
      <c r="F344" s="50" t="s">
        <v>3570</v>
      </c>
      <c r="G344" s="76" t="s">
        <v>3571</v>
      </c>
      <c r="H344" s="50">
        <v>4953</v>
      </c>
      <c r="I344" s="49" t="s">
        <v>2</v>
      </c>
      <c r="J344" s="50" t="s">
        <v>460</v>
      </c>
      <c r="K344" s="51">
        <v>41136</v>
      </c>
      <c r="L344" s="115">
        <v>41131</v>
      </c>
      <c r="M344" s="50">
        <f t="shared" si="14"/>
        <v>5</v>
      </c>
      <c r="N344" s="50" t="s">
        <v>2</v>
      </c>
      <c r="O344" s="74">
        <v>19</v>
      </c>
      <c r="P344" s="50">
        <v>6.5</v>
      </c>
      <c r="Q344" s="74">
        <v>6.99</v>
      </c>
      <c r="R344" s="50">
        <v>250</v>
      </c>
      <c r="S344" s="74">
        <v>200</v>
      </c>
      <c r="T344" s="50">
        <v>0.44</v>
      </c>
      <c r="U344" s="74">
        <v>4.82</v>
      </c>
      <c r="V344" s="50">
        <v>0.37</v>
      </c>
      <c r="W344" s="74">
        <v>7.4999999999999997E-2</v>
      </c>
      <c r="X344" s="50">
        <v>0.64600000000000002</v>
      </c>
      <c r="Y344" s="74">
        <v>0.112</v>
      </c>
      <c r="Z344" s="164">
        <v>1</v>
      </c>
      <c r="AA344" s="165">
        <v>1</v>
      </c>
      <c r="AB344" s="50">
        <v>58</v>
      </c>
      <c r="AC344" s="74">
        <v>186</v>
      </c>
      <c r="AD344" s="164">
        <f>17/20</f>
        <v>0.85</v>
      </c>
      <c r="AE344" s="50">
        <v>7.72</v>
      </c>
      <c r="AN344" s="50"/>
      <c r="AO344" s="49"/>
      <c r="AR344" s="50">
        <f>0.0002/2</f>
        <v>1E-4</v>
      </c>
      <c r="AS344" s="49">
        <v>3.83</v>
      </c>
      <c r="AV344"/>
    </row>
    <row r="345" spans="1:49" ht="15" customHeight="1">
      <c r="A345" s="88" t="s">
        <v>68</v>
      </c>
      <c r="B345" s="50" t="s">
        <v>1122</v>
      </c>
      <c r="C345" s="7" t="s">
        <v>1122</v>
      </c>
      <c r="D345" s="48" t="s">
        <v>205</v>
      </c>
      <c r="E345" s="50" t="s">
        <v>1123</v>
      </c>
      <c r="F345" s="48"/>
      <c r="G345" s="76" t="s">
        <v>1124</v>
      </c>
      <c r="H345" s="50">
        <v>4953</v>
      </c>
      <c r="I345" s="49" t="s">
        <v>2</v>
      </c>
      <c r="J345" s="50" t="s">
        <v>81</v>
      </c>
      <c r="K345" s="51">
        <v>41226</v>
      </c>
      <c r="L345" s="115">
        <v>41220</v>
      </c>
      <c r="M345" s="50">
        <f t="shared" si="14"/>
        <v>6</v>
      </c>
      <c r="N345" s="50" t="s">
        <v>2</v>
      </c>
      <c r="O345" s="74">
        <v>1.6</v>
      </c>
      <c r="P345" s="50">
        <v>4.09</v>
      </c>
      <c r="Q345" s="74">
        <v>6.37</v>
      </c>
      <c r="R345" s="50">
        <v>50</v>
      </c>
      <c r="S345" s="74">
        <v>280</v>
      </c>
      <c r="T345" s="50">
        <v>1.78</v>
      </c>
      <c r="U345" s="74">
        <v>3.83</v>
      </c>
      <c r="V345" s="50">
        <v>0.3</v>
      </c>
      <c r="W345" s="74">
        <v>0.14599999999999999</v>
      </c>
      <c r="X345" s="50">
        <v>0.504</v>
      </c>
      <c r="Y345" s="74">
        <v>0.21199999999999999</v>
      </c>
      <c r="Z345" s="164">
        <v>1</v>
      </c>
      <c r="AA345" s="165">
        <v>1</v>
      </c>
      <c r="AB345" s="50">
        <v>82</v>
      </c>
      <c r="AC345" s="74">
        <v>341</v>
      </c>
      <c r="AD345" s="164">
        <v>1</v>
      </c>
      <c r="AE345" s="50">
        <v>23.2</v>
      </c>
      <c r="AF345" s="50">
        <v>7.8</v>
      </c>
      <c r="AG345" s="50">
        <v>280</v>
      </c>
      <c r="AH345" s="50">
        <v>0.2</v>
      </c>
      <c r="AI345" s="50">
        <f>0.01/2</f>
        <v>5.0000000000000001E-3</v>
      </c>
      <c r="AJ345" s="50">
        <f>0.01/2</f>
        <v>5.0000000000000001E-3</v>
      </c>
      <c r="AK345" s="50">
        <f>0.01/2</f>
        <v>5.0000000000000001E-3</v>
      </c>
      <c r="AL345" s="50">
        <f>0.01/2</f>
        <v>5.0000000000000001E-3</v>
      </c>
      <c r="AM345" s="50">
        <v>0.504</v>
      </c>
      <c r="AN345" s="50">
        <v>6.37</v>
      </c>
      <c r="AO345" s="49"/>
      <c r="AV345"/>
    </row>
    <row r="346" spans="1:49" ht="15" customHeight="1">
      <c r="A346" s="88" t="s">
        <v>68</v>
      </c>
      <c r="B346" s="50" t="s">
        <v>3514</v>
      </c>
      <c r="C346" s="7" t="s">
        <v>3572</v>
      </c>
      <c r="D346" s="48" t="s">
        <v>89</v>
      </c>
      <c r="F346" s="50" t="s">
        <v>3573</v>
      </c>
      <c r="G346" s="76" t="s">
        <v>3574</v>
      </c>
      <c r="H346" s="50">
        <v>4953</v>
      </c>
      <c r="I346" s="49" t="s">
        <v>2</v>
      </c>
      <c r="J346" s="50" t="s">
        <v>510</v>
      </c>
      <c r="K346" s="51">
        <v>40920</v>
      </c>
      <c r="L346" s="115">
        <v>40909</v>
      </c>
      <c r="M346" s="50">
        <f t="shared" si="14"/>
        <v>11</v>
      </c>
      <c r="N346" s="50" t="s">
        <v>2</v>
      </c>
      <c r="O346" s="74">
        <v>8.1999999999999993</v>
      </c>
      <c r="P346" s="50">
        <v>7.53</v>
      </c>
      <c r="Q346" s="74">
        <v>7.24</v>
      </c>
      <c r="R346" s="50">
        <v>39</v>
      </c>
      <c r="S346" s="74">
        <v>100</v>
      </c>
      <c r="T346" s="50">
        <v>0.56000000000000005</v>
      </c>
      <c r="U346" s="74">
        <v>3.27</v>
      </c>
      <c r="V346" s="50">
        <v>0.14000000000000001</v>
      </c>
      <c r="W346" s="74">
        <v>5.0999999999999997E-2</v>
      </c>
      <c r="X346" s="50">
        <v>0.19700000000000001</v>
      </c>
      <c r="Y346" s="74">
        <v>4.5999999999999999E-2</v>
      </c>
      <c r="Z346" s="164">
        <v>0.48299999999999998</v>
      </c>
      <c r="AA346" s="165">
        <v>0.35399999999999998</v>
      </c>
      <c r="AB346" s="50">
        <v>84</v>
      </c>
      <c r="AC346" s="74">
        <v>360</v>
      </c>
      <c r="AD346" s="164">
        <f>0/20</f>
        <v>0</v>
      </c>
      <c r="AN346" s="50"/>
      <c r="AO346" s="49"/>
      <c r="AV346"/>
    </row>
    <row r="347" spans="1:49" ht="15" customHeight="1">
      <c r="A347" s="88" t="s">
        <v>68</v>
      </c>
      <c r="B347" s="50" t="s">
        <v>3514</v>
      </c>
      <c r="C347" s="7" t="s">
        <v>3572</v>
      </c>
      <c r="D347" s="48" t="s">
        <v>89</v>
      </c>
      <c r="F347" s="50" t="s">
        <v>3573</v>
      </c>
      <c r="G347" s="76" t="s">
        <v>3574</v>
      </c>
      <c r="H347" s="50">
        <v>4953</v>
      </c>
      <c r="I347" s="49" t="s">
        <v>2</v>
      </c>
      <c r="J347" s="50" t="s">
        <v>510</v>
      </c>
      <c r="K347" s="51">
        <v>41085</v>
      </c>
      <c r="L347" s="115">
        <v>41082</v>
      </c>
      <c r="M347" s="50">
        <f t="shared" si="14"/>
        <v>3</v>
      </c>
      <c r="N347" s="50" t="s">
        <v>2</v>
      </c>
      <c r="O347" s="74">
        <v>6.2</v>
      </c>
      <c r="P347" s="50">
        <v>6.5</v>
      </c>
      <c r="Q347" s="74">
        <v>7.41</v>
      </c>
      <c r="R347" s="50">
        <v>145</v>
      </c>
      <c r="S347" s="74">
        <v>86</v>
      </c>
      <c r="T347" s="50">
        <v>0.45</v>
      </c>
      <c r="U347" s="74">
        <v>3.64</v>
      </c>
      <c r="V347" s="50">
        <f>0.01/2</f>
        <v>5.0000000000000001E-3</v>
      </c>
      <c r="W347" s="74">
        <v>0.03</v>
      </c>
      <c r="X347" s="50">
        <v>0.33200000000000002</v>
      </c>
      <c r="Y347" s="74">
        <v>6.7000000000000004E-2</v>
      </c>
      <c r="AN347" s="50"/>
      <c r="AO347" s="49"/>
      <c r="AV347"/>
    </row>
    <row r="348" spans="1:49" ht="15" customHeight="1">
      <c r="A348" s="88" t="s">
        <v>68</v>
      </c>
      <c r="B348" s="50" t="s">
        <v>3339</v>
      </c>
      <c r="C348" s="7" t="s">
        <v>3575</v>
      </c>
      <c r="D348" s="48" t="s">
        <v>516</v>
      </c>
      <c r="F348" s="50" t="s">
        <v>3570</v>
      </c>
      <c r="G348" s="76" t="s">
        <v>3576</v>
      </c>
      <c r="H348" s="50">
        <v>5093</v>
      </c>
      <c r="I348" s="49" t="s">
        <v>2</v>
      </c>
      <c r="J348" s="50" t="s">
        <v>510</v>
      </c>
      <c r="K348" s="51">
        <v>41136</v>
      </c>
      <c r="L348" s="115">
        <v>41131</v>
      </c>
      <c r="M348" s="50">
        <f t="shared" si="14"/>
        <v>5</v>
      </c>
      <c r="N348" s="50" t="s">
        <v>2</v>
      </c>
      <c r="O348" s="74">
        <v>8.8000000000000007</v>
      </c>
      <c r="P348" s="50">
        <v>6.5</v>
      </c>
      <c r="Q348" s="74">
        <v>7.18</v>
      </c>
      <c r="R348" s="50">
        <v>300</v>
      </c>
      <c r="S348" s="74">
        <v>190</v>
      </c>
      <c r="T348" s="50">
        <v>0.45</v>
      </c>
      <c r="U348" s="74">
        <v>8.25</v>
      </c>
      <c r="V348" s="50">
        <v>0.12</v>
      </c>
      <c r="W348" s="74">
        <v>0.107</v>
      </c>
      <c r="X348" s="50">
        <v>0.32800000000000001</v>
      </c>
      <c r="Y348" s="74">
        <v>0.20499999999999999</v>
      </c>
      <c r="AN348" s="50"/>
      <c r="AO348" s="49"/>
      <c r="AV348"/>
    </row>
    <row r="349" spans="1:49" ht="15" customHeight="1">
      <c r="A349" s="88" t="s">
        <v>68</v>
      </c>
      <c r="B349" s="50" t="s">
        <v>3339</v>
      </c>
      <c r="C349" s="7" t="s">
        <v>3575</v>
      </c>
      <c r="D349" s="48" t="s">
        <v>516</v>
      </c>
      <c r="F349" s="50" t="s">
        <v>3570</v>
      </c>
      <c r="G349" s="76" t="s">
        <v>3576</v>
      </c>
      <c r="H349" s="50">
        <v>5093</v>
      </c>
      <c r="I349" s="49" t="s">
        <v>2</v>
      </c>
      <c r="J349" s="50" t="s">
        <v>510</v>
      </c>
      <c r="K349" s="51">
        <v>41021</v>
      </c>
      <c r="L349" s="115">
        <v>41000</v>
      </c>
      <c r="M349" s="50">
        <f t="shared" si="14"/>
        <v>21</v>
      </c>
      <c r="N349" s="50" t="s">
        <v>2</v>
      </c>
      <c r="O349" s="74">
        <v>7.6</v>
      </c>
      <c r="P349" s="50">
        <v>6.5</v>
      </c>
      <c r="Q349" s="74">
        <v>6.98</v>
      </c>
      <c r="R349" s="50">
        <v>150</v>
      </c>
      <c r="S349" s="74">
        <v>24</v>
      </c>
      <c r="T349" s="50">
        <v>0.37</v>
      </c>
      <c r="U349" s="74">
        <v>3.46</v>
      </c>
      <c r="V349" s="50">
        <f>0.01/2</f>
        <v>5.0000000000000001E-3</v>
      </c>
      <c r="W349" s="74">
        <v>4.5999999999999999E-2</v>
      </c>
      <c r="X349" s="50">
        <v>0.10100000000000001</v>
      </c>
      <c r="Y349" s="74">
        <v>3.3000000000000002E-2</v>
      </c>
      <c r="Z349" s="164">
        <v>0.70699999999999996</v>
      </c>
      <c r="AA349" s="165">
        <v>0.70699999999999996</v>
      </c>
      <c r="AB349" s="50">
        <v>320</v>
      </c>
      <c r="AC349" s="74">
        <v>660</v>
      </c>
      <c r="AD349" s="164">
        <f>0/20</f>
        <v>0</v>
      </c>
      <c r="AN349" s="50"/>
      <c r="AO349" s="49"/>
      <c r="AV349"/>
    </row>
    <row r="350" spans="1:49" ht="15" customHeight="1">
      <c r="A350" s="88" t="s">
        <v>68</v>
      </c>
      <c r="B350" s="50" t="s">
        <v>3577</v>
      </c>
      <c r="C350" s="7" t="s">
        <v>392</v>
      </c>
      <c r="D350" s="48" t="s">
        <v>3578</v>
      </c>
      <c r="E350" s="50" t="s">
        <v>3579</v>
      </c>
      <c r="F350" s="48"/>
      <c r="G350" s="76" t="s">
        <v>3587</v>
      </c>
      <c r="H350" s="50">
        <v>4953</v>
      </c>
      <c r="I350" s="49" t="s">
        <v>1</v>
      </c>
      <c r="J350" s="50" t="s">
        <v>74</v>
      </c>
      <c r="K350" s="51">
        <v>41110</v>
      </c>
      <c r="L350" s="115">
        <v>41105</v>
      </c>
      <c r="M350" s="50">
        <f t="shared" ref="M350:M357" si="15">K350-L350</f>
        <v>5</v>
      </c>
      <c r="N350" s="50" t="s">
        <v>2</v>
      </c>
      <c r="O350" s="74">
        <f>1/2</f>
        <v>0.5</v>
      </c>
      <c r="P350" s="50">
        <v>5.65</v>
      </c>
      <c r="Q350" s="74">
        <v>6.78</v>
      </c>
      <c r="R350" s="50">
        <v>71.3</v>
      </c>
      <c r="S350" s="74">
        <f>1/2</f>
        <v>0.5</v>
      </c>
      <c r="T350" s="50">
        <v>0.18</v>
      </c>
      <c r="U350" s="74">
        <v>1.4</v>
      </c>
      <c r="V350" s="50">
        <v>0.46</v>
      </c>
      <c r="W350" s="74">
        <v>6.0000000000000001E-3</v>
      </c>
      <c r="X350" s="50">
        <v>2.9000000000000001E-2</v>
      </c>
      <c r="Y350" s="74">
        <v>3.0000000000000001E-3</v>
      </c>
      <c r="Z350" s="164">
        <v>1</v>
      </c>
      <c r="AA350" s="165">
        <v>1</v>
      </c>
      <c r="AB350" s="50">
        <v>85.71</v>
      </c>
      <c r="AC350" s="74">
        <v>313</v>
      </c>
      <c r="AD350" s="164">
        <f>20/20</f>
        <v>1</v>
      </c>
      <c r="AN350" s="50"/>
      <c r="AO350" s="49">
        <v>920</v>
      </c>
      <c r="AV350"/>
    </row>
    <row r="351" spans="1:49" ht="15" customHeight="1">
      <c r="A351" s="88" t="s">
        <v>68</v>
      </c>
      <c r="B351" s="50" t="s">
        <v>3577</v>
      </c>
      <c r="C351" s="7" t="s">
        <v>392</v>
      </c>
      <c r="D351" s="48" t="s">
        <v>3578</v>
      </c>
      <c r="E351" s="50" t="s">
        <v>3579</v>
      </c>
      <c r="F351" s="48"/>
      <c r="G351" s="76" t="s">
        <v>3587</v>
      </c>
      <c r="H351" s="50">
        <v>4953</v>
      </c>
      <c r="I351" s="49" t="s">
        <v>1</v>
      </c>
      <c r="J351" s="50" t="s">
        <v>75</v>
      </c>
      <c r="K351" s="51">
        <v>41110</v>
      </c>
      <c r="L351" s="115">
        <v>41105</v>
      </c>
      <c r="M351" s="50">
        <f t="shared" si="15"/>
        <v>5</v>
      </c>
      <c r="N351" s="50" t="s">
        <v>2</v>
      </c>
      <c r="O351" s="74">
        <f>1/2</f>
        <v>0.5</v>
      </c>
      <c r="P351" s="50">
        <v>5.65</v>
      </c>
      <c r="Q351" s="74">
        <v>7.21</v>
      </c>
      <c r="R351" s="50">
        <v>35.299999999999997</v>
      </c>
      <c r="S351" s="74">
        <f>1/2</f>
        <v>0.5</v>
      </c>
      <c r="T351" s="50">
        <v>0.26</v>
      </c>
      <c r="U351" s="74">
        <v>0.64</v>
      </c>
      <c r="V351" s="50">
        <v>0.77</v>
      </c>
      <c r="W351" s="74">
        <v>7.0000000000000001E-3</v>
      </c>
      <c r="X351" s="50">
        <v>1.9E-2</v>
      </c>
      <c r="Y351" s="74">
        <v>2E-3</v>
      </c>
      <c r="Z351" s="164">
        <v>1</v>
      </c>
      <c r="AA351" s="165">
        <v>1</v>
      </c>
      <c r="AB351" s="50">
        <v>84.04</v>
      </c>
      <c r="AC351" s="74">
        <v>329</v>
      </c>
      <c r="AD351" s="164">
        <f>20/20</f>
        <v>1</v>
      </c>
      <c r="AN351" s="50"/>
      <c r="AO351" s="49">
        <v>480</v>
      </c>
      <c r="AV351"/>
    </row>
    <row r="352" spans="1:49" ht="15" customHeight="1">
      <c r="A352" s="88" t="s">
        <v>68</v>
      </c>
      <c r="B352" s="50" t="s">
        <v>3577</v>
      </c>
      <c r="C352" s="7" t="s">
        <v>392</v>
      </c>
      <c r="D352" s="48" t="s">
        <v>3578</v>
      </c>
      <c r="E352" s="50" t="s">
        <v>3579</v>
      </c>
      <c r="F352" s="48"/>
      <c r="G352" s="76" t="s">
        <v>3587</v>
      </c>
      <c r="H352" s="50">
        <v>4953</v>
      </c>
      <c r="I352" s="49" t="s">
        <v>1</v>
      </c>
      <c r="J352" s="50" t="s">
        <v>3580</v>
      </c>
      <c r="K352" s="51">
        <v>41110</v>
      </c>
      <c r="L352" s="115">
        <v>41105</v>
      </c>
      <c r="M352" s="50">
        <f t="shared" si="15"/>
        <v>5</v>
      </c>
      <c r="N352" s="50" t="s">
        <v>2</v>
      </c>
      <c r="O352" s="74">
        <f>1/2</f>
        <v>0.5</v>
      </c>
      <c r="P352" s="50">
        <v>5.65</v>
      </c>
      <c r="Q352" s="74">
        <v>6.9</v>
      </c>
      <c r="R352" s="50">
        <f>1/2</f>
        <v>0.5</v>
      </c>
      <c r="S352" s="74">
        <v>3</v>
      </c>
      <c r="T352" s="50">
        <v>0.28000000000000003</v>
      </c>
      <c r="U352" s="74">
        <v>0.74</v>
      </c>
      <c r="V352" s="50">
        <v>0.56000000000000005</v>
      </c>
      <c r="W352" s="74">
        <v>7.0000000000000001E-3</v>
      </c>
      <c r="X352" s="50">
        <v>3.9E-2</v>
      </c>
      <c r="Y352" s="74">
        <v>6.0000000000000001E-3</v>
      </c>
      <c r="Z352" s="164">
        <v>1</v>
      </c>
      <c r="AA352" s="165">
        <v>1</v>
      </c>
      <c r="AB352" s="50">
        <v>80.680000000000007</v>
      </c>
      <c r="AC352" s="74">
        <v>301</v>
      </c>
      <c r="AD352" s="164">
        <f>19/20</f>
        <v>0.95</v>
      </c>
      <c r="AE352" s="50">
        <v>1.45</v>
      </c>
      <c r="AF352" s="50">
        <v>1.8</v>
      </c>
      <c r="AG352" s="50">
        <v>3</v>
      </c>
      <c r="AH352" s="50">
        <v>0.3</v>
      </c>
      <c r="AI352" s="50">
        <f t="shared" ref="AI352:AL353" si="16">0.005/2</f>
        <v>2.5000000000000001E-3</v>
      </c>
      <c r="AJ352" s="50">
        <f t="shared" si="16"/>
        <v>2.5000000000000001E-3</v>
      </c>
      <c r="AK352" s="50">
        <f t="shared" si="16"/>
        <v>2.5000000000000001E-3</v>
      </c>
      <c r="AL352" s="50">
        <f t="shared" si="16"/>
        <v>2.5000000000000001E-3</v>
      </c>
      <c r="AM352" s="50">
        <v>3.9E-2</v>
      </c>
      <c r="AN352" s="50">
        <v>6.9</v>
      </c>
      <c r="AO352" s="49">
        <v>390</v>
      </c>
      <c r="AV352">
        <f>0.01/2</f>
        <v>5.0000000000000001E-3</v>
      </c>
      <c r="AW352" s="5">
        <v>124.4</v>
      </c>
    </row>
    <row r="353" spans="1:49" ht="15" customHeight="1">
      <c r="A353" s="88" t="s">
        <v>68</v>
      </c>
      <c r="B353" s="50" t="s">
        <v>3577</v>
      </c>
      <c r="C353" s="7" t="s">
        <v>392</v>
      </c>
      <c r="D353" s="48" t="s">
        <v>3578</v>
      </c>
      <c r="E353" s="50" t="s">
        <v>3579</v>
      </c>
      <c r="F353" s="48"/>
      <c r="G353" s="76" t="s">
        <v>3587</v>
      </c>
      <c r="H353" s="50">
        <v>4953</v>
      </c>
      <c r="I353" s="49" t="s">
        <v>1</v>
      </c>
      <c r="J353" s="50" t="s">
        <v>3581</v>
      </c>
      <c r="K353" s="51">
        <v>41110</v>
      </c>
      <c r="L353" s="115">
        <v>41105</v>
      </c>
      <c r="M353" s="50">
        <f t="shared" si="15"/>
        <v>5</v>
      </c>
      <c r="N353" s="50" t="s">
        <v>2</v>
      </c>
      <c r="O353" s="74">
        <f>1/2</f>
        <v>0.5</v>
      </c>
      <c r="P353" s="50">
        <v>5.65</v>
      </c>
      <c r="Q353" s="74">
        <v>7.21</v>
      </c>
      <c r="R353" s="50">
        <f>1/2</f>
        <v>0.5</v>
      </c>
      <c r="S353" s="74">
        <f>1/2</f>
        <v>0.5</v>
      </c>
      <c r="T353" s="50">
        <v>0.24</v>
      </c>
      <c r="U353" s="74">
        <v>0.61</v>
      </c>
      <c r="V353" s="50">
        <v>0.81</v>
      </c>
      <c r="W353" s="74">
        <v>7.0000000000000001E-3</v>
      </c>
      <c r="X353" s="50">
        <v>1.6E-2</v>
      </c>
      <c r="Y353" s="74">
        <f>0.002/2</f>
        <v>1E-3</v>
      </c>
      <c r="Z353" s="164">
        <v>1</v>
      </c>
      <c r="AA353" s="165">
        <v>1</v>
      </c>
      <c r="AB353" s="50">
        <v>80.959999999999994</v>
      </c>
      <c r="AC353" s="74">
        <v>286</v>
      </c>
      <c r="AD353" s="164">
        <v>1</v>
      </c>
      <c r="AE353" s="50">
        <v>0.3</v>
      </c>
      <c r="AF353" s="50">
        <v>1.7</v>
      </c>
      <c r="AG353" s="50">
        <f>1/2</f>
        <v>0.5</v>
      </c>
      <c r="AH353" s="50">
        <v>0.36</v>
      </c>
      <c r="AI353" s="50">
        <f t="shared" si="16"/>
        <v>2.5000000000000001E-3</v>
      </c>
      <c r="AJ353" s="50">
        <f t="shared" si="16"/>
        <v>2.5000000000000001E-3</v>
      </c>
      <c r="AK353" s="50">
        <f t="shared" si="16"/>
        <v>2.5000000000000001E-3</v>
      </c>
      <c r="AL353" s="50">
        <f t="shared" si="16"/>
        <v>2.5000000000000001E-3</v>
      </c>
      <c r="AM353" s="50">
        <v>1.6E-2</v>
      </c>
      <c r="AN353" s="50">
        <v>7.21</v>
      </c>
      <c r="AO353" s="49"/>
      <c r="AV353"/>
    </row>
    <row r="354" spans="1:49" ht="15" customHeight="1">
      <c r="A354" s="88" t="s">
        <v>68</v>
      </c>
      <c r="B354" s="50" t="s">
        <v>3577</v>
      </c>
      <c r="C354" s="7" t="s">
        <v>392</v>
      </c>
      <c r="D354" s="48" t="s">
        <v>3578</v>
      </c>
      <c r="E354" s="50" t="s">
        <v>3579</v>
      </c>
      <c r="F354" s="48"/>
      <c r="G354" s="76" t="s">
        <v>3587</v>
      </c>
      <c r="H354" s="50">
        <v>4953</v>
      </c>
      <c r="I354" s="49" t="s">
        <v>1</v>
      </c>
      <c r="J354" s="50" t="s">
        <v>74</v>
      </c>
      <c r="K354" s="51">
        <v>41170</v>
      </c>
      <c r="L354" s="115">
        <v>41160</v>
      </c>
      <c r="M354" s="50">
        <f t="shared" si="15"/>
        <v>10</v>
      </c>
      <c r="N354" s="50" t="s">
        <v>2</v>
      </c>
      <c r="O354" s="74">
        <v>1.2</v>
      </c>
      <c r="P354" s="50">
        <v>5.28</v>
      </c>
      <c r="Q354" s="74">
        <v>5.18</v>
      </c>
      <c r="R354" s="50">
        <v>15</v>
      </c>
      <c r="S354" s="74">
        <f>1/2</f>
        <v>0.5</v>
      </c>
      <c r="T354" s="50">
        <v>0.14000000000000001</v>
      </c>
      <c r="U354" s="74">
        <v>1.25</v>
      </c>
      <c r="V354" s="50">
        <f>0.1/2</f>
        <v>0.05</v>
      </c>
      <c r="W354" s="74">
        <v>1.0999999999999999E-2</v>
      </c>
      <c r="X354" s="50">
        <v>2.7E-2</v>
      </c>
      <c r="Y354" s="74">
        <v>1.7999999999999999E-2</v>
      </c>
      <c r="AN354" s="50"/>
      <c r="AO354" s="49"/>
      <c r="AV354"/>
    </row>
    <row r="355" spans="1:49" ht="15" customHeight="1">
      <c r="A355" s="88" t="s">
        <v>68</v>
      </c>
      <c r="B355" s="50" t="s">
        <v>3577</v>
      </c>
      <c r="C355" s="7" t="s">
        <v>392</v>
      </c>
      <c r="D355" s="48" t="s">
        <v>3578</v>
      </c>
      <c r="E355" s="50" t="s">
        <v>3579</v>
      </c>
      <c r="F355" s="48"/>
      <c r="G355" s="76" t="s">
        <v>3587</v>
      </c>
      <c r="H355" s="50">
        <v>4953</v>
      </c>
      <c r="I355" s="49" t="s">
        <v>1</v>
      </c>
      <c r="J355" s="50" t="s">
        <v>75</v>
      </c>
      <c r="K355" s="51">
        <v>41170</v>
      </c>
      <c r="L355" s="115">
        <v>41160</v>
      </c>
      <c r="M355" s="50">
        <f t="shared" si="15"/>
        <v>10</v>
      </c>
      <c r="N355" s="50" t="s">
        <v>2</v>
      </c>
      <c r="O355" s="74">
        <v>1.2</v>
      </c>
      <c r="P355" s="50">
        <v>5.28</v>
      </c>
      <c r="Q355" s="74">
        <v>5.59</v>
      </c>
      <c r="R355" s="50">
        <v>18.7</v>
      </c>
      <c r="S355" s="74">
        <v>13</v>
      </c>
      <c r="T355" s="50">
        <v>0.15</v>
      </c>
      <c r="U355" s="74">
        <f>0.1/2</f>
        <v>0.05</v>
      </c>
      <c r="V355" s="50">
        <v>0.33</v>
      </c>
      <c r="W355" s="74">
        <v>1.4E-2</v>
      </c>
      <c r="X355" s="50">
        <v>9.6000000000000002E-2</v>
      </c>
      <c r="Y355" s="74">
        <v>1.6E-2</v>
      </c>
      <c r="AN355" s="50"/>
      <c r="AO355" s="49"/>
      <c r="AV355"/>
    </row>
    <row r="356" spans="1:49" ht="15" customHeight="1">
      <c r="A356" s="88" t="s">
        <v>68</v>
      </c>
      <c r="B356" s="50" t="s">
        <v>3577</v>
      </c>
      <c r="C356" s="7" t="s">
        <v>392</v>
      </c>
      <c r="D356" s="48" t="s">
        <v>3578</v>
      </c>
      <c r="E356" s="50" t="s">
        <v>3579</v>
      </c>
      <c r="F356" s="48"/>
      <c r="G356" s="76" t="s">
        <v>3587</v>
      </c>
      <c r="H356" s="50">
        <v>4953</v>
      </c>
      <c r="I356" s="49" t="s">
        <v>1</v>
      </c>
      <c r="J356" s="50" t="s">
        <v>3580</v>
      </c>
      <c r="K356" s="51">
        <v>41170</v>
      </c>
      <c r="L356" s="115">
        <v>41160</v>
      </c>
      <c r="M356" s="50">
        <f t="shared" si="15"/>
        <v>10</v>
      </c>
      <c r="N356" s="50" t="s">
        <v>2</v>
      </c>
      <c r="O356" s="74">
        <v>1.6</v>
      </c>
      <c r="P356" s="50">
        <v>5.28</v>
      </c>
      <c r="Q356" s="74">
        <v>5.01</v>
      </c>
      <c r="R356" s="50">
        <v>11.3</v>
      </c>
      <c r="S356" s="74">
        <f>1/2</f>
        <v>0.5</v>
      </c>
      <c r="T356" s="50">
        <v>0.14000000000000001</v>
      </c>
      <c r="U356" s="74">
        <v>0.78</v>
      </c>
      <c r="V356" s="50">
        <f>0.1/2</f>
        <v>0.05</v>
      </c>
      <c r="W356" s="74">
        <v>1.0999999999999999E-2</v>
      </c>
      <c r="X356" s="50">
        <v>3.7999999999999999E-2</v>
      </c>
      <c r="Y356" s="74">
        <v>2.5999999999999999E-2</v>
      </c>
      <c r="AB356" s="50">
        <v>8.77</v>
      </c>
      <c r="AN356" s="50"/>
      <c r="AO356" s="49"/>
      <c r="AV356"/>
    </row>
    <row r="357" spans="1:49" ht="15" customHeight="1">
      <c r="A357" s="88" t="s">
        <v>68</v>
      </c>
      <c r="B357" s="50" t="s">
        <v>3577</v>
      </c>
      <c r="C357" s="7" t="s">
        <v>392</v>
      </c>
      <c r="D357" s="48" t="s">
        <v>3578</v>
      </c>
      <c r="E357" s="50" t="s">
        <v>3579</v>
      </c>
      <c r="F357" s="48"/>
      <c r="G357" s="76" t="s">
        <v>3587</v>
      </c>
      <c r="H357" s="50">
        <v>4953</v>
      </c>
      <c r="I357" s="49" t="s">
        <v>1</v>
      </c>
      <c r="J357" s="50" t="s">
        <v>3581</v>
      </c>
      <c r="K357" s="51">
        <v>41170</v>
      </c>
      <c r="L357" s="115">
        <v>41160</v>
      </c>
      <c r="M357" s="50">
        <f t="shared" si="15"/>
        <v>10</v>
      </c>
      <c r="N357" s="50" t="s">
        <v>2</v>
      </c>
      <c r="O357" s="74">
        <v>2.8</v>
      </c>
      <c r="P357" s="50">
        <v>5.28</v>
      </c>
      <c r="Q357" s="74">
        <v>5.52</v>
      </c>
      <c r="R357" s="50">
        <v>28.9</v>
      </c>
      <c r="S357" s="74">
        <v>2</v>
      </c>
      <c r="T357" s="50">
        <v>0.28000000000000003</v>
      </c>
      <c r="U357" s="74">
        <v>0.2</v>
      </c>
      <c r="V357" s="50">
        <v>0.74</v>
      </c>
      <c r="W357" s="74">
        <v>3.5000000000000003E-2</v>
      </c>
      <c r="X357" s="50">
        <v>4.5999999999999999E-2</v>
      </c>
      <c r="Y357" s="74">
        <v>0.01</v>
      </c>
      <c r="AB357" s="50">
        <v>15.61</v>
      </c>
      <c r="AN357" s="50"/>
      <c r="AO357" s="49"/>
      <c r="AV357"/>
    </row>
    <row r="358" spans="1:49" ht="15" customHeight="1">
      <c r="A358" s="88" t="s">
        <v>68</v>
      </c>
      <c r="B358" s="50" t="s">
        <v>3582</v>
      </c>
      <c r="D358" s="48" t="s">
        <v>756</v>
      </c>
      <c r="E358" s="50" t="s">
        <v>3347</v>
      </c>
      <c r="F358" s="48"/>
      <c r="G358" s="76" t="s">
        <v>3348</v>
      </c>
      <c r="H358" s="50">
        <v>4953</v>
      </c>
      <c r="J358" s="50" t="s">
        <v>74</v>
      </c>
      <c r="K358" s="51">
        <v>41131</v>
      </c>
      <c r="L358" s="115"/>
      <c r="O358" s="74">
        <v>37</v>
      </c>
      <c r="Q358" s="74">
        <v>7.63</v>
      </c>
      <c r="R358" s="50">
        <v>130</v>
      </c>
      <c r="S358" s="74">
        <v>1200</v>
      </c>
      <c r="T358" s="50">
        <v>1.54</v>
      </c>
      <c r="U358" s="74">
        <v>8.85</v>
      </c>
      <c r="V358" s="50">
        <v>3.03</v>
      </c>
      <c r="W358" s="74">
        <v>0.253</v>
      </c>
      <c r="X358" s="50">
        <v>0.86499999999999999</v>
      </c>
      <c r="Y358" s="74">
        <v>0.70099999999999996</v>
      </c>
      <c r="Z358" s="164">
        <v>1</v>
      </c>
      <c r="AA358" s="165">
        <v>1</v>
      </c>
      <c r="AB358" s="50">
        <v>10</v>
      </c>
      <c r="AC358" s="74">
        <v>29</v>
      </c>
      <c r="AD358" s="164">
        <f>11/20</f>
        <v>0.55000000000000004</v>
      </c>
      <c r="AN358" s="50"/>
      <c r="AO358" s="49"/>
      <c r="AV358"/>
    </row>
    <row r="359" spans="1:49" ht="15" customHeight="1">
      <c r="A359" s="293" t="s">
        <v>68</v>
      </c>
      <c r="B359" s="50" t="s">
        <v>3667</v>
      </c>
      <c r="C359" s="6" t="s">
        <v>3668</v>
      </c>
      <c r="D359" s="48" t="s">
        <v>3461</v>
      </c>
      <c r="E359" s="74" t="s">
        <v>3669</v>
      </c>
      <c r="G359" s="48" t="s">
        <v>3463</v>
      </c>
      <c r="H359" s="74">
        <v>4953</v>
      </c>
      <c r="I359" s="50" t="s">
        <v>2</v>
      </c>
      <c r="J359" s="74" t="s">
        <v>3670</v>
      </c>
      <c r="K359" s="51">
        <v>41170</v>
      </c>
      <c r="L359" s="115">
        <v>41160</v>
      </c>
      <c r="M359" s="50">
        <f t="shared" ref="M359:M373" si="17">K359-L359</f>
        <v>10</v>
      </c>
      <c r="N359" s="50" t="s">
        <v>2</v>
      </c>
      <c r="O359" s="74">
        <f>1.4/2</f>
        <v>0.7</v>
      </c>
      <c r="P359" s="50">
        <v>6.8</v>
      </c>
      <c r="Q359" s="74">
        <v>7.98</v>
      </c>
      <c r="R359" s="50">
        <v>95</v>
      </c>
      <c r="S359" s="74">
        <v>580</v>
      </c>
      <c r="T359" s="50">
        <v>0.85</v>
      </c>
      <c r="U359" s="74">
        <v>2.42</v>
      </c>
      <c r="V359" s="50">
        <v>1.1200000000000001</v>
      </c>
      <c r="W359" s="74">
        <v>3.1E-2</v>
      </c>
      <c r="X359" s="50">
        <v>0.17</v>
      </c>
      <c r="Y359" s="74">
        <v>3.9E-2</v>
      </c>
      <c r="Z359" s="164">
        <v>1</v>
      </c>
      <c r="AA359" s="165">
        <v>1</v>
      </c>
      <c r="AB359" s="50">
        <v>82</v>
      </c>
      <c r="AC359" s="74">
        <v>598</v>
      </c>
      <c r="AD359" s="164">
        <f>20/20</f>
        <v>1</v>
      </c>
      <c r="AE359" s="114">
        <v>12</v>
      </c>
      <c r="AF359" s="114"/>
      <c r="AG359" s="114"/>
      <c r="AH359" s="114"/>
      <c r="AI359" s="114"/>
      <c r="AJ359" s="114"/>
      <c r="AK359" s="114"/>
      <c r="AL359" s="114"/>
      <c r="AM359" s="114"/>
      <c r="AN359" s="50"/>
      <c r="AO359" s="49"/>
      <c r="AV359"/>
      <c r="AW359" s="1"/>
    </row>
    <row r="360" spans="1:49" ht="15" customHeight="1">
      <c r="A360" s="293" t="s">
        <v>68</v>
      </c>
      <c r="B360" s="50" t="s">
        <v>3667</v>
      </c>
      <c r="C360" s="6" t="s">
        <v>3668</v>
      </c>
      <c r="D360" s="48" t="s">
        <v>3461</v>
      </c>
      <c r="E360" s="74" t="s">
        <v>3669</v>
      </c>
      <c r="G360" s="48" t="s">
        <v>3463</v>
      </c>
      <c r="H360" s="74">
        <v>4953</v>
      </c>
      <c r="I360" s="50" t="s">
        <v>2</v>
      </c>
      <c r="J360" s="74" t="s">
        <v>3671</v>
      </c>
      <c r="K360" s="51">
        <v>41170</v>
      </c>
      <c r="L360" s="115">
        <v>41160</v>
      </c>
      <c r="M360" s="50">
        <f t="shared" si="17"/>
        <v>10</v>
      </c>
      <c r="N360" s="50" t="s">
        <v>2</v>
      </c>
      <c r="O360" s="74">
        <f>1.4/2</f>
        <v>0.7</v>
      </c>
      <c r="P360" s="50">
        <v>6.8</v>
      </c>
      <c r="Q360" s="74">
        <v>8.0299999999999994</v>
      </c>
      <c r="R360" s="50">
        <v>95</v>
      </c>
      <c r="S360" s="74">
        <v>410</v>
      </c>
      <c r="T360" s="50">
        <v>0.67</v>
      </c>
      <c r="U360" s="74">
        <v>2.68</v>
      </c>
      <c r="V360" s="50">
        <v>1.45</v>
      </c>
      <c r="W360" s="74">
        <v>5.5E-2</v>
      </c>
      <c r="X360" s="50">
        <v>0.26</v>
      </c>
      <c r="Y360" s="74">
        <v>6.8000000000000005E-2</v>
      </c>
      <c r="Z360" s="164">
        <v>1</v>
      </c>
      <c r="AA360" s="165">
        <v>1</v>
      </c>
      <c r="AB360" s="50">
        <v>58</v>
      </c>
      <c r="AC360" s="74">
        <v>628</v>
      </c>
      <c r="AD360" s="164">
        <f>20/20</f>
        <v>1</v>
      </c>
      <c r="AE360" s="114">
        <v>13.4</v>
      </c>
      <c r="AF360" s="114"/>
      <c r="AG360" s="114"/>
      <c r="AH360" s="114"/>
      <c r="AI360" s="114"/>
      <c r="AJ360" s="114"/>
      <c r="AK360" s="114"/>
      <c r="AL360" s="114"/>
      <c r="AM360" s="114"/>
      <c r="AN360" s="50"/>
      <c r="AO360" s="49"/>
      <c r="AV360"/>
      <c r="AW360" s="1"/>
    </row>
    <row r="361" spans="1:49" ht="15" customHeight="1">
      <c r="A361" s="293" t="s">
        <v>68</v>
      </c>
      <c r="B361" s="50" t="s">
        <v>3667</v>
      </c>
      <c r="C361" s="6" t="s">
        <v>3668</v>
      </c>
      <c r="D361" s="48" t="s">
        <v>3461</v>
      </c>
      <c r="E361" s="74" t="s">
        <v>3669</v>
      </c>
      <c r="G361" s="48" t="s">
        <v>3463</v>
      </c>
      <c r="H361" s="74">
        <v>4953</v>
      </c>
      <c r="I361" s="50" t="s">
        <v>2</v>
      </c>
      <c r="J361" s="74" t="s">
        <v>3223</v>
      </c>
      <c r="K361" s="51">
        <v>41170</v>
      </c>
      <c r="L361" s="115">
        <v>41160</v>
      </c>
      <c r="M361" s="50">
        <f t="shared" si="17"/>
        <v>10</v>
      </c>
      <c r="N361" s="50" t="s">
        <v>2</v>
      </c>
      <c r="O361" s="74">
        <f>1.4/2</f>
        <v>0.7</v>
      </c>
      <c r="P361" s="50">
        <v>6.8</v>
      </c>
      <c r="Q361" s="74">
        <v>7.93</v>
      </c>
      <c r="R361" s="50">
        <v>81</v>
      </c>
      <c r="S361" s="74">
        <v>860</v>
      </c>
      <c r="T361" s="50">
        <v>0.67</v>
      </c>
      <c r="U361" s="74">
        <v>2.17</v>
      </c>
      <c r="V361" s="50">
        <v>0.72</v>
      </c>
      <c r="W361" s="74">
        <v>4.4999999999999998E-2</v>
      </c>
      <c r="X361" s="50">
        <v>0.25700000000000001</v>
      </c>
      <c r="Y361" s="74">
        <v>5.7000000000000002E-2</v>
      </c>
      <c r="Z361" s="164">
        <v>1</v>
      </c>
      <c r="AA361" s="165">
        <v>1</v>
      </c>
      <c r="AB361" s="50">
        <v>120</v>
      </c>
      <c r="AC361" s="74">
        <v>784</v>
      </c>
      <c r="AD361" s="164">
        <f>20/20</f>
        <v>1</v>
      </c>
      <c r="AE361" s="114">
        <v>15.1</v>
      </c>
      <c r="AF361" s="114"/>
      <c r="AG361" s="114"/>
      <c r="AH361" s="114"/>
      <c r="AI361" s="114"/>
      <c r="AJ361" s="114"/>
      <c r="AK361" s="114"/>
      <c r="AL361" s="114"/>
      <c r="AM361" s="114"/>
      <c r="AN361" s="50"/>
      <c r="AO361" s="49"/>
      <c r="AV361"/>
      <c r="AW361" s="1"/>
    </row>
    <row r="362" spans="1:49" ht="15" customHeight="1">
      <c r="A362" s="88" t="s">
        <v>68</v>
      </c>
      <c r="B362" s="50" t="s">
        <v>3384</v>
      </c>
      <c r="C362" s="7" t="s">
        <v>3385</v>
      </c>
      <c r="D362" s="48" t="s">
        <v>534</v>
      </c>
      <c r="E362" s="50" t="s">
        <v>304</v>
      </c>
      <c r="F362" s="48"/>
      <c r="G362" s="76" t="s">
        <v>2547</v>
      </c>
      <c r="I362" s="49" t="s">
        <v>1</v>
      </c>
      <c r="J362" s="50" t="s">
        <v>3386</v>
      </c>
      <c r="K362" s="51">
        <v>41332</v>
      </c>
      <c r="L362" s="115">
        <v>41324</v>
      </c>
      <c r="M362" s="50">
        <f t="shared" si="17"/>
        <v>8</v>
      </c>
      <c r="O362" s="74">
        <v>0.25</v>
      </c>
      <c r="P362" s="50">
        <v>6.5</v>
      </c>
      <c r="Q362" s="74">
        <v>6.8</v>
      </c>
      <c r="R362" s="50">
        <v>13</v>
      </c>
      <c r="S362" s="74">
        <v>8</v>
      </c>
      <c r="T362" s="50">
        <v>5.0000000000000001E-3</v>
      </c>
      <c r="U362" s="74">
        <v>0.18</v>
      </c>
      <c r="V362" s="50">
        <v>2.5000000000000001E-2</v>
      </c>
      <c r="W362" s="74">
        <v>2.5000000000000001E-3</v>
      </c>
      <c r="X362" s="50">
        <v>5.0000000000000001E-3</v>
      </c>
      <c r="Y362" s="74">
        <v>2.5000000000000001E-3</v>
      </c>
      <c r="Z362" s="164">
        <v>1</v>
      </c>
      <c r="AA362" s="165">
        <v>1</v>
      </c>
      <c r="AB362" s="50">
        <v>97</v>
      </c>
      <c r="AC362" s="74">
        <v>215</v>
      </c>
      <c r="AD362" s="164">
        <v>1</v>
      </c>
      <c r="AE362" s="50">
        <v>0.88</v>
      </c>
      <c r="AF362" s="50">
        <v>0.5</v>
      </c>
      <c r="AG362" s="50">
        <v>8</v>
      </c>
      <c r="AH362" s="50">
        <v>0.16</v>
      </c>
      <c r="AI362" s="50">
        <v>5.0000000000000001E-3</v>
      </c>
      <c r="AJ362" s="50">
        <v>5.0000000000000001E-3</v>
      </c>
      <c r="AK362" s="50">
        <v>5.0000000000000001E-3</v>
      </c>
      <c r="AL362" s="50">
        <v>5.0000000000000001E-3</v>
      </c>
      <c r="AM362" s="50">
        <v>5.0000000000000001E-3</v>
      </c>
      <c r="AN362" s="50">
        <v>6.8</v>
      </c>
      <c r="AO362" s="49"/>
      <c r="AP362" s="49"/>
      <c r="AR362" s="49"/>
      <c r="AT362" s="49"/>
      <c r="AV362"/>
      <c r="AW362"/>
    </row>
    <row r="363" spans="1:49" ht="15" customHeight="1">
      <c r="A363" s="88" t="s">
        <v>68</v>
      </c>
      <c r="B363" s="50" t="s">
        <v>336</v>
      </c>
      <c r="C363" s="7" t="s">
        <v>337</v>
      </c>
      <c r="D363" s="48" t="s">
        <v>338</v>
      </c>
      <c r="E363" s="50" t="s">
        <v>235</v>
      </c>
      <c r="F363" s="50">
        <v>6900</v>
      </c>
      <c r="G363" s="76" t="s">
        <v>339</v>
      </c>
      <c r="H363" s="50">
        <v>4953</v>
      </c>
      <c r="J363" s="50" t="s">
        <v>341</v>
      </c>
      <c r="K363" s="72">
        <v>41402</v>
      </c>
      <c r="L363" s="71">
        <v>41384</v>
      </c>
      <c r="M363" s="50">
        <f t="shared" si="17"/>
        <v>18</v>
      </c>
      <c r="N363" s="50" t="s">
        <v>2</v>
      </c>
      <c r="O363" s="74">
        <v>1.7</v>
      </c>
      <c r="P363" s="50">
        <v>6.43</v>
      </c>
      <c r="Q363" s="74">
        <v>7.37</v>
      </c>
      <c r="R363" s="50">
        <v>52.3</v>
      </c>
      <c r="S363" s="74">
        <v>50</v>
      </c>
      <c r="T363" s="50">
        <v>0.16</v>
      </c>
      <c r="U363" s="74">
        <v>15.11</v>
      </c>
      <c r="V363" s="50">
        <v>0.34</v>
      </c>
      <c r="W363" s="74">
        <v>0.02</v>
      </c>
      <c r="X363" s="50">
        <v>0.02</v>
      </c>
      <c r="Y363" s="74">
        <v>0.01</v>
      </c>
      <c r="AE363" s="50">
        <v>15.7</v>
      </c>
      <c r="AF363" s="50">
        <v>2.5</v>
      </c>
      <c r="AG363" s="50">
        <v>50</v>
      </c>
      <c r="AH363" s="50">
        <v>12.02</v>
      </c>
      <c r="AI363" s="50">
        <v>5.0000000000000001E-3</v>
      </c>
      <c r="AJ363" s="50">
        <v>5.0000000000000001E-3</v>
      </c>
      <c r="AK363" s="50">
        <v>5.0000000000000001E-3</v>
      </c>
      <c r="AL363" s="50">
        <v>5.0000000000000001E-3</v>
      </c>
      <c r="AM363" s="50">
        <v>0.02</v>
      </c>
      <c r="AN363" s="114">
        <v>7.37</v>
      </c>
      <c r="AO363" s="50"/>
      <c r="AP363" s="49"/>
      <c r="AQ363" s="50"/>
      <c r="AU363" s="18"/>
      <c r="AV363" s="19"/>
      <c r="AW363" s="6"/>
    </row>
    <row r="364" spans="1:49" ht="15" customHeight="1">
      <c r="A364" s="88" t="s">
        <v>68</v>
      </c>
      <c r="B364" s="50" t="s">
        <v>519</v>
      </c>
      <c r="C364" s="7" t="s">
        <v>392</v>
      </c>
      <c r="D364" s="48" t="s">
        <v>499</v>
      </c>
      <c r="E364" s="50" t="s">
        <v>49</v>
      </c>
      <c r="F364" s="50" t="s">
        <v>3864</v>
      </c>
      <c r="G364" s="76" t="s">
        <v>521</v>
      </c>
      <c r="H364" s="50">
        <v>4953</v>
      </c>
      <c r="I364" s="49" t="s">
        <v>1</v>
      </c>
      <c r="J364" s="50" t="s">
        <v>3865</v>
      </c>
      <c r="K364" s="51">
        <v>41352</v>
      </c>
      <c r="L364" s="115">
        <v>41347</v>
      </c>
      <c r="M364" s="50">
        <f t="shared" si="17"/>
        <v>5</v>
      </c>
      <c r="N364" s="50" t="s">
        <v>1</v>
      </c>
      <c r="O364" s="74">
        <v>7</v>
      </c>
      <c r="P364" s="50">
        <v>5</v>
      </c>
      <c r="Q364" s="74">
        <v>6.9</v>
      </c>
      <c r="R364" s="50">
        <v>340</v>
      </c>
      <c r="S364" s="74">
        <v>530</v>
      </c>
      <c r="T364" s="50">
        <v>0.87</v>
      </c>
      <c r="U364" s="74">
        <v>2.8</v>
      </c>
      <c r="V364" s="50">
        <v>0.16</v>
      </c>
      <c r="W364" s="74">
        <v>0.14000000000000001</v>
      </c>
      <c r="X364" s="50">
        <v>0.75</v>
      </c>
      <c r="Y364" s="74">
        <v>0.16</v>
      </c>
      <c r="Z364" s="164">
        <v>1</v>
      </c>
      <c r="AA364" s="165">
        <v>0.82899999999999996</v>
      </c>
      <c r="AB364" s="50">
        <v>54</v>
      </c>
      <c r="AC364" s="74">
        <v>398</v>
      </c>
      <c r="AD364" s="164">
        <v>0.35</v>
      </c>
      <c r="AE364" s="50">
        <v>21</v>
      </c>
      <c r="AO364" s="50"/>
      <c r="AP364" s="49"/>
      <c r="AQ364" s="50"/>
      <c r="AU364" s="18"/>
      <c r="AV364" s="19"/>
      <c r="AW364" s="6"/>
    </row>
    <row r="365" spans="1:49" ht="15" customHeight="1">
      <c r="A365" s="88" t="s">
        <v>68</v>
      </c>
      <c r="B365" s="50" t="s">
        <v>519</v>
      </c>
      <c r="C365" s="7" t="s">
        <v>392</v>
      </c>
      <c r="D365" s="48" t="s">
        <v>499</v>
      </c>
      <c r="E365" s="50" t="s">
        <v>49</v>
      </c>
      <c r="F365" s="50" t="s">
        <v>3864</v>
      </c>
      <c r="G365" s="76" t="s">
        <v>521</v>
      </c>
      <c r="H365" s="50">
        <v>4953</v>
      </c>
      <c r="I365" s="49" t="s">
        <v>1</v>
      </c>
      <c r="J365" s="50" t="s">
        <v>3866</v>
      </c>
      <c r="K365" s="51">
        <v>41352</v>
      </c>
      <c r="L365" s="115">
        <v>41347</v>
      </c>
      <c r="M365" s="50">
        <f t="shared" si="17"/>
        <v>5</v>
      </c>
      <c r="N365" s="50" t="s">
        <v>1</v>
      </c>
      <c r="P365" s="50">
        <v>5</v>
      </c>
      <c r="Q365" s="74">
        <v>6.8</v>
      </c>
      <c r="R365" s="50">
        <v>820</v>
      </c>
      <c r="S365" s="74">
        <v>260</v>
      </c>
      <c r="T365" s="50">
        <v>16</v>
      </c>
      <c r="U365" s="74">
        <v>12</v>
      </c>
      <c r="W365" s="74">
        <v>2.4E-2</v>
      </c>
      <c r="X365" s="50">
        <v>7.5999999999999998E-2</v>
      </c>
      <c r="Y365" s="74">
        <v>2.5999999999999999E-2</v>
      </c>
      <c r="Z365" s="164">
        <v>1</v>
      </c>
      <c r="AA365" s="165">
        <v>1</v>
      </c>
      <c r="AB365" s="50">
        <v>160</v>
      </c>
      <c r="AC365" s="74">
        <v>1771</v>
      </c>
      <c r="AD365" s="164">
        <v>1</v>
      </c>
      <c r="AE365" s="50">
        <v>5.3</v>
      </c>
      <c r="AO365" s="50"/>
      <c r="AP365" s="49"/>
      <c r="AQ365" s="50"/>
      <c r="AU365" s="18"/>
      <c r="AV365" s="19"/>
      <c r="AW365" s="6"/>
    </row>
    <row r="366" spans="1:49" ht="15" customHeight="1">
      <c r="A366" s="88" t="s">
        <v>68</v>
      </c>
      <c r="B366" s="50" t="s">
        <v>3546</v>
      </c>
      <c r="C366" s="7" t="s">
        <v>3538</v>
      </c>
      <c r="D366" s="48" t="s">
        <v>1541</v>
      </c>
      <c r="F366" s="50" t="s">
        <v>3547</v>
      </c>
      <c r="G366" s="76" t="s">
        <v>3548</v>
      </c>
      <c r="H366" s="50">
        <v>4953</v>
      </c>
      <c r="I366" s="49" t="s">
        <v>2</v>
      </c>
      <c r="J366" s="50" t="s">
        <v>510</v>
      </c>
      <c r="K366" s="51">
        <v>41264</v>
      </c>
      <c r="L366" s="115">
        <v>41261</v>
      </c>
      <c r="M366" s="50">
        <f t="shared" si="17"/>
        <v>3</v>
      </c>
      <c r="N366" s="50" t="s">
        <v>2</v>
      </c>
      <c r="O366" s="74">
        <v>0.7</v>
      </c>
      <c r="P366" s="50">
        <v>6.5</v>
      </c>
      <c r="Q366" s="74">
        <v>7.45</v>
      </c>
      <c r="R366" s="50">
        <v>45</v>
      </c>
      <c r="S366" s="74">
        <v>200</v>
      </c>
      <c r="T366" s="50">
        <v>0.34</v>
      </c>
      <c r="U366" s="74">
        <v>0.56999999999999995</v>
      </c>
      <c r="V366" s="50">
        <v>0.01</v>
      </c>
      <c r="W366" s="74">
        <v>2.4E-2</v>
      </c>
      <c r="X366" s="50">
        <v>0.14099999999999999</v>
      </c>
      <c r="Y366" s="74">
        <v>5.0999999999999997E-2</v>
      </c>
      <c r="AO366" s="50"/>
      <c r="AP366" s="49"/>
      <c r="AQ366" s="50"/>
      <c r="AU366" s="18"/>
      <c r="AV366" s="19"/>
      <c r="AW366" s="6"/>
    </row>
    <row r="367" spans="1:49" ht="15" customHeight="1">
      <c r="A367" s="88" t="s">
        <v>68</v>
      </c>
      <c r="B367" s="50" t="s">
        <v>3546</v>
      </c>
      <c r="C367" s="7" t="s">
        <v>3538</v>
      </c>
      <c r="D367" s="48" t="s">
        <v>1541</v>
      </c>
      <c r="F367" s="50" t="s">
        <v>3547</v>
      </c>
      <c r="G367" s="76" t="s">
        <v>3548</v>
      </c>
      <c r="H367" s="50">
        <v>4953</v>
      </c>
      <c r="I367" s="49" t="s">
        <v>2</v>
      </c>
      <c r="J367" s="50" t="s">
        <v>510</v>
      </c>
      <c r="K367" s="51">
        <v>41332</v>
      </c>
      <c r="L367" s="115">
        <v>41329</v>
      </c>
      <c r="M367" s="50">
        <f t="shared" si="17"/>
        <v>3</v>
      </c>
      <c r="N367" s="50" t="s">
        <v>2</v>
      </c>
      <c r="O367" s="74">
        <v>3.6</v>
      </c>
      <c r="P367" s="50">
        <v>7.73</v>
      </c>
      <c r="Q367" s="74">
        <v>7.13</v>
      </c>
      <c r="R367" s="50">
        <v>83</v>
      </c>
      <c r="S367" s="74">
        <v>270</v>
      </c>
      <c r="T367" s="50">
        <v>0.25</v>
      </c>
      <c r="U367" s="74">
        <v>0.99</v>
      </c>
      <c r="V367" s="50">
        <f>0.01/2</f>
        <v>5.0000000000000001E-3</v>
      </c>
      <c r="W367" s="74">
        <v>3.2000000000000001E-2</v>
      </c>
      <c r="X367" s="50">
        <v>0.16900000000000001</v>
      </c>
      <c r="Y367" s="74">
        <v>5.0999999999999997E-2</v>
      </c>
      <c r="Z367" s="164">
        <v>1</v>
      </c>
      <c r="AA367" s="165">
        <v>1</v>
      </c>
      <c r="AB367" s="50">
        <v>18</v>
      </c>
      <c r="AC367" s="74">
        <v>55</v>
      </c>
      <c r="AD367" s="164">
        <v>1</v>
      </c>
      <c r="AO367" s="50"/>
      <c r="AP367" s="49"/>
      <c r="AQ367" s="50"/>
      <c r="AU367" s="18"/>
      <c r="AV367" s="19"/>
      <c r="AW367" s="6"/>
    </row>
    <row r="368" spans="1:49" ht="15" customHeight="1">
      <c r="A368" s="88" t="s">
        <v>68</v>
      </c>
      <c r="B368" s="50" t="s">
        <v>3554</v>
      </c>
      <c r="C368" s="7" t="s">
        <v>3555</v>
      </c>
      <c r="D368" s="48" t="s">
        <v>347</v>
      </c>
      <c r="E368" s="50" t="s">
        <v>112</v>
      </c>
      <c r="G368" s="76" t="s">
        <v>3557</v>
      </c>
      <c r="H368" s="50">
        <v>4953</v>
      </c>
      <c r="I368" s="49" t="s">
        <v>1</v>
      </c>
      <c r="J368" s="50" t="s">
        <v>81</v>
      </c>
      <c r="K368" s="51">
        <v>41352</v>
      </c>
      <c r="L368" s="115">
        <v>41345</v>
      </c>
      <c r="M368" s="50">
        <f t="shared" si="17"/>
        <v>7</v>
      </c>
      <c r="N368" s="50" t="s">
        <v>2</v>
      </c>
      <c r="O368" s="74">
        <v>5.2</v>
      </c>
      <c r="P368" s="50">
        <v>8.6</v>
      </c>
      <c r="Q368" s="74">
        <v>7.5</v>
      </c>
      <c r="R368" s="50">
        <v>48</v>
      </c>
      <c r="S368" s="74">
        <v>64</v>
      </c>
      <c r="T368" s="50">
        <v>0.09</v>
      </c>
      <c r="U368" s="74">
        <v>0.67</v>
      </c>
      <c r="V368" s="50">
        <v>0.24</v>
      </c>
      <c r="W368" s="74">
        <v>3.7999999999999999E-2</v>
      </c>
      <c r="X368" s="50">
        <v>4.5999999999999999E-2</v>
      </c>
      <c r="Y368" s="74">
        <v>1.4999999999999999E-2</v>
      </c>
      <c r="Z368" s="164">
        <v>1</v>
      </c>
      <c r="AA368" s="165">
        <v>1</v>
      </c>
      <c r="AB368" s="50">
        <v>46</v>
      </c>
      <c r="AC368" s="74">
        <v>2040</v>
      </c>
      <c r="AD368" s="164">
        <v>1</v>
      </c>
      <c r="AE368" s="50">
        <v>3.29</v>
      </c>
      <c r="AF368" s="50">
        <v>1.5</v>
      </c>
      <c r="AH368" s="50">
        <v>0.17</v>
      </c>
      <c r="AI368" s="50">
        <v>5.0000000000000001E-3</v>
      </c>
      <c r="AJ368" s="50">
        <v>2.5000000000000001E-2</v>
      </c>
      <c r="AK368" s="50">
        <v>0.01</v>
      </c>
      <c r="AL368" s="50">
        <v>0.01</v>
      </c>
      <c r="AO368" s="50">
        <v>50</v>
      </c>
      <c r="AP368" s="49"/>
      <c r="AQ368" s="50"/>
      <c r="AU368" s="18"/>
      <c r="AV368" s="19"/>
      <c r="AW368" s="6"/>
    </row>
    <row r="369" spans="1:49" ht="15" customHeight="1">
      <c r="A369" s="88" t="s">
        <v>68</v>
      </c>
      <c r="B369" s="50" t="s">
        <v>3867</v>
      </c>
      <c r="C369" s="7" t="s">
        <v>3868</v>
      </c>
      <c r="D369" s="48" t="s">
        <v>3869</v>
      </c>
      <c r="F369" s="50" t="s">
        <v>3870</v>
      </c>
      <c r="G369" s="76" t="s">
        <v>3871</v>
      </c>
      <c r="H369" s="50">
        <v>9199</v>
      </c>
      <c r="I369" s="49" t="s">
        <v>2</v>
      </c>
      <c r="J369" s="50" t="s">
        <v>510</v>
      </c>
      <c r="K369" s="51">
        <v>41345</v>
      </c>
      <c r="L369" s="115">
        <v>41341</v>
      </c>
      <c r="M369" s="50">
        <f t="shared" si="17"/>
        <v>4</v>
      </c>
      <c r="N369" s="50" t="s">
        <v>2</v>
      </c>
      <c r="O369" s="74">
        <v>0.7</v>
      </c>
      <c r="P369" s="50">
        <v>6.5</v>
      </c>
      <c r="Q369" s="74">
        <v>6.73</v>
      </c>
      <c r="R369" s="50">
        <v>56</v>
      </c>
      <c r="S369" s="74">
        <v>2.5</v>
      </c>
      <c r="T369" s="50">
        <v>0.19</v>
      </c>
      <c r="U369" s="74">
        <v>1.39</v>
      </c>
      <c r="V369" s="50">
        <v>5.0000000000000001E-3</v>
      </c>
      <c r="W369" s="74">
        <v>2.5000000000000001E-3</v>
      </c>
      <c r="X369" s="50">
        <v>8.9999999999999993E-3</v>
      </c>
      <c r="Y369" s="74">
        <v>1E-3</v>
      </c>
      <c r="Z369" s="164">
        <v>1</v>
      </c>
      <c r="AA369" s="165">
        <v>1</v>
      </c>
      <c r="AB369" s="50">
        <v>80</v>
      </c>
      <c r="AC369" s="74">
        <v>425</v>
      </c>
      <c r="AD369" s="164">
        <v>1</v>
      </c>
      <c r="AO369" s="50"/>
      <c r="AP369" s="49"/>
      <c r="AQ369" s="50"/>
      <c r="AU369" s="18"/>
      <c r="AV369" s="19">
        <v>5.0000000000000001E-3</v>
      </c>
      <c r="AW369" s="6">
        <v>75.5</v>
      </c>
    </row>
    <row r="370" spans="1:49" ht="15" customHeight="1">
      <c r="A370" s="88" t="s">
        <v>68</v>
      </c>
      <c r="B370" s="50" t="s">
        <v>2617</v>
      </c>
      <c r="C370" s="7" t="s">
        <v>2618</v>
      </c>
      <c r="D370" s="48" t="s">
        <v>1569</v>
      </c>
      <c r="E370" s="50" t="s">
        <v>2619</v>
      </c>
      <c r="G370" s="76" t="s">
        <v>2620</v>
      </c>
      <c r="H370" s="50">
        <v>4953</v>
      </c>
      <c r="I370" s="49" t="s">
        <v>2</v>
      </c>
      <c r="J370" s="50" t="s">
        <v>2621</v>
      </c>
      <c r="K370" s="51">
        <v>41345</v>
      </c>
      <c r="L370" s="115">
        <v>41341</v>
      </c>
      <c r="M370" s="50">
        <f t="shared" si="17"/>
        <v>4</v>
      </c>
      <c r="N370" s="50" t="s">
        <v>2</v>
      </c>
      <c r="O370" s="74">
        <v>0.7</v>
      </c>
      <c r="Q370" s="74">
        <v>7.43</v>
      </c>
      <c r="R370" s="50">
        <v>61</v>
      </c>
      <c r="S370" s="74">
        <v>2.5</v>
      </c>
      <c r="T370" s="50">
        <v>0.21</v>
      </c>
      <c r="U370" s="74">
        <v>5.36</v>
      </c>
      <c r="V370" s="50">
        <v>1.1299999999999999</v>
      </c>
      <c r="W370" s="74">
        <v>2.5000000000000001E-3</v>
      </c>
      <c r="X370" s="50">
        <v>2.1999999999999999E-2</v>
      </c>
      <c r="Y370" s="74">
        <v>2E-3</v>
      </c>
      <c r="Z370" s="164">
        <v>1</v>
      </c>
      <c r="AA370" s="165">
        <v>1</v>
      </c>
      <c r="AB370" s="50">
        <v>220</v>
      </c>
      <c r="AC370" s="74">
        <v>971</v>
      </c>
      <c r="AD370" s="164">
        <v>1</v>
      </c>
      <c r="AE370" s="50">
        <v>3.33</v>
      </c>
      <c r="AF370" s="50">
        <v>2</v>
      </c>
      <c r="AG370" s="50">
        <v>2.5</v>
      </c>
      <c r="AI370" s="50">
        <f>0.01/2</f>
        <v>5.0000000000000001E-3</v>
      </c>
      <c r="AJ370" s="50">
        <f>0.01/2</f>
        <v>5.0000000000000001E-3</v>
      </c>
      <c r="AK370" s="50">
        <f>0.01/2</f>
        <v>5.0000000000000001E-3</v>
      </c>
      <c r="AL370" s="50">
        <f>0.01/2</f>
        <v>5.0000000000000001E-3</v>
      </c>
      <c r="AM370" s="50">
        <v>2.1999999999999999E-2</v>
      </c>
      <c r="AN370" s="114">
        <v>7.43</v>
      </c>
      <c r="AO370" s="50"/>
      <c r="AP370" s="49"/>
      <c r="AQ370" s="50"/>
      <c r="AU370" s="18"/>
      <c r="AV370" s="19"/>
      <c r="AW370" s="6"/>
    </row>
    <row r="371" spans="1:49" ht="15" customHeight="1">
      <c r="A371" s="88" t="s">
        <v>68</v>
      </c>
      <c r="B371" s="50" t="s">
        <v>2774</v>
      </c>
      <c r="C371" s="7" t="s">
        <v>3485</v>
      </c>
      <c r="D371" s="48" t="s">
        <v>2775</v>
      </c>
      <c r="F371" s="50" t="s">
        <v>3486</v>
      </c>
      <c r="G371" s="76" t="s">
        <v>3487</v>
      </c>
      <c r="H371" s="50">
        <v>4953</v>
      </c>
      <c r="I371" s="49" t="s">
        <v>2</v>
      </c>
      <c r="J371" s="50" t="s">
        <v>510</v>
      </c>
      <c r="K371" s="51">
        <v>41332</v>
      </c>
      <c r="L371" s="115">
        <v>41329</v>
      </c>
      <c r="M371" s="50">
        <f t="shared" si="17"/>
        <v>3</v>
      </c>
      <c r="N371" s="50" t="s">
        <v>2</v>
      </c>
      <c r="O371" s="74">
        <v>0.7</v>
      </c>
      <c r="P371" s="50">
        <v>7.5</v>
      </c>
      <c r="Q371" s="74">
        <v>6.97</v>
      </c>
      <c r="R371" s="50">
        <v>49</v>
      </c>
      <c r="S371" s="74">
        <v>60</v>
      </c>
      <c r="T371" s="50">
        <v>0.27</v>
      </c>
      <c r="U371" s="74">
        <v>1.3</v>
      </c>
      <c r="V371" s="50">
        <v>0.03</v>
      </c>
      <c r="W371" s="74">
        <v>5.0000000000000001E-3</v>
      </c>
      <c r="X371" s="50">
        <v>1.4E-2</v>
      </c>
      <c r="Y371" s="74">
        <v>5.0000000000000001E-3</v>
      </c>
      <c r="AO371" s="50"/>
      <c r="AP371" s="49"/>
      <c r="AQ371" s="50"/>
      <c r="AU371" s="18"/>
      <c r="AV371" s="19"/>
      <c r="AW371" s="6"/>
    </row>
    <row r="372" spans="1:49" ht="15" customHeight="1">
      <c r="A372" s="293" t="s">
        <v>68</v>
      </c>
      <c r="B372" s="50" t="s">
        <v>3912</v>
      </c>
      <c r="C372" s="7" t="s">
        <v>388</v>
      </c>
      <c r="D372" s="48" t="s">
        <v>2591</v>
      </c>
      <c r="E372" s="50" t="s">
        <v>2588</v>
      </c>
      <c r="G372" s="76" t="s">
        <v>3915</v>
      </c>
      <c r="J372" s="50" t="s">
        <v>388</v>
      </c>
      <c r="K372" s="51">
        <v>41180</v>
      </c>
      <c r="L372" s="115">
        <v>41174</v>
      </c>
      <c r="M372" s="50">
        <f t="shared" si="17"/>
        <v>6</v>
      </c>
      <c r="O372" s="74">
        <v>1.9</v>
      </c>
      <c r="P372" s="50">
        <v>5.8</v>
      </c>
      <c r="Q372" s="74">
        <v>7.1</v>
      </c>
      <c r="R372" s="50">
        <v>20</v>
      </c>
      <c r="S372" s="74">
        <v>6</v>
      </c>
      <c r="T372" s="50">
        <v>0.12</v>
      </c>
      <c r="U372" s="74">
        <v>0.25</v>
      </c>
      <c r="V372" s="50">
        <v>0.25</v>
      </c>
      <c r="W372" s="74">
        <f>0.005/2</f>
        <v>2.5000000000000001E-3</v>
      </c>
      <c r="X372" s="50">
        <v>0.04</v>
      </c>
      <c r="Y372" s="74">
        <f>0.001/2</f>
        <v>5.0000000000000001E-4</v>
      </c>
      <c r="Z372" s="164">
        <v>1</v>
      </c>
      <c r="AA372" s="165">
        <v>1</v>
      </c>
      <c r="AB372" s="50">
        <v>22</v>
      </c>
      <c r="AC372" s="74">
        <v>130</v>
      </c>
      <c r="AD372" s="164">
        <v>1</v>
      </c>
    </row>
    <row r="373" spans="1:49" ht="15" customHeight="1">
      <c r="A373" s="293" t="s">
        <v>68</v>
      </c>
      <c r="B373" s="50" t="s">
        <v>3921</v>
      </c>
      <c r="C373" s="7" t="s">
        <v>2546</v>
      </c>
      <c r="D373" s="48" t="s">
        <v>3953</v>
      </c>
      <c r="E373" s="50" t="s">
        <v>3924</v>
      </c>
      <c r="G373" s="76" t="s">
        <v>3925</v>
      </c>
      <c r="H373" s="50">
        <v>4953</v>
      </c>
      <c r="J373" s="50" t="s">
        <v>3926</v>
      </c>
      <c r="K373" s="51">
        <v>41201</v>
      </c>
      <c r="L373" s="115">
        <v>41198</v>
      </c>
      <c r="M373" s="50">
        <f t="shared" si="17"/>
        <v>3</v>
      </c>
      <c r="O373" s="74">
        <f>1/2</f>
        <v>0.5</v>
      </c>
      <c r="P373" s="50">
        <v>7.5</v>
      </c>
      <c r="Q373" s="74">
        <v>6.9</v>
      </c>
      <c r="R373" s="50">
        <f>1/2</f>
        <v>0.5</v>
      </c>
      <c r="S373" s="74">
        <f>1/2</f>
        <v>0.5</v>
      </c>
      <c r="T373" s="50">
        <v>0.12</v>
      </c>
      <c r="U373" s="74">
        <v>0.73</v>
      </c>
      <c r="V373" s="50">
        <f>0.1/2</f>
        <v>0.05</v>
      </c>
      <c r="W373" s="74">
        <v>5.0000000000000001E-3</v>
      </c>
      <c r="X373" s="50">
        <v>2.3E-2</v>
      </c>
      <c r="Y373" s="74">
        <f>0.002/2</f>
        <v>1E-3</v>
      </c>
      <c r="Z373" s="164">
        <v>1</v>
      </c>
      <c r="AA373" s="165">
        <v>1</v>
      </c>
      <c r="AB373" s="50">
        <v>9.85</v>
      </c>
      <c r="AC373" s="74">
        <v>113</v>
      </c>
      <c r="AD373" s="164">
        <v>1</v>
      </c>
    </row>
    <row r="374" spans="1:49" ht="15" customHeight="1">
      <c r="A374" s="74" t="s">
        <v>68</v>
      </c>
      <c r="B374" s="50" t="s">
        <v>1488</v>
      </c>
      <c r="C374" s="7" t="s">
        <v>1489</v>
      </c>
      <c r="D374" s="48" t="s">
        <v>1490</v>
      </c>
      <c r="E374" s="50" t="s">
        <v>1491</v>
      </c>
      <c r="G374" s="76" t="s">
        <v>1492</v>
      </c>
      <c r="I374" s="49" t="s">
        <v>2</v>
      </c>
      <c r="J374" s="50" t="s">
        <v>1493</v>
      </c>
      <c r="K374" s="51">
        <v>41402</v>
      </c>
      <c r="L374" s="115"/>
      <c r="N374" s="50" t="s">
        <v>2</v>
      </c>
      <c r="O374" s="74">
        <v>1</v>
      </c>
      <c r="P374" s="50">
        <v>6</v>
      </c>
      <c r="Q374" s="74">
        <v>6.3</v>
      </c>
      <c r="R374" s="50">
        <v>62</v>
      </c>
      <c r="S374" s="74">
        <v>64</v>
      </c>
      <c r="T374" s="50">
        <v>0.23</v>
      </c>
      <c r="U374" s="74">
        <v>1.5</v>
      </c>
      <c r="V374" s="50">
        <v>0.16</v>
      </c>
      <c r="W374" s="74">
        <v>2.4E-2</v>
      </c>
      <c r="X374" s="50">
        <v>7.6999999999999999E-2</v>
      </c>
      <c r="Y374" s="74">
        <v>1.2999999999999999E-2</v>
      </c>
      <c r="Z374" s="164">
        <v>1</v>
      </c>
      <c r="AA374" s="165">
        <v>1</v>
      </c>
      <c r="AB374" s="50">
        <v>16</v>
      </c>
      <c r="AC374" s="74">
        <v>50</v>
      </c>
      <c r="AD374" s="164">
        <v>1</v>
      </c>
    </row>
    <row r="375" spans="1:49" ht="15" customHeight="1">
      <c r="A375" s="74" t="s">
        <v>68</v>
      </c>
      <c r="B375" s="50" t="s">
        <v>1488</v>
      </c>
      <c r="C375" s="7" t="s">
        <v>1489</v>
      </c>
      <c r="D375" s="48" t="s">
        <v>1490</v>
      </c>
      <c r="E375" s="50" t="s">
        <v>1491</v>
      </c>
      <c r="G375" s="76" t="s">
        <v>1492</v>
      </c>
      <c r="I375" s="49" t="s">
        <v>2</v>
      </c>
      <c r="J375" s="50" t="s">
        <v>1494</v>
      </c>
      <c r="K375" s="51">
        <v>41402</v>
      </c>
      <c r="L375" s="115"/>
      <c r="N375" s="50" t="s">
        <v>2</v>
      </c>
      <c r="O375" s="74">
        <f>1.2/2</f>
        <v>0.6</v>
      </c>
      <c r="P375" s="50">
        <v>6</v>
      </c>
      <c r="Q375" s="74">
        <v>6.5</v>
      </c>
      <c r="R375" s="50">
        <v>78</v>
      </c>
      <c r="S375" s="74">
        <v>110</v>
      </c>
      <c r="T375" s="50">
        <v>0.3</v>
      </c>
      <c r="U375" s="74">
        <v>1.6</v>
      </c>
      <c r="V375" s="50">
        <v>0.39</v>
      </c>
      <c r="W375" s="74">
        <v>1.4E-2</v>
      </c>
      <c r="X375" s="50">
        <v>3.1E-2</v>
      </c>
      <c r="Y375" s="74">
        <v>6.3E-3</v>
      </c>
      <c r="Z375" s="164">
        <v>1</v>
      </c>
      <c r="AA375" s="165">
        <v>1</v>
      </c>
      <c r="AB375" s="50">
        <v>20</v>
      </c>
      <c r="AC375" s="74">
        <v>60</v>
      </c>
      <c r="AD375" s="271">
        <v>1</v>
      </c>
      <c r="AI375" s="49"/>
      <c r="AL375" s="113"/>
      <c r="AN375" s="50"/>
      <c r="AO375" s="49"/>
      <c r="AV375"/>
      <c r="AW375" s="1"/>
    </row>
    <row r="376" spans="1:49" ht="15" customHeight="1">
      <c r="A376" s="41" t="s">
        <v>68</v>
      </c>
      <c r="B376" s="50" t="s">
        <v>1523</v>
      </c>
      <c r="C376" s="7" t="s">
        <v>1523</v>
      </c>
      <c r="D376" s="48" t="s">
        <v>1524</v>
      </c>
      <c r="E376" s="50" t="s">
        <v>1525</v>
      </c>
      <c r="G376" s="76" t="s">
        <v>1526</v>
      </c>
      <c r="H376" s="50">
        <v>4953</v>
      </c>
      <c r="I376" s="49" t="s">
        <v>2</v>
      </c>
      <c r="J376" s="50" t="s">
        <v>1527</v>
      </c>
      <c r="K376" s="51">
        <v>40996</v>
      </c>
      <c r="L376" s="115">
        <v>40977</v>
      </c>
      <c r="M376" s="50">
        <f>K376-L376</f>
        <v>19</v>
      </c>
      <c r="N376" s="50" t="s">
        <v>2</v>
      </c>
      <c r="O376" s="131"/>
      <c r="P376" s="50">
        <v>6.45</v>
      </c>
      <c r="Q376" s="74">
        <v>7.44</v>
      </c>
      <c r="R376" s="117"/>
      <c r="T376" s="117"/>
      <c r="U376" s="131"/>
      <c r="V376" s="117"/>
      <c r="Y376" s="50"/>
      <c r="AD376" s="271"/>
      <c r="AE376" s="50">
        <v>1.1000000000000001</v>
      </c>
      <c r="AI376" s="74"/>
      <c r="AL376" s="113"/>
      <c r="AO376" s="50"/>
      <c r="AP376" s="49"/>
      <c r="AQ376" s="50"/>
      <c r="AW376"/>
    </row>
    <row r="377" spans="1:49" ht="15" customHeight="1">
      <c r="A377" s="41" t="s">
        <v>68</v>
      </c>
      <c r="B377" s="50" t="s">
        <v>1523</v>
      </c>
      <c r="C377" s="7" t="s">
        <v>1523</v>
      </c>
      <c r="D377" s="48" t="s">
        <v>1524</v>
      </c>
      <c r="E377" s="50" t="s">
        <v>1525</v>
      </c>
      <c r="G377" s="76" t="s">
        <v>1526</v>
      </c>
      <c r="H377" s="50">
        <v>4953</v>
      </c>
      <c r="I377" s="49" t="s">
        <v>2</v>
      </c>
      <c r="J377" s="48" t="s">
        <v>1527</v>
      </c>
      <c r="K377" s="51">
        <v>41156</v>
      </c>
      <c r="L377" s="115">
        <v>41153</v>
      </c>
      <c r="M377" s="50">
        <v>3</v>
      </c>
      <c r="N377" s="50" t="s">
        <v>2</v>
      </c>
      <c r="O377" s="131"/>
      <c r="P377" s="50">
        <v>6.71</v>
      </c>
      <c r="Q377" s="74">
        <v>7.55</v>
      </c>
      <c r="R377" s="117"/>
      <c r="T377" s="117"/>
      <c r="U377" s="131"/>
      <c r="V377" s="117"/>
      <c r="Y377" s="50"/>
      <c r="AD377" s="271"/>
      <c r="AE377" s="50">
        <v>1</v>
      </c>
      <c r="AI377" s="74"/>
      <c r="AL377" s="113"/>
      <c r="AO377" s="50"/>
      <c r="AP377" s="49"/>
      <c r="AQ377" s="50"/>
      <c r="AW377"/>
    </row>
    <row r="378" spans="1:49" ht="15" customHeight="1">
      <c r="A378" s="41" t="s">
        <v>68</v>
      </c>
      <c r="B378" s="50" t="s">
        <v>1523</v>
      </c>
      <c r="C378" s="7" t="s">
        <v>1523</v>
      </c>
      <c r="D378" s="48" t="s">
        <v>1524</v>
      </c>
      <c r="E378" s="50" t="s">
        <v>1525</v>
      </c>
      <c r="G378" s="76" t="s">
        <v>1526</v>
      </c>
      <c r="H378" s="50">
        <v>4953</v>
      </c>
      <c r="I378" s="49" t="s">
        <v>2</v>
      </c>
      <c r="J378" s="50" t="s">
        <v>1528</v>
      </c>
      <c r="K378" s="51">
        <v>40996</v>
      </c>
      <c r="L378" s="115">
        <v>40977</v>
      </c>
      <c r="M378" s="50">
        <f>K378-L378</f>
        <v>19</v>
      </c>
      <c r="N378" s="50" t="s">
        <v>2</v>
      </c>
      <c r="O378" s="131"/>
      <c r="P378" s="50">
        <v>6.45</v>
      </c>
      <c r="Q378" s="74">
        <v>6.65</v>
      </c>
      <c r="R378" s="117"/>
      <c r="T378" s="117"/>
      <c r="U378" s="131"/>
      <c r="V378" s="117"/>
      <c r="Y378" s="50"/>
      <c r="AD378" s="271"/>
      <c r="AE378" s="50">
        <v>0.3</v>
      </c>
      <c r="AI378" s="74"/>
      <c r="AL378" s="113"/>
      <c r="AO378" s="50"/>
      <c r="AP378" s="49"/>
      <c r="AQ378" s="50"/>
      <c r="AW378"/>
    </row>
    <row r="379" spans="1:49" ht="15" customHeight="1">
      <c r="A379" s="41" t="s">
        <v>68</v>
      </c>
      <c r="B379" s="50" t="s">
        <v>1523</v>
      </c>
      <c r="C379" s="7" t="s">
        <v>1523</v>
      </c>
      <c r="D379" s="48" t="s">
        <v>1524</v>
      </c>
      <c r="E379" s="50" t="s">
        <v>1525</v>
      </c>
      <c r="G379" s="76" t="s">
        <v>1526</v>
      </c>
      <c r="H379" s="50">
        <v>4953</v>
      </c>
      <c r="I379" s="49" t="s">
        <v>2</v>
      </c>
      <c r="J379" s="48" t="s">
        <v>1528</v>
      </c>
      <c r="K379" s="51">
        <v>41156</v>
      </c>
      <c r="L379" s="115">
        <v>41153</v>
      </c>
      <c r="M379" s="50">
        <v>3</v>
      </c>
      <c r="N379" s="50" t="s">
        <v>2</v>
      </c>
      <c r="O379" s="131"/>
      <c r="P379" s="50">
        <v>6.71</v>
      </c>
      <c r="Q379" s="74">
        <v>6.81</v>
      </c>
      <c r="R379" s="117"/>
      <c r="T379" s="117"/>
      <c r="U379" s="131"/>
      <c r="V379" s="117"/>
      <c r="Y379" s="50"/>
      <c r="AD379" s="271"/>
      <c r="AE379" s="50">
        <v>0.18</v>
      </c>
      <c r="AI379" s="74"/>
      <c r="AL379" s="113"/>
      <c r="AO379" s="50"/>
      <c r="AP379" s="49"/>
      <c r="AQ379" s="50"/>
      <c r="AW379"/>
    </row>
    <row r="380" spans="1:49" ht="15" customHeight="1">
      <c r="A380" s="88" t="s">
        <v>68</v>
      </c>
      <c r="B380" s="50" t="s">
        <v>69</v>
      </c>
      <c r="C380" s="7" t="s">
        <v>2779</v>
      </c>
      <c r="D380" s="48" t="s">
        <v>71</v>
      </c>
      <c r="F380" s="50" t="s">
        <v>72</v>
      </c>
      <c r="G380" s="76" t="s">
        <v>73</v>
      </c>
      <c r="H380" s="50">
        <v>9199</v>
      </c>
      <c r="I380" s="49" t="s">
        <v>2</v>
      </c>
      <c r="J380" s="50" t="s">
        <v>81</v>
      </c>
      <c r="K380" s="51">
        <v>41432</v>
      </c>
      <c r="L380" s="115"/>
      <c r="N380" s="50" t="s">
        <v>2</v>
      </c>
      <c r="O380" s="74">
        <v>4.8</v>
      </c>
      <c r="P380" s="50">
        <v>6.56</v>
      </c>
      <c r="Q380" s="74">
        <v>6.53</v>
      </c>
      <c r="R380" s="50">
        <v>388</v>
      </c>
      <c r="S380" s="74">
        <v>45</v>
      </c>
      <c r="T380" s="50">
        <v>0.28999999999999998</v>
      </c>
      <c r="U380" s="74">
        <v>2.54</v>
      </c>
      <c r="V380" s="50">
        <v>0.47</v>
      </c>
      <c r="W380" s="74">
        <v>5.6000000000000001E-2</v>
      </c>
      <c r="X380" s="50">
        <v>0.37</v>
      </c>
      <c r="Y380" s="74">
        <v>7.0000000000000001E-3</v>
      </c>
      <c r="Z380" s="164">
        <v>0.70699999999999996</v>
      </c>
      <c r="AA380" s="165">
        <v>0.70699999999999996</v>
      </c>
      <c r="AB380" s="50">
        <v>1100</v>
      </c>
      <c r="AC380" s="74">
        <v>12340</v>
      </c>
      <c r="AD380" s="164">
        <v>0</v>
      </c>
      <c r="AO380" s="50"/>
      <c r="AP380" s="49"/>
      <c r="AQ380" s="50"/>
      <c r="AU380" s="18"/>
      <c r="AV380" s="19"/>
      <c r="AW380" s="6"/>
    </row>
    <row r="381" spans="1:49" ht="15" customHeight="1">
      <c r="A381" s="88" t="s">
        <v>68</v>
      </c>
      <c r="B381" s="50" t="s">
        <v>69</v>
      </c>
      <c r="C381" s="7" t="s">
        <v>2779</v>
      </c>
      <c r="D381" s="48" t="s">
        <v>71</v>
      </c>
      <c r="F381" s="50" t="s">
        <v>72</v>
      </c>
      <c r="G381" s="76" t="s">
        <v>73</v>
      </c>
      <c r="H381" s="50">
        <v>9199</v>
      </c>
      <c r="I381" s="49" t="s">
        <v>2</v>
      </c>
      <c r="J381" s="50" t="s">
        <v>114</v>
      </c>
      <c r="K381" s="51">
        <v>41432</v>
      </c>
      <c r="L381" s="115"/>
      <c r="N381" s="50" t="s">
        <v>2</v>
      </c>
      <c r="O381" s="74">
        <v>0.7</v>
      </c>
      <c r="P381" s="50">
        <v>6.52</v>
      </c>
      <c r="Q381" s="74">
        <v>6.56</v>
      </c>
      <c r="R381" s="50">
        <v>42</v>
      </c>
      <c r="S381" s="74">
        <v>39</v>
      </c>
      <c r="T381" s="50">
        <v>0.11</v>
      </c>
      <c r="U381" s="74">
        <v>1.04</v>
      </c>
      <c r="V381" s="50">
        <v>0.23</v>
      </c>
      <c r="W381" s="74">
        <v>0.05</v>
      </c>
      <c r="X381" s="50">
        <v>2.1999999999999999E-2</v>
      </c>
      <c r="Y381" s="74">
        <v>1E-3</v>
      </c>
      <c r="Z381" s="164">
        <v>1</v>
      </c>
      <c r="AA381" s="165">
        <v>0.70699999999999996</v>
      </c>
      <c r="AB381" s="50">
        <v>20</v>
      </c>
      <c r="AC381" s="74">
        <v>16</v>
      </c>
      <c r="AD381" s="164">
        <v>0</v>
      </c>
      <c r="AO381" s="50"/>
      <c r="AP381" s="49"/>
      <c r="AQ381" s="50"/>
      <c r="AU381" s="18"/>
      <c r="AV381" s="19"/>
      <c r="AW381" s="6"/>
    </row>
    <row r="382" spans="1:49" ht="15" customHeight="1">
      <c r="A382" s="88" t="s">
        <v>68</v>
      </c>
      <c r="B382" s="50" t="s">
        <v>3297</v>
      </c>
      <c r="C382" s="7" t="s">
        <v>3343</v>
      </c>
      <c r="D382" s="48" t="s">
        <v>1837</v>
      </c>
      <c r="E382" s="50" t="s">
        <v>4048</v>
      </c>
      <c r="G382" s="76" t="s">
        <v>3344</v>
      </c>
      <c r="H382" s="50">
        <v>4212</v>
      </c>
      <c r="I382" s="49" t="s">
        <v>2</v>
      </c>
      <c r="J382" s="50" t="s">
        <v>96</v>
      </c>
      <c r="K382" s="51">
        <v>41402</v>
      </c>
      <c r="L382" s="115">
        <v>41384</v>
      </c>
      <c r="M382" s="50">
        <f t="shared" ref="M382:M389" si="18">K382-L382</f>
        <v>18</v>
      </c>
      <c r="N382" s="50" t="s">
        <v>2</v>
      </c>
      <c r="O382" s="74">
        <v>52</v>
      </c>
      <c r="P382" s="50">
        <v>5.4</v>
      </c>
      <c r="Q382" s="74">
        <v>7.38</v>
      </c>
      <c r="R382" s="50">
        <v>96</v>
      </c>
      <c r="S382" s="74">
        <v>350</v>
      </c>
      <c r="T382" s="50">
        <v>0.82</v>
      </c>
      <c r="U382" s="74">
        <v>4.17</v>
      </c>
      <c r="V382" s="50">
        <v>0.21</v>
      </c>
      <c r="W382" s="74">
        <v>0.14899999999999999</v>
      </c>
      <c r="X382" s="50">
        <v>1.83</v>
      </c>
      <c r="Y382" s="74">
        <v>0.27300000000000002</v>
      </c>
      <c r="Z382" s="164">
        <v>1</v>
      </c>
      <c r="AA382" s="165">
        <v>1</v>
      </c>
      <c r="AB382" s="50">
        <v>104</v>
      </c>
      <c r="AC382" s="74">
        <v>292</v>
      </c>
      <c r="AD382" s="164">
        <v>0.85</v>
      </c>
      <c r="AO382" s="50"/>
      <c r="AP382" s="49"/>
      <c r="AQ382" s="50"/>
      <c r="AU382" s="18"/>
      <c r="AV382" s="19"/>
      <c r="AW382" s="6"/>
    </row>
    <row r="383" spans="1:49" ht="15" customHeight="1">
      <c r="A383" s="88" t="s">
        <v>68</v>
      </c>
      <c r="B383" s="50" t="s">
        <v>3471</v>
      </c>
      <c r="C383" s="7" t="s">
        <v>3472</v>
      </c>
      <c r="D383" s="48" t="s">
        <v>2372</v>
      </c>
      <c r="F383" s="50" t="s">
        <v>4049</v>
      </c>
      <c r="G383" s="76" t="s">
        <v>3474</v>
      </c>
      <c r="H383" s="50">
        <v>4214</v>
      </c>
      <c r="I383" s="49" t="s">
        <v>2</v>
      </c>
      <c r="J383" s="50" t="s">
        <v>477</v>
      </c>
      <c r="K383" s="51">
        <v>41332</v>
      </c>
      <c r="L383" s="115">
        <v>41329</v>
      </c>
      <c r="M383" s="50">
        <f t="shared" si="18"/>
        <v>3</v>
      </c>
      <c r="N383" s="50" t="s">
        <v>2</v>
      </c>
      <c r="O383" s="74">
        <v>7.5</v>
      </c>
      <c r="P383" s="50">
        <v>7.73</v>
      </c>
      <c r="Q383" s="74">
        <v>7.25</v>
      </c>
      <c r="R383" s="50">
        <v>79</v>
      </c>
      <c r="S383" s="74">
        <v>77</v>
      </c>
      <c r="T383" s="50">
        <v>0.15</v>
      </c>
      <c r="U383" s="74">
        <v>0.7</v>
      </c>
      <c r="V383" s="50">
        <v>0.04</v>
      </c>
      <c r="W383" s="74">
        <v>2.3E-2</v>
      </c>
      <c r="X383" s="50">
        <v>7.5999999999999998E-2</v>
      </c>
      <c r="Y383" s="74">
        <v>4.7E-2</v>
      </c>
      <c r="Z383" s="164">
        <v>1</v>
      </c>
      <c r="AA383" s="165">
        <v>1</v>
      </c>
      <c r="AB383" s="50">
        <v>28</v>
      </c>
      <c r="AC383" s="74">
        <v>89</v>
      </c>
      <c r="AD383" s="164">
        <v>1</v>
      </c>
      <c r="AO383" s="50"/>
      <c r="AP383" s="49"/>
      <c r="AQ383" s="50"/>
      <c r="AU383" s="18"/>
      <c r="AV383" s="19"/>
      <c r="AW383" s="6"/>
    </row>
    <row r="384" spans="1:49" ht="15" customHeight="1">
      <c r="A384" s="88" t="s">
        <v>68</v>
      </c>
      <c r="B384" s="50" t="s">
        <v>387</v>
      </c>
      <c r="D384" s="48" t="s">
        <v>389</v>
      </c>
      <c r="E384" s="50" t="s">
        <v>112</v>
      </c>
      <c r="G384" s="76" t="s">
        <v>391</v>
      </c>
      <c r="J384" s="50" t="s">
        <v>388</v>
      </c>
      <c r="K384" s="51">
        <v>41422</v>
      </c>
      <c r="L384" s="115">
        <v>41418</v>
      </c>
      <c r="M384" s="50">
        <f t="shared" si="18"/>
        <v>4</v>
      </c>
      <c r="N384" s="50" t="s">
        <v>2</v>
      </c>
      <c r="O384" s="74">
        <v>1.2</v>
      </c>
      <c r="P384" s="50">
        <v>6.11</v>
      </c>
      <c r="Q384" s="74">
        <v>7.28</v>
      </c>
      <c r="R384" s="50">
        <v>53</v>
      </c>
      <c r="S384" s="74">
        <v>23</v>
      </c>
      <c r="T384" s="50">
        <v>2.5000000000000001E-2</v>
      </c>
      <c r="U384" s="74">
        <v>1.86</v>
      </c>
      <c r="V384" s="50">
        <v>1.38</v>
      </c>
      <c r="W384" s="74">
        <v>2.3E-2</v>
      </c>
      <c r="X384" s="50">
        <v>2.7E-2</v>
      </c>
      <c r="Y384" s="74">
        <v>3.0000000000000001E-3</v>
      </c>
      <c r="Z384" s="164">
        <v>1</v>
      </c>
      <c r="AA384" s="165">
        <v>1</v>
      </c>
      <c r="AB384" s="50">
        <v>4.03</v>
      </c>
      <c r="AC384" s="74">
        <v>120</v>
      </c>
      <c r="AD384" s="164">
        <v>1</v>
      </c>
      <c r="AO384" s="50"/>
      <c r="AP384" s="49"/>
      <c r="AQ384" s="50"/>
      <c r="AU384" s="18"/>
      <c r="AV384" s="19"/>
      <c r="AW384" s="6"/>
    </row>
    <row r="385" spans="1:49" ht="15" customHeight="1">
      <c r="A385" s="88" t="s">
        <v>68</v>
      </c>
      <c r="B385" s="50" t="s">
        <v>3301</v>
      </c>
      <c r="C385" s="7" t="s">
        <v>3301</v>
      </c>
      <c r="D385" s="48" t="s">
        <v>2591</v>
      </c>
      <c r="F385" s="50" t="s">
        <v>3302</v>
      </c>
      <c r="G385" s="76" t="s">
        <v>3303</v>
      </c>
      <c r="H385" s="50">
        <v>4212</v>
      </c>
      <c r="I385" s="49" t="s">
        <v>1</v>
      </c>
      <c r="J385" s="50" t="s">
        <v>366</v>
      </c>
      <c r="K385" s="51">
        <v>41432</v>
      </c>
      <c r="L385" s="115">
        <v>41428</v>
      </c>
      <c r="M385" s="50">
        <f t="shared" si="18"/>
        <v>4</v>
      </c>
      <c r="N385" s="50" t="s">
        <v>2</v>
      </c>
      <c r="O385" s="74">
        <v>0.7</v>
      </c>
      <c r="P385" s="50">
        <v>6.5</v>
      </c>
      <c r="Q385" s="74">
        <v>7.19</v>
      </c>
      <c r="R385" s="50">
        <v>17</v>
      </c>
      <c r="S385" s="74">
        <v>6</v>
      </c>
      <c r="T385" s="50">
        <v>0.04</v>
      </c>
      <c r="U385" s="74">
        <v>0.37</v>
      </c>
      <c r="V385" s="50">
        <v>0.02</v>
      </c>
      <c r="W385" s="74">
        <v>2.5000000000000001E-3</v>
      </c>
      <c r="X385" s="50">
        <v>2E-3</v>
      </c>
      <c r="Y385" s="74">
        <v>4.0000000000000001E-3</v>
      </c>
      <c r="AO385" s="50"/>
      <c r="AP385" s="49"/>
      <c r="AQ385" s="50"/>
      <c r="AU385" s="18"/>
      <c r="AV385" s="19"/>
      <c r="AW385" s="6"/>
    </row>
    <row r="386" spans="1:49" ht="15" customHeight="1">
      <c r="A386" s="88" t="s">
        <v>68</v>
      </c>
      <c r="B386" s="50" t="s">
        <v>3339</v>
      </c>
      <c r="C386" s="7" t="s">
        <v>3454</v>
      </c>
      <c r="D386" s="48" t="s">
        <v>827</v>
      </c>
      <c r="F386" s="50" t="s">
        <v>3341</v>
      </c>
      <c r="G386" s="76" t="s">
        <v>3455</v>
      </c>
      <c r="H386" s="50">
        <v>4953</v>
      </c>
      <c r="I386" s="49" t="s">
        <v>2</v>
      </c>
      <c r="J386" s="50" t="s">
        <v>366</v>
      </c>
      <c r="K386" s="51">
        <v>41432</v>
      </c>
      <c r="L386" s="115">
        <v>41428</v>
      </c>
      <c r="M386" s="50">
        <f t="shared" si="18"/>
        <v>4</v>
      </c>
      <c r="N386" s="50" t="s">
        <v>2</v>
      </c>
      <c r="O386" s="74">
        <v>1.8</v>
      </c>
      <c r="P386" s="50">
        <v>6.5</v>
      </c>
      <c r="Q386" s="74">
        <v>7.64</v>
      </c>
      <c r="R386" s="50">
        <v>55</v>
      </c>
      <c r="S386" s="74">
        <v>40</v>
      </c>
      <c r="T386" s="50">
        <v>0.19</v>
      </c>
      <c r="U386" s="74">
        <v>1.1299999999999999</v>
      </c>
      <c r="V386" s="50">
        <v>5.0000000000000001E-3</v>
      </c>
      <c r="W386" s="74">
        <v>1.2999999999999999E-2</v>
      </c>
      <c r="X386" s="50">
        <v>8.5000000000000006E-2</v>
      </c>
      <c r="Y386" s="74">
        <v>1.4E-2</v>
      </c>
      <c r="AO386" s="50"/>
      <c r="AP386" s="49"/>
      <c r="AQ386" s="50"/>
      <c r="AU386" s="18"/>
      <c r="AV386" s="19"/>
      <c r="AW386" s="6"/>
    </row>
    <row r="387" spans="1:49" ht="15" customHeight="1">
      <c r="A387" s="88" t="s">
        <v>68</v>
      </c>
      <c r="B387" s="50" t="s">
        <v>2347</v>
      </c>
      <c r="C387" s="7" t="s">
        <v>520</v>
      </c>
      <c r="D387" s="48" t="s">
        <v>684</v>
      </c>
      <c r="E387" s="50" t="s">
        <v>2616</v>
      </c>
      <c r="G387" s="76" t="s">
        <v>2349</v>
      </c>
      <c r="H387" s="50">
        <v>9199</v>
      </c>
      <c r="I387" s="49" t="s">
        <v>2</v>
      </c>
      <c r="J387" s="50" t="s">
        <v>2350</v>
      </c>
      <c r="K387" s="51">
        <v>41417</v>
      </c>
      <c r="L387" s="115">
        <v>41413</v>
      </c>
      <c r="M387" s="50">
        <f t="shared" si="18"/>
        <v>4</v>
      </c>
      <c r="N387" s="50" t="s">
        <v>2</v>
      </c>
      <c r="O387" s="74">
        <v>1</v>
      </c>
      <c r="P387" s="50">
        <v>6.2</v>
      </c>
      <c r="Q387" s="74">
        <v>7.4</v>
      </c>
      <c r="R387" s="50">
        <v>182</v>
      </c>
      <c r="S387" s="74">
        <v>1063</v>
      </c>
      <c r="T387" s="50">
        <v>1.46</v>
      </c>
      <c r="U387" s="74">
        <v>10.5</v>
      </c>
      <c r="V387" s="50">
        <v>0.57999999999999996</v>
      </c>
      <c r="W387" s="74">
        <v>0.19700000000000001</v>
      </c>
      <c r="X387" s="50">
        <v>0.94</v>
      </c>
      <c r="Y387" s="74">
        <v>0.2</v>
      </c>
      <c r="AO387" s="50"/>
      <c r="AP387" s="49"/>
      <c r="AQ387" s="50"/>
      <c r="AU387" s="18"/>
      <c r="AV387" s="19"/>
      <c r="AW387" s="6"/>
    </row>
    <row r="388" spans="1:49" ht="15" customHeight="1">
      <c r="A388" s="88" t="s">
        <v>68</v>
      </c>
      <c r="B388" s="50" t="s">
        <v>82</v>
      </c>
      <c r="C388" s="7" t="s">
        <v>83</v>
      </c>
      <c r="D388" s="48" t="s">
        <v>595</v>
      </c>
      <c r="E388" s="50" t="s">
        <v>85</v>
      </c>
      <c r="G388" s="76" t="s">
        <v>86</v>
      </c>
      <c r="H388" s="50">
        <v>4953</v>
      </c>
      <c r="I388" s="49" t="s">
        <v>2</v>
      </c>
      <c r="J388" s="50" t="s">
        <v>284</v>
      </c>
      <c r="K388" s="51">
        <v>41428</v>
      </c>
      <c r="L388" s="115">
        <v>41423</v>
      </c>
      <c r="M388" s="50">
        <f t="shared" si="18"/>
        <v>5</v>
      </c>
      <c r="N388" s="50" t="s">
        <v>2</v>
      </c>
      <c r="P388" s="50">
        <v>7.88</v>
      </c>
      <c r="Q388" s="74">
        <v>7.93</v>
      </c>
      <c r="AE388" s="50">
        <v>0.06</v>
      </c>
      <c r="AO388" s="50"/>
      <c r="AP388" s="49"/>
      <c r="AQ388" s="50"/>
      <c r="AU388" s="18"/>
      <c r="AV388" s="19"/>
      <c r="AW388" s="6"/>
    </row>
    <row r="389" spans="1:49" ht="15" customHeight="1">
      <c r="A389" s="88" t="s">
        <v>68</v>
      </c>
      <c r="B389" s="50" t="s">
        <v>336</v>
      </c>
      <c r="C389" s="7" t="s">
        <v>337</v>
      </c>
      <c r="D389" s="48" t="s">
        <v>338</v>
      </c>
      <c r="E389" s="50" t="s">
        <v>3458</v>
      </c>
      <c r="F389" s="50">
        <v>6900</v>
      </c>
      <c r="G389" s="76" t="s">
        <v>339</v>
      </c>
      <c r="H389" s="50">
        <v>4953</v>
      </c>
      <c r="J389" s="50" t="s">
        <v>340</v>
      </c>
      <c r="K389" s="51">
        <v>41403</v>
      </c>
      <c r="L389" s="115">
        <v>41384</v>
      </c>
      <c r="M389" s="50">
        <f t="shared" si="18"/>
        <v>19</v>
      </c>
      <c r="N389" s="50" t="s">
        <v>2</v>
      </c>
      <c r="O389" s="74">
        <v>0.5</v>
      </c>
      <c r="P389" s="50">
        <v>4.34</v>
      </c>
      <c r="Q389" s="74">
        <v>6.43</v>
      </c>
      <c r="R389" s="50">
        <v>208</v>
      </c>
      <c r="S389" s="74">
        <v>170</v>
      </c>
      <c r="T389" s="50">
        <v>0.56000000000000005</v>
      </c>
      <c r="U389" s="74">
        <v>4.37</v>
      </c>
      <c r="V389" s="50">
        <v>0.1</v>
      </c>
      <c r="W389" s="74">
        <v>0.03</v>
      </c>
      <c r="X389" s="50">
        <v>0.05</v>
      </c>
      <c r="Y389" s="74">
        <v>0.03</v>
      </c>
      <c r="AE389" s="50">
        <v>3.08</v>
      </c>
      <c r="AF389" s="50">
        <v>2.6</v>
      </c>
      <c r="AG389" s="50">
        <v>170</v>
      </c>
      <c r="AH389" s="50">
        <v>0.05</v>
      </c>
      <c r="AI389" s="50">
        <v>0.01</v>
      </c>
      <c r="AJ389" s="50">
        <v>5.0000000000000001E-3</v>
      </c>
      <c r="AK389" s="50">
        <v>5.0000000000000001E-3</v>
      </c>
      <c r="AL389" s="50">
        <v>5.0000000000000001E-3</v>
      </c>
      <c r="AM389" s="50">
        <v>0.05</v>
      </c>
      <c r="AN389" s="114">
        <v>6.43</v>
      </c>
      <c r="AO389" s="50"/>
      <c r="AP389" s="49"/>
      <c r="AQ389" s="50"/>
      <c r="AU389" s="18"/>
      <c r="AV389" s="19"/>
      <c r="AW389" s="6"/>
    </row>
    <row r="390" spans="1:49" ht="15" customHeight="1">
      <c r="A390" s="88" t="s">
        <v>68</v>
      </c>
      <c r="B390" s="50" t="s">
        <v>2222</v>
      </c>
      <c r="C390" s="7" t="s">
        <v>3432</v>
      </c>
      <c r="D390" s="48" t="s">
        <v>372</v>
      </c>
      <c r="E390" s="50" t="s">
        <v>3428</v>
      </c>
      <c r="F390" s="50" t="s">
        <v>2896</v>
      </c>
      <c r="G390" s="76" t="s">
        <v>3429</v>
      </c>
      <c r="H390" s="50">
        <v>4953</v>
      </c>
      <c r="I390" s="49" t="s">
        <v>2</v>
      </c>
      <c r="J390" s="50" t="s">
        <v>3430</v>
      </c>
      <c r="K390" s="51">
        <v>41432</v>
      </c>
      <c r="L390" s="115"/>
      <c r="N390" s="50" t="s">
        <v>2</v>
      </c>
      <c r="AE390" s="50">
        <v>4.25</v>
      </c>
      <c r="AO390" s="50"/>
      <c r="AP390" s="49"/>
      <c r="AQ390" s="50"/>
      <c r="AU390" s="18"/>
      <c r="AV390" s="19"/>
      <c r="AW390" s="6"/>
    </row>
    <row r="391" spans="1:49" ht="15" customHeight="1">
      <c r="A391" s="88" t="s">
        <v>68</v>
      </c>
      <c r="B391" s="50" t="s">
        <v>2725</v>
      </c>
      <c r="C391" s="7" t="s">
        <v>4050</v>
      </c>
      <c r="D391" s="48" t="s">
        <v>2727</v>
      </c>
      <c r="F391" s="50" t="s">
        <v>2728</v>
      </c>
      <c r="G391" s="76" t="s">
        <v>2729</v>
      </c>
      <c r="H391" s="50">
        <v>4212</v>
      </c>
      <c r="J391" s="50" t="s">
        <v>593</v>
      </c>
      <c r="K391" s="51">
        <v>41345</v>
      </c>
      <c r="L391" s="115">
        <v>41341</v>
      </c>
      <c r="M391" s="50">
        <f t="shared" ref="M391:M399" si="19">K391-L391</f>
        <v>4</v>
      </c>
      <c r="N391" s="50" t="s">
        <v>2</v>
      </c>
      <c r="O391" s="74">
        <v>2.9</v>
      </c>
      <c r="P391" s="50">
        <v>6.5</v>
      </c>
      <c r="Q391" s="74">
        <v>7.47</v>
      </c>
      <c r="R391" s="50">
        <v>47</v>
      </c>
      <c r="S391" s="74">
        <v>67</v>
      </c>
      <c r="T391" s="50">
        <v>0.2</v>
      </c>
      <c r="U391" s="74">
        <v>0.62</v>
      </c>
      <c r="V391" s="50">
        <v>0.06</v>
      </c>
      <c r="W391" s="74">
        <v>8.9999999999999993E-3</v>
      </c>
      <c r="X391" s="50">
        <v>3.2000000000000001E-2</v>
      </c>
      <c r="Y391" s="74">
        <v>7.0000000000000001E-3</v>
      </c>
      <c r="Z391" s="164">
        <v>1</v>
      </c>
      <c r="AA391" s="165">
        <v>1</v>
      </c>
      <c r="AB391" s="50">
        <v>20</v>
      </c>
      <c r="AC391" s="74">
        <v>232</v>
      </c>
      <c r="AD391" s="164">
        <v>1</v>
      </c>
      <c r="AO391" s="50"/>
      <c r="AP391" s="49"/>
      <c r="AQ391" s="50"/>
      <c r="AU391" s="18"/>
      <c r="AV391" s="19"/>
      <c r="AW391" s="6"/>
    </row>
    <row r="392" spans="1:49" ht="15" customHeight="1">
      <c r="A392" s="88" t="s">
        <v>68</v>
      </c>
      <c r="B392" s="50" t="s">
        <v>3582</v>
      </c>
      <c r="C392" s="7" t="s">
        <v>3346</v>
      </c>
      <c r="D392" s="48" t="s">
        <v>756</v>
      </c>
      <c r="E392" s="50" t="s">
        <v>3347</v>
      </c>
      <c r="G392" s="76" t="s">
        <v>3348</v>
      </c>
      <c r="H392" s="50">
        <v>4953</v>
      </c>
      <c r="I392" s="49" t="s">
        <v>2</v>
      </c>
      <c r="J392" s="50" t="s">
        <v>3349</v>
      </c>
      <c r="K392" s="51">
        <v>41402</v>
      </c>
      <c r="L392" s="115">
        <v>41384</v>
      </c>
      <c r="M392" s="50">
        <f t="shared" si="19"/>
        <v>18</v>
      </c>
      <c r="N392" s="50" t="s">
        <v>2</v>
      </c>
      <c r="O392" s="74">
        <v>32</v>
      </c>
      <c r="P392" s="50">
        <v>7.78</v>
      </c>
      <c r="Q392" s="74">
        <v>5.51</v>
      </c>
      <c r="R392" s="50">
        <v>2780</v>
      </c>
      <c r="S392" s="74">
        <v>1700</v>
      </c>
      <c r="T392" s="50">
        <v>6</v>
      </c>
      <c r="U392" s="74">
        <v>26.4</v>
      </c>
      <c r="V392" s="50">
        <v>5.0000000000000001E-3</v>
      </c>
      <c r="W392" s="74">
        <v>0.46200000000000002</v>
      </c>
      <c r="X392" s="50">
        <v>2.52</v>
      </c>
      <c r="Y392" s="74">
        <v>2.16</v>
      </c>
      <c r="Z392" s="164">
        <v>0.70399999999999996</v>
      </c>
      <c r="AA392" s="165">
        <v>0.35099999999999998</v>
      </c>
      <c r="AB392" s="50">
        <v>1216</v>
      </c>
      <c r="AC392" s="74">
        <v>13050</v>
      </c>
      <c r="AD392" s="164">
        <v>0</v>
      </c>
      <c r="AO392" s="50"/>
      <c r="AP392" s="49"/>
      <c r="AQ392" s="50"/>
      <c r="AU392" s="18"/>
      <c r="AV392" s="19"/>
      <c r="AW392" s="6"/>
    </row>
    <row r="393" spans="1:49" ht="15" customHeight="1">
      <c r="A393" s="88" t="s">
        <v>68</v>
      </c>
      <c r="B393" s="50" t="s">
        <v>2712</v>
      </c>
      <c r="C393" s="7" t="s">
        <v>3481</v>
      </c>
      <c r="D393" s="48" t="s">
        <v>2775</v>
      </c>
      <c r="F393" s="50" t="s">
        <v>3482</v>
      </c>
      <c r="G393" s="76" t="s">
        <v>3483</v>
      </c>
      <c r="H393" s="50">
        <v>4953</v>
      </c>
      <c r="I393" s="49" t="s">
        <v>2</v>
      </c>
      <c r="J393" s="50" t="s">
        <v>510</v>
      </c>
      <c r="K393" s="51">
        <v>41345</v>
      </c>
      <c r="L393" s="115">
        <v>41341</v>
      </c>
      <c r="M393" s="50">
        <f t="shared" si="19"/>
        <v>4</v>
      </c>
      <c r="N393" s="50" t="s">
        <v>2</v>
      </c>
      <c r="O393" s="74">
        <v>19</v>
      </c>
      <c r="P393" s="50">
        <v>6.5</v>
      </c>
      <c r="Q393" s="74">
        <v>7.82</v>
      </c>
      <c r="R393" s="50">
        <v>228</v>
      </c>
      <c r="S393" s="74">
        <v>580</v>
      </c>
      <c r="T393" s="50">
        <v>0.83</v>
      </c>
      <c r="U393" s="74">
        <v>2.25</v>
      </c>
      <c r="V393" s="50">
        <v>0.15</v>
      </c>
      <c r="W393" s="74">
        <v>0.02</v>
      </c>
      <c r="X393" s="50">
        <v>6.0999999999999999E-2</v>
      </c>
      <c r="Y393" s="74">
        <v>1.2999999999999999E-2</v>
      </c>
      <c r="Z393" s="164">
        <v>1</v>
      </c>
      <c r="AA393" s="165">
        <v>1</v>
      </c>
      <c r="AB393" s="50">
        <v>22</v>
      </c>
      <c r="AC393" s="74">
        <v>154</v>
      </c>
      <c r="AD393" s="164">
        <v>1</v>
      </c>
      <c r="AO393" s="50"/>
      <c r="AP393" s="49"/>
      <c r="AQ393" s="50"/>
      <c r="AU393" s="18"/>
      <c r="AV393" s="19"/>
      <c r="AW393" s="6"/>
    </row>
    <row r="394" spans="1:49" ht="15" customHeight="1">
      <c r="A394" s="88" t="s">
        <v>68</v>
      </c>
      <c r="B394" s="50" t="s">
        <v>2358</v>
      </c>
      <c r="C394" s="7" t="s">
        <v>4051</v>
      </c>
      <c r="D394" s="48" t="s">
        <v>111</v>
      </c>
      <c r="E394" s="50" t="s">
        <v>2889</v>
      </c>
      <c r="F394" s="50">
        <v>5200</v>
      </c>
      <c r="G394" s="76" t="s">
        <v>2360</v>
      </c>
      <c r="H394" s="50">
        <v>4953</v>
      </c>
      <c r="I394" s="49" t="s">
        <v>2</v>
      </c>
      <c r="J394" s="50" t="s">
        <v>2361</v>
      </c>
      <c r="K394" s="51">
        <v>41402</v>
      </c>
      <c r="L394" s="115">
        <v>41384</v>
      </c>
      <c r="M394" s="50">
        <f t="shared" si="19"/>
        <v>18</v>
      </c>
      <c r="N394" s="50" t="s">
        <v>2</v>
      </c>
      <c r="O394" s="74">
        <v>2.0499999999999998</v>
      </c>
      <c r="P394" s="50">
        <v>5.72</v>
      </c>
      <c r="Q394" s="74">
        <v>6.8</v>
      </c>
      <c r="R394" s="50">
        <v>196</v>
      </c>
      <c r="S394" s="74">
        <v>440</v>
      </c>
      <c r="T394" s="50">
        <v>1.1200000000000001</v>
      </c>
      <c r="U394" s="74">
        <v>4.46</v>
      </c>
      <c r="V394" s="50">
        <v>0.8</v>
      </c>
      <c r="W394" s="74">
        <v>0.16800000000000001</v>
      </c>
      <c r="X394" s="50">
        <v>0.24399999999999999</v>
      </c>
      <c r="Y394" s="74">
        <v>8.7999999999999995E-2</v>
      </c>
      <c r="AE394" s="50">
        <v>38.200000000000003</v>
      </c>
      <c r="AO394" s="50"/>
      <c r="AP394" s="49"/>
      <c r="AQ394" s="50"/>
      <c r="AU394" s="18"/>
      <c r="AV394" s="19"/>
      <c r="AW394" s="6"/>
    </row>
    <row r="395" spans="1:49" ht="15" customHeight="1">
      <c r="A395" s="88" t="s">
        <v>68</v>
      </c>
      <c r="B395" s="50" t="s">
        <v>3411</v>
      </c>
      <c r="C395" s="7" t="s">
        <v>475</v>
      </c>
      <c r="D395" s="48" t="s">
        <v>1896</v>
      </c>
      <c r="F395" s="50" t="s">
        <v>3412</v>
      </c>
      <c r="G395" s="76" t="s">
        <v>3413</v>
      </c>
      <c r="H395" s="50">
        <v>4953</v>
      </c>
      <c r="I395" s="49" t="s">
        <v>2</v>
      </c>
      <c r="J395" s="50" t="s">
        <v>4052</v>
      </c>
      <c r="K395" s="51">
        <v>41345</v>
      </c>
      <c r="L395" s="115">
        <v>41341</v>
      </c>
      <c r="M395" s="50">
        <f t="shared" si="19"/>
        <v>4</v>
      </c>
      <c r="N395" s="50" t="s">
        <v>2</v>
      </c>
      <c r="O395" s="74">
        <v>0.7</v>
      </c>
      <c r="P395" s="50">
        <v>6.5</v>
      </c>
      <c r="Q395" s="74">
        <v>7.8</v>
      </c>
      <c r="R395" s="50">
        <v>58</v>
      </c>
      <c r="S395" s="74">
        <v>13</v>
      </c>
      <c r="T395" s="50">
        <v>0.79</v>
      </c>
      <c r="U395" s="74">
        <v>1.58</v>
      </c>
      <c r="V395" s="50">
        <v>0.78</v>
      </c>
      <c r="W395" s="74">
        <v>1.2999999999999999E-2</v>
      </c>
      <c r="X395" s="50">
        <v>1.4E-2</v>
      </c>
      <c r="Y395" s="74">
        <v>5.0000000000000001E-3</v>
      </c>
      <c r="Z395" s="164">
        <v>1</v>
      </c>
      <c r="AA395" s="165">
        <v>1</v>
      </c>
      <c r="AB395" s="50">
        <v>200</v>
      </c>
      <c r="AC395" s="74">
        <v>931</v>
      </c>
      <c r="AD395" s="164">
        <v>0.8</v>
      </c>
      <c r="AO395" s="50"/>
      <c r="AP395" s="49"/>
      <c r="AQ395" s="50"/>
      <c r="AU395" s="18"/>
      <c r="AV395" s="19"/>
      <c r="AW395" s="6"/>
    </row>
    <row r="396" spans="1:49" ht="15" customHeight="1">
      <c r="A396" s="88" t="s">
        <v>68</v>
      </c>
      <c r="B396" s="50" t="s">
        <v>3411</v>
      </c>
      <c r="C396" s="7" t="s">
        <v>475</v>
      </c>
      <c r="D396" s="48" t="s">
        <v>1896</v>
      </c>
      <c r="F396" s="50" t="s">
        <v>3412</v>
      </c>
      <c r="G396" s="76" t="s">
        <v>3413</v>
      </c>
      <c r="H396" s="50">
        <v>4953</v>
      </c>
      <c r="I396" s="49" t="s">
        <v>2</v>
      </c>
      <c r="J396" s="50" t="s">
        <v>4052</v>
      </c>
      <c r="K396" s="51">
        <v>41044</v>
      </c>
      <c r="L396" s="115">
        <v>41039</v>
      </c>
      <c r="M396" s="50">
        <f t="shared" si="19"/>
        <v>5</v>
      </c>
      <c r="N396" s="50" t="s">
        <v>2</v>
      </c>
      <c r="O396" s="74">
        <v>4.5999999999999996</v>
      </c>
      <c r="P396" s="50">
        <v>6.5</v>
      </c>
      <c r="Q396" s="74">
        <v>6.99</v>
      </c>
      <c r="R396" s="50">
        <v>120</v>
      </c>
      <c r="S396" s="74">
        <v>140</v>
      </c>
      <c r="T396" s="50">
        <v>0.78</v>
      </c>
      <c r="U396" s="74">
        <v>2.58</v>
      </c>
      <c r="V396" s="50">
        <v>0.25</v>
      </c>
      <c r="W396" s="74">
        <v>4.5999999999999999E-2</v>
      </c>
      <c r="X396" s="50">
        <v>0.14299999999999999</v>
      </c>
      <c r="Y396" s="74">
        <v>3.3000000000000002E-2</v>
      </c>
      <c r="Z396" s="164">
        <v>1</v>
      </c>
      <c r="AA396" s="165">
        <v>1</v>
      </c>
      <c r="AB396" s="50">
        <v>30</v>
      </c>
      <c r="AC396" s="74">
        <v>9</v>
      </c>
      <c r="AD396" s="164">
        <v>0.95</v>
      </c>
      <c r="AO396" s="50"/>
      <c r="AP396" s="49"/>
      <c r="AQ396" s="50"/>
      <c r="AU396" s="18"/>
      <c r="AV396" s="19"/>
      <c r="AW396" s="6"/>
    </row>
    <row r="397" spans="1:49" ht="15" customHeight="1">
      <c r="A397" s="88" t="s">
        <v>68</v>
      </c>
      <c r="B397" s="50" t="s">
        <v>3378</v>
      </c>
      <c r="C397" s="7" t="s">
        <v>3379</v>
      </c>
      <c r="D397" s="48" t="s">
        <v>3380</v>
      </c>
      <c r="F397" s="50" t="s">
        <v>3381</v>
      </c>
      <c r="G397" s="76" t="s">
        <v>3382</v>
      </c>
      <c r="H397" s="50">
        <v>4953</v>
      </c>
      <c r="I397" s="49" t="s">
        <v>2</v>
      </c>
      <c r="J397" s="50" t="s">
        <v>366</v>
      </c>
      <c r="K397" s="51">
        <v>41264</v>
      </c>
      <c r="L397" s="115">
        <v>41261</v>
      </c>
      <c r="M397" s="50">
        <f t="shared" si="19"/>
        <v>3</v>
      </c>
      <c r="N397" s="50" t="s">
        <v>2</v>
      </c>
      <c r="O397" s="74">
        <v>4.4000000000000004</v>
      </c>
      <c r="P397" s="50">
        <v>6.5</v>
      </c>
      <c r="Q397" s="74">
        <v>6.79</v>
      </c>
      <c r="R397" s="50">
        <v>5</v>
      </c>
      <c r="S397" s="74">
        <v>330</v>
      </c>
      <c r="T397" s="50">
        <v>0.78</v>
      </c>
      <c r="U397" s="74">
        <v>1.19</v>
      </c>
      <c r="V397" s="50">
        <v>5.0000000000000001E-3</v>
      </c>
      <c r="W397" s="74">
        <v>3.1E-2</v>
      </c>
      <c r="X397" s="50">
        <v>0.09</v>
      </c>
      <c r="Y397" s="74">
        <v>2.5000000000000001E-2</v>
      </c>
      <c r="Z397" s="164">
        <v>1</v>
      </c>
      <c r="AA397" s="165">
        <v>1</v>
      </c>
      <c r="AB397" s="50">
        <v>4</v>
      </c>
      <c r="AC397" s="74">
        <v>33</v>
      </c>
      <c r="AD397" s="164">
        <v>1</v>
      </c>
      <c r="AO397" s="50"/>
      <c r="AP397" s="49"/>
      <c r="AQ397" s="50"/>
      <c r="AU397" s="18"/>
      <c r="AV397" s="19"/>
      <c r="AW397" s="6"/>
    </row>
    <row r="398" spans="1:49" ht="15" customHeight="1">
      <c r="A398" s="88" t="s">
        <v>68</v>
      </c>
      <c r="B398" s="50" t="s">
        <v>4072</v>
      </c>
      <c r="D398" s="48" t="s">
        <v>111</v>
      </c>
      <c r="E398" s="50" t="s">
        <v>4073</v>
      </c>
      <c r="G398" s="76" t="s">
        <v>4074</v>
      </c>
      <c r="H398" s="50">
        <v>4953</v>
      </c>
      <c r="I398" s="49" t="s">
        <v>2</v>
      </c>
      <c r="J398" s="50" t="s">
        <v>4075</v>
      </c>
      <c r="K398" s="51">
        <v>41304</v>
      </c>
      <c r="L398" s="115">
        <v>41289</v>
      </c>
      <c r="M398" s="50">
        <f t="shared" si="19"/>
        <v>15</v>
      </c>
      <c r="N398" s="50" t="s">
        <v>1</v>
      </c>
      <c r="O398" s="74" t="s">
        <v>955</v>
      </c>
      <c r="P398" s="50">
        <v>6.4</v>
      </c>
      <c r="Q398" s="74">
        <v>7.3</v>
      </c>
      <c r="R398" s="50">
        <v>54</v>
      </c>
      <c r="S398" s="74">
        <v>91</v>
      </c>
      <c r="T398" s="50">
        <v>0.26</v>
      </c>
      <c r="U398" s="74">
        <v>5.57</v>
      </c>
      <c r="V398" s="50">
        <v>0.84</v>
      </c>
      <c r="W398" s="74">
        <v>7.8E-2</v>
      </c>
      <c r="X398" s="50">
        <v>0.16</v>
      </c>
      <c r="Y398" s="74" t="s">
        <v>955</v>
      </c>
      <c r="Z398" s="164">
        <v>1</v>
      </c>
      <c r="AA398" s="165">
        <v>1</v>
      </c>
      <c r="AB398" s="50">
        <v>85</v>
      </c>
      <c r="AC398" s="74">
        <v>1707</v>
      </c>
      <c r="AD398" s="164">
        <v>0.7</v>
      </c>
      <c r="AN398" s="50"/>
      <c r="AO398" s="49"/>
      <c r="AP398" s="49"/>
      <c r="AR398" s="49"/>
      <c r="AT398" s="49"/>
      <c r="AV398"/>
      <c r="AW398"/>
    </row>
    <row r="399" spans="1:49" ht="15" customHeight="1">
      <c r="A399" s="88" t="s">
        <v>68</v>
      </c>
      <c r="B399" s="50" t="s">
        <v>2820</v>
      </c>
      <c r="C399" s="7" t="s">
        <v>4076</v>
      </c>
      <c r="D399" s="48" t="s">
        <v>588</v>
      </c>
      <c r="F399" s="50" t="s">
        <v>3503</v>
      </c>
      <c r="G399" s="76" t="s">
        <v>3504</v>
      </c>
      <c r="H399" s="50">
        <v>4953</v>
      </c>
      <c r="I399" s="49" t="s">
        <v>2</v>
      </c>
      <c r="J399" s="50" t="s">
        <v>510</v>
      </c>
      <c r="K399" s="51">
        <v>41352</v>
      </c>
      <c r="L399" s="115">
        <v>41345</v>
      </c>
      <c r="M399" s="50">
        <f t="shared" si="19"/>
        <v>7</v>
      </c>
      <c r="N399" s="50" t="s">
        <v>2</v>
      </c>
      <c r="O399" s="74">
        <f>1.4/2</f>
        <v>0.7</v>
      </c>
      <c r="P399" s="50">
        <v>6.5</v>
      </c>
      <c r="Q399" s="74">
        <v>7.58</v>
      </c>
      <c r="R399" s="50">
        <v>160</v>
      </c>
      <c r="S399" s="74">
        <v>210</v>
      </c>
      <c r="T399" s="50">
        <v>0.53</v>
      </c>
      <c r="U399" s="74">
        <v>2.64</v>
      </c>
      <c r="V399" s="50">
        <f>0.01/2</f>
        <v>5.0000000000000001E-3</v>
      </c>
      <c r="W399" s="74">
        <v>1.6E-2</v>
      </c>
      <c r="X399" s="50">
        <v>0.05</v>
      </c>
      <c r="Y399" s="74">
        <v>2.3E-2</v>
      </c>
      <c r="Z399" s="164">
        <v>1</v>
      </c>
      <c r="AA399" s="165">
        <v>1</v>
      </c>
      <c r="AB399" s="50">
        <v>62</v>
      </c>
      <c r="AC399" s="74">
        <v>164</v>
      </c>
      <c r="AD399" s="164">
        <f>20/20</f>
        <v>1</v>
      </c>
      <c r="AN399" s="50"/>
      <c r="AO399" s="49"/>
      <c r="AP399" s="49"/>
      <c r="AR399" s="49"/>
      <c r="AT399" s="49"/>
      <c r="AV399"/>
      <c r="AW399"/>
    </row>
    <row r="400" spans="1:49" ht="15" customHeight="1">
      <c r="A400" s="88" t="s">
        <v>68</v>
      </c>
      <c r="B400" s="50" t="s">
        <v>2222</v>
      </c>
      <c r="C400" s="7" t="s">
        <v>3432</v>
      </c>
      <c r="D400" s="48" t="s">
        <v>372</v>
      </c>
      <c r="E400" s="50" t="s">
        <v>3428</v>
      </c>
      <c r="F400" s="50" t="s">
        <v>2896</v>
      </c>
      <c r="G400" s="76" t="s">
        <v>3429</v>
      </c>
      <c r="H400" s="50">
        <v>4953</v>
      </c>
      <c r="I400" s="49" t="s">
        <v>2</v>
      </c>
      <c r="J400" s="50" t="s">
        <v>3430</v>
      </c>
      <c r="K400" s="51">
        <v>41339</v>
      </c>
      <c r="L400" s="115"/>
      <c r="N400" s="50" t="s">
        <v>2</v>
      </c>
      <c r="O400" s="74">
        <f>2.5/2</f>
        <v>1.25</v>
      </c>
      <c r="P400" s="50">
        <v>7.13</v>
      </c>
      <c r="Q400" s="74">
        <v>7.91</v>
      </c>
      <c r="R400" s="50">
        <v>42.5</v>
      </c>
      <c r="S400" s="74">
        <f>5/2</f>
        <v>2.5</v>
      </c>
      <c r="T400" s="50">
        <v>0.06</v>
      </c>
      <c r="U400" s="74">
        <v>3.03</v>
      </c>
      <c r="V400" s="50">
        <v>3.81</v>
      </c>
      <c r="W400" s="74">
        <v>0.04</v>
      </c>
      <c r="X400" s="50">
        <v>0.01</v>
      </c>
      <c r="Y400" s="74">
        <f>0.004/2</f>
        <v>2E-3</v>
      </c>
      <c r="AE400" s="50">
        <v>0.26</v>
      </c>
      <c r="AN400" s="50"/>
      <c r="AO400" s="49"/>
      <c r="AP400" s="49"/>
      <c r="AR400" s="49"/>
      <c r="AT400" s="49"/>
      <c r="AV400"/>
      <c r="AW400"/>
    </row>
    <row r="401" spans="1:49" ht="15" customHeight="1">
      <c r="A401" s="88" t="s">
        <v>68</v>
      </c>
      <c r="B401" s="50" t="s">
        <v>2863</v>
      </c>
      <c r="C401" s="7" t="s">
        <v>2866</v>
      </c>
      <c r="D401" s="48" t="s">
        <v>434</v>
      </c>
      <c r="E401" s="50" t="s">
        <v>2867</v>
      </c>
      <c r="G401" s="76" t="s">
        <v>2868</v>
      </c>
      <c r="H401" s="50">
        <v>4953</v>
      </c>
      <c r="I401" s="49" t="s">
        <v>2</v>
      </c>
      <c r="J401" s="50" t="s">
        <v>700</v>
      </c>
      <c r="K401" s="51">
        <v>41352</v>
      </c>
      <c r="L401" s="50"/>
      <c r="N401" s="50" t="s">
        <v>1</v>
      </c>
      <c r="O401" s="74">
        <f>3.1/2</f>
        <v>1.55</v>
      </c>
      <c r="P401" s="50">
        <v>6.5</v>
      </c>
      <c r="Q401" s="74">
        <v>7</v>
      </c>
      <c r="R401" s="50">
        <v>82</v>
      </c>
      <c r="S401" s="74">
        <v>16</v>
      </c>
      <c r="T401" s="50">
        <v>5.2999999999999999E-2</v>
      </c>
      <c r="U401" s="74">
        <v>64</v>
      </c>
      <c r="V401" s="50">
        <v>2.62</v>
      </c>
      <c r="W401" s="74">
        <v>2.5999999999999999E-2</v>
      </c>
      <c r="X401" s="50">
        <v>0.20599999999999999</v>
      </c>
      <c r="Y401" s="50">
        <v>3.09E-2</v>
      </c>
      <c r="AO401" s="50"/>
      <c r="AP401" s="49"/>
      <c r="AQ401" s="50"/>
      <c r="AW401"/>
    </row>
    <row r="402" spans="1:49" ht="15" customHeight="1">
      <c r="A402" s="293" t="s">
        <v>68</v>
      </c>
      <c r="B402" s="50" t="s">
        <v>2107</v>
      </c>
      <c r="C402" s="7" t="s">
        <v>2546</v>
      </c>
      <c r="D402" s="48" t="s">
        <v>308</v>
      </c>
      <c r="E402" s="50" t="s">
        <v>235</v>
      </c>
      <c r="G402" s="76" t="s">
        <v>3015</v>
      </c>
      <c r="H402" s="50">
        <v>4953</v>
      </c>
      <c r="I402" s="49" t="s">
        <v>1</v>
      </c>
      <c r="J402" s="50" t="s">
        <v>194</v>
      </c>
      <c r="K402" s="51">
        <v>41478</v>
      </c>
      <c r="L402" s="115">
        <v>41475</v>
      </c>
      <c r="M402" s="50">
        <f t="shared" ref="M402:M463" si="20">K402-L402</f>
        <v>3</v>
      </c>
      <c r="N402" s="50" t="s">
        <v>2</v>
      </c>
      <c r="AE402" s="50">
        <v>10.199999999999999</v>
      </c>
    </row>
    <row r="403" spans="1:49" ht="15" customHeight="1">
      <c r="A403" s="88" t="s">
        <v>68</v>
      </c>
      <c r="B403" s="50" t="s">
        <v>2684</v>
      </c>
      <c r="C403" s="7" t="s">
        <v>2688</v>
      </c>
      <c r="D403" s="14" t="s">
        <v>836</v>
      </c>
      <c r="E403" s="7" t="s">
        <v>364</v>
      </c>
      <c r="F403" s="7"/>
      <c r="G403" s="15" t="s">
        <v>4077</v>
      </c>
      <c r="H403" s="7">
        <v>4953</v>
      </c>
      <c r="I403" s="19" t="s">
        <v>2</v>
      </c>
      <c r="J403" s="7" t="s">
        <v>4119</v>
      </c>
      <c r="K403" s="16">
        <v>40920</v>
      </c>
      <c r="L403" s="17">
        <v>40909</v>
      </c>
      <c r="M403" s="50">
        <f t="shared" si="20"/>
        <v>11</v>
      </c>
      <c r="N403" s="7" t="s">
        <v>2</v>
      </c>
      <c r="O403" s="6">
        <v>3.2</v>
      </c>
      <c r="P403" s="7">
        <v>5.89</v>
      </c>
      <c r="Q403" s="6">
        <v>6.99</v>
      </c>
      <c r="R403" s="7">
        <v>130</v>
      </c>
      <c r="S403" s="6">
        <v>1100</v>
      </c>
      <c r="T403" s="7">
        <v>2.59</v>
      </c>
      <c r="U403" s="6">
        <v>3.98</v>
      </c>
      <c r="V403" s="7">
        <v>0.12</v>
      </c>
      <c r="W403" s="6">
        <v>1.2999999999999999E-2</v>
      </c>
      <c r="X403" s="7">
        <v>3.1E-2</v>
      </c>
      <c r="Y403" s="6">
        <v>0.01</v>
      </c>
      <c r="Z403" s="12">
        <v>1</v>
      </c>
      <c r="AA403" s="13">
        <v>1</v>
      </c>
      <c r="AB403" s="7">
        <v>294</v>
      </c>
      <c r="AC403" s="6">
        <v>915</v>
      </c>
      <c r="AD403" s="12">
        <v>1</v>
      </c>
      <c r="AE403" s="7">
        <v>26</v>
      </c>
      <c r="AF403" s="7">
        <v>30</v>
      </c>
      <c r="AG403" s="7">
        <v>1100</v>
      </c>
      <c r="AH403" s="7">
        <v>1.73</v>
      </c>
      <c r="AI403" s="7">
        <v>5.0000000000000001E-3</v>
      </c>
      <c r="AJ403" s="7">
        <v>5.0000000000000001E-3</v>
      </c>
      <c r="AK403" s="7">
        <v>5.0000000000000001E-3</v>
      </c>
      <c r="AL403" s="7">
        <v>5.0000000000000001E-3</v>
      </c>
      <c r="AM403" s="7">
        <v>3.1E-2</v>
      </c>
      <c r="AN403" s="20">
        <v>6.99</v>
      </c>
      <c r="AO403" s="7"/>
      <c r="AP403" s="19"/>
      <c r="AQ403" s="7"/>
      <c r="AR403" s="7"/>
      <c r="AS403" s="19"/>
      <c r="AT403" s="7"/>
      <c r="AU403" s="18"/>
      <c r="AV403" s="19"/>
      <c r="AW403" s="6"/>
    </row>
    <row r="404" spans="1:49" ht="15" customHeight="1">
      <c r="A404" s="88" t="s">
        <v>68</v>
      </c>
      <c r="B404" s="50" t="s">
        <v>404</v>
      </c>
      <c r="C404" s="7" t="s">
        <v>622</v>
      </c>
      <c r="D404" s="14" t="s">
        <v>406</v>
      </c>
      <c r="E404" s="7" t="s">
        <v>623</v>
      </c>
      <c r="F404" s="7"/>
      <c r="G404" s="15" t="s">
        <v>624</v>
      </c>
      <c r="H404" s="7">
        <v>4953</v>
      </c>
      <c r="I404" s="19" t="s">
        <v>2</v>
      </c>
      <c r="J404" s="7" t="s">
        <v>625</v>
      </c>
      <c r="K404" s="16">
        <v>41038</v>
      </c>
      <c r="L404" s="17">
        <v>41032</v>
      </c>
      <c r="M404" s="50">
        <f t="shared" si="20"/>
        <v>6</v>
      </c>
      <c r="N404" s="7" t="s">
        <v>2</v>
      </c>
      <c r="O404" s="6">
        <v>1</v>
      </c>
      <c r="P404" s="7">
        <v>8.4499999999999993</v>
      </c>
      <c r="Q404" s="6">
        <v>7.1</v>
      </c>
      <c r="R404" s="7">
        <v>72</v>
      </c>
      <c r="S404" s="6">
        <v>0.5</v>
      </c>
      <c r="T404" s="7">
        <v>1.42</v>
      </c>
      <c r="U404" s="6">
        <v>2.56</v>
      </c>
      <c r="V404" s="7">
        <v>0.3</v>
      </c>
      <c r="W404" s="6">
        <v>5.0000000000000001E-3</v>
      </c>
      <c r="X404" s="7">
        <v>1.4999999999999999E-2</v>
      </c>
      <c r="Y404" s="6">
        <v>1.4999999999999999E-2</v>
      </c>
      <c r="Z404" s="12"/>
      <c r="AA404" s="13"/>
      <c r="AB404" s="7"/>
      <c r="AC404" s="6"/>
      <c r="AD404" s="12"/>
      <c r="AE404" s="7"/>
      <c r="AF404" s="7"/>
      <c r="AG404" s="7"/>
      <c r="AH404" s="7"/>
      <c r="AI404" s="7"/>
      <c r="AJ404" s="7"/>
      <c r="AK404" s="7"/>
      <c r="AL404" s="7"/>
      <c r="AM404" s="7"/>
      <c r="AN404" s="20"/>
      <c r="AO404" s="7"/>
      <c r="AP404" s="19"/>
      <c r="AQ404" s="7"/>
      <c r="AR404" s="7"/>
      <c r="AS404" s="19"/>
      <c r="AT404" s="7"/>
      <c r="AU404" s="18"/>
      <c r="AV404" s="19"/>
      <c r="AW404" s="6"/>
    </row>
    <row r="405" spans="1:49" ht="15" customHeight="1">
      <c r="A405" s="25" t="s">
        <v>68</v>
      </c>
      <c r="B405" s="50" t="s">
        <v>404</v>
      </c>
      <c r="C405" s="7" t="s">
        <v>622</v>
      </c>
      <c r="D405" s="14" t="s">
        <v>406</v>
      </c>
      <c r="E405" s="7" t="s">
        <v>623</v>
      </c>
      <c r="F405" s="7"/>
      <c r="G405" s="15" t="s">
        <v>624</v>
      </c>
      <c r="H405" s="7">
        <v>4953</v>
      </c>
      <c r="I405" s="19" t="s">
        <v>2</v>
      </c>
      <c r="J405" s="7" t="s">
        <v>625</v>
      </c>
      <c r="K405" s="16">
        <v>41352</v>
      </c>
      <c r="L405" s="17">
        <v>41345</v>
      </c>
      <c r="M405" s="50">
        <f t="shared" si="20"/>
        <v>7</v>
      </c>
      <c r="N405" s="7" t="s">
        <v>1</v>
      </c>
      <c r="O405" s="6">
        <f>2/2</f>
        <v>1</v>
      </c>
      <c r="P405" s="7">
        <v>7.3</v>
      </c>
      <c r="Q405" s="6">
        <v>7</v>
      </c>
      <c r="R405" s="7">
        <v>41</v>
      </c>
      <c r="S405" s="6">
        <v>5</v>
      </c>
      <c r="T405" s="7">
        <v>0.91</v>
      </c>
      <c r="U405" s="6">
        <v>1.17</v>
      </c>
      <c r="V405" s="7">
        <f>0.1/2</f>
        <v>0.05</v>
      </c>
      <c r="W405" s="6">
        <v>1.2999999999999999E-2</v>
      </c>
      <c r="X405" s="7">
        <f>0.03/2</f>
        <v>1.4999999999999999E-2</v>
      </c>
      <c r="Y405" s="6">
        <f>0.03/2</f>
        <v>1.4999999999999999E-2</v>
      </c>
      <c r="Z405" s="12">
        <v>1</v>
      </c>
      <c r="AA405" s="13">
        <v>1</v>
      </c>
      <c r="AB405" s="7">
        <v>101</v>
      </c>
      <c r="AC405" s="6">
        <v>438</v>
      </c>
      <c r="AD405" s="12">
        <v>0.75</v>
      </c>
      <c r="AE405" s="7"/>
      <c r="AF405" s="7"/>
      <c r="AG405" s="7"/>
      <c r="AH405" s="7"/>
      <c r="AI405" s="7"/>
      <c r="AJ405" s="7"/>
      <c r="AK405" s="7"/>
      <c r="AL405" s="7"/>
      <c r="AM405" s="7"/>
      <c r="AN405" s="20"/>
      <c r="AO405" s="7"/>
      <c r="AP405" s="19"/>
      <c r="AQ405" s="7"/>
      <c r="AR405" s="7"/>
      <c r="AS405" s="19"/>
      <c r="AT405" s="7"/>
      <c r="AU405" s="18"/>
      <c r="AV405" s="19"/>
      <c r="AW405" s="6"/>
    </row>
    <row r="406" spans="1:49" ht="15" customHeight="1">
      <c r="A406" s="88" t="s">
        <v>68</v>
      </c>
      <c r="B406" s="50" t="s">
        <v>404</v>
      </c>
      <c r="C406" s="7" t="s">
        <v>4120</v>
      </c>
      <c r="D406" s="14" t="s">
        <v>406</v>
      </c>
      <c r="E406" s="7" t="s">
        <v>614</v>
      </c>
      <c r="F406" s="7"/>
      <c r="G406" s="15" t="s">
        <v>615</v>
      </c>
      <c r="H406" s="7">
        <v>4953</v>
      </c>
      <c r="I406" s="19" t="s">
        <v>2</v>
      </c>
      <c r="J406" s="7" t="s">
        <v>616</v>
      </c>
      <c r="K406" s="16">
        <v>41030</v>
      </c>
      <c r="L406" s="17">
        <v>41025</v>
      </c>
      <c r="M406" s="50">
        <f t="shared" si="20"/>
        <v>5</v>
      </c>
      <c r="N406" s="7" t="s">
        <v>2</v>
      </c>
      <c r="O406" s="6">
        <v>1</v>
      </c>
      <c r="P406" s="7">
        <v>6.39</v>
      </c>
      <c r="Q406" s="6">
        <v>6.3</v>
      </c>
      <c r="R406" s="7">
        <v>57</v>
      </c>
      <c r="S406" s="6">
        <v>41</v>
      </c>
      <c r="T406" s="7">
        <v>0.28000000000000003</v>
      </c>
      <c r="U406" s="6">
        <v>1.5</v>
      </c>
      <c r="V406" s="7">
        <v>0.28999999999999998</v>
      </c>
      <c r="W406" s="6">
        <v>5.0000000000000001E-3</v>
      </c>
      <c r="X406" s="7">
        <v>5.8999999999999997E-2</v>
      </c>
      <c r="Y406" s="6">
        <v>1.4999999999999999E-2</v>
      </c>
      <c r="Z406" s="12"/>
      <c r="AA406" s="13"/>
      <c r="AB406" s="7"/>
      <c r="AC406" s="6"/>
      <c r="AD406" s="12"/>
      <c r="AE406" s="7"/>
      <c r="AF406" s="7"/>
      <c r="AG406" s="7"/>
      <c r="AH406" s="7"/>
      <c r="AI406" s="7"/>
      <c r="AJ406" s="7"/>
      <c r="AK406" s="7"/>
      <c r="AL406" s="7"/>
      <c r="AM406" s="7"/>
      <c r="AN406" s="20"/>
      <c r="AO406" s="7"/>
      <c r="AP406" s="19"/>
      <c r="AQ406" s="7"/>
      <c r="AR406" s="7"/>
      <c r="AS406" s="19"/>
      <c r="AT406" s="7"/>
      <c r="AU406" s="18"/>
      <c r="AV406" s="19"/>
      <c r="AW406" s="6"/>
    </row>
    <row r="407" spans="1:49" ht="15" customHeight="1">
      <c r="A407" s="88" t="s">
        <v>68</v>
      </c>
      <c r="B407" s="50" t="s">
        <v>404</v>
      </c>
      <c r="C407" s="7" t="s">
        <v>4120</v>
      </c>
      <c r="D407" s="14" t="s">
        <v>406</v>
      </c>
      <c r="E407" s="7" t="s">
        <v>614</v>
      </c>
      <c r="F407" s="7"/>
      <c r="G407" s="15" t="s">
        <v>615</v>
      </c>
      <c r="H407" s="7">
        <v>4953</v>
      </c>
      <c r="I407" s="19" t="s">
        <v>2</v>
      </c>
      <c r="J407" s="7" t="s">
        <v>617</v>
      </c>
      <c r="K407" s="16">
        <v>41030</v>
      </c>
      <c r="L407" s="17">
        <v>41025</v>
      </c>
      <c r="M407" s="50">
        <f t="shared" si="20"/>
        <v>5</v>
      </c>
      <c r="N407" s="7" t="s">
        <v>2</v>
      </c>
      <c r="O407" s="6">
        <v>1</v>
      </c>
      <c r="P407" s="7">
        <v>6.39</v>
      </c>
      <c r="Q407" s="6">
        <v>6.7</v>
      </c>
      <c r="R407" s="7">
        <v>20</v>
      </c>
      <c r="S407" s="6">
        <v>5</v>
      </c>
      <c r="T407" s="7">
        <v>0.33</v>
      </c>
      <c r="U407" s="6">
        <v>1.01</v>
      </c>
      <c r="V407" s="7">
        <v>0.19</v>
      </c>
      <c r="W407" s="6">
        <v>5.0000000000000001E-3</v>
      </c>
      <c r="X407" s="7">
        <v>5.5E-2</v>
      </c>
      <c r="Y407" s="6">
        <v>1.4999999999999999E-2</v>
      </c>
      <c r="Z407" s="12"/>
      <c r="AA407" s="13"/>
      <c r="AB407" s="7"/>
      <c r="AC407" s="6"/>
      <c r="AD407" s="12"/>
      <c r="AE407" s="7"/>
      <c r="AF407" s="7"/>
      <c r="AG407" s="7"/>
      <c r="AH407" s="7"/>
      <c r="AI407" s="7"/>
      <c r="AJ407" s="7"/>
      <c r="AK407" s="7"/>
      <c r="AL407" s="7"/>
      <c r="AM407" s="7"/>
      <c r="AN407" s="20"/>
      <c r="AO407" s="7"/>
      <c r="AP407" s="19"/>
      <c r="AQ407" s="7"/>
      <c r="AR407" s="7"/>
      <c r="AS407" s="19"/>
      <c r="AT407" s="7"/>
      <c r="AU407" s="18"/>
      <c r="AV407" s="19"/>
      <c r="AW407" s="6"/>
    </row>
    <row r="408" spans="1:49" ht="15" customHeight="1">
      <c r="A408" s="88" t="s">
        <v>68</v>
      </c>
      <c r="B408" s="50" t="s">
        <v>404</v>
      </c>
      <c r="C408" s="7" t="s">
        <v>4120</v>
      </c>
      <c r="D408" s="14" t="s">
        <v>406</v>
      </c>
      <c r="E408" s="7" t="s">
        <v>614</v>
      </c>
      <c r="F408" s="7"/>
      <c r="G408" s="15" t="s">
        <v>615</v>
      </c>
      <c r="H408" s="7">
        <v>4953</v>
      </c>
      <c r="I408" s="19" t="s">
        <v>2</v>
      </c>
      <c r="J408" s="7" t="s">
        <v>618</v>
      </c>
      <c r="K408" s="16">
        <v>41030</v>
      </c>
      <c r="L408" s="17">
        <v>41025</v>
      </c>
      <c r="M408" s="50">
        <f t="shared" si="20"/>
        <v>5</v>
      </c>
      <c r="N408" s="7" t="s">
        <v>2</v>
      </c>
      <c r="O408" s="6">
        <v>1</v>
      </c>
      <c r="P408" s="7">
        <v>6.39</v>
      </c>
      <c r="Q408" s="6">
        <v>6.2</v>
      </c>
      <c r="R408" s="7">
        <v>5</v>
      </c>
      <c r="S408" s="6">
        <v>8</v>
      </c>
      <c r="T408" s="7">
        <v>0.17</v>
      </c>
      <c r="U408" s="6">
        <v>0.7</v>
      </c>
      <c r="V408" s="7">
        <v>1.05</v>
      </c>
      <c r="W408" s="6">
        <v>5.0000000000000001E-3</v>
      </c>
      <c r="X408" s="7">
        <v>0.04</v>
      </c>
      <c r="Y408" s="6">
        <v>1.4999999999999999E-2</v>
      </c>
      <c r="Z408" s="12"/>
      <c r="AA408" s="13"/>
      <c r="AB408" s="7"/>
      <c r="AC408" s="6"/>
      <c r="AD408" s="12"/>
      <c r="AE408" s="7"/>
      <c r="AF408" s="7"/>
      <c r="AG408" s="7"/>
      <c r="AH408" s="7"/>
      <c r="AI408" s="7"/>
      <c r="AJ408" s="7"/>
      <c r="AK408" s="7"/>
      <c r="AL408" s="7"/>
      <c r="AM408" s="7"/>
      <c r="AN408" s="20"/>
      <c r="AO408" s="7"/>
      <c r="AP408" s="19"/>
      <c r="AQ408" s="7"/>
      <c r="AR408" s="7"/>
      <c r="AS408" s="19"/>
      <c r="AT408" s="7"/>
      <c r="AU408" s="18"/>
      <c r="AV408" s="19"/>
      <c r="AW408" s="6"/>
    </row>
    <row r="409" spans="1:49" ht="15" customHeight="1">
      <c r="A409" s="88" t="s">
        <v>68</v>
      </c>
      <c r="B409" s="50" t="s">
        <v>404</v>
      </c>
      <c r="C409" s="7" t="s">
        <v>4120</v>
      </c>
      <c r="D409" s="14" t="s">
        <v>406</v>
      </c>
      <c r="E409" s="7" t="s">
        <v>614</v>
      </c>
      <c r="F409" s="7"/>
      <c r="G409" s="15" t="s">
        <v>615</v>
      </c>
      <c r="H409" s="7">
        <v>4953</v>
      </c>
      <c r="I409" s="19" t="s">
        <v>2</v>
      </c>
      <c r="J409" s="7" t="s">
        <v>619</v>
      </c>
      <c r="K409" s="16">
        <v>41030</v>
      </c>
      <c r="L409" s="17">
        <v>41025</v>
      </c>
      <c r="M409" s="50">
        <f t="shared" si="20"/>
        <v>5</v>
      </c>
      <c r="N409" s="7" t="s">
        <v>2</v>
      </c>
      <c r="O409" s="6">
        <v>3.2</v>
      </c>
      <c r="P409" s="7">
        <v>6.39</v>
      </c>
      <c r="Q409" s="6">
        <v>6.6</v>
      </c>
      <c r="R409" s="7">
        <v>63</v>
      </c>
      <c r="S409" s="6">
        <v>69</v>
      </c>
      <c r="T409" s="7">
        <v>0.4</v>
      </c>
      <c r="U409" s="6">
        <v>2.0699999999999998</v>
      </c>
      <c r="V409" s="7">
        <v>0.26</v>
      </c>
      <c r="W409" s="6">
        <v>3.3000000000000002E-2</v>
      </c>
      <c r="X409" s="7">
        <v>0.13200000000000001</v>
      </c>
      <c r="Y409" s="6">
        <v>1.4999999999999999E-2</v>
      </c>
      <c r="Z409" s="12"/>
      <c r="AA409" s="13"/>
      <c r="AB409" s="7"/>
      <c r="AC409" s="6"/>
      <c r="AD409" s="12"/>
      <c r="AE409" s="7"/>
      <c r="AF409" s="7"/>
      <c r="AG409" s="7"/>
      <c r="AH409" s="7"/>
      <c r="AI409" s="7"/>
      <c r="AJ409" s="7"/>
      <c r="AK409" s="7"/>
      <c r="AL409" s="7"/>
      <c r="AM409" s="7"/>
      <c r="AN409" s="20"/>
      <c r="AO409" s="7"/>
      <c r="AP409" s="19"/>
      <c r="AQ409" s="7"/>
      <c r="AR409" s="7"/>
      <c r="AS409" s="19"/>
      <c r="AT409" s="7"/>
      <c r="AU409" s="18"/>
      <c r="AV409" s="19"/>
      <c r="AW409" s="6"/>
    </row>
    <row r="410" spans="1:49" ht="15" customHeight="1">
      <c r="A410" s="88" t="s">
        <v>68</v>
      </c>
      <c r="B410" s="50" t="s">
        <v>4121</v>
      </c>
      <c r="C410" s="7" t="s">
        <v>4121</v>
      </c>
      <c r="D410" s="14" t="s">
        <v>262</v>
      </c>
      <c r="E410" s="7" t="s">
        <v>4122</v>
      </c>
      <c r="F410" s="7"/>
      <c r="G410" s="15" t="s">
        <v>3327</v>
      </c>
      <c r="H410" s="7">
        <v>4953</v>
      </c>
      <c r="I410" s="19" t="s">
        <v>2</v>
      </c>
      <c r="J410" s="7" t="s">
        <v>4123</v>
      </c>
      <c r="K410" s="16">
        <v>41402</v>
      </c>
      <c r="L410" s="17">
        <v>41393</v>
      </c>
      <c r="M410" s="50">
        <f t="shared" si="20"/>
        <v>9</v>
      </c>
      <c r="N410" s="7" t="s">
        <v>2</v>
      </c>
      <c r="O410" s="6">
        <v>30</v>
      </c>
      <c r="P410" s="7">
        <v>7</v>
      </c>
      <c r="Q410" s="6">
        <v>7.1</v>
      </c>
      <c r="R410" s="7">
        <v>392</v>
      </c>
      <c r="S410" s="6">
        <v>158</v>
      </c>
      <c r="T410" s="7">
        <v>1.93</v>
      </c>
      <c r="U410" s="6">
        <v>3.24</v>
      </c>
      <c r="V410" s="7">
        <v>0.05</v>
      </c>
      <c r="W410" s="6">
        <v>0.29799999999999999</v>
      </c>
      <c r="X410" s="7">
        <v>0.46</v>
      </c>
      <c r="Y410" s="6">
        <v>0.125</v>
      </c>
      <c r="Z410" s="12"/>
      <c r="AA410" s="13"/>
      <c r="AB410" s="7"/>
      <c r="AC410" s="6"/>
      <c r="AD410" s="12"/>
      <c r="AE410" s="7"/>
      <c r="AF410" s="7"/>
      <c r="AG410" s="7"/>
      <c r="AH410" s="7"/>
      <c r="AI410" s="7"/>
      <c r="AJ410" s="7"/>
      <c r="AK410" s="7"/>
      <c r="AL410" s="7"/>
      <c r="AM410" s="7"/>
      <c r="AN410" s="20"/>
      <c r="AO410" s="7"/>
      <c r="AP410" s="19"/>
      <c r="AQ410" s="7"/>
      <c r="AR410" s="7"/>
      <c r="AS410" s="19"/>
      <c r="AT410" s="7"/>
      <c r="AU410" s="18"/>
      <c r="AV410" s="19"/>
      <c r="AW410" s="6"/>
    </row>
    <row r="411" spans="1:49" ht="15" customHeight="1">
      <c r="A411" s="88" t="s">
        <v>68</v>
      </c>
      <c r="B411" s="50" t="s">
        <v>4121</v>
      </c>
      <c r="C411" s="7" t="s">
        <v>4121</v>
      </c>
      <c r="D411" s="14" t="s">
        <v>262</v>
      </c>
      <c r="E411" s="7" t="s">
        <v>4122</v>
      </c>
      <c r="F411" s="7"/>
      <c r="G411" s="15" t="s">
        <v>3327</v>
      </c>
      <c r="H411" s="7">
        <v>4953</v>
      </c>
      <c r="I411" s="19" t="s">
        <v>2</v>
      </c>
      <c r="J411" s="7" t="s">
        <v>4123</v>
      </c>
      <c r="K411" s="16">
        <v>41376</v>
      </c>
      <c r="L411" s="17">
        <v>41374</v>
      </c>
      <c r="M411" s="50">
        <f t="shared" si="20"/>
        <v>2</v>
      </c>
      <c r="N411" s="7" t="s">
        <v>2</v>
      </c>
      <c r="O411" s="6">
        <v>26.7</v>
      </c>
      <c r="P411" s="7">
        <v>5.56</v>
      </c>
      <c r="Q411" s="6">
        <v>6.9</v>
      </c>
      <c r="R411" s="7">
        <v>190</v>
      </c>
      <c r="S411" s="6">
        <v>206</v>
      </c>
      <c r="T411" s="7">
        <v>1.67</v>
      </c>
      <c r="U411" s="6">
        <v>4.18</v>
      </c>
      <c r="V411" s="7">
        <v>0.53</v>
      </c>
      <c r="W411" s="6">
        <v>0.17899999999999999</v>
      </c>
      <c r="X411" s="7">
        <v>0.42499999999999999</v>
      </c>
      <c r="Y411" s="6">
        <v>0.11700000000000001</v>
      </c>
      <c r="Z411" s="12">
        <v>0.70699999999999996</v>
      </c>
      <c r="AA411" s="13">
        <v>0.46600000000000003</v>
      </c>
      <c r="AB411" s="7">
        <v>106</v>
      </c>
      <c r="AC411" s="6">
        <v>1537</v>
      </c>
      <c r="AD411" s="12">
        <v>0</v>
      </c>
      <c r="AE411" s="7"/>
      <c r="AF411" s="7"/>
      <c r="AG411" s="7"/>
      <c r="AH411" s="7"/>
      <c r="AI411" s="7"/>
      <c r="AJ411" s="7"/>
      <c r="AK411" s="7"/>
      <c r="AL411" s="7"/>
      <c r="AM411" s="7"/>
      <c r="AN411" s="20"/>
      <c r="AO411" s="7"/>
      <c r="AP411" s="19"/>
      <c r="AQ411" s="7"/>
      <c r="AR411" s="7"/>
      <c r="AS411" s="19"/>
      <c r="AT411" s="7"/>
      <c r="AU411" s="18"/>
      <c r="AV411" s="19"/>
      <c r="AW411" s="6"/>
    </row>
    <row r="412" spans="1:49" ht="15" customHeight="1">
      <c r="A412" s="88" t="s">
        <v>68</v>
      </c>
      <c r="B412" s="50" t="s">
        <v>2969</v>
      </c>
      <c r="C412" s="7" t="s">
        <v>4124</v>
      </c>
      <c r="D412" s="14" t="s">
        <v>314</v>
      </c>
      <c r="E412" s="7"/>
      <c r="F412" s="7" t="s">
        <v>4125</v>
      </c>
      <c r="G412" s="15" t="s">
        <v>4126</v>
      </c>
      <c r="H412" s="7">
        <v>4953</v>
      </c>
      <c r="I412" s="19" t="s">
        <v>2</v>
      </c>
      <c r="J412" s="7" t="s">
        <v>357</v>
      </c>
      <c r="K412" s="16">
        <v>41432</v>
      </c>
      <c r="L412" s="17">
        <v>41428</v>
      </c>
      <c r="M412" s="50">
        <f t="shared" si="20"/>
        <v>4</v>
      </c>
      <c r="N412" s="7" t="s">
        <v>2</v>
      </c>
      <c r="O412" s="6">
        <v>1</v>
      </c>
      <c r="P412" s="7">
        <v>6.5</v>
      </c>
      <c r="Q412" s="6">
        <v>7.7</v>
      </c>
      <c r="R412" s="7">
        <v>71</v>
      </c>
      <c r="S412" s="6">
        <v>284</v>
      </c>
      <c r="T412" s="7">
        <v>0.92</v>
      </c>
      <c r="U412" s="6">
        <v>1.69</v>
      </c>
      <c r="V412" s="7">
        <v>0.17</v>
      </c>
      <c r="W412" s="6">
        <v>5.2999999999999999E-2</v>
      </c>
      <c r="X412" s="7">
        <v>0.123</v>
      </c>
      <c r="Y412" s="6">
        <v>3.5000000000000003E-2</v>
      </c>
      <c r="Z412" s="12"/>
      <c r="AA412" s="13"/>
      <c r="AB412" s="7"/>
      <c r="AC412" s="6"/>
      <c r="AD412" s="12"/>
      <c r="AE412" s="7">
        <v>12.8</v>
      </c>
      <c r="AF412" s="7"/>
      <c r="AG412" s="7"/>
      <c r="AH412" s="7"/>
      <c r="AI412" s="7"/>
      <c r="AJ412" s="7"/>
      <c r="AK412" s="7"/>
      <c r="AL412" s="7"/>
      <c r="AM412" s="7"/>
      <c r="AN412" s="20"/>
      <c r="AO412" s="7"/>
      <c r="AP412" s="19"/>
      <c r="AQ412" s="7"/>
      <c r="AR412" s="7"/>
      <c r="AS412" s="19"/>
      <c r="AT412" s="7"/>
      <c r="AU412" s="18"/>
      <c r="AV412" s="19"/>
      <c r="AW412" s="6"/>
    </row>
    <row r="413" spans="1:49" ht="15" customHeight="1">
      <c r="A413" s="88" t="s">
        <v>68</v>
      </c>
      <c r="B413" s="50" t="s">
        <v>2969</v>
      </c>
      <c r="C413" s="7" t="s">
        <v>4124</v>
      </c>
      <c r="D413" s="14" t="s">
        <v>314</v>
      </c>
      <c r="E413" s="7"/>
      <c r="F413" s="7" t="s">
        <v>4125</v>
      </c>
      <c r="G413" s="15" t="s">
        <v>4126</v>
      </c>
      <c r="H413" s="7">
        <v>4953</v>
      </c>
      <c r="I413" s="19" t="s">
        <v>2</v>
      </c>
      <c r="J413" s="7" t="s">
        <v>4127</v>
      </c>
      <c r="K413" s="16">
        <v>41432</v>
      </c>
      <c r="L413" s="17">
        <v>41428</v>
      </c>
      <c r="M413" s="50">
        <f t="shared" si="20"/>
        <v>4</v>
      </c>
      <c r="N413" s="7" t="s">
        <v>2</v>
      </c>
      <c r="O413" s="6">
        <v>1</v>
      </c>
      <c r="P413" s="7">
        <v>6.5</v>
      </c>
      <c r="Q413" s="6">
        <v>7.8</v>
      </c>
      <c r="R413" s="7">
        <v>109</v>
      </c>
      <c r="S413" s="6">
        <v>64</v>
      </c>
      <c r="T413" s="7">
        <v>0.99</v>
      </c>
      <c r="U413" s="6">
        <v>13.4</v>
      </c>
      <c r="V413" s="7">
        <v>5.68</v>
      </c>
      <c r="W413" s="6">
        <v>2.5999999999999999E-2</v>
      </c>
      <c r="X413" s="7">
        <v>0.04</v>
      </c>
      <c r="Y413" s="6">
        <v>1.4999999999999999E-2</v>
      </c>
      <c r="Z413" s="12"/>
      <c r="AA413" s="13"/>
      <c r="AB413" s="7"/>
      <c r="AC413" s="6"/>
      <c r="AD413" s="12"/>
      <c r="AE413" s="7">
        <v>2.89</v>
      </c>
      <c r="AF413" s="7"/>
      <c r="AG413" s="7"/>
      <c r="AH413" s="7"/>
      <c r="AI413" s="7"/>
      <c r="AJ413" s="7"/>
      <c r="AK413" s="7"/>
      <c r="AL413" s="7"/>
      <c r="AM413" s="7"/>
      <c r="AN413" s="20"/>
      <c r="AO413" s="7"/>
      <c r="AP413" s="19"/>
      <c r="AQ413" s="7"/>
      <c r="AR413" s="7"/>
      <c r="AS413" s="19"/>
      <c r="AT413" s="7"/>
      <c r="AU413" s="18"/>
      <c r="AV413" s="19"/>
      <c r="AW413" s="6"/>
    </row>
    <row r="414" spans="1:49" ht="15" customHeight="1">
      <c r="A414" s="88" t="s">
        <v>68</v>
      </c>
      <c r="B414" s="50" t="s">
        <v>2969</v>
      </c>
      <c r="C414" s="7" t="s">
        <v>4124</v>
      </c>
      <c r="D414" s="14" t="s">
        <v>314</v>
      </c>
      <c r="E414" s="7"/>
      <c r="F414" s="7" t="s">
        <v>4125</v>
      </c>
      <c r="G414" s="15" t="s">
        <v>4126</v>
      </c>
      <c r="H414" s="7">
        <v>4953</v>
      </c>
      <c r="I414" s="19" t="s">
        <v>2</v>
      </c>
      <c r="J414" s="7" t="s">
        <v>4127</v>
      </c>
      <c r="K414" s="16">
        <v>41345</v>
      </c>
      <c r="L414" s="17">
        <v>41341</v>
      </c>
      <c r="M414" s="50">
        <f t="shared" si="20"/>
        <v>4</v>
      </c>
      <c r="N414" s="7" t="s">
        <v>2</v>
      </c>
      <c r="O414" s="6">
        <v>1</v>
      </c>
      <c r="P414" s="7">
        <v>6.5</v>
      </c>
      <c r="Q414" s="6">
        <v>7.9</v>
      </c>
      <c r="R414" s="7">
        <v>212</v>
      </c>
      <c r="S414" s="6">
        <v>53</v>
      </c>
      <c r="T414" s="7">
        <v>3.09</v>
      </c>
      <c r="U414" s="6">
        <v>17.8</v>
      </c>
      <c r="V414" s="7">
        <v>1.1499999999999999</v>
      </c>
      <c r="W414" s="6">
        <v>3.3000000000000002E-2</v>
      </c>
      <c r="X414" s="7">
        <v>4.7E-2</v>
      </c>
      <c r="Y414" s="6">
        <v>1.4999999999999999E-2</v>
      </c>
      <c r="Z414" s="12">
        <v>1</v>
      </c>
      <c r="AA414" s="13">
        <v>1</v>
      </c>
      <c r="AB414" s="7">
        <v>204</v>
      </c>
      <c r="AC414" s="6">
        <v>474</v>
      </c>
      <c r="AD414" s="12">
        <v>0.55000000000000004</v>
      </c>
      <c r="AE414" s="7">
        <v>3.11</v>
      </c>
      <c r="AF414" s="7">
        <v>14</v>
      </c>
      <c r="AG414" s="7">
        <v>53</v>
      </c>
      <c r="AH414" s="7">
        <v>10.7</v>
      </c>
      <c r="AI414" s="7">
        <v>5.0000000000000001E-3</v>
      </c>
      <c r="AJ414" s="7">
        <v>2.5000000000000001E-2</v>
      </c>
      <c r="AK414" s="7">
        <v>0.01</v>
      </c>
      <c r="AL414" s="7">
        <v>0.01</v>
      </c>
      <c r="AM414" s="7">
        <v>4.7E-2</v>
      </c>
      <c r="AN414" s="20">
        <v>7.9</v>
      </c>
      <c r="AO414" s="7"/>
      <c r="AP414" s="19"/>
      <c r="AQ414" s="7"/>
      <c r="AR414" s="7"/>
      <c r="AS414" s="19"/>
      <c r="AT414" s="7"/>
      <c r="AU414" s="18"/>
      <c r="AV414" s="19"/>
      <c r="AW414" s="6"/>
    </row>
    <row r="415" spans="1:49" ht="15" customHeight="1">
      <c r="A415" s="88" t="s">
        <v>68</v>
      </c>
      <c r="B415" s="50" t="s">
        <v>2969</v>
      </c>
      <c r="C415" s="7" t="s">
        <v>4124</v>
      </c>
      <c r="D415" s="14" t="s">
        <v>314</v>
      </c>
      <c r="E415" s="7"/>
      <c r="F415" s="7" t="s">
        <v>4125</v>
      </c>
      <c r="G415" s="15" t="s">
        <v>4126</v>
      </c>
      <c r="H415" s="7">
        <v>4953</v>
      </c>
      <c r="I415" s="19" t="s">
        <v>2</v>
      </c>
      <c r="J415" s="7" t="s">
        <v>360</v>
      </c>
      <c r="K415" s="16">
        <v>41345</v>
      </c>
      <c r="L415" s="17">
        <v>41341</v>
      </c>
      <c r="M415" s="50">
        <f t="shared" si="20"/>
        <v>4</v>
      </c>
      <c r="N415" s="7" t="s">
        <v>2</v>
      </c>
      <c r="O415" s="6">
        <v>1</v>
      </c>
      <c r="P415" s="7">
        <v>6.5</v>
      </c>
      <c r="Q415" s="6">
        <v>8.1</v>
      </c>
      <c r="R415" s="7">
        <v>46</v>
      </c>
      <c r="S415" s="6">
        <v>1790</v>
      </c>
      <c r="T415" s="7">
        <v>5.17</v>
      </c>
      <c r="U415" s="6">
        <v>1.39</v>
      </c>
      <c r="V415" s="7">
        <v>0.28999999999999998</v>
      </c>
      <c r="W415" s="6">
        <v>0.32700000000000001</v>
      </c>
      <c r="X415" s="7">
        <v>0.76500000000000001</v>
      </c>
      <c r="Y415" s="6">
        <v>0.16400000000000001</v>
      </c>
      <c r="Z415" s="12">
        <v>1</v>
      </c>
      <c r="AA415" s="13">
        <v>1</v>
      </c>
      <c r="AB415" s="7">
        <v>56</v>
      </c>
      <c r="AC415" s="6">
        <v>170</v>
      </c>
      <c r="AD415" s="12">
        <v>1</v>
      </c>
      <c r="AE415" s="7">
        <v>40.799999999999997</v>
      </c>
      <c r="AF415" s="7">
        <v>3</v>
      </c>
      <c r="AG415" s="7">
        <v>1790</v>
      </c>
      <c r="AH415" s="7">
        <v>0.41</v>
      </c>
      <c r="AI415" s="7">
        <v>5.0000000000000001E-3</v>
      </c>
      <c r="AJ415" s="7">
        <v>2.5000000000000001E-2</v>
      </c>
      <c r="AK415" s="7">
        <v>0.01</v>
      </c>
      <c r="AL415" s="7">
        <v>0.01</v>
      </c>
      <c r="AM415" s="7">
        <v>0.76500000000000001</v>
      </c>
      <c r="AN415" s="20">
        <v>8.1</v>
      </c>
      <c r="AO415" s="7"/>
      <c r="AP415" s="19"/>
      <c r="AQ415" s="7"/>
      <c r="AR415" s="7"/>
      <c r="AS415" s="19"/>
      <c r="AT415" s="7"/>
      <c r="AU415" s="18"/>
      <c r="AV415" s="19"/>
      <c r="AW415" s="6"/>
    </row>
    <row r="416" spans="1:49" ht="15" customHeight="1">
      <c r="A416" s="88" t="s">
        <v>68</v>
      </c>
      <c r="B416" s="50" t="s">
        <v>2969</v>
      </c>
      <c r="C416" s="7" t="s">
        <v>4124</v>
      </c>
      <c r="D416" s="14" t="s">
        <v>314</v>
      </c>
      <c r="E416" s="7"/>
      <c r="F416" s="7" t="s">
        <v>4128</v>
      </c>
      <c r="G416" s="15" t="s">
        <v>4126</v>
      </c>
      <c r="H416" s="7">
        <v>4953</v>
      </c>
      <c r="I416" s="19" t="s">
        <v>2</v>
      </c>
      <c r="J416" s="7" t="s">
        <v>357</v>
      </c>
      <c r="K416" s="16">
        <v>41345</v>
      </c>
      <c r="L416" s="17">
        <v>41341</v>
      </c>
      <c r="M416" s="50">
        <f t="shared" si="20"/>
        <v>4</v>
      </c>
      <c r="N416" s="7" t="s">
        <v>2</v>
      </c>
      <c r="O416" s="6">
        <v>1</v>
      </c>
      <c r="P416" s="7">
        <v>6.5</v>
      </c>
      <c r="Q416" s="6">
        <v>7.9</v>
      </c>
      <c r="R416" s="7">
        <v>34</v>
      </c>
      <c r="S416" s="6">
        <v>390</v>
      </c>
      <c r="T416" s="7">
        <v>0.94</v>
      </c>
      <c r="U416" s="6">
        <v>0.98</v>
      </c>
      <c r="V416" s="7">
        <v>0.82</v>
      </c>
      <c r="W416" s="6">
        <v>6.0999999999999999E-2</v>
      </c>
      <c r="X416" s="7">
        <v>0.13600000000000001</v>
      </c>
      <c r="Y416" s="6">
        <v>3.2000000000000001E-2</v>
      </c>
      <c r="Z416" s="12">
        <v>1</v>
      </c>
      <c r="AA416" s="13">
        <v>1</v>
      </c>
      <c r="AB416" s="7">
        <v>274</v>
      </c>
      <c r="AC416" s="6">
        <v>1053</v>
      </c>
      <c r="AD416" s="12">
        <v>1</v>
      </c>
      <c r="AE416" s="7">
        <v>12.7</v>
      </c>
      <c r="AF416" s="7">
        <v>3</v>
      </c>
      <c r="AG416" s="7">
        <v>390</v>
      </c>
      <c r="AH416" s="7">
        <v>2.5000000000000001E-2</v>
      </c>
      <c r="AI416" s="7">
        <v>5.0000000000000001E-3</v>
      </c>
      <c r="AJ416" s="7">
        <v>2.5000000000000001E-2</v>
      </c>
      <c r="AK416" s="7">
        <v>0.01</v>
      </c>
      <c r="AL416" s="7">
        <v>0.01</v>
      </c>
      <c r="AM416" s="7">
        <v>0.13600000000000001</v>
      </c>
      <c r="AN416" s="20">
        <v>7.9</v>
      </c>
      <c r="AO416" s="7"/>
      <c r="AP416" s="19"/>
      <c r="AQ416" s="7"/>
      <c r="AR416" s="7"/>
      <c r="AS416" s="19"/>
      <c r="AT416" s="7"/>
      <c r="AU416" s="18"/>
      <c r="AV416" s="19"/>
      <c r="AW416" s="6"/>
    </row>
    <row r="417" spans="1:50" ht="15" customHeight="1">
      <c r="A417" s="88" t="s">
        <v>68</v>
      </c>
      <c r="B417" s="50" t="s">
        <v>2763</v>
      </c>
      <c r="C417" s="7" t="s">
        <v>3003</v>
      </c>
      <c r="D417" s="14" t="s">
        <v>2378</v>
      </c>
      <c r="E417" s="7"/>
      <c r="F417" s="7" t="s">
        <v>4129</v>
      </c>
      <c r="G417" s="15" t="s">
        <v>3004</v>
      </c>
      <c r="H417" s="7">
        <v>4953</v>
      </c>
      <c r="I417" s="19" t="s">
        <v>2</v>
      </c>
      <c r="J417" s="7" t="s">
        <v>510</v>
      </c>
      <c r="K417" s="16">
        <v>41332</v>
      </c>
      <c r="L417" s="17">
        <v>41329</v>
      </c>
      <c r="M417" s="50">
        <f t="shared" si="20"/>
        <v>3</v>
      </c>
      <c r="N417" s="7" t="s">
        <v>2</v>
      </c>
      <c r="O417" s="6">
        <v>0.7</v>
      </c>
      <c r="P417" s="7">
        <v>6.5</v>
      </c>
      <c r="Q417" s="6">
        <v>7.13</v>
      </c>
      <c r="R417" s="7">
        <v>28</v>
      </c>
      <c r="S417" s="6">
        <v>37</v>
      </c>
      <c r="T417" s="7">
        <v>0.11</v>
      </c>
      <c r="U417" s="6">
        <v>0.41</v>
      </c>
      <c r="V417" s="7">
        <v>0.06</v>
      </c>
      <c r="W417" s="6">
        <v>6.0000000000000001E-3</v>
      </c>
      <c r="X417" s="7">
        <v>0.03</v>
      </c>
      <c r="Y417" s="6">
        <v>4.0000000000000001E-3</v>
      </c>
      <c r="Z417" s="12">
        <v>1</v>
      </c>
      <c r="AA417" s="13">
        <v>1</v>
      </c>
      <c r="AB417" s="7">
        <v>8</v>
      </c>
      <c r="AC417" s="6">
        <v>185</v>
      </c>
      <c r="AD417" s="12">
        <v>0.95</v>
      </c>
      <c r="AE417" s="7"/>
      <c r="AF417" s="7"/>
      <c r="AG417" s="7"/>
      <c r="AH417" s="7"/>
      <c r="AI417" s="7"/>
      <c r="AJ417" s="7"/>
      <c r="AK417" s="7"/>
      <c r="AL417" s="7"/>
      <c r="AM417" s="7"/>
      <c r="AN417" s="20"/>
      <c r="AO417" s="7"/>
      <c r="AP417" s="19"/>
      <c r="AQ417" s="7"/>
      <c r="AR417" s="7"/>
      <c r="AS417" s="19"/>
      <c r="AT417" s="7"/>
      <c r="AU417" s="18"/>
      <c r="AV417" s="19"/>
      <c r="AW417" s="6"/>
    </row>
    <row r="418" spans="1:50" ht="15" customHeight="1">
      <c r="A418" s="88" t="s">
        <v>68</v>
      </c>
      <c r="B418" s="50" t="s">
        <v>2763</v>
      </c>
      <c r="C418" s="7" t="s">
        <v>3003</v>
      </c>
      <c r="D418" s="14" t="s">
        <v>2378</v>
      </c>
      <c r="E418" s="7"/>
      <c r="F418" s="7" t="s">
        <v>4129</v>
      </c>
      <c r="G418" s="15" t="s">
        <v>3004</v>
      </c>
      <c r="H418" s="7">
        <v>4953</v>
      </c>
      <c r="I418" s="19" t="s">
        <v>2</v>
      </c>
      <c r="J418" s="7" t="s">
        <v>460</v>
      </c>
      <c r="K418" s="16">
        <v>41332</v>
      </c>
      <c r="L418" s="17">
        <v>41329</v>
      </c>
      <c r="M418" s="50">
        <f t="shared" si="20"/>
        <v>3</v>
      </c>
      <c r="N418" s="7" t="s">
        <v>2</v>
      </c>
      <c r="O418" s="6">
        <v>0.7</v>
      </c>
      <c r="P418" s="7">
        <v>6.5</v>
      </c>
      <c r="Q418" s="6">
        <v>7.18</v>
      </c>
      <c r="R418" s="7">
        <v>32</v>
      </c>
      <c r="S418" s="6">
        <v>54</v>
      </c>
      <c r="T418" s="7">
        <v>0.16</v>
      </c>
      <c r="U418" s="6">
        <v>0.56999999999999995</v>
      </c>
      <c r="V418" s="7">
        <v>5.0000000000000001E-3</v>
      </c>
      <c r="W418" s="6">
        <v>8.0000000000000002E-3</v>
      </c>
      <c r="X418" s="7">
        <v>0.02</v>
      </c>
      <c r="Y418" s="6">
        <v>6.0000000000000001E-3</v>
      </c>
      <c r="Z418" s="12">
        <v>1</v>
      </c>
      <c r="AA418" s="13">
        <v>1</v>
      </c>
      <c r="AB418" s="7">
        <v>10</v>
      </c>
      <c r="AC418" s="6">
        <v>51</v>
      </c>
      <c r="AD418" s="12">
        <v>1</v>
      </c>
      <c r="AE418" s="7"/>
      <c r="AF418" s="7"/>
      <c r="AG418" s="7"/>
      <c r="AH418" s="7"/>
      <c r="AI418" s="7"/>
      <c r="AJ418" s="7"/>
      <c r="AK418" s="7"/>
      <c r="AL418" s="7"/>
      <c r="AM418" s="7"/>
      <c r="AN418" s="20"/>
      <c r="AO418" s="7"/>
      <c r="AP418" s="19"/>
      <c r="AQ418" s="7"/>
      <c r="AR418" s="7"/>
      <c r="AS418" s="19"/>
      <c r="AT418" s="7"/>
      <c r="AU418" s="18"/>
      <c r="AV418" s="19"/>
      <c r="AW418" s="6"/>
    </row>
    <row r="419" spans="1:50" ht="15" customHeight="1">
      <c r="A419" s="88" t="s">
        <v>68</v>
      </c>
      <c r="B419" s="50" t="s">
        <v>3370</v>
      </c>
      <c r="C419" s="7" t="s">
        <v>3392</v>
      </c>
      <c r="D419" s="14" t="s">
        <v>133</v>
      </c>
      <c r="E419" s="7" t="s">
        <v>3393</v>
      </c>
      <c r="F419" s="7" t="s">
        <v>3394</v>
      </c>
      <c r="G419" s="15" t="s">
        <v>3395</v>
      </c>
      <c r="H419" s="7">
        <v>4953</v>
      </c>
      <c r="I419" s="19" t="s">
        <v>1</v>
      </c>
      <c r="J419" s="7" t="s">
        <v>319</v>
      </c>
      <c r="K419" s="16">
        <v>41259</v>
      </c>
      <c r="L419" s="17">
        <v>41254</v>
      </c>
      <c r="M419" s="50">
        <f t="shared" si="20"/>
        <v>5</v>
      </c>
      <c r="N419" s="7" t="s">
        <v>2</v>
      </c>
      <c r="O419" s="6">
        <v>9.9</v>
      </c>
      <c r="P419" s="7">
        <v>4.75</v>
      </c>
      <c r="Q419" s="6">
        <v>8.43</v>
      </c>
      <c r="R419" s="7">
        <v>860</v>
      </c>
      <c r="S419" s="6">
        <v>63</v>
      </c>
      <c r="T419" s="7">
        <v>0.61</v>
      </c>
      <c r="U419" s="6">
        <v>8.75</v>
      </c>
      <c r="V419" s="7">
        <v>0.56000000000000005</v>
      </c>
      <c r="W419" s="6">
        <v>0.159</v>
      </c>
      <c r="X419" s="7">
        <v>0.47099999999999997</v>
      </c>
      <c r="Y419" s="6">
        <v>4.9000000000000002E-2</v>
      </c>
      <c r="Z419" s="12">
        <v>0.129</v>
      </c>
      <c r="AA419" s="13">
        <v>6.25E-2</v>
      </c>
      <c r="AB419" s="7">
        <v>280</v>
      </c>
      <c r="AC419" s="6">
        <v>837</v>
      </c>
      <c r="AD419" s="12">
        <v>0</v>
      </c>
      <c r="AE419" s="7"/>
      <c r="AF419" s="7"/>
      <c r="AG419" s="7"/>
      <c r="AH419" s="7"/>
      <c r="AI419" s="7"/>
      <c r="AJ419" s="7"/>
      <c r="AK419" s="7"/>
      <c r="AL419" s="7"/>
      <c r="AM419" s="7"/>
      <c r="AN419" s="20"/>
      <c r="AO419" s="7"/>
      <c r="AP419" s="19"/>
      <c r="AQ419" s="7"/>
      <c r="AR419" s="7"/>
      <c r="AS419" s="19"/>
      <c r="AT419" s="7"/>
      <c r="AU419" s="18"/>
      <c r="AV419" s="19"/>
      <c r="AW419" s="6"/>
    </row>
    <row r="420" spans="1:50" ht="15" customHeight="1">
      <c r="A420" s="88" t="s">
        <v>68</v>
      </c>
      <c r="B420" s="50" t="s">
        <v>3370</v>
      </c>
      <c r="C420" s="7" t="s">
        <v>3392</v>
      </c>
      <c r="D420" s="14" t="s">
        <v>133</v>
      </c>
      <c r="E420" s="7" t="s">
        <v>3393</v>
      </c>
      <c r="F420" s="7" t="s">
        <v>3394</v>
      </c>
      <c r="G420" s="15" t="s">
        <v>3395</v>
      </c>
      <c r="H420" s="7">
        <v>4953</v>
      </c>
      <c r="I420" s="19" t="s">
        <v>1</v>
      </c>
      <c r="J420" s="7" t="s">
        <v>320</v>
      </c>
      <c r="K420" s="16">
        <v>41345</v>
      </c>
      <c r="L420" s="17"/>
      <c r="N420" s="7" t="s">
        <v>2</v>
      </c>
      <c r="O420" s="6">
        <v>0.7</v>
      </c>
      <c r="P420" s="7">
        <v>4.75</v>
      </c>
      <c r="Q420" s="6">
        <v>6.83</v>
      </c>
      <c r="R420" s="7">
        <v>23</v>
      </c>
      <c r="S420" s="6">
        <v>13</v>
      </c>
      <c r="T420" s="7">
        <v>0.04</v>
      </c>
      <c r="U420" s="6">
        <v>1.03</v>
      </c>
      <c r="V420" s="7">
        <v>0.57999999999999996</v>
      </c>
      <c r="W420" s="6">
        <v>6.0000000000000001E-3</v>
      </c>
      <c r="X420" s="7">
        <v>0.66500000000000004</v>
      </c>
      <c r="Y420" s="6">
        <v>4.0000000000000001E-3</v>
      </c>
      <c r="Z420" s="12">
        <v>1</v>
      </c>
      <c r="AA420" s="13">
        <v>0.61599999999999999</v>
      </c>
      <c r="AB420" s="7">
        <v>42</v>
      </c>
      <c r="AC420" s="6">
        <v>118</v>
      </c>
      <c r="AD420" s="12">
        <v>0</v>
      </c>
      <c r="AE420" s="7"/>
      <c r="AF420" s="7"/>
      <c r="AG420" s="7"/>
      <c r="AH420" s="7"/>
      <c r="AI420" s="7"/>
      <c r="AJ420" s="7"/>
      <c r="AK420" s="7"/>
      <c r="AL420" s="7"/>
      <c r="AM420" s="7"/>
      <c r="AN420" s="20"/>
      <c r="AO420" s="7"/>
      <c r="AP420" s="19"/>
      <c r="AQ420" s="7"/>
      <c r="AR420" s="7"/>
      <c r="AS420" s="19"/>
      <c r="AT420" s="7"/>
      <c r="AU420" s="18"/>
      <c r="AV420" s="19"/>
      <c r="AW420" s="6"/>
    </row>
    <row r="421" spans="1:50" ht="15" customHeight="1">
      <c r="A421" s="88" t="s">
        <v>68</v>
      </c>
      <c r="B421" s="50" t="s">
        <v>3370</v>
      </c>
      <c r="C421" s="7" t="s">
        <v>3392</v>
      </c>
      <c r="D421" s="14" t="s">
        <v>133</v>
      </c>
      <c r="E421" s="7" t="s">
        <v>3393</v>
      </c>
      <c r="F421" s="7" t="s">
        <v>3394</v>
      </c>
      <c r="G421" s="15" t="s">
        <v>1473</v>
      </c>
      <c r="H421" s="7">
        <v>4953</v>
      </c>
      <c r="I421" s="19" t="s">
        <v>1</v>
      </c>
      <c r="J421" s="7" t="s">
        <v>925</v>
      </c>
      <c r="K421" s="16">
        <v>41259</v>
      </c>
      <c r="L421" s="17">
        <v>41254</v>
      </c>
      <c r="M421" s="50">
        <f t="shared" si="20"/>
        <v>5</v>
      </c>
      <c r="N421" s="7" t="s">
        <v>2</v>
      </c>
      <c r="O421" s="6">
        <v>1.7</v>
      </c>
      <c r="P421" s="7">
        <v>4.75</v>
      </c>
      <c r="Q421" s="6">
        <v>6.07</v>
      </c>
      <c r="R421" s="7">
        <v>130</v>
      </c>
      <c r="S421" s="6">
        <v>38</v>
      </c>
      <c r="T421" s="7">
        <v>0.45</v>
      </c>
      <c r="U421" s="6">
        <v>4.26</v>
      </c>
      <c r="V421" s="7">
        <v>5.0000000000000001E-3</v>
      </c>
      <c r="W421" s="6">
        <v>0.02</v>
      </c>
      <c r="X421" s="7">
        <v>0.36899999999999999</v>
      </c>
      <c r="Y421" s="6">
        <v>7.0000000000000001E-3</v>
      </c>
      <c r="Z421" s="12">
        <v>0.17699999999999999</v>
      </c>
      <c r="AA421" s="13">
        <v>0.17499999999999999</v>
      </c>
      <c r="AB421" s="7">
        <v>56</v>
      </c>
      <c r="AC421" s="6">
        <v>240</v>
      </c>
      <c r="AD421" s="12">
        <v>0</v>
      </c>
      <c r="AE421" s="7"/>
      <c r="AF421" s="7"/>
      <c r="AG421" s="7"/>
      <c r="AH421" s="7"/>
      <c r="AI421" s="7"/>
      <c r="AJ421" s="7"/>
      <c r="AK421" s="7"/>
      <c r="AL421" s="7"/>
      <c r="AM421" s="7"/>
      <c r="AN421" s="20"/>
      <c r="AO421" s="7"/>
      <c r="AP421" s="19"/>
      <c r="AQ421" s="7"/>
      <c r="AR421" s="7"/>
      <c r="AS421" s="19"/>
      <c r="AT421" s="7"/>
      <c r="AU421" s="18"/>
      <c r="AV421" s="19"/>
      <c r="AW421" s="6"/>
    </row>
    <row r="422" spans="1:50" ht="15" customHeight="1">
      <c r="A422" s="88" t="s">
        <v>68</v>
      </c>
      <c r="B422" s="50" t="s">
        <v>3370</v>
      </c>
      <c r="C422" s="7" t="s">
        <v>3392</v>
      </c>
      <c r="D422" s="14" t="s">
        <v>133</v>
      </c>
      <c r="E422" s="7" t="s">
        <v>3393</v>
      </c>
      <c r="F422" s="7" t="s">
        <v>3394</v>
      </c>
      <c r="G422" s="15" t="s">
        <v>1473</v>
      </c>
      <c r="H422" s="7">
        <v>4953</v>
      </c>
      <c r="I422" s="19" t="s">
        <v>1</v>
      </c>
      <c r="J422" s="7" t="s">
        <v>3399</v>
      </c>
      <c r="K422" s="16">
        <v>41259</v>
      </c>
      <c r="L422" s="17">
        <v>41254</v>
      </c>
      <c r="M422" s="50">
        <f t="shared" si="20"/>
        <v>5</v>
      </c>
      <c r="N422" s="7" t="s">
        <v>2</v>
      </c>
      <c r="O422" s="6">
        <v>0.7</v>
      </c>
      <c r="P422" s="7">
        <v>4.75</v>
      </c>
      <c r="Q422" s="6">
        <v>6.61</v>
      </c>
      <c r="R422" s="7">
        <v>17</v>
      </c>
      <c r="S422" s="6">
        <v>6.5</v>
      </c>
      <c r="T422" s="7">
        <v>0.18</v>
      </c>
      <c r="U422" s="6">
        <v>5.01</v>
      </c>
      <c r="V422" s="7">
        <v>0.94</v>
      </c>
      <c r="W422" s="6">
        <v>8.9999999999999993E-3</v>
      </c>
      <c r="X422" s="7">
        <v>2.62</v>
      </c>
      <c r="Y422" s="6">
        <v>4.0000000000000001E-3</v>
      </c>
      <c r="Z422" s="12">
        <v>1</v>
      </c>
      <c r="AA422" s="13">
        <v>0.17100000000000001</v>
      </c>
      <c r="AB422" s="7">
        <v>12</v>
      </c>
      <c r="AC422" s="6">
        <v>73</v>
      </c>
      <c r="AD422" s="12">
        <v>0</v>
      </c>
      <c r="AE422" s="7"/>
      <c r="AF422" s="7"/>
      <c r="AG422" s="7"/>
      <c r="AH422" s="7"/>
      <c r="AI422" s="7"/>
      <c r="AJ422" s="7"/>
      <c r="AK422" s="7"/>
      <c r="AL422" s="7"/>
      <c r="AM422" s="7"/>
      <c r="AN422" s="20"/>
      <c r="AO422" s="7"/>
      <c r="AP422" s="19"/>
      <c r="AQ422" s="7"/>
      <c r="AR422" s="7"/>
      <c r="AS422" s="19"/>
      <c r="AT422" s="7"/>
      <c r="AU422" s="18"/>
      <c r="AV422" s="19"/>
      <c r="AW422" s="6"/>
    </row>
    <row r="423" spans="1:50" ht="15" customHeight="1">
      <c r="A423" s="88" t="s">
        <v>68</v>
      </c>
      <c r="B423" s="50" t="s">
        <v>3370</v>
      </c>
      <c r="C423" s="7" t="s">
        <v>3392</v>
      </c>
      <c r="D423" s="14" t="s">
        <v>133</v>
      </c>
      <c r="E423" s="7" t="s">
        <v>3393</v>
      </c>
      <c r="F423" s="7" t="s">
        <v>3394</v>
      </c>
      <c r="G423" s="15" t="s">
        <v>1473</v>
      </c>
      <c r="H423" s="7">
        <v>4953</v>
      </c>
      <c r="I423" s="19" t="s">
        <v>1</v>
      </c>
      <c r="J423" s="7" t="s">
        <v>926</v>
      </c>
      <c r="K423" s="16">
        <v>41259</v>
      </c>
      <c r="L423" s="17">
        <v>41254</v>
      </c>
      <c r="M423" s="50">
        <f t="shared" si="20"/>
        <v>5</v>
      </c>
      <c r="N423" s="7" t="s">
        <v>2</v>
      </c>
      <c r="O423" s="6">
        <v>0.7</v>
      </c>
      <c r="P423" s="7">
        <v>4.75</v>
      </c>
      <c r="Q423" s="6">
        <v>6.29</v>
      </c>
      <c r="R423" s="7">
        <v>30</v>
      </c>
      <c r="S423" s="6">
        <v>2.5</v>
      </c>
      <c r="T423" s="7">
        <v>0.03</v>
      </c>
      <c r="U423" s="6">
        <v>2.74</v>
      </c>
      <c r="V423" s="7">
        <v>1.74</v>
      </c>
      <c r="W423" s="6">
        <v>5.7000000000000002E-2</v>
      </c>
      <c r="X423" s="7">
        <v>1.44</v>
      </c>
      <c r="Y423" s="6">
        <v>1E-3</v>
      </c>
      <c r="Z423" s="12">
        <v>8.7999999999999995E-2</v>
      </c>
      <c r="AA423" s="13">
        <v>8.7999999999999995E-2</v>
      </c>
      <c r="AB423" s="7">
        <v>44</v>
      </c>
      <c r="AC423" s="6">
        <v>164</v>
      </c>
      <c r="AD423" s="12">
        <v>0</v>
      </c>
      <c r="AE423" s="7"/>
      <c r="AF423" s="7"/>
      <c r="AG423" s="7"/>
      <c r="AH423" s="7"/>
      <c r="AI423" s="7"/>
      <c r="AJ423" s="7"/>
      <c r="AK423" s="7"/>
      <c r="AL423" s="7"/>
      <c r="AM423" s="7"/>
      <c r="AN423" s="20"/>
      <c r="AO423" s="7"/>
      <c r="AP423" s="19"/>
      <c r="AQ423" s="7"/>
      <c r="AR423" s="7">
        <v>1E-4</v>
      </c>
      <c r="AS423" s="19"/>
      <c r="AT423" s="7"/>
      <c r="AU423" s="18"/>
      <c r="AV423" s="19"/>
      <c r="AW423" s="6"/>
    </row>
    <row r="424" spans="1:50" ht="15" customHeight="1">
      <c r="A424" s="88" t="s">
        <v>68</v>
      </c>
      <c r="B424" s="50" t="s">
        <v>3370</v>
      </c>
      <c r="C424" s="7" t="s">
        <v>3392</v>
      </c>
      <c r="D424" s="14" t="s">
        <v>133</v>
      </c>
      <c r="E424" s="7" t="s">
        <v>3393</v>
      </c>
      <c r="F424" s="7" t="s">
        <v>3394</v>
      </c>
      <c r="G424" s="15" t="s">
        <v>1473</v>
      </c>
      <c r="H424" s="7">
        <v>4953</v>
      </c>
      <c r="I424" s="19" t="s">
        <v>1</v>
      </c>
      <c r="J424" s="7" t="s">
        <v>926</v>
      </c>
      <c r="K424" s="16">
        <v>41345</v>
      </c>
      <c r="L424" s="17">
        <v>41341</v>
      </c>
      <c r="N424" s="7" t="s">
        <v>1</v>
      </c>
      <c r="O424" s="6"/>
      <c r="P424" s="7"/>
      <c r="Q424" s="6"/>
      <c r="R424" s="7"/>
      <c r="S424" s="6"/>
      <c r="T424" s="7"/>
      <c r="U424" s="6"/>
      <c r="V424" s="7"/>
      <c r="W424" s="6"/>
      <c r="X424" s="7"/>
      <c r="Y424" s="6"/>
      <c r="Z424" s="12"/>
      <c r="AA424" s="13"/>
      <c r="AB424" s="7"/>
      <c r="AC424" s="6"/>
      <c r="AD424" s="12"/>
      <c r="AE424" s="7"/>
      <c r="AF424" s="7"/>
      <c r="AG424" s="7"/>
      <c r="AH424" s="7"/>
      <c r="AI424" s="7"/>
      <c r="AJ424" s="7"/>
      <c r="AK424" s="7"/>
      <c r="AL424" s="7"/>
      <c r="AM424" s="7"/>
      <c r="AN424" s="20"/>
      <c r="AO424" s="7">
        <v>20</v>
      </c>
      <c r="AP424" s="19"/>
      <c r="AQ424" s="7"/>
      <c r="AR424" s="7"/>
      <c r="AS424" s="19"/>
      <c r="AT424" s="7"/>
      <c r="AU424" s="18"/>
      <c r="AV424" s="19"/>
      <c r="AW424" s="6"/>
    </row>
    <row r="425" spans="1:50" ht="15" customHeight="1">
      <c r="A425" s="88" t="s">
        <v>68</v>
      </c>
      <c r="B425" s="50" t="s">
        <v>3370</v>
      </c>
      <c r="C425" s="7" t="s">
        <v>1474</v>
      </c>
      <c r="D425" s="14" t="s">
        <v>434</v>
      </c>
      <c r="E425" s="7" t="s">
        <v>1538</v>
      </c>
      <c r="F425" s="7" t="s">
        <v>3470</v>
      </c>
      <c r="G425" s="15" t="s">
        <v>1476</v>
      </c>
      <c r="H425" s="7">
        <v>4953</v>
      </c>
      <c r="I425" s="19" t="s">
        <v>2</v>
      </c>
      <c r="J425" s="7" t="s">
        <v>114</v>
      </c>
      <c r="K425" s="16">
        <v>41324</v>
      </c>
      <c r="L425" s="17">
        <v>41316</v>
      </c>
      <c r="M425" s="50">
        <f t="shared" si="20"/>
        <v>8</v>
      </c>
      <c r="N425" s="7" t="s">
        <v>1</v>
      </c>
      <c r="O425" s="6">
        <v>39.4</v>
      </c>
      <c r="P425" s="7">
        <v>6.8</v>
      </c>
      <c r="Q425" s="6">
        <v>7.1</v>
      </c>
      <c r="R425" s="7">
        <v>180</v>
      </c>
      <c r="S425" s="6">
        <v>213</v>
      </c>
      <c r="T425" s="7">
        <v>0.36</v>
      </c>
      <c r="U425" s="6">
        <v>2.76</v>
      </c>
      <c r="V425" s="7">
        <v>0.42</v>
      </c>
      <c r="W425" s="6">
        <v>5.8000000000000003E-2</v>
      </c>
      <c r="X425" s="7">
        <v>0.25600000000000001</v>
      </c>
      <c r="Y425" s="6">
        <v>3.6999999999999998E-2</v>
      </c>
      <c r="Z425" s="12"/>
      <c r="AA425" s="13"/>
      <c r="AB425" s="7"/>
      <c r="AC425" s="6"/>
      <c r="AD425" s="12"/>
      <c r="AE425" s="7"/>
      <c r="AF425" s="7"/>
      <c r="AG425" s="7"/>
      <c r="AH425" s="7"/>
      <c r="AI425" s="7"/>
      <c r="AJ425" s="7"/>
      <c r="AK425" s="7"/>
      <c r="AL425" s="7"/>
      <c r="AM425" s="7"/>
      <c r="AN425" s="20"/>
      <c r="AO425" s="7"/>
      <c r="AP425" s="19"/>
      <c r="AQ425" s="7"/>
      <c r="AR425" s="7"/>
      <c r="AS425" s="19"/>
      <c r="AT425" s="7"/>
      <c r="AU425" s="18"/>
      <c r="AV425" s="19"/>
      <c r="AW425" s="6"/>
    </row>
    <row r="426" spans="1:50" ht="15" customHeight="1">
      <c r="A426" s="88" t="s">
        <v>68</v>
      </c>
      <c r="B426" s="50" t="s">
        <v>3370</v>
      </c>
      <c r="C426" s="7" t="s">
        <v>1474</v>
      </c>
      <c r="D426" s="14" t="s">
        <v>434</v>
      </c>
      <c r="E426" s="7" t="s">
        <v>1538</v>
      </c>
      <c r="F426" s="7" t="s">
        <v>3470</v>
      </c>
      <c r="G426" s="15" t="s">
        <v>1476</v>
      </c>
      <c r="H426" s="7">
        <v>4953</v>
      </c>
      <c r="I426" s="19" t="s">
        <v>2</v>
      </c>
      <c r="J426" s="7" t="s">
        <v>1477</v>
      </c>
      <c r="K426" s="16">
        <v>41324</v>
      </c>
      <c r="L426" s="17">
        <v>41316</v>
      </c>
      <c r="M426" s="50">
        <f t="shared" si="20"/>
        <v>8</v>
      </c>
      <c r="N426" s="7" t="s">
        <v>1</v>
      </c>
      <c r="O426" s="6">
        <v>10</v>
      </c>
      <c r="P426" s="7">
        <v>6.8</v>
      </c>
      <c r="Q426" s="6">
        <v>7.4</v>
      </c>
      <c r="R426" s="7">
        <v>182</v>
      </c>
      <c r="S426" s="6">
        <v>87</v>
      </c>
      <c r="T426" s="7">
        <v>0.16</v>
      </c>
      <c r="U426" s="6">
        <v>3.17</v>
      </c>
      <c r="V426" s="7">
        <v>0.85</v>
      </c>
      <c r="W426" s="6">
        <v>4.1000000000000002E-2</v>
      </c>
      <c r="X426" s="7">
        <v>0.13400000000000001</v>
      </c>
      <c r="Y426" s="6">
        <v>1.4999999999999999E-2</v>
      </c>
      <c r="Z426" s="12"/>
      <c r="AA426" s="13"/>
      <c r="AB426" s="7"/>
      <c r="AC426" s="6"/>
      <c r="AD426" s="12"/>
      <c r="AE426" s="7"/>
      <c r="AF426" s="7"/>
      <c r="AG426" s="7"/>
      <c r="AH426" s="7"/>
      <c r="AI426" s="7"/>
      <c r="AJ426" s="7"/>
      <c r="AK426" s="7"/>
      <c r="AL426" s="7"/>
      <c r="AM426" s="7"/>
      <c r="AN426" s="20"/>
      <c r="AO426" s="7"/>
      <c r="AP426" s="19"/>
      <c r="AQ426" s="7"/>
      <c r="AR426" s="7"/>
      <c r="AS426" s="19"/>
      <c r="AT426" s="7"/>
      <c r="AU426" s="18"/>
      <c r="AV426" s="19"/>
      <c r="AW426" s="6"/>
    </row>
    <row r="427" spans="1:50" ht="15" customHeight="1">
      <c r="A427" s="88" t="s">
        <v>68</v>
      </c>
      <c r="B427" s="50" t="s">
        <v>3370</v>
      </c>
      <c r="C427" s="7" t="s">
        <v>1474</v>
      </c>
      <c r="D427" s="14" t="s">
        <v>434</v>
      </c>
      <c r="E427" s="7" t="s">
        <v>1538</v>
      </c>
      <c r="F427" s="7" t="s">
        <v>3470</v>
      </c>
      <c r="G427" s="15" t="s">
        <v>1476</v>
      </c>
      <c r="H427" s="7">
        <v>4953</v>
      </c>
      <c r="I427" s="19" t="s">
        <v>2</v>
      </c>
      <c r="J427" s="7" t="s">
        <v>1478</v>
      </c>
      <c r="K427" s="16">
        <v>41324</v>
      </c>
      <c r="L427" s="17">
        <v>41316</v>
      </c>
      <c r="M427" s="50">
        <f t="shared" si="20"/>
        <v>8</v>
      </c>
      <c r="N427" s="7" t="s">
        <v>1</v>
      </c>
      <c r="O427" s="6">
        <v>20.3</v>
      </c>
      <c r="P427" s="7">
        <v>6.8</v>
      </c>
      <c r="Q427" s="6">
        <v>7.9</v>
      </c>
      <c r="R427" s="7">
        <v>178</v>
      </c>
      <c r="S427" s="6">
        <v>182</v>
      </c>
      <c r="T427" s="7">
        <v>0.4</v>
      </c>
      <c r="U427" s="6">
        <v>3.38</v>
      </c>
      <c r="V427" s="7">
        <v>5.8999999999999997E-2</v>
      </c>
      <c r="W427" s="6">
        <v>4.4999999999999998E-2</v>
      </c>
      <c r="X427" s="7">
        <v>0.31900000000000001</v>
      </c>
      <c r="Y427" s="6">
        <v>1.4999999999999999E-2</v>
      </c>
      <c r="Z427" s="12"/>
      <c r="AA427" s="13"/>
      <c r="AB427" s="7"/>
      <c r="AC427" s="6"/>
      <c r="AD427" s="12"/>
      <c r="AE427" s="7"/>
      <c r="AF427" s="7"/>
      <c r="AG427" s="7"/>
      <c r="AH427" s="7"/>
      <c r="AI427" s="7"/>
      <c r="AJ427" s="7"/>
      <c r="AK427" s="7"/>
      <c r="AL427" s="7"/>
      <c r="AM427" s="7"/>
      <c r="AN427" s="20"/>
      <c r="AO427" s="7"/>
      <c r="AP427" s="19"/>
      <c r="AQ427" s="7"/>
      <c r="AR427" s="7"/>
      <c r="AS427" s="19"/>
      <c r="AT427" s="7"/>
      <c r="AU427" s="18"/>
      <c r="AV427" s="19"/>
      <c r="AW427" s="6"/>
    </row>
    <row r="428" spans="1:50" ht="15" customHeight="1">
      <c r="A428" s="88" t="s">
        <v>68</v>
      </c>
      <c r="B428" s="50" t="s">
        <v>3370</v>
      </c>
      <c r="C428" s="7" t="s">
        <v>1680</v>
      </c>
      <c r="D428" s="14" t="s">
        <v>111</v>
      </c>
      <c r="E428" s="7" t="s">
        <v>112</v>
      </c>
      <c r="F428" s="7"/>
      <c r="G428" s="15" t="s">
        <v>1681</v>
      </c>
      <c r="H428" s="7">
        <v>4953</v>
      </c>
      <c r="I428" s="19" t="s">
        <v>2</v>
      </c>
      <c r="J428" s="7" t="s">
        <v>81</v>
      </c>
      <c r="K428" s="16">
        <v>41264</v>
      </c>
      <c r="L428" s="17"/>
      <c r="N428" s="7" t="s">
        <v>2</v>
      </c>
      <c r="O428" s="6"/>
      <c r="P428" s="7"/>
      <c r="Q428" s="6"/>
      <c r="R428" s="7"/>
      <c r="S428" s="6"/>
      <c r="T428" s="7"/>
      <c r="U428" s="6"/>
      <c r="V428" s="7"/>
      <c r="W428" s="6"/>
      <c r="X428" s="7"/>
      <c r="Y428" s="6"/>
      <c r="Z428" s="12"/>
      <c r="AA428" s="13"/>
      <c r="AB428" s="7"/>
      <c r="AC428" s="6"/>
      <c r="AD428" s="12"/>
      <c r="AE428" s="7">
        <v>0.96</v>
      </c>
      <c r="AF428" s="7"/>
      <c r="AG428" s="7"/>
      <c r="AH428" s="7"/>
      <c r="AI428" s="7"/>
      <c r="AJ428" s="7"/>
      <c r="AK428" s="7"/>
      <c r="AL428" s="7"/>
      <c r="AM428" s="7"/>
      <c r="AN428" s="20"/>
      <c r="AO428" s="7"/>
      <c r="AP428" s="19"/>
      <c r="AQ428" s="7"/>
      <c r="AR428" s="7"/>
      <c r="AS428" s="19"/>
      <c r="AT428" s="7"/>
      <c r="AU428" s="18"/>
      <c r="AV428" s="19"/>
      <c r="AW428" s="6"/>
    </row>
    <row r="429" spans="1:50" ht="15" customHeight="1">
      <c r="A429" s="88" t="s">
        <v>68</v>
      </c>
      <c r="B429" s="50" t="s">
        <v>3370</v>
      </c>
      <c r="C429" s="7" t="s">
        <v>1680</v>
      </c>
      <c r="D429" s="14" t="s">
        <v>111</v>
      </c>
      <c r="E429" s="7" t="s">
        <v>112</v>
      </c>
      <c r="F429" s="7"/>
      <c r="G429" s="15" t="s">
        <v>1681</v>
      </c>
      <c r="H429" s="7">
        <v>4953</v>
      </c>
      <c r="I429" s="19" t="s">
        <v>2</v>
      </c>
      <c r="J429" s="7" t="s">
        <v>115</v>
      </c>
      <c r="K429" s="16">
        <v>41264</v>
      </c>
      <c r="L429" s="17"/>
      <c r="N429" s="7" t="s">
        <v>2</v>
      </c>
      <c r="O429" s="6"/>
      <c r="P429" s="7"/>
      <c r="Q429" s="6"/>
      <c r="R429" s="7"/>
      <c r="S429" s="6"/>
      <c r="T429" s="7"/>
      <c r="U429" s="6"/>
      <c r="V429" s="7"/>
      <c r="W429" s="6"/>
      <c r="X429" s="7"/>
      <c r="Y429" s="6"/>
      <c r="Z429" s="12"/>
      <c r="AA429" s="13"/>
      <c r="AB429" s="7"/>
      <c r="AC429" s="6"/>
      <c r="AD429" s="12"/>
      <c r="AE429" s="7">
        <v>1.9</v>
      </c>
      <c r="AF429" s="7"/>
      <c r="AG429" s="7"/>
      <c r="AH429" s="7"/>
      <c r="AI429" s="7"/>
      <c r="AJ429" s="7"/>
      <c r="AK429" s="7"/>
      <c r="AL429" s="7"/>
      <c r="AM429" s="7"/>
      <c r="AN429" s="20"/>
      <c r="AO429" s="7"/>
      <c r="AP429" s="19"/>
      <c r="AQ429" s="7"/>
      <c r="AR429" s="7"/>
      <c r="AS429" s="19"/>
      <c r="AT429" s="7"/>
      <c r="AU429" s="18"/>
      <c r="AV429" s="19"/>
      <c r="AW429" s="6"/>
    </row>
    <row r="430" spans="1:50" ht="15" customHeight="1">
      <c r="A430" s="88" t="s">
        <v>68</v>
      </c>
      <c r="B430" s="50" t="s">
        <v>3370</v>
      </c>
      <c r="C430" s="7" t="s">
        <v>1680</v>
      </c>
      <c r="D430" s="14" t="s">
        <v>111</v>
      </c>
      <c r="E430" s="7" t="s">
        <v>112</v>
      </c>
      <c r="F430" s="7"/>
      <c r="G430" s="15" t="s">
        <v>1681</v>
      </c>
      <c r="H430" s="7">
        <v>4953</v>
      </c>
      <c r="I430" s="19" t="s">
        <v>2</v>
      </c>
      <c r="J430" s="7" t="s">
        <v>81</v>
      </c>
      <c r="K430" s="16">
        <v>41345</v>
      </c>
      <c r="L430" s="17">
        <v>41341</v>
      </c>
      <c r="M430" s="50">
        <f t="shared" si="20"/>
        <v>4</v>
      </c>
      <c r="N430" s="7" t="s">
        <v>1</v>
      </c>
      <c r="O430" s="6">
        <v>2.4</v>
      </c>
      <c r="P430" s="7">
        <v>6.91</v>
      </c>
      <c r="Q430" s="6">
        <v>7.16</v>
      </c>
      <c r="R430" s="7">
        <v>44</v>
      </c>
      <c r="S430" s="6">
        <v>2</v>
      </c>
      <c r="T430" s="7">
        <v>6.3E-2</v>
      </c>
      <c r="U430" s="6">
        <v>0.96</v>
      </c>
      <c r="V430" s="7">
        <v>0.85</v>
      </c>
      <c r="W430" s="6">
        <v>5.7000000000000002E-2</v>
      </c>
      <c r="X430" s="7">
        <v>3.3000000000000002E-2</v>
      </c>
      <c r="Y430" s="6">
        <v>2.5000000000000001E-3</v>
      </c>
      <c r="Z430" s="12">
        <v>1</v>
      </c>
      <c r="AA430" s="13">
        <v>1</v>
      </c>
      <c r="AB430" s="7"/>
      <c r="AC430" s="6">
        <v>112</v>
      </c>
      <c r="AD430" s="12">
        <v>1</v>
      </c>
      <c r="AE430" s="7">
        <v>0.25</v>
      </c>
      <c r="AF430" s="7">
        <v>1</v>
      </c>
      <c r="AG430" s="7">
        <v>2</v>
      </c>
      <c r="AH430" s="7">
        <v>7.6999999999999999E-2</v>
      </c>
      <c r="AI430" s="7">
        <v>4.7499999999999999E-3</v>
      </c>
      <c r="AJ430" s="7">
        <v>5.5E-2</v>
      </c>
      <c r="AK430" s="7">
        <v>4.7499999999999999E-3</v>
      </c>
      <c r="AL430" s="7">
        <v>2.3500000000000001E-3</v>
      </c>
      <c r="AM430" s="7">
        <v>3.3000000000000002E-2</v>
      </c>
      <c r="AN430" s="20">
        <v>7.16</v>
      </c>
      <c r="AO430" s="7">
        <v>28</v>
      </c>
      <c r="AP430" s="19"/>
      <c r="AQ430" s="7"/>
      <c r="AR430" s="7"/>
      <c r="AS430" s="19"/>
      <c r="AT430" s="7"/>
      <c r="AU430" s="18"/>
      <c r="AV430" s="19"/>
      <c r="AW430" s="6"/>
    </row>
    <row r="431" spans="1:50" ht="15" customHeight="1">
      <c r="A431" s="88" t="s">
        <v>68</v>
      </c>
      <c r="B431" s="50" t="s">
        <v>3370</v>
      </c>
      <c r="C431" s="7" t="s">
        <v>1680</v>
      </c>
      <c r="D431" s="14" t="s">
        <v>111</v>
      </c>
      <c r="E431" s="7" t="s">
        <v>112</v>
      </c>
      <c r="F431" s="7"/>
      <c r="G431" s="15" t="s">
        <v>1681</v>
      </c>
      <c r="H431" s="7">
        <v>4953</v>
      </c>
      <c r="I431" s="19" t="s">
        <v>2</v>
      </c>
      <c r="J431" s="7" t="s">
        <v>115</v>
      </c>
      <c r="K431" s="16">
        <v>41345</v>
      </c>
      <c r="L431" s="17">
        <v>41341</v>
      </c>
      <c r="M431" s="50">
        <f t="shared" si="20"/>
        <v>4</v>
      </c>
      <c r="N431" s="7" t="s">
        <v>1</v>
      </c>
      <c r="O431" s="6">
        <v>2.4</v>
      </c>
      <c r="P431" s="7">
        <v>6.91</v>
      </c>
      <c r="Q431" s="6">
        <v>7.84</v>
      </c>
      <c r="R431" s="7">
        <v>18</v>
      </c>
      <c r="S431" s="6">
        <v>6.4</v>
      </c>
      <c r="T431" s="7">
        <v>5.7000000000000002E-2</v>
      </c>
      <c r="U431" s="6">
        <v>0.66</v>
      </c>
      <c r="V431" s="7">
        <v>0.61</v>
      </c>
      <c r="W431" s="6">
        <v>1.2999999999999999E-2</v>
      </c>
      <c r="X431" s="7">
        <v>2.3E-2</v>
      </c>
      <c r="Y431" s="6">
        <v>4.5999999999999999E-3</v>
      </c>
      <c r="Z431" s="12">
        <v>1</v>
      </c>
      <c r="AA431" s="13">
        <v>1</v>
      </c>
      <c r="AB431" s="7"/>
      <c r="AC431" s="6">
        <v>431</v>
      </c>
      <c r="AD431" s="12">
        <v>1</v>
      </c>
      <c r="AE431" s="7">
        <v>2.1</v>
      </c>
      <c r="AF431" s="7">
        <v>1</v>
      </c>
      <c r="AG431" s="7">
        <v>6.4</v>
      </c>
      <c r="AH431" s="7">
        <v>0.28999999999999998</v>
      </c>
      <c r="AI431" s="7">
        <v>4.7499999999999999E-3</v>
      </c>
      <c r="AJ431" s="7">
        <v>5.5E-2</v>
      </c>
      <c r="AK431" s="7">
        <v>4.7499999999999999E-3</v>
      </c>
      <c r="AL431" s="7">
        <v>2.3500000000000001E-3</v>
      </c>
      <c r="AM431" s="7">
        <v>2.3E-2</v>
      </c>
      <c r="AN431" s="20">
        <v>7.84</v>
      </c>
      <c r="AO431" s="7">
        <v>64</v>
      </c>
      <c r="AP431" s="19"/>
      <c r="AQ431" s="7"/>
      <c r="AR431" s="7"/>
      <c r="AS431" s="19"/>
      <c r="AT431" s="7"/>
      <c r="AU431" s="18"/>
      <c r="AV431" s="19"/>
      <c r="AW431" s="6"/>
    </row>
    <row r="432" spans="1:50" ht="15" customHeight="1">
      <c r="A432" s="88" t="s">
        <v>68</v>
      </c>
      <c r="B432" s="50" t="s">
        <v>3664</v>
      </c>
      <c r="C432" s="7" t="s">
        <v>392</v>
      </c>
      <c r="D432" s="14" t="s">
        <v>103</v>
      </c>
      <c r="E432" s="7" t="s">
        <v>4130</v>
      </c>
      <c r="F432" s="7"/>
      <c r="G432" s="15" t="s">
        <v>4131</v>
      </c>
      <c r="H432" s="7">
        <v>4214</v>
      </c>
      <c r="I432" s="19" t="s">
        <v>1</v>
      </c>
      <c r="J432" s="7" t="s">
        <v>392</v>
      </c>
      <c r="K432" s="16">
        <v>41345</v>
      </c>
      <c r="L432" s="17">
        <v>41341</v>
      </c>
      <c r="M432" s="50">
        <f t="shared" si="20"/>
        <v>4</v>
      </c>
      <c r="N432" s="7" t="s">
        <v>2</v>
      </c>
      <c r="O432" s="6">
        <v>0.5</v>
      </c>
      <c r="P432" s="7">
        <v>7.45</v>
      </c>
      <c r="Q432" s="6">
        <v>7.36</v>
      </c>
      <c r="R432" s="7">
        <v>18.7</v>
      </c>
      <c r="S432" s="6">
        <v>10</v>
      </c>
      <c r="T432" s="7">
        <v>3.6999999999999998E-2</v>
      </c>
      <c r="U432" s="6">
        <v>0.72</v>
      </c>
      <c r="V432" s="7">
        <v>0.81</v>
      </c>
      <c r="W432" s="6">
        <v>6.0000000000000001E-3</v>
      </c>
      <c r="X432" s="7">
        <v>2.8000000000000001E-2</v>
      </c>
      <c r="Y432" s="6">
        <v>2E-3</v>
      </c>
      <c r="Z432" s="12">
        <v>1</v>
      </c>
      <c r="AA432" s="13">
        <v>1</v>
      </c>
      <c r="AB432" s="7">
        <v>77.94</v>
      </c>
      <c r="AC432" s="6">
        <v>320</v>
      </c>
      <c r="AD432" s="12">
        <v>1</v>
      </c>
      <c r="AE432" s="7"/>
      <c r="AF432" s="7"/>
      <c r="AG432" s="7"/>
      <c r="AH432" s="7"/>
      <c r="AI432" s="7"/>
      <c r="AJ432" s="7"/>
      <c r="AK432" s="7"/>
      <c r="AL432" s="7"/>
      <c r="AM432" s="7"/>
      <c r="AN432" s="20"/>
      <c r="AO432" s="7"/>
      <c r="AP432" s="19"/>
      <c r="AQ432" s="7"/>
      <c r="AR432" s="7"/>
      <c r="AS432" s="19"/>
      <c r="AT432" s="7"/>
      <c r="AU432" s="18"/>
      <c r="AV432" s="19"/>
      <c r="AW432" s="6"/>
      <c r="AX432" s="6"/>
    </row>
    <row r="433" spans="1:50" ht="15" customHeight="1">
      <c r="A433" s="88" t="s">
        <v>68</v>
      </c>
      <c r="B433" s="50" t="s">
        <v>4132</v>
      </c>
      <c r="C433" s="7" t="s">
        <v>4133</v>
      </c>
      <c r="D433" s="14" t="s">
        <v>1896</v>
      </c>
      <c r="E433" s="7" t="s">
        <v>467</v>
      </c>
      <c r="F433" s="7" t="s">
        <v>3631</v>
      </c>
      <c r="G433" s="15" t="s">
        <v>4134</v>
      </c>
      <c r="H433" s="7">
        <v>4953</v>
      </c>
      <c r="I433" s="19" t="s">
        <v>2</v>
      </c>
      <c r="J433" s="14" t="s">
        <v>1943</v>
      </c>
      <c r="K433" s="16">
        <v>40883</v>
      </c>
      <c r="L433" s="17">
        <v>40876</v>
      </c>
      <c r="M433" s="50">
        <f t="shared" si="20"/>
        <v>7</v>
      </c>
      <c r="N433" s="7" t="s">
        <v>2</v>
      </c>
      <c r="O433" s="6">
        <v>2.5</v>
      </c>
      <c r="P433" s="7"/>
      <c r="Q433" s="6">
        <v>7.31</v>
      </c>
      <c r="R433" s="7">
        <v>98</v>
      </c>
      <c r="S433" s="6">
        <v>880</v>
      </c>
      <c r="T433" s="7">
        <v>0.41</v>
      </c>
      <c r="U433" s="6">
        <v>5.4</v>
      </c>
      <c r="V433" s="7">
        <v>2.5000000000000001E-2</v>
      </c>
      <c r="W433" s="6">
        <v>0.26</v>
      </c>
      <c r="X433" s="7">
        <v>1.3</v>
      </c>
      <c r="Y433" s="6">
        <v>0.98</v>
      </c>
      <c r="Z433" s="12">
        <v>6.25E-2</v>
      </c>
      <c r="AA433" s="13">
        <v>6.25E-2</v>
      </c>
      <c r="AB433" s="7">
        <v>1000</v>
      </c>
      <c r="AC433" s="6">
        <v>1503</v>
      </c>
      <c r="AD433" s="12">
        <v>0</v>
      </c>
      <c r="AE433" s="7"/>
      <c r="AF433" s="7"/>
      <c r="AG433" s="7"/>
      <c r="AH433" s="7"/>
      <c r="AI433" s="7"/>
      <c r="AJ433" s="7"/>
      <c r="AK433" s="7"/>
      <c r="AL433" s="7"/>
      <c r="AM433" s="7"/>
      <c r="AN433" s="20"/>
      <c r="AO433" s="7"/>
      <c r="AP433" s="19"/>
      <c r="AQ433" s="7"/>
      <c r="AR433" s="7"/>
      <c r="AS433" s="19"/>
      <c r="AT433" s="7"/>
      <c r="AU433" s="18"/>
      <c r="AV433" s="19"/>
      <c r="AW433" s="6"/>
      <c r="AX433" s="6"/>
    </row>
    <row r="434" spans="1:50" ht="15" customHeight="1">
      <c r="A434" s="88" t="s">
        <v>68</v>
      </c>
      <c r="B434" s="50" t="s">
        <v>4132</v>
      </c>
      <c r="C434" s="7" t="s">
        <v>4133</v>
      </c>
      <c r="D434" s="14" t="s">
        <v>1896</v>
      </c>
      <c r="E434" s="7" t="s">
        <v>467</v>
      </c>
      <c r="F434" s="7" t="s">
        <v>3631</v>
      </c>
      <c r="G434" s="15" t="s">
        <v>4134</v>
      </c>
      <c r="H434" s="7">
        <v>4953</v>
      </c>
      <c r="I434" s="19" t="s">
        <v>2</v>
      </c>
      <c r="J434" s="14" t="s">
        <v>425</v>
      </c>
      <c r="K434" s="16">
        <v>40883</v>
      </c>
      <c r="L434" s="17">
        <v>40876</v>
      </c>
      <c r="M434" s="50">
        <f t="shared" si="20"/>
        <v>7</v>
      </c>
      <c r="N434" s="7" t="s">
        <v>2</v>
      </c>
      <c r="O434" s="6">
        <v>2.5</v>
      </c>
      <c r="P434" s="7"/>
      <c r="Q434" s="6">
        <v>6.82</v>
      </c>
      <c r="R434" s="7">
        <v>96</v>
      </c>
      <c r="S434" s="6">
        <v>450</v>
      </c>
      <c r="T434" s="7">
        <v>0.49</v>
      </c>
      <c r="U434" s="6">
        <v>5.6</v>
      </c>
      <c r="V434" s="7">
        <v>0.22</v>
      </c>
      <c r="W434" s="6">
        <v>0.28000000000000003</v>
      </c>
      <c r="X434" s="7">
        <v>2</v>
      </c>
      <c r="Y434" s="6">
        <v>1.4</v>
      </c>
      <c r="Z434" s="12">
        <v>6.25E-2</v>
      </c>
      <c r="AA434" s="13">
        <v>6.25E-2</v>
      </c>
      <c r="AB434" s="7">
        <v>1400</v>
      </c>
      <c r="AC434" s="6">
        <v>1877</v>
      </c>
      <c r="AD434" s="12">
        <v>0</v>
      </c>
      <c r="AE434" s="7"/>
      <c r="AF434" s="7"/>
      <c r="AG434" s="7"/>
      <c r="AH434" s="7"/>
      <c r="AI434" s="7"/>
      <c r="AJ434" s="7"/>
      <c r="AK434" s="7"/>
      <c r="AL434" s="7"/>
      <c r="AM434" s="7"/>
      <c r="AN434" s="20"/>
      <c r="AO434" s="7"/>
      <c r="AP434" s="19"/>
      <c r="AQ434" s="7"/>
      <c r="AR434" s="7"/>
      <c r="AS434" s="19"/>
      <c r="AT434" s="7"/>
      <c r="AU434" s="18"/>
      <c r="AV434" s="19"/>
      <c r="AW434" s="6"/>
      <c r="AX434" s="6"/>
    </row>
    <row r="435" spans="1:50" ht="15" customHeight="1">
      <c r="A435" s="88" t="s">
        <v>68</v>
      </c>
      <c r="B435" s="50" t="s">
        <v>4135</v>
      </c>
      <c r="C435" s="7" t="s">
        <v>3359</v>
      </c>
      <c r="D435" s="14" t="s">
        <v>1896</v>
      </c>
      <c r="E435" s="7" t="s">
        <v>3185</v>
      </c>
      <c r="F435" s="7" t="s">
        <v>3361</v>
      </c>
      <c r="G435" s="15" t="s">
        <v>3362</v>
      </c>
      <c r="H435" s="7">
        <v>4953</v>
      </c>
      <c r="I435" s="19" t="s">
        <v>2</v>
      </c>
      <c r="J435" s="7" t="s">
        <v>1481</v>
      </c>
      <c r="K435" s="16">
        <v>40883</v>
      </c>
      <c r="L435" s="17">
        <v>40876</v>
      </c>
      <c r="M435" s="50">
        <f t="shared" si="20"/>
        <v>7</v>
      </c>
      <c r="N435" s="7" t="s">
        <v>2</v>
      </c>
      <c r="O435" s="6">
        <v>2.5</v>
      </c>
      <c r="P435" s="7"/>
      <c r="Q435" s="6">
        <v>7.87</v>
      </c>
      <c r="R435" s="7">
        <v>150</v>
      </c>
      <c r="S435" s="6">
        <v>760</v>
      </c>
      <c r="T435" s="7">
        <v>3.4</v>
      </c>
      <c r="U435" s="6">
        <v>7.6</v>
      </c>
      <c r="V435" s="7">
        <v>2.5000000000000001E-2</v>
      </c>
      <c r="W435" s="6">
        <v>0.13</v>
      </c>
      <c r="X435" s="7">
        <v>0.66</v>
      </c>
      <c r="Y435" s="6">
        <v>0.22</v>
      </c>
      <c r="Z435" s="12">
        <v>1</v>
      </c>
      <c r="AA435" s="13">
        <v>1</v>
      </c>
      <c r="AB435" s="7">
        <v>98</v>
      </c>
      <c r="AC435" s="6">
        <v>262</v>
      </c>
      <c r="AD435" s="12">
        <v>1</v>
      </c>
      <c r="AE435" s="7"/>
      <c r="AF435" s="7"/>
      <c r="AG435" s="7"/>
      <c r="AH435" s="7"/>
      <c r="AI435" s="7"/>
      <c r="AJ435" s="7"/>
      <c r="AK435" s="7"/>
      <c r="AL435" s="7"/>
      <c r="AM435" s="7"/>
      <c r="AN435" s="20"/>
      <c r="AO435" s="7"/>
      <c r="AP435" s="19"/>
      <c r="AQ435" s="7"/>
      <c r="AR435" s="7"/>
      <c r="AS435" s="19"/>
      <c r="AT435" s="7"/>
      <c r="AU435" s="18"/>
      <c r="AV435" s="19"/>
      <c r="AW435" s="6"/>
      <c r="AX435" s="6"/>
    </row>
    <row r="436" spans="1:50" ht="15" customHeight="1">
      <c r="A436" s="88" t="s">
        <v>68</v>
      </c>
      <c r="B436" s="50" t="s">
        <v>4135</v>
      </c>
      <c r="C436" s="7" t="s">
        <v>3359</v>
      </c>
      <c r="D436" s="14" t="s">
        <v>1896</v>
      </c>
      <c r="E436" s="7" t="s">
        <v>3185</v>
      </c>
      <c r="F436" s="7" t="s">
        <v>3361</v>
      </c>
      <c r="G436" s="15" t="s">
        <v>3362</v>
      </c>
      <c r="H436" s="7">
        <v>4953</v>
      </c>
      <c r="I436" s="19" t="s">
        <v>2</v>
      </c>
      <c r="J436" s="7" t="s">
        <v>4136</v>
      </c>
      <c r="K436" s="16">
        <v>40883</v>
      </c>
      <c r="L436" s="17">
        <v>40876</v>
      </c>
      <c r="M436" s="50">
        <f t="shared" si="20"/>
        <v>7</v>
      </c>
      <c r="N436" s="7" t="s">
        <v>2</v>
      </c>
      <c r="O436" s="6">
        <v>2.5</v>
      </c>
      <c r="P436" s="7"/>
      <c r="Q436" s="6">
        <v>6.85</v>
      </c>
      <c r="R436" s="7">
        <v>140</v>
      </c>
      <c r="S436" s="6">
        <v>300</v>
      </c>
      <c r="T436" s="7">
        <v>1.9</v>
      </c>
      <c r="U436" s="6">
        <v>7.4</v>
      </c>
      <c r="V436" s="7">
        <v>0.4</v>
      </c>
      <c r="W436" s="6">
        <v>5.1999999999999998E-2</v>
      </c>
      <c r="X436" s="7">
        <v>0.27</v>
      </c>
      <c r="Y436" s="6">
        <v>6.7000000000000004E-2</v>
      </c>
      <c r="Z436" s="12">
        <v>1</v>
      </c>
      <c r="AA436" s="13">
        <v>1</v>
      </c>
      <c r="AB436" s="7">
        <v>74</v>
      </c>
      <c r="AC436" s="6">
        <v>247</v>
      </c>
      <c r="AD436" s="12">
        <v>1</v>
      </c>
      <c r="AE436" s="7"/>
      <c r="AF436" s="7"/>
      <c r="AG436" s="7"/>
      <c r="AH436" s="7"/>
      <c r="AI436" s="7"/>
      <c r="AJ436" s="7"/>
      <c r="AK436" s="7"/>
      <c r="AL436" s="7"/>
      <c r="AM436" s="7"/>
      <c r="AN436" s="20"/>
      <c r="AO436" s="7"/>
      <c r="AP436" s="19"/>
      <c r="AQ436" s="7"/>
      <c r="AR436" s="7"/>
      <c r="AS436" s="19"/>
      <c r="AT436" s="7"/>
      <c r="AU436" s="18"/>
      <c r="AV436" s="19"/>
      <c r="AW436" s="6"/>
      <c r="AX436" s="6"/>
    </row>
    <row r="437" spans="1:50" ht="15" customHeight="1">
      <c r="A437" s="88" t="s">
        <v>68</v>
      </c>
      <c r="B437" s="50" t="s">
        <v>4135</v>
      </c>
      <c r="C437" s="7" t="s">
        <v>3535</v>
      </c>
      <c r="D437" s="14" t="s">
        <v>1896</v>
      </c>
      <c r="E437" s="7" t="s">
        <v>467</v>
      </c>
      <c r="F437" s="7" t="s">
        <v>3631</v>
      </c>
      <c r="G437" s="15" t="s">
        <v>3536</v>
      </c>
      <c r="H437" s="7">
        <v>4953</v>
      </c>
      <c r="I437" s="19" t="s">
        <v>2</v>
      </c>
      <c r="J437" s="7" t="s">
        <v>114</v>
      </c>
      <c r="K437" s="16">
        <v>40883</v>
      </c>
      <c r="L437" s="17">
        <v>40876</v>
      </c>
      <c r="M437" s="50">
        <f t="shared" si="20"/>
        <v>7</v>
      </c>
      <c r="N437" s="7" t="s">
        <v>2</v>
      </c>
      <c r="O437" s="6">
        <v>2.5</v>
      </c>
      <c r="P437" s="7"/>
      <c r="Q437" s="6">
        <v>6.56</v>
      </c>
      <c r="R437" s="7">
        <v>110</v>
      </c>
      <c r="S437" s="6">
        <v>100</v>
      </c>
      <c r="T437" s="7">
        <v>0.43</v>
      </c>
      <c r="U437" s="6">
        <v>4.4000000000000004</v>
      </c>
      <c r="V437" s="7">
        <v>0.25</v>
      </c>
      <c r="W437" s="6">
        <v>6.6000000000000003E-2</v>
      </c>
      <c r="X437" s="7">
        <v>0.61</v>
      </c>
      <c r="Y437" s="6">
        <v>3.4000000000000002E-2</v>
      </c>
      <c r="Z437" s="12">
        <v>1</v>
      </c>
      <c r="AA437" s="13">
        <v>0.72</v>
      </c>
      <c r="AB437" s="7">
        <v>400</v>
      </c>
      <c r="AC437" s="6">
        <v>226</v>
      </c>
      <c r="AD437" s="12">
        <v>0.05</v>
      </c>
      <c r="AE437" s="7"/>
      <c r="AF437" s="7"/>
      <c r="AG437" s="7"/>
      <c r="AH437" s="7"/>
      <c r="AI437" s="7"/>
      <c r="AJ437" s="7"/>
      <c r="AK437" s="7"/>
      <c r="AL437" s="7"/>
      <c r="AM437" s="7"/>
      <c r="AN437" s="20"/>
      <c r="AO437" s="7"/>
      <c r="AP437" s="19"/>
      <c r="AQ437" s="7"/>
      <c r="AR437" s="7"/>
      <c r="AS437" s="19"/>
      <c r="AT437" s="7"/>
      <c r="AU437" s="18"/>
      <c r="AV437" s="19"/>
      <c r="AW437" s="6"/>
      <c r="AX437" s="6"/>
    </row>
    <row r="438" spans="1:50" ht="15" customHeight="1">
      <c r="A438" s="88" t="s">
        <v>68</v>
      </c>
      <c r="B438" s="50" t="s">
        <v>3561</v>
      </c>
      <c r="C438" s="7" t="s">
        <v>4137</v>
      </c>
      <c r="D438" s="14" t="s">
        <v>262</v>
      </c>
      <c r="E438" s="7" t="s">
        <v>3562</v>
      </c>
      <c r="F438" s="7"/>
      <c r="G438" s="15" t="s">
        <v>3565</v>
      </c>
      <c r="H438" s="7">
        <v>4953</v>
      </c>
      <c r="I438" s="19" t="s">
        <v>2</v>
      </c>
      <c r="J438" s="50" t="s">
        <v>3563</v>
      </c>
      <c r="K438" s="16">
        <v>41021</v>
      </c>
      <c r="L438" s="17">
        <v>41000</v>
      </c>
      <c r="M438" s="50">
        <f t="shared" si="20"/>
        <v>21</v>
      </c>
      <c r="N438" s="7" t="s">
        <v>2</v>
      </c>
      <c r="O438" s="6">
        <v>0.5</v>
      </c>
      <c r="P438" s="7">
        <v>6.49</v>
      </c>
      <c r="Q438" s="6">
        <v>7.17</v>
      </c>
      <c r="R438" s="7">
        <v>63</v>
      </c>
      <c r="S438" s="6">
        <v>85</v>
      </c>
      <c r="T438" s="7">
        <v>0.72</v>
      </c>
      <c r="U438" s="6">
        <v>8.1</v>
      </c>
      <c r="V438" s="7">
        <v>1.57</v>
      </c>
      <c r="W438" s="6">
        <v>0.09</v>
      </c>
      <c r="X438" s="7">
        <v>0.19</v>
      </c>
      <c r="Y438" s="6">
        <v>2.5000000000000001E-2</v>
      </c>
      <c r="Z438" s="12">
        <v>1</v>
      </c>
      <c r="AA438" s="13">
        <v>1</v>
      </c>
      <c r="AB438" s="7">
        <v>66</v>
      </c>
      <c r="AC438" s="6">
        <v>299</v>
      </c>
      <c r="AD438" s="12">
        <v>1</v>
      </c>
      <c r="AE438" s="7">
        <v>0.42</v>
      </c>
      <c r="AF438" s="7"/>
      <c r="AG438" s="7"/>
      <c r="AH438" s="7"/>
      <c r="AI438" s="7"/>
      <c r="AJ438" s="7"/>
      <c r="AK438" s="7"/>
      <c r="AL438" s="7"/>
      <c r="AM438" s="7"/>
      <c r="AN438" s="20"/>
      <c r="AO438" s="7"/>
      <c r="AP438" s="19"/>
      <c r="AQ438" s="7"/>
      <c r="AR438" s="7"/>
      <c r="AS438" s="19"/>
      <c r="AT438" s="7"/>
      <c r="AU438" s="18"/>
      <c r="AV438" s="19"/>
      <c r="AW438" s="6"/>
      <c r="AX438" s="6"/>
    </row>
    <row r="439" spans="1:50" ht="15" customHeight="1">
      <c r="A439" s="88" t="s">
        <v>68</v>
      </c>
      <c r="B439" s="50" t="s">
        <v>3561</v>
      </c>
      <c r="C439" s="7" t="s">
        <v>4137</v>
      </c>
      <c r="D439" s="14" t="s">
        <v>262</v>
      </c>
      <c r="E439" s="7" t="s">
        <v>3562</v>
      </c>
      <c r="F439" s="7"/>
      <c r="G439" s="15" t="s">
        <v>3565</v>
      </c>
      <c r="H439" s="7">
        <v>4953</v>
      </c>
      <c r="I439" s="19" t="s">
        <v>2</v>
      </c>
      <c r="J439" s="50" t="s">
        <v>3563</v>
      </c>
      <c r="K439" s="16">
        <v>41082</v>
      </c>
      <c r="L439" s="17">
        <v>41073</v>
      </c>
      <c r="M439" s="50">
        <f t="shared" si="20"/>
        <v>9</v>
      </c>
      <c r="N439" s="7" t="s">
        <v>2</v>
      </c>
      <c r="O439" s="6"/>
      <c r="P439" s="7">
        <v>8.3800000000000008</v>
      </c>
      <c r="Q439" s="6">
        <v>7.75</v>
      </c>
      <c r="R439" s="7"/>
      <c r="S439" s="6"/>
      <c r="T439" s="7"/>
      <c r="U439" s="6"/>
      <c r="V439" s="7"/>
      <c r="W439" s="6"/>
      <c r="X439" s="7"/>
      <c r="Y439" s="6"/>
      <c r="Z439" s="12"/>
      <c r="AA439" s="13"/>
      <c r="AB439" s="7"/>
      <c r="AC439" s="6"/>
      <c r="AD439" s="12"/>
      <c r="AE439" s="7">
        <v>1.45</v>
      </c>
      <c r="AF439" s="7"/>
      <c r="AG439" s="7"/>
      <c r="AH439" s="7"/>
      <c r="AI439" s="7"/>
      <c r="AJ439" s="7"/>
      <c r="AK439" s="7"/>
      <c r="AL439" s="7"/>
      <c r="AM439" s="7"/>
      <c r="AN439" s="20"/>
      <c r="AO439" s="7"/>
      <c r="AP439" s="19"/>
      <c r="AQ439" s="7"/>
      <c r="AR439" s="7"/>
      <c r="AS439" s="19"/>
      <c r="AT439" s="7"/>
      <c r="AU439" s="18"/>
      <c r="AV439" s="19"/>
      <c r="AW439" s="6"/>
      <c r="AX439" s="6"/>
    </row>
    <row r="440" spans="1:50" ht="15" customHeight="1">
      <c r="A440" s="88" t="s">
        <v>68</v>
      </c>
      <c r="B440" s="50" t="s">
        <v>3561</v>
      </c>
      <c r="C440" s="7" t="s">
        <v>4137</v>
      </c>
      <c r="D440" s="14" t="s">
        <v>262</v>
      </c>
      <c r="E440" s="7" t="s">
        <v>1976</v>
      </c>
      <c r="F440" s="7"/>
      <c r="G440" s="15" t="s">
        <v>3565</v>
      </c>
      <c r="H440" s="7">
        <v>4953</v>
      </c>
      <c r="I440" s="19" t="s">
        <v>2</v>
      </c>
      <c r="J440" s="7" t="s">
        <v>3566</v>
      </c>
      <c r="K440" s="16">
        <v>41021</v>
      </c>
      <c r="L440" s="17">
        <v>41000</v>
      </c>
      <c r="M440" s="50">
        <f t="shared" si="20"/>
        <v>21</v>
      </c>
      <c r="N440" s="7" t="s">
        <v>2</v>
      </c>
      <c r="O440" s="6">
        <v>0.5</v>
      </c>
      <c r="P440" s="7">
        <v>6.49</v>
      </c>
      <c r="Q440" s="6">
        <v>7.25</v>
      </c>
      <c r="R440" s="7">
        <v>72</v>
      </c>
      <c r="S440" s="6">
        <v>30</v>
      </c>
      <c r="T440" s="7">
        <v>0.33</v>
      </c>
      <c r="U440" s="6">
        <v>3.3</v>
      </c>
      <c r="V440" s="7">
        <v>0.44</v>
      </c>
      <c r="W440" s="6">
        <v>7.0000000000000007E-2</v>
      </c>
      <c r="X440" s="7">
        <v>0.23</v>
      </c>
      <c r="Y440" s="6">
        <v>0.09</v>
      </c>
      <c r="Z440" s="12">
        <v>1</v>
      </c>
      <c r="AA440" s="13">
        <v>1</v>
      </c>
      <c r="AB440" s="7">
        <v>130</v>
      </c>
      <c r="AC440" s="6">
        <v>651</v>
      </c>
      <c r="AD440" s="12">
        <v>0.9</v>
      </c>
      <c r="AE440" s="7">
        <v>0.98</v>
      </c>
      <c r="AF440" s="7"/>
      <c r="AG440" s="7"/>
      <c r="AH440" s="7"/>
      <c r="AI440" s="7"/>
      <c r="AJ440" s="7"/>
      <c r="AK440" s="7"/>
      <c r="AL440" s="7"/>
      <c r="AM440" s="7"/>
      <c r="AN440" s="20"/>
      <c r="AO440" s="7"/>
      <c r="AP440" s="19"/>
      <c r="AQ440" s="7"/>
      <c r="AR440" s="7"/>
      <c r="AS440" s="19"/>
      <c r="AT440" s="7"/>
      <c r="AU440" s="18"/>
      <c r="AV440" s="19"/>
      <c r="AW440" s="6"/>
      <c r="AX440" s="6"/>
    </row>
    <row r="441" spans="1:50" ht="15" customHeight="1">
      <c r="A441" s="88" t="s">
        <v>68</v>
      </c>
      <c r="B441" s="50" t="s">
        <v>3308</v>
      </c>
      <c r="C441" s="7" t="s">
        <v>3309</v>
      </c>
      <c r="D441" s="14" t="s">
        <v>462</v>
      </c>
      <c r="E441" s="7"/>
      <c r="F441" s="7" t="s">
        <v>3310</v>
      </c>
      <c r="G441" s="15" t="s">
        <v>3311</v>
      </c>
      <c r="H441" s="7">
        <v>4953</v>
      </c>
      <c r="I441" s="19" t="s">
        <v>2</v>
      </c>
      <c r="J441" s="7" t="s">
        <v>460</v>
      </c>
      <c r="K441" s="16">
        <v>41332</v>
      </c>
      <c r="L441" s="17">
        <v>41329</v>
      </c>
      <c r="M441" s="50">
        <f t="shared" si="20"/>
        <v>3</v>
      </c>
      <c r="N441" s="7" t="s">
        <v>2</v>
      </c>
      <c r="O441" s="6">
        <v>11</v>
      </c>
      <c r="P441" s="7">
        <v>7.73</v>
      </c>
      <c r="Q441" s="6">
        <v>8.61</v>
      </c>
      <c r="R441" s="7">
        <v>174</v>
      </c>
      <c r="S441" s="6">
        <v>310</v>
      </c>
      <c r="T441" s="7">
        <v>0.4</v>
      </c>
      <c r="U441" s="6">
        <v>1.85</v>
      </c>
      <c r="V441" s="7">
        <v>0.31</v>
      </c>
      <c r="W441" s="6">
        <v>3.4000000000000002E-2</v>
      </c>
      <c r="X441" s="7">
        <v>0.17</v>
      </c>
      <c r="Y441" s="6">
        <v>7.2999999999999995E-2</v>
      </c>
      <c r="Z441" s="12">
        <v>1</v>
      </c>
      <c r="AA441" s="13">
        <v>1</v>
      </c>
      <c r="AB441" s="7">
        <v>150</v>
      </c>
      <c r="AC441" s="6">
        <v>362</v>
      </c>
      <c r="AD441" s="12">
        <v>1</v>
      </c>
      <c r="AE441" s="7"/>
      <c r="AF441" s="7"/>
      <c r="AG441" s="7"/>
      <c r="AH441" s="7"/>
      <c r="AI441" s="7"/>
      <c r="AJ441" s="7"/>
      <c r="AK441" s="7"/>
      <c r="AL441" s="7"/>
      <c r="AM441" s="7"/>
      <c r="AN441" s="20"/>
      <c r="AO441" s="7"/>
      <c r="AP441" s="19"/>
      <c r="AQ441" s="7"/>
      <c r="AR441" s="7"/>
      <c r="AS441" s="19"/>
      <c r="AT441" s="7"/>
      <c r="AU441" s="18"/>
      <c r="AV441" s="19"/>
      <c r="AW441" s="6"/>
      <c r="AX441" s="6"/>
    </row>
    <row r="442" spans="1:50" ht="15" customHeight="1">
      <c r="A442" s="88" t="s">
        <v>68</v>
      </c>
      <c r="B442" s="50" t="s">
        <v>4138</v>
      </c>
      <c r="C442" s="7" t="s">
        <v>4139</v>
      </c>
      <c r="D442" s="14" t="s">
        <v>133</v>
      </c>
      <c r="E442" s="7"/>
      <c r="F442" s="7" t="s">
        <v>3336</v>
      </c>
      <c r="G442" s="15" t="s">
        <v>3337</v>
      </c>
      <c r="H442" s="7">
        <v>5093</v>
      </c>
      <c r="I442" s="19" t="s">
        <v>2</v>
      </c>
      <c r="J442" s="7" t="s">
        <v>510</v>
      </c>
      <c r="K442" s="16">
        <v>41264</v>
      </c>
      <c r="L442" s="17">
        <v>41261</v>
      </c>
      <c r="M442" s="50">
        <f t="shared" si="20"/>
        <v>3</v>
      </c>
      <c r="N442" s="7" t="s">
        <v>2</v>
      </c>
      <c r="O442" s="6">
        <v>6.8</v>
      </c>
      <c r="P442" s="7">
        <v>6.5</v>
      </c>
      <c r="Q442" s="6">
        <v>7.52</v>
      </c>
      <c r="R442" s="7">
        <v>38</v>
      </c>
      <c r="S442" s="6">
        <v>170</v>
      </c>
      <c r="T442" s="7">
        <v>0.4</v>
      </c>
      <c r="U442" s="6">
        <v>1.9</v>
      </c>
      <c r="V442" s="7">
        <v>7.0000000000000007E-2</v>
      </c>
      <c r="W442" s="6">
        <v>2.8000000000000001E-2</v>
      </c>
      <c r="X442" s="7">
        <v>0.222</v>
      </c>
      <c r="Y442" s="6">
        <v>6.6000000000000003E-2</v>
      </c>
      <c r="Z442" s="12"/>
      <c r="AA442" s="13"/>
      <c r="AB442" s="7"/>
      <c r="AC442" s="6"/>
      <c r="AD442" s="12"/>
      <c r="AE442" s="7"/>
      <c r="AF442" s="7"/>
      <c r="AG442" s="7"/>
      <c r="AH442" s="7"/>
      <c r="AI442" s="7"/>
      <c r="AJ442" s="7"/>
      <c r="AK442" s="7"/>
      <c r="AL442" s="7"/>
      <c r="AM442" s="7"/>
      <c r="AN442" s="20"/>
      <c r="AO442" s="7"/>
      <c r="AP442" s="19"/>
      <c r="AQ442" s="7"/>
      <c r="AR442" s="7"/>
      <c r="AS442" s="19"/>
      <c r="AT442" s="7"/>
      <c r="AU442" s="18"/>
      <c r="AV442" s="19"/>
      <c r="AW442" s="6"/>
      <c r="AX442" s="6"/>
    </row>
    <row r="443" spans="1:50" ht="15" customHeight="1">
      <c r="A443" s="88" t="s">
        <v>68</v>
      </c>
      <c r="B443" s="50" t="s">
        <v>4140</v>
      </c>
      <c r="C443" s="7" t="s">
        <v>3408</v>
      </c>
      <c r="D443" s="14" t="s">
        <v>372</v>
      </c>
      <c r="E443" s="7"/>
      <c r="F443" s="7" t="s">
        <v>3409</v>
      </c>
      <c r="G443" s="15" t="s">
        <v>3410</v>
      </c>
      <c r="H443" s="7">
        <v>4953</v>
      </c>
      <c r="I443" s="19" t="s">
        <v>1</v>
      </c>
      <c r="J443" s="7" t="s">
        <v>366</v>
      </c>
      <c r="K443" s="16">
        <v>41264</v>
      </c>
      <c r="L443" s="17">
        <v>41261</v>
      </c>
      <c r="M443" s="50">
        <f t="shared" si="20"/>
        <v>3</v>
      </c>
      <c r="N443" s="7" t="s">
        <v>2</v>
      </c>
      <c r="O443" s="6">
        <v>27</v>
      </c>
      <c r="P443" s="7">
        <v>6.5</v>
      </c>
      <c r="Q443" s="6">
        <v>8.69</v>
      </c>
      <c r="R443" s="7">
        <v>32</v>
      </c>
      <c r="S443" s="6">
        <v>610</v>
      </c>
      <c r="T443" s="7">
        <v>0.72</v>
      </c>
      <c r="U443" s="6">
        <v>1.96</v>
      </c>
      <c r="V443" s="7">
        <v>0.1</v>
      </c>
      <c r="W443" s="6">
        <v>0.104</v>
      </c>
      <c r="X443" s="7">
        <v>0.63700000000000001</v>
      </c>
      <c r="Y443" s="6">
        <v>0.40200000000000002</v>
      </c>
      <c r="Z443" s="12"/>
      <c r="AA443" s="13"/>
      <c r="AB443" s="7"/>
      <c r="AC443" s="6"/>
      <c r="AD443" s="12"/>
      <c r="AE443" s="7"/>
      <c r="AF443" s="7"/>
      <c r="AG443" s="7"/>
      <c r="AH443" s="7"/>
      <c r="AI443" s="7"/>
      <c r="AJ443" s="7"/>
      <c r="AK443" s="7"/>
      <c r="AL443" s="7"/>
      <c r="AM443" s="7"/>
      <c r="AN443" s="20"/>
      <c r="AO443" s="7"/>
      <c r="AP443" s="19"/>
      <c r="AQ443" s="7"/>
      <c r="AR443" s="7"/>
      <c r="AS443" s="19"/>
      <c r="AT443" s="7"/>
      <c r="AU443" s="18"/>
      <c r="AV443" s="19"/>
      <c r="AW443" s="6"/>
      <c r="AX443" s="6"/>
    </row>
    <row r="444" spans="1:50" ht="15" customHeight="1">
      <c r="A444" s="88" t="s">
        <v>68</v>
      </c>
      <c r="B444" s="50" t="s">
        <v>4141</v>
      </c>
      <c r="C444" s="7" t="s">
        <v>3408</v>
      </c>
      <c r="D444" s="14" t="s">
        <v>372</v>
      </c>
      <c r="E444" s="7"/>
      <c r="F444" s="7" t="s">
        <v>3409</v>
      </c>
      <c r="G444" s="15" t="s">
        <v>3410</v>
      </c>
      <c r="H444" s="7">
        <v>4953</v>
      </c>
      <c r="I444" s="19" t="s">
        <v>1</v>
      </c>
      <c r="J444" s="7" t="s">
        <v>366</v>
      </c>
      <c r="K444" s="16">
        <v>41332</v>
      </c>
      <c r="L444" s="17">
        <v>41329</v>
      </c>
      <c r="M444" s="50">
        <f t="shared" si="20"/>
        <v>3</v>
      </c>
      <c r="N444" s="7" t="s">
        <v>2</v>
      </c>
      <c r="O444" s="6">
        <v>25</v>
      </c>
      <c r="P444" s="7">
        <v>7.73</v>
      </c>
      <c r="Q444" s="6">
        <v>9.4600000000000009</v>
      </c>
      <c r="R444" s="7">
        <v>393</v>
      </c>
      <c r="S444" s="6">
        <v>470</v>
      </c>
      <c r="T444" s="7">
        <v>0.7</v>
      </c>
      <c r="U444" s="6">
        <v>4.78</v>
      </c>
      <c r="V444" s="7">
        <v>0.4</v>
      </c>
      <c r="W444" s="6">
        <v>0.188</v>
      </c>
      <c r="X444" s="7">
        <v>0.82599999999999996</v>
      </c>
      <c r="Y444" s="6">
        <v>0.50800000000000001</v>
      </c>
      <c r="Z444" s="12">
        <v>1</v>
      </c>
      <c r="AA444" s="13">
        <v>1</v>
      </c>
      <c r="AB444" s="7">
        <v>308</v>
      </c>
      <c r="AC444" s="6">
        <v>922</v>
      </c>
      <c r="AD444" s="12">
        <v>1</v>
      </c>
      <c r="AE444" s="7"/>
      <c r="AF444" s="7"/>
      <c r="AG444" s="7"/>
      <c r="AH444" s="7"/>
      <c r="AI444" s="7"/>
      <c r="AJ444" s="7"/>
      <c r="AK444" s="7"/>
      <c r="AL444" s="7"/>
      <c r="AM444" s="7"/>
      <c r="AN444" s="20"/>
      <c r="AO444" s="7"/>
      <c r="AP444" s="19"/>
      <c r="AQ444" s="7"/>
      <c r="AR444" s="7"/>
      <c r="AS444" s="19"/>
      <c r="AT444" s="7"/>
      <c r="AU444" s="18"/>
      <c r="AV444" s="19"/>
      <c r="AW444" s="6"/>
      <c r="AX444" s="6"/>
    </row>
    <row r="445" spans="1:50" ht="15" customHeight="1">
      <c r="A445" s="88" t="s">
        <v>68</v>
      </c>
      <c r="B445" s="50" t="s">
        <v>4142</v>
      </c>
      <c r="C445" s="7" t="s">
        <v>3520</v>
      </c>
      <c r="D445" s="14" t="s">
        <v>534</v>
      </c>
      <c r="E445" s="7"/>
      <c r="F445" s="7" t="s">
        <v>3521</v>
      </c>
      <c r="G445" s="15" t="s">
        <v>3522</v>
      </c>
      <c r="H445" s="7">
        <v>4212</v>
      </c>
      <c r="I445" s="19" t="s">
        <v>2</v>
      </c>
      <c r="J445" s="7" t="s">
        <v>510</v>
      </c>
      <c r="K445" s="16">
        <v>41345</v>
      </c>
      <c r="L445" s="17">
        <v>41341</v>
      </c>
      <c r="M445" s="50">
        <f t="shared" si="20"/>
        <v>4</v>
      </c>
      <c r="N445" s="7" t="s">
        <v>2</v>
      </c>
      <c r="O445" s="6">
        <v>6.9</v>
      </c>
      <c r="P445" s="7">
        <v>6.5</v>
      </c>
      <c r="Q445" s="6">
        <v>7.66</v>
      </c>
      <c r="R445" s="7">
        <v>144</v>
      </c>
      <c r="S445" s="6">
        <v>190</v>
      </c>
      <c r="T445" s="7">
        <v>1.66</v>
      </c>
      <c r="U445" s="6">
        <v>2.06</v>
      </c>
      <c r="V445" s="7">
        <v>5.0000000000000001E-3</v>
      </c>
      <c r="W445" s="6">
        <v>0.04</v>
      </c>
      <c r="X445" s="7">
        <v>0.13400000000000001</v>
      </c>
      <c r="Y445" s="6">
        <v>1.7999999999999999E-2</v>
      </c>
      <c r="Z445" s="12">
        <v>1</v>
      </c>
      <c r="AA445" s="13">
        <v>1</v>
      </c>
      <c r="AB445" s="7">
        <v>62</v>
      </c>
      <c r="AC445" s="6">
        <v>347</v>
      </c>
      <c r="AD445" s="12">
        <v>1</v>
      </c>
      <c r="AE445" s="7"/>
      <c r="AF445" s="7"/>
      <c r="AG445" s="7"/>
      <c r="AH445" s="7"/>
      <c r="AI445" s="7"/>
      <c r="AJ445" s="7"/>
      <c r="AK445" s="7"/>
      <c r="AL445" s="7"/>
      <c r="AM445" s="7"/>
      <c r="AN445" s="20"/>
      <c r="AO445" s="7"/>
      <c r="AP445" s="19"/>
      <c r="AQ445" s="7"/>
      <c r="AR445" s="7"/>
      <c r="AS445" s="19"/>
      <c r="AT445" s="7"/>
      <c r="AU445" s="18"/>
      <c r="AV445" s="19"/>
      <c r="AW445" s="6"/>
      <c r="AX445" s="6"/>
    </row>
    <row r="446" spans="1:50" ht="15" customHeight="1">
      <c r="A446" s="88" t="s">
        <v>68</v>
      </c>
      <c r="B446" s="50" t="s">
        <v>4138</v>
      </c>
      <c r="C446" s="7" t="s">
        <v>4143</v>
      </c>
      <c r="D446" s="14" t="s">
        <v>350</v>
      </c>
      <c r="E446" s="7"/>
      <c r="F446" s="7" t="s">
        <v>3438</v>
      </c>
      <c r="G446" s="15" t="s">
        <v>3439</v>
      </c>
      <c r="H446" s="7">
        <v>4953</v>
      </c>
      <c r="I446" s="19" t="s">
        <v>2</v>
      </c>
      <c r="J446" s="7" t="s">
        <v>510</v>
      </c>
      <c r="K446" s="16">
        <v>41332</v>
      </c>
      <c r="L446" s="17">
        <v>41329</v>
      </c>
      <c r="M446" s="50">
        <f t="shared" si="20"/>
        <v>3</v>
      </c>
      <c r="N446" s="7" t="s">
        <v>2</v>
      </c>
      <c r="O446" s="6">
        <v>0.7</v>
      </c>
      <c r="P446" s="7">
        <v>7.73</v>
      </c>
      <c r="Q446" s="6">
        <v>6.88</v>
      </c>
      <c r="R446" s="7">
        <v>21</v>
      </c>
      <c r="S446" s="6">
        <v>29</v>
      </c>
      <c r="T446" s="7">
        <v>0.08</v>
      </c>
      <c r="U446" s="6">
        <v>0.54</v>
      </c>
      <c r="V446" s="7">
        <v>0.02</v>
      </c>
      <c r="W446" s="6">
        <v>6.0000000000000001E-3</v>
      </c>
      <c r="X446" s="7">
        <v>0.04</v>
      </c>
      <c r="Y446" s="6">
        <v>5.0000000000000001E-3</v>
      </c>
      <c r="Z446" s="12">
        <v>1</v>
      </c>
      <c r="AA446" s="13">
        <v>1</v>
      </c>
      <c r="AB446" s="7">
        <v>6</v>
      </c>
      <c r="AC446" s="6">
        <v>30</v>
      </c>
      <c r="AD446" s="12">
        <v>1</v>
      </c>
      <c r="AE446" s="7"/>
      <c r="AF446" s="7"/>
      <c r="AG446" s="7"/>
      <c r="AH446" s="7"/>
      <c r="AI446" s="7"/>
      <c r="AJ446" s="7"/>
      <c r="AK446" s="7"/>
      <c r="AL446" s="7"/>
      <c r="AM446" s="7"/>
      <c r="AN446" s="20"/>
      <c r="AO446" s="7"/>
      <c r="AP446" s="19"/>
      <c r="AQ446" s="7"/>
      <c r="AR446" s="7"/>
      <c r="AS446" s="19"/>
      <c r="AT446" s="7"/>
      <c r="AU446" s="18"/>
      <c r="AV446" s="19"/>
      <c r="AW446" s="6"/>
      <c r="AX446" s="6"/>
    </row>
    <row r="447" spans="1:50" ht="15" customHeight="1">
      <c r="A447" s="88" t="s">
        <v>68</v>
      </c>
      <c r="B447" s="50" t="s">
        <v>4144</v>
      </c>
      <c r="C447" s="7" t="s">
        <v>3440</v>
      </c>
      <c r="D447" s="14" t="s">
        <v>372</v>
      </c>
      <c r="E447" s="7"/>
      <c r="F447" s="7" t="s">
        <v>3409</v>
      </c>
      <c r="G447" s="15" t="s">
        <v>3441</v>
      </c>
      <c r="H447" s="7">
        <v>5093</v>
      </c>
      <c r="I447" s="19" t="s">
        <v>2</v>
      </c>
      <c r="J447" s="7" t="s">
        <v>510</v>
      </c>
      <c r="K447" s="16">
        <v>41332</v>
      </c>
      <c r="L447" s="17">
        <v>41329</v>
      </c>
      <c r="M447" s="50">
        <f t="shared" si="20"/>
        <v>3</v>
      </c>
      <c r="N447" s="7" t="s">
        <v>2</v>
      </c>
      <c r="O447" s="6">
        <v>7.7</v>
      </c>
      <c r="P447" s="7">
        <v>7.73</v>
      </c>
      <c r="Q447" s="6">
        <v>7.4</v>
      </c>
      <c r="R447" s="7">
        <v>75</v>
      </c>
      <c r="S447" s="6">
        <v>110</v>
      </c>
      <c r="T447" s="7">
        <v>0.23</v>
      </c>
      <c r="U447" s="6">
        <v>0.65</v>
      </c>
      <c r="V447" s="7">
        <v>5.0000000000000001E-3</v>
      </c>
      <c r="W447" s="6">
        <v>0.02</v>
      </c>
      <c r="X447" s="7">
        <v>0.106</v>
      </c>
      <c r="Y447" s="6">
        <v>2.8000000000000001E-2</v>
      </c>
      <c r="Z447" s="12">
        <v>1</v>
      </c>
      <c r="AA447" s="13">
        <v>1</v>
      </c>
      <c r="AB447" s="7">
        <v>12</v>
      </c>
      <c r="AC447" s="6">
        <v>45</v>
      </c>
      <c r="AD447" s="12">
        <v>1</v>
      </c>
      <c r="AE447" s="7"/>
      <c r="AF447" s="7"/>
      <c r="AG447" s="7"/>
      <c r="AH447" s="7"/>
      <c r="AI447" s="7"/>
      <c r="AJ447" s="7"/>
      <c r="AK447" s="7"/>
      <c r="AL447" s="7"/>
      <c r="AM447" s="7"/>
      <c r="AN447" s="20"/>
      <c r="AO447" s="7"/>
      <c r="AP447" s="19"/>
      <c r="AQ447" s="7"/>
      <c r="AR447" s="7"/>
      <c r="AS447" s="19"/>
      <c r="AT447" s="7"/>
      <c r="AU447" s="18"/>
      <c r="AV447" s="19"/>
      <c r="AW447" s="6"/>
      <c r="AX447" s="6"/>
    </row>
    <row r="448" spans="1:50" ht="15" customHeight="1">
      <c r="A448" s="88" t="s">
        <v>68</v>
      </c>
      <c r="B448" s="50" t="s">
        <v>4138</v>
      </c>
      <c r="C448" s="7" t="s">
        <v>3448</v>
      </c>
      <c r="D448" s="14" t="s">
        <v>262</v>
      </c>
      <c r="E448" s="7"/>
      <c r="F448" s="7" t="s">
        <v>3449</v>
      </c>
      <c r="G448" s="15" t="s">
        <v>3450</v>
      </c>
      <c r="H448" s="7">
        <v>4953</v>
      </c>
      <c r="I448" s="19" t="s">
        <v>2</v>
      </c>
      <c r="J448" s="7" t="s">
        <v>510</v>
      </c>
      <c r="K448" s="16">
        <v>41345</v>
      </c>
      <c r="L448" s="17">
        <v>41341</v>
      </c>
      <c r="M448" s="50">
        <f t="shared" si="20"/>
        <v>4</v>
      </c>
      <c r="N448" s="7" t="s">
        <v>2</v>
      </c>
      <c r="O448" s="6">
        <v>5.7</v>
      </c>
      <c r="P448" s="7">
        <v>6.5</v>
      </c>
      <c r="Q448" s="6">
        <v>7.11</v>
      </c>
      <c r="R448" s="7">
        <v>116</v>
      </c>
      <c r="S448" s="6">
        <v>52</v>
      </c>
      <c r="T448" s="7">
        <v>0.23</v>
      </c>
      <c r="U448" s="6">
        <v>1.5</v>
      </c>
      <c r="V448" s="7">
        <v>0.32</v>
      </c>
      <c r="W448" s="6">
        <v>0.03</v>
      </c>
      <c r="X448" s="7">
        <v>0.19800000000000001</v>
      </c>
      <c r="Y448" s="6">
        <v>0.04</v>
      </c>
      <c r="Z448" s="12">
        <v>1</v>
      </c>
      <c r="AA448" s="13">
        <v>1</v>
      </c>
      <c r="AB448" s="7">
        <v>22</v>
      </c>
      <c r="AC448" s="6">
        <v>121</v>
      </c>
      <c r="AD448" s="12">
        <v>1</v>
      </c>
      <c r="AE448" s="7"/>
      <c r="AF448" s="7"/>
      <c r="AG448" s="7"/>
      <c r="AH448" s="7"/>
      <c r="AI448" s="7"/>
      <c r="AJ448" s="7"/>
      <c r="AK448" s="7"/>
      <c r="AL448" s="7"/>
      <c r="AM448" s="7"/>
      <c r="AN448" s="20"/>
      <c r="AO448" s="7"/>
      <c r="AP448" s="19"/>
      <c r="AQ448" s="7"/>
      <c r="AR448" s="7"/>
      <c r="AS448" s="19"/>
      <c r="AT448" s="7"/>
      <c r="AU448" s="18"/>
      <c r="AV448" s="19"/>
      <c r="AW448" s="6"/>
      <c r="AX448" s="6"/>
    </row>
    <row r="449" spans="1:50" ht="15" customHeight="1">
      <c r="A449" s="88" t="s">
        <v>68</v>
      </c>
      <c r="B449" s="50" t="s">
        <v>4145</v>
      </c>
      <c r="C449" s="7" t="s">
        <v>3528</v>
      </c>
      <c r="D449" s="14" t="s">
        <v>2913</v>
      </c>
      <c r="E449" s="7"/>
      <c r="F449" s="7" t="s">
        <v>3529</v>
      </c>
      <c r="G449" s="15" t="s">
        <v>2768</v>
      </c>
      <c r="H449" s="7">
        <v>4212</v>
      </c>
      <c r="I449" s="19" t="s">
        <v>2</v>
      </c>
      <c r="J449" s="7" t="s">
        <v>366</v>
      </c>
      <c r="K449" s="16">
        <v>41332</v>
      </c>
      <c r="L449" s="17">
        <v>41329</v>
      </c>
      <c r="M449" s="50">
        <f t="shared" si="20"/>
        <v>3</v>
      </c>
      <c r="N449" s="7" t="s">
        <v>2</v>
      </c>
      <c r="O449" s="6">
        <v>5.7</v>
      </c>
      <c r="P449" s="7">
        <v>7.73</v>
      </c>
      <c r="Q449" s="6">
        <v>8.1199999999999992</v>
      </c>
      <c r="R449" s="7">
        <v>279</v>
      </c>
      <c r="S449" s="6">
        <v>2700</v>
      </c>
      <c r="T449" s="7">
        <v>2.6</v>
      </c>
      <c r="U449" s="6">
        <v>1</v>
      </c>
      <c r="V449" s="7">
        <v>0.04</v>
      </c>
      <c r="W449" s="6">
        <v>0.19700000000000001</v>
      </c>
      <c r="X449" s="7">
        <v>0.72399999999999998</v>
      </c>
      <c r="Y449" s="6">
        <v>0.223</v>
      </c>
      <c r="Z449" s="12">
        <v>1</v>
      </c>
      <c r="AA449" s="13">
        <v>1</v>
      </c>
      <c r="AB449" s="7">
        <v>92</v>
      </c>
      <c r="AC449" s="6">
        <v>263</v>
      </c>
      <c r="AD449" s="12">
        <v>1</v>
      </c>
      <c r="AE449" s="7"/>
      <c r="AF449" s="7"/>
      <c r="AG449" s="7"/>
      <c r="AH449" s="7"/>
      <c r="AI449" s="7"/>
      <c r="AJ449" s="7"/>
      <c r="AK449" s="7"/>
      <c r="AL449" s="7"/>
      <c r="AM449" s="7"/>
      <c r="AN449" s="20"/>
      <c r="AO449" s="7"/>
      <c r="AP449" s="19"/>
      <c r="AQ449" s="7"/>
      <c r="AR449" s="7"/>
      <c r="AS449" s="19"/>
      <c r="AT449" s="7"/>
      <c r="AU449" s="18"/>
      <c r="AV449" s="19"/>
      <c r="AW449" s="6"/>
      <c r="AX449" s="6"/>
    </row>
    <row r="450" spans="1:50" ht="15" customHeight="1">
      <c r="A450" s="88" t="s">
        <v>68</v>
      </c>
      <c r="B450" s="50" t="s">
        <v>3451</v>
      </c>
      <c r="C450" s="7" t="s">
        <v>3440</v>
      </c>
      <c r="D450" s="14" t="s">
        <v>372</v>
      </c>
      <c r="E450" s="7"/>
      <c r="F450" s="7" t="s">
        <v>3409</v>
      </c>
      <c r="G450" s="15" t="s">
        <v>3441</v>
      </c>
      <c r="H450" s="7">
        <v>5093</v>
      </c>
      <c r="I450" s="19" t="s">
        <v>2</v>
      </c>
      <c r="J450" s="7" t="s">
        <v>510</v>
      </c>
      <c r="K450" s="16">
        <v>41226</v>
      </c>
      <c r="L450" s="17">
        <v>41221</v>
      </c>
      <c r="M450" s="50">
        <f t="shared" si="20"/>
        <v>5</v>
      </c>
      <c r="N450" s="7" t="s">
        <v>2</v>
      </c>
      <c r="O450" s="6">
        <v>120</v>
      </c>
      <c r="P450" s="7">
        <v>6.5</v>
      </c>
      <c r="Q450" s="6">
        <v>6.72</v>
      </c>
      <c r="R450" s="7">
        <v>980</v>
      </c>
      <c r="S450" s="6">
        <v>5500</v>
      </c>
      <c r="T450" s="7">
        <v>2.0699999999999998</v>
      </c>
      <c r="U450" s="6">
        <v>25.1</v>
      </c>
      <c r="V450" s="7">
        <v>0.11</v>
      </c>
      <c r="W450" s="6">
        <v>0.54</v>
      </c>
      <c r="X450" s="7">
        <v>2.4700000000000002</v>
      </c>
      <c r="Y450" s="6">
        <v>0.32700000000000001</v>
      </c>
      <c r="Z450" s="12"/>
      <c r="AA450" s="13"/>
      <c r="AB450" s="7"/>
      <c r="AC450" s="6"/>
      <c r="AD450" s="12"/>
      <c r="AE450" s="7"/>
      <c r="AF450" s="7"/>
      <c r="AG450" s="7"/>
      <c r="AH450" s="7"/>
      <c r="AI450" s="7"/>
      <c r="AJ450" s="7"/>
      <c r="AK450" s="7"/>
      <c r="AL450" s="7"/>
      <c r="AM450" s="7"/>
      <c r="AN450" s="20"/>
      <c r="AO450" s="7"/>
      <c r="AP450" s="19"/>
      <c r="AQ450" s="7"/>
      <c r="AR450" s="7"/>
      <c r="AS450" s="19"/>
      <c r="AT450" s="7"/>
      <c r="AU450" s="18"/>
      <c r="AV450" s="19"/>
      <c r="AW450" s="6"/>
      <c r="AX450" s="6"/>
    </row>
    <row r="451" spans="1:50" ht="15" customHeight="1">
      <c r="A451" s="88" t="s">
        <v>68</v>
      </c>
      <c r="B451" s="50" t="s">
        <v>4146</v>
      </c>
      <c r="C451" s="7" t="s">
        <v>4146</v>
      </c>
      <c r="D451" s="14" t="s">
        <v>303</v>
      </c>
      <c r="E451" s="7" t="s">
        <v>467</v>
      </c>
      <c r="F451" s="7" t="s">
        <v>3552</v>
      </c>
      <c r="G451" s="15" t="s">
        <v>3626</v>
      </c>
      <c r="H451" s="7">
        <v>4953</v>
      </c>
      <c r="I451" s="19" t="s">
        <v>2</v>
      </c>
      <c r="J451" s="14" t="s">
        <v>1943</v>
      </c>
      <c r="K451" s="16">
        <v>41148</v>
      </c>
      <c r="L451" s="17">
        <v>41139</v>
      </c>
      <c r="M451" s="50">
        <f t="shared" si="20"/>
        <v>9</v>
      </c>
      <c r="N451" s="7" t="s">
        <v>2</v>
      </c>
      <c r="O451" s="6">
        <v>4.75</v>
      </c>
      <c r="P451" s="7"/>
      <c r="Q451" s="6">
        <v>6.84</v>
      </c>
      <c r="R451" s="7">
        <v>62</v>
      </c>
      <c r="S451" s="6">
        <v>30</v>
      </c>
      <c r="T451" s="7">
        <v>0.21</v>
      </c>
      <c r="U451" s="6">
        <v>2</v>
      </c>
      <c r="V451" s="7">
        <v>0.38</v>
      </c>
      <c r="W451" s="6">
        <v>1.4999999999999999E-2</v>
      </c>
      <c r="X451" s="7">
        <v>2.5000000000000001E-2</v>
      </c>
      <c r="Y451" s="6">
        <v>1.2999999999999999E-2</v>
      </c>
      <c r="Z451" s="12"/>
      <c r="AA451" s="13"/>
      <c r="AB451" s="7"/>
      <c r="AC451" s="6"/>
      <c r="AD451" s="12"/>
      <c r="AE451" s="7"/>
      <c r="AF451" s="7"/>
      <c r="AG451" s="7"/>
      <c r="AH451" s="7"/>
      <c r="AI451" s="7"/>
      <c r="AJ451" s="7"/>
      <c r="AK451" s="7"/>
      <c r="AL451" s="7"/>
      <c r="AM451" s="7"/>
      <c r="AN451" s="20"/>
      <c r="AO451" s="7"/>
      <c r="AP451" s="19"/>
      <c r="AQ451" s="7"/>
      <c r="AR451" s="7"/>
      <c r="AS451" s="19"/>
      <c r="AT451" s="7"/>
      <c r="AU451" s="18"/>
      <c r="AV451" s="19"/>
      <c r="AW451" s="6"/>
      <c r="AX451" s="6"/>
    </row>
    <row r="452" spans="1:50" ht="15" customHeight="1">
      <c r="A452" s="88" t="s">
        <v>68</v>
      </c>
      <c r="B452" s="50" t="s">
        <v>4138</v>
      </c>
      <c r="C452" s="7" t="s">
        <v>3332</v>
      </c>
      <c r="D452" s="14" t="s">
        <v>133</v>
      </c>
      <c r="E452" s="7"/>
      <c r="F452" s="14" t="s">
        <v>3333</v>
      </c>
      <c r="G452" s="15" t="s">
        <v>3334</v>
      </c>
      <c r="H452" s="7">
        <v>4953</v>
      </c>
      <c r="I452" s="19" t="s">
        <v>2</v>
      </c>
      <c r="J452" s="7" t="s">
        <v>366</v>
      </c>
      <c r="K452" s="16">
        <v>41432</v>
      </c>
      <c r="L452" s="17">
        <v>41428</v>
      </c>
      <c r="M452" s="50">
        <f t="shared" si="20"/>
        <v>4</v>
      </c>
      <c r="N452" s="7" t="s">
        <v>2</v>
      </c>
      <c r="O452" s="6">
        <v>53</v>
      </c>
      <c r="P452" s="7">
        <v>6.5</v>
      </c>
      <c r="Q452" s="6">
        <v>7.18</v>
      </c>
      <c r="R452" s="7">
        <v>14600</v>
      </c>
      <c r="S452" s="6">
        <v>2500</v>
      </c>
      <c r="T452" s="7">
        <v>51</v>
      </c>
      <c r="U452" s="6">
        <v>287</v>
      </c>
      <c r="V452" s="7">
        <v>5.0000000000000001E-3</v>
      </c>
      <c r="W452" s="6">
        <v>0.29799999999999999</v>
      </c>
      <c r="X452" s="7">
        <v>1.86</v>
      </c>
      <c r="Y452" s="6">
        <v>0.72399999999999998</v>
      </c>
      <c r="Z452" s="12"/>
      <c r="AA452" s="13"/>
      <c r="AB452" s="7"/>
      <c r="AC452" s="6"/>
      <c r="AD452" s="12"/>
      <c r="AE452" s="7"/>
      <c r="AF452" s="7"/>
      <c r="AG452" s="7"/>
      <c r="AH452" s="7"/>
      <c r="AI452" s="7"/>
      <c r="AJ452" s="7"/>
      <c r="AK452" s="7"/>
      <c r="AL452" s="7"/>
      <c r="AM452" s="7"/>
      <c r="AN452" s="20"/>
      <c r="AO452" s="7"/>
      <c r="AP452" s="19"/>
      <c r="AQ452" s="7"/>
      <c r="AR452" s="7"/>
      <c r="AS452" s="19"/>
      <c r="AT452" s="7"/>
      <c r="AU452" s="18"/>
      <c r="AV452" s="19"/>
      <c r="AW452" s="6"/>
      <c r="AX452" s="6"/>
    </row>
    <row r="453" spans="1:50" ht="15" customHeight="1">
      <c r="A453" s="88" t="s">
        <v>68</v>
      </c>
      <c r="B453" s="50" t="s">
        <v>4138</v>
      </c>
      <c r="C453" s="7" t="s">
        <v>3332</v>
      </c>
      <c r="D453" s="14" t="s">
        <v>133</v>
      </c>
      <c r="E453" s="7"/>
      <c r="F453" s="14" t="s">
        <v>3333</v>
      </c>
      <c r="G453" s="15" t="s">
        <v>3334</v>
      </c>
      <c r="H453" s="7">
        <v>4953</v>
      </c>
      <c r="I453" s="19" t="s">
        <v>2</v>
      </c>
      <c r="J453" s="7" t="s">
        <v>366</v>
      </c>
      <c r="K453" s="16">
        <v>41332</v>
      </c>
      <c r="L453" s="17">
        <v>41329</v>
      </c>
      <c r="M453" s="50">
        <f t="shared" si="20"/>
        <v>3</v>
      </c>
      <c r="N453" s="7" t="s">
        <v>2</v>
      </c>
      <c r="O453" s="6">
        <v>190</v>
      </c>
      <c r="P453" s="7">
        <v>6.5</v>
      </c>
      <c r="Q453" s="6">
        <v>9.24</v>
      </c>
      <c r="R453" s="7">
        <v>5180</v>
      </c>
      <c r="S453" s="6">
        <v>6300</v>
      </c>
      <c r="T453" s="7">
        <v>5.5</v>
      </c>
      <c r="U453" s="6">
        <v>26.7</v>
      </c>
      <c r="V453" s="7">
        <v>0.17</v>
      </c>
      <c r="W453" s="6">
        <v>0.95099999999999996</v>
      </c>
      <c r="X453" s="7">
        <v>8.4</v>
      </c>
      <c r="Y453" s="6">
        <v>3.2</v>
      </c>
      <c r="Z453" s="12">
        <v>0.35399999999999998</v>
      </c>
      <c r="AA453" s="13">
        <v>0.35399999999999998</v>
      </c>
      <c r="AB453" s="7">
        <v>1600</v>
      </c>
      <c r="AC453" s="6">
        <v>1814</v>
      </c>
      <c r="AD453" s="12">
        <v>0</v>
      </c>
      <c r="AE453" s="7"/>
      <c r="AF453" s="7"/>
      <c r="AG453" s="7"/>
      <c r="AH453" s="7"/>
      <c r="AI453" s="7"/>
      <c r="AJ453" s="7"/>
      <c r="AK453" s="7"/>
      <c r="AL453" s="7"/>
      <c r="AM453" s="7"/>
      <c r="AN453" s="20"/>
      <c r="AO453" s="7"/>
      <c r="AP453" s="19"/>
      <c r="AQ453" s="7"/>
      <c r="AR453" s="7"/>
      <c r="AS453" s="19"/>
      <c r="AT453" s="7"/>
      <c r="AU453" s="18"/>
      <c r="AV453" s="19"/>
      <c r="AW453" s="6"/>
      <c r="AX453" s="6"/>
    </row>
    <row r="454" spans="1:50" ht="15" customHeight="1">
      <c r="A454" s="88" t="s">
        <v>68</v>
      </c>
      <c r="B454" s="50" t="s">
        <v>4147</v>
      </c>
      <c r="C454" s="7" t="s">
        <v>4148</v>
      </c>
      <c r="D454" s="14" t="s">
        <v>1129</v>
      </c>
      <c r="E454" s="7" t="s">
        <v>398</v>
      </c>
      <c r="F454" s="7"/>
      <c r="G454" s="15" t="s">
        <v>3181</v>
      </c>
      <c r="H454" s="7">
        <v>4953</v>
      </c>
      <c r="I454" s="19" t="s">
        <v>1</v>
      </c>
      <c r="J454" s="7" t="s">
        <v>1376</v>
      </c>
      <c r="K454" s="16">
        <v>41436</v>
      </c>
      <c r="L454" s="17">
        <v>41433</v>
      </c>
      <c r="M454" s="50">
        <f t="shared" si="20"/>
        <v>3</v>
      </c>
      <c r="N454" s="7" t="s">
        <v>2</v>
      </c>
      <c r="O454" s="6">
        <v>4.2</v>
      </c>
      <c r="P454" s="7">
        <v>6</v>
      </c>
      <c r="Q454" s="6">
        <v>6.7</v>
      </c>
      <c r="R454" s="7">
        <v>200</v>
      </c>
      <c r="S454" s="6">
        <v>190</v>
      </c>
      <c r="T454" s="7">
        <v>0.92</v>
      </c>
      <c r="U454" s="6">
        <v>9.6</v>
      </c>
      <c r="V454" s="50">
        <f>0.05/2</f>
        <v>2.5000000000000001E-2</v>
      </c>
      <c r="W454" s="6">
        <v>0.13</v>
      </c>
      <c r="X454" s="7">
        <v>0.61</v>
      </c>
      <c r="Y454" s="6">
        <v>0.17</v>
      </c>
      <c r="Z454" s="12">
        <v>1</v>
      </c>
      <c r="AA454" s="13">
        <v>1</v>
      </c>
      <c r="AB454" s="7">
        <v>38</v>
      </c>
      <c r="AC454" s="6">
        <v>110</v>
      </c>
      <c r="AD454" s="12">
        <v>1</v>
      </c>
      <c r="AE454" s="7"/>
      <c r="AF454" s="7"/>
      <c r="AG454" s="7"/>
      <c r="AH454" s="7"/>
      <c r="AI454" s="7"/>
      <c r="AJ454" s="7"/>
      <c r="AK454" s="7"/>
      <c r="AL454" s="7"/>
      <c r="AM454" s="7"/>
      <c r="AN454" s="20"/>
      <c r="AO454" s="7"/>
      <c r="AP454" s="19"/>
      <c r="AQ454" s="7"/>
      <c r="AR454" s="7">
        <v>3.6999999999999999E-4</v>
      </c>
      <c r="AS454" s="19"/>
      <c r="AT454" s="7"/>
      <c r="AU454" s="18"/>
      <c r="AV454" s="19"/>
      <c r="AW454" s="6"/>
      <c r="AX454" s="6"/>
    </row>
    <row r="455" spans="1:50" ht="15" customHeight="1">
      <c r="A455" s="88" t="s">
        <v>68</v>
      </c>
      <c r="B455" s="50" t="s">
        <v>4138</v>
      </c>
      <c r="C455" s="7" t="s">
        <v>4139</v>
      </c>
      <c r="D455" s="14" t="s">
        <v>133</v>
      </c>
      <c r="E455" s="7"/>
      <c r="F455" s="7" t="s">
        <v>3336</v>
      </c>
      <c r="G455" s="15" t="s">
        <v>3337</v>
      </c>
      <c r="H455" s="7">
        <v>5093</v>
      </c>
      <c r="I455" s="19" t="s">
        <v>2</v>
      </c>
      <c r="J455" s="7" t="s">
        <v>510</v>
      </c>
      <c r="K455" s="16">
        <v>41432</v>
      </c>
      <c r="L455" s="17">
        <v>41428</v>
      </c>
      <c r="M455" s="50">
        <f t="shared" si="20"/>
        <v>4</v>
      </c>
      <c r="N455" s="7" t="s">
        <v>2</v>
      </c>
      <c r="O455" s="6">
        <v>31</v>
      </c>
      <c r="P455" s="7">
        <v>6.5</v>
      </c>
      <c r="Q455" s="6">
        <v>7.61</v>
      </c>
      <c r="R455" s="7">
        <v>424</v>
      </c>
      <c r="S455" s="6">
        <v>410</v>
      </c>
      <c r="T455" s="7">
        <v>0.82</v>
      </c>
      <c r="U455" s="6">
        <v>4.9000000000000004</v>
      </c>
      <c r="V455" s="7">
        <v>5.0000000000000001E-3</v>
      </c>
      <c r="W455" s="6">
        <v>0.14099999999999999</v>
      </c>
      <c r="X455" s="7">
        <v>1.32</v>
      </c>
      <c r="Y455" s="6">
        <v>0.29099999999999998</v>
      </c>
      <c r="Z455" s="12"/>
      <c r="AA455" s="13"/>
      <c r="AB455" s="7"/>
      <c r="AC455" s="6"/>
      <c r="AD455" s="12"/>
      <c r="AE455" s="7"/>
      <c r="AF455" s="7"/>
      <c r="AG455" s="7"/>
      <c r="AH455" s="7"/>
      <c r="AI455" s="7"/>
      <c r="AJ455" s="7"/>
      <c r="AK455" s="7"/>
      <c r="AL455" s="7"/>
      <c r="AM455" s="7"/>
      <c r="AN455" s="20"/>
      <c r="AO455" s="7"/>
      <c r="AP455" s="19"/>
      <c r="AQ455" s="7"/>
      <c r="AR455" s="7"/>
      <c r="AS455" s="19"/>
      <c r="AT455" s="7"/>
      <c r="AU455" s="18"/>
      <c r="AV455" s="19"/>
      <c r="AW455" s="6"/>
      <c r="AX455" s="6"/>
    </row>
    <row r="456" spans="1:50" ht="15" customHeight="1">
      <c r="A456" s="88" t="s">
        <v>68</v>
      </c>
      <c r="B456" s="50" t="s">
        <v>4149</v>
      </c>
      <c r="C456" s="7" t="s">
        <v>3467</v>
      </c>
      <c r="D456" s="14" t="s">
        <v>1505</v>
      </c>
      <c r="E456" s="7"/>
      <c r="F456" s="14" t="s">
        <v>3178</v>
      </c>
      <c r="G456" s="15" t="s">
        <v>3179</v>
      </c>
      <c r="H456" s="7">
        <v>4953</v>
      </c>
      <c r="I456" s="19" t="s">
        <v>2</v>
      </c>
      <c r="J456" s="7" t="s">
        <v>366</v>
      </c>
      <c r="K456" s="16">
        <v>41432</v>
      </c>
      <c r="L456" s="17">
        <v>41428</v>
      </c>
      <c r="M456" s="50">
        <f t="shared" si="20"/>
        <v>4</v>
      </c>
      <c r="N456" s="7" t="s">
        <v>2</v>
      </c>
      <c r="O456" s="6">
        <v>19</v>
      </c>
      <c r="P456" s="7">
        <v>6.5</v>
      </c>
      <c r="Q456" s="6">
        <v>7.32</v>
      </c>
      <c r="R456" s="7">
        <v>526</v>
      </c>
      <c r="S456" s="6">
        <v>280</v>
      </c>
      <c r="T456" s="7">
        <v>1.37</v>
      </c>
      <c r="U456" s="6">
        <v>8.1999999999999993</v>
      </c>
      <c r="V456" s="7">
        <v>5.0000000000000001E-3</v>
      </c>
      <c r="W456" s="6">
        <v>8.6999999999999994E-2</v>
      </c>
      <c r="X456" s="7">
        <v>0.68799999999999994</v>
      </c>
      <c r="Y456" s="6">
        <v>0.41899999999999998</v>
      </c>
      <c r="Z456" s="12"/>
      <c r="AA456" s="13"/>
      <c r="AB456" s="7"/>
      <c r="AC456" s="6"/>
      <c r="AD456" s="12"/>
      <c r="AE456" s="7"/>
      <c r="AF456" s="7"/>
      <c r="AG456" s="7"/>
      <c r="AH456" s="7"/>
      <c r="AI456" s="7"/>
      <c r="AJ456" s="7"/>
      <c r="AK456" s="7"/>
      <c r="AL456" s="7"/>
      <c r="AM456" s="7"/>
      <c r="AN456" s="20"/>
      <c r="AO456" s="7"/>
      <c r="AP456" s="19"/>
      <c r="AQ456" s="7"/>
      <c r="AR456" s="7"/>
      <c r="AS456" s="19"/>
      <c r="AT456" s="7"/>
      <c r="AU456" s="18"/>
      <c r="AV456" s="19"/>
      <c r="AW456" s="6"/>
      <c r="AX456" s="6"/>
    </row>
    <row r="457" spans="1:50" ht="15" customHeight="1">
      <c r="A457" s="88" t="s">
        <v>68</v>
      </c>
      <c r="B457" s="50" t="s">
        <v>3308</v>
      </c>
      <c r="C457" s="7" t="s">
        <v>3309</v>
      </c>
      <c r="D457" s="14" t="s">
        <v>209</v>
      </c>
      <c r="E457" s="7"/>
      <c r="F457" s="7" t="s">
        <v>3310</v>
      </c>
      <c r="G457" s="15" t="s">
        <v>3311</v>
      </c>
      <c r="H457" s="7">
        <v>4953</v>
      </c>
      <c r="I457" s="19" t="s">
        <v>2</v>
      </c>
      <c r="J457" s="7" t="s">
        <v>460</v>
      </c>
      <c r="K457" s="16">
        <v>41432</v>
      </c>
      <c r="L457" s="17">
        <v>41428</v>
      </c>
      <c r="M457" s="50">
        <f t="shared" si="20"/>
        <v>4</v>
      </c>
      <c r="N457" s="7" t="s">
        <v>2</v>
      </c>
      <c r="O457" s="6">
        <v>1.5</v>
      </c>
      <c r="P457" s="7">
        <v>6.5</v>
      </c>
      <c r="Q457" s="6">
        <v>7.63</v>
      </c>
      <c r="R457" s="7">
        <v>90</v>
      </c>
      <c r="S457" s="6">
        <v>14</v>
      </c>
      <c r="T457" s="7">
        <v>0.14000000000000001</v>
      </c>
      <c r="U457" s="6">
        <v>2.48</v>
      </c>
      <c r="V457" s="7">
        <v>1.2</v>
      </c>
      <c r="W457" s="6">
        <v>8.9999999999999993E-3</v>
      </c>
      <c r="X457" s="7">
        <v>0.104</v>
      </c>
      <c r="Y457" s="6">
        <v>1.4E-2</v>
      </c>
      <c r="Z457" s="12"/>
      <c r="AA457" s="13"/>
      <c r="AB457" s="7"/>
      <c r="AC457" s="6"/>
      <c r="AD457" s="12"/>
      <c r="AE457" s="7"/>
      <c r="AF457" s="7"/>
      <c r="AG457" s="7"/>
      <c r="AH457" s="7"/>
      <c r="AI457" s="7"/>
      <c r="AJ457" s="7"/>
      <c r="AK457" s="7"/>
      <c r="AL457" s="7"/>
      <c r="AM457" s="7"/>
      <c r="AN457" s="20"/>
      <c r="AO457" s="5"/>
      <c r="AP457" s="1"/>
      <c r="AQ457" s="5"/>
      <c r="AR457" s="5"/>
      <c r="AS457" s="1"/>
      <c r="AT457" s="5"/>
      <c r="AW457"/>
    </row>
    <row r="458" spans="1:50" ht="15" customHeight="1">
      <c r="A458" s="88" t="s">
        <v>68</v>
      </c>
      <c r="B458" s="50" t="s">
        <v>3546</v>
      </c>
      <c r="C458" s="7" t="s">
        <v>3538</v>
      </c>
      <c r="D458" s="14" t="s">
        <v>1541</v>
      </c>
      <c r="E458" s="7"/>
      <c r="F458" s="7" t="s">
        <v>3547</v>
      </c>
      <c r="G458" s="15" t="s">
        <v>3548</v>
      </c>
      <c r="H458" s="7">
        <v>4953</v>
      </c>
      <c r="I458" s="19" t="s">
        <v>2</v>
      </c>
      <c r="J458" s="7" t="s">
        <v>510</v>
      </c>
      <c r="K458" s="16">
        <v>41432</v>
      </c>
      <c r="L458" s="17">
        <v>41428</v>
      </c>
      <c r="M458" s="50">
        <f t="shared" si="20"/>
        <v>4</v>
      </c>
      <c r="N458" s="7" t="s">
        <v>2</v>
      </c>
      <c r="O458" s="6">
        <v>13</v>
      </c>
      <c r="P458" s="7">
        <v>6.5</v>
      </c>
      <c r="Q458" s="6">
        <v>7.47</v>
      </c>
      <c r="R458" s="7">
        <v>133</v>
      </c>
      <c r="S458" s="6">
        <v>140</v>
      </c>
      <c r="T458" s="7">
        <v>0.25</v>
      </c>
      <c r="U458" s="6">
        <v>1.1299999999999999</v>
      </c>
      <c r="V458" s="7">
        <v>0.04</v>
      </c>
      <c r="W458" s="6">
        <v>2.1999999999999999E-2</v>
      </c>
      <c r="X458" s="7">
        <v>0.29499999999999998</v>
      </c>
      <c r="Y458" s="6">
        <v>9.1999999999999998E-2</v>
      </c>
      <c r="Z458" s="12"/>
      <c r="AA458" s="13"/>
      <c r="AB458" s="7"/>
      <c r="AC458" s="6"/>
      <c r="AD458" s="12"/>
      <c r="AE458" s="7"/>
      <c r="AF458" s="7"/>
      <c r="AG458" s="7"/>
      <c r="AH458" s="7"/>
      <c r="AI458" s="7"/>
      <c r="AJ458" s="7"/>
      <c r="AK458" s="7"/>
      <c r="AL458" s="7"/>
      <c r="AM458" s="7"/>
      <c r="AN458" s="20"/>
      <c r="AO458" s="5"/>
      <c r="AP458" s="1"/>
      <c r="AQ458" s="5"/>
      <c r="AR458" s="5"/>
      <c r="AS458" s="1"/>
      <c r="AT458" s="5"/>
      <c r="AW458"/>
    </row>
    <row r="459" spans="1:50" ht="15" customHeight="1">
      <c r="A459" s="88" t="s">
        <v>68</v>
      </c>
      <c r="B459" s="50" t="s">
        <v>2305</v>
      </c>
      <c r="C459" s="7" t="s">
        <v>392</v>
      </c>
      <c r="D459" s="14" t="s">
        <v>56</v>
      </c>
      <c r="E459" s="7"/>
      <c r="F459" s="7" t="s">
        <v>2312</v>
      </c>
      <c r="G459" s="15" t="s">
        <v>2313</v>
      </c>
      <c r="H459" s="7">
        <v>4953</v>
      </c>
      <c r="I459" s="19" t="s">
        <v>1</v>
      </c>
      <c r="J459" s="7" t="s">
        <v>3498</v>
      </c>
      <c r="K459" s="16">
        <v>41417</v>
      </c>
      <c r="L459" s="17">
        <v>41413</v>
      </c>
      <c r="M459" s="50">
        <f t="shared" si="20"/>
        <v>4</v>
      </c>
      <c r="N459" s="7" t="s">
        <v>2</v>
      </c>
      <c r="O459" s="6"/>
      <c r="P459" s="7"/>
      <c r="Q459" s="6"/>
      <c r="R459" s="7"/>
      <c r="S459" s="6"/>
      <c r="T459" s="7"/>
      <c r="U459" s="6"/>
      <c r="V459" s="7"/>
      <c r="W459" s="6"/>
      <c r="X459" s="7"/>
      <c r="Y459" s="6"/>
      <c r="Z459" s="12"/>
      <c r="AA459" s="13"/>
      <c r="AB459" s="7"/>
      <c r="AC459" s="6"/>
      <c r="AD459" s="12"/>
      <c r="AE459" s="7">
        <v>2.64</v>
      </c>
      <c r="AF459" s="7"/>
      <c r="AG459" s="7"/>
      <c r="AH459" s="7"/>
      <c r="AI459" s="7"/>
      <c r="AJ459" s="7"/>
      <c r="AK459" s="7"/>
      <c r="AL459" s="7"/>
      <c r="AM459" s="7"/>
      <c r="AN459" s="20"/>
      <c r="AO459" s="5"/>
      <c r="AP459" s="1"/>
      <c r="AQ459" s="5"/>
      <c r="AR459" s="5"/>
      <c r="AS459" s="1"/>
      <c r="AT459" s="5"/>
      <c r="AW459"/>
    </row>
    <row r="460" spans="1:50" ht="15" customHeight="1">
      <c r="A460" s="88" t="s">
        <v>68</v>
      </c>
      <c r="B460" s="50" t="s">
        <v>2305</v>
      </c>
      <c r="C460" s="7" t="s">
        <v>392</v>
      </c>
      <c r="D460" s="14" t="s">
        <v>56</v>
      </c>
      <c r="E460" s="7"/>
      <c r="F460" s="7" t="s">
        <v>2312</v>
      </c>
      <c r="G460" s="15" t="s">
        <v>2313</v>
      </c>
      <c r="H460" s="7">
        <v>4953</v>
      </c>
      <c r="I460" s="19" t="s">
        <v>1</v>
      </c>
      <c r="J460" s="7" t="s">
        <v>4150</v>
      </c>
      <c r="K460" s="16">
        <v>41417</v>
      </c>
      <c r="L460" s="17">
        <v>41413</v>
      </c>
      <c r="M460" s="50">
        <f t="shared" si="20"/>
        <v>4</v>
      </c>
      <c r="N460" s="7" t="s">
        <v>2</v>
      </c>
      <c r="O460" s="6"/>
      <c r="P460" s="7"/>
      <c r="Q460" s="6"/>
      <c r="R460" s="7"/>
      <c r="S460" s="6"/>
      <c r="T460" s="7"/>
      <c r="U460" s="6"/>
      <c r="V460" s="7"/>
      <c r="W460" s="6"/>
      <c r="X460" s="7"/>
      <c r="Y460" s="6"/>
      <c r="Z460" s="12"/>
      <c r="AA460" s="13"/>
      <c r="AB460" s="7"/>
      <c r="AC460" s="6"/>
      <c r="AD460" s="12"/>
      <c r="AE460" s="7">
        <v>5</v>
      </c>
      <c r="AF460" s="7"/>
      <c r="AG460" s="7"/>
      <c r="AH460" s="7"/>
      <c r="AI460" s="7"/>
      <c r="AJ460" s="7"/>
      <c r="AK460" s="7"/>
      <c r="AL460" s="7"/>
      <c r="AM460" s="7"/>
      <c r="AN460" s="20"/>
      <c r="AO460" s="5"/>
      <c r="AP460" s="1"/>
      <c r="AQ460" s="5"/>
      <c r="AR460" s="5"/>
      <c r="AS460" s="1"/>
      <c r="AT460" s="5"/>
      <c r="AW460"/>
    </row>
    <row r="461" spans="1:50" ht="15" customHeight="1">
      <c r="A461" s="88" t="s">
        <v>68</v>
      </c>
      <c r="B461" s="50" t="s">
        <v>2305</v>
      </c>
      <c r="C461" s="7" t="s">
        <v>2315</v>
      </c>
      <c r="D461" s="14" t="s">
        <v>56</v>
      </c>
      <c r="E461" s="7"/>
      <c r="F461" s="7" t="s">
        <v>2312</v>
      </c>
      <c r="G461" s="15" t="s">
        <v>2316</v>
      </c>
      <c r="H461" s="7">
        <v>4953</v>
      </c>
      <c r="I461" s="19" t="s">
        <v>1</v>
      </c>
      <c r="J461" s="7" t="s">
        <v>2614</v>
      </c>
      <c r="K461" s="16">
        <v>41417</v>
      </c>
      <c r="L461" s="17">
        <v>41413</v>
      </c>
      <c r="M461" s="50">
        <f t="shared" si="20"/>
        <v>4</v>
      </c>
      <c r="N461" s="7" t="s">
        <v>2</v>
      </c>
      <c r="O461" s="6"/>
      <c r="P461" s="7"/>
      <c r="Q461" s="6"/>
      <c r="R461" s="7"/>
      <c r="S461" s="6"/>
      <c r="T461" s="7"/>
      <c r="U461" s="6"/>
      <c r="V461" s="7"/>
      <c r="W461" s="6"/>
      <c r="X461" s="7"/>
      <c r="Y461" s="6"/>
      <c r="Z461" s="12"/>
      <c r="AA461" s="13"/>
      <c r="AB461" s="7"/>
      <c r="AC461" s="6"/>
      <c r="AD461" s="12"/>
      <c r="AE461" s="7">
        <v>3.18</v>
      </c>
      <c r="AF461" s="7"/>
      <c r="AG461" s="7"/>
      <c r="AH461" s="7"/>
      <c r="AI461" s="7"/>
      <c r="AJ461" s="7"/>
      <c r="AK461" s="7"/>
      <c r="AL461" s="7"/>
      <c r="AM461" s="7"/>
      <c r="AN461" s="20"/>
      <c r="AO461" s="5"/>
      <c r="AP461" s="1"/>
      <c r="AQ461" s="5"/>
      <c r="AR461" s="5"/>
      <c r="AS461" s="1"/>
      <c r="AT461" s="5"/>
      <c r="AW461"/>
    </row>
    <row r="462" spans="1:50" ht="15" customHeight="1">
      <c r="A462" s="88" t="s">
        <v>68</v>
      </c>
      <c r="B462" s="50" t="s">
        <v>2305</v>
      </c>
      <c r="C462" s="7" t="s">
        <v>2315</v>
      </c>
      <c r="D462" s="14" t="s">
        <v>56</v>
      </c>
      <c r="E462" s="7"/>
      <c r="F462" s="7" t="s">
        <v>2312</v>
      </c>
      <c r="G462" s="15" t="s">
        <v>2316</v>
      </c>
      <c r="H462" s="7">
        <v>4953</v>
      </c>
      <c r="I462" s="19" t="s">
        <v>1</v>
      </c>
      <c r="J462" s="7" t="s">
        <v>2613</v>
      </c>
      <c r="K462" s="16">
        <v>41417</v>
      </c>
      <c r="L462" s="17">
        <v>41413</v>
      </c>
      <c r="M462" s="50">
        <f t="shared" si="20"/>
        <v>4</v>
      </c>
      <c r="N462" s="7" t="s">
        <v>2</v>
      </c>
      <c r="O462" s="6"/>
      <c r="P462" s="7"/>
      <c r="Q462" s="6"/>
      <c r="R462" s="7"/>
      <c r="S462" s="6"/>
      <c r="T462" s="7"/>
      <c r="U462" s="6"/>
      <c r="V462" s="7"/>
      <c r="W462" s="6"/>
      <c r="X462" s="7"/>
      <c r="Y462" s="6"/>
      <c r="Z462" s="12"/>
      <c r="AA462" s="13"/>
      <c r="AB462" s="7"/>
      <c r="AC462" s="6"/>
      <c r="AD462" s="12"/>
      <c r="AE462" s="7">
        <v>2.73</v>
      </c>
      <c r="AF462" s="7"/>
      <c r="AG462" s="7"/>
      <c r="AH462" s="7"/>
      <c r="AI462" s="7"/>
      <c r="AJ462" s="7"/>
      <c r="AK462" s="7"/>
      <c r="AL462" s="7"/>
      <c r="AM462" s="7"/>
      <c r="AN462" s="20"/>
      <c r="AO462" s="5"/>
      <c r="AP462" s="1"/>
      <c r="AQ462" s="5"/>
      <c r="AR462" s="5"/>
      <c r="AS462" s="1"/>
      <c r="AT462" s="5"/>
      <c r="AW462"/>
    </row>
    <row r="463" spans="1:50" ht="15" customHeight="1">
      <c r="A463" s="88" t="s">
        <v>68</v>
      </c>
      <c r="B463" s="50" t="s">
        <v>930</v>
      </c>
      <c r="D463" s="14" t="s">
        <v>756</v>
      </c>
      <c r="E463" s="7" t="s">
        <v>931</v>
      </c>
      <c r="F463" s="7"/>
      <c r="G463" s="15" t="s">
        <v>933</v>
      </c>
      <c r="H463" s="7"/>
      <c r="I463" s="19" t="s">
        <v>2</v>
      </c>
      <c r="J463" s="7" t="s">
        <v>934</v>
      </c>
      <c r="K463" s="16">
        <v>41402</v>
      </c>
      <c r="L463" s="17">
        <v>41384</v>
      </c>
      <c r="M463" s="50">
        <f t="shared" si="20"/>
        <v>18</v>
      </c>
      <c r="N463" s="7" t="s">
        <v>2</v>
      </c>
      <c r="O463" s="6">
        <v>4.3</v>
      </c>
      <c r="P463" s="7">
        <v>6.6</v>
      </c>
      <c r="Q463" s="6">
        <v>6.4</v>
      </c>
      <c r="R463" s="7">
        <v>1115</v>
      </c>
      <c r="S463" s="6">
        <v>230</v>
      </c>
      <c r="T463" s="7">
        <v>0.97</v>
      </c>
      <c r="U463" s="6">
        <v>5.35</v>
      </c>
      <c r="V463" s="7">
        <v>7.44</v>
      </c>
      <c r="W463" s="6">
        <v>6.6000000000000003E-2</v>
      </c>
      <c r="X463" s="7">
        <v>0.21199999999999999</v>
      </c>
      <c r="Y463" s="6">
        <v>3.4000000000000002E-2</v>
      </c>
      <c r="Z463" s="12">
        <v>1</v>
      </c>
      <c r="AA463" s="13">
        <v>1</v>
      </c>
      <c r="AB463" s="7">
        <v>56</v>
      </c>
      <c r="AC463" s="6">
        <v>227</v>
      </c>
      <c r="AD463" s="12">
        <v>1</v>
      </c>
      <c r="AE463" s="7"/>
      <c r="AF463" s="7"/>
      <c r="AG463" s="7"/>
      <c r="AH463" s="7"/>
      <c r="AI463" s="7"/>
      <c r="AJ463" s="7"/>
      <c r="AK463" s="7"/>
      <c r="AL463" s="7"/>
      <c r="AM463" s="7"/>
      <c r="AN463" s="20"/>
      <c r="AO463" s="5"/>
      <c r="AP463" s="1"/>
      <c r="AQ463" s="5"/>
      <c r="AR463" s="5"/>
      <c r="AS463" s="1"/>
      <c r="AT463" s="5"/>
      <c r="AW463"/>
    </row>
    <row r="464" spans="1:50" ht="15" customHeight="1">
      <c r="A464" s="88" t="s">
        <v>68</v>
      </c>
      <c r="B464" s="50" t="s">
        <v>3314</v>
      </c>
      <c r="C464" s="7" t="s">
        <v>4151</v>
      </c>
      <c r="D464" s="14" t="s">
        <v>78</v>
      </c>
      <c r="E464" s="7" t="s">
        <v>3312</v>
      </c>
      <c r="F464" s="7"/>
      <c r="G464" s="15" t="s">
        <v>3313</v>
      </c>
      <c r="H464" s="7">
        <v>4953</v>
      </c>
      <c r="I464" s="19" t="s">
        <v>1</v>
      </c>
      <c r="J464" s="7" t="s">
        <v>81</v>
      </c>
      <c r="K464" s="16">
        <v>41345</v>
      </c>
      <c r="L464" s="17">
        <v>41341</v>
      </c>
      <c r="M464" s="50">
        <f t="shared" ref="M464:M472" si="21">K464-L464</f>
        <v>4</v>
      </c>
      <c r="N464" s="7" t="s">
        <v>2</v>
      </c>
      <c r="O464" s="6">
        <v>1</v>
      </c>
      <c r="P464" s="7">
        <v>5.63</v>
      </c>
      <c r="Q464" s="6">
        <v>7.71</v>
      </c>
      <c r="R464" s="7">
        <v>10</v>
      </c>
      <c r="S464" s="6">
        <v>1770</v>
      </c>
      <c r="T464" s="7">
        <v>1.99</v>
      </c>
      <c r="U464" s="6">
        <v>0.78</v>
      </c>
      <c r="V464" s="7">
        <v>0.05</v>
      </c>
      <c r="W464" s="6">
        <v>6.4000000000000001E-2</v>
      </c>
      <c r="X464" s="7">
        <v>0.129</v>
      </c>
      <c r="Y464" s="6">
        <v>5.8999999999999997E-2</v>
      </c>
      <c r="Z464" s="12">
        <v>1</v>
      </c>
      <c r="AA464" s="13">
        <v>0.873</v>
      </c>
      <c r="AB464" s="7">
        <v>143</v>
      </c>
      <c r="AC464" s="6">
        <v>266</v>
      </c>
      <c r="AD464" s="12">
        <v>0.45</v>
      </c>
      <c r="AE464" s="7">
        <v>40.799999999999997</v>
      </c>
      <c r="AF464" s="7">
        <v>3</v>
      </c>
      <c r="AG464" s="7">
        <v>1770</v>
      </c>
      <c r="AH464" s="7">
        <v>0.05</v>
      </c>
      <c r="AI464" s="7">
        <v>5</v>
      </c>
      <c r="AJ464" s="7">
        <v>25</v>
      </c>
      <c r="AK464" s="7">
        <v>10</v>
      </c>
      <c r="AL464" s="7">
        <v>10</v>
      </c>
      <c r="AM464" s="7">
        <v>0.129</v>
      </c>
      <c r="AN464" s="20">
        <v>7.71</v>
      </c>
      <c r="AO464" s="5"/>
      <c r="AP464" s="1"/>
      <c r="AQ464" s="5"/>
      <c r="AR464" s="5"/>
      <c r="AS464" s="1"/>
      <c r="AT464" s="5"/>
      <c r="AW464"/>
      <c r="AX464">
        <v>500</v>
      </c>
    </row>
    <row r="465" spans="1:51" ht="15" customHeight="1">
      <c r="A465" s="88" t="s">
        <v>68</v>
      </c>
      <c r="B465" s="50" t="s">
        <v>3314</v>
      </c>
      <c r="C465" s="7" t="s">
        <v>4151</v>
      </c>
      <c r="D465" s="14" t="s">
        <v>78</v>
      </c>
      <c r="E465" s="7" t="s">
        <v>3312</v>
      </c>
      <c r="F465" s="7"/>
      <c r="G465" s="15" t="s">
        <v>3313</v>
      </c>
      <c r="H465" s="7">
        <v>4953</v>
      </c>
      <c r="I465" s="19" t="s">
        <v>1</v>
      </c>
      <c r="J465" s="7" t="s">
        <v>114</v>
      </c>
      <c r="K465" s="16">
        <v>41345</v>
      </c>
      <c r="L465" s="17">
        <v>41341</v>
      </c>
      <c r="M465" s="50">
        <f t="shared" si="21"/>
        <v>4</v>
      </c>
      <c r="N465" s="7" t="s">
        <v>2</v>
      </c>
      <c r="O465" s="6">
        <v>2.6</v>
      </c>
      <c r="P465" s="7">
        <v>5.63</v>
      </c>
      <c r="Q465" s="6">
        <v>8.06</v>
      </c>
      <c r="R465" s="7">
        <v>30</v>
      </c>
      <c r="S465" s="6">
        <v>152</v>
      </c>
      <c r="T465" s="7">
        <v>0.15</v>
      </c>
      <c r="U465" s="6">
        <v>3.07</v>
      </c>
      <c r="V465" s="7">
        <v>0.87</v>
      </c>
      <c r="W465" s="6">
        <v>2.5000000000000001E-2</v>
      </c>
      <c r="X465" s="7">
        <v>1.4999999999999999E-2</v>
      </c>
      <c r="Y465" s="6">
        <v>1.4999999999999999E-2</v>
      </c>
      <c r="Z465" s="12">
        <v>1</v>
      </c>
      <c r="AA465" s="13">
        <v>1</v>
      </c>
      <c r="AB465" s="7">
        <v>292</v>
      </c>
      <c r="AC465" s="6">
        <v>929</v>
      </c>
      <c r="AD465" s="12">
        <v>0.8</v>
      </c>
      <c r="AE465" s="7">
        <v>4.28</v>
      </c>
      <c r="AF465" s="7">
        <v>3</v>
      </c>
      <c r="AG465" s="7">
        <v>152</v>
      </c>
      <c r="AH465" s="7">
        <v>0.92</v>
      </c>
      <c r="AI465" s="7">
        <v>5</v>
      </c>
      <c r="AJ465" s="7">
        <v>25</v>
      </c>
      <c r="AK465" s="7">
        <v>10</v>
      </c>
      <c r="AL465" s="7">
        <v>10</v>
      </c>
      <c r="AM465" s="7">
        <v>1.4999999999999999E-2</v>
      </c>
      <c r="AN465" s="20">
        <v>8.06</v>
      </c>
      <c r="AO465" s="5"/>
      <c r="AP465" s="1"/>
      <c r="AQ465" s="5"/>
      <c r="AR465" s="5"/>
      <c r="AS465" s="1"/>
      <c r="AT465" s="5"/>
      <c r="AW465"/>
      <c r="AX465">
        <v>1500</v>
      </c>
    </row>
    <row r="466" spans="1:51" ht="15" customHeight="1">
      <c r="A466" s="88" t="s">
        <v>68</v>
      </c>
      <c r="B466" s="50" t="s">
        <v>4152</v>
      </c>
      <c r="C466" s="7" t="s">
        <v>3538</v>
      </c>
      <c r="D466" s="14" t="s">
        <v>56</v>
      </c>
      <c r="E466" s="7"/>
      <c r="F466" s="7" t="s">
        <v>3539</v>
      </c>
      <c r="G466" s="15" t="s">
        <v>3544</v>
      </c>
      <c r="H466" s="7">
        <v>4953</v>
      </c>
      <c r="I466" s="19" t="s">
        <v>2</v>
      </c>
      <c r="J466" s="7" t="s">
        <v>510</v>
      </c>
      <c r="K466" s="16">
        <v>41428</v>
      </c>
      <c r="L466" s="17">
        <v>41422</v>
      </c>
      <c r="M466" s="50">
        <f t="shared" si="21"/>
        <v>6</v>
      </c>
      <c r="N466" s="7" t="s">
        <v>2</v>
      </c>
      <c r="O466" s="6">
        <v>11</v>
      </c>
      <c r="P466" s="7">
        <v>6.5</v>
      </c>
      <c r="Q466" s="6">
        <v>7.41</v>
      </c>
      <c r="R466" s="7">
        <v>43</v>
      </c>
      <c r="S466" s="6">
        <v>5800</v>
      </c>
      <c r="T466" s="7">
        <v>1.4</v>
      </c>
      <c r="U466" s="6">
        <v>3.12</v>
      </c>
      <c r="V466" s="7">
        <v>0.13</v>
      </c>
      <c r="W466" s="6">
        <v>0.65500000000000003</v>
      </c>
      <c r="X466" s="7">
        <v>4.97</v>
      </c>
      <c r="Y466" s="6">
        <v>1.33</v>
      </c>
      <c r="Z466" s="12"/>
      <c r="AA466" s="13"/>
      <c r="AB466" s="7"/>
      <c r="AC466" s="6"/>
      <c r="AD466" s="12"/>
      <c r="AE466" s="7"/>
      <c r="AF466" s="7"/>
      <c r="AG466" s="7"/>
      <c r="AH466" s="7"/>
      <c r="AI466" s="7"/>
      <c r="AJ466" s="7"/>
      <c r="AK466" s="7"/>
      <c r="AL466" s="7"/>
      <c r="AM466" s="7"/>
      <c r="AN466" s="20"/>
      <c r="AO466" s="5"/>
      <c r="AP466" s="1"/>
      <c r="AQ466" s="5"/>
      <c r="AR466" s="5"/>
      <c r="AS466" s="1"/>
      <c r="AT466" s="5"/>
      <c r="AW466"/>
    </row>
    <row r="467" spans="1:51" ht="15" customHeight="1">
      <c r="A467" s="88" t="s">
        <v>68</v>
      </c>
      <c r="B467" s="50" t="s">
        <v>3514</v>
      </c>
      <c r="C467" s="7" t="s">
        <v>3572</v>
      </c>
      <c r="D467" s="14" t="s">
        <v>89</v>
      </c>
      <c r="E467" s="7"/>
      <c r="F467" s="7" t="s">
        <v>3573</v>
      </c>
      <c r="G467" s="15" t="s">
        <v>3574</v>
      </c>
      <c r="H467" s="7">
        <v>4953</v>
      </c>
      <c r="I467" s="19" t="s">
        <v>2</v>
      </c>
      <c r="J467" s="7" t="s">
        <v>366</v>
      </c>
      <c r="K467" s="16">
        <v>41345</v>
      </c>
      <c r="L467" s="17">
        <v>41341</v>
      </c>
      <c r="M467" s="50">
        <f t="shared" si="21"/>
        <v>4</v>
      </c>
      <c r="N467" s="7" t="s">
        <v>2</v>
      </c>
      <c r="O467" s="6">
        <v>14</v>
      </c>
      <c r="P467" s="7">
        <v>6.5</v>
      </c>
      <c r="Q467" s="6">
        <v>7.65</v>
      </c>
      <c r="R467" s="7">
        <v>435</v>
      </c>
      <c r="S467" s="6">
        <v>270</v>
      </c>
      <c r="T467" s="7">
        <v>0.87</v>
      </c>
      <c r="U467" s="6">
        <v>8.36</v>
      </c>
      <c r="V467" s="7">
        <v>5.0000000000000001E-3</v>
      </c>
      <c r="W467" s="6">
        <v>7.6999999999999999E-2</v>
      </c>
      <c r="X467" s="7">
        <v>0.28199999999999997</v>
      </c>
      <c r="Y467" s="6">
        <v>8.6999999999999994E-2</v>
      </c>
      <c r="Z467" s="12">
        <v>1</v>
      </c>
      <c r="AA467" s="13">
        <v>0.48299999999999998</v>
      </c>
      <c r="AB467" s="7">
        <v>600</v>
      </c>
      <c r="AC467" s="6">
        <v>2545</v>
      </c>
      <c r="AD467" s="12">
        <v>0</v>
      </c>
      <c r="AE467" s="7"/>
      <c r="AF467" s="7"/>
      <c r="AG467" s="7"/>
      <c r="AH467" s="7"/>
      <c r="AI467" s="7"/>
      <c r="AJ467" s="7"/>
      <c r="AK467" s="7"/>
      <c r="AL467" s="7"/>
      <c r="AM467" s="7"/>
      <c r="AN467" s="20"/>
      <c r="AO467" s="5"/>
      <c r="AP467" s="1"/>
      <c r="AQ467" s="5"/>
      <c r="AR467" s="5"/>
      <c r="AS467" s="1"/>
      <c r="AT467" s="5"/>
      <c r="AW467"/>
    </row>
    <row r="468" spans="1:51" ht="15" customHeight="1">
      <c r="A468" s="293" t="s">
        <v>68</v>
      </c>
      <c r="B468" s="50" t="s">
        <v>280</v>
      </c>
      <c r="C468" s="7" t="s">
        <v>281</v>
      </c>
      <c r="D468" s="48" t="s">
        <v>1484</v>
      </c>
      <c r="E468" s="50" t="s">
        <v>282</v>
      </c>
      <c r="G468" s="76" t="s">
        <v>283</v>
      </c>
      <c r="H468" s="50">
        <v>4953</v>
      </c>
      <c r="I468" s="49" t="s">
        <v>2</v>
      </c>
      <c r="J468" s="50" t="s">
        <v>284</v>
      </c>
      <c r="K468" s="51">
        <v>41428</v>
      </c>
      <c r="L468" s="115">
        <v>41423</v>
      </c>
      <c r="M468" s="50">
        <f t="shared" si="21"/>
        <v>5</v>
      </c>
      <c r="N468" s="50" t="s">
        <v>2</v>
      </c>
      <c r="P468" s="50">
        <v>7.9</v>
      </c>
      <c r="Q468" s="74">
        <v>7.81</v>
      </c>
      <c r="AE468" s="50">
        <v>0.39200000000000002</v>
      </c>
    </row>
    <row r="469" spans="1:51" s="6" customFormat="1" ht="12" customHeight="1">
      <c r="A469" s="88" t="s">
        <v>68</v>
      </c>
      <c r="B469" s="50" t="s">
        <v>404</v>
      </c>
      <c r="C469" s="7" t="s">
        <v>4120</v>
      </c>
      <c r="D469" s="14" t="s">
        <v>406</v>
      </c>
      <c r="E469" s="7" t="s">
        <v>614</v>
      </c>
      <c r="F469" s="7"/>
      <c r="G469" s="15" t="s">
        <v>615</v>
      </c>
      <c r="H469" s="7">
        <v>4953</v>
      </c>
      <c r="I469" s="19" t="s">
        <v>2</v>
      </c>
      <c r="J469" s="7" t="s">
        <v>616</v>
      </c>
      <c r="K469" s="16">
        <v>41352</v>
      </c>
      <c r="L469" s="17">
        <v>41345</v>
      </c>
      <c r="M469" s="50">
        <f t="shared" si="21"/>
        <v>7</v>
      </c>
      <c r="N469" s="7" t="s">
        <v>1</v>
      </c>
      <c r="O469" s="6">
        <f>2/2</f>
        <v>1</v>
      </c>
      <c r="P469" s="7">
        <v>7.3</v>
      </c>
      <c r="Q469" s="6">
        <v>6.8</v>
      </c>
      <c r="R469" s="7">
        <v>26</v>
      </c>
      <c r="S469" s="6">
        <v>23</v>
      </c>
      <c r="T469" s="7">
        <v>0.11</v>
      </c>
      <c r="U469" s="6">
        <v>1</v>
      </c>
      <c r="V469" s="7">
        <v>0.43</v>
      </c>
      <c r="W469" s="6">
        <v>1.2E-2</v>
      </c>
      <c r="X469" s="7">
        <f>0.03/2</f>
        <v>1.4999999999999999E-2</v>
      </c>
      <c r="Y469" s="6">
        <f>0.03/2</f>
        <v>1.4999999999999999E-2</v>
      </c>
      <c r="Z469" s="12">
        <v>1</v>
      </c>
      <c r="AA469" s="13">
        <v>1</v>
      </c>
      <c r="AB469" s="7">
        <v>78</v>
      </c>
      <c r="AC469" s="6">
        <v>832</v>
      </c>
      <c r="AD469" s="12">
        <f>17/20</f>
        <v>0.85</v>
      </c>
      <c r="AE469" s="7"/>
      <c r="AF469" s="7"/>
      <c r="AG469" s="7"/>
      <c r="AH469" s="7"/>
      <c r="AI469" s="7"/>
      <c r="AJ469" s="7"/>
      <c r="AK469" s="7"/>
      <c r="AL469" s="7"/>
      <c r="AM469" s="7"/>
      <c r="AN469" s="20"/>
      <c r="AO469" s="7"/>
      <c r="AP469" s="19"/>
      <c r="AQ469" s="7"/>
      <c r="AR469" s="7"/>
      <c r="AS469" s="19"/>
      <c r="AT469" s="7"/>
      <c r="AU469" s="18"/>
      <c r="AV469" s="19"/>
      <c r="AY469" s="385"/>
    </row>
    <row r="470" spans="1:51" s="6" customFormat="1" ht="12" customHeight="1">
      <c r="A470" s="88" t="s">
        <v>68</v>
      </c>
      <c r="B470" s="50" t="s">
        <v>404</v>
      </c>
      <c r="C470" s="7" t="s">
        <v>4120</v>
      </c>
      <c r="D470" s="14" t="s">
        <v>406</v>
      </c>
      <c r="E470" s="7" t="s">
        <v>4239</v>
      </c>
      <c r="F470" s="7"/>
      <c r="G470" s="15" t="s">
        <v>615</v>
      </c>
      <c r="H470" s="7">
        <v>4953</v>
      </c>
      <c r="I470" s="19" t="s">
        <v>2</v>
      </c>
      <c r="J470" s="7" t="s">
        <v>617</v>
      </c>
      <c r="K470" s="16">
        <v>41352</v>
      </c>
      <c r="L470" s="17">
        <v>41345</v>
      </c>
      <c r="M470" s="50">
        <f t="shared" si="21"/>
        <v>7</v>
      </c>
      <c r="N470" s="7" t="s">
        <v>1</v>
      </c>
      <c r="O470" s="6">
        <f>2/2</f>
        <v>1</v>
      </c>
      <c r="P470" s="7">
        <v>7.3</v>
      </c>
      <c r="Q470" s="6">
        <v>6.6</v>
      </c>
      <c r="R470" s="7">
        <v>24</v>
      </c>
      <c r="S470" s="6">
        <v>8</v>
      </c>
      <c r="T470" s="7">
        <v>0.22</v>
      </c>
      <c r="U470" s="6">
        <v>1.65</v>
      </c>
      <c r="V470" s="7">
        <f>0.1/2</f>
        <v>0.05</v>
      </c>
      <c r="W470" s="6">
        <v>4.9000000000000002E-2</v>
      </c>
      <c r="X470" s="7">
        <v>0.04</v>
      </c>
      <c r="Y470" s="6">
        <f>0.03/2</f>
        <v>1.4999999999999999E-2</v>
      </c>
      <c r="Z470" s="12">
        <v>1</v>
      </c>
      <c r="AA470" s="13">
        <v>1</v>
      </c>
      <c r="AB470" s="7">
        <v>45</v>
      </c>
      <c r="AC470" s="6">
        <v>250</v>
      </c>
      <c r="AD470" s="12">
        <f>13/20</f>
        <v>0.65</v>
      </c>
      <c r="AE470" s="7"/>
      <c r="AF470" s="7"/>
      <c r="AG470" s="7"/>
      <c r="AH470" s="7"/>
      <c r="AI470" s="7"/>
      <c r="AJ470" s="7"/>
      <c r="AK470" s="7"/>
      <c r="AL470" s="7"/>
      <c r="AM470" s="7"/>
      <c r="AN470" s="20"/>
      <c r="AO470" s="7"/>
      <c r="AP470" s="19"/>
      <c r="AQ470" s="7"/>
      <c r="AR470" s="7"/>
      <c r="AS470" s="19"/>
      <c r="AT470" s="7"/>
      <c r="AU470" s="18"/>
      <c r="AV470" s="19"/>
      <c r="AY470" s="385"/>
    </row>
    <row r="471" spans="1:51" s="6" customFormat="1" ht="12" customHeight="1">
      <c r="A471" s="88" t="s">
        <v>68</v>
      </c>
      <c r="B471" s="50" t="s">
        <v>404</v>
      </c>
      <c r="C471" s="7" t="s">
        <v>4120</v>
      </c>
      <c r="D471" s="14" t="s">
        <v>406</v>
      </c>
      <c r="E471" s="7" t="s">
        <v>4239</v>
      </c>
      <c r="F471" s="7"/>
      <c r="G471" s="15" t="s">
        <v>615</v>
      </c>
      <c r="H471" s="7">
        <v>4953</v>
      </c>
      <c r="I471" s="19" t="s">
        <v>2</v>
      </c>
      <c r="J471" s="7" t="s">
        <v>618</v>
      </c>
      <c r="K471" s="16">
        <v>41352</v>
      </c>
      <c r="L471" s="17">
        <v>41345</v>
      </c>
      <c r="M471" s="50">
        <f t="shared" si="21"/>
        <v>7</v>
      </c>
      <c r="N471" s="7" t="s">
        <v>1</v>
      </c>
      <c r="O471" s="6">
        <f>2/2</f>
        <v>1</v>
      </c>
      <c r="P471" s="7">
        <v>7.3</v>
      </c>
      <c r="Q471" s="6">
        <v>6.2</v>
      </c>
      <c r="R471" s="7">
        <v>17</v>
      </c>
      <c r="S471" s="6">
        <v>11</v>
      </c>
      <c r="T471" s="7">
        <v>0.2</v>
      </c>
      <c r="U471" s="6">
        <v>1</v>
      </c>
      <c r="V471" s="7">
        <v>0.41</v>
      </c>
      <c r="W471" s="6">
        <v>3.2000000000000001E-2</v>
      </c>
      <c r="X471" s="7">
        <v>3.5000000000000003E-2</v>
      </c>
      <c r="Y471" s="6">
        <f>0.03/2</f>
        <v>1.4999999999999999E-2</v>
      </c>
      <c r="Z471" s="12">
        <v>1</v>
      </c>
      <c r="AA471" s="13">
        <v>1</v>
      </c>
      <c r="AB471" s="7">
        <v>26</v>
      </c>
      <c r="AC471" s="6">
        <v>148</v>
      </c>
      <c r="AD471" s="12">
        <f t="shared" ref="AD471:AD472" si="22">20/20</f>
        <v>1</v>
      </c>
      <c r="AE471" s="7"/>
      <c r="AF471" s="7"/>
      <c r="AG471" s="7"/>
      <c r="AH471" s="7"/>
      <c r="AI471" s="7"/>
      <c r="AJ471" s="7"/>
      <c r="AK471" s="7"/>
      <c r="AL471" s="7"/>
      <c r="AM471" s="7"/>
      <c r="AN471" s="20"/>
      <c r="AO471" s="7"/>
      <c r="AP471" s="19"/>
      <c r="AQ471" s="7"/>
      <c r="AR471" s="7"/>
      <c r="AS471" s="19"/>
      <c r="AT471" s="7"/>
      <c r="AU471" s="18"/>
      <c r="AV471" s="19"/>
      <c r="AY471" s="385"/>
    </row>
    <row r="472" spans="1:51" s="6" customFormat="1" ht="12" customHeight="1">
      <c r="A472" s="88" t="s">
        <v>68</v>
      </c>
      <c r="B472" s="50" t="s">
        <v>404</v>
      </c>
      <c r="C472" s="7" t="s">
        <v>4120</v>
      </c>
      <c r="D472" s="14" t="s">
        <v>406</v>
      </c>
      <c r="E472" s="7" t="s">
        <v>621</v>
      </c>
      <c r="F472" s="7"/>
      <c r="G472" s="15" t="s">
        <v>615</v>
      </c>
      <c r="H472" s="7">
        <v>4953</v>
      </c>
      <c r="I472" s="19" t="s">
        <v>2</v>
      </c>
      <c r="J472" s="7" t="s">
        <v>619</v>
      </c>
      <c r="K472" s="16">
        <v>41352</v>
      </c>
      <c r="L472" s="17">
        <v>41345</v>
      </c>
      <c r="M472" s="50">
        <f t="shared" si="21"/>
        <v>7</v>
      </c>
      <c r="N472" s="7" t="s">
        <v>1</v>
      </c>
      <c r="O472" s="6">
        <f>2/2</f>
        <v>1</v>
      </c>
      <c r="P472" s="7">
        <v>7.3</v>
      </c>
      <c r="Q472" s="6">
        <v>6.8</v>
      </c>
      <c r="R472" s="7">
        <v>20</v>
      </c>
      <c r="S472" s="6">
        <v>14</v>
      </c>
      <c r="T472" s="7">
        <v>0.14000000000000001</v>
      </c>
      <c r="U472" s="6">
        <v>0.78</v>
      </c>
      <c r="V472" s="7">
        <v>0.12</v>
      </c>
      <c r="W472" s="6">
        <v>3.4000000000000002E-2</v>
      </c>
      <c r="X472" s="7">
        <v>0.06</v>
      </c>
      <c r="Y472" s="6">
        <f>0.03/2</f>
        <v>1.4999999999999999E-2</v>
      </c>
      <c r="Z472" s="12">
        <v>1</v>
      </c>
      <c r="AA472" s="13">
        <v>1</v>
      </c>
      <c r="AB472" s="7">
        <v>8</v>
      </c>
      <c r="AC472" s="6">
        <v>170</v>
      </c>
      <c r="AD472" s="12">
        <f t="shared" si="22"/>
        <v>1</v>
      </c>
      <c r="AE472" s="7"/>
      <c r="AF472" s="7"/>
      <c r="AG472" s="7"/>
      <c r="AH472" s="7"/>
      <c r="AI472" s="7"/>
      <c r="AJ472" s="7"/>
      <c r="AK472" s="7"/>
      <c r="AL472" s="7"/>
      <c r="AM472" s="7"/>
      <c r="AN472" s="20"/>
      <c r="AO472" s="7"/>
      <c r="AP472" s="19"/>
      <c r="AQ472" s="7"/>
      <c r="AR472" s="7"/>
      <c r="AS472" s="19"/>
      <c r="AT472" s="7"/>
      <c r="AU472" s="18"/>
      <c r="AV472" s="19"/>
      <c r="AY472" s="385"/>
    </row>
    <row r="473" spans="1:51" ht="15" customHeight="1">
      <c r="A473" s="293" t="s">
        <v>68</v>
      </c>
      <c r="B473" s="50" t="s">
        <v>2222</v>
      </c>
      <c r="C473" s="7" t="s">
        <v>3432</v>
      </c>
      <c r="D473" s="48" t="s">
        <v>372</v>
      </c>
      <c r="E473" s="50" t="s">
        <v>3428</v>
      </c>
      <c r="F473" s="50" t="s">
        <v>2896</v>
      </c>
      <c r="G473" s="76" t="s">
        <v>3429</v>
      </c>
      <c r="H473" s="50">
        <v>4953</v>
      </c>
      <c r="I473" s="49" t="s">
        <v>2</v>
      </c>
      <c r="J473" s="50" t="s">
        <v>3430</v>
      </c>
      <c r="K473" s="51">
        <v>41464</v>
      </c>
      <c r="L473" s="115"/>
      <c r="N473" s="50" t="s">
        <v>2</v>
      </c>
      <c r="O473" s="74">
        <v>5.78</v>
      </c>
      <c r="P473" s="50">
        <v>6.46</v>
      </c>
      <c r="Q473" s="74">
        <v>6.5</v>
      </c>
      <c r="R473" s="50">
        <v>139</v>
      </c>
      <c r="S473" s="74">
        <v>810</v>
      </c>
      <c r="T473" s="50">
        <v>0.55000000000000004</v>
      </c>
      <c r="U473" s="74">
        <v>1.63</v>
      </c>
      <c r="V473" s="50">
        <v>1.03</v>
      </c>
      <c r="W473" s="74">
        <v>0.51</v>
      </c>
      <c r="X473" s="50">
        <v>0.36</v>
      </c>
      <c r="Y473" s="74">
        <f>0.004/2</f>
        <v>2E-3</v>
      </c>
      <c r="Z473" s="164">
        <v>1</v>
      </c>
      <c r="AA473" s="165">
        <v>0.86399999999999999</v>
      </c>
      <c r="AB473" s="50">
        <v>16</v>
      </c>
      <c r="AC473" s="74">
        <v>1349</v>
      </c>
      <c r="AD473" s="164">
        <v>0.35</v>
      </c>
      <c r="AE473" s="50">
        <v>0.9</v>
      </c>
      <c r="AF473" s="50">
        <v>11</v>
      </c>
      <c r="AG473" s="50">
        <v>810</v>
      </c>
      <c r="AH473" s="50">
        <f>0.1/2</f>
        <v>0.05</v>
      </c>
      <c r="AI473" s="50">
        <f>0.01/2</f>
        <v>5.0000000000000001E-3</v>
      </c>
      <c r="AJ473" s="50">
        <v>0.03</v>
      </c>
      <c r="AK473" s="50">
        <f>0.01/2</f>
        <v>5.0000000000000001E-3</v>
      </c>
      <c r="AL473" s="50">
        <f>0.001/2</f>
        <v>5.0000000000000001E-4</v>
      </c>
      <c r="AM473" s="50">
        <v>0.36</v>
      </c>
      <c r="AN473" s="114">
        <v>6.5</v>
      </c>
    </row>
    <row r="474" spans="1:51" ht="15" customHeight="1">
      <c r="A474" s="293" t="s">
        <v>68</v>
      </c>
      <c r="B474" s="50" t="s">
        <v>3499</v>
      </c>
      <c r="C474" s="7" t="s">
        <v>392</v>
      </c>
      <c r="D474" s="48" t="s">
        <v>640</v>
      </c>
      <c r="E474" s="50" t="s">
        <v>3500</v>
      </c>
      <c r="G474" s="76" t="s">
        <v>642</v>
      </c>
      <c r="H474" s="50">
        <v>4953</v>
      </c>
      <c r="I474" s="49" t="s">
        <v>2</v>
      </c>
      <c r="J474" s="50" t="s">
        <v>641</v>
      </c>
      <c r="K474" s="51">
        <v>41453</v>
      </c>
      <c r="L474" s="115">
        <v>41450</v>
      </c>
      <c r="M474" s="50">
        <f t="shared" ref="M474:M479" si="23">K474-L474</f>
        <v>3</v>
      </c>
      <c r="N474" s="50" t="s">
        <v>2</v>
      </c>
      <c r="O474" s="74">
        <f>1/2</f>
        <v>0.5</v>
      </c>
      <c r="P474" s="50">
        <v>5.1100000000000003</v>
      </c>
      <c r="Q474" s="74">
        <v>7.44</v>
      </c>
      <c r="R474" s="50">
        <v>106.2</v>
      </c>
      <c r="S474" s="74">
        <v>135</v>
      </c>
      <c r="T474" s="50">
        <v>0.71</v>
      </c>
      <c r="U474" s="74">
        <v>1.62</v>
      </c>
      <c r="V474" s="50">
        <v>0.97</v>
      </c>
      <c r="W474" s="74">
        <v>4.2999999999999997E-2</v>
      </c>
      <c r="X474" s="50">
        <v>0.14899999999999999</v>
      </c>
      <c r="Y474" s="74">
        <v>2.7E-2</v>
      </c>
      <c r="Z474" s="164">
        <v>1</v>
      </c>
      <c r="AA474" s="165">
        <v>1</v>
      </c>
      <c r="AB474" s="50">
        <v>64.739999999999995</v>
      </c>
      <c r="AC474" s="74">
        <v>527</v>
      </c>
      <c r="AD474" s="164">
        <v>1</v>
      </c>
      <c r="AE474" s="50">
        <v>8.41</v>
      </c>
      <c r="AF474" s="50">
        <v>8.8000000000000007</v>
      </c>
      <c r="AG474" s="50">
        <v>135</v>
      </c>
      <c r="AH474" s="50">
        <v>0.74</v>
      </c>
      <c r="AK474" s="50">
        <f>0.005/2</f>
        <v>2.5000000000000001E-3</v>
      </c>
      <c r="AL474" s="50">
        <f>0.004/2</f>
        <v>2E-3</v>
      </c>
      <c r="AM474" s="50">
        <v>0.14899999999999999</v>
      </c>
      <c r="AN474" s="114">
        <v>7.44</v>
      </c>
    </row>
    <row r="475" spans="1:51" ht="15" customHeight="1">
      <c r="A475" s="293" t="s">
        <v>68</v>
      </c>
      <c r="B475" s="50" t="s">
        <v>3499</v>
      </c>
      <c r="C475" s="7" t="s">
        <v>392</v>
      </c>
      <c r="D475" s="48" t="s">
        <v>640</v>
      </c>
      <c r="E475" s="50" t="s">
        <v>3500</v>
      </c>
      <c r="G475" s="76" t="s">
        <v>642</v>
      </c>
      <c r="H475" s="50">
        <v>4953</v>
      </c>
      <c r="I475" s="49" t="s">
        <v>2</v>
      </c>
      <c r="J475" s="50" t="s">
        <v>643</v>
      </c>
      <c r="K475" s="51">
        <v>41453</v>
      </c>
      <c r="L475" s="115">
        <v>41450</v>
      </c>
      <c r="M475" s="50">
        <f t="shared" si="23"/>
        <v>3</v>
      </c>
      <c r="N475" s="50" t="s">
        <v>2</v>
      </c>
      <c r="O475" s="74">
        <f>1/2</f>
        <v>0.5</v>
      </c>
      <c r="P475" s="50">
        <v>5.1100000000000003</v>
      </c>
      <c r="Q475" s="74">
        <v>7.13</v>
      </c>
      <c r="R475" s="50">
        <v>68.8</v>
      </c>
      <c r="S475" s="74">
        <v>12</v>
      </c>
      <c r="T475" s="50">
        <v>0.26</v>
      </c>
      <c r="U475" s="74">
        <v>2.2999999999999998</v>
      </c>
      <c r="V475" s="50">
        <v>0.55000000000000004</v>
      </c>
      <c r="W475" s="74">
        <v>2.3E-2</v>
      </c>
      <c r="X475" s="50">
        <v>3.9E-2</v>
      </c>
      <c r="Y475" s="74">
        <v>8.0000000000000002E-3</v>
      </c>
      <c r="Z475" s="164">
        <v>1</v>
      </c>
      <c r="AA475" s="165">
        <v>1</v>
      </c>
      <c r="AB475" s="50">
        <v>35.71</v>
      </c>
      <c r="AC475" s="74">
        <v>320</v>
      </c>
      <c r="AD475" s="164">
        <v>1</v>
      </c>
      <c r="AE475" s="50">
        <v>0.37</v>
      </c>
      <c r="AF475" s="50">
        <v>7</v>
      </c>
      <c r="AG475" s="50">
        <v>12</v>
      </c>
      <c r="AH475" s="50">
        <v>0.69</v>
      </c>
      <c r="AK475" s="50">
        <f>0.005/2</f>
        <v>2.5000000000000001E-3</v>
      </c>
      <c r="AL475" s="50">
        <f>0.004/2</f>
        <v>2E-3</v>
      </c>
      <c r="AM475" s="50">
        <v>3.9E-2</v>
      </c>
      <c r="AN475" s="114">
        <v>7.13</v>
      </c>
    </row>
    <row r="476" spans="1:51" ht="15" customHeight="1">
      <c r="A476" s="88" t="s">
        <v>68</v>
      </c>
      <c r="B476" s="50" t="s">
        <v>1442</v>
      </c>
      <c r="C476" s="50" t="s">
        <v>392</v>
      </c>
      <c r="D476" s="48" t="s">
        <v>356</v>
      </c>
      <c r="E476" s="50" t="s">
        <v>359</v>
      </c>
      <c r="F476" s="50">
        <v>4009</v>
      </c>
      <c r="G476" s="76" t="s">
        <v>3505</v>
      </c>
      <c r="H476" s="50">
        <v>4953</v>
      </c>
      <c r="J476" s="50" t="s">
        <v>4539</v>
      </c>
      <c r="K476" s="51">
        <v>41324</v>
      </c>
      <c r="L476" s="115">
        <v>41321</v>
      </c>
      <c r="M476" s="50">
        <f t="shared" si="23"/>
        <v>3</v>
      </c>
      <c r="N476" s="50" t="s">
        <v>1</v>
      </c>
      <c r="O476" s="74">
        <f>1.4/2</f>
        <v>0.7</v>
      </c>
      <c r="P476" s="50">
        <v>7.62</v>
      </c>
      <c r="Q476" s="74">
        <v>7.63</v>
      </c>
      <c r="R476" s="50">
        <v>49</v>
      </c>
      <c r="S476" s="74">
        <v>32</v>
      </c>
      <c r="T476" s="50">
        <v>7.0000000000000007E-2</v>
      </c>
      <c r="U476" s="74">
        <v>1.75</v>
      </c>
      <c r="V476" s="50">
        <v>3.22</v>
      </c>
      <c r="W476" s="74">
        <f>0.005/2</f>
        <v>2.5000000000000001E-3</v>
      </c>
      <c r="X476" s="50">
        <v>0.01</v>
      </c>
      <c r="Y476" s="74">
        <f>0.002/2</f>
        <v>1E-3</v>
      </c>
      <c r="Z476" s="164">
        <v>1</v>
      </c>
      <c r="AA476" s="165">
        <v>1</v>
      </c>
      <c r="AB476" s="50">
        <v>96</v>
      </c>
      <c r="AC476" s="74">
        <v>918</v>
      </c>
      <c r="AD476" s="164">
        <v>1</v>
      </c>
    </row>
    <row r="477" spans="1:51" ht="15" customHeight="1">
      <c r="A477" s="88" t="s">
        <v>68</v>
      </c>
      <c r="B477" s="50" t="s">
        <v>1442</v>
      </c>
      <c r="C477" s="50" t="s">
        <v>392</v>
      </c>
      <c r="D477" s="48" t="s">
        <v>356</v>
      </c>
      <c r="E477" s="50" t="s">
        <v>359</v>
      </c>
      <c r="F477" s="50">
        <v>4009</v>
      </c>
      <c r="G477" s="76" t="s">
        <v>3505</v>
      </c>
      <c r="H477" s="50">
        <v>4953</v>
      </c>
      <c r="J477" s="50" t="s">
        <v>4540</v>
      </c>
      <c r="K477" s="51">
        <v>41324</v>
      </c>
      <c r="L477" s="115">
        <v>41321</v>
      </c>
      <c r="M477" s="50">
        <f t="shared" si="23"/>
        <v>3</v>
      </c>
      <c r="N477" s="50" t="s">
        <v>1</v>
      </c>
      <c r="O477" s="74">
        <f>1.4/2</f>
        <v>0.7</v>
      </c>
      <c r="P477" s="50">
        <v>7.25</v>
      </c>
      <c r="Q477" s="74">
        <v>7.34</v>
      </c>
      <c r="R477" s="50">
        <v>28</v>
      </c>
      <c r="S477" s="74">
        <v>12</v>
      </c>
      <c r="T477" s="50">
        <v>0.06</v>
      </c>
      <c r="U477" s="74">
        <v>0.64</v>
      </c>
      <c r="V477" s="50">
        <v>2.46</v>
      </c>
      <c r="W477" s="74">
        <f>0.005/2</f>
        <v>2.5000000000000001E-3</v>
      </c>
      <c r="X477" s="50">
        <v>1.2999999999999999E-2</v>
      </c>
      <c r="Y477" s="74">
        <f>0.002/2</f>
        <v>1E-3</v>
      </c>
      <c r="Z477" s="164">
        <v>1</v>
      </c>
      <c r="AA477" s="165">
        <v>1</v>
      </c>
      <c r="AB477" s="50">
        <v>64</v>
      </c>
      <c r="AC477" s="74">
        <v>846</v>
      </c>
      <c r="AD477" s="164">
        <v>1</v>
      </c>
    </row>
    <row r="478" spans="1:51" ht="15" customHeight="1">
      <c r="A478" s="88" t="s">
        <v>68</v>
      </c>
      <c r="B478" s="50" t="s">
        <v>1442</v>
      </c>
      <c r="C478" s="50" t="s">
        <v>4541</v>
      </c>
      <c r="D478" s="48" t="s">
        <v>356</v>
      </c>
      <c r="E478" s="50" t="s">
        <v>4542</v>
      </c>
      <c r="F478" s="50">
        <v>4000</v>
      </c>
      <c r="G478" s="76" t="s">
        <v>3330</v>
      </c>
      <c r="H478" s="50">
        <v>9511</v>
      </c>
      <c r="J478" s="50" t="s">
        <v>194</v>
      </c>
      <c r="K478" s="51"/>
      <c r="L478" s="115"/>
      <c r="AE478" s="50">
        <v>1.2</v>
      </c>
    </row>
    <row r="479" spans="1:51" s="400" customFormat="1" ht="15" customHeight="1">
      <c r="A479" s="375" t="s">
        <v>68</v>
      </c>
      <c r="B479" s="402" t="s">
        <v>1442</v>
      </c>
      <c r="C479" s="402" t="s">
        <v>4541</v>
      </c>
      <c r="D479" s="401" t="s">
        <v>356</v>
      </c>
      <c r="E479" s="402" t="s">
        <v>4542</v>
      </c>
      <c r="F479" s="402">
        <v>4000</v>
      </c>
      <c r="G479" s="393" t="s">
        <v>3330</v>
      </c>
      <c r="H479" s="402">
        <v>9511</v>
      </c>
      <c r="I479" s="391"/>
      <c r="J479" s="402" t="s">
        <v>194</v>
      </c>
      <c r="K479" s="403">
        <v>41324</v>
      </c>
      <c r="L479" s="379">
        <v>41321</v>
      </c>
      <c r="M479" s="402">
        <f t="shared" si="23"/>
        <v>3</v>
      </c>
      <c r="N479" s="402" t="s">
        <v>1</v>
      </c>
      <c r="O479" s="404">
        <v>3.1</v>
      </c>
      <c r="P479" s="402">
        <v>6.91</v>
      </c>
      <c r="Q479" s="404">
        <v>6.99</v>
      </c>
      <c r="R479" s="402">
        <v>730</v>
      </c>
      <c r="S479" s="404">
        <v>100</v>
      </c>
      <c r="T479" s="402">
        <v>0.33</v>
      </c>
      <c r="U479" s="404">
        <v>2.2999999999999998</v>
      </c>
      <c r="V479" s="402">
        <v>0.62</v>
      </c>
      <c r="W479" s="404">
        <v>1.7000000000000001E-2</v>
      </c>
      <c r="X479" s="402">
        <v>0.221</v>
      </c>
      <c r="Y479" s="404">
        <v>1.4999999999999999E-2</v>
      </c>
      <c r="Z479" s="396">
        <v>0.31900000000000001</v>
      </c>
      <c r="AA479" s="397">
        <v>0.17699999999999999</v>
      </c>
      <c r="AB479" s="402">
        <v>476</v>
      </c>
      <c r="AC479" s="404">
        <v>33000</v>
      </c>
      <c r="AD479" s="396">
        <v>0</v>
      </c>
      <c r="AE479" s="402">
        <v>6.78</v>
      </c>
      <c r="AF479" s="402"/>
      <c r="AG479" s="402"/>
      <c r="AH479" s="402"/>
      <c r="AI479" s="402"/>
      <c r="AJ479" s="402"/>
      <c r="AK479" s="402"/>
      <c r="AL479" s="402"/>
      <c r="AM479" s="402"/>
      <c r="AN479" s="394"/>
      <c r="AO479" s="394"/>
      <c r="AP479" s="402"/>
      <c r="AQ479" s="391"/>
      <c r="AR479" s="402"/>
      <c r="AS479" s="391"/>
      <c r="AT479" s="402"/>
      <c r="AU479" s="2"/>
      <c r="AV479" s="1"/>
      <c r="AW479" s="5"/>
      <c r="AY479" s="5"/>
    </row>
    <row r="480" spans="1:51" ht="15" customHeight="1">
      <c r="A480" s="290" t="s">
        <v>68</v>
      </c>
      <c r="B480" s="50" t="s">
        <v>4700</v>
      </c>
      <c r="C480" s="74" t="s">
        <v>4597</v>
      </c>
      <c r="D480" s="48">
        <v>152</v>
      </c>
      <c r="F480" s="74" t="s">
        <v>3490</v>
      </c>
      <c r="G480" s="76" t="s">
        <v>3491</v>
      </c>
      <c r="H480" s="50">
        <v>9199</v>
      </c>
      <c r="I480" s="74" t="s">
        <v>2</v>
      </c>
      <c r="J480" s="50" t="s">
        <v>510</v>
      </c>
      <c r="K480" s="51">
        <v>41417</v>
      </c>
      <c r="L480" s="115"/>
      <c r="M480" s="74"/>
      <c r="N480" s="74" t="s">
        <v>2</v>
      </c>
      <c r="O480" s="50">
        <f>1/2</f>
        <v>0.5</v>
      </c>
      <c r="P480" s="74">
        <v>5.22</v>
      </c>
      <c r="Q480" s="50">
        <v>6.34</v>
      </c>
      <c r="R480" s="74">
        <v>19</v>
      </c>
      <c r="S480" s="50">
        <v>18</v>
      </c>
      <c r="T480" s="74">
        <v>0.02</v>
      </c>
      <c r="U480" s="50">
        <v>1.67</v>
      </c>
      <c r="V480" s="74">
        <v>7.0000000000000007E-2</v>
      </c>
      <c r="W480" s="50">
        <v>2E-3</v>
      </c>
      <c r="X480" s="74">
        <v>2.1000000000000001E-2</v>
      </c>
      <c r="Y480" s="50">
        <v>2E-3</v>
      </c>
      <c r="Z480" s="165">
        <v>1</v>
      </c>
      <c r="AA480" s="164">
        <v>1</v>
      </c>
      <c r="AB480" s="74">
        <v>20</v>
      </c>
      <c r="AC480" s="50">
        <v>197</v>
      </c>
      <c r="AD480" s="165">
        <v>1</v>
      </c>
      <c r="AF480" s="74"/>
      <c r="AH480" s="74"/>
      <c r="AJ480" s="74"/>
      <c r="AL480" s="74"/>
      <c r="AN480" s="50"/>
      <c r="AO480" s="49"/>
      <c r="AP480" s="114"/>
      <c r="AQ480" s="50"/>
      <c r="AR480" s="49"/>
      <c r="AS480" s="50"/>
      <c r="AT480" s="49"/>
      <c r="AU480" s="5"/>
    </row>
    <row r="481" spans="1:47" ht="15" customHeight="1">
      <c r="A481" s="293" t="s">
        <v>68</v>
      </c>
      <c r="B481" s="50" t="s">
        <v>4700</v>
      </c>
      <c r="C481" s="7" t="s">
        <v>4597</v>
      </c>
      <c r="D481" s="48" t="s">
        <v>165</v>
      </c>
      <c r="F481" s="50" t="s">
        <v>3490</v>
      </c>
      <c r="G481" s="76" t="s">
        <v>3491</v>
      </c>
      <c r="H481" s="50">
        <v>9199</v>
      </c>
      <c r="I481" s="49" t="s">
        <v>2</v>
      </c>
      <c r="J481" s="50" t="s">
        <v>510</v>
      </c>
      <c r="K481" s="51">
        <v>41432</v>
      </c>
      <c r="L481" s="115"/>
      <c r="N481" s="50" t="s">
        <v>2</v>
      </c>
      <c r="AF481" s="50">
        <f>6/2</f>
        <v>3</v>
      </c>
      <c r="AG481" s="50">
        <v>20</v>
      </c>
      <c r="AH481" s="50">
        <v>0.09</v>
      </c>
      <c r="AI481" s="50">
        <f>0.005/2</f>
        <v>2.5000000000000001E-3</v>
      </c>
      <c r="AJ481" s="50">
        <f>0.025/2</f>
        <v>1.2500000000000001E-2</v>
      </c>
      <c r="AK481" s="50">
        <f>0.01/2</f>
        <v>5.0000000000000001E-3</v>
      </c>
      <c r="AL481" s="50">
        <f>0.005/2</f>
        <v>2.5000000000000001E-3</v>
      </c>
      <c r="AM481" s="50">
        <v>0.01</v>
      </c>
      <c r="AN481" s="114">
        <v>6.4</v>
      </c>
    </row>
    <row r="482" spans="1:47" ht="15" customHeight="1">
      <c r="A482" s="88" t="s">
        <v>68</v>
      </c>
      <c r="B482" s="50" t="s">
        <v>1122</v>
      </c>
      <c r="D482" s="48" t="s">
        <v>205</v>
      </c>
      <c r="E482" s="50" t="s">
        <v>1123</v>
      </c>
      <c r="G482" s="76" t="s">
        <v>1124</v>
      </c>
      <c r="H482" s="50">
        <v>4953</v>
      </c>
      <c r="I482" s="49" t="s">
        <v>2</v>
      </c>
      <c r="J482" s="50" t="s">
        <v>1125</v>
      </c>
      <c r="K482" s="51">
        <v>41443</v>
      </c>
      <c r="L482" s="115">
        <v>41439</v>
      </c>
      <c r="M482" s="50">
        <f>K482-L482</f>
        <v>4</v>
      </c>
      <c r="N482" s="50" t="s">
        <v>2</v>
      </c>
      <c r="O482" s="74">
        <f>1.4/2</f>
        <v>0.7</v>
      </c>
      <c r="P482" s="50">
        <v>5.17</v>
      </c>
      <c r="Q482" s="74">
        <v>7.3</v>
      </c>
      <c r="R482" s="50">
        <v>368</v>
      </c>
      <c r="S482" s="74">
        <v>49</v>
      </c>
      <c r="T482" s="50">
        <v>1.71</v>
      </c>
      <c r="U482" s="74">
        <v>5.3</v>
      </c>
      <c r="V482" s="50">
        <f>0.01/2</f>
        <v>5.0000000000000001E-3</v>
      </c>
      <c r="W482" s="74">
        <v>4.1000000000000002E-2</v>
      </c>
      <c r="X482" s="50">
        <v>8.7999999999999995E-2</v>
      </c>
      <c r="Y482" s="74">
        <v>2.4E-2</v>
      </c>
      <c r="AE482" s="50">
        <v>6.12</v>
      </c>
    </row>
    <row r="483" spans="1:47" ht="15" customHeight="1">
      <c r="A483" s="88" t="s">
        <v>68</v>
      </c>
      <c r="B483" s="50" t="s">
        <v>1122</v>
      </c>
      <c r="D483" s="48" t="s">
        <v>205</v>
      </c>
      <c r="E483" s="50" t="s">
        <v>364</v>
      </c>
      <c r="G483" s="76" t="s">
        <v>1124</v>
      </c>
      <c r="H483" s="50">
        <v>4953</v>
      </c>
      <c r="I483" s="49" t="s">
        <v>2</v>
      </c>
      <c r="J483" s="50" t="s">
        <v>1126</v>
      </c>
      <c r="K483" s="51">
        <v>41453</v>
      </c>
      <c r="L483" s="115"/>
      <c r="N483" s="50" t="s">
        <v>2</v>
      </c>
      <c r="O483" s="74">
        <v>1.4</v>
      </c>
      <c r="P483" s="50">
        <v>5.86</v>
      </c>
      <c r="Q483" s="74">
        <v>7.42</v>
      </c>
      <c r="R483" s="50">
        <v>191</v>
      </c>
      <c r="S483" s="74">
        <v>360</v>
      </c>
      <c r="T483" s="50">
        <v>1.61</v>
      </c>
      <c r="U483" s="74">
        <v>9.07</v>
      </c>
      <c r="V483" s="50">
        <v>0.09</v>
      </c>
      <c r="W483" s="74">
        <v>0.11600000000000001</v>
      </c>
      <c r="X483" s="50">
        <v>0.22500000000000001</v>
      </c>
      <c r="Y483" s="74">
        <v>7.2999999999999995E-2</v>
      </c>
      <c r="Z483" s="164">
        <v>1</v>
      </c>
      <c r="AA483" s="165">
        <v>1</v>
      </c>
      <c r="AE483" s="50">
        <v>28.5</v>
      </c>
      <c r="AF483" s="50">
        <v>16</v>
      </c>
      <c r="AG483" s="50">
        <v>360</v>
      </c>
      <c r="AH483" s="50">
        <v>4.82</v>
      </c>
      <c r="AI483" s="50">
        <f>0.01/2</f>
        <v>5.0000000000000001E-3</v>
      </c>
      <c r="AJ483" s="50">
        <f>0.01/2</f>
        <v>5.0000000000000001E-3</v>
      </c>
      <c r="AK483" s="50">
        <f>0.01/2</f>
        <v>5.0000000000000001E-3</v>
      </c>
      <c r="AL483" s="50">
        <f>0.01/2</f>
        <v>5.0000000000000001E-3</v>
      </c>
      <c r="AM483" s="50">
        <v>0.22500000000000001</v>
      </c>
      <c r="AN483" s="114">
        <v>7.42</v>
      </c>
    </row>
    <row r="484" spans="1:47" ht="15" customHeight="1">
      <c r="A484" s="74" t="s">
        <v>68</v>
      </c>
      <c r="B484" s="50" t="s">
        <v>1442</v>
      </c>
      <c r="C484" s="50" t="s">
        <v>392</v>
      </c>
      <c r="D484" s="48" t="s">
        <v>356</v>
      </c>
      <c r="E484" s="50" t="s">
        <v>4620</v>
      </c>
      <c r="F484" s="50">
        <v>4009</v>
      </c>
      <c r="G484" s="76" t="s">
        <v>3505</v>
      </c>
      <c r="H484" s="50">
        <v>4953</v>
      </c>
      <c r="J484" s="50" t="s">
        <v>4621</v>
      </c>
      <c r="K484" s="51">
        <v>41449</v>
      </c>
      <c r="L484" s="115">
        <v>41443</v>
      </c>
      <c r="M484" s="50">
        <f t="shared" ref="M484:M508" si="24">K484-L484</f>
        <v>6</v>
      </c>
      <c r="N484" s="50" t="s">
        <v>2</v>
      </c>
      <c r="O484" s="74">
        <v>0.5</v>
      </c>
      <c r="P484" s="50">
        <v>6.57</v>
      </c>
      <c r="Q484" s="74">
        <v>7.92</v>
      </c>
      <c r="R484" s="50">
        <v>19</v>
      </c>
      <c r="S484" s="74">
        <v>5.5</v>
      </c>
      <c r="T484" s="50">
        <v>0.04</v>
      </c>
      <c r="U484" s="74">
        <v>0.56000000000000005</v>
      </c>
      <c r="V484" s="50">
        <v>0.67</v>
      </c>
      <c r="W484" s="74">
        <f>0.005/2</f>
        <v>2.5000000000000001E-3</v>
      </c>
      <c r="X484" s="50">
        <v>4.0000000000000001E-3</v>
      </c>
      <c r="Y484" s="74">
        <f>0.002/2</f>
        <v>1E-3</v>
      </c>
      <c r="Z484" s="164">
        <v>1</v>
      </c>
      <c r="AA484" s="165">
        <v>1</v>
      </c>
      <c r="AB484" s="50">
        <v>18</v>
      </c>
      <c r="AC484" s="74">
        <v>58</v>
      </c>
      <c r="AD484" s="164">
        <v>1</v>
      </c>
    </row>
    <row r="485" spans="1:47" ht="15" customHeight="1">
      <c r="A485" s="74" t="s">
        <v>68</v>
      </c>
      <c r="B485" s="50" t="s">
        <v>1442</v>
      </c>
      <c r="C485" s="50" t="s">
        <v>392</v>
      </c>
      <c r="D485" s="48" t="s">
        <v>356</v>
      </c>
      <c r="E485" s="50" t="s">
        <v>4620</v>
      </c>
      <c r="F485" s="50">
        <v>4009</v>
      </c>
      <c r="G485" s="76" t="s">
        <v>3505</v>
      </c>
      <c r="H485" s="50">
        <v>4953</v>
      </c>
      <c r="J485" s="50" t="s">
        <v>4622</v>
      </c>
      <c r="K485" s="51">
        <v>41449</v>
      </c>
      <c r="L485" s="115">
        <v>41443</v>
      </c>
      <c r="M485" s="50">
        <f t="shared" si="24"/>
        <v>6</v>
      </c>
      <c r="N485" s="50" t="s">
        <v>2</v>
      </c>
      <c r="O485" s="74">
        <v>0.5</v>
      </c>
      <c r="P485" s="50">
        <v>6.87</v>
      </c>
      <c r="Q485" s="74">
        <v>6.85</v>
      </c>
      <c r="R485" s="50">
        <v>76</v>
      </c>
      <c r="S485" s="74">
        <v>32</v>
      </c>
      <c r="T485" s="50">
        <v>0.35</v>
      </c>
      <c r="U485" s="74">
        <v>3.42</v>
      </c>
      <c r="V485" s="50">
        <v>1.81</v>
      </c>
      <c r="W485" s="74">
        <v>1.6E-2</v>
      </c>
      <c r="X485" s="50">
        <v>0.05</v>
      </c>
      <c r="Y485" s="74">
        <v>3.0000000000000001E-3</v>
      </c>
      <c r="Z485" s="164">
        <v>1</v>
      </c>
      <c r="AA485" s="165">
        <v>1</v>
      </c>
      <c r="AB485" s="50">
        <v>22</v>
      </c>
      <c r="AC485" s="74">
        <v>155</v>
      </c>
      <c r="AD485" s="164">
        <v>1</v>
      </c>
    </row>
    <row r="486" spans="1:47" ht="15" customHeight="1">
      <c r="A486" s="74" t="s">
        <v>68</v>
      </c>
      <c r="B486" s="50" t="s">
        <v>1442</v>
      </c>
      <c r="C486" s="50" t="s">
        <v>4623</v>
      </c>
      <c r="D486" s="48" t="s">
        <v>356</v>
      </c>
      <c r="E486" s="50" t="s">
        <v>4624</v>
      </c>
      <c r="F486" s="50">
        <v>4000</v>
      </c>
      <c r="G486" s="76" t="s">
        <v>3330</v>
      </c>
      <c r="H486" s="50">
        <v>9511</v>
      </c>
      <c r="J486" s="50" t="s">
        <v>4621</v>
      </c>
      <c r="K486" s="51">
        <v>41449</v>
      </c>
      <c r="L486" s="115">
        <v>41443</v>
      </c>
      <c r="M486" s="50">
        <f t="shared" si="24"/>
        <v>6</v>
      </c>
      <c r="N486" s="50" t="s">
        <v>2</v>
      </c>
      <c r="O486" s="74">
        <v>0.5</v>
      </c>
      <c r="P486" s="50">
        <v>8.26</v>
      </c>
      <c r="Q486" s="74">
        <v>8.3000000000000007</v>
      </c>
      <c r="R486" s="50">
        <v>54</v>
      </c>
      <c r="S486" s="74">
        <v>16</v>
      </c>
      <c r="T486" s="50">
        <v>0.31</v>
      </c>
      <c r="U486" s="74">
        <v>2.31</v>
      </c>
      <c r="V486" s="50">
        <v>0.31</v>
      </c>
      <c r="W486" s="74">
        <v>1.2999999999999999E-2</v>
      </c>
      <c r="X486" s="50">
        <v>1.4999999999999999E-2</v>
      </c>
      <c r="Y486" s="74">
        <f>0.002/2</f>
        <v>1E-3</v>
      </c>
      <c r="Z486" s="164">
        <v>1</v>
      </c>
      <c r="AA486" s="165">
        <v>1</v>
      </c>
      <c r="AB486" s="50">
        <v>160</v>
      </c>
      <c r="AC486" s="74">
        <v>390</v>
      </c>
      <c r="AD486" s="164">
        <v>1</v>
      </c>
      <c r="AE486" s="74">
        <v>0.38300000000000001</v>
      </c>
    </row>
    <row r="487" spans="1:47" ht="15" customHeight="1">
      <c r="A487" s="74" t="s">
        <v>68</v>
      </c>
      <c r="B487" s="50" t="s">
        <v>4604</v>
      </c>
      <c r="C487" s="50" t="s">
        <v>4746</v>
      </c>
      <c r="D487" s="48" t="s">
        <v>1903</v>
      </c>
      <c r="E487" s="50" t="s">
        <v>2758</v>
      </c>
      <c r="G487" s="76" t="s">
        <v>2950</v>
      </c>
      <c r="H487" s="50">
        <v>4953</v>
      </c>
      <c r="I487" s="49" t="s">
        <v>2</v>
      </c>
      <c r="J487" s="50" t="s">
        <v>4606</v>
      </c>
      <c r="K487" s="51">
        <v>41495</v>
      </c>
      <c r="L487" s="115">
        <v>41489</v>
      </c>
      <c r="M487" s="50">
        <f t="shared" si="24"/>
        <v>6</v>
      </c>
      <c r="N487" s="50" t="s">
        <v>2</v>
      </c>
      <c r="O487" s="74">
        <f>1.4/2</f>
        <v>0.7</v>
      </c>
      <c r="P487" s="50">
        <v>6</v>
      </c>
      <c r="Q487" s="74">
        <v>7.36</v>
      </c>
      <c r="R487" s="50">
        <v>71</v>
      </c>
      <c r="S487" s="74">
        <v>46</v>
      </c>
      <c r="T487" s="50">
        <v>0.43</v>
      </c>
      <c r="U487" s="74">
        <v>1.82</v>
      </c>
      <c r="V487" s="50">
        <v>1.05</v>
      </c>
      <c r="W487" s="74">
        <v>1.4E-2</v>
      </c>
      <c r="X487" s="50">
        <v>6.0999999999999999E-2</v>
      </c>
      <c r="Y487" s="74">
        <v>2.3E-2</v>
      </c>
    </row>
    <row r="488" spans="1:47" ht="15" customHeight="1">
      <c r="A488" s="290" t="s">
        <v>68</v>
      </c>
      <c r="B488" s="50" t="s">
        <v>4137</v>
      </c>
      <c r="C488" s="74" t="s">
        <v>4137</v>
      </c>
      <c r="D488" s="48" t="s">
        <v>262</v>
      </c>
      <c r="E488" s="50" t="s">
        <v>1976</v>
      </c>
      <c r="F488" s="74"/>
      <c r="G488" s="76" t="s">
        <v>3565</v>
      </c>
      <c r="H488" s="50">
        <v>4953</v>
      </c>
      <c r="I488" s="74" t="s">
        <v>2</v>
      </c>
      <c r="J488" s="50" t="s">
        <v>3566</v>
      </c>
      <c r="K488" s="51">
        <v>41428</v>
      </c>
      <c r="L488" s="115">
        <v>41422</v>
      </c>
      <c r="M488" s="50">
        <f t="shared" si="24"/>
        <v>6</v>
      </c>
      <c r="N488" s="74" t="s">
        <v>2</v>
      </c>
      <c r="O488" s="50">
        <v>7.7</v>
      </c>
      <c r="P488" s="74">
        <v>7.06</v>
      </c>
      <c r="Q488" s="50">
        <v>7.09</v>
      </c>
      <c r="R488" s="74">
        <v>152</v>
      </c>
      <c r="S488" s="50">
        <v>94</v>
      </c>
      <c r="T488" s="74">
        <v>1.05</v>
      </c>
      <c r="U488" s="50">
        <v>2.73</v>
      </c>
      <c r="V488" s="74">
        <v>0.1</v>
      </c>
      <c r="W488" s="50">
        <v>0.19</v>
      </c>
      <c r="X488" s="74">
        <v>0.52</v>
      </c>
      <c r="Y488" s="50">
        <v>0.18</v>
      </c>
      <c r="Z488" s="165">
        <v>1</v>
      </c>
      <c r="AA488" s="164">
        <v>0.70699999999999996</v>
      </c>
      <c r="AB488" s="74">
        <v>70</v>
      </c>
      <c r="AC488" s="50">
        <v>299</v>
      </c>
      <c r="AD488" s="165">
        <v>0.1</v>
      </c>
      <c r="AF488" s="74"/>
      <c r="AH488" s="74"/>
      <c r="AJ488" s="74"/>
      <c r="AL488" s="74"/>
      <c r="AN488" s="50"/>
      <c r="AO488" s="49"/>
      <c r="AP488" s="114"/>
      <c r="AQ488" s="50"/>
      <c r="AR488" s="49"/>
      <c r="AS488" s="50"/>
      <c r="AT488" s="49"/>
      <c r="AU488" s="5"/>
    </row>
    <row r="489" spans="1:47" ht="15" customHeight="1">
      <c r="A489" s="290" t="s">
        <v>68</v>
      </c>
      <c r="B489" s="50" t="s">
        <v>4137</v>
      </c>
      <c r="C489" s="74" t="s">
        <v>4137</v>
      </c>
      <c r="D489" s="48" t="s">
        <v>262</v>
      </c>
      <c r="E489" s="50" t="s">
        <v>3562</v>
      </c>
      <c r="F489" s="74"/>
      <c r="G489" s="76" t="s">
        <v>3565</v>
      </c>
      <c r="H489" s="50">
        <v>4953</v>
      </c>
      <c r="I489" s="74" t="s">
        <v>2</v>
      </c>
      <c r="J489" s="50" t="s">
        <v>3563</v>
      </c>
      <c r="K489" s="51">
        <v>41487</v>
      </c>
      <c r="L489" s="115">
        <v>41481</v>
      </c>
      <c r="M489" s="50">
        <f t="shared" si="24"/>
        <v>6</v>
      </c>
      <c r="N489" s="74" t="s">
        <v>2</v>
      </c>
      <c r="O489" s="50">
        <f>1/2</f>
        <v>0.5</v>
      </c>
      <c r="P489" s="74">
        <v>8.0500000000000007</v>
      </c>
      <c r="Q489" s="50">
        <v>8.2100000000000009</v>
      </c>
      <c r="R489" s="74">
        <v>18</v>
      </c>
      <c r="S489" s="50">
        <v>7</v>
      </c>
      <c r="T489" s="74">
        <v>0.43</v>
      </c>
      <c r="U489" s="50">
        <v>1.1200000000000001</v>
      </c>
      <c r="V489" s="74">
        <v>0.88</v>
      </c>
      <c r="W489" s="50">
        <v>0.08</v>
      </c>
      <c r="X489" s="74">
        <v>0.15</v>
      </c>
      <c r="Y489" s="50">
        <f>0.5/2</f>
        <v>0.25</v>
      </c>
      <c r="Z489" s="165"/>
      <c r="AA489" s="164"/>
      <c r="AB489" s="74"/>
      <c r="AC489" s="50"/>
      <c r="AD489" s="165"/>
      <c r="AF489" s="74"/>
      <c r="AH489" s="74"/>
      <c r="AJ489" s="74"/>
      <c r="AL489" s="74"/>
      <c r="AN489" s="50"/>
      <c r="AO489" s="49"/>
      <c r="AP489" s="114"/>
      <c r="AQ489" s="50"/>
      <c r="AR489" s="49"/>
      <c r="AS489" s="50"/>
      <c r="AT489" s="49"/>
      <c r="AU489" s="5"/>
    </row>
    <row r="490" spans="1:47" ht="15" customHeight="1">
      <c r="A490" s="290" t="s">
        <v>68</v>
      </c>
      <c r="B490" s="50" t="s">
        <v>4137</v>
      </c>
      <c r="C490" s="74" t="s">
        <v>4137</v>
      </c>
      <c r="D490" s="48" t="s">
        <v>262</v>
      </c>
      <c r="E490" s="50" t="s">
        <v>3562</v>
      </c>
      <c r="F490" s="74"/>
      <c r="G490" s="76" t="s">
        <v>3565</v>
      </c>
      <c r="H490" s="50">
        <v>4953</v>
      </c>
      <c r="I490" s="74" t="s">
        <v>2</v>
      </c>
      <c r="J490" s="50" t="s">
        <v>3564</v>
      </c>
      <c r="K490" s="51">
        <v>41487</v>
      </c>
      <c r="L490" s="115">
        <v>41481</v>
      </c>
      <c r="M490" s="50">
        <f t="shared" si="24"/>
        <v>6</v>
      </c>
      <c r="N490" s="74" t="s">
        <v>2</v>
      </c>
      <c r="O490" s="50">
        <v>1.3</v>
      </c>
      <c r="P490" s="74">
        <v>8.2100000000000009</v>
      </c>
      <c r="Q490" s="50">
        <v>8.16</v>
      </c>
      <c r="R490" s="74">
        <v>45</v>
      </c>
      <c r="S490" s="50">
        <v>16</v>
      </c>
      <c r="T490" s="74">
        <v>0.51</v>
      </c>
      <c r="U490" s="50">
        <v>1.8</v>
      </c>
      <c r="V490" s="74">
        <v>0.36</v>
      </c>
      <c r="W490" s="50">
        <v>0.18</v>
      </c>
      <c r="X490" s="74">
        <v>0.16</v>
      </c>
      <c r="Y490" s="50">
        <f>0.5/2</f>
        <v>0.25</v>
      </c>
      <c r="Z490" s="165"/>
      <c r="AA490" s="164"/>
      <c r="AB490" s="74"/>
      <c r="AC490" s="50"/>
      <c r="AD490" s="165"/>
      <c r="AF490" s="74"/>
      <c r="AH490" s="74"/>
      <c r="AJ490" s="74"/>
      <c r="AL490" s="74"/>
      <c r="AN490" s="50"/>
      <c r="AO490" s="49"/>
      <c r="AP490" s="114"/>
      <c r="AQ490" s="50"/>
      <c r="AR490" s="49"/>
      <c r="AS490" s="50"/>
      <c r="AT490" s="49"/>
      <c r="AU490" s="5"/>
    </row>
    <row r="491" spans="1:47" ht="15" customHeight="1">
      <c r="A491" s="290" t="s">
        <v>68</v>
      </c>
      <c r="B491" s="50" t="s">
        <v>4794</v>
      </c>
      <c r="C491" s="74" t="s">
        <v>3558</v>
      </c>
      <c r="D491" s="48">
        <v>158</v>
      </c>
      <c r="E491" s="50" t="s">
        <v>3559</v>
      </c>
      <c r="F491" s="74"/>
      <c r="G491" s="76" t="s">
        <v>3560</v>
      </c>
      <c r="H491" s="50">
        <v>4953</v>
      </c>
      <c r="I491" s="74" t="s">
        <v>2</v>
      </c>
      <c r="J491" s="50" t="s">
        <v>1503</v>
      </c>
      <c r="K491" s="51">
        <v>41179</v>
      </c>
      <c r="L491" s="115">
        <v>41170</v>
      </c>
      <c r="M491" s="50">
        <f t="shared" si="24"/>
        <v>9</v>
      </c>
      <c r="N491" s="74" t="s">
        <v>2</v>
      </c>
      <c r="O491" s="50">
        <f>5/2</f>
        <v>2.5</v>
      </c>
      <c r="P491" s="74">
        <v>6.42</v>
      </c>
      <c r="Q491" s="50">
        <v>5.58</v>
      </c>
      <c r="R491" s="74">
        <v>710</v>
      </c>
      <c r="S491" s="50">
        <v>59</v>
      </c>
      <c r="T491" s="74">
        <v>3</v>
      </c>
      <c r="U491" s="50">
        <v>37</v>
      </c>
      <c r="V491" s="74">
        <v>0.16</v>
      </c>
      <c r="W491" s="50">
        <f>0.013/2</f>
        <v>6.4999999999999997E-3</v>
      </c>
      <c r="X491" s="74">
        <v>0.19</v>
      </c>
      <c r="Y491" s="50">
        <f>0.013/2</f>
        <v>6.4999999999999997E-3</v>
      </c>
      <c r="Z491" s="165"/>
      <c r="AA491" s="164"/>
      <c r="AB491" s="74"/>
      <c r="AC491" s="50"/>
      <c r="AD491" s="165"/>
      <c r="AF491" s="74"/>
      <c r="AH491" s="74"/>
      <c r="AJ491" s="74"/>
      <c r="AL491" s="74"/>
      <c r="AN491" s="50"/>
      <c r="AO491" s="49"/>
      <c r="AP491" s="114"/>
      <c r="AQ491" s="50"/>
      <c r="AR491" s="49"/>
      <c r="AS491" s="50"/>
      <c r="AT491" s="49"/>
      <c r="AU491" s="5"/>
    </row>
    <row r="492" spans="1:47" ht="15" customHeight="1">
      <c r="A492" s="290" t="s">
        <v>68</v>
      </c>
      <c r="B492" s="50" t="s">
        <v>4794</v>
      </c>
      <c r="C492" s="74" t="s">
        <v>3558</v>
      </c>
      <c r="D492" s="48">
        <v>158</v>
      </c>
      <c r="E492" s="50" t="s">
        <v>3559</v>
      </c>
      <c r="F492" s="74"/>
      <c r="G492" s="76" t="s">
        <v>4842</v>
      </c>
      <c r="H492" s="50">
        <v>4953</v>
      </c>
      <c r="I492" s="74" t="s">
        <v>2</v>
      </c>
      <c r="J492" s="50" t="s">
        <v>1503</v>
      </c>
      <c r="K492" s="51">
        <v>41478</v>
      </c>
      <c r="L492" s="115">
        <v>41468</v>
      </c>
      <c r="M492" s="50">
        <f t="shared" si="24"/>
        <v>10</v>
      </c>
      <c r="N492" s="74" t="s">
        <v>2</v>
      </c>
      <c r="O492" s="50">
        <f>5/2</f>
        <v>2.5</v>
      </c>
      <c r="P492" s="74">
        <v>6.27</v>
      </c>
      <c r="Q492" s="50">
        <v>5.89</v>
      </c>
      <c r="R492" s="74">
        <v>590</v>
      </c>
      <c r="S492" s="50">
        <v>77</v>
      </c>
      <c r="T492" s="74">
        <v>2.2000000000000002</v>
      </c>
      <c r="U492" s="50">
        <v>36</v>
      </c>
      <c r="V492" s="74">
        <f>0.1/2</f>
        <v>0.05</v>
      </c>
      <c r="W492" s="50">
        <f>0.04/2</f>
        <v>0.02</v>
      </c>
      <c r="X492" s="74">
        <v>0.33</v>
      </c>
      <c r="Y492" s="50">
        <f>0.013/2</f>
        <v>6.4999999999999997E-3</v>
      </c>
      <c r="Z492" s="165"/>
      <c r="AA492" s="164"/>
      <c r="AB492" s="74"/>
      <c r="AC492" s="50"/>
      <c r="AD492" s="165"/>
      <c r="AF492" s="74"/>
      <c r="AH492" s="74"/>
      <c r="AJ492" s="74"/>
      <c r="AL492" s="74"/>
      <c r="AN492" s="50"/>
      <c r="AO492" s="49"/>
      <c r="AP492" s="114"/>
      <c r="AQ492" s="50"/>
      <c r="AR492" s="49"/>
      <c r="AS492" s="50"/>
      <c r="AT492" s="49"/>
      <c r="AU492" s="5"/>
    </row>
    <row r="493" spans="1:47" ht="15" customHeight="1">
      <c r="A493" s="290" t="s">
        <v>68</v>
      </c>
      <c r="B493" s="50" t="s">
        <v>4794</v>
      </c>
      <c r="C493" s="74" t="s">
        <v>3558</v>
      </c>
      <c r="D493" s="48">
        <v>158</v>
      </c>
      <c r="E493" s="50" t="s">
        <v>3559</v>
      </c>
      <c r="F493" s="74"/>
      <c r="G493" s="76" t="s">
        <v>4842</v>
      </c>
      <c r="H493" s="50">
        <v>4953</v>
      </c>
      <c r="I493" s="74" t="s">
        <v>2</v>
      </c>
      <c r="J493" s="50" t="s">
        <v>1503</v>
      </c>
      <c r="K493" s="51">
        <v>41345</v>
      </c>
      <c r="L493" s="115">
        <v>41341</v>
      </c>
      <c r="M493" s="50">
        <f t="shared" si="24"/>
        <v>4</v>
      </c>
      <c r="N493" s="74" t="s">
        <v>2</v>
      </c>
      <c r="O493" s="50">
        <f>5/2</f>
        <v>2.5</v>
      </c>
      <c r="P493" s="74">
        <v>4.92</v>
      </c>
      <c r="Q493" s="50">
        <v>6.69</v>
      </c>
      <c r="R493" s="74">
        <v>240</v>
      </c>
      <c r="S493" s="50">
        <v>200</v>
      </c>
      <c r="T493" s="74">
        <v>0.89</v>
      </c>
      <c r="U493" s="50">
        <v>4.4000000000000004</v>
      </c>
      <c r="V493" s="74">
        <v>0.16</v>
      </c>
      <c r="W493" s="50">
        <v>7.0999999999999994E-2</v>
      </c>
      <c r="X493" s="74">
        <v>0.35</v>
      </c>
      <c r="Y493" s="50">
        <v>3.7999999999999999E-2</v>
      </c>
      <c r="Z493" s="165">
        <v>0.66</v>
      </c>
      <c r="AA493" s="164">
        <v>0.66</v>
      </c>
      <c r="AB493" s="74">
        <v>110</v>
      </c>
      <c r="AC493" s="50">
        <v>12320</v>
      </c>
      <c r="AD493" s="165">
        <v>0</v>
      </c>
      <c r="AF493" s="74"/>
      <c r="AH493" s="74"/>
      <c r="AJ493" s="74"/>
      <c r="AL493" s="74"/>
      <c r="AN493" s="50"/>
      <c r="AO493" s="49"/>
      <c r="AP493" s="114"/>
      <c r="AQ493" s="50"/>
      <c r="AR493" s="49"/>
      <c r="AS493" s="50"/>
      <c r="AT493" s="49"/>
      <c r="AU493" s="5"/>
    </row>
    <row r="494" spans="1:47" ht="15" customHeight="1">
      <c r="A494" s="290" t="s">
        <v>68</v>
      </c>
      <c r="B494" s="50" t="s">
        <v>4795</v>
      </c>
      <c r="C494" s="74" t="s">
        <v>4796</v>
      </c>
      <c r="D494" s="48">
        <v>163</v>
      </c>
      <c r="F494" s="74" t="s">
        <v>3570</v>
      </c>
      <c r="G494" s="76" t="s">
        <v>3576</v>
      </c>
      <c r="H494" s="50">
        <v>5093</v>
      </c>
      <c r="I494" s="74" t="s">
        <v>2</v>
      </c>
      <c r="J494" s="50" t="s">
        <v>510</v>
      </c>
      <c r="K494" s="51">
        <v>41432</v>
      </c>
      <c r="L494" s="115">
        <v>41428</v>
      </c>
      <c r="M494" s="50">
        <f t="shared" si="24"/>
        <v>4</v>
      </c>
      <c r="N494" s="74" t="s">
        <v>2</v>
      </c>
      <c r="O494" s="50">
        <v>8.8000000000000007</v>
      </c>
      <c r="P494" s="74">
        <v>6.5</v>
      </c>
      <c r="Q494" s="50">
        <v>7.15</v>
      </c>
      <c r="R494" s="74">
        <v>258</v>
      </c>
      <c r="S494" s="50">
        <v>83</v>
      </c>
      <c r="T494" s="74">
        <v>0.63</v>
      </c>
      <c r="U494" s="50">
        <v>8.76</v>
      </c>
      <c r="V494" s="74">
        <f>0.01/2</f>
        <v>5.0000000000000001E-3</v>
      </c>
      <c r="W494" s="50">
        <v>7.1999999999999995E-2</v>
      </c>
      <c r="X494" s="74">
        <v>0.29799999999999999</v>
      </c>
      <c r="Y494" s="50">
        <v>0.113</v>
      </c>
      <c r="Z494" s="165"/>
      <c r="AA494" s="164"/>
      <c r="AB494" s="74"/>
      <c r="AC494" s="50"/>
      <c r="AD494" s="165"/>
      <c r="AF494" s="74"/>
      <c r="AH494" s="74"/>
      <c r="AJ494" s="74"/>
      <c r="AL494" s="74"/>
      <c r="AN494" s="50"/>
      <c r="AO494" s="49"/>
      <c r="AP494" s="114"/>
      <c r="AQ494" s="50"/>
      <c r="AR494" s="49"/>
      <c r="AS494" s="50"/>
      <c r="AT494" s="49"/>
      <c r="AU494" s="5"/>
    </row>
    <row r="495" spans="1:47" ht="15" customHeight="1">
      <c r="A495" s="290" t="s">
        <v>68</v>
      </c>
      <c r="B495" s="50" t="s">
        <v>4795</v>
      </c>
      <c r="C495" s="74" t="s">
        <v>4796</v>
      </c>
      <c r="D495" s="48">
        <v>163</v>
      </c>
      <c r="F495" s="74" t="s">
        <v>3570</v>
      </c>
      <c r="G495" s="76" t="s">
        <v>3576</v>
      </c>
      <c r="H495" s="50">
        <v>5093</v>
      </c>
      <c r="I495" s="74" t="s">
        <v>2</v>
      </c>
      <c r="J495" s="50" t="s">
        <v>510</v>
      </c>
      <c r="K495" s="51">
        <v>41345</v>
      </c>
      <c r="L495" s="115">
        <v>41341</v>
      </c>
      <c r="M495" s="50">
        <f t="shared" si="24"/>
        <v>4</v>
      </c>
      <c r="N495" s="74" t="s">
        <v>2</v>
      </c>
      <c r="O495" s="50">
        <v>5.9</v>
      </c>
      <c r="P495" s="74">
        <v>6.5</v>
      </c>
      <c r="Q495" s="50">
        <v>7.07</v>
      </c>
      <c r="R495" s="74">
        <v>166</v>
      </c>
      <c r="S495" s="50">
        <v>140</v>
      </c>
      <c r="T495" s="74">
        <v>0.34</v>
      </c>
      <c r="U495" s="50">
        <v>9.1999999999999993</v>
      </c>
      <c r="V495" s="74">
        <v>0.26</v>
      </c>
      <c r="W495" s="50">
        <v>3.4000000000000002E-2</v>
      </c>
      <c r="X495" s="74">
        <v>0.17100000000000001</v>
      </c>
      <c r="Y495" s="50">
        <v>4.5999999999999999E-2</v>
      </c>
      <c r="Z495" s="165"/>
      <c r="AA495" s="164"/>
      <c r="AB495" s="74"/>
      <c r="AC495" s="50"/>
      <c r="AD495" s="165"/>
      <c r="AF495" s="74"/>
      <c r="AH495" s="74"/>
      <c r="AJ495" s="74"/>
      <c r="AL495" s="74"/>
      <c r="AN495" s="50"/>
      <c r="AO495" s="49"/>
      <c r="AP495" s="114"/>
      <c r="AQ495" s="50"/>
      <c r="AR495" s="49"/>
      <c r="AS495" s="50"/>
      <c r="AT495" s="49"/>
      <c r="AU495" s="5"/>
    </row>
    <row r="496" spans="1:47" ht="15" customHeight="1">
      <c r="A496" s="290" t="s">
        <v>68</v>
      </c>
      <c r="B496" s="74" t="s">
        <v>4797</v>
      </c>
      <c r="C496" s="74" t="s">
        <v>4797</v>
      </c>
      <c r="D496" s="48" t="s">
        <v>1837</v>
      </c>
      <c r="E496" s="50" t="s">
        <v>4048</v>
      </c>
      <c r="F496" s="74"/>
      <c r="G496" s="76" t="s">
        <v>3300</v>
      </c>
      <c r="H496" s="50">
        <v>4212</v>
      </c>
      <c r="I496" s="74" t="s">
        <v>2</v>
      </c>
      <c r="J496" s="50" t="s">
        <v>96</v>
      </c>
      <c r="K496" s="51">
        <v>41499</v>
      </c>
      <c r="L496" s="115">
        <v>41495</v>
      </c>
      <c r="M496" s="50">
        <f t="shared" si="24"/>
        <v>4</v>
      </c>
      <c r="N496" s="74" t="s">
        <v>2</v>
      </c>
      <c r="O496" s="50">
        <v>14</v>
      </c>
      <c r="P496" s="74">
        <v>8.25</v>
      </c>
      <c r="Q496" s="50">
        <v>4.21</v>
      </c>
      <c r="R496" s="74">
        <v>84</v>
      </c>
      <c r="S496" s="50">
        <v>900</v>
      </c>
      <c r="T496" s="74">
        <v>0.37</v>
      </c>
      <c r="U496" s="50">
        <v>1.81</v>
      </c>
      <c r="V496" s="74">
        <v>1.19</v>
      </c>
      <c r="W496" s="50">
        <v>6.4000000000000001E-2</v>
      </c>
      <c r="X496" s="74">
        <v>1.29</v>
      </c>
      <c r="Y496" s="50">
        <v>0.21299999999999999</v>
      </c>
      <c r="Z496" s="165"/>
      <c r="AA496" s="164"/>
      <c r="AB496" s="74"/>
      <c r="AC496" s="50"/>
      <c r="AD496" s="165"/>
      <c r="AF496" s="74"/>
      <c r="AH496" s="74"/>
      <c r="AJ496" s="74"/>
      <c r="AL496" s="74"/>
      <c r="AN496" s="50"/>
      <c r="AO496" s="49"/>
      <c r="AP496" s="114"/>
      <c r="AQ496" s="50"/>
      <c r="AR496" s="49"/>
      <c r="AS496" s="50"/>
      <c r="AT496" s="49"/>
      <c r="AU496" s="5"/>
    </row>
    <row r="497" spans="1:49" ht="15" customHeight="1">
      <c r="A497" s="290" t="s">
        <v>68</v>
      </c>
      <c r="B497" s="50" t="s">
        <v>3184</v>
      </c>
      <c r="C497" s="74" t="s">
        <v>3184</v>
      </c>
      <c r="D497" s="48" t="s">
        <v>2328</v>
      </c>
      <c r="E497" s="50" t="s">
        <v>3364</v>
      </c>
      <c r="F497" s="74">
        <v>4607</v>
      </c>
      <c r="G497" s="76" t="s">
        <v>3186</v>
      </c>
      <c r="H497" s="50">
        <v>4953</v>
      </c>
      <c r="I497" s="74"/>
      <c r="J497" s="50" t="s">
        <v>4798</v>
      </c>
      <c r="K497" s="51">
        <v>41464</v>
      </c>
      <c r="L497" s="115">
        <v>41456</v>
      </c>
      <c r="M497" s="50">
        <f t="shared" si="24"/>
        <v>8</v>
      </c>
      <c r="N497" s="74" t="s">
        <v>2</v>
      </c>
      <c r="O497" s="50">
        <v>1.2</v>
      </c>
      <c r="P497" s="74">
        <v>7.5</v>
      </c>
      <c r="Q497" s="50">
        <v>5.38</v>
      </c>
      <c r="R497" s="74">
        <v>15</v>
      </c>
      <c r="S497" s="50">
        <v>40</v>
      </c>
      <c r="T497" s="74">
        <v>0.14000000000000001</v>
      </c>
      <c r="U497" s="50">
        <v>0.7</v>
      </c>
      <c r="V497" s="74">
        <v>0.45</v>
      </c>
      <c r="W497" s="50">
        <v>7.0000000000000001E-3</v>
      </c>
      <c r="X497" s="74">
        <v>2.5000000000000001E-2</v>
      </c>
      <c r="Y497" s="50">
        <v>5.0000000000000001E-3</v>
      </c>
      <c r="Z497" s="165"/>
      <c r="AA497" s="164"/>
      <c r="AB497" s="74"/>
      <c r="AC497" s="50"/>
      <c r="AD497" s="165"/>
      <c r="AF497" s="74"/>
      <c r="AH497" s="74"/>
      <c r="AJ497" s="74"/>
      <c r="AL497" s="74"/>
      <c r="AN497" s="50"/>
      <c r="AO497" s="49"/>
      <c r="AP497" s="114"/>
      <c r="AQ497" s="50"/>
      <c r="AR497" s="49"/>
      <c r="AS497" s="50"/>
      <c r="AT497" s="49"/>
      <c r="AU497" s="5"/>
    </row>
    <row r="498" spans="1:49" ht="15" customHeight="1">
      <c r="A498" s="290" t="s">
        <v>68</v>
      </c>
      <c r="B498" s="50" t="s">
        <v>4799</v>
      </c>
      <c r="C498" s="74" t="s">
        <v>392</v>
      </c>
      <c r="D498" s="48" t="s">
        <v>103</v>
      </c>
      <c r="E498" s="50" t="s">
        <v>4765</v>
      </c>
      <c r="F498" s="74"/>
      <c r="G498" s="76" t="s">
        <v>4131</v>
      </c>
      <c r="H498" s="50">
        <v>4214</v>
      </c>
      <c r="I498" s="74" t="s">
        <v>1</v>
      </c>
      <c r="J498" s="50" t="s">
        <v>392</v>
      </c>
      <c r="K498" s="51">
        <v>41468</v>
      </c>
      <c r="L498" s="115">
        <v>41456</v>
      </c>
      <c r="M498" s="50">
        <f t="shared" si="24"/>
        <v>12</v>
      </c>
      <c r="N498" s="74" t="s">
        <v>2</v>
      </c>
      <c r="O498" s="50">
        <f>1/2</f>
        <v>0.5</v>
      </c>
      <c r="P498" s="74">
        <v>4.18</v>
      </c>
      <c r="Q498" s="50">
        <v>6.4</v>
      </c>
      <c r="R498" s="74">
        <v>3.7</v>
      </c>
      <c r="S498" s="50">
        <v>22</v>
      </c>
      <c r="T498" s="74">
        <v>0.06</v>
      </c>
      <c r="U498" s="50">
        <v>0.54</v>
      </c>
      <c r="V498" s="74">
        <v>0.65</v>
      </c>
      <c r="W498" s="50">
        <v>5.0000000000000001E-3</v>
      </c>
      <c r="X498" s="74">
        <v>2.7E-2</v>
      </c>
      <c r="Y498" s="50">
        <v>2E-3</v>
      </c>
      <c r="Z498" s="165">
        <v>1</v>
      </c>
      <c r="AA498" s="164">
        <v>1</v>
      </c>
      <c r="AB498" s="74">
        <v>59.39</v>
      </c>
      <c r="AC498" s="50">
        <v>584</v>
      </c>
      <c r="AD498" s="165">
        <v>1</v>
      </c>
      <c r="AF498" s="74"/>
      <c r="AH498" s="74"/>
      <c r="AJ498" s="74"/>
      <c r="AL498" s="74"/>
      <c r="AN498" s="50"/>
      <c r="AO498" s="49"/>
      <c r="AP498" s="114"/>
      <c r="AQ498" s="50"/>
      <c r="AR498" s="49"/>
      <c r="AS498" s="50"/>
      <c r="AT498" s="49"/>
      <c r="AU498" s="5"/>
    </row>
    <row r="499" spans="1:49" ht="15" customHeight="1">
      <c r="A499" s="290" t="s">
        <v>68</v>
      </c>
      <c r="B499" s="50" t="s">
        <v>4799</v>
      </c>
      <c r="C499" s="74"/>
      <c r="D499" s="48" t="s">
        <v>103</v>
      </c>
      <c r="E499" s="50" t="s">
        <v>4800</v>
      </c>
      <c r="F499" s="74"/>
      <c r="G499" s="76" t="s">
        <v>3666</v>
      </c>
      <c r="H499" s="50">
        <v>4214</v>
      </c>
      <c r="I499" s="74" t="s">
        <v>1</v>
      </c>
      <c r="J499" s="50" t="s">
        <v>2306</v>
      </c>
      <c r="K499" s="51">
        <v>41465</v>
      </c>
      <c r="L499" s="115">
        <v>41456</v>
      </c>
      <c r="M499" s="50">
        <f t="shared" si="24"/>
        <v>9</v>
      </c>
      <c r="N499" s="74" t="s">
        <v>2</v>
      </c>
      <c r="O499" s="50">
        <v>15.6</v>
      </c>
      <c r="P499" s="74">
        <v>4.18</v>
      </c>
      <c r="Q499" s="50">
        <v>7.7</v>
      </c>
      <c r="R499" s="74">
        <v>479</v>
      </c>
      <c r="S499" s="50">
        <v>2430</v>
      </c>
      <c r="T499" s="74">
        <v>1.57</v>
      </c>
      <c r="U499" s="50">
        <v>3.2</v>
      </c>
      <c r="V499" s="74">
        <v>1.0900000000000001</v>
      </c>
      <c r="W499" s="50">
        <v>0.04</v>
      </c>
      <c r="X499" s="74">
        <v>0.55300000000000005</v>
      </c>
      <c r="Y499" s="50">
        <v>1.4E-2</v>
      </c>
      <c r="Z499" s="165">
        <v>1</v>
      </c>
      <c r="AA499" s="164">
        <v>1</v>
      </c>
      <c r="AB499" s="74">
        <v>85.65</v>
      </c>
      <c r="AC499" s="50">
        <v>160</v>
      </c>
      <c r="AD499" s="165">
        <v>1</v>
      </c>
      <c r="AF499" s="74"/>
      <c r="AH499" s="74"/>
      <c r="AJ499" s="74"/>
      <c r="AL499" s="74"/>
      <c r="AN499" s="50"/>
      <c r="AO499" s="49">
        <v>8</v>
      </c>
      <c r="AP499" s="114"/>
      <c r="AQ499" s="50"/>
      <c r="AR499" s="49"/>
      <c r="AS499" s="50"/>
      <c r="AT499" s="49"/>
      <c r="AU499" s="5"/>
      <c r="AV499" s="1">
        <f>0.01/2</f>
        <v>5.0000000000000001E-3</v>
      </c>
    </row>
    <row r="500" spans="1:49" ht="15" customHeight="1">
      <c r="A500" s="290" t="s">
        <v>68</v>
      </c>
      <c r="B500" s="50" t="s">
        <v>4801</v>
      </c>
      <c r="C500" s="74" t="s">
        <v>4763</v>
      </c>
      <c r="D500" s="48" t="s">
        <v>347</v>
      </c>
      <c r="E500" s="50" t="s">
        <v>4802</v>
      </c>
      <c r="F500" s="74"/>
      <c r="G500" s="76" t="s">
        <v>1121</v>
      </c>
      <c r="H500" s="50">
        <v>4953</v>
      </c>
      <c r="I500" s="74" t="s">
        <v>2</v>
      </c>
      <c r="J500" s="50" t="s">
        <v>4803</v>
      </c>
      <c r="K500" s="51">
        <v>41432</v>
      </c>
      <c r="L500" s="115">
        <v>41428</v>
      </c>
      <c r="M500" s="50">
        <f t="shared" si="24"/>
        <v>4</v>
      </c>
      <c r="N500" s="74" t="s">
        <v>2</v>
      </c>
      <c r="O500" s="50">
        <f>2/2</f>
        <v>1</v>
      </c>
      <c r="P500" s="74">
        <v>7.1</v>
      </c>
      <c r="Q500" s="50">
        <v>6.7</v>
      </c>
      <c r="R500" s="74">
        <v>53</v>
      </c>
      <c r="S500" s="50">
        <v>29</v>
      </c>
      <c r="T500" s="74">
        <v>0.44</v>
      </c>
      <c r="U500" s="50">
        <v>1.68</v>
      </c>
      <c r="V500" s="74">
        <v>0.28000000000000003</v>
      </c>
      <c r="W500" s="50">
        <v>0.05</v>
      </c>
      <c r="X500" s="74">
        <v>0.25</v>
      </c>
      <c r="Y500" s="50">
        <f>0.03/2</f>
        <v>1.4999999999999999E-2</v>
      </c>
      <c r="Z500" s="165">
        <v>1</v>
      </c>
      <c r="AA500" s="164">
        <v>1</v>
      </c>
      <c r="AB500" s="74">
        <v>13</v>
      </c>
      <c r="AC500" s="50">
        <v>33</v>
      </c>
      <c r="AD500" s="165">
        <v>1</v>
      </c>
      <c r="AF500" s="74"/>
      <c r="AH500" s="74"/>
      <c r="AJ500" s="74"/>
      <c r="AL500" s="74"/>
      <c r="AN500" s="50"/>
      <c r="AO500" s="49"/>
      <c r="AP500" s="114"/>
      <c r="AQ500" s="50"/>
      <c r="AR500" s="49"/>
      <c r="AS500" s="50"/>
      <c r="AT500" s="49"/>
      <c r="AU500" s="5"/>
    </row>
    <row r="501" spans="1:49" ht="15" customHeight="1">
      <c r="A501" s="290" t="s">
        <v>68</v>
      </c>
      <c r="B501" s="50" t="s">
        <v>4801</v>
      </c>
      <c r="C501" s="74" t="s">
        <v>4763</v>
      </c>
      <c r="D501" s="48" t="s">
        <v>347</v>
      </c>
      <c r="E501" s="50" t="s">
        <v>4802</v>
      </c>
      <c r="F501" s="74"/>
      <c r="G501" s="76" t="s">
        <v>4311</v>
      </c>
      <c r="H501" s="50">
        <v>4953</v>
      </c>
      <c r="I501" s="74" t="s">
        <v>2</v>
      </c>
      <c r="J501" s="50" t="s">
        <v>4804</v>
      </c>
      <c r="K501" s="51">
        <v>41432</v>
      </c>
      <c r="L501" s="115">
        <v>41428</v>
      </c>
      <c r="M501" s="50">
        <f t="shared" si="24"/>
        <v>4</v>
      </c>
      <c r="N501" s="74" t="s">
        <v>2</v>
      </c>
      <c r="O501" s="50">
        <f>2/2</f>
        <v>1</v>
      </c>
      <c r="P501" s="74">
        <v>7.05</v>
      </c>
      <c r="Q501" s="50">
        <v>7</v>
      </c>
      <c r="R501" s="74">
        <f>10/2</f>
        <v>5</v>
      </c>
      <c r="S501" s="50">
        <v>3</v>
      </c>
      <c r="T501" s="74">
        <f>0.05/2</f>
        <v>2.5000000000000001E-2</v>
      </c>
      <c r="U501" s="50">
        <v>0.28000000000000003</v>
      </c>
      <c r="V501" s="74">
        <v>0.15</v>
      </c>
      <c r="W501" s="50">
        <v>1.0999999999999999E-2</v>
      </c>
      <c r="X501" s="74">
        <v>0.1</v>
      </c>
      <c r="Y501" s="50">
        <f>0.03/2</f>
        <v>1.4999999999999999E-2</v>
      </c>
      <c r="Z501" s="165">
        <v>1</v>
      </c>
      <c r="AA501" s="164">
        <v>1</v>
      </c>
      <c r="AB501" s="74">
        <v>62</v>
      </c>
      <c r="AC501" s="50">
        <v>293</v>
      </c>
      <c r="AD501" s="165">
        <v>0.9</v>
      </c>
      <c r="AF501" s="74"/>
      <c r="AH501" s="74"/>
      <c r="AJ501" s="74"/>
      <c r="AL501" s="74"/>
      <c r="AN501" s="50"/>
      <c r="AO501" s="49"/>
      <c r="AP501" s="114"/>
      <c r="AQ501" s="50"/>
      <c r="AR501" s="49"/>
      <c r="AS501" s="50"/>
      <c r="AT501" s="49"/>
      <c r="AU501" s="5"/>
    </row>
    <row r="502" spans="1:49" ht="15" customHeight="1">
      <c r="A502" s="290" t="s">
        <v>68</v>
      </c>
      <c r="B502" s="50" t="s">
        <v>4795</v>
      </c>
      <c r="C502" s="74" t="s">
        <v>4805</v>
      </c>
      <c r="D502" s="48">
        <v>109</v>
      </c>
      <c r="F502" s="74" t="s">
        <v>3341</v>
      </c>
      <c r="G502" s="76" t="s">
        <v>3455</v>
      </c>
      <c r="H502" s="50">
        <v>4953</v>
      </c>
      <c r="I502" s="74" t="s">
        <v>2</v>
      </c>
      <c r="J502" s="50" t="s">
        <v>510</v>
      </c>
      <c r="K502" s="51">
        <v>41345</v>
      </c>
      <c r="L502" s="115">
        <v>41341</v>
      </c>
      <c r="M502" s="50">
        <f t="shared" si="24"/>
        <v>4</v>
      </c>
      <c r="N502" s="74" t="s">
        <v>2</v>
      </c>
      <c r="O502" s="50">
        <v>2</v>
      </c>
      <c r="P502" s="74">
        <v>6.5</v>
      </c>
      <c r="Q502" s="50">
        <v>7.71</v>
      </c>
      <c r="R502" s="74">
        <v>120</v>
      </c>
      <c r="S502" s="50">
        <v>110</v>
      </c>
      <c r="T502" s="74">
        <v>0.46</v>
      </c>
      <c r="U502" s="50">
        <v>2.2000000000000002</v>
      </c>
      <c r="V502" s="74">
        <f>0.01/2</f>
        <v>5.0000000000000001E-3</v>
      </c>
      <c r="W502" s="50">
        <v>3.5999999999999997E-2</v>
      </c>
      <c r="X502" s="74">
        <v>0.20100000000000001</v>
      </c>
      <c r="Y502" s="50">
        <v>0.04</v>
      </c>
      <c r="Z502" s="165">
        <v>1</v>
      </c>
      <c r="AA502" s="164">
        <v>1</v>
      </c>
      <c r="AB502" s="74">
        <v>152</v>
      </c>
      <c r="AC502" s="50">
        <v>1440</v>
      </c>
      <c r="AD502" s="165">
        <v>1</v>
      </c>
      <c r="AF502" s="74"/>
      <c r="AH502" s="74"/>
      <c r="AJ502" s="74"/>
      <c r="AL502" s="74"/>
      <c r="AN502" s="50"/>
      <c r="AO502" s="49"/>
      <c r="AP502" s="114"/>
      <c r="AQ502" s="50"/>
      <c r="AR502" s="49"/>
      <c r="AS502" s="50"/>
      <c r="AT502" s="49"/>
      <c r="AU502" s="5"/>
    </row>
    <row r="503" spans="1:49" ht="15" customHeight="1">
      <c r="A503" s="290" t="s">
        <v>68</v>
      </c>
      <c r="B503" s="50" t="s">
        <v>4795</v>
      </c>
      <c r="C503" s="74" t="s">
        <v>4806</v>
      </c>
      <c r="D503" s="48" t="s">
        <v>3532</v>
      </c>
      <c r="F503" s="74">
        <v>3700</v>
      </c>
      <c r="G503" s="76" t="s">
        <v>3533</v>
      </c>
      <c r="H503" s="50">
        <v>4953</v>
      </c>
      <c r="I503" s="74" t="s">
        <v>2</v>
      </c>
      <c r="J503" s="50" t="s">
        <v>366</v>
      </c>
      <c r="K503" s="51">
        <v>41432</v>
      </c>
      <c r="L503" s="115">
        <v>41428</v>
      </c>
      <c r="M503" s="50">
        <f t="shared" si="24"/>
        <v>4</v>
      </c>
      <c r="N503" s="74" t="s">
        <v>2</v>
      </c>
      <c r="O503" s="50">
        <v>3.2</v>
      </c>
      <c r="P503" s="74">
        <v>6.5</v>
      </c>
      <c r="Q503" s="50">
        <v>7.31</v>
      </c>
      <c r="R503" s="74">
        <v>112</v>
      </c>
      <c r="S503" s="50">
        <v>240</v>
      </c>
      <c r="T503" s="74">
        <v>0.51</v>
      </c>
      <c r="U503" s="50">
        <v>0.8</v>
      </c>
      <c r="V503" s="74">
        <f>0.01/2</f>
        <v>5.0000000000000001E-3</v>
      </c>
      <c r="W503" s="50">
        <v>5.3999999999999999E-2</v>
      </c>
      <c r="X503" s="74">
        <v>0.20899999999999999</v>
      </c>
      <c r="Y503" s="50">
        <v>6.3E-2</v>
      </c>
      <c r="Z503" s="165"/>
      <c r="AA503" s="164"/>
      <c r="AB503" s="74"/>
      <c r="AC503" s="50"/>
      <c r="AD503" s="165"/>
      <c r="AF503" s="74"/>
      <c r="AH503" s="74"/>
      <c r="AJ503" s="74"/>
      <c r="AL503" s="74"/>
      <c r="AN503" s="50"/>
      <c r="AO503" s="49"/>
      <c r="AP503" s="114"/>
      <c r="AQ503" s="50"/>
      <c r="AR503" s="49"/>
      <c r="AS503" s="50"/>
      <c r="AT503" s="49"/>
      <c r="AU503" s="5"/>
    </row>
    <row r="504" spans="1:49" ht="15" customHeight="1">
      <c r="A504" s="290" t="s">
        <v>68</v>
      </c>
      <c r="B504" s="50" t="s">
        <v>4795</v>
      </c>
      <c r="C504" s="74" t="s">
        <v>4806</v>
      </c>
      <c r="D504" s="48" t="s">
        <v>3532</v>
      </c>
      <c r="F504" s="74">
        <v>3700</v>
      </c>
      <c r="G504" s="76" t="s">
        <v>3533</v>
      </c>
      <c r="H504" s="50">
        <v>4953</v>
      </c>
      <c r="I504" s="74" t="s">
        <v>2</v>
      </c>
      <c r="J504" s="50" t="s">
        <v>366</v>
      </c>
      <c r="K504" s="51">
        <v>41345</v>
      </c>
      <c r="L504" s="115">
        <v>41341</v>
      </c>
      <c r="M504" s="50">
        <f t="shared" si="24"/>
        <v>4</v>
      </c>
      <c r="N504" s="74" t="s">
        <v>2</v>
      </c>
      <c r="O504" s="50">
        <v>7.3</v>
      </c>
      <c r="P504" s="74">
        <v>6.5</v>
      </c>
      <c r="Q504" s="50">
        <v>7.25</v>
      </c>
      <c r="R504" s="74">
        <v>142</v>
      </c>
      <c r="S504" s="50">
        <v>460</v>
      </c>
      <c r="T504" s="74">
        <v>0.91</v>
      </c>
      <c r="U504" s="50">
        <v>1.54</v>
      </c>
      <c r="V504" s="74">
        <v>0.28999999999999998</v>
      </c>
      <c r="W504" s="50">
        <v>8.5000000000000006E-2</v>
      </c>
      <c r="X504" s="74">
        <v>0.29599999999999999</v>
      </c>
      <c r="Y504" s="50">
        <v>9.8000000000000004E-2</v>
      </c>
      <c r="Z504" s="165">
        <v>1</v>
      </c>
      <c r="AA504" s="164">
        <v>1</v>
      </c>
      <c r="AB504" s="74">
        <v>36</v>
      </c>
      <c r="AC504" s="50">
        <v>265</v>
      </c>
      <c r="AD504" s="165">
        <v>1</v>
      </c>
      <c r="AF504" s="74"/>
      <c r="AH504" s="74"/>
      <c r="AJ504" s="74"/>
      <c r="AL504" s="74"/>
      <c r="AN504" s="50"/>
      <c r="AO504" s="49"/>
      <c r="AP504" s="114"/>
      <c r="AQ504" s="50"/>
      <c r="AR504" s="49"/>
      <c r="AS504" s="50"/>
      <c r="AT504" s="49"/>
      <c r="AU504" s="5"/>
    </row>
    <row r="505" spans="1:49" ht="15" customHeight="1">
      <c r="A505" s="290" t="s">
        <v>68</v>
      </c>
      <c r="B505" s="50" t="s">
        <v>4795</v>
      </c>
      <c r="C505" s="74" t="s">
        <v>4807</v>
      </c>
      <c r="D505" s="48">
        <v>104</v>
      </c>
      <c r="F505" s="74" t="s">
        <v>3341</v>
      </c>
      <c r="G505" s="76" t="s">
        <v>3342</v>
      </c>
      <c r="H505" s="50">
        <v>4212</v>
      </c>
      <c r="I505" s="74" t="s">
        <v>2</v>
      </c>
      <c r="J505" s="50" t="s">
        <v>510</v>
      </c>
      <c r="K505" s="51">
        <v>41495</v>
      </c>
      <c r="L505" s="115">
        <v>41490</v>
      </c>
      <c r="M505" s="50">
        <f t="shared" si="24"/>
        <v>5</v>
      </c>
      <c r="N505" s="74" t="s">
        <v>2</v>
      </c>
      <c r="O505" s="50">
        <v>1.5</v>
      </c>
      <c r="P505" s="74">
        <v>6.5</v>
      </c>
      <c r="Q505" s="50">
        <v>6.95</v>
      </c>
      <c r="R505" s="74">
        <v>28</v>
      </c>
      <c r="S505" s="50">
        <v>5</v>
      </c>
      <c r="T505" s="74">
        <v>0.12</v>
      </c>
      <c r="U505" s="50">
        <v>0.76</v>
      </c>
      <c r="V505" s="74">
        <v>0.19</v>
      </c>
      <c r="W505" s="50">
        <f>0.005/2</f>
        <v>2.5000000000000001E-3</v>
      </c>
      <c r="X505" s="74">
        <v>8.4000000000000005E-2</v>
      </c>
      <c r="Y505" s="50">
        <v>4.0000000000000001E-3</v>
      </c>
      <c r="Z505" s="165"/>
      <c r="AA505" s="164"/>
      <c r="AB505" s="74"/>
      <c r="AC505" s="50"/>
      <c r="AD505" s="165"/>
      <c r="AF505" s="74"/>
      <c r="AH505" s="74"/>
      <c r="AJ505" s="74"/>
      <c r="AL505" s="74"/>
      <c r="AN505" s="50"/>
      <c r="AO505" s="49"/>
      <c r="AP505" s="114"/>
      <c r="AQ505" s="50"/>
      <c r="AR505" s="49"/>
      <c r="AS505" s="50"/>
      <c r="AT505" s="49"/>
      <c r="AU505" s="5"/>
    </row>
    <row r="506" spans="1:49" ht="15" customHeight="1">
      <c r="A506" s="290" t="s">
        <v>68</v>
      </c>
      <c r="B506" s="50" t="s">
        <v>4795</v>
      </c>
      <c r="C506" s="74" t="s">
        <v>4807</v>
      </c>
      <c r="D506" s="48">
        <v>104</v>
      </c>
      <c r="F506" s="74" t="s">
        <v>3341</v>
      </c>
      <c r="G506" s="76" t="s">
        <v>3342</v>
      </c>
      <c r="H506" s="50">
        <v>4212</v>
      </c>
      <c r="I506" s="74" t="s">
        <v>2</v>
      </c>
      <c r="J506" s="50" t="s">
        <v>366</v>
      </c>
      <c r="K506" s="51">
        <v>41345</v>
      </c>
      <c r="L506" s="115">
        <v>41341</v>
      </c>
      <c r="M506" s="50">
        <f t="shared" si="24"/>
        <v>4</v>
      </c>
      <c r="N506" s="74" t="s">
        <v>2</v>
      </c>
      <c r="O506" s="50">
        <f>1.4/2</f>
        <v>0.7</v>
      </c>
      <c r="P506" s="74">
        <v>6.5</v>
      </c>
      <c r="Q506" s="50">
        <v>7.32</v>
      </c>
      <c r="R506" s="74">
        <v>30</v>
      </c>
      <c r="S506" s="50">
        <v>9</v>
      </c>
      <c r="T506" s="74">
        <v>0.12</v>
      </c>
      <c r="U506" s="50">
        <v>5.14</v>
      </c>
      <c r="V506" s="74">
        <v>0.55000000000000004</v>
      </c>
      <c r="W506" s="50">
        <f>0.005/2</f>
        <v>2.5000000000000001E-3</v>
      </c>
      <c r="X506" s="74">
        <v>8.7999999999999995E-2</v>
      </c>
      <c r="Y506" s="50">
        <f>0.002/2</f>
        <v>1E-3</v>
      </c>
      <c r="Z506" s="165">
        <v>1</v>
      </c>
      <c r="AA506" s="164">
        <v>1</v>
      </c>
      <c r="AB506" s="74">
        <v>38</v>
      </c>
      <c r="AC506" s="50">
        <v>196</v>
      </c>
      <c r="AD506" s="165">
        <v>1</v>
      </c>
      <c r="AF506" s="74"/>
      <c r="AH506" s="74"/>
      <c r="AJ506" s="74"/>
      <c r="AL506" s="74"/>
      <c r="AN506" s="50"/>
      <c r="AO506" s="49"/>
      <c r="AP506" s="114"/>
      <c r="AQ506" s="50"/>
      <c r="AR506" s="49"/>
      <c r="AS506" s="50"/>
      <c r="AT506" s="49"/>
      <c r="AU506" s="5"/>
    </row>
    <row r="507" spans="1:49" ht="15" customHeight="1">
      <c r="A507" s="290" t="s">
        <v>68</v>
      </c>
      <c r="B507" s="50" t="s">
        <v>2763</v>
      </c>
      <c r="C507" s="74" t="s">
        <v>3003</v>
      </c>
      <c r="D507" s="48" t="s">
        <v>2378</v>
      </c>
      <c r="F507" s="74" t="s">
        <v>3484</v>
      </c>
      <c r="G507" s="76" t="s">
        <v>3004</v>
      </c>
      <c r="H507" s="50">
        <v>4953</v>
      </c>
      <c r="I507" s="74" t="s">
        <v>2</v>
      </c>
      <c r="J507" s="50" t="s">
        <v>510</v>
      </c>
      <c r="K507" s="51">
        <v>41432</v>
      </c>
      <c r="L507" s="115">
        <v>41428</v>
      </c>
      <c r="M507" s="50">
        <f t="shared" si="24"/>
        <v>4</v>
      </c>
      <c r="N507" s="74" t="s">
        <v>2</v>
      </c>
      <c r="O507" s="50">
        <f>1.4/2</f>
        <v>0.7</v>
      </c>
      <c r="P507" s="74">
        <v>6.5</v>
      </c>
      <c r="Q507" s="50">
        <v>7.03</v>
      </c>
      <c r="R507" s="74">
        <v>12</v>
      </c>
      <c r="S507" s="50">
        <f>5/2</f>
        <v>2.5</v>
      </c>
      <c r="T507" s="74">
        <v>0.05</v>
      </c>
      <c r="U507" s="50">
        <v>0.43</v>
      </c>
      <c r="V507" s="74">
        <v>0.05</v>
      </c>
      <c r="W507" s="50">
        <f>0.005/2</f>
        <v>2.5000000000000001E-3</v>
      </c>
      <c r="X507" s="74">
        <v>1.2E-2</v>
      </c>
      <c r="Y507" s="50">
        <f>0.002/2</f>
        <v>1E-3</v>
      </c>
      <c r="Z507" s="165"/>
      <c r="AA507" s="164"/>
      <c r="AB507" s="74"/>
      <c r="AC507" s="50"/>
      <c r="AD507" s="165"/>
      <c r="AF507" s="74"/>
      <c r="AH507" s="74"/>
      <c r="AJ507" s="74"/>
      <c r="AL507" s="74"/>
      <c r="AN507" s="50"/>
      <c r="AO507" s="49"/>
      <c r="AP507" s="114"/>
      <c r="AQ507" s="50"/>
      <c r="AR507" s="49"/>
      <c r="AS507" s="50"/>
      <c r="AT507" s="49"/>
      <c r="AU507" s="5"/>
    </row>
    <row r="508" spans="1:49" ht="15" customHeight="1">
      <c r="A508" s="293" t="s">
        <v>68</v>
      </c>
      <c r="B508" s="50" t="s">
        <v>4823</v>
      </c>
      <c r="C508" s="50" t="s">
        <v>4824</v>
      </c>
      <c r="D508" s="48" t="s">
        <v>462</v>
      </c>
      <c r="E508" s="50" t="s">
        <v>4825</v>
      </c>
      <c r="F508" s="50" t="s">
        <v>4211</v>
      </c>
      <c r="G508" s="76" t="s">
        <v>3046</v>
      </c>
      <c r="H508" s="50">
        <v>4953</v>
      </c>
      <c r="I508" s="49" t="s">
        <v>2</v>
      </c>
      <c r="J508" s="50" t="s">
        <v>4826</v>
      </c>
      <c r="K508" s="51">
        <v>41432</v>
      </c>
      <c r="L508" s="115">
        <v>41428</v>
      </c>
      <c r="M508" s="50">
        <f t="shared" si="24"/>
        <v>4</v>
      </c>
      <c r="N508" s="50" t="s">
        <v>2</v>
      </c>
      <c r="O508" s="74">
        <f>2/2</f>
        <v>1</v>
      </c>
      <c r="P508" s="50">
        <v>6</v>
      </c>
      <c r="Q508" s="74">
        <v>7.9</v>
      </c>
      <c r="R508" s="50">
        <v>190</v>
      </c>
      <c r="S508" s="74">
        <v>350</v>
      </c>
      <c r="T508" s="50">
        <v>1.1000000000000001</v>
      </c>
      <c r="U508" s="74">
        <v>4.3</v>
      </c>
      <c r="V508" s="50">
        <v>0.54</v>
      </c>
      <c r="W508" s="74">
        <v>1.7000000000000001E-2</v>
      </c>
      <c r="X508" s="50">
        <v>5.0999999999999997E-2</v>
      </c>
      <c r="Y508" s="74">
        <v>2.3E-2</v>
      </c>
      <c r="AG508" s="74"/>
      <c r="AI508" s="113"/>
      <c r="AK508" s="74"/>
      <c r="AM508" s="74"/>
      <c r="AN508" s="50"/>
      <c r="AO508" s="74"/>
      <c r="AQ508" s="74"/>
      <c r="AS508" s="74"/>
      <c r="AU508" s="74"/>
    </row>
    <row r="509" spans="1:49" ht="15" customHeight="1">
      <c r="A509" s="293" t="s">
        <v>68</v>
      </c>
      <c r="B509" s="50" t="s">
        <v>3664</v>
      </c>
      <c r="C509" s="74" t="s">
        <v>392</v>
      </c>
      <c r="D509" s="48" t="s">
        <v>103</v>
      </c>
      <c r="E509" s="74" t="s">
        <v>4765</v>
      </c>
      <c r="G509" s="48" t="s">
        <v>4131</v>
      </c>
      <c r="H509" s="74">
        <v>4214</v>
      </c>
      <c r="I509" s="50" t="s">
        <v>1</v>
      </c>
      <c r="J509" s="74" t="s">
        <v>392</v>
      </c>
      <c r="K509" s="51">
        <v>41402</v>
      </c>
      <c r="L509" s="173"/>
      <c r="N509" s="50" t="s">
        <v>2</v>
      </c>
      <c r="O509" s="74">
        <f>1/2</f>
        <v>0.5</v>
      </c>
      <c r="P509" s="50">
        <v>7.45</v>
      </c>
      <c r="Q509" s="74">
        <v>7.36</v>
      </c>
      <c r="R509" s="50">
        <v>1837</v>
      </c>
      <c r="S509" s="74">
        <v>10</v>
      </c>
      <c r="T509" s="50">
        <v>3.6999999999999998E-2</v>
      </c>
      <c r="U509" s="74">
        <v>0.72</v>
      </c>
      <c r="V509" s="50">
        <v>0.81</v>
      </c>
      <c r="W509" s="74">
        <v>6.0000000000000001E-3</v>
      </c>
      <c r="X509" s="50">
        <v>2.8000000000000001E-2</v>
      </c>
      <c r="Y509" s="74">
        <v>2E-3</v>
      </c>
      <c r="Z509" s="164">
        <v>1</v>
      </c>
      <c r="AA509" s="165">
        <v>1</v>
      </c>
      <c r="AB509" s="50">
        <v>84.62</v>
      </c>
      <c r="AC509" s="74">
        <v>414</v>
      </c>
      <c r="AD509" s="164">
        <v>1</v>
      </c>
      <c r="AE509" s="50">
        <v>380</v>
      </c>
      <c r="AO509" s="114">
        <v>380</v>
      </c>
      <c r="AV509" s="1">
        <f>0.01/2</f>
        <v>5.0000000000000001E-3</v>
      </c>
      <c r="AW509" s="5">
        <v>271.10000000000002</v>
      </c>
    </row>
    <row r="510" spans="1:49" ht="15" customHeight="1">
      <c r="A510" s="293" t="s">
        <v>68</v>
      </c>
      <c r="B510" s="50" t="s">
        <v>4950</v>
      </c>
      <c r="C510" s="7" t="s">
        <v>4951</v>
      </c>
      <c r="D510" s="48" t="s">
        <v>567</v>
      </c>
      <c r="E510" s="50" t="s">
        <v>664</v>
      </c>
      <c r="G510" s="76" t="s">
        <v>4952</v>
      </c>
      <c r="H510" s="50">
        <v>4953</v>
      </c>
      <c r="I510" s="49" t="s">
        <v>2</v>
      </c>
      <c r="J510" s="50" t="s">
        <v>4953</v>
      </c>
      <c r="K510" s="51">
        <v>41529</v>
      </c>
      <c r="L510" s="115"/>
      <c r="N510" s="50" t="s">
        <v>2</v>
      </c>
      <c r="O510" s="74">
        <v>6.1</v>
      </c>
      <c r="P510" s="50">
        <v>6.8</v>
      </c>
      <c r="Q510" s="74">
        <v>6.57</v>
      </c>
      <c r="R510" s="50">
        <v>190</v>
      </c>
      <c r="S510" s="74">
        <v>250</v>
      </c>
      <c r="T510" s="50">
        <v>0.44</v>
      </c>
      <c r="U510" s="74">
        <v>2.2000000000000002</v>
      </c>
      <c r="V510" s="50">
        <v>0.12</v>
      </c>
      <c r="W510" s="74">
        <f>0.04/2</f>
        <v>0.02</v>
      </c>
      <c r="X510" s="50">
        <v>0.25</v>
      </c>
      <c r="Y510" s="74">
        <v>4.3999999999999997E-2</v>
      </c>
    </row>
    <row r="511" spans="1:49" ht="15" customHeight="1">
      <c r="A511" s="293" t="s">
        <v>68</v>
      </c>
      <c r="B511" s="50" t="s">
        <v>4950</v>
      </c>
      <c r="C511" s="7" t="s">
        <v>4951</v>
      </c>
      <c r="D511" s="48" t="s">
        <v>567</v>
      </c>
      <c r="E511" s="50" t="s">
        <v>664</v>
      </c>
      <c r="G511" s="76" t="s">
        <v>4952</v>
      </c>
      <c r="H511" s="50">
        <v>4953</v>
      </c>
      <c r="I511" s="49" t="s">
        <v>2</v>
      </c>
      <c r="J511" s="50" t="s">
        <v>4954</v>
      </c>
      <c r="K511" s="51">
        <v>41529</v>
      </c>
      <c r="L511" s="115"/>
      <c r="N511" s="50" t="s">
        <v>2</v>
      </c>
      <c r="O511" s="74">
        <v>21</v>
      </c>
      <c r="P511" s="50">
        <v>6.8</v>
      </c>
      <c r="Q511" s="74">
        <v>6.6</v>
      </c>
      <c r="R511" s="50">
        <v>170</v>
      </c>
      <c r="S511" s="74">
        <v>320</v>
      </c>
      <c r="T511" s="50">
        <v>1.1000000000000001</v>
      </c>
      <c r="U511" s="74">
        <v>2.2000000000000002</v>
      </c>
      <c r="V511" s="50">
        <v>0.37</v>
      </c>
      <c r="W511" s="74">
        <f>0.04/2</f>
        <v>0.02</v>
      </c>
      <c r="X511" s="50">
        <v>0.22</v>
      </c>
      <c r="Y511" s="74">
        <v>0.04</v>
      </c>
    </row>
    <row r="512" spans="1:49" ht="15" customHeight="1">
      <c r="A512" s="293" t="s">
        <v>68</v>
      </c>
      <c r="B512" s="50" t="s">
        <v>4950</v>
      </c>
      <c r="C512" s="7" t="s">
        <v>4951</v>
      </c>
      <c r="D512" s="48" t="s">
        <v>567</v>
      </c>
      <c r="E512" s="50" t="s">
        <v>664</v>
      </c>
      <c r="G512" s="76" t="s">
        <v>4952</v>
      </c>
      <c r="H512" s="50">
        <v>4953</v>
      </c>
      <c r="I512" s="49" t="s">
        <v>2</v>
      </c>
      <c r="J512" s="50" t="s">
        <v>4955</v>
      </c>
      <c r="K512" s="51">
        <v>41529</v>
      </c>
      <c r="L512" s="115"/>
      <c r="N512" s="50" t="s">
        <v>2</v>
      </c>
      <c r="O512" s="74">
        <v>11</v>
      </c>
      <c r="P512" s="50">
        <v>6.8</v>
      </c>
      <c r="Q512" s="74">
        <v>6.54</v>
      </c>
      <c r="R512" s="50">
        <v>150</v>
      </c>
      <c r="S512" s="74">
        <v>560</v>
      </c>
      <c r="T512" s="50">
        <v>0.54</v>
      </c>
      <c r="U512" s="74">
        <v>1.7</v>
      </c>
      <c r="V512" s="50">
        <v>0.5</v>
      </c>
      <c r="W512" s="74">
        <v>9.8000000000000004E-2</v>
      </c>
      <c r="X512" s="50">
        <v>0.71</v>
      </c>
      <c r="Y512" s="74">
        <v>0.14000000000000001</v>
      </c>
    </row>
    <row r="513" spans="1:40" ht="15" customHeight="1">
      <c r="A513" s="293" t="s">
        <v>68</v>
      </c>
      <c r="B513" s="50" t="s">
        <v>4950</v>
      </c>
      <c r="C513" s="7" t="s">
        <v>4951</v>
      </c>
      <c r="D513" s="48" t="s">
        <v>567</v>
      </c>
      <c r="G513" s="76" t="s">
        <v>4952</v>
      </c>
      <c r="J513" s="50" t="s">
        <v>4953</v>
      </c>
      <c r="K513" s="51">
        <v>41305</v>
      </c>
      <c r="L513" s="115"/>
      <c r="O513" s="74">
        <f>5/2</f>
        <v>2.5</v>
      </c>
      <c r="Q513" s="74">
        <v>7.3</v>
      </c>
      <c r="S513" s="74">
        <v>10</v>
      </c>
      <c r="W513" s="74">
        <f>0.04/2</f>
        <v>0.02</v>
      </c>
      <c r="X513" s="50">
        <v>4.5999999999999999E-2</v>
      </c>
      <c r="Y513" s="74">
        <f>0.013/2</f>
        <v>6.4999999999999997E-3</v>
      </c>
      <c r="AE513" s="50">
        <v>0.78</v>
      </c>
      <c r="AF513" s="50">
        <v>40</v>
      </c>
    </row>
    <row r="514" spans="1:40" ht="15" customHeight="1">
      <c r="A514" s="293" t="s">
        <v>68</v>
      </c>
      <c r="B514" s="50" t="s">
        <v>4950</v>
      </c>
      <c r="C514" s="7" t="s">
        <v>4951</v>
      </c>
      <c r="D514" s="48" t="s">
        <v>567</v>
      </c>
      <c r="G514" s="76" t="s">
        <v>4952</v>
      </c>
      <c r="J514" s="50" t="s">
        <v>4954</v>
      </c>
      <c r="K514" s="51">
        <v>41305</v>
      </c>
      <c r="L514" s="115"/>
      <c r="O514" s="74">
        <f>5/2</f>
        <v>2.5</v>
      </c>
      <c r="Q514" s="74">
        <v>7.73</v>
      </c>
      <c r="S514" s="74">
        <v>69</v>
      </c>
      <c r="W514" s="74">
        <f>0.04/2</f>
        <v>0.02</v>
      </c>
      <c r="X514" s="50">
        <v>6.6000000000000003E-2</v>
      </c>
      <c r="Y514" s="74">
        <f>0.013/2</f>
        <v>6.4999999999999997E-3</v>
      </c>
      <c r="AE514" s="50">
        <v>4.5999999999999996</v>
      </c>
      <c r="AF514" s="50">
        <v>40</v>
      </c>
    </row>
    <row r="515" spans="1:40" ht="15" customHeight="1">
      <c r="A515" s="293" t="s">
        <v>68</v>
      </c>
      <c r="B515" s="50" t="s">
        <v>4950</v>
      </c>
      <c r="C515" s="7" t="s">
        <v>4951</v>
      </c>
      <c r="D515" s="48" t="s">
        <v>567</v>
      </c>
      <c r="G515" s="76" t="s">
        <v>4952</v>
      </c>
      <c r="J515" s="50" t="s">
        <v>4955</v>
      </c>
      <c r="K515" s="51">
        <v>41305</v>
      </c>
      <c r="L515" s="115"/>
      <c r="O515" s="74">
        <f>5/2</f>
        <v>2.5</v>
      </c>
      <c r="Q515" s="74">
        <v>7.39</v>
      </c>
      <c r="S515" s="74">
        <v>16</v>
      </c>
      <c r="W515" s="74">
        <f>0.04/2</f>
        <v>0.02</v>
      </c>
      <c r="X515" s="50">
        <v>2.1999999999999999E-2</v>
      </c>
      <c r="Y515" s="74">
        <f>0.013/2</f>
        <v>6.4999999999999997E-3</v>
      </c>
      <c r="AE515" s="50">
        <v>0.65</v>
      </c>
      <c r="AF515" s="50">
        <v>32</v>
      </c>
    </row>
    <row r="516" spans="1:40" ht="15" customHeight="1">
      <c r="A516" s="293" t="s">
        <v>68</v>
      </c>
      <c r="B516" s="50" t="s">
        <v>4950</v>
      </c>
      <c r="C516" s="7" t="s">
        <v>4951</v>
      </c>
      <c r="D516" s="48" t="s">
        <v>567</v>
      </c>
      <c r="G516" s="76" t="s">
        <v>4952</v>
      </c>
      <c r="H516" s="50">
        <v>4953</v>
      </c>
      <c r="I516" s="49" t="s">
        <v>2</v>
      </c>
      <c r="J516" s="50" t="s">
        <v>4953</v>
      </c>
      <c r="K516" s="51">
        <v>41417</v>
      </c>
      <c r="L516" s="115"/>
      <c r="N516" s="50" t="s">
        <v>2</v>
      </c>
      <c r="O516" s="74">
        <v>7.1</v>
      </c>
      <c r="P516" s="50">
        <v>6.33</v>
      </c>
      <c r="Q516" s="74">
        <v>6.64</v>
      </c>
      <c r="R516" s="50">
        <v>410</v>
      </c>
      <c r="S516" s="74">
        <v>170</v>
      </c>
      <c r="T516" s="50">
        <v>0.94</v>
      </c>
      <c r="U516" s="74">
        <v>7.4</v>
      </c>
      <c r="V516" s="50">
        <f>0.1/2</f>
        <v>0.05</v>
      </c>
      <c r="W516" s="74">
        <v>7.9000000000000001E-2</v>
      </c>
      <c r="X516" s="50">
        <v>0.33</v>
      </c>
      <c r="Y516" s="74">
        <v>4.7E-2</v>
      </c>
      <c r="Z516" s="164">
        <v>1</v>
      </c>
      <c r="AA516" s="165">
        <v>0.59499999999999997</v>
      </c>
      <c r="AB516" s="50">
        <v>84</v>
      </c>
      <c r="AC516" s="74">
        <v>328</v>
      </c>
      <c r="AD516" s="164">
        <v>0</v>
      </c>
      <c r="AF516" s="50">
        <v>140</v>
      </c>
    </row>
    <row r="517" spans="1:40" ht="15" customHeight="1">
      <c r="A517" s="293" t="s">
        <v>68</v>
      </c>
      <c r="B517" s="50" t="s">
        <v>4950</v>
      </c>
      <c r="C517" s="7" t="s">
        <v>4951</v>
      </c>
      <c r="D517" s="48" t="s">
        <v>567</v>
      </c>
      <c r="G517" s="76" t="s">
        <v>4952</v>
      </c>
      <c r="H517" s="50">
        <v>4953</v>
      </c>
      <c r="I517" s="49" t="s">
        <v>2</v>
      </c>
      <c r="J517" s="50" t="s">
        <v>4954</v>
      </c>
      <c r="K517" s="51">
        <v>41417</v>
      </c>
      <c r="L517" s="115"/>
      <c r="N517" s="50" t="s">
        <v>2</v>
      </c>
      <c r="O517" s="74">
        <v>5.8</v>
      </c>
      <c r="P517" s="50">
        <v>6.33</v>
      </c>
      <c r="Q517" s="74">
        <v>6.98</v>
      </c>
      <c r="R517" s="50">
        <v>230</v>
      </c>
      <c r="S517" s="74">
        <v>400</v>
      </c>
      <c r="T517" s="50">
        <v>0.86</v>
      </c>
      <c r="U517" s="74">
        <v>1.5</v>
      </c>
      <c r="V517" s="50">
        <v>0.14000000000000001</v>
      </c>
      <c r="W517" s="74">
        <v>8.1000000000000003E-2</v>
      </c>
      <c r="X517" s="50">
        <v>0.6</v>
      </c>
      <c r="Y517" s="74">
        <v>0.12</v>
      </c>
      <c r="Z517" s="164">
        <v>1</v>
      </c>
      <c r="AA517" s="165">
        <v>1</v>
      </c>
      <c r="AB517" s="50">
        <v>60</v>
      </c>
      <c r="AC517" s="74">
        <v>101</v>
      </c>
      <c r="AD517" s="164">
        <v>1</v>
      </c>
      <c r="AF517" s="50">
        <v>29</v>
      </c>
    </row>
    <row r="518" spans="1:40" ht="15" customHeight="1">
      <c r="A518" s="293" t="s">
        <v>68</v>
      </c>
      <c r="B518" s="50" t="s">
        <v>4950</v>
      </c>
      <c r="C518" s="7" t="s">
        <v>4951</v>
      </c>
      <c r="D518" s="48" t="s">
        <v>567</v>
      </c>
      <c r="G518" s="76" t="s">
        <v>4952</v>
      </c>
      <c r="H518" s="50">
        <v>4953</v>
      </c>
      <c r="I518" s="49" t="s">
        <v>2</v>
      </c>
      <c r="J518" s="50" t="s">
        <v>4955</v>
      </c>
      <c r="K518" s="51">
        <v>41417</v>
      </c>
      <c r="L518" s="115"/>
      <c r="N518" s="50" t="s">
        <v>2</v>
      </c>
      <c r="O518" s="74">
        <f>5/2</f>
        <v>2.5</v>
      </c>
      <c r="P518" s="50">
        <v>6.33</v>
      </c>
      <c r="Q518" s="74">
        <v>7.88</v>
      </c>
      <c r="R518" s="50">
        <v>290</v>
      </c>
      <c r="S518" s="74">
        <v>950</v>
      </c>
      <c r="T518" s="50">
        <v>3.8</v>
      </c>
      <c r="U518" s="74">
        <v>4.5</v>
      </c>
      <c r="V518" s="50">
        <v>0.61</v>
      </c>
      <c r="W518" s="74">
        <v>0.22</v>
      </c>
      <c r="X518" s="50">
        <v>0.74</v>
      </c>
      <c r="Y518" s="74">
        <v>0.43</v>
      </c>
      <c r="Z518" s="164">
        <v>1</v>
      </c>
      <c r="AA518" s="165">
        <v>1</v>
      </c>
      <c r="AB518" s="50">
        <v>170</v>
      </c>
      <c r="AC518" s="74">
        <v>286</v>
      </c>
      <c r="AD518" s="164">
        <v>1</v>
      </c>
      <c r="AF518" s="50">
        <v>31</v>
      </c>
    </row>
    <row r="519" spans="1:40" ht="15" customHeight="1">
      <c r="A519" s="88" t="s">
        <v>68</v>
      </c>
      <c r="B519" s="50" t="s">
        <v>3418</v>
      </c>
      <c r="C519" s="7" t="s">
        <v>3419</v>
      </c>
      <c r="D519" s="48" t="s">
        <v>452</v>
      </c>
      <c r="F519" s="48" t="s">
        <v>2714</v>
      </c>
      <c r="G519" s="76" t="s">
        <v>3420</v>
      </c>
      <c r="H519" s="50">
        <v>9199</v>
      </c>
      <c r="I519" s="49" t="s">
        <v>2</v>
      </c>
      <c r="J519" s="50" t="s">
        <v>366</v>
      </c>
      <c r="K519" s="51">
        <v>41495</v>
      </c>
      <c r="L519" s="115">
        <v>41488</v>
      </c>
      <c r="M519" s="50">
        <f>K519-L519</f>
        <v>7</v>
      </c>
      <c r="N519" s="50" t="s">
        <v>2</v>
      </c>
      <c r="O519" s="74">
        <v>20</v>
      </c>
      <c r="P519" s="50">
        <v>6.5</v>
      </c>
      <c r="Q519" s="74">
        <v>6.89</v>
      </c>
      <c r="R519" s="50">
        <v>139</v>
      </c>
      <c r="S519" s="74">
        <v>660</v>
      </c>
      <c r="T519" s="50">
        <v>1.55</v>
      </c>
      <c r="U519" s="74">
        <v>10.199999999999999</v>
      </c>
      <c r="V519" s="50">
        <f>0.01/2</f>
        <v>5.0000000000000001E-3</v>
      </c>
      <c r="W519" s="74">
        <v>0.03</v>
      </c>
      <c r="X519" s="50">
        <v>0.19700000000000001</v>
      </c>
      <c r="Y519" s="74">
        <v>3.5000000000000003E-2</v>
      </c>
    </row>
    <row r="520" spans="1:40" ht="15" customHeight="1">
      <c r="A520" s="293" t="s">
        <v>68</v>
      </c>
      <c r="B520" s="50" t="s">
        <v>4950</v>
      </c>
      <c r="C520" s="7" t="s">
        <v>4951</v>
      </c>
      <c r="D520" s="48" t="s">
        <v>567</v>
      </c>
      <c r="G520" s="76" t="s">
        <v>4952</v>
      </c>
      <c r="H520" s="50">
        <v>4953</v>
      </c>
      <c r="I520" s="49" t="s">
        <v>2</v>
      </c>
      <c r="J520" s="50" t="s">
        <v>4953</v>
      </c>
      <c r="K520" s="51">
        <v>41021</v>
      </c>
      <c r="L520" s="115"/>
      <c r="N520" s="50" t="s">
        <v>2</v>
      </c>
      <c r="O520" s="74">
        <f t="shared" ref="O520:O525" si="25">5/2</f>
        <v>2.5</v>
      </c>
      <c r="P520" s="50">
        <v>6.21</v>
      </c>
      <c r="Q520" s="74">
        <v>7.25</v>
      </c>
      <c r="R520" s="50">
        <v>25</v>
      </c>
      <c r="S520" s="74">
        <v>11</v>
      </c>
      <c r="T520" s="50">
        <v>0.14000000000000001</v>
      </c>
      <c r="U520" s="74">
        <f>1/2</f>
        <v>0.5</v>
      </c>
      <c r="V520" s="50">
        <f>0.1/2</f>
        <v>0.05</v>
      </c>
      <c r="W520" s="74">
        <f t="shared" ref="W520:W525" si="26">0.04/2</f>
        <v>0.02</v>
      </c>
      <c r="X520" s="50">
        <v>2.1999999999999999E-2</v>
      </c>
      <c r="Y520" s="74">
        <f>0.013/2</f>
        <v>6.4999999999999997E-3</v>
      </c>
      <c r="Z520" s="164">
        <v>1</v>
      </c>
      <c r="AA520" s="165">
        <v>1</v>
      </c>
      <c r="AB520" s="50">
        <v>16</v>
      </c>
      <c r="AC520" s="74">
        <v>89</v>
      </c>
      <c r="AD520" s="164">
        <v>1</v>
      </c>
      <c r="AE520" s="50">
        <v>0.17</v>
      </c>
      <c r="AF520" s="50">
        <v>34</v>
      </c>
      <c r="AG520" s="50">
        <v>11</v>
      </c>
      <c r="AM520" s="50">
        <v>2.1999999999999999E-2</v>
      </c>
      <c r="AN520" s="114">
        <v>7.25</v>
      </c>
    </row>
    <row r="521" spans="1:40" ht="15" customHeight="1">
      <c r="A521" s="293" t="s">
        <v>68</v>
      </c>
      <c r="B521" s="50" t="s">
        <v>4950</v>
      </c>
      <c r="C521" s="7" t="s">
        <v>4951</v>
      </c>
      <c r="D521" s="48" t="s">
        <v>567</v>
      </c>
      <c r="G521" s="76" t="s">
        <v>4952</v>
      </c>
      <c r="H521" s="50">
        <v>4953</v>
      </c>
      <c r="I521" s="49" t="s">
        <v>2</v>
      </c>
      <c r="J521" s="50" t="s">
        <v>4954</v>
      </c>
      <c r="K521" s="51">
        <v>41021</v>
      </c>
      <c r="L521" s="115"/>
      <c r="N521" s="50" t="s">
        <v>2</v>
      </c>
      <c r="O521" s="74">
        <f t="shared" si="25"/>
        <v>2.5</v>
      </c>
      <c r="P521" s="50">
        <v>6.21</v>
      </c>
      <c r="Q521" s="74">
        <v>7.16</v>
      </c>
      <c r="R521" s="50">
        <v>45</v>
      </c>
      <c r="S521" s="74">
        <v>40</v>
      </c>
      <c r="T521" s="50">
        <f>0.1/2</f>
        <v>0.05</v>
      </c>
      <c r="U521" s="74">
        <f>1/2</f>
        <v>0.5</v>
      </c>
      <c r="V521" s="50">
        <v>0.61</v>
      </c>
      <c r="W521" s="74">
        <f t="shared" si="26"/>
        <v>0.02</v>
      </c>
      <c r="X521" s="50">
        <v>2.4E-2</v>
      </c>
      <c r="Y521" s="74">
        <f>0.013/2</f>
        <v>6.4999999999999997E-3</v>
      </c>
      <c r="Z521" s="164">
        <v>1</v>
      </c>
      <c r="AA521" s="165">
        <v>1</v>
      </c>
      <c r="AB521" s="50">
        <v>52</v>
      </c>
      <c r="AC521" s="74">
        <v>589</v>
      </c>
      <c r="AD521" s="164">
        <v>1</v>
      </c>
      <c r="AE521" s="50">
        <v>1.7</v>
      </c>
      <c r="AF521" s="50">
        <v>74</v>
      </c>
      <c r="AG521" s="50">
        <v>40</v>
      </c>
      <c r="AM521" s="50">
        <v>2.4E-2</v>
      </c>
      <c r="AN521" s="114">
        <v>7.16</v>
      </c>
    </row>
    <row r="522" spans="1:40" ht="15" customHeight="1">
      <c r="A522" s="293" t="s">
        <v>68</v>
      </c>
      <c r="B522" s="50" t="s">
        <v>4950</v>
      </c>
      <c r="C522" s="7" t="s">
        <v>4951</v>
      </c>
      <c r="D522" s="48" t="s">
        <v>567</v>
      </c>
      <c r="G522" s="76" t="s">
        <v>4952</v>
      </c>
      <c r="H522" s="50">
        <v>4953</v>
      </c>
      <c r="I522" s="49" t="s">
        <v>2</v>
      </c>
      <c r="J522" s="50" t="s">
        <v>4955</v>
      </c>
      <c r="K522" s="51">
        <v>41021</v>
      </c>
      <c r="L522" s="115"/>
      <c r="N522" s="50" t="s">
        <v>2</v>
      </c>
      <c r="O522" s="74">
        <f t="shared" si="25"/>
        <v>2.5</v>
      </c>
      <c r="P522" s="50">
        <v>6.21</v>
      </c>
      <c r="Q522" s="74">
        <v>7.01</v>
      </c>
      <c r="R522" s="50">
        <v>220</v>
      </c>
      <c r="S522" s="74">
        <v>22</v>
      </c>
      <c r="T522" s="50">
        <f>0.1/2</f>
        <v>0.05</v>
      </c>
      <c r="U522" s="74">
        <f>1/2</f>
        <v>0.5</v>
      </c>
      <c r="V522" s="50">
        <f>0.1/2</f>
        <v>0.05</v>
      </c>
      <c r="W522" s="74">
        <f t="shared" si="26"/>
        <v>0.02</v>
      </c>
      <c r="X522" s="50">
        <f>0.02/2</f>
        <v>0.01</v>
      </c>
      <c r="Y522" s="74">
        <f>0.013/2</f>
        <v>6.4999999999999997E-3</v>
      </c>
      <c r="Z522" s="164">
        <v>1</v>
      </c>
      <c r="AA522" s="165">
        <v>1</v>
      </c>
      <c r="AB522" s="50">
        <v>9</v>
      </c>
      <c r="AC522" s="74">
        <v>54</v>
      </c>
      <c r="AD522" s="164">
        <v>1</v>
      </c>
      <c r="AE522" s="50">
        <v>0.2</v>
      </c>
      <c r="AF522" s="50">
        <v>48</v>
      </c>
      <c r="AG522" s="50">
        <v>22</v>
      </c>
      <c r="AM522" s="50">
        <f>0.02/2</f>
        <v>0.01</v>
      </c>
      <c r="AN522" s="114">
        <v>7.01</v>
      </c>
    </row>
    <row r="523" spans="1:40" ht="15" customHeight="1">
      <c r="A523" s="293" t="s">
        <v>68</v>
      </c>
      <c r="B523" s="50" t="s">
        <v>4950</v>
      </c>
      <c r="C523" s="7" t="s">
        <v>4951</v>
      </c>
      <c r="D523" s="48" t="s">
        <v>567</v>
      </c>
      <c r="G523" s="76" t="s">
        <v>4952</v>
      </c>
      <c r="H523" s="50">
        <v>4953</v>
      </c>
      <c r="I523" s="49" t="s">
        <v>2</v>
      </c>
      <c r="J523" s="50" t="s">
        <v>4953</v>
      </c>
      <c r="K523" s="51">
        <v>41116</v>
      </c>
      <c r="L523" s="115"/>
      <c r="N523" s="50" t="s">
        <v>2</v>
      </c>
      <c r="O523" s="74">
        <f t="shared" si="25"/>
        <v>2.5</v>
      </c>
      <c r="P523" s="50">
        <v>6.48</v>
      </c>
      <c r="Q523" s="74">
        <v>6.03</v>
      </c>
      <c r="R523" s="50">
        <v>300</v>
      </c>
      <c r="S523" s="74">
        <v>52</v>
      </c>
      <c r="T523" s="50">
        <v>0.67</v>
      </c>
      <c r="U523" s="74">
        <v>7.1</v>
      </c>
      <c r="V523" s="50">
        <f>0.1/2</f>
        <v>0.05</v>
      </c>
      <c r="W523" s="74">
        <f t="shared" si="26"/>
        <v>0.02</v>
      </c>
      <c r="X523" s="50">
        <v>0.17</v>
      </c>
      <c r="Y523" s="74">
        <v>1.6E-2</v>
      </c>
      <c r="AE523" s="50">
        <v>1.2</v>
      </c>
      <c r="AF523" s="50">
        <v>170</v>
      </c>
      <c r="AG523" s="50">
        <v>52</v>
      </c>
      <c r="AH523" s="50">
        <f>0.1/2</f>
        <v>0.05</v>
      </c>
      <c r="AI523" s="50">
        <f>0.02/2</f>
        <v>0.01</v>
      </c>
      <c r="AJ523" s="50">
        <v>3.6999999999999998E-2</v>
      </c>
      <c r="AL523" s="50">
        <f>0.01/2</f>
        <v>5.0000000000000001E-3</v>
      </c>
      <c r="AM523" s="50">
        <v>0.17</v>
      </c>
    </row>
    <row r="524" spans="1:40" ht="15" customHeight="1">
      <c r="A524" s="293" t="s">
        <v>68</v>
      </c>
      <c r="B524" s="50" t="s">
        <v>4950</v>
      </c>
      <c r="C524" s="7" t="s">
        <v>4951</v>
      </c>
      <c r="D524" s="48" t="s">
        <v>567</v>
      </c>
      <c r="G524" s="76" t="s">
        <v>4952</v>
      </c>
      <c r="H524" s="50">
        <v>4953</v>
      </c>
      <c r="I524" s="49" t="s">
        <v>2</v>
      </c>
      <c r="J524" s="50" t="s">
        <v>4954</v>
      </c>
      <c r="K524" s="51">
        <v>41116</v>
      </c>
      <c r="L524" s="115"/>
      <c r="N524" s="50" t="s">
        <v>2</v>
      </c>
      <c r="O524" s="74">
        <f t="shared" si="25"/>
        <v>2.5</v>
      </c>
      <c r="P524" s="50">
        <v>6.48</v>
      </c>
      <c r="Q524" s="74">
        <v>6.72</v>
      </c>
      <c r="R524" s="50">
        <v>180</v>
      </c>
      <c r="S524" s="74">
        <v>150</v>
      </c>
      <c r="T524" s="50">
        <v>0.27</v>
      </c>
      <c r="U524" s="74">
        <v>3.2</v>
      </c>
      <c r="V524" s="50">
        <v>1.1000000000000001</v>
      </c>
      <c r="W524" s="74">
        <f t="shared" si="26"/>
        <v>0.02</v>
      </c>
      <c r="X524" s="50">
        <v>7.3999999999999996E-2</v>
      </c>
      <c r="Y524" s="74">
        <v>3.6999999999999998E-2</v>
      </c>
      <c r="AE524" s="50">
        <v>4.3</v>
      </c>
      <c r="AF524" s="50">
        <v>17</v>
      </c>
      <c r="AG524" s="50">
        <v>150</v>
      </c>
      <c r="AH524" s="50">
        <v>1.4</v>
      </c>
      <c r="AI524" s="50">
        <f>0.02/2</f>
        <v>0.01</v>
      </c>
      <c r="AJ524" s="50">
        <f>0.02/2</f>
        <v>0.01</v>
      </c>
      <c r="AL524" s="50">
        <f>0.01/2</f>
        <v>5.0000000000000001E-3</v>
      </c>
      <c r="AM524" s="50">
        <v>7.3999999999999996E-2</v>
      </c>
    </row>
    <row r="525" spans="1:40" ht="15" customHeight="1">
      <c r="A525" s="293" t="s">
        <v>68</v>
      </c>
      <c r="B525" s="50" t="s">
        <v>4950</v>
      </c>
      <c r="C525" s="7" t="s">
        <v>4951</v>
      </c>
      <c r="D525" s="48" t="s">
        <v>567</v>
      </c>
      <c r="G525" s="76" t="s">
        <v>4952</v>
      </c>
      <c r="H525" s="50">
        <v>4953</v>
      </c>
      <c r="I525" s="49" t="s">
        <v>2</v>
      </c>
      <c r="J525" s="50" t="s">
        <v>4955</v>
      </c>
      <c r="K525" s="51">
        <v>41116</v>
      </c>
      <c r="L525" s="115"/>
      <c r="N525" s="50" t="s">
        <v>2</v>
      </c>
      <c r="O525" s="74">
        <f t="shared" si="25"/>
        <v>2.5</v>
      </c>
      <c r="P525" s="50">
        <v>6.48</v>
      </c>
      <c r="Q525" s="74">
        <v>6.82</v>
      </c>
      <c r="R525" s="50">
        <v>65</v>
      </c>
      <c r="S525" s="74">
        <v>6</v>
      </c>
      <c r="T525" s="50">
        <f>0.1/2</f>
        <v>0.05</v>
      </c>
      <c r="U525" s="74">
        <v>1</v>
      </c>
      <c r="V525" s="50">
        <v>0.69</v>
      </c>
      <c r="W525" s="74">
        <f t="shared" si="26"/>
        <v>0.02</v>
      </c>
      <c r="X525" s="50">
        <v>2.5000000000000001E-2</v>
      </c>
      <c r="Y525" s="74">
        <f>0.013/2</f>
        <v>6.4999999999999997E-3</v>
      </c>
      <c r="AE525" s="50">
        <v>0.2</v>
      </c>
      <c r="AF525" s="50">
        <v>16</v>
      </c>
      <c r="AG525" s="50">
        <v>6</v>
      </c>
      <c r="AH525" s="50">
        <f>0.01/2</f>
        <v>5.0000000000000001E-3</v>
      </c>
      <c r="AI525" s="50">
        <f>0.02/2</f>
        <v>0.01</v>
      </c>
      <c r="AJ525" s="50">
        <f>0.02/2</f>
        <v>0.01</v>
      </c>
      <c r="AL525" s="50">
        <f>0.01/2</f>
        <v>5.0000000000000001E-3</v>
      </c>
      <c r="AM525" s="50">
        <v>2.5000000000000001E-2</v>
      </c>
    </row>
    <row r="526" spans="1:40" ht="15" customHeight="1">
      <c r="A526" s="293" t="s">
        <v>68</v>
      </c>
      <c r="B526" s="50" t="s">
        <v>470</v>
      </c>
      <c r="C526" s="7" t="s">
        <v>475</v>
      </c>
      <c r="D526" s="48" t="s">
        <v>471</v>
      </c>
      <c r="E526" s="50" t="s">
        <v>2615</v>
      </c>
      <c r="G526" s="76" t="s">
        <v>476</v>
      </c>
      <c r="H526" s="50">
        <v>4953</v>
      </c>
      <c r="I526" s="49" t="s">
        <v>2</v>
      </c>
      <c r="J526" s="50" t="s">
        <v>477</v>
      </c>
      <c r="K526" s="51">
        <v>41554</v>
      </c>
      <c r="L526" s="115">
        <v>41539</v>
      </c>
      <c r="M526" s="50">
        <f>K526-L526</f>
        <v>15</v>
      </c>
      <c r="N526" s="50" t="s">
        <v>2</v>
      </c>
      <c r="O526" s="74">
        <v>1.4</v>
      </c>
      <c r="P526" s="50">
        <v>5.5</v>
      </c>
      <c r="Q526" s="74">
        <v>6.2</v>
      </c>
      <c r="R526" s="50">
        <v>32</v>
      </c>
      <c r="S526" s="74">
        <v>100</v>
      </c>
      <c r="T526" s="50">
        <v>0.24</v>
      </c>
      <c r="U526" s="74">
        <v>1.1299999999999999</v>
      </c>
      <c r="V526" s="50">
        <v>0.21</v>
      </c>
      <c r="W526" s="74">
        <v>0.01</v>
      </c>
      <c r="X526" s="50">
        <v>3.7999999999999999E-2</v>
      </c>
      <c r="Y526" s="74">
        <v>6.8999999999999999E-3</v>
      </c>
    </row>
    <row r="527" spans="1:40" ht="15" customHeight="1">
      <c r="A527" s="293" t="s">
        <v>68</v>
      </c>
      <c r="B527" s="50" t="s">
        <v>280</v>
      </c>
      <c r="C527" s="7" t="s">
        <v>281</v>
      </c>
      <c r="D527" s="48" t="s">
        <v>1484</v>
      </c>
      <c r="E527" s="50" t="s">
        <v>282</v>
      </c>
      <c r="G527" s="76" t="s">
        <v>283</v>
      </c>
      <c r="H527" s="50">
        <v>4953</v>
      </c>
      <c r="I527" s="49" t="s">
        <v>2</v>
      </c>
      <c r="J527" s="50" t="s">
        <v>284</v>
      </c>
      <c r="K527" s="51">
        <v>41539</v>
      </c>
      <c r="L527" s="115">
        <v>41530</v>
      </c>
      <c r="M527" s="50">
        <f>K527-L527</f>
        <v>9</v>
      </c>
      <c r="N527" s="50" t="s">
        <v>2</v>
      </c>
      <c r="O527" s="74">
        <v>0.6</v>
      </c>
      <c r="P527" s="50">
        <v>8.19</v>
      </c>
      <c r="Q527" s="74">
        <v>7.56</v>
      </c>
      <c r="R527" s="50">
        <v>28</v>
      </c>
      <c r="S527" s="74">
        <f>4/2</f>
        <v>2</v>
      </c>
      <c r="T527" s="50">
        <v>0.1</v>
      </c>
      <c r="U527" s="74">
        <v>0.60599999999999998</v>
      </c>
      <c r="V527" s="50">
        <v>1.1499999999999999</v>
      </c>
      <c r="W527" s="74">
        <v>5.4200000000000003E-3</v>
      </c>
      <c r="X527" s="50">
        <v>3.2099999999999997E-2</v>
      </c>
      <c r="Y527" s="74">
        <f>0.003/2</f>
        <v>1.5E-3</v>
      </c>
      <c r="AE527" s="50">
        <v>0.56000000000000005</v>
      </c>
    </row>
    <row r="528" spans="1:40" ht="15" customHeight="1">
      <c r="A528" s="293" t="s">
        <v>68</v>
      </c>
      <c r="B528" s="50" t="s">
        <v>2863</v>
      </c>
      <c r="C528" s="50" t="s">
        <v>2866</v>
      </c>
      <c r="D528" s="48" t="s">
        <v>861</v>
      </c>
      <c r="E528" s="50" t="s">
        <v>2867</v>
      </c>
      <c r="G528" s="76" t="s">
        <v>2868</v>
      </c>
      <c r="H528" s="50">
        <v>4953</v>
      </c>
      <c r="I528" s="49" t="s">
        <v>2</v>
      </c>
      <c r="J528" s="50" t="s">
        <v>700</v>
      </c>
      <c r="K528" s="51">
        <v>40996</v>
      </c>
      <c r="L528" s="115">
        <v>40989</v>
      </c>
      <c r="M528" s="50">
        <f>K528-L528</f>
        <v>7</v>
      </c>
      <c r="N528" s="50" t="s">
        <v>2</v>
      </c>
      <c r="O528" s="131">
        <v>0.95</v>
      </c>
      <c r="P528" s="117">
        <v>5.2</v>
      </c>
      <c r="Q528" s="131">
        <v>6.4</v>
      </c>
      <c r="R528" s="50">
        <v>1000</v>
      </c>
      <c r="S528" s="74">
        <v>765</v>
      </c>
      <c r="T528" s="50">
        <v>3.09</v>
      </c>
      <c r="U528" s="74">
        <v>12</v>
      </c>
      <c r="V528" s="50">
        <v>0.7</v>
      </c>
      <c r="W528" s="74">
        <v>0.08</v>
      </c>
      <c r="X528" s="50">
        <v>0.47</v>
      </c>
      <c r="Y528" s="74">
        <v>0.121</v>
      </c>
      <c r="Z528" s="164">
        <v>1</v>
      </c>
      <c r="AA528" s="165">
        <v>1</v>
      </c>
      <c r="AB528" s="50">
        <v>30</v>
      </c>
      <c r="AC528" s="74">
        <v>323</v>
      </c>
      <c r="AD528" s="164">
        <v>1</v>
      </c>
    </row>
    <row r="529" spans="1:51" ht="15" customHeight="1">
      <c r="A529" s="293" t="s">
        <v>68</v>
      </c>
      <c r="B529" s="50" t="s">
        <v>2863</v>
      </c>
      <c r="C529" s="50" t="s">
        <v>2866</v>
      </c>
      <c r="D529" s="48" t="s">
        <v>861</v>
      </c>
      <c r="E529" s="50" t="s">
        <v>2867</v>
      </c>
      <c r="G529" s="76" t="s">
        <v>2868</v>
      </c>
      <c r="H529" s="50">
        <v>4953</v>
      </c>
      <c r="I529" s="49" t="s">
        <v>2</v>
      </c>
      <c r="J529" s="50" t="s">
        <v>700</v>
      </c>
      <c r="K529" s="51">
        <v>41156</v>
      </c>
      <c r="L529" s="115">
        <v>41152</v>
      </c>
      <c r="M529" s="50">
        <f>K529-L529</f>
        <v>4</v>
      </c>
      <c r="N529" s="50" t="s">
        <v>2</v>
      </c>
      <c r="O529" s="131">
        <v>1.1000000000000001</v>
      </c>
      <c r="P529" s="117">
        <v>5.2</v>
      </c>
      <c r="Q529" s="131">
        <v>7</v>
      </c>
      <c r="R529" s="50">
        <v>82</v>
      </c>
      <c r="S529" s="74">
        <v>8.4</v>
      </c>
      <c r="T529" s="50">
        <v>0.55200000000000005</v>
      </c>
      <c r="U529" s="74">
        <v>1.7</v>
      </c>
      <c r="V529" s="50">
        <v>0.54</v>
      </c>
      <c r="W529" s="74">
        <v>1.2E-2</v>
      </c>
      <c r="X529" s="50">
        <v>8.1000000000000003E-2</v>
      </c>
      <c r="Y529" s="74">
        <v>5.0000000000000001E-3</v>
      </c>
    </row>
    <row r="530" spans="1:51" ht="15" customHeight="1">
      <c r="A530" s="293" t="s">
        <v>68</v>
      </c>
      <c r="B530" s="50" t="s">
        <v>2863</v>
      </c>
      <c r="C530" s="50" t="s">
        <v>2866</v>
      </c>
      <c r="D530" s="48" t="s">
        <v>861</v>
      </c>
      <c r="E530" s="50" t="s">
        <v>2867</v>
      </c>
      <c r="G530" s="76" t="s">
        <v>2868</v>
      </c>
      <c r="H530" s="50">
        <v>4953</v>
      </c>
      <c r="I530" s="49" t="s">
        <v>2</v>
      </c>
      <c r="J530" s="50" t="s">
        <v>700</v>
      </c>
      <c r="K530" s="51">
        <v>41539</v>
      </c>
      <c r="L530" s="115"/>
      <c r="N530" s="50" t="s">
        <v>2</v>
      </c>
      <c r="O530" s="74">
        <v>1.25</v>
      </c>
      <c r="P530" s="117"/>
      <c r="Q530" s="131">
        <v>6.6</v>
      </c>
      <c r="R530" s="50">
        <v>30</v>
      </c>
      <c r="S530" s="74">
        <v>20.399999999999999</v>
      </c>
      <c r="T530" s="50">
        <v>0.14000000000000001</v>
      </c>
      <c r="U530" s="74">
        <v>1.6</v>
      </c>
      <c r="V530" s="50">
        <v>0.23</v>
      </c>
      <c r="W530" s="74">
        <v>8.0000000000000002E-3</v>
      </c>
      <c r="X530" s="50">
        <v>5.3999999999999999E-2</v>
      </c>
      <c r="Y530" s="74">
        <v>1.95E-2</v>
      </c>
      <c r="Z530" s="164">
        <v>1</v>
      </c>
      <c r="AA530" s="165">
        <v>1</v>
      </c>
      <c r="AB530" s="50">
        <v>4</v>
      </c>
      <c r="AC530" s="74">
        <v>19</v>
      </c>
      <c r="AD530" s="164">
        <v>0.7</v>
      </c>
    </row>
    <row r="531" spans="1:51" ht="15" customHeight="1">
      <c r="A531" s="293" t="s">
        <v>68</v>
      </c>
      <c r="B531" s="50" t="s">
        <v>3577</v>
      </c>
      <c r="C531" s="7" t="s">
        <v>392</v>
      </c>
      <c r="D531" s="14" t="s">
        <v>3578</v>
      </c>
      <c r="E531" s="6" t="s">
        <v>3579</v>
      </c>
      <c r="F531" s="7"/>
      <c r="G531" s="14" t="s">
        <v>3587</v>
      </c>
      <c r="H531" s="6">
        <v>4953</v>
      </c>
      <c r="I531" s="7" t="s">
        <v>1</v>
      </c>
      <c r="J531" s="344" t="s">
        <v>4223</v>
      </c>
      <c r="K531" s="16">
        <v>41456</v>
      </c>
      <c r="L531" s="17">
        <v>41452</v>
      </c>
      <c r="M531" s="50">
        <f>K531-L531</f>
        <v>4</v>
      </c>
      <c r="N531" s="7" t="s">
        <v>2</v>
      </c>
      <c r="O531" s="6">
        <v>4.8</v>
      </c>
      <c r="P531" s="7">
        <v>5.8</v>
      </c>
      <c r="Q531" s="6">
        <v>7.18</v>
      </c>
      <c r="R531" s="7">
        <v>63</v>
      </c>
      <c r="S531" s="6">
        <v>78</v>
      </c>
      <c r="T531" s="7">
        <v>0.72</v>
      </c>
      <c r="U531" s="8">
        <v>4.4000000000000004</v>
      </c>
      <c r="V531" s="7">
        <v>0.71</v>
      </c>
      <c r="W531" s="6">
        <v>3.1E-2</v>
      </c>
      <c r="X531" s="7">
        <v>0.17699999999999999</v>
      </c>
      <c r="Y531" s="6">
        <v>0.03</v>
      </c>
      <c r="Z531" s="12">
        <v>1</v>
      </c>
      <c r="AA531" s="13">
        <v>1</v>
      </c>
      <c r="AB531" s="7">
        <v>84.4</v>
      </c>
      <c r="AC531" s="6">
        <v>852</v>
      </c>
      <c r="AD531" s="12">
        <v>1</v>
      </c>
      <c r="AE531" s="50">
        <v>2.88</v>
      </c>
      <c r="AF531" s="50">
        <v>13.7</v>
      </c>
      <c r="AG531" s="50">
        <v>78</v>
      </c>
      <c r="AH531" s="50">
        <v>0.96</v>
      </c>
      <c r="AI531" s="50">
        <f t="shared" ref="AI531:AL532" si="27">0.005/2</f>
        <v>2.5000000000000001E-3</v>
      </c>
      <c r="AJ531" s="50">
        <f t="shared" si="27"/>
        <v>2.5000000000000001E-3</v>
      </c>
      <c r="AK531" s="50">
        <f t="shared" si="27"/>
        <v>2.5000000000000001E-3</v>
      </c>
      <c r="AL531" s="50">
        <f t="shared" si="27"/>
        <v>2.5000000000000001E-3</v>
      </c>
      <c r="AM531" s="50">
        <v>0.17699999999999999</v>
      </c>
      <c r="AN531" s="114">
        <v>7.18</v>
      </c>
      <c r="AO531" s="114">
        <v>12000</v>
      </c>
      <c r="AV531" s="1">
        <f>0.01/2</f>
        <v>5.0000000000000001E-3</v>
      </c>
      <c r="AW531" s="5">
        <v>221.5</v>
      </c>
    </row>
    <row r="532" spans="1:51" ht="15" customHeight="1">
      <c r="A532" s="293" t="s">
        <v>68</v>
      </c>
      <c r="B532" s="50" t="s">
        <v>3577</v>
      </c>
      <c r="C532" s="7" t="s">
        <v>392</v>
      </c>
      <c r="D532" s="14" t="s">
        <v>3578</v>
      </c>
      <c r="E532" s="6" t="s">
        <v>3579</v>
      </c>
      <c r="F532" s="7"/>
      <c r="G532" s="15" t="s">
        <v>3587</v>
      </c>
      <c r="H532" s="6">
        <v>4953</v>
      </c>
      <c r="I532" s="19" t="s">
        <v>1</v>
      </c>
      <c r="J532" s="50" t="s">
        <v>3581</v>
      </c>
      <c r="K532" s="16">
        <v>41456</v>
      </c>
      <c r="L532" s="17">
        <v>41452</v>
      </c>
      <c r="M532" s="50">
        <f>K532-L532</f>
        <v>4</v>
      </c>
      <c r="N532" s="7" t="s">
        <v>2</v>
      </c>
      <c r="O532" s="6">
        <v>5.2</v>
      </c>
      <c r="P532" s="7">
        <v>5.8</v>
      </c>
      <c r="Q532" s="6">
        <v>6.51</v>
      </c>
      <c r="R532" s="7">
        <v>102.4</v>
      </c>
      <c r="S532" s="6">
        <v>48</v>
      </c>
      <c r="T532" s="7">
        <v>0.34</v>
      </c>
      <c r="U532" s="8">
        <v>2.2999999999999998</v>
      </c>
      <c r="V532" s="7">
        <v>1.03</v>
      </c>
      <c r="W532" s="6">
        <v>1.6E-2</v>
      </c>
      <c r="X532" s="7">
        <v>0.09</v>
      </c>
      <c r="Y532" s="6">
        <v>1.7999999999999999E-2</v>
      </c>
      <c r="Z532" s="12">
        <v>1</v>
      </c>
      <c r="AA532" s="13">
        <v>1</v>
      </c>
      <c r="AB532" s="7">
        <v>23.66</v>
      </c>
      <c r="AC532" s="6">
        <v>161</v>
      </c>
      <c r="AD532" s="12">
        <v>1</v>
      </c>
      <c r="AE532" s="50">
        <v>2.42</v>
      </c>
      <c r="AF532" s="50">
        <v>8.1</v>
      </c>
      <c r="AG532" s="50">
        <v>48</v>
      </c>
      <c r="AH532" s="50">
        <v>0.42</v>
      </c>
      <c r="AI532" s="50">
        <f t="shared" si="27"/>
        <v>2.5000000000000001E-3</v>
      </c>
      <c r="AJ532" s="50">
        <f t="shared" si="27"/>
        <v>2.5000000000000001E-3</v>
      </c>
      <c r="AK532" s="50">
        <f t="shared" si="27"/>
        <v>2.5000000000000001E-3</v>
      </c>
      <c r="AL532" s="50">
        <f t="shared" si="27"/>
        <v>2.5000000000000001E-3</v>
      </c>
      <c r="AM532" s="50">
        <v>0.09</v>
      </c>
      <c r="AN532" s="114">
        <v>6.51</v>
      </c>
    </row>
    <row r="533" spans="1:51" ht="15" customHeight="1">
      <c r="A533" s="88" t="s">
        <v>68</v>
      </c>
      <c r="B533" s="50" t="s">
        <v>3577</v>
      </c>
      <c r="C533" s="7" t="s">
        <v>392</v>
      </c>
      <c r="D533" s="48" t="s">
        <v>3578</v>
      </c>
      <c r="E533" s="50" t="s">
        <v>3579</v>
      </c>
      <c r="F533" s="48"/>
      <c r="G533" s="76" t="s">
        <v>3587</v>
      </c>
      <c r="H533" s="50">
        <v>4953</v>
      </c>
      <c r="I533" s="49" t="s">
        <v>1</v>
      </c>
      <c r="J533" s="50" t="s">
        <v>3580</v>
      </c>
      <c r="K533" s="51">
        <v>41554</v>
      </c>
      <c r="L533" s="115">
        <v>41551</v>
      </c>
      <c r="M533" s="50">
        <f>K533-L533</f>
        <v>3</v>
      </c>
      <c r="N533" s="50" t="s">
        <v>2</v>
      </c>
      <c r="O533" s="74">
        <v>2</v>
      </c>
      <c r="P533" s="50">
        <v>5</v>
      </c>
      <c r="Q533" s="74">
        <v>6.55</v>
      </c>
      <c r="R533" s="50">
        <v>25.6</v>
      </c>
      <c r="S533" s="74">
        <v>27</v>
      </c>
      <c r="T533" s="50">
        <v>0.31</v>
      </c>
      <c r="U533" s="74">
        <v>1.04</v>
      </c>
      <c r="V533" s="50">
        <v>0.26</v>
      </c>
      <c r="W533" s="74">
        <v>0.01</v>
      </c>
      <c r="X533" s="50">
        <v>9.5000000000000001E-2</v>
      </c>
      <c r="Y533" s="74">
        <v>1.0999999999999999E-2</v>
      </c>
      <c r="AE533" s="50">
        <v>0.82</v>
      </c>
      <c r="AV533" s="1">
        <f>0.01/2</f>
        <v>5.0000000000000001E-3</v>
      </c>
      <c r="AW533" s="5">
        <v>80.040000000000006</v>
      </c>
    </row>
    <row r="534" spans="1:51" ht="15" customHeight="1">
      <c r="A534" s="88" t="s">
        <v>68</v>
      </c>
      <c r="B534" s="50" t="s">
        <v>3577</v>
      </c>
      <c r="C534" s="7" t="s">
        <v>392</v>
      </c>
      <c r="D534" s="48" t="s">
        <v>3578</v>
      </c>
      <c r="E534" s="50" t="s">
        <v>3579</v>
      </c>
      <c r="F534" s="48"/>
      <c r="G534" s="76" t="s">
        <v>3587</v>
      </c>
      <c r="H534" s="50">
        <v>4953</v>
      </c>
      <c r="I534" s="49" t="s">
        <v>1</v>
      </c>
      <c r="J534" s="50" t="s">
        <v>3581</v>
      </c>
      <c r="K534" s="51">
        <v>41554</v>
      </c>
      <c r="L534" s="115">
        <v>41551</v>
      </c>
      <c r="M534" s="50">
        <f>K534-L534</f>
        <v>3</v>
      </c>
      <c r="N534" s="50" t="s">
        <v>2</v>
      </c>
      <c r="O534" s="74">
        <v>1.2</v>
      </c>
      <c r="P534" s="50">
        <v>5</v>
      </c>
      <c r="Q534" s="74">
        <v>6.24</v>
      </c>
      <c r="R534" s="50">
        <v>117.6</v>
      </c>
      <c r="S534" s="74">
        <v>5</v>
      </c>
      <c r="T534" s="50">
        <v>0.24</v>
      </c>
      <c r="U534" s="74">
        <v>0.72</v>
      </c>
      <c r="V534" s="50">
        <v>0.21</v>
      </c>
      <c r="W534" s="74">
        <v>0.17</v>
      </c>
      <c r="X534" s="50">
        <v>0.06</v>
      </c>
      <c r="Y534" s="74">
        <v>2E-3</v>
      </c>
      <c r="AE534" s="50">
        <v>0.4</v>
      </c>
    </row>
    <row r="535" spans="1:51" ht="15" customHeight="1">
      <c r="A535" s="293" t="s">
        <v>68</v>
      </c>
      <c r="B535" s="50" t="s">
        <v>3456</v>
      </c>
      <c r="C535" s="7" t="s">
        <v>3492</v>
      </c>
      <c r="D535" s="48" t="s">
        <v>165</v>
      </c>
      <c r="F535" s="50" t="s">
        <v>3493</v>
      </c>
      <c r="G535" s="76" t="s">
        <v>3588</v>
      </c>
      <c r="H535" s="50">
        <v>4953</v>
      </c>
      <c r="I535" s="49" t="s">
        <v>1</v>
      </c>
      <c r="J535" s="50" t="s">
        <v>477</v>
      </c>
      <c r="K535" s="72">
        <v>41417</v>
      </c>
      <c r="N535" s="50" t="s">
        <v>2</v>
      </c>
      <c r="O535" s="74">
        <f>1/2</f>
        <v>0.5</v>
      </c>
      <c r="P535" s="50">
        <v>5.22</v>
      </c>
      <c r="Q535" s="74">
        <v>6.54</v>
      </c>
      <c r="R535" s="50">
        <v>24</v>
      </c>
      <c r="S535" s="74">
        <v>8</v>
      </c>
      <c r="T535" s="50">
        <v>0.15</v>
      </c>
      <c r="U535" s="74">
        <v>4.45</v>
      </c>
      <c r="V535" s="50">
        <v>0.64</v>
      </c>
      <c r="W535" s="74">
        <v>1.2999999999999999E-2</v>
      </c>
      <c r="X535" s="50">
        <v>0.06</v>
      </c>
      <c r="Y535" s="74">
        <v>1.4E-2</v>
      </c>
      <c r="Z535" s="164">
        <v>1</v>
      </c>
      <c r="AA535" s="165">
        <v>1</v>
      </c>
      <c r="AB535" s="50">
        <v>10</v>
      </c>
      <c r="AC535" s="74">
        <v>47</v>
      </c>
      <c r="AD535" s="164">
        <v>1</v>
      </c>
    </row>
    <row r="536" spans="1:51" ht="15" customHeight="1">
      <c r="A536" s="293" t="s">
        <v>68</v>
      </c>
      <c r="B536" s="50" t="s">
        <v>3456</v>
      </c>
      <c r="C536" s="7" t="s">
        <v>3492</v>
      </c>
      <c r="D536" s="48" t="s">
        <v>165</v>
      </c>
      <c r="F536" s="50" t="s">
        <v>3493</v>
      </c>
      <c r="G536" s="76" t="s">
        <v>3588</v>
      </c>
      <c r="H536" s="50">
        <v>4953</v>
      </c>
      <c r="I536" s="49" t="s">
        <v>1</v>
      </c>
      <c r="J536" s="50" t="s">
        <v>477</v>
      </c>
      <c r="K536" s="51">
        <v>41432</v>
      </c>
      <c r="L536" s="115"/>
      <c r="N536" s="50" t="s">
        <v>2</v>
      </c>
      <c r="AF536" s="50">
        <v>7</v>
      </c>
      <c r="AG536" s="50">
        <v>132</v>
      </c>
      <c r="AH536" s="50">
        <v>1.01</v>
      </c>
      <c r="AI536" s="50">
        <f>0.00005/2</f>
        <v>2.5000000000000001E-5</v>
      </c>
      <c r="AJ536" s="50">
        <f>0.00025/2</f>
        <v>1.25E-4</v>
      </c>
      <c r="AK536" s="50">
        <f>0.0001/2</f>
        <v>5.0000000000000002E-5</v>
      </c>
      <c r="AL536" s="50">
        <f>0.00005/2</f>
        <v>2.5000000000000001E-5</v>
      </c>
      <c r="AM536" s="50">
        <v>0.01</v>
      </c>
      <c r="AN536" s="114">
        <v>6.13</v>
      </c>
    </row>
    <row r="537" spans="1:51" ht="15" customHeight="1">
      <c r="A537" s="293" t="s">
        <v>68</v>
      </c>
      <c r="B537" s="50" t="s">
        <v>3314</v>
      </c>
      <c r="C537" s="7" t="s">
        <v>3317</v>
      </c>
      <c r="D537" s="48" t="s">
        <v>78</v>
      </c>
      <c r="E537" s="50" t="s">
        <v>3318</v>
      </c>
      <c r="F537" s="48"/>
      <c r="G537" s="76" t="s">
        <v>3319</v>
      </c>
      <c r="H537" s="50">
        <v>4953</v>
      </c>
      <c r="I537" s="49" t="s">
        <v>1</v>
      </c>
      <c r="J537" s="50" t="s">
        <v>194</v>
      </c>
      <c r="K537" s="51">
        <v>41345</v>
      </c>
      <c r="L537" s="115">
        <v>41341</v>
      </c>
      <c r="M537" s="50">
        <f t="shared" ref="M537:M583" si="28">K537-L537</f>
        <v>4</v>
      </c>
      <c r="N537" s="50" t="s">
        <v>2</v>
      </c>
      <c r="O537" s="74">
        <f>2/2</f>
        <v>1</v>
      </c>
      <c r="P537" s="50">
        <v>5.63</v>
      </c>
      <c r="Q537" s="74">
        <v>7.3</v>
      </c>
      <c r="R537" s="50">
        <v>31</v>
      </c>
      <c r="S537" s="74">
        <v>103</v>
      </c>
      <c r="T537" s="50">
        <v>0.37</v>
      </c>
      <c r="U537" s="74">
        <v>2.87</v>
      </c>
      <c r="V537" s="50">
        <v>0.89</v>
      </c>
      <c r="W537" s="74">
        <v>5.3999999999999999E-2</v>
      </c>
      <c r="X537" s="50">
        <v>0.248</v>
      </c>
      <c r="Y537" s="74">
        <v>4.1000000000000002E-2</v>
      </c>
      <c r="Z537" s="164">
        <v>1</v>
      </c>
      <c r="AA537" s="165">
        <v>1</v>
      </c>
      <c r="AB537" s="50">
        <v>87</v>
      </c>
      <c r="AC537" s="74">
        <v>1420</v>
      </c>
      <c r="AD537" s="164">
        <v>1</v>
      </c>
      <c r="AX537" s="31" t="s">
        <v>2371</v>
      </c>
    </row>
    <row r="538" spans="1:51" ht="15" customHeight="1">
      <c r="A538" s="293" t="s">
        <v>68</v>
      </c>
      <c r="B538" s="50" t="s">
        <v>3314</v>
      </c>
      <c r="C538" s="7" t="s">
        <v>3317</v>
      </c>
      <c r="D538" s="48" t="s">
        <v>78</v>
      </c>
      <c r="E538" s="50" t="s">
        <v>3318</v>
      </c>
      <c r="F538" s="48"/>
      <c r="G538" s="76" t="s">
        <v>3319</v>
      </c>
      <c r="H538" s="50">
        <v>4953</v>
      </c>
      <c r="I538" s="49" t="s">
        <v>1</v>
      </c>
      <c r="J538" s="50" t="s">
        <v>586</v>
      </c>
      <c r="K538" s="51">
        <v>41345</v>
      </c>
      <c r="L538" s="115">
        <v>41341</v>
      </c>
      <c r="M538" s="50">
        <f t="shared" si="28"/>
        <v>4</v>
      </c>
      <c r="N538" s="50" t="s">
        <v>2</v>
      </c>
      <c r="O538" s="74">
        <v>2.2999999999999998</v>
      </c>
      <c r="P538" s="50">
        <v>5.63</v>
      </c>
      <c r="Q538" s="74">
        <v>6.92</v>
      </c>
      <c r="R538" s="50">
        <v>656</v>
      </c>
      <c r="S538" s="74">
        <v>46</v>
      </c>
      <c r="T538" s="50">
        <v>2.91</v>
      </c>
      <c r="U538" s="74">
        <v>5.68</v>
      </c>
      <c r="V538" s="50">
        <f>0.1/2</f>
        <v>0.05</v>
      </c>
      <c r="W538" s="74">
        <v>2.7E-2</v>
      </c>
      <c r="X538" s="50">
        <v>8.3000000000000004E-2</v>
      </c>
      <c r="Y538" s="74">
        <f>0.03/2</f>
        <v>1.4999999999999999E-2</v>
      </c>
      <c r="Z538" s="164">
        <v>1</v>
      </c>
      <c r="AA538" s="165">
        <v>1</v>
      </c>
      <c r="AB538" s="50">
        <v>295</v>
      </c>
      <c r="AC538" s="74">
        <v>3490</v>
      </c>
      <c r="AD538" s="164">
        <v>1</v>
      </c>
      <c r="AX538">
        <v>1500</v>
      </c>
    </row>
    <row r="539" spans="1:51" ht="15" customHeight="1">
      <c r="A539" s="293" t="s">
        <v>68</v>
      </c>
      <c r="B539" s="50" t="s">
        <v>3370</v>
      </c>
      <c r="C539" s="7" t="s">
        <v>3392</v>
      </c>
      <c r="D539" s="14" t="s">
        <v>133</v>
      </c>
      <c r="E539" s="7" t="s">
        <v>3393</v>
      </c>
      <c r="F539" s="7" t="s">
        <v>3394</v>
      </c>
      <c r="G539" s="15" t="s">
        <v>1473</v>
      </c>
      <c r="H539" s="7">
        <v>4953</v>
      </c>
      <c r="I539" s="19" t="s">
        <v>1</v>
      </c>
      <c r="J539" s="7" t="s">
        <v>925</v>
      </c>
      <c r="K539" s="51">
        <v>41443</v>
      </c>
      <c r="L539" s="115">
        <v>41439</v>
      </c>
      <c r="M539" s="50">
        <f t="shared" si="28"/>
        <v>4</v>
      </c>
      <c r="N539" s="50" t="s">
        <v>2</v>
      </c>
      <c r="O539" s="74">
        <v>30</v>
      </c>
      <c r="P539" s="50">
        <v>5.17</v>
      </c>
      <c r="Q539" s="74">
        <v>6.11</v>
      </c>
      <c r="R539" s="50">
        <v>493</v>
      </c>
      <c r="S539" s="74">
        <v>260</v>
      </c>
      <c r="T539" s="50">
        <v>1.33</v>
      </c>
      <c r="U539" s="74">
        <v>10.4</v>
      </c>
      <c r="V539" s="50">
        <v>0.01</v>
      </c>
      <c r="W539" s="74">
        <v>0.10100000000000001</v>
      </c>
      <c r="X539" s="50">
        <v>0.72199999999999998</v>
      </c>
      <c r="Y539" s="74">
        <v>9.7000000000000003E-2</v>
      </c>
      <c r="AO539" t="s">
        <v>964</v>
      </c>
      <c r="AY539" s="5" t="s">
        <v>964</v>
      </c>
    </row>
    <row r="540" spans="1:51" ht="15" customHeight="1">
      <c r="A540" s="293" t="s">
        <v>68</v>
      </c>
      <c r="B540" s="50" t="s">
        <v>3370</v>
      </c>
      <c r="C540" s="7" t="s">
        <v>3392</v>
      </c>
      <c r="D540" s="14" t="s">
        <v>133</v>
      </c>
      <c r="E540" s="7" t="s">
        <v>3393</v>
      </c>
      <c r="F540" s="7" t="s">
        <v>3394</v>
      </c>
      <c r="G540" s="15" t="s">
        <v>1473</v>
      </c>
      <c r="H540" s="7">
        <v>4953</v>
      </c>
      <c r="I540" s="19" t="s">
        <v>1</v>
      </c>
      <c r="J540" s="7" t="s">
        <v>3399</v>
      </c>
      <c r="K540" s="51">
        <v>41443</v>
      </c>
      <c r="L540" s="115">
        <v>41439</v>
      </c>
      <c r="M540" s="50">
        <f t="shared" si="28"/>
        <v>4</v>
      </c>
      <c r="N540" s="50" t="s">
        <v>2</v>
      </c>
      <c r="O540" s="74">
        <v>36</v>
      </c>
      <c r="P540" s="50">
        <v>5.17</v>
      </c>
      <c r="Q540" s="74">
        <v>7.61</v>
      </c>
      <c r="R540" s="50">
        <v>1060</v>
      </c>
      <c r="S540" s="74">
        <v>530</v>
      </c>
      <c r="T540" s="50">
        <v>3.93</v>
      </c>
      <c r="U540" s="74">
        <v>15.5</v>
      </c>
      <c r="V540" s="50">
        <v>0.23</v>
      </c>
      <c r="W540" s="74">
        <v>0.154</v>
      </c>
      <c r="X540" s="50">
        <v>3.41</v>
      </c>
      <c r="Y540" s="74">
        <v>0.16300000000000001</v>
      </c>
      <c r="AO540" s="114">
        <v>19860</v>
      </c>
      <c r="AY540" s="5" t="s">
        <v>964</v>
      </c>
    </row>
    <row r="541" spans="1:51" ht="15" customHeight="1">
      <c r="A541" s="293" t="s">
        <v>68</v>
      </c>
      <c r="B541" s="50" t="s">
        <v>3370</v>
      </c>
      <c r="C541" s="7" t="s">
        <v>3392</v>
      </c>
      <c r="D541" s="14" t="s">
        <v>133</v>
      </c>
      <c r="E541" s="7" t="s">
        <v>3393</v>
      </c>
      <c r="F541" s="7" t="s">
        <v>3394</v>
      </c>
      <c r="G541" s="15" t="s">
        <v>1473</v>
      </c>
      <c r="H541" s="7">
        <v>4953</v>
      </c>
      <c r="I541" s="19" t="s">
        <v>1</v>
      </c>
      <c r="J541" s="7" t="s">
        <v>926</v>
      </c>
      <c r="K541" s="51">
        <v>41432</v>
      </c>
      <c r="L541" s="115">
        <v>41424</v>
      </c>
      <c r="M541" s="50">
        <f t="shared" si="28"/>
        <v>8</v>
      </c>
      <c r="N541" s="50" t="s">
        <v>2</v>
      </c>
      <c r="O541" s="74">
        <f>1.4/2</f>
        <v>0.7</v>
      </c>
      <c r="P541" s="50">
        <v>6.42</v>
      </c>
      <c r="Q541" s="74">
        <v>6.59</v>
      </c>
      <c r="R541" s="50">
        <v>17</v>
      </c>
      <c r="S541" s="74">
        <f>5/2</f>
        <v>2.5</v>
      </c>
      <c r="T541" s="50">
        <v>0.02</v>
      </c>
      <c r="U541" s="74">
        <v>0.54</v>
      </c>
      <c r="V541" s="50">
        <v>0.94</v>
      </c>
      <c r="W541" s="74">
        <v>1.4E-2</v>
      </c>
      <c r="X541" s="50">
        <v>0.155</v>
      </c>
      <c r="Y541" s="74">
        <v>6.0000000000000001E-3</v>
      </c>
    </row>
    <row r="542" spans="1:51" ht="15" customHeight="1">
      <c r="A542" s="88" t="s">
        <v>68</v>
      </c>
      <c r="B542" s="50" t="s">
        <v>3370</v>
      </c>
      <c r="C542" s="7" t="s">
        <v>1680</v>
      </c>
      <c r="D542" s="14" t="s">
        <v>111</v>
      </c>
      <c r="E542" s="7" t="s">
        <v>112</v>
      </c>
      <c r="F542" s="7"/>
      <c r="G542" s="15" t="s">
        <v>1681</v>
      </c>
      <c r="H542" s="7">
        <v>4953</v>
      </c>
      <c r="I542" s="19" t="s">
        <v>2</v>
      </c>
      <c r="J542" s="7" t="s">
        <v>81</v>
      </c>
      <c r="K542" s="51">
        <v>41529</v>
      </c>
      <c r="L542" s="115">
        <v>41518</v>
      </c>
      <c r="M542" s="50">
        <f t="shared" si="28"/>
        <v>11</v>
      </c>
      <c r="N542" s="50" t="s">
        <v>2</v>
      </c>
      <c r="O542" s="74">
        <f>5/2</f>
        <v>2.5</v>
      </c>
      <c r="P542" s="50">
        <v>6.14</v>
      </c>
      <c r="Q542" s="74">
        <v>7.99</v>
      </c>
      <c r="R542" s="50">
        <v>150</v>
      </c>
      <c r="S542" s="74">
        <v>22</v>
      </c>
      <c r="T542" s="50">
        <v>0.15</v>
      </c>
      <c r="U542" s="74">
        <v>3.2</v>
      </c>
      <c r="V542" s="50">
        <v>0.46</v>
      </c>
      <c r="W542" s="74">
        <v>6.6000000000000003E-2</v>
      </c>
      <c r="X542" s="50">
        <v>6.4000000000000001E-2</v>
      </c>
      <c r="Y542" s="74">
        <f>0.013/2</f>
        <v>6.4999999999999997E-3</v>
      </c>
      <c r="AE542" s="50">
        <v>0.19</v>
      </c>
      <c r="AG542" s="50">
        <v>22</v>
      </c>
      <c r="AM542" s="50">
        <v>6.4000000000000001E-2</v>
      </c>
      <c r="AN542" s="114">
        <v>7.99</v>
      </c>
    </row>
    <row r="543" spans="1:51" ht="15" customHeight="1">
      <c r="A543" s="88" t="s">
        <v>68</v>
      </c>
      <c r="B543" s="50" t="s">
        <v>3370</v>
      </c>
      <c r="C543" s="7" t="s">
        <v>1680</v>
      </c>
      <c r="D543" s="14" t="s">
        <v>111</v>
      </c>
      <c r="E543" s="7" t="s">
        <v>112</v>
      </c>
      <c r="F543" s="7"/>
      <c r="G543" s="15" t="s">
        <v>1681</v>
      </c>
      <c r="H543" s="7">
        <v>4953</v>
      </c>
      <c r="I543" s="19" t="s">
        <v>2</v>
      </c>
      <c r="J543" s="7" t="s">
        <v>115</v>
      </c>
      <c r="K543" s="51">
        <v>41529</v>
      </c>
      <c r="L543" s="115">
        <v>41518</v>
      </c>
      <c r="M543" s="50">
        <f t="shared" si="28"/>
        <v>11</v>
      </c>
      <c r="N543" s="50" t="s">
        <v>2</v>
      </c>
      <c r="O543" s="74">
        <f>5/2</f>
        <v>2.5</v>
      </c>
      <c r="P543" s="50">
        <v>6.14</v>
      </c>
      <c r="Q543" s="74">
        <v>7.86</v>
      </c>
      <c r="R543" s="50">
        <v>27</v>
      </c>
      <c r="S543" s="74">
        <v>180</v>
      </c>
      <c r="T543" s="50">
        <v>0.22</v>
      </c>
      <c r="U543" s="74">
        <f>1/2</f>
        <v>0.5</v>
      </c>
      <c r="V543" s="50">
        <v>0.55000000000000004</v>
      </c>
      <c r="W543" s="74">
        <f>0.04/2</f>
        <v>0.02</v>
      </c>
      <c r="X543" s="50">
        <v>7.0999999999999994E-2</v>
      </c>
      <c r="Y543" s="74">
        <v>3.9E-2</v>
      </c>
      <c r="AE543" s="50">
        <v>2.9</v>
      </c>
      <c r="AG543" s="50">
        <v>180</v>
      </c>
      <c r="AM543" s="50">
        <v>7.0999999999999994E-2</v>
      </c>
      <c r="AN543" s="114">
        <v>7.86</v>
      </c>
    </row>
    <row r="544" spans="1:51" ht="15" customHeight="1">
      <c r="A544" s="88" t="s">
        <v>68</v>
      </c>
      <c r="B544" s="50" t="s">
        <v>3370</v>
      </c>
      <c r="C544" s="7" t="s">
        <v>1464</v>
      </c>
      <c r="D544" s="48" t="s">
        <v>3286</v>
      </c>
      <c r="E544" s="50" t="s">
        <v>3383</v>
      </c>
      <c r="G544" s="76" t="s">
        <v>1466</v>
      </c>
      <c r="H544" s="50">
        <v>4953</v>
      </c>
      <c r="I544" s="49" t="s">
        <v>2</v>
      </c>
      <c r="J544" s="50" t="s">
        <v>81</v>
      </c>
      <c r="K544" s="51">
        <v>41432</v>
      </c>
      <c r="L544" s="115">
        <v>41428</v>
      </c>
      <c r="M544" s="50">
        <f t="shared" si="28"/>
        <v>4</v>
      </c>
      <c r="N544" s="50" t="s">
        <v>2</v>
      </c>
      <c r="O544" s="74">
        <f t="shared" ref="O544:O549" si="29">1.4/2</f>
        <v>0.7</v>
      </c>
      <c r="P544" s="50">
        <v>6.67</v>
      </c>
      <c r="Q544" s="74">
        <v>8.16</v>
      </c>
      <c r="R544" s="50">
        <v>23</v>
      </c>
      <c r="S544" s="74">
        <v>46</v>
      </c>
      <c r="T544" s="50">
        <v>0.13</v>
      </c>
      <c r="U544" s="74">
        <v>0.88</v>
      </c>
      <c r="V544" s="50">
        <v>0.52</v>
      </c>
      <c r="W544" s="74">
        <v>8.9999999999999993E-3</v>
      </c>
      <c r="X544" s="50">
        <v>1.9E-2</v>
      </c>
      <c r="Y544" s="74">
        <v>0.01</v>
      </c>
      <c r="AE544" s="50">
        <v>2.2200000000000002</v>
      </c>
      <c r="AG544" s="50">
        <v>46</v>
      </c>
      <c r="AM544" s="50">
        <v>1.9E-2</v>
      </c>
      <c r="AN544" s="114">
        <v>8.16</v>
      </c>
    </row>
    <row r="545" spans="1:43" ht="15" customHeight="1">
      <c r="A545" s="88" t="s">
        <v>68</v>
      </c>
      <c r="B545" s="50" t="s">
        <v>3370</v>
      </c>
      <c r="C545" s="7" t="s">
        <v>1464</v>
      </c>
      <c r="D545" s="48" t="s">
        <v>3286</v>
      </c>
      <c r="E545" s="50" t="s">
        <v>3383</v>
      </c>
      <c r="G545" s="76" t="s">
        <v>1466</v>
      </c>
      <c r="H545" s="50">
        <v>4953</v>
      </c>
      <c r="I545" s="49" t="s">
        <v>2</v>
      </c>
      <c r="J545" s="50" t="s">
        <v>114</v>
      </c>
      <c r="K545" s="51">
        <v>41432</v>
      </c>
      <c r="L545" s="115">
        <v>41428</v>
      </c>
      <c r="M545" s="50">
        <f t="shared" si="28"/>
        <v>4</v>
      </c>
      <c r="N545" s="50" t="s">
        <v>2</v>
      </c>
      <c r="O545" s="74">
        <f t="shared" si="29"/>
        <v>0.7</v>
      </c>
      <c r="P545" s="50">
        <v>6.67</v>
      </c>
      <c r="Q545" s="74">
        <v>7.81</v>
      </c>
      <c r="R545" s="50">
        <v>185</v>
      </c>
      <c r="S545" s="74">
        <v>220</v>
      </c>
      <c r="T545" s="50">
        <v>1.42</v>
      </c>
      <c r="U545" s="74">
        <v>3.28</v>
      </c>
      <c r="V545" s="50">
        <v>0.12</v>
      </c>
      <c r="W545" s="74">
        <v>1.2999999999999999E-2</v>
      </c>
      <c r="X545" s="50">
        <v>2.8000000000000001E-2</v>
      </c>
      <c r="Y545" s="74">
        <v>6.0000000000000001E-3</v>
      </c>
      <c r="AE545" s="50">
        <v>1.5</v>
      </c>
      <c r="AG545" s="50">
        <v>220</v>
      </c>
      <c r="AM545" s="50">
        <v>2.8000000000000001E-2</v>
      </c>
      <c r="AN545" s="114">
        <v>7.81</v>
      </c>
    </row>
    <row r="546" spans="1:43" ht="15" customHeight="1">
      <c r="A546" s="88" t="s">
        <v>68</v>
      </c>
      <c r="B546" s="50" t="s">
        <v>3370</v>
      </c>
      <c r="C546" s="7" t="s">
        <v>1464</v>
      </c>
      <c r="D546" s="48" t="s">
        <v>3286</v>
      </c>
      <c r="E546" s="50" t="s">
        <v>3383</v>
      </c>
      <c r="G546" s="76" t="s">
        <v>1466</v>
      </c>
      <c r="H546" s="50">
        <v>4953</v>
      </c>
      <c r="I546" s="49" t="s">
        <v>2</v>
      </c>
      <c r="J546" s="50" t="s">
        <v>1467</v>
      </c>
      <c r="K546" s="51">
        <v>41432</v>
      </c>
      <c r="L546" s="115">
        <v>41428</v>
      </c>
      <c r="M546" s="50">
        <f t="shared" si="28"/>
        <v>4</v>
      </c>
      <c r="N546" s="50" t="s">
        <v>2</v>
      </c>
      <c r="O546" s="74">
        <f t="shared" si="29"/>
        <v>0.7</v>
      </c>
      <c r="P546" s="50">
        <v>6.67</v>
      </c>
      <c r="Q546" s="74">
        <v>7.55</v>
      </c>
      <c r="R546" s="50">
        <v>30</v>
      </c>
      <c r="S546" s="74">
        <v>41</v>
      </c>
      <c r="T546" s="50">
        <v>0.2</v>
      </c>
      <c r="U546" s="74">
        <v>1.1399999999999999</v>
      </c>
      <c r="V546" s="50">
        <v>0.21</v>
      </c>
      <c r="W546" s="74">
        <v>1.2E-2</v>
      </c>
      <c r="X546" s="50">
        <v>4.2999999999999997E-2</v>
      </c>
      <c r="Y546" s="74">
        <v>2.4E-2</v>
      </c>
      <c r="AE546" s="50">
        <v>2.85</v>
      </c>
      <c r="AG546" s="50">
        <v>41</v>
      </c>
      <c r="AM546" s="50">
        <v>4.2999999999999997E-2</v>
      </c>
      <c r="AN546" s="114">
        <v>7.55</v>
      </c>
    </row>
    <row r="547" spans="1:43" ht="15" customHeight="1">
      <c r="A547" s="88" t="s">
        <v>68</v>
      </c>
      <c r="B547" s="50" t="s">
        <v>3370</v>
      </c>
      <c r="C547" s="7" t="s">
        <v>1464</v>
      </c>
      <c r="D547" s="48" t="s">
        <v>3286</v>
      </c>
      <c r="E547" s="50" t="s">
        <v>3383</v>
      </c>
      <c r="G547" s="76" t="s">
        <v>1466</v>
      </c>
      <c r="H547" s="50">
        <v>4953</v>
      </c>
      <c r="I547" s="49" t="s">
        <v>2</v>
      </c>
      <c r="J547" s="50" t="s">
        <v>81</v>
      </c>
      <c r="K547" s="51">
        <v>41529</v>
      </c>
      <c r="L547" s="115">
        <v>41519</v>
      </c>
      <c r="M547" s="50">
        <f t="shared" si="28"/>
        <v>10</v>
      </c>
      <c r="N547" s="50" t="s">
        <v>2</v>
      </c>
      <c r="O547" s="74">
        <f t="shared" si="29"/>
        <v>0.7</v>
      </c>
      <c r="P547" s="50">
        <v>7.19</v>
      </c>
      <c r="Q547" s="74">
        <v>7.38</v>
      </c>
      <c r="R547" s="50">
        <v>45</v>
      </c>
      <c r="S547" s="74">
        <v>140</v>
      </c>
      <c r="T547" s="50">
        <v>0.79</v>
      </c>
      <c r="U547" s="74">
        <v>2.4500000000000002</v>
      </c>
      <c r="V547" s="50">
        <v>1.49</v>
      </c>
      <c r="W547" s="74">
        <v>0.05</v>
      </c>
      <c r="X547" s="50">
        <v>0.111</v>
      </c>
      <c r="Y547" s="74">
        <v>4.5999999999999999E-2</v>
      </c>
      <c r="AE547" s="50">
        <v>15.4</v>
      </c>
      <c r="AF547" s="50">
        <v>8.5</v>
      </c>
      <c r="AG547" s="50">
        <v>140</v>
      </c>
      <c r="AH547" s="50">
        <v>0.41</v>
      </c>
      <c r="AI547" s="50">
        <f>0.01/2</f>
        <v>5.0000000000000001E-3</v>
      </c>
      <c r="AJ547" s="50">
        <f t="shared" ref="AJ547:AL549" si="30">0.01/2</f>
        <v>5.0000000000000001E-3</v>
      </c>
      <c r="AK547" s="50">
        <f t="shared" si="30"/>
        <v>5.0000000000000001E-3</v>
      </c>
      <c r="AL547" s="50">
        <f t="shared" si="30"/>
        <v>5.0000000000000001E-3</v>
      </c>
      <c r="AM547" s="50">
        <v>0.111</v>
      </c>
      <c r="AN547" s="114">
        <v>7.38</v>
      </c>
    </row>
    <row r="548" spans="1:43" ht="15" customHeight="1">
      <c r="A548" s="88" t="s">
        <v>68</v>
      </c>
      <c r="B548" s="50" t="s">
        <v>3370</v>
      </c>
      <c r="C548" s="7" t="s">
        <v>1464</v>
      </c>
      <c r="D548" s="48" t="s">
        <v>3286</v>
      </c>
      <c r="E548" s="50" t="s">
        <v>3383</v>
      </c>
      <c r="G548" s="76" t="s">
        <v>1466</v>
      </c>
      <c r="H548" s="50">
        <v>4953</v>
      </c>
      <c r="I548" s="49" t="s">
        <v>2</v>
      </c>
      <c r="J548" s="50" t="s">
        <v>114</v>
      </c>
      <c r="K548" s="51">
        <v>41529</v>
      </c>
      <c r="L548" s="115">
        <v>41519</v>
      </c>
      <c r="M548" s="50">
        <f t="shared" si="28"/>
        <v>10</v>
      </c>
      <c r="N548" s="50" t="s">
        <v>2</v>
      </c>
      <c r="O548" s="74">
        <f t="shared" si="29"/>
        <v>0.7</v>
      </c>
      <c r="P548" s="50">
        <v>7.19</v>
      </c>
      <c r="Q548" s="74">
        <v>7.3</v>
      </c>
      <c r="R548" s="50">
        <v>80</v>
      </c>
      <c r="S548" s="74">
        <v>10</v>
      </c>
      <c r="T548" s="50">
        <v>0.75</v>
      </c>
      <c r="U548" s="74">
        <v>4.1900000000000004</v>
      </c>
      <c r="V548" s="50">
        <v>1.18</v>
      </c>
      <c r="W548" s="74">
        <v>1.6E-2</v>
      </c>
      <c r="X548" s="50">
        <v>1.6E-2</v>
      </c>
      <c r="Y548" s="74">
        <f>0.002/2</f>
        <v>1E-3</v>
      </c>
      <c r="AE548" s="50">
        <v>0.55400000000000005</v>
      </c>
      <c r="AF548" s="50">
        <v>12</v>
      </c>
      <c r="AG548" s="50">
        <v>10</v>
      </c>
      <c r="AH548" s="50">
        <v>0.71</v>
      </c>
      <c r="AI548" s="50">
        <f>0.01/2</f>
        <v>5.0000000000000001E-3</v>
      </c>
      <c r="AJ548" s="50">
        <f t="shared" si="30"/>
        <v>5.0000000000000001E-3</v>
      </c>
      <c r="AK548" s="50">
        <f t="shared" si="30"/>
        <v>5.0000000000000001E-3</v>
      </c>
      <c r="AL548" s="50">
        <f t="shared" si="30"/>
        <v>5.0000000000000001E-3</v>
      </c>
      <c r="AM548" s="50">
        <v>1.6E-2</v>
      </c>
      <c r="AN548" s="114">
        <v>7.3</v>
      </c>
    </row>
    <row r="549" spans="1:43" ht="15" customHeight="1">
      <c r="A549" s="88" t="s">
        <v>68</v>
      </c>
      <c r="B549" s="50" t="s">
        <v>3370</v>
      </c>
      <c r="C549" s="7" t="s">
        <v>1464</v>
      </c>
      <c r="D549" s="48" t="s">
        <v>3286</v>
      </c>
      <c r="E549" s="50" t="s">
        <v>3383</v>
      </c>
      <c r="G549" s="76" t="s">
        <v>1466</v>
      </c>
      <c r="H549" s="50">
        <v>4953</v>
      </c>
      <c r="I549" s="49" t="s">
        <v>2</v>
      </c>
      <c r="J549" s="50" t="s">
        <v>1467</v>
      </c>
      <c r="K549" s="51">
        <v>41529</v>
      </c>
      <c r="L549" s="115">
        <v>41519</v>
      </c>
      <c r="M549" s="50">
        <f t="shared" si="28"/>
        <v>10</v>
      </c>
      <c r="N549" s="50" t="s">
        <v>2</v>
      </c>
      <c r="O549" s="74">
        <f t="shared" si="29"/>
        <v>0.7</v>
      </c>
      <c r="P549" s="50">
        <v>7.19</v>
      </c>
      <c r="Q549" s="74">
        <v>7.14</v>
      </c>
      <c r="R549" s="50">
        <v>43</v>
      </c>
      <c r="S549" s="74">
        <v>130</v>
      </c>
      <c r="T549" s="50">
        <v>0.36</v>
      </c>
      <c r="U549" s="74">
        <v>1.96</v>
      </c>
      <c r="V549" s="50">
        <v>1.0900000000000001</v>
      </c>
      <c r="W549" s="74">
        <v>2.5000000000000001E-2</v>
      </c>
      <c r="X549" s="50">
        <v>7.9000000000000001E-2</v>
      </c>
      <c r="Y549" s="74">
        <v>2.4E-2</v>
      </c>
      <c r="AE549" s="50">
        <v>5.91</v>
      </c>
      <c r="AF549" s="50">
        <v>17</v>
      </c>
      <c r="AG549" s="50">
        <v>130</v>
      </c>
      <c r="AH549" s="50">
        <v>0.49</v>
      </c>
      <c r="AI549" s="50">
        <f>0.01/2</f>
        <v>5.0000000000000001E-3</v>
      </c>
      <c r="AJ549" s="50">
        <f t="shared" si="30"/>
        <v>5.0000000000000001E-3</v>
      </c>
      <c r="AK549" s="50">
        <f t="shared" si="30"/>
        <v>5.0000000000000001E-3</v>
      </c>
      <c r="AL549" s="50">
        <f t="shared" si="30"/>
        <v>5.0000000000000001E-3</v>
      </c>
      <c r="AM549" s="50">
        <v>7.9000000000000001E-2</v>
      </c>
      <c r="AN549" s="114">
        <v>7.14</v>
      </c>
    </row>
    <row r="550" spans="1:43" ht="15" customHeight="1">
      <c r="A550" s="293" t="s">
        <v>68</v>
      </c>
      <c r="B550" s="50" t="s">
        <v>2367</v>
      </c>
      <c r="C550" s="7" t="s">
        <v>1682</v>
      </c>
      <c r="D550" s="48" t="s">
        <v>1683</v>
      </c>
      <c r="E550" s="50" t="s">
        <v>304</v>
      </c>
      <c r="F550" s="50">
        <v>6000</v>
      </c>
      <c r="G550" s="76" t="s">
        <v>1685</v>
      </c>
      <c r="H550" s="50">
        <v>4953</v>
      </c>
      <c r="I550" s="49" t="s">
        <v>2</v>
      </c>
      <c r="J550" s="50" t="s">
        <v>81</v>
      </c>
      <c r="K550" s="51">
        <v>41285</v>
      </c>
      <c r="L550" s="115">
        <v>41272</v>
      </c>
      <c r="M550" s="50">
        <f t="shared" si="28"/>
        <v>13</v>
      </c>
      <c r="N550" s="50" t="s">
        <v>2</v>
      </c>
      <c r="AE550" s="50">
        <v>2.0499999999999998</v>
      </c>
    </row>
    <row r="551" spans="1:43" ht="15" customHeight="1">
      <c r="A551" s="293" t="s">
        <v>68</v>
      </c>
      <c r="B551" s="50" t="s">
        <v>2367</v>
      </c>
      <c r="C551" s="7" t="s">
        <v>1682</v>
      </c>
      <c r="D551" s="48" t="s">
        <v>1683</v>
      </c>
      <c r="E551" s="50" t="s">
        <v>304</v>
      </c>
      <c r="F551" s="50">
        <v>6000</v>
      </c>
      <c r="G551" s="76" t="s">
        <v>1685</v>
      </c>
      <c r="H551" s="50">
        <v>4953</v>
      </c>
      <c r="I551" s="49" t="s">
        <v>2</v>
      </c>
      <c r="J551" s="50" t="s">
        <v>114</v>
      </c>
      <c r="K551" s="51">
        <v>41285</v>
      </c>
      <c r="L551" s="115">
        <v>41272</v>
      </c>
      <c r="M551" s="50">
        <f t="shared" si="28"/>
        <v>13</v>
      </c>
      <c r="N551" s="50" t="s">
        <v>2</v>
      </c>
      <c r="AE551" s="50">
        <v>8.67</v>
      </c>
    </row>
    <row r="552" spans="1:43" ht="15" customHeight="1">
      <c r="A552" s="293" t="s">
        <v>68</v>
      </c>
      <c r="B552" s="50" t="s">
        <v>2367</v>
      </c>
      <c r="C552" s="7" t="s">
        <v>1682</v>
      </c>
      <c r="D552" s="48" t="s">
        <v>1683</v>
      </c>
      <c r="E552" s="50" t="s">
        <v>304</v>
      </c>
      <c r="F552" s="50">
        <v>6000</v>
      </c>
      <c r="G552" s="76" t="s">
        <v>1685</v>
      </c>
      <c r="H552" s="50">
        <v>4953</v>
      </c>
      <c r="I552" s="49" t="s">
        <v>2</v>
      </c>
      <c r="J552" s="50" t="s">
        <v>115</v>
      </c>
      <c r="K552" s="51">
        <v>41285</v>
      </c>
      <c r="L552" s="115">
        <v>41272</v>
      </c>
      <c r="M552" s="50">
        <f t="shared" si="28"/>
        <v>13</v>
      </c>
      <c r="N552" s="50" t="s">
        <v>2</v>
      </c>
      <c r="AE552" s="50">
        <v>2.6</v>
      </c>
    </row>
    <row r="553" spans="1:43" ht="15" customHeight="1">
      <c r="A553" s="290" t="s">
        <v>68</v>
      </c>
      <c r="B553" s="77" t="s">
        <v>2367</v>
      </c>
      <c r="C553" s="7" t="s">
        <v>1682</v>
      </c>
      <c r="D553" s="48" t="s">
        <v>1683</v>
      </c>
      <c r="E553" s="50" t="s">
        <v>304</v>
      </c>
      <c r="F553" s="50">
        <v>6000</v>
      </c>
      <c r="G553" s="76" t="s">
        <v>1685</v>
      </c>
      <c r="H553" s="50">
        <v>4953</v>
      </c>
      <c r="I553" s="49" t="s">
        <v>2</v>
      </c>
      <c r="J553" s="50" t="s">
        <v>924</v>
      </c>
      <c r="K553" s="51">
        <v>41285</v>
      </c>
      <c r="L553" s="115">
        <v>41272</v>
      </c>
      <c r="M553" s="50">
        <f t="shared" si="28"/>
        <v>13</v>
      </c>
      <c r="N553" s="50" t="s">
        <v>2</v>
      </c>
      <c r="AE553" s="50">
        <v>4.1500000000000004</v>
      </c>
    </row>
    <row r="554" spans="1:43" ht="15" customHeight="1">
      <c r="A554" s="293" t="s">
        <v>68</v>
      </c>
      <c r="B554" s="50" t="s">
        <v>2367</v>
      </c>
      <c r="C554" s="7" t="s">
        <v>1682</v>
      </c>
      <c r="D554" s="48" t="s">
        <v>1683</v>
      </c>
      <c r="E554" s="50" t="s">
        <v>304</v>
      </c>
      <c r="F554" s="50">
        <v>6000</v>
      </c>
      <c r="G554" s="76" t="s">
        <v>1685</v>
      </c>
      <c r="H554" s="50">
        <v>4953</v>
      </c>
      <c r="I554" s="49" t="s">
        <v>1</v>
      </c>
      <c r="J554" s="50" t="s">
        <v>81</v>
      </c>
      <c r="K554" s="51">
        <v>41305</v>
      </c>
      <c r="L554" s="115">
        <v>41285</v>
      </c>
      <c r="M554" s="50">
        <f t="shared" si="28"/>
        <v>20</v>
      </c>
      <c r="N554" s="50" t="s">
        <v>2</v>
      </c>
      <c r="O554" s="74">
        <f>1.5/2</f>
        <v>0.75</v>
      </c>
      <c r="P554" s="50">
        <v>6.86</v>
      </c>
      <c r="Q554" s="74">
        <v>7.34</v>
      </c>
      <c r="R554" s="50">
        <v>129</v>
      </c>
      <c r="S554" s="74">
        <v>200</v>
      </c>
      <c r="T554" s="50">
        <v>0.61</v>
      </c>
      <c r="U554" s="74">
        <v>2.11</v>
      </c>
      <c r="V554" s="50">
        <v>0.09</v>
      </c>
      <c r="W554" s="74">
        <v>3.1E-2</v>
      </c>
      <c r="X554" s="50">
        <v>0.14899999999999999</v>
      </c>
      <c r="Y554" s="74">
        <v>0.03</v>
      </c>
      <c r="Z554" s="164">
        <v>1</v>
      </c>
      <c r="AA554" s="165">
        <v>1</v>
      </c>
      <c r="AB554" s="50">
        <v>22</v>
      </c>
      <c r="AC554" s="74">
        <v>77</v>
      </c>
      <c r="AD554" s="164">
        <v>1</v>
      </c>
      <c r="AE554" s="50">
        <v>6.03</v>
      </c>
      <c r="AF554" s="50">
        <v>9.4</v>
      </c>
      <c r="AG554" s="50">
        <v>200</v>
      </c>
      <c r="AH554" s="50">
        <v>0.22</v>
      </c>
      <c r="AI554" s="50">
        <f t="shared" ref="AI554:AL557" si="31">0.01/2</f>
        <v>5.0000000000000001E-3</v>
      </c>
      <c r="AJ554" s="50">
        <f t="shared" si="31"/>
        <v>5.0000000000000001E-3</v>
      </c>
      <c r="AK554" s="50">
        <f t="shared" si="31"/>
        <v>5.0000000000000001E-3</v>
      </c>
      <c r="AL554" s="50">
        <f t="shared" si="31"/>
        <v>5.0000000000000001E-3</v>
      </c>
      <c r="AM554" s="50">
        <v>0.14899999999999999</v>
      </c>
      <c r="AN554" s="114">
        <v>7.34</v>
      </c>
      <c r="AQ554" s="49">
        <v>200</v>
      </c>
    </row>
    <row r="555" spans="1:43" ht="15" customHeight="1">
      <c r="A555" s="293" t="s">
        <v>68</v>
      </c>
      <c r="B555" s="50" t="s">
        <v>2367</v>
      </c>
      <c r="C555" s="7" t="s">
        <v>1682</v>
      </c>
      <c r="D555" s="48" t="s">
        <v>1683</v>
      </c>
      <c r="E555" s="50" t="s">
        <v>304</v>
      </c>
      <c r="F555" s="50">
        <v>6000</v>
      </c>
      <c r="G555" s="76" t="s">
        <v>1685</v>
      </c>
      <c r="H555" s="50">
        <v>4953</v>
      </c>
      <c r="I555" s="49" t="s">
        <v>1</v>
      </c>
      <c r="J555" s="50" t="s">
        <v>114</v>
      </c>
      <c r="K555" s="51">
        <v>41305</v>
      </c>
      <c r="L555" s="115">
        <v>41285</v>
      </c>
      <c r="M555" s="50">
        <f t="shared" si="28"/>
        <v>20</v>
      </c>
      <c r="N555" s="50" t="s">
        <v>2</v>
      </c>
      <c r="O555" s="74">
        <f>1.4/2</f>
        <v>0.7</v>
      </c>
      <c r="P555" s="50">
        <v>6.86</v>
      </c>
      <c r="Q555" s="74">
        <v>7.78</v>
      </c>
      <c r="R555" s="50">
        <v>281</v>
      </c>
      <c r="S555" s="74">
        <v>230</v>
      </c>
      <c r="T555" s="50">
        <v>1.66</v>
      </c>
      <c r="U555" s="74">
        <v>14.9</v>
      </c>
      <c r="V555" s="50">
        <v>1.37</v>
      </c>
      <c r="W555" s="74">
        <v>0.02</v>
      </c>
      <c r="X555" s="50">
        <v>0.04</v>
      </c>
      <c r="Y555" s="74">
        <v>8.0000000000000002E-3</v>
      </c>
      <c r="Z555" s="164">
        <v>1</v>
      </c>
      <c r="AA555" s="165">
        <v>1</v>
      </c>
      <c r="AB555" s="50">
        <v>122</v>
      </c>
      <c r="AC555" s="74">
        <v>352</v>
      </c>
      <c r="AD555" s="164">
        <v>1</v>
      </c>
      <c r="AE555" s="50">
        <v>4.0199999999999996</v>
      </c>
      <c r="AF555" s="50">
        <v>12</v>
      </c>
      <c r="AG555" s="50">
        <v>230</v>
      </c>
      <c r="AH555" s="50">
        <v>3.32</v>
      </c>
      <c r="AI555" s="50">
        <f t="shared" si="31"/>
        <v>5.0000000000000001E-3</v>
      </c>
      <c r="AJ555" s="50">
        <v>1.4999999999999999E-2</v>
      </c>
      <c r="AK555" s="50">
        <f t="shared" si="31"/>
        <v>5.0000000000000001E-3</v>
      </c>
      <c r="AL555" s="50">
        <f t="shared" si="31"/>
        <v>5.0000000000000001E-3</v>
      </c>
      <c r="AM555" s="50">
        <v>0.04</v>
      </c>
      <c r="AN555" s="114">
        <v>7.78</v>
      </c>
      <c r="AQ555" s="49" t="s">
        <v>1535</v>
      </c>
    </row>
    <row r="556" spans="1:43" ht="15" customHeight="1">
      <c r="A556" s="293" t="s">
        <v>68</v>
      </c>
      <c r="B556" s="50" t="s">
        <v>2367</v>
      </c>
      <c r="C556" s="7" t="s">
        <v>1682</v>
      </c>
      <c r="D556" s="48" t="s">
        <v>1683</v>
      </c>
      <c r="E556" s="50" t="s">
        <v>304</v>
      </c>
      <c r="F556" s="50">
        <v>6000</v>
      </c>
      <c r="G556" s="76" t="s">
        <v>1685</v>
      </c>
      <c r="H556" s="50">
        <v>4953</v>
      </c>
      <c r="I556" s="49" t="s">
        <v>1</v>
      </c>
      <c r="J556" s="50" t="s">
        <v>115</v>
      </c>
      <c r="K556" s="51">
        <v>41305</v>
      </c>
      <c r="L556" s="115">
        <v>41285</v>
      </c>
      <c r="M556" s="50">
        <f t="shared" si="28"/>
        <v>20</v>
      </c>
      <c r="N556" s="50" t="s">
        <v>2</v>
      </c>
      <c r="O556" s="74">
        <v>2.2000000000000002</v>
      </c>
      <c r="P556" s="50">
        <v>6.86</v>
      </c>
      <c r="Q556" s="74">
        <v>7.68</v>
      </c>
      <c r="R556" s="50">
        <v>79</v>
      </c>
      <c r="S556" s="74">
        <v>51</v>
      </c>
      <c r="T556" s="50">
        <v>0.28999999999999998</v>
      </c>
      <c r="U556" s="74">
        <v>2.95</v>
      </c>
      <c r="V556" s="50">
        <v>0.57999999999999996</v>
      </c>
      <c r="W556" s="74">
        <v>2.4E-2</v>
      </c>
      <c r="X556" s="50">
        <v>5.5E-2</v>
      </c>
      <c r="Y556" s="74">
        <v>8.9999999999999993E-3</v>
      </c>
      <c r="Z556" s="164">
        <v>1</v>
      </c>
      <c r="AA556" s="165">
        <v>1</v>
      </c>
      <c r="AB556" s="50">
        <v>120</v>
      </c>
      <c r="AC556" s="74">
        <v>2100</v>
      </c>
      <c r="AD556" s="164">
        <v>1</v>
      </c>
      <c r="AE556" s="50">
        <v>3.51</v>
      </c>
      <c r="AF556" s="50">
        <v>14</v>
      </c>
      <c r="AG556" s="50">
        <v>51</v>
      </c>
      <c r="AH556" s="50">
        <v>0.83</v>
      </c>
      <c r="AI556" s="50">
        <f t="shared" si="31"/>
        <v>5.0000000000000001E-3</v>
      </c>
      <c r="AJ556" s="50">
        <v>1.2999999999999999E-2</v>
      </c>
      <c r="AK556" s="50">
        <f t="shared" si="31"/>
        <v>5.0000000000000001E-3</v>
      </c>
      <c r="AL556" s="50">
        <f t="shared" si="31"/>
        <v>5.0000000000000001E-3</v>
      </c>
      <c r="AM556" s="50">
        <v>5.5E-2</v>
      </c>
      <c r="AN556" s="114">
        <v>7.68</v>
      </c>
      <c r="AO556" s="114">
        <v>10</v>
      </c>
    </row>
    <row r="557" spans="1:43" ht="15" customHeight="1">
      <c r="A557" s="290" t="s">
        <v>68</v>
      </c>
      <c r="B557" s="77" t="s">
        <v>2367</v>
      </c>
      <c r="C557" s="7" t="s">
        <v>1682</v>
      </c>
      <c r="D557" s="48" t="s">
        <v>1683</v>
      </c>
      <c r="E557" s="50" t="s">
        <v>304</v>
      </c>
      <c r="F557" s="50">
        <v>6000</v>
      </c>
      <c r="G557" s="76" t="s">
        <v>1685</v>
      </c>
      <c r="H557" s="50">
        <v>4953</v>
      </c>
      <c r="I557" s="49" t="s">
        <v>1</v>
      </c>
      <c r="J557" s="50" t="s">
        <v>924</v>
      </c>
      <c r="K557" s="51">
        <v>41305</v>
      </c>
      <c r="L557" s="115">
        <v>41285</v>
      </c>
      <c r="M557" s="50">
        <f t="shared" si="28"/>
        <v>20</v>
      </c>
      <c r="N557" s="50" t="s">
        <v>2</v>
      </c>
      <c r="O557" s="74">
        <f>1.4/2</f>
        <v>0.7</v>
      </c>
      <c r="P557" s="50">
        <v>6.86</v>
      </c>
      <c r="Q557" s="74">
        <v>7.73</v>
      </c>
      <c r="R557" s="50">
        <v>49</v>
      </c>
      <c r="S557" s="74">
        <v>10</v>
      </c>
      <c r="T557" s="50">
        <v>0.11</v>
      </c>
      <c r="U557" s="74">
        <v>3.23</v>
      </c>
      <c r="V557" s="50">
        <v>2.44</v>
      </c>
      <c r="W557" s="74">
        <v>1.7000000000000001E-2</v>
      </c>
      <c r="X557" s="50">
        <v>2.3E-2</v>
      </c>
      <c r="Y557" s="74">
        <f>0.002/2</f>
        <v>1E-3</v>
      </c>
      <c r="Z557" s="164">
        <v>1</v>
      </c>
      <c r="AA557" s="165">
        <v>1</v>
      </c>
      <c r="AB557" s="50">
        <v>572</v>
      </c>
      <c r="AC557" s="74">
        <v>2530</v>
      </c>
      <c r="AD557" s="164">
        <v>1</v>
      </c>
      <c r="AE557" s="50">
        <v>0.45500000000000002</v>
      </c>
      <c r="AF557" s="50">
        <f>4/2</f>
        <v>2</v>
      </c>
      <c r="AG557" s="50">
        <v>10</v>
      </c>
      <c r="AH557" s="50">
        <v>1.1399999999999999</v>
      </c>
      <c r="AI557" s="50">
        <f t="shared" si="31"/>
        <v>5.0000000000000001E-3</v>
      </c>
      <c r="AJ557" s="50">
        <v>1.2999999999999999E-2</v>
      </c>
      <c r="AK557" s="50">
        <f t="shared" si="31"/>
        <v>5.0000000000000001E-3</v>
      </c>
      <c r="AL557" s="50">
        <f t="shared" si="31"/>
        <v>5.0000000000000001E-3</v>
      </c>
      <c r="AM557" s="50">
        <v>2.3E-2</v>
      </c>
      <c r="AN557" s="114">
        <v>7.73</v>
      </c>
      <c r="AQ557" s="49">
        <v>650</v>
      </c>
    </row>
    <row r="558" spans="1:43" ht="15" customHeight="1">
      <c r="A558" s="293" t="s">
        <v>68</v>
      </c>
      <c r="B558" s="50" t="s">
        <v>2367</v>
      </c>
      <c r="C558" s="7" t="s">
        <v>1682</v>
      </c>
      <c r="D558" s="48" t="s">
        <v>1683</v>
      </c>
      <c r="E558" s="50" t="s">
        <v>304</v>
      </c>
      <c r="F558" s="50">
        <v>6000</v>
      </c>
      <c r="G558" s="76" t="s">
        <v>1685</v>
      </c>
      <c r="H558" s="50">
        <v>4953</v>
      </c>
      <c r="I558" s="49" t="s">
        <v>1</v>
      </c>
      <c r="J558" s="50" t="s">
        <v>81</v>
      </c>
      <c r="K558" s="51">
        <v>41432</v>
      </c>
      <c r="L558" s="115">
        <v>41422</v>
      </c>
      <c r="M558" s="50">
        <f t="shared" si="28"/>
        <v>10</v>
      </c>
      <c r="N558" s="50" t="s">
        <v>2</v>
      </c>
      <c r="O558" s="74">
        <f>1.4/2</f>
        <v>0.7</v>
      </c>
      <c r="P558" s="50">
        <v>6.45</v>
      </c>
      <c r="Q558" s="74">
        <v>7.79</v>
      </c>
      <c r="R558" s="50">
        <v>30</v>
      </c>
      <c r="S558" s="74">
        <v>40</v>
      </c>
      <c r="T558" s="50">
        <v>0.12</v>
      </c>
      <c r="U558" s="74">
        <v>1.29</v>
      </c>
      <c r="V558" s="50">
        <v>0.43</v>
      </c>
      <c r="W558" s="74">
        <v>2.5999999999999999E-2</v>
      </c>
      <c r="X558" s="50">
        <v>7.1999999999999995E-2</v>
      </c>
      <c r="Y558" s="74">
        <v>8.9999999999999993E-3</v>
      </c>
      <c r="AE558" s="50">
        <v>7.27</v>
      </c>
      <c r="AF558" s="50">
        <f>4/2</f>
        <v>2</v>
      </c>
      <c r="AG558" s="50">
        <v>40</v>
      </c>
    </row>
    <row r="559" spans="1:43" ht="15" customHeight="1">
      <c r="A559" s="293" t="s">
        <v>68</v>
      </c>
      <c r="B559" s="50" t="s">
        <v>2367</v>
      </c>
      <c r="C559" s="7" t="s">
        <v>1682</v>
      </c>
      <c r="D559" s="48" t="s">
        <v>1683</v>
      </c>
      <c r="E559" s="50" t="s">
        <v>304</v>
      </c>
      <c r="F559" s="50">
        <v>6000</v>
      </c>
      <c r="G559" s="76" t="s">
        <v>1685</v>
      </c>
      <c r="H559" s="50">
        <v>4953</v>
      </c>
      <c r="I559" s="49" t="s">
        <v>1</v>
      </c>
      <c r="J559" s="50" t="s">
        <v>114</v>
      </c>
      <c r="K559" s="51">
        <v>41432</v>
      </c>
      <c r="L559" s="115">
        <v>41422</v>
      </c>
      <c r="M559" s="50">
        <f t="shared" si="28"/>
        <v>10</v>
      </c>
      <c r="N559" s="50" t="s">
        <v>2</v>
      </c>
      <c r="O559" s="74">
        <f>1.4/2</f>
        <v>0.7</v>
      </c>
      <c r="P559" s="50">
        <v>6.45</v>
      </c>
      <c r="Q559" s="74">
        <v>7.84</v>
      </c>
      <c r="R559" s="50">
        <v>64</v>
      </c>
      <c r="S559" s="74">
        <v>85</v>
      </c>
      <c r="T559" s="50">
        <v>0.99</v>
      </c>
      <c r="U559" s="74">
        <v>5.57</v>
      </c>
      <c r="V559" s="50">
        <v>3.34</v>
      </c>
      <c r="W559" s="74">
        <v>1.9E-2</v>
      </c>
      <c r="X559" s="50">
        <v>4.8000000000000001E-2</v>
      </c>
      <c r="Y559" s="74">
        <v>1.2999999999999999E-2</v>
      </c>
      <c r="AE559" s="50">
        <v>3.45</v>
      </c>
      <c r="AF559" s="50">
        <v>15</v>
      </c>
      <c r="AG559" s="50">
        <v>85</v>
      </c>
    </row>
    <row r="560" spans="1:43" ht="15" customHeight="1">
      <c r="A560" s="293" t="s">
        <v>68</v>
      </c>
      <c r="B560" s="50" t="s">
        <v>2367</v>
      </c>
      <c r="C560" s="7" t="s">
        <v>1682</v>
      </c>
      <c r="D560" s="48" t="s">
        <v>1683</v>
      </c>
      <c r="E560" s="50" t="s">
        <v>304</v>
      </c>
      <c r="F560" s="50">
        <v>6000</v>
      </c>
      <c r="G560" s="76" t="s">
        <v>1685</v>
      </c>
      <c r="H560" s="50">
        <v>4953</v>
      </c>
      <c r="I560" s="49" t="s">
        <v>1</v>
      </c>
      <c r="J560" s="50" t="s">
        <v>115</v>
      </c>
      <c r="K560" s="51">
        <v>41432</v>
      </c>
      <c r="L560" s="115">
        <v>41422</v>
      </c>
      <c r="M560" s="50">
        <f t="shared" si="28"/>
        <v>10</v>
      </c>
      <c r="N560" s="50" t="s">
        <v>2</v>
      </c>
      <c r="O560" s="74">
        <f>1.4/2</f>
        <v>0.7</v>
      </c>
      <c r="P560" s="50">
        <v>6.45</v>
      </c>
      <c r="Q560" s="74">
        <v>7.45</v>
      </c>
      <c r="R560" s="50">
        <v>42</v>
      </c>
      <c r="S560" s="74">
        <v>19</v>
      </c>
      <c r="T560" s="50">
        <v>0.15</v>
      </c>
      <c r="U560" s="74">
        <v>1.1399999999999999</v>
      </c>
      <c r="V560" s="50">
        <v>0.25</v>
      </c>
      <c r="W560" s="74">
        <v>8.9999999999999993E-3</v>
      </c>
      <c r="X560" s="50">
        <v>2.3E-2</v>
      </c>
      <c r="Y560" s="74">
        <v>8.0000000000000002E-3</v>
      </c>
      <c r="AE560" s="50">
        <v>0.70099999999999996</v>
      </c>
      <c r="AF560" s="50">
        <v>5</v>
      </c>
      <c r="AG560" s="50">
        <v>19</v>
      </c>
    </row>
    <row r="561" spans="1:51" ht="15" customHeight="1">
      <c r="A561" s="290" t="s">
        <v>68</v>
      </c>
      <c r="B561" s="77" t="s">
        <v>2367</v>
      </c>
      <c r="C561" s="7" t="s">
        <v>1682</v>
      </c>
      <c r="D561" s="48" t="s">
        <v>1683</v>
      </c>
      <c r="E561" s="50" t="s">
        <v>304</v>
      </c>
      <c r="F561" s="50">
        <v>6000</v>
      </c>
      <c r="G561" s="76" t="s">
        <v>1685</v>
      </c>
      <c r="H561" s="50">
        <v>4953</v>
      </c>
      <c r="I561" s="49" t="s">
        <v>1</v>
      </c>
      <c r="J561" s="50" t="s">
        <v>924</v>
      </c>
      <c r="K561" s="51">
        <v>41432</v>
      </c>
      <c r="L561" s="115">
        <v>41422</v>
      </c>
      <c r="M561" s="50">
        <f t="shared" si="28"/>
        <v>10</v>
      </c>
      <c r="N561" s="50" t="s">
        <v>2</v>
      </c>
      <c r="O561" s="74">
        <f>1.7/2</f>
        <v>0.85</v>
      </c>
      <c r="P561" s="50">
        <v>6.45</v>
      </c>
      <c r="Q561" s="74">
        <v>7.49</v>
      </c>
      <c r="R561" s="50">
        <v>84</v>
      </c>
      <c r="S561" s="74">
        <v>12</v>
      </c>
      <c r="T561" s="50">
        <v>0.13</v>
      </c>
      <c r="U561" s="74">
        <v>3.15</v>
      </c>
      <c r="V561" s="50">
        <v>5.99</v>
      </c>
      <c r="W561" s="74">
        <v>1.6E-2</v>
      </c>
      <c r="X561" s="50">
        <v>3.6999999999999998E-2</v>
      </c>
      <c r="Y561" s="74">
        <v>4.0000000000000001E-3</v>
      </c>
      <c r="AE561" s="50">
        <v>0.44400000000000001</v>
      </c>
      <c r="AF561" s="50">
        <v>4.7</v>
      </c>
      <c r="AG561" s="50">
        <v>12</v>
      </c>
    </row>
    <row r="562" spans="1:51" ht="15" customHeight="1">
      <c r="A562" s="88" t="s">
        <v>68</v>
      </c>
      <c r="B562" s="50" t="s">
        <v>3370</v>
      </c>
      <c r="C562" s="7" t="s">
        <v>3475</v>
      </c>
      <c r="D562" s="48" t="s">
        <v>308</v>
      </c>
      <c r="E562" s="50" t="s">
        <v>3476</v>
      </c>
      <c r="F562" s="50">
        <v>6905</v>
      </c>
      <c r="G562" s="76" t="s">
        <v>3478</v>
      </c>
      <c r="H562" s="50">
        <v>4953</v>
      </c>
      <c r="I562" s="49" t="s">
        <v>1</v>
      </c>
      <c r="J562" s="50" t="s">
        <v>3479</v>
      </c>
      <c r="K562" s="51">
        <v>41270</v>
      </c>
      <c r="L562" s="115">
        <v>41264</v>
      </c>
      <c r="M562" s="50">
        <f t="shared" si="28"/>
        <v>6</v>
      </c>
      <c r="N562" s="50" t="s">
        <v>2</v>
      </c>
      <c r="AO562" s="114">
        <v>29000</v>
      </c>
    </row>
    <row r="563" spans="1:51" ht="15" customHeight="1">
      <c r="A563" s="88" t="s">
        <v>68</v>
      </c>
      <c r="B563" s="50" t="s">
        <v>3370</v>
      </c>
      <c r="C563" s="7" t="s">
        <v>3475</v>
      </c>
      <c r="D563" s="48" t="s">
        <v>308</v>
      </c>
      <c r="E563" s="50" t="s">
        <v>3476</v>
      </c>
      <c r="F563" s="50">
        <v>6905</v>
      </c>
      <c r="G563" s="76" t="s">
        <v>3478</v>
      </c>
      <c r="H563" s="50">
        <v>4953</v>
      </c>
      <c r="I563" s="49" t="s">
        <v>1</v>
      </c>
      <c r="J563" s="50" t="s">
        <v>3480</v>
      </c>
      <c r="K563" s="51">
        <v>41270</v>
      </c>
      <c r="L563" s="115">
        <v>41264</v>
      </c>
      <c r="M563" s="50">
        <f t="shared" si="28"/>
        <v>6</v>
      </c>
      <c r="N563" s="50" t="s">
        <v>2</v>
      </c>
      <c r="AO563" s="114">
        <v>18600</v>
      </c>
    </row>
    <row r="564" spans="1:51" ht="15" customHeight="1">
      <c r="A564" s="88" t="s">
        <v>68</v>
      </c>
      <c r="B564" s="50" t="s">
        <v>3370</v>
      </c>
      <c r="C564" s="7" t="s">
        <v>3475</v>
      </c>
      <c r="D564" s="48" t="s">
        <v>308</v>
      </c>
      <c r="E564" s="50" t="s">
        <v>3476</v>
      </c>
      <c r="F564" s="50">
        <v>6905</v>
      </c>
      <c r="G564" s="76" t="s">
        <v>3478</v>
      </c>
      <c r="H564" s="50">
        <v>4953</v>
      </c>
      <c r="I564" s="49" t="s">
        <v>1</v>
      </c>
      <c r="J564" s="50" t="s">
        <v>3479</v>
      </c>
      <c r="K564" s="51">
        <v>41428</v>
      </c>
      <c r="L564" s="115">
        <v>41419</v>
      </c>
      <c r="M564" s="50">
        <f t="shared" si="28"/>
        <v>9</v>
      </c>
      <c r="N564" s="50" t="s">
        <v>2</v>
      </c>
      <c r="O564" s="74">
        <f>1/2</f>
        <v>0.5</v>
      </c>
      <c r="P564" s="50">
        <v>6.43</v>
      </c>
      <c r="Q564" s="74">
        <v>6.12</v>
      </c>
      <c r="R564" s="50">
        <v>66.8</v>
      </c>
      <c r="S564" s="74">
        <v>31</v>
      </c>
      <c r="T564" s="50">
        <v>0.2</v>
      </c>
      <c r="U564" s="74">
        <v>1.62</v>
      </c>
      <c r="V564" s="50">
        <f>0.2/2</f>
        <v>0.1</v>
      </c>
      <c r="W564" s="74">
        <v>0.02</v>
      </c>
      <c r="X564" s="50">
        <v>0.05</v>
      </c>
      <c r="Y564" s="74">
        <f>0.02/2</f>
        <v>0.01</v>
      </c>
    </row>
    <row r="565" spans="1:51" ht="15" customHeight="1">
      <c r="A565" s="88" t="s">
        <v>68</v>
      </c>
      <c r="B565" s="50" t="s">
        <v>3370</v>
      </c>
      <c r="C565" s="7" t="s">
        <v>3475</v>
      </c>
      <c r="D565" s="48" t="s">
        <v>308</v>
      </c>
      <c r="E565" s="50" t="s">
        <v>3476</v>
      </c>
      <c r="F565" s="50">
        <v>6905</v>
      </c>
      <c r="G565" s="76" t="s">
        <v>3478</v>
      </c>
      <c r="H565" s="50">
        <v>4953</v>
      </c>
      <c r="I565" s="49" t="s">
        <v>1</v>
      </c>
      <c r="J565" s="50" t="s">
        <v>3480</v>
      </c>
      <c r="K565" s="51">
        <v>41428</v>
      </c>
      <c r="L565" s="115">
        <v>41419</v>
      </c>
      <c r="M565" s="50">
        <f t="shared" si="28"/>
        <v>9</v>
      </c>
      <c r="N565" s="50" t="s">
        <v>2</v>
      </c>
      <c r="O565" s="74">
        <v>25.4</v>
      </c>
      <c r="P565" s="50">
        <v>6.43</v>
      </c>
      <c r="Q565" s="74">
        <v>6.4</v>
      </c>
      <c r="R565" s="50">
        <v>59.7</v>
      </c>
      <c r="S565" s="74">
        <v>84</v>
      </c>
      <c r="T565" s="50">
        <v>0.6</v>
      </c>
      <c r="U565" s="74">
        <v>2.67</v>
      </c>
      <c r="V565" s="50">
        <f>0.2/2</f>
        <v>0.1</v>
      </c>
      <c r="W565" s="74">
        <v>0.02</v>
      </c>
      <c r="X565" s="50">
        <v>0.13</v>
      </c>
      <c r="Y565" s="74">
        <v>0.02</v>
      </c>
    </row>
    <row r="566" spans="1:51" ht="15" customHeight="1">
      <c r="A566" s="293" t="s">
        <v>68</v>
      </c>
      <c r="B566" s="50" t="s">
        <v>3370</v>
      </c>
      <c r="C566" s="7" t="s">
        <v>2368</v>
      </c>
      <c r="D566" s="48" t="s">
        <v>338</v>
      </c>
      <c r="E566" s="50" t="s">
        <v>599</v>
      </c>
      <c r="F566" s="50">
        <v>6900</v>
      </c>
      <c r="G566" s="76" t="s">
        <v>2369</v>
      </c>
      <c r="H566" s="50">
        <v>4953</v>
      </c>
      <c r="I566" s="49" t="s">
        <v>1</v>
      </c>
      <c r="J566" s="50" t="s">
        <v>81</v>
      </c>
      <c r="K566" s="51">
        <v>41270</v>
      </c>
      <c r="L566" s="115">
        <v>41264</v>
      </c>
      <c r="M566" s="50">
        <f t="shared" si="28"/>
        <v>6</v>
      </c>
      <c r="N566" s="50" t="s">
        <v>2</v>
      </c>
      <c r="AO566" s="114" t="s">
        <v>5127</v>
      </c>
    </row>
    <row r="567" spans="1:51" ht="15" customHeight="1">
      <c r="A567" s="293" t="s">
        <v>68</v>
      </c>
      <c r="B567" s="50" t="s">
        <v>3370</v>
      </c>
      <c r="C567" s="7" t="s">
        <v>2368</v>
      </c>
      <c r="D567" s="48" t="s">
        <v>338</v>
      </c>
      <c r="E567" s="50" t="s">
        <v>599</v>
      </c>
      <c r="F567" s="50">
        <v>6900</v>
      </c>
      <c r="G567" s="76" t="s">
        <v>2369</v>
      </c>
      <c r="H567" s="50">
        <v>4953</v>
      </c>
      <c r="I567" s="49" t="s">
        <v>1</v>
      </c>
      <c r="J567" s="50" t="s">
        <v>81</v>
      </c>
      <c r="K567" s="51">
        <v>41428</v>
      </c>
      <c r="L567" s="115">
        <v>41419</v>
      </c>
      <c r="M567" s="50">
        <f t="shared" si="28"/>
        <v>9</v>
      </c>
      <c r="N567" s="50" t="s">
        <v>2</v>
      </c>
      <c r="O567" s="74">
        <v>21.4</v>
      </c>
      <c r="P567" s="50">
        <v>6.43</v>
      </c>
      <c r="Q567" s="74">
        <v>6.36</v>
      </c>
      <c r="R567" s="50">
        <v>675.4</v>
      </c>
      <c r="S567" s="74">
        <v>621</v>
      </c>
      <c r="T567" s="50">
        <v>2.1</v>
      </c>
      <c r="U567" s="74">
        <v>13</v>
      </c>
      <c r="V567" s="50">
        <f>0.2/2</f>
        <v>0.1</v>
      </c>
      <c r="W567" s="74">
        <v>0.11</v>
      </c>
      <c r="X567" s="50">
        <v>0.61</v>
      </c>
      <c r="Y567" s="74">
        <v>0.15</v>
      </c>
    </row>
    <row r="568" spans="1:51" ht="15" customHeight="1">
      <c r="A568" s="88" t="s">
        <v>68</v>
      </c>
      <c r="B568" s="50" t="s">
        <v>3370</v>
      </c>
      <c r="C568" s="7" t="s">
        <v>3371</v>
      </c>
      <c r="D568" s="48" t="s">
        <v>1550</v>
      </c>
      <c r="E568" s="50" t="s">
        <v>3372</v>
      </c>
      <c r="F568" s="48" t="s">
        <v>3373</v>
      </c>
      <c r="G568" s="76" t="s">
        <v>3374</v>
      </c>
      <c r="H568" s="50">
        <v>4953</v>
      </c>
      <c r="I568" s="49" t="s">
        <v>2</v>
      </c>
      <c r="J568" s="50" t="s">
        <v>81</v>
      </c>
      <c r="K568" s="51">
        <v>41226</v>
      </c>
      <c r="L568" s="115">
        <v>41221</v>
      </c>
      <c r="M568" s="50">
        <f t="shared" si="28"/>
        <v>5</v>
      </c>
      <c r="N568" s="50" t="s">
        <v>2</v>
      </c>
      <c r="O568" s="74">
        <v>63</v>
      </c>
      <c r="P568" s="50">
        <v>7.48</v>
      </c>
      <c r="Q568" s="74">
        <v>6.83</v>
      </c>
      <c r="R568" s="50">
        <v>1820</v>
      </c>
      <c r="S568" s="74">
        <v>1500</v>
      </c>
      <c r="T568" s="50">
        <v>5.2</v>
      </c>
      <c r="U568" s="74">
        <v>35.700000000000003</v>
      </c>
      <c r="V568" s="50">
        <f>0.01/2</f>
        <v>5.0000000000000001E-3</v>
      </c>
      <c r="W568" s="74">
        <v>0.89300000000000002</v>
      </c>
      <c r="X568" s="50">
        <v>4.8</v>
      </c>
      <c r="Y568" s="74">
        <v>0.7</v>
      </c>
      <c r="Z568" s="164">
        <v>0.24099999999999999</v>
      </c>
      <c r="AA568" s="165">
        <v>0.24099999999999999</v>
      </c>
      <c r="AB568" s="50">
        <v>90</v>
      </c>
      <c r="AC568" s="74">
        <v>299</v>
      </c>
      <c r="AD568" s="164">
        <v>0</v>
      </c>
    </row>
    <row r="569" spans="1:51" ht="15" customHeight="1">
      <c r="A569" s="88" t="s">
        <v>68</v>
      </c>
      <c r="B569" s="50" t="s">
        <v>3370</v>
      </c>
      <c r="C569" s="7" t="s">
        <v>3371</v>
      </c>
      <c r="D569" s="48" t="s">
        <v>1550</v>
      </c>
      <c r="E569" s="50" t="s">
        <v>3372</v>
      </c>
      <c r="F569" s="48" t="s">
        <v>3373</v>
      </c>
      <c r="G569" s="76" t="s">
        <v>3374</v>
      </c>
      <c r="H569" s="50">
        <v>4953</v>
      </c>
      <c r="I569" s="49" t="s">
        <v>2</v>
      </c>
      <c r="J569" s="50" t="s">
        <v>925</v>
      </c>
      <c r="K569" s="51">
        <v>41226</v>
      </c>
      <c r="L569" s="115">
        <v>41221</v>
      </c>
      <c r="M569" s="50">
        <f t="shared" si="28"/>
        <v>5</v>
      </c>
      <c r="N569" s="50" t="s">
        <v>2</v>
      </c>
      <c r="O569" s="74">
        <v>25</v>
      </c>
      <c r="P569" s="50">
        <v>7.48</v>
      </c>
      <c r="Q569" s="74">
        <v>7.34</v>
      </c>
      <c r="R569" s="50">
        <v>740</v>
      </c>
      <c r="S569" s="74">
        <v>230</v>
      </c>
      <c r="T569" s="50">
        <v>9.8000000000000007</v>
      </c>
      <c r="U569" s="74">
        <v>127</v>
      </c>
      <c r="V569" s="50">
        <v>0.26</v>
      </c>
      <c r="W569" s="74">
        <v>0.08</v>
      </c>
      <c r="X569" s="50">
        <v>0.51600000000000001</v>
      </c>
      <c r="Y569" s="74">
        <v>3.6999999999999998E-2</v>
      </c>
      <c r="Z569" s="164">
        <v>0.63700000000000001</v>
      </c>
      <c r="AA569" s="165">
        <v>0.61599999999999999</v>
      </c>
      <c r="AB569" s="50">
        <v>74</v>
      </c>
      <c r="AC569" s="74">
        <v>569</v>
      </c>
      <c r="AD569" s="164">
        <v>0</v>
      </c>
    </row>
    <row r="570" spans="1:51" ht="15" customHeight="1">
      <c r="A570" s="88" t="s">
        <v>68</v>
      </c>
      <c r="B570" s="50" t="s">
        <v>3370</v>
      </c>
      <c r="C570" s="7" t="s">
        <v>3371</v>
      </c>
      <c r="D570" s="48" t="s">
        <v>1550</v>
      </c>
      <c r="E570" s="50" t="s">
        <v>3372</v>
      </c>
      <c r="F570" s="48" t="s">
        <v>3373</v>
      </c>
      <c r="G570" s="76" t="s">
        <v>3374</v>
      </c>
      <c r="H570" s="50">
        <v>4953</v>
      </c>
      <c r="I570" s="49" t="s">
        <v>2</v>
      </c>
      <c r="J570" s="50" t="s">
        <v>926</v>
      </c>
      <c r="K570" s="51">
        <v>41226</v>
      </c>
      <c r="L570" s="115">
        <v>41221</v>
      </c>
      <c r="M570" s="50">
        <f t="shared" si="28"/>
        <v>5</v>
      </c>
      <c r="N570" s="50" t="s">
        <v>2</v>
      </c>
      <c r="O570" s="74">
        <v>39</v>
      </c>
      <c r="P570" s="50">
        <v>7.48</v>
      </c>
      <c r="Q570" s="74">
        <v>7.07</v>
      </c>
      <c r="R570" s="50">
        <v>1240</v>
      </c>
      <c r="S570" s="74">
        <v>770</v>
      </c>
      <c r="T570" s="50">
        <v>3.84</v>
      </c>
      <c r="U570" s="74">
        <v>26.9</v>
      </c>
      <c r="V570" s="50">
        <f>0.01/2</f>
        <v>5.0000000000000001E-3</v>
      </c>
      <c r="W570" s="74">
        <v>0.33700000000000002</v>
      </c>
      <c r="X570" s="50">
        <v>1.72</v>
      </c>
      <c r="Y570" s="74">
        <v>0.248</v>
      </c>
      <c r="Z570" s="164">
        <v>0.50800000000000001</v>
      </c>
      <c r="AA570" s="165">
        <v>0.34200000000000003</v>
      </c>
      <c r="AB570" s="50">
        <v>78</v>
      </c>
      <c r="AC570" s="74">
        <v>304</v>
      </c>
      <c r="AD570" s="164">
        <v>0</v>
      </c>
    </row>
    <row r="571" spans="1:51" ht="15" customHeight="1">
      <c r="A571" s="88" t="s">
        <v>68</v>
      </c>
      <c r="B571" s="50" t="s">
        <v>3370</v>
      </c>
      <c r="C571" s="7" t="s">
        <v>3392</v>
      </c>
      <c r="D571" s="14" t="s">
        <v>133</v>
      </c>
      <c r="E571" s="7" t="s">
        <v>3393</v>
      </c>
      <c r="F571" s="7" t="s">
        <v>3394</v>
      </c>
      <c r="G571" s="15" t="s">
        <v>3395</v>
      </c>
      <c r="H571" s="7">
        <v>4953</v>
      </c>
      <c r="I571" s="19" t="s">
        <v>1</v>
      </c>
      <c r="J571" s="7" t="s">
        <v>319</v>
      </c>
      <c r="K571" s="51">
        <v>41432</v>
      </c>
      <c r="L571" s="115">
        <v>41424</v>
      </c>
      <c r="M571" s="50">
        <f t="shared" si="28"/>
        <v>8</v>
      </c>
      <c r="N571" s="50" t="s">
        <v>2</v>
      </c>
      <c r="O571" s="74">
        <v>6.6</v>
      </c>
      <c r="P571" s="50">
        <v>6.42</v>
      </c>
      <c r="Q571" s="74">
        <v>7.16</v>
      </c>
      <c r="R571" s="50">
        <v>159</v>
      </c>
      <c r="S571" s="74">
        <v>92</v>
      </c>
      <c r="T571" s="50">
        <v>0.35</v>
      </c>
      <c r="U571" s="74">
        <v>2.2599999999999998</v>
      </c>
      <c r="V571" s="50">
        <f>0.01/2</f>
        <v>5.0000000000000001E-3</v>
      </c>
      <c r="W571" s="74">
        <v>1.9E-2</v>
      </c>
      <c r="X571" s="50">
        <v>0.188</v>
      </c>
      <c r="Y571" s="74">
        <v>2.8000000000000001E-2</v>
      </c>
      <c r="AO571" s="114" t="s">
        <v>964</v>
      </c>
      <c r="AY571" s="402" t="s">
        <v>964</v>
      </c>
    </row>
    <row r="572" spans="1:51" ht="15" customHeight="1">
      <c r="A572" s="88" t="s">
        <v>68</v>
      </c>
      <c r="B572" s="50" t="s">
        <v>3370</v>
      </c>
      <c r="C572" s="7" t="s">
        <v>3392</v>
      </c>
      <c r="D572" s="14" t="s">
        <v>133</v>
      </c>
      <c r="E572" s="7" t="s">
        <v>3393</v>
      </c>
      <c r="F572" s="7" t="s">
        <v>3394</v>
      </c>
      <c r="G572" s="15" t="s">
        <v>3395</v>
      </c>
      <c r="H572" s="7">
        <v>4953</v>
      </c>
      <c r="I572" s="19" t="s">
        <v>1</v>
      </c>
      <c r="J572" s="7" t="s">
        <v>320</v>
      </c>
      <c r="K572" s="51">
        <v>41432</v>
      </c>
      <c r="L572" s="115">
        <v>41424</v>
      </c>
      <c r="M572" s="50">
        <f t="shared" si="28"/>
        <v>8</v>
      </c>
      <c r="N572" s="50" t="s">
        <v>2</v>
      </c>
      <c r="O572" s="74">
        <v>2</v>
      </c>
      <c r="P572" s="50">
        <v>6.42</v>
      </c>
      <c r="Q572" s="74">
        <v>6.49</v>
      </c>
      <c r="R572" s="50">
        <v>27</v>
      </c>
      <c r="S572" s="74">
        <v>9.5</v>
      </c>
      <c r="T572" s="50">
        <v>7.0000000000000007E-2</v>
      </c>
      <c r="U572" s="74">
        <v>0.51</v>
      </c>
      <c r="V572" s="50">
        <v>0.12</v>
      </c>
      <c r="W572" s="74">
        <f>0.005/2</f>
        <v>2.5000000000000001E-3</v>
      </c>
      <c r="X572" s="50">
        <v>0.20499999999999999</v>
      </c>
      <c r="Y572" s="74">
        <v>3.0000000000000001E-3</v>
      </c>
      <c r="AO572" s="114">
        <v>2760</v>
      </c>
      <c r="AY572" s="5" t="s">
        <v>964</v>
      </c>
    </row>
    <row r="573" spans="1:51" ht="15" customHeight="1">
      <c r="A573" s="293" t="s">
        <v>68</v>
      </c>
      <c r="B573" s="54" t="s">
        <v>954</v>
      </c>
      <c r="C573" s="54" t="s">
        <v>97</v>
      </c>
      <c r="D573" s="362" t="s">
        <v>98</v>
      </c>
      <c r="E573" s="55" t="s">
        <v>44</v>
      </c>
      <c r="F573" s="54"/>
      <c r="G573" s="59" t="s">
        <v>154</v>
      </c>
      <c r="H573" s="60">
        <v>4953</v>
      </c>
      <c r="I573" s="54" t="s">
        <v>2</v>
      </c>
      <c r="J573" s="61" t="s">
        <v>97</v>
      </c>
      <c r="K573" s="57">
        <v>40835</v>
      </c>
      <c r="L573" s="132">
        <v>40830</v>
      </c>
      <c r="M573" s="54">
        <v>5</v>
      </c>
      <c r="N573" s="54" t="s">
        <v>2</v>
      </c>
      <c r="O573" s="133">
        <v>1.2</v>
      </c>
      <c r="P573" s="138">
        <v>7.1</v>
      </c>
      <c r="Q573" s="135">
        <v>2.4900000000000002</v>
      </c>
      <c r="R573" s="136">
        <v>102.4</v>
      </c>
      <c r="S573" s="137">
        <v>180</v>
      </c>
      <c r="T573" s="138">
        <v>1.01</v>
      </c>
      <c r="U573" s="139">
        <v>4</v>
      </c>
      <c r="V573" s="140">
        <v>0.17</v>
      </c>
      <c r="W573" s="141">
        <v>2.7E-2</v>
      </c>
      <c r="X573" s="140">
        <v>1.9E-2</v>
      </c>
      <c r="Y573" s="141">
        <v>6.7000000000000004E-2</v>
      </c>
      <c r="Z573" s="312">
        <v>6.25E-2</v>
      </c>
      <c r="AA573" s="312">
        <v>6.25E-2</v>
      </c>
      <c r="AB573" s="351">
        <v>48.77</v>
      </c>
      <c r="AC573" s="142">
        <v>2850</v>
      </c>
      <c r="AD573" s="312">
        <v>0</v>
      </c>
      <c r="AY573" s="2"/>
    </row>
    <row r="574" spans="1:51" ht="15" customHeight="1">
      <c r="A574" s="293" t="s">
        <v>68</v>
      </c>
      <c r="B574" s="54" t="s">
        <v>954</v>
      </c>
      <c r="C574" s="55" t="s">
        <v>97</v>
      </c>
      <c r="D574" s="48" t="s">
        <v>98</v>
      </c>
      <c r="E574" s="55" t="s">
        <v>44</v>
      </c>
      <c r="F574" s="54"/>
      <c r="G574" s="59" t="s">
        <v>154</v>
      </c>
      <c r="H574" s="60"/>
      <c r="I574" s="54" t="s">
        <v>2</v>
      </c>
      <c r="J574" s="61" t="s">
        <v>97</v>
      </c>
      <c r="K574" s="51">
        <v>41412</v>
      </c>
      <c r="L574" s="115">
        <v>41387</v>
      </c>
      <c r="M574" s="50">
        <f t="shared" si="28"/>
        <v>25</v>
      </c>
      <c r="N574" s="50" t="s">
        <v>2</v>
      </c>
      <c r="O574" s="74">
        <f>1/2</f>
        <v>0.5</v>
      </c>
      <c r="Q574" s="74">
        <v>6.66</v>
      </c>
      <c r="R574" s="50">
        <v>148.6</v>
      </c>
      <c r="S574" s="74">
        <v>61</v>
      </c>
      <c r="T574" s="50">
        <v>0.79</v>
      </c>
      <c r="U574" s="74">
        <v>7.9</v>
      </c>
      <c r="V574" s="50">
        <v>2.2400000000000002</v>
      </c>
      <c r="W574" s="74">
        <v>4.1000000000000002E-2</v>
      </c>
      <c r="X574" s="50">
        <v>0.114</v>
      </c>
      <c r="Y574" s="74">
        <f>0.002/2</f>
        <v>1E-3</v>
      </c>
      <c r="Z574" s="164">
        <v>1</v>
      </c>
      <c r="AA574" s="165">
        <v>1</v>
      </c>
      <c r="AB574" s="50">
        <v>174.1</v>
      </c>
      <c r="AC574" s="74">
        <v>2630</v>
      </c>
      <c r="AD574" s="164">
        <v>1</v>
      </c>
      <c r="AY574" s="2"/>
    </row>
    <row r="575" spans="1:51" ht="15" customHeight="1">
      <c r="A575" s="293" t="s">
        <v>68</v>
      </c>
      <c r="B575" s="50" t="s">
        <v>3384</v>
      </c>
      <c r="C575" s="7" t="s">
        <v>3421</v>
      </c>
      <c r="D575" s="48" t="s">
        <v>534</v>
      </c>
      <c r="E575" s="50" t="s">
        <v>304</v>
      </c>
      <c r="F575" s="48"/>
      <c r="G575" s="76" t="s">
        <v>2547</v>
      </c>
      <c r="I575" s="49" t="s">
        <v>1</v>
      </c>
      <c r="J575" s="50" t="s">
        <v>3422</v>
      </c>
      <c r="K575" s="51">
        <v>41495</v>
      </c>
      <c r="L575" s="115">
        <v>41490</v>
      </c>
      <c r="M575" s="50">
        <f t="shared" si="28"/>
        <v>5</v>
      </c>
      <c r="N575" s="50" t="s">
        <v>2</v>
      </c>
      <c r="O575" s="74">
        <f>1.4/2</f>
        <v>0.7</v>
      </c>
      <c r="P575" s="50">
        <v>5.59</v>
      </c>
      <c r="Q575" s="74">
        <v>7.3</v>
      </c>
      <c r="R575" s="50">
        <v>5</v>
      </c>
      <c r="S575" s="74">
        <v>31</v>
      </c>
      <c r="T575" s="50">
        <f>0.01/2</f>
        <v>5.0000000000000001E-3</v>
      </c>
      <c r="U575" s="74">
        <v>0.08</v>
      </c>
      <c r="V575" s="50">
        <v>0.56999999999999995</v>
      </c>
      <c r="W575" s="74">
        <v>0.01</v>
      </c>
      <c r="X575" s="50">
        <f>0.01/2</f>
        <v>5.0000000000000001E-3</v>
      </c>
      <c r="Y575" s="74">
        <f>0.005/2</f>
        <v>2.5000000000000001E-3</v>
      </c>
      <c r="AE575" s="50">
        <v>0.85</v>
      </c>
      <c r="AY575" s="2"/>
    </row>
    <row r="576" spans="1:51" ht="15" customHeight="1">
      <c r="A576" s="293" t="s">
        <v>68</v>
      </c>
      <c r="B576" s="50" t="s">
        <v>1523</v>
      </c>
      <c r="C576" s="7" t="s">
        <v>1523</v>
      </c>
      <c r="D576" s="48" t="s">
        <v>1524</v>
      </c>
      <c r="E576" s="50" t="s">
        <v>1525</v>
      </c>
      <c r="G576" s="76" t="s">
        <v>1526</v>
      </c>
      <c r="H576" s="50">
        <v>4953</v>
      </c>
      <c r="I576" s="49" t="s">
        <v>2</v>
      </c>
      <c r="J576" s="50" t="s">
        <v>1527</v>
      </c>
      <c r="K576" s="51">
        <v>41529</v>
      </c>
      <c r="L576" s="115">
        <v>41519</v>
      </c>
      <c r="M576" s="50">
        <f t="shared" si="28"/>
        <v>10</v>
      </c>
      <c r="N576" s="50" t="s">
        <v>2</v>
      </c>
      <c r="O576" s="74">
        <f>5/2</f>
        <v>2.5</v>
      </c>
      <c r="P576" s="50">
        <v>6.64</v>
      </c>
      <c r="Q576" s="74">
        <v>7.35</v>
      </c>
      <c r="R576" s="50">
        <v>97.9</v>
      </c>
      <c r="S576" s="74">
        <v>50.8</v>
      </c>
      <c r="T576" s="50">
        <v>0.23</v>
      </c>
      <c r="U576" s="74">
        <v>2.5</v>
      </c>
      <c r="V576" s="50">
        <v>0.25</v>
      </c>
      <c r="W576" s="74">
        <v>9.7000000000000003E-2</v>
      </c>
      <c r="X576" s="50">
        <v>0.48</v>
      </c>
      <c r="Y576" s="74">
        <v>0.13</v>
      </c>
      <c r="AY576" s="2"/>
    </row>
    <row r="577" spans="1:51" ht="15" customHeight="1">
      <c r="A577" s="293" t="s">
        <v>68</v>
      </c>
      <c r="B577" s="50" t="s">
        <v>1523</v>
      </c>
      <c r="C577" s="7" t="s">
        <v>1523</v>
      </c>
      <c r="D577" s="48" t="s">
        <v>1524</v>
      </c>
      <c r="E577" s="50" t="s">
        <v>1525</v>
      </c>
      <c r="G577" s="76" t="s">
        <v>1526</v>
      </c>
      <c r="H577" s="50">
        <v>4953</v>
      </c>
      <c r="I577" s="49" t="s">
        <v>2</v>
      </c>
      <c r="J577" s="48" t="s">
        <v>1528</v>
      </c>
      <c r="K577" s="51">
        <v>41529</v>
      </c>
      <c r="L577" s="115">
        <v>41519</v>
      </c>
      <c r="M577" s="50">
        <f t="shared" si="28"/>
        <v>10</v>
      </c>
      <c r="N577" s="50" t="s">
        <v>2</v>
      </c>
      <c r="O577" s="74">
        <f>5/2</f>
        <v>2.5</v>
      </c>
      <c r="P577" s="50">
        <v>6.64</v>
      </c>
      <c r="Q577" s="74">
        <v>6.6</v>
      </c>
      <c r="R577" s="50">
        <v>10.199999999999999</v>
      </c>
      <c r="S577" s="74">
        <f>4/2</f>
        <v>2</v>
      </c>
      <c r="T577" s="50">
        <v>0.02</v>
      </c>
      <c r="U577" s="74">
        <v>0.85</v>
      </c>
      <c r="V577" s="50">
        <v>0.25</v>
      </c>
      <c r="W577" s="74">
        <f>0.01/2</f>
        <v>5.0000000000000001E-3</v>
      </c>
      <c r="X577" s="50">
        <v>0.35</v>
      </c>
      <c r="Y577" s="74">
        <v>1.2999999999999999E-2</v>
      </c>
      <c r="AY577" s="2"/>
    </row>
    <row r="578" spans="1:51" ht="15" customHeight="1">
      <c r="A578" s="293" t="s">
        <v>68</v>
      </c>
      <c r="B578" s="50" t="s">
        <v>2982</v>
      </c>
      <c r="C578" s="7" t="s">
        <v>392</v>
      </c>
      <c r="D578" s="48" t="s">
        <v>2983</v>
      </c>
      <c r="E578" s="50" t="s">
        <v>2984</v>
      </c>
      <c r="G578" s="76" t="s">
        <v>3007</v>
      </c>
      <c r="H578" s="50">
        <v>5093</v>
      </c>
      <c r="I578" s="49" t="s">
        <v>2</v>
      </c>
      <c r="J578" s="50" t="s">
        <v>194</v>
      </c>
      <c r="K578" s="51">
        <v>41495</v>
      </c>
      <c r="L578" s="115">
        <v>41488</v>
      </c>
      <c r="M578" s="50">
        <f t="shared" si="28"/>
        <v>7</v>
      </c>
      <c r="N578" s="50" t="s">
        <v>2</v>
      </c>
      <c r="O578" s="74">
        <v>4.5999999999999996</v>
      </c>
      <c r="Q578" s="74">
        <v>7.7</v>
      </c>
      <c r="R578" s="50">
        <f>10/2</f>
        <v>5</v>
      </c>
      <c r="S578" s="74">
        <v>84</v>
      </c>
      <c r="T578" s="50">
        <v>0.21</v>
      </c>
      <c r="U578" s="74">
        <v>0.68</v>
      </c>
      <c r="V578" s="50">
        <v>0.16</v>
      </c>
      <c r="W578" s="74">
        <v>0.01</v>
      </c>
      <c r="X578" s="50">
        <v>4.7E-2</v>
      </c>
      <c r="Y578" s="74">
        <f>0.03/2</f>
        <v>1.4999999999999999E-2</v>
      </c>
      <c r="AY578" s="2"/>
    </row>
    <row r="579" spans="1:51" ht="14">
      <c r="A579" s="293" t="s">
        <v>68</v>
      </c>
      <c r="B579" s="50" t="s">
        <v>1381</v>
      </c>
      <c r="C579" s="7" t="s">
        <v>1482</v>
      </c>
      <c r="D579" s="48" t="s">
        <v>200</v>
      </c>
      <c r="E579" s="50" t="s">
        <v>214</v>
      </c>
      <c r="G579" s="76" t="s">
        <v>1480</v>
      </c>
      <c r="H579" s="50">
        <v>4953</v>
      </c>
      <c r="I579" s="49" t="s">
        <v>2</v>
      </c>
      <c r="J579" s="50" t="s">
        <v>1481</v>
      </c>
      <c r="K579" s="51">
        <v>41487</v>
      </c>
      <c r="L579" s="115">
        <v>41481</v>
      </c>
      <c r="M579" s="50">
        <f t="shared" si="28"/>
        <v>6</v>
      </c>
      <c r="N579" s="50" t="s">
        <v>2</v>
      </c>
      <c r="O579" s="74">
        <f>1.4/2</f>
        <v>0.7</v>
      </c>
      <c r="P579" s="50">
        <v>4.78</v>
      </c>
      <c r="Q579" s="74">
        <v>7.34</v>
      </c>
      <c r="R579" s="50">
        <v>143</v>
      </c>
      <c r="S579" s="74">
        <v>23</v>
      </c>
      <c r="T579" s="50">
        <v>0.49</v>
      </c>
      <c r="U579" s="74">
        <v>4.54</v>
      </c>
      <c r="V579" s="50">
        <v>1.33</v>
      </c>
      <c r="W579" s="74">
        <v>1.9E-2</v>
      </c>
      <c r="X579" s="50">
        <v>8.2000000000000003E-2</v>
      </c>
      <c r="Y579" s="74">
        <v>5.0000000000000001E-3</v>
      </c>
      <c r="AY579" s="2"/>
    </row>
    <row r="580" spans="1:51" ht="14">
      <c r="A580" s="293" t="s">
        <v>68</v>
      </c>
      <c r="B580" s="50" t="s">
        <v>1381</v>
      </c>
      <c r="C580" s="7" t="s">
        <v>1482</v>
      </c>
      <c r="D580" s="48" t="s">
        <v>200</v>
      </c>
      <c r="E580" s="50" t="s">
        <v>214</v>
      </c>
      <c r="G580" s="76" t="s">
        <v>1480</v>
      </c>
      <c r="H580" s="50">
        <v>4953</v>
      </c>
      <c r="I580" s="49" t="s">
        <v>1</v>
      </c>
      <c r="J580" s="50" t="s">
        <v>1481</v>
      </c>
      <c r="K580" s="51">
        <v>41533</v>
      </c>
      <c r="L580" s="115">
        <v>41529</v>
      </c>
      <c r="M580" s="50">
        <f t="shared" si="28"/>
        <v>4</v>
      </c>
      <c r="N580" s="50" t="s">
        <v>2</v>
      </c>
      <c r="AE580" s="50">
        <v>0.91600000000000004</v>
      </c>
      <c r="AY580" s="2"/>
    </row>
    <row r="581" spans="1:51" ht="15" customHeight="1">
      <c r="A581" s="293" t="s">
        <v>68</v>
      </c>
      <c r="B581" s="50" t="s">
        <v>2973</v>
      </c>
      <c r="C581" s="74" t="s">
        <v>388</v>
      </c>
      <c r="D581" s="48" t="s">
        <v>480</v>
      </c>
      <c r="E581" s="74" t="s">
        <v>2329</v>
      </c>
      <c r="G581" s="48" t="s">
        <v>2979</v>
      </c>
      <c r="H581" s="74">
        <v>5093</v>
      </c>
      <c r="I581" s="50" t="s">
        <v>1</v>
      </c>
      <c r="J581" s="48" t="s">
        <v>2975</v>
      </c>
      <c r="K581" s="51">
        <v>41170</v>
      </c>
      <c r="L581" s="115">
        <v>41160</v>
      </c>
      <c r="M581" s="50">
        <f t="shared" si="28"/>
        <v>10</v>
      </c>
      <c r="N581" s="50" t="s">
        <v>2</v>
      </c>
      <c r="O581" s="74">
        <v>4.4000000000000004</v>
      </c>
      <c r="P581" s="50">
        <v>7</v>
      </c>
      <c r="Q581" s="74">
        <v>2</v>
      </c>
      <c r="R581" s="50">
        <v>58</v>
      </c>
      <c r="S581" s="74">
        <v>36</v>
      </c>
      <c r="T581" s="50">
        <v>0.15</v>
      </c>
      <c r="U581" s="74">
        <v>2.5099999999999998</v>
      </c>
      <c r="V581" s="50">
        <v>0.41</v>
      </c>
      <c r="W581" s="74">
        <v>3.4000000000000002E-2</v>
      </c>
      <c r="X581" s="50">
        <v>8.7999999999999995E-2</v>
      </c>
      <c r="Y581" s="74">
        <f>0.03/2</f>
        <v>1.4999999999999999E-2</v>
      </c>
      <c r="AY581" s="2"/>
    </row>
    <row r="582" spans="1:51" ht="15" customHeight="1">
      <c r="A582" s="293" t="s">
        <v>68</v>
      </c>
      <c r="B582" s="50" t="s">
        <v>2973</v>
      </c>
      <c r="C582" s="74" t="s">
        <v>388</v>
      </c>
      <c r="D582" s="48" t="s">
        <v>480</v>
      </c>
      <c r="E582" s="74" t="s">
        <v>2329</v>
      </c>
      <c r="G582" s="48" t="s">
        <v>2979</v>
      </c>
      <c r="H582" s="74">
        <v>5093</v>
      </c>
      <c r="I582" s="50" t="s">
        <v>1</v>
      </c>
      <c r="J582" s="48" t="s">
        <v>2980</v>
      </c>
      <c r="K582" s="51">
        <v>41170</v>
      </c>
      <c r="L582" s="115">
        <v>41160</v>
      </c>
      <c r="M582" s="50">
        <f t="shared" si="28"/>
        <v>10</v>
      </c>
      <c r="N582" s="50" t="s">
        <v>2</v>
      </c>
      <c r="O582" s="74">
        <v>14.3</v>
      </c>
      <c r="P582" s="50">
        <v>7</v>
      </c>
      <c r="Q582" s="74">
        <v>4.3</v>
      </c>
      <c r="R582" s="50">
        <v>125</v>
      </c>
      <c r="S582" s="74">
        <v>1216</v>
      </c>
      <c r="T582" s="50">
        <v>2.31</v>
      </c>
      <c r="U582" s="74">
        <v>9.59</v>
      </c>
      <c r="V582" s="50">
        <v>0.45</v>
      </c>
      <c r="W582" s="74">
        <v>7.0999999999999994E-2</v>
      </c>
      <c r="X582" s="50">
        <v>0.19900000000000001</v>
      </c>
      <c r="Y582" s="74">
        <v>4.5999999999999999E-2</v>
      </c>
      <c r="AY582" s="2"/>
    </row>
    <row r="583" spans="1:51" ht="15" customHeight="1">
      <c r="A583" s="293" t="s">
        <v>68</v>
      </c>
      <c r="B583" s="50" t="s">
        <v>954</v>
      </c>
      <c r="C583" s="7" t="s">
        <v>97</v>
      </c>
      <c r="D583" s="48" t="s">
        <v>98</v>
      </c>
      <c r="E583" s="50" t="s">
        <v>44</v>
      </c>
      <c r="G583" s="76" t="s">
        <v>154</v>
      </c>
      <c r="I583" s="49" t="s">
        <v>2</v>
      </c>
      <c r="J583" s="50" t="s">
        <v>97</v>
      </c>
      <c r="K583" s="51">
        <v>41513</v>
      </c>
      <c r="L583" s="115">
        <v>41508</v>
      </c>
      <c r="M583" s="50">
        <f t="shared" si="28"/>
        <v>5</v>
      </c>
      <c r="N583" s="50" t="s">
        <v>2</v>
      </c>
      <c r="O583" s="74">
        <f>1/2</f>
        <v>0.5</v>
      </c>
      <c r="P583" s="50">
        <v>7.23</v>
      </c>
      <c r="Q583" s="74">
        <v>7.22</v>
      </c>
      <c r="R583" s="50">
        <v>92.1</v>
      </c>
      <c r="S583" s="74">
        <v>2</v>
      </c>
      <c r="T583" s="50">
        <v>0.56000000000000005</v>
      </c>
      <c r="U583" s="74">
        <v>2.2999999999999998</v>
      </c>
      <c r="V583" s="50">
        <v>0.17</v>
      </c>
      <c r="W583" s="74">
        <v>2.4E-2</v>
      </c>
      <c r="X583" s="50">
        <v>4.4999999999999998E-2</v>
      </c>
      <c r="Y583" s="74">
        <f>0.002/2</f>
        <v>1E-3</v>
      </c>
      <c r="AY583" s="2"/>
    </row>
    <row r="584" spans="1:51" ht="15" customHeight="1">
      <c r="A584" s="293" t="s">
        <v>68</v>
      </c>
      <c r="B584" s="50" t="s">
        <v>2622</v>
      </c>
      <c r="C584" s="7" t="s">
        <v>2623</v>
      </c>
      <c r="D584" s="48" t="s">
        <v>209</v>
      </c>
      <c r="E584" s="50" t="s">
        <v>2624</v>
      </c>
      <c r="G584" s="76" t="s">
        <v>2625</v>
      </c>
      <c r="H584" s="50">
        <v>4953</v>
      </c>
      <c r="J584" s="50" t="s">
        <v>2546</v>
      </c>
      <c r="K584" s="51">
        <v>41495</v>
      </c>
      <c r="L584" s="115"/>
      <c r="N584" s="50" t="s">
        <v>2</v>
      </c>
      <c r="O584" s="74">
        <f>1.4/2</f>
        <v>0.7</v>
      </c>
      <c r="P584" s="50">
        <v>7.23</v>
      </c>
      <c r="Q584" s="74">
        <v>7.53</v>
      </c>
      <c r="R584" s="50">
        <f>10/2</f>
        <v>5</v>
      </c>
      <c r="S584" s="74">
        <v>78</v>
      </c>
      <c r="T584" s="50">
        <v>0.16</v>
      </c>
      <c r="U584" s="74">
        <v>0.8</v>
      </c>
      <c r="V584" s="50">
        <v>0.03</v>
      </c>
      <c r="W584" s="74">
        <v>0.01</v>
      </c>
      <c r="X584" s="50">
        <v>6.8000000000000005E-2</v>
      </c>
      <c r="Y584" s="74">
        <v>1.7000000000000001E-2</v>
      </c>
    </row>
    <row r="585" spans="1:51" ht="15" customHeight="1">
      <c r="A585" s="293" t="s">
        <v>68</v>
      </c>
      <c r="B585" s="50" t="s">
        <v>1485</v>
      </c>
      <c r="C585" s="7" t="s">
        <v>1485</v>
      </c>
      <c r="D585" s="48" t="s">
        <v>480</v>
      </c>
      <c r="E585" s="50" t="s">
        <v>1486</v>
      </c>
      <c r="G585" s="76" t="s">
        <v>1487</v>
      </c>
      <c r="H585" s="50">
        <v>4212</v>
      </c>
      <c r="I585" s="49" t="s">
        <v>1</v>
      </c>
      <c r="J585" s="50" t="s">
        <v>81</v>
      </c>
      <c r="K585" s="51">
        <v>41170</v>
      </c>
      <c r="L585" s="115">
        <v>41160</v>
      </c>
      <c r="M585" s="50">
        <f>K585-L585</f>
        <v>10</v>
      </c>
      <c r="N585" s="50" t="s">
        <v>2</v>
      </c>
      <c r="O585" s="74">
        <v>2.2999999999999998</v>
      </c>
      <c r="P585" s="50">
        <v>5.9</v>
      </c>
      <c r="Q585" s="74">
        <v>7.4</v>
      </c>
      <c r="R585" s="50">
        <v>80</v>
      </c>
      <c r="S585" s="74">
        <v>10</v>
      </c>
      <c r="T585" s="50">
        <v>0.35</v>
      </c>
      <c r="U585" s="74">
        <v>5.41</v>
      </c>
      <c r="V585" s="50">
        <v>0.91</v>
      </c>
      <c r="W585" s="74">
        <v>2.5999999999999999E-2</v>
      </c>
      <c r="X585" s="50">
        <v>0.22500000000000001</v>
      </c>
      <c r="Y585" s="74">
        <f>0.03/2</f>
        <v>1.4999999999999999E-2</v>
      </c>
    </row>
    <row r="586" spans="1:51" ht="15" customHeight="1">
      <c r="A586" s="88" t="s">
        <v>68</v>
      </c>
      <c r="B586" s="50" t="s">
        <v>1122</v>
      </c>
      <c r="D586" s="48" t="s">
        <v>205</v>
      </c>
      <c r="E586" s="50" t="s">
        <v>1123</v>
      </c>
      <c r="G586" s="76" t="s">
        <v>1124</v>
      </c>
      <c r="H586" s="50">
        <v>4953</v>
      </c>
      <c r="I586" s="49" t="s">
        <v>2</v>
      </c>
      <c r="J586" s="50" t="s">
        <v>1125</v>
      </c>
      <c r="K586" s="51">
        <v>41596</v>
      </c>
      <c r="L586" s="115">
        <v>41585</v>
      </c>
      <c r="M586" s="50">
        <f>K586-L586</f>
        <v>11</v>
      </c>
      <c r="N586" s="50" t="s">
        <v>2</v>
      </c>
      <c r="R586" s="50">
        <v>65</v>
      </c>
      <c r="S586" s="74">
        <v>44</v>
      </c>
      <c r="T586" s="50">
        <v>0.52</v>
      </c>
      <c r="U586" s="74">
        <v>1.77</v>
      </c>
      <c r="W586" s="74">
        <v>1.7999999999999999E-2</v>
      </c>
      <c r="X586" s="50">
        <v>4.3999999999999997E-2</v>
      </c>
      <c r="Y586" s="74">
        <v>0.01</v>
      </c>
    </row>
    <row r="587" spans="1:51" ht="15" customHeight="1">
      <c r="A587" s="293" t="s">
        <v>68</v>
      </c>
      <c r="B587" s="50" t="s">
        <v>1523</v>
      </c>
      <c r="C587" s="50" t="s">
        <v>1523</v>
      </c>
      <c r="D587" s="48" t="s">
        <v>1524</v>
      </c>
      <c r="E587" s="50" t="s">
        <v>1525</v>
      </c>
      <c r="G587" s="76" t="s">
        <v>1526</v>
      </c>
      <c r="H587" s="50">
        <v>4953</v>
      </c>
      <c r="I587" s="49" t="s">
        <v>2</v>
      </c>
      <c r="J587" s="48" t="s">
        <v>1527</v>
      </c>
      <c r="K587" s="51">
        <v>41156</v>
      </c>
      <c r="L587" s="115">
        <v>41153</v>
      </c>
      <c r="M587" s="50">
        <v>3</v>
      </c>
      <c r="N587" s="50" t="s">
        <v>2</v>
      </c>
      <c r="O587" s="131"/>
      <c r="P587" s="50">
        <v>6.71</v>
      </c>
      <c r="Q587" s="74">
        <v>7.55</v>
      </c>
      <c r="R587" s="117"/>
      <c r="T587" s="117"/>
      <c r="U587" s="131"/>
      <c r="V587" s="117"/>
      <c r="Y587" s="50"/>
      <c r="Z587" s="50"/>
      <c r="AA587" s="74"/>
      <c r="AD587" s="271"/>
      <c r="AE587" s="50">
        <v>1</v>
      </c>
      <c r="AH587" s="74"/>
      <c r="AI587" s="74"/>
      <c r="AL587" s="113"/>
      <c r="AM587" s="74"/>
    </row>
    <row r="588" spans="1:51" ht="15" customHeight="1">
      <c r="A588" s="293" t="s">
        <v>68</v>
      </c>
      <c r="B588" s="50" t="s">
        <v>1523</v>
      </c>
      <c r="C588" s="50" t="s">
        <v>1523</v>
      </c>
      <c r="D588" s="48" t="s">
        <v>1524</v>
      </c>
      <c r="E588" s="50" t="s">
        <v>1525</v>
      </c>
      <c r="G588" s="76" t="s">
        <v>1526</v>
      </c>
      <c r="H588" s="50">
        <v>4953</v>
      </c>
      <c r="I588" s="49" t="s">
        <v>2</v>
      </c>
      <c r="J588" s="48" t="s">
        <v>1528</v>
      </c>
      <c r="K588" s="51">
        <v>41156</v>
      </c>
      <c r="L588" s="115">
        <v>41153</v>
      </c>
      <c r="M588" s="50">
        <v>3</v>
      </c>
      <c r="N588" s="50" t="s">
        <v>2</v>
      </c>
      <c r="O588" s="131"/>
      <c r="P588" s="50">
        <v>6.71</v>
      </c>
      <c r="Q588" s="74">
        <v>6.81</v>
      </c>
      <c r="R588" s="117"/>
      <c r="T588" s="117"/>
      <c r="U588" s="131"/>
      <c r="V588" s="117"/>
      <c r="Y588" s="50"/>
      <c r="Z588" s="50"/>
      <c r="AA588" s="74"/>
      <c r="AD588" s="271"/>
      <c r="AE588" s="50">
        <v>0.18</v>
      </c>
      <c r="AH588" s="74"/>
      <c r="AI588" s="74"/>
      <c r="AL588" s="113"/>
      <c r="AM588" s="74"/>
    </row>
    <row r="589" spans="1:51" ht="15" customHeight="1">
      <c r="A589" s="293" t="s">
        <v>68</v>
      </c>
      <c r="B589" s="50" t="s">
        <v>1523</v>
      </c>
      <c r="C589" s="50" t="s">
        <v>1523</v>
      </c>
      <c r="D589" s="48" t="s">
        <v>1524</v>
      </c>
      <c r="E589" s="50" t="s">
        <v>1525</v>
      </c>
      <c r="G589" s="76" t="s">
        <v>1526</v>
      </c>
      <c r="H589" s="50">
        <v>4953</v>
      </c>
      <c r="I589" s="49" t="s">
        <v>2</v>
      </c>
      <c r="J589" s="50" t="s">
        <v>1528</v>
      </c>
      <c r="K589" s="51">
        <v>40996</v>
      </c>
      <c r="L589" s="115">
        <v>40977</v>
      </c>
      <c r="M589" s="50">
        <v>19</v>
      </c>
      <c r="N589" s="50" t="s">
        <v>2</v>
      </c>
      <c r="O589" s="131"/>
      <c r="P589" s="50">
        <v>6.45</v>
      </c>
      <c r="Q589" s="74">
        <v>6.65</v>
      </c>
      <c r="R589" s="117"/>
      <c r="T589" s="117"/>
      <c r="U589" s="131"/>
      <c r="V589" s="117"/>
      <c r="Y589" s="50"/>
      <c r="AD589" s="271"/>
      <c r="AE589" s="50">
        <v>0.3</v>
      </c>
      <c r="AI589" s="74"/>
      <c r="AL589" s="113"/>
      <c r="AM589" s="74"/>
    </row>
    <row r="590" spans="1:51" ht="15" customHeight="1">
      <c r="A590" s="293" t="s">
        <v>68</v>
      </c>
      <c r="B590" s="50" t="s">
        <v>1523</v>
      </c>
      <c r="C590" s="50" t="s">
        <v>1523</v>
      </c>
      <c r="D590" s="48" t="s">
        <v>1524</v>
      </c>
      <c r="E590" s="50" t="s">
        <v>1525</v>
      </c>
      <c r="G590" s="76" t="s">
        <v>1526</v>
      </c>
      <c r="H590" s="50">
        <v>4953</v>
      </c>
      <c r="I590" s="49" t="s">
        <v>2</v>
      </c>
      <c r="J590" s="50" t="s">
        <v>1527</v>
      </c>
      <c r="K590" s="51">
        <v>40996</v>
      </c>
      <c r="L590" s="115">
        <v>40977</v>
      </c>
      <c r="M590" s="50">
        <v>19</v>
      </c>
      <c r="N590" s="50" t="s">
        <v>2</v>
      </c>
      <c r="O590" s="131"/>
      <c r="P590" s="50">
        <v>6.45</v>
      </c>
      <c r="Q590" s="74">
        <v>7.44</v>
      </c>
      <c r="R590" s="117"/>
      <c r="T590" s="117"/>
      <c r="U590" s="131"/>
      <c r="V590" s="117"/>
      <c r="Y590" s="50"/>
      <c r="AD590" s="271"/>
      <c r="AE590" s="50">
        <v>1.1000000000000001</v>
      </c>
      <c r="AI590" s="74"/>
      <c r="AL590" s="113"/>
      <c r="AM590" s="74"/>
    </row>
    <row r="591" spans="1:51" ht="15" customHeight="1">
      <c r="A591" s="293" t="s">
        <v>68</v>
      </c>
      <c r="B591" s="50" t="s">
        <v>4138</v>
      </c>
      <c r="C591" s="7" t="s">
        <v>3448</v>
      </c>
      <c r="D591" s="48" t="s">
        <v>262</v>
      </c>
      <c r="F591" s="50" t="s">
        <v>3449</v>
      </c>
      <c r="G591" s="76" t="s">
        <v>3450</v>
      </c>
      <c r="H591" s="50">
        <v>4953</v>
      </c>
      <c r="I591" s="49" t="s">
        <v>2</v>
      </c>
      <c r="J591" s="50" t="s">
        <v>510</v>
      </c>
      <c r="K591" s="51">
        <v>41499</v>
      </c>
      <c r="L591" s="115">
        <v>41490</v>
      </c>
      <c r="M591" s="50">
        <f t="shared" ref="M591:M633" si="32">K591-L591</f>
        <v>9</v>
      </c>
      <c r="N591" s="50" t="s">
        <v>2</v>
      </c>
      <c r="O591" s="74">
        <v>12</v>
      </c>
      <c r="P591" s="50">
        <v>6.5</v>
      </c>
      <c r="Q591" s="74">
        <v>7.15</v>
      </c>
      <c r="R591" s="50">
        <v>95</v>
      </c>
      <c r="S591" s="74">
        <v>4400</v>
      </c>
      <c r="T591" s="50">
        <v>1.17</v>
      </c>
      <c r="U591" s="74">
        <v>6.04</v>
      </c>
      <c r="V591" s="50">
        <v>0.43</v>
      </c>
      <c r="W591" s="74">
        <v>0.16600000000000001</v>
      </c>
      <c r="X591" s="50">
        <v>1</v>
      </c>
      <c r="Y591" s="74">
        <v>0.189</v>
      </c>
    </row>
    <row r="592" spans="1:51" ht="15" customHeight="1">
      <c r="A592" s="293" t="s">
        <v>68</v>
      </c>
      <c r="B592" s="50" t="s">
        <v>4141</v>
      </c>
      <c r="C592" s="7" t="s">
        <v>3408</v>
      </c>
      <c r="D592" s="48" t="s">
        <v>372</v>
      </c>
      <c r="F592" s="50" t="s">
        <v>3409</v>
      </c>
      <c r="G592" s="76" t="s">
        <v>3410</v>
      </c>
      <c r="H592" s="50">
        <v>4953</v>
      </c>
      <c r="I592" s="49" t="s">
        <v>1</v>
      </c>
      <c r="J592" s="50" t="s">
        <v>366</v>
      </c>
      <c r="K592" s="51">
        <v>41432</v>
      </c>
      <c r="L592" s="115">
        <v>41428</v>
      </c>
      <c r="M592" s="50">
        <f t="shared" si="32"/>
        <v>4</v>
      </c>
      <c r="N592" s="50" t="s">
        <v>2</v>
      </c>
      <c r="O592" s="74">
        <v>12</v>
      </c>
      <c r="P592" s="50">
        <v>6.5</v>
      </c>
      <c r="Q592" s="74">
        <v>7.64</v>
      </c>
      <c r="R592" s="50">
        <v>183</v>
      </c>
      <c r="S592" s="74">
        <v>94</v>
      </c>
      <c r="T592" s="50">
        <v>0.37</v>
      </c>
      <c r="U592" s="74">
        <v>4.53</v>
      </c>
      <c r="V592" s="50">
        <v>0.18</v>
      </c>
      <c r="W592" s="74">
        <v>6.5000000000000002E-2</v>
      </c>
      <c r="X592" s="50">
        <v>0.33500000000000002</v>
      </c>
      <c r="Y592" s="74">
        <v>0.17199999999999999</v>
      </c>
    </row>
    <row r="593" spans="1:40" ht="15" customHeight="1">
      <c r="A593" s="293" t="s">
        <v>68</v>
      </c>
      <c r="B593" s="50" t="s">
        <v>3627</v>
      </c>
      <c r="C593" s="7" t="s">
        <v>3305</v>
      </c>
      <c r="D593" s="48" t="s">
        <v>156</v>
      </c>
      <c r="F593" s="50" t="s">
        <v>3306</v>
      </c>
      <c r="G593" s="76" t="s">
        <v>3307</v>
      </c>
      <c r="H593" s="50">
        <v>4953</v>
      </c>
      <c r="I593" s="49" t="s">
        <v>2</v>
      </c>
      <c r="J593" s="50" t="s">
        <v>460</v>
      </c>
      <c r="K593" s="51">
        <v>41495</v>
      </c>
      <c r="L593" s="115">
        <v>41487</v>
      </c>
      <c r="M593" s="50">
        <f t="shared" si="32"/>
        <v>8</v>
      </c>
      <c r="N593" s="50" t="s">
        <v>2</v>
      </c>
      <c r="O593" s="74">
        <v>12</v>
      </c>
      <c r="P593" s="50">
        <v>6.5</v>
      </c>
      <c r="Q593" s="74">
        <v>6.6</v>
      </c>
      <c r="R593" s="50">
        <v>284</v>
      </c>
      <c r="S593" s="74">
        <v>450</v>
      </c>
      <c r="T593" s="50">
        <v>1.21</v>
      </c>
      <c r="U593" s="74">
        <v>10.1</v>
      </c>
      <c r="V593" s="50">
        <f>0.01/2</f>
        <v>5.0000000000000001E-3</v>
      </c>
      <c r="W593" s="74">
        <v>4.9000000000000002E-2</v>
      </c>
      <c r="X593" s="50">
        <v>0.39900000000000002</v>
      </c>
      <c r="Y593" s="74">
        <v>8.1000000000000003E-2</v>
      </c>
    </row>
    <row r="594" spans="1:40" ht="15" customHeight="1">
      <c r="A594" s="293" t="s">
        <v>68</v>
      </c>
      <c r="B594" s="50" t="s">
        <v>4142</v>
      </c>
      <c r="C594" s="7" t="s">
        <v>3520</v>
      </c>
      <c r="D594" s="48" t="s">
        <v>534</v>
      </c>
      <c r="F594" s="50" t="s">
        <v>3521</v>
      </c>
      <c r="G594" s="76" t="s">
        <v>3522</v>
      </c>
      <c r="H594" s="50">
        <v>4212</v>
      </c>
      <c r="I594" s="49" t="s">
        <v>2</v>
      </c>
      <c r="J594" s="50" t="s">
        <v>510</v>
      </c>
      <c r="K594" s="51">
        <v>41499</v>
      </c>
      <c r="L594" s="115">
        <v>41495</v>
      </c>
      <c r="M594" s="50">
        <f t="shared" si="32"/>
        <v>4</v>
      </c>
      <c r="N594" s="50" t="s">
        <v>2</v>
      </c>
      <c r="O594" s="74">
        <v>2.8</v>
      </c>
      <c r="P594" s="50">
        <v>6.5</v>
      </c>
      <c r="Q594" s="74">
        <v>7.86</v>
      </c>
      <c r="R594" s="50">
        <v>337</v>
      </c>
      <c r="S594" s="74">
        <v>2300</v>
      </c>
      <c r="T594" s="50">
        <v>4.1900000000000004</v>
      </c>
      <c r="U594" s="74">
        <v>39.6</v>
      </c>
      <c r="V594" s="50">
        <f>0.01/2</f>
        <v>5.0000000000000001E-3</v>
      </c>
      <c r="W594" s="74">
        <v>0.58899999999999997</v>
      </c>
      <c r="X594" s="50">
        <v>2.4</v>
      </c>
      <c r="Y594" s="74">
        <v>0.27700000000000002</v>
      </c>
    </row>
    <row r="595" spans="1:40" ht="15" customHeight="1">
      <c r="A595" s="293" t="s">
        <v>68</v>
      </c>
      <c r="B595" s="50" t="s">
        <v>3451</v>
      </c>
      <c r="C595" s="7" t="s">
        <v>3440</v>
      </c>
      <c r="D595" s="48" t="s">
        <v>372</v>
      </c>
      <c r="F595" s="50" t="s">
        <v>3409</v>
      </c>
      <c r="G595" s="76" t="s">
        <v>3441</v>
      </c>
      <c r="H595" s="50">
        <v>5093</v>
      </c>
      <c r="I595" s="49" t="s">
        <v>2</v>
      </c>
      <c r="J595" s="50" t="s">
        <v>510</v>
      </c>
      <c r="K595" s="51">
        <v>41432</v>
      </c>
      <c r="L595" s="115">
        <v>41428</v>
      </c>
      <c r="M595" s="50">
        <f t="shared" si="32"/>
        <v>4</v>
      </c>
      <c r="N595" s="50" t="s">
        <v>2</v>
      </c>
      <c r="O595" s="74">
        <v>15</v>
      </c>
      <c r="P595" s="50">
        <v>6.5</v>
      </c>
      <c r="Q595" s="74">
        <v>7.08</v>
      </c>
      <c r="R595" s="50">
        <v>187</v>
      </c>
      <c r="S595" s="74">
        <v>340</v>
      </c>
      <c r="T595" s="50">
        <v>0.34</v>
      </c>
      <c r="U595" s="74">
        <v>1.177</v>
      </c>
      <c r="V595" s="50">
        <v>0.01</v>
      </c>
      <c r="W595" s="74">
        <v>4.3999999999999997E-2</v>
      </c>
      <c r="X595" s="50">
        <v>0.20899999999999999</v>
      </c>
      <c r="Y595" s="74">
        <v>5.1999999999999998E-2</v>
      </c>
    </row>
    <row r="596" spans="1:40" ht="15" customHeight="1">
      <c r="A596" s="293" t="s">
        <v>68</v>
      </c>
      <c r="B596" s="50" t="s">
        <v>3304</v>
      </c>
      <c r="C596" s="7" t="s">
        <v>3518</v>
      </c>
      <c r="D596" s="48" t="s">
        <v>3286</v>
      </c>
      <c r="F596" s="72">
        <v>767132</v>
      </c>
      <c r="G596" s="76" t="s">
        <v>3338</v>
      </c>
      <c r="H596" s="50">
        <v>4953</v>
      </c>
      <c r="I596" s="49" t="s">
        <v>2</v>
      </c>
      <c r="J596" s="50" t="s">
        <v>510</v>
      </c>
      <c r="K596" s="51">
        <v>41495</v>
      </c>
      <c r="L596" s="115">
        <v>41490</v>
      </c>
      <c r="M596" s="50">
        <f t="shared" si="32"/>
        <v>5</v>
      </c>
      <c r="N596" s="50" t="s">
        <v>2</v>
      </c>
      <c r="O596" s="74">
        <f>1.4/2</f>
        <v>0.7</v>
      </c>
      <c r="P596" s="50">
        <v>6.5</v>
      </c>
      <c r="Q596" s="74">
        <v>7.09</v>
      </c>
      <c r="R596" s="50">
        <f>10/2</f>
        <v>5</v>
      </c>
      <c r="S596" s="74">
        <v>46</v>
      </c>
      <c r="T596" s="50">
        <v>0.1</v>
      </c>
      <c r="U596" s="74">
        <v>0.27</v>
      </c>
      <c r="V596" s="50">
        <v>0.14000000000000001</v>
      </c>
      <c r="W596" s="74">
        <f>0.005/2</f>
        <v>2.5000000000000001E-3</v>
      </c>
      <c r="X596" s="50">
        <v>7.4999999999999997E-2</v>
      </c>
      <c r="Y596" s="74">
        <v>8.9999999999999993E-3</v>
      </c>
    </row>
    <row r="597" spans="1:40" ht="15" customHeight="1">
      <c r="A597" s="293" t="s">
        <v>68</v>
      </c>
      <c r="B597" s="50" t="s">
        <v>4138</v>
      </c>
      <c r="C597" s="7" t="s">
        <v>4143</v>
      </c>
      <c r="D597" s="48" t="s">
        <v>350</v>
      </c>
      <c r="F597" s="50" t="s">
        <v>3438</v>
      </c>
      <c r="G597" s="76" t="s">
        <v>3439</v>
      </c>
      <c r="H597" s="50">
        <v>4953</v>
      </c>
      <c r="I597" s="49" t="s">
        <v>2</v>
      </c>
      <c r="J597" s="50" t="s">
        <v>510</v>
      </c>
      <c r="K597" s="51">
        <v>41495</v>
      </c>
      <c r="L597" s="115">
        <v>41490</v>
      </c>
      <c r="M597" s="50">
        <f t="shared" si="32"/>
        <v>5</v>
      </c>
      <c r="N597" s="50" t="s">
        <v>2</v>
      </c>
      <c r="O597" s="74">
        <v>2.4</v>
      </c>
      <c r="P597" s="50">
        <v>6.5</v>
      </c>
      <c r="Q597" s="74">
        <v>6.24</v>
      </c>
      <c r="R597" s="50">
        <v>245</v>
      </c>
      <c r="S597" s="74">
        <v>100</v>
      </c>
      <c r="T597" s="50">
        <v>0.76</v>
      </c>
      <c r="U597" s="74">
        <v>4.0999999999999996</v>
      </c>
      <c r="V597" s="50">
        <v>0.04</v>
      </c>
      <c r="W597" s="74">
        <f>0.005/2</f>
        <v>2.5000000000000001E-3</v>
      </c>
      <c r="X597" s="50">
        <v>4.5999999999999999E-2</v>
      </c>
      <c r="Y597" s="74">
        <v>4.0000000000000001E-3</v>
      </c>
    </row>
    <row r="598" spans="1:40" ht="15" customHeight="1">
      <c r="A598" s="88" t="s">
        <v>68</v>
      </c>
      <c r="B598" s="50" t="s">
        <v>3404</v>
      </c>
      <c r="C598" s="7" t="s">
        <v>3405</v>
      </c>
      <c r="D598" s="48" t="s">
        <v>434</v>
      </c>
      <c r="F598" s="50" t="s">
        <v>3406</v>
      </c>
      <c r="G598" s="76" t="s">
        <v>5251</v>
      </c>
      <c r="H598" s="50">
        <v>4953</v>
      </c>
      <c r="I598" s="49" t="s">
        <v>2</v>
      </c>
      <c r="J598" s="50" t="s">
        <v>510</v>
      </c>
      <c r="K598" s="51">
        <v>41499</v>
      </c>
      <c r="L598" s="115">
        <v>41494</v>
      </c>
      <c r="M598" s="50">
        <f t="shared" si="32"/>
        <v>5</v>
      </c>
      <c r="N598" s="50" t="s">
        <v>2</v>
      </c>
      <c r="O598" s="74">
        <v>130</v>
      </c>
      <c r="P598" s="50">
        <v>6.5</v>
      </c>
      <c r="Q598" s="74">
        <v>6.08</v>
      </c>
      <c r="R598" s="50">
        <v>1010</v>
      </c>
      <c r="S598" s="74">
        <v>2100</v>
      </c>
      <c r="T598" s="50">
        <v>3.14</v>
      </c>
      <c r="U598" s="74">
        <v>23</v>
      </c>
      <c r="V598" s="50">
        <f>0.01/2</f>
        <v>5.0000000000000001E-3</v>
      </c>
      <c r="W598" s="74">
        <v>0.25600000000000001</v>
      </c>
      <c r="X598" s="50">
        <v>2.69</v>
      </c>
      <c r="Y598" s="74">
        <v>1.1299999999999999</v>
      </c>
    </row>
    <row r="599" spans="1:40" ht="15" customHeight="1">
      <c r="A599" s="88" t="s">
        <v>68</v>
      </c>
      <c r="B599" s="50" t="s">
        <v>3404</v>
      </c>
      <c r="C599" s="7" t="s">
        <v>3405</v>
      </c>
      <c r="D599" s="48" t="s">
        <v>434</v>
      </c>
      <c r="F599" s="50" t="s">
        <v>3406</v>
      </c>
      <c r="G599" s="76" t="s">
        <v>5251</v>
      </c>
      <c r="H599" s="50">
        <v>4953</v>
      </c>
      <c r="I599" s="49" t="s">
        <v>2</v>
      </c>
      <c r="J599" s="50" t="s">
        <v>460</v>
      </c>
      <c r="K599" s="51">
        <v>41499</v>
      </c>
      <c r="L599" s="115">
        <v>41494</v>
      </c>
      <c r="M599" s="50">
        <f t="shared" si="32"/>
        <v>5</v>
      </c>
      <c r="N599" s="50" t="s">
        <v>2</v>
      </c>
      <c r="O599" s="74">
        <v>5.4</v>
      </c>
      <c r="P599" s="50">
        <v>6.5</v>
      </c>
      <c r="Q599" s="74">
        <v>6.65</v>
      </c>
      <c r="R599" s="50">
        <v>308</v>
      </c>
      <c r="S599" s="74">
        <v>67</v>
      </c>
      <c r="T599" s="50">
        <v>0.36</v>
      </c>
      <c r="U599" s="74">
        <v>4.04</v>
      </c>
      <c r="V599" s="50">
        <f>0.01/2</f>
        <v>5.0000000000000001E-3</v>
      </c>
      <c r="W599" s="74">
        <v>3.2000000000000001E-2</v>
      </c>
      <c r="X599" s="50">
        <v>0.30099999999999999</v>
      </c>
      <c r="Y599" s="74">
        <v>9.6000000000000002E-2</v>
      </c>
    </row>
    <row r="600" spans="1:40" ht="15" customHeight="1">
      <c r="A600" s="88" t="s">
        <v>68</v>
      </c>
      <c r="B600" s="50" t="s">
        <v>3404</v>
      </c>
      <c r="C600" s="7" t="s">
        <v>3405</v>
      </c>
      <c r="D600" s="48" t="s">
        <v>434</v>
      </c>
      <c r="F600" s="50" t="s">
        <v>3406</v>
      </c>
      <c r="G600" s="76" t="s">
        <v>5251</v>
      </c>
      <c r="H600" s="50">
        <v>4953</v>
      </c>
      <c r="I600" s="49" t="s">
        <v>2</v>
      </c>
      <c r="J600" s="50" t="s">
        <v>510</v>
      </c>
      <c r="K600" s="51">
        <v>41631</v>
      </c>
      <c r="L600" s="115">
        <v>41625</v>
      </c>
      <c r="M600" s="50">
        <f t="shared" si="32"/>
        <v>6</v>
      </c>
      <c r="N600" s="50" t="s">
        <v>2</v>
      </c>
      <c r="O600" s="74">
        <v>47</v>
      </c>
      <c r="P600" s="50">
        <v>6.5</v>
      </c>
      <c r="Q600" s="74">
        <v>6.99</v>
      </c>
      <c r="R600" s="50">
        <v>1300</v>
      </c>
      <c r="S600" s="74">
        <v>810</v>
      </c>
      <c r="T600" s="50">
        <v>2.6</v>
      </c>
      <c r="U600" s="74">
        <v>25.4</v>
      </c>
      <c r="V600" s="50">
        <f>0.01/2</f>
        <v>5.0000000000000001E-3</v>
      </c>
      <c r="W600" s="74">
        <v>0.23599999999999999</v>
      </c>
      <c r="X600" s="50">
        <v>1.43</v>
      </c>
      <c r="Y600" s="74">
        <v>0.73599999999999999</v>
      </c>
    </row>
    <row r="601" spans="1:40" ht="15" customHeight="1">
      <c r="A601" s="88" t="s">
        <v>68</v>
      </c>
      <c r="B601" s="50" t="s">
        <v>3404</v>
      </c>
      <c r="C601" s="7" t="s">
        <v>3405</v>
      </c>
      <c r="D601" s="48" t="s">
        <v>434</v>
      </c>
      <c r="F601" s="50" t="s">
        <v>3406</v>
      </c>
      <c r="G601" s="76" t="s">
        <v>5251</v>
      </c>
      <c r="H601" s="50">
        <v>4953</v>
      </c>
      <c r="I601" s="49" t="s">
        <v>2</v>
      </c>
      <c r="J601" s="50" t="s">
        <v>460</v>
      </c>
      <c r="K601" s="51">
        <v>41631</v>
      </c>
      <c r="L601" s="115">
        <v>41625</v>
      </c>
      <c r="M601" s="50">
        <f t="shared" si="32"/>
        <v>6</v>
      </c>
      <c r="N601" s="50" t="s">
        <v>2</v>
      </c>
      <c r="O601" s="74">
        <f>1.4/2</f>
        <v>0.7</v>
      </c>
      <c r="P601" s="50">
        <v>6.5</v>
      </c>
      <c r="Q601" s="74">
        <v>7.38</v>
      </c>
      <c r="R601" s="50">
        <v>67</v>
      </c>
      <c r="S601" s="74">
        <v>24</v>
      </c>
      <c r="T601" s="50">
        <v>0.09</v>
      </c>
      <c r="U601" s="74">
        <v>2.1</v>
      </c>
      <c r="V601" s="50">
        <v>0.26</v>
      </c>
      <c r="W601" s="74">
        <v>3.7999999999999999E-2</v>
      </c>
      <c r="X601" s="50">
        <v>6.5000000000000002E-2</v>
      </c>
      <c r="Y601" s="74">
        <v>1.0999999999999999E-2</v>
      </c>
    </row>
    <row r="602" spans="1:40" ht="15" customHeight="1">
      <c r="A602" s="88" t="s">
        <v>68</v>
      </c>
      <c r="B602" s="50" t="s">
        <v>5271</v>
      </c>
      <c r="C602" s="7" t="s">
        <v>392</v>
      </c>
      <c r="D602" s="48" t="s">
        <v>5272</v>
      </c>
      <c r="E602" s="50" t="s">
        <v>5273</v>
      </c>
      <c r="G602" s="76" t="s">
        <v>5274</v>
      </c>
      <c r="H602" s="50">
        <v>4653</v>
      </c>
      <c r="I602" s="49" t="s">
        <v>2</v>
      </c>
      <c r="J602" s="50" t="s">
        <v>5275</v>
      </c>
      <c r="K602" s="51">
        <v>40996</v>
      </c>
      <c r="L602" s="115">
        <v>40981</v>
      </c>
      <c r="M602" s="50">
        <f t="shared" si="32"/>
        <v>15</v>
      </c>
      <c r="N602" s="50" t="s">
        <v>2</v>
      </c>
      <c r="O602" s="74">
        <v>13.7</v>
      </c>
      <c r="P602" s="50">
        <v>6</v>
      </c>
      <c r="Q602" s="74">
        <v>7.3</v>
      </c>
      <c r="R602" s="50">
        <v>133</v>
      </c>
      <c r="S602" s="74">
        <v>262</v>
      </c>
      <c r="T602" s="50">
        <v>0.25</v>
      </c>
      <c r="U602" s="74">
        <v>2.0699999999999998</v>
      </c>
      <c r="V602" s="50">
        <v>0.26</v>
      </c>
      <c r="W602" s="74">
        <v>0.06</v>
      </c>
      <c r="X602" s="50">
        <v>0.218</v>
      </c>
      <c r="Y602" s="74">
        <v>0.04</v>
      </c>
      <c r="Z602" s="164">
        <v>1</v>
      </c>
      <c r="AA602" s="165">
        <v>1</v>
      </c>
      <c r="AB602" s="50">
        <v>30</v>
      </c>
      <c r="AC602" s="74">
        <v>83</v>
      </c>
      <c r="AD602" s="164">
        <v>1</v>
      </c>
      <c r="AE602" s="50">
        <v>8.58</v>
      </c>
    </row>
    <row r="603" spans="1:40" ht="15" customHeight="1">
      <c r="A603" s="88" t="s">
        <v>68</v>
      </c>
      <c r="B603" s="50" t="s">
        <v>5271</v>
      </c>
      <c r="C603" s="7" t="s">
        <v>392</v>
      </c>
      <c r="D603" s="48" t="s">
        <v>5272</v>
      </c>
      <c r="E603" s="50" t="s">
        <v>5273</v>
      </c>
      <c r="G603" s="76" t="s">
        <v>5274</v>
      </c>
      <c r="H603" s="50">
        <v>4653</v>
      </c>
      <c r="I603" s="49" t="s">
        <v>2</v>
      </c>
      <c r="J603" s="50" t="s">
        <v>5275</v>
      </c>
      <c r="K603" s="51">
        <v>41073</v>
      </c>
      <c r="L603" s="115">
        <v>41067</v>
      </c>
      <c r="M603" s="50">
        <f t="shared" si="32"/>
        <v>6</v>
      </c>
      <c r="N603" s="50" t="s">
        <v>2</v>
      </c>
      <c r="O603" s="74">
        <f>2/2</f>
        <v>1</v>
      </c>
      <c r="P603" s="50">
        <v>8.5</v>
      </c>
      <c r="Q603" s="74">
        <v>6.9</v>
      </c>
      <c r="R603" s="50">
        <f>10/2</f>
        <v>5</v>
      </c>
      <c r="S603" s="74">
        <v>5</v>
      </c>
      <c r="T603" s="50">
        <f>0.05/2</f>
        <v>2.5000000000000001E-2</v>
      </c>
      <c r="U603" s="74">
        <v>0.74</v>
      </c>
      <c r="V603" s="50">
        <v>0.28999999999999998</v>
      </c>
      <c r="W603" s="74">
        <v>1.0999999999999999E-2</v>
      </c>
      <c r="X603" s="50">
        <v>4.9000000000000002E-2</v>
      </c>
      <c r="Y603" s="74">
        <f>0.03/2</f>
        <v>1.4999999999999999E-2</v>
      </c>
      <c r="Z603" s="164">
        <v>1</v>
      </c>
      <c r="AA603" s="165">
        <v>1</v>
      </c>
      <c r="AB603" s="50">
        <v>10</v>
      </c>
      <c r="AC603" s="74">
        <v>82</v>
      </c>
      <c r="AD603" s="164">
        <v>1</v>
      </c>
    </row>
    <row r="604" spans="1:40" ht="15" customHeight="1">
      <c r="A604" s="88" t="s">
        <v>68</v>
      </c>
      <c r="B604" s="50" t="s">
        <v>5271</v>
      </c>
      <c r="C604" s="7" t="s">
        <v>392</v>
      </c>
      <c r="D604" s="48" t="s">
        <v>5272</v>
      </c>
      <c r="E604" s="50" t="s">
        <v>5273</v>
      </c>
      <c r="G604" s="76" t="s">
        <v>5274</v>
      </c>
      <c r="H604" s="50">
        <v>4653</v>
      </c>
      <c r="I604" s="49" t="s">
        <v>2</v>
      </c>
      <c r="J604" s="50" t="s">
        <v>5275</v>
      </c>
      <c r="K604" s="51">
        <v>41345</v>
      </c>
      <c r="L604" s="115">
        <v>41332</v>
      </c>
      <c r="M604" s="50">
        <f t="shared" si="32"/>
        <v>13</v>
      </c>
      <c r="N604" s="50" t="s">
        <v>2</v>
      </c>
      <c r="O604" s="74">
        <v>6.4</v>
      </c>
      <c r="P604" s="50">
        <v>7.1</v>
      </c>
      <c r="Q604" s="74">
        <v>7.2</v>
      </c>
      <c r="R604" s="50">
        <v>24</v>
      </c>
      <c r="S604" s="74">
        <v>33</v>
      </c>
      <c r="T604" s="50">
        <v>0.09</v>
      </c>
      <c r="U604" s="74">
        <v>0.46</v>
      </c>
      <c r="V604" s="50">
        <v>0.28999999999999998</v>
      </c>
      <c r="W604" s="74">
        <v>1.2E-2</v>
      </c>
      <c r="X604" s="50">
        <v>0.112</v>
      </c>
      <c r="Y604" s="74">
        <f>0.03/2</f>
        <v>1.4999999999999999E-2</v>
      </c>
      <c r="Z604" s="164">
        <v>1</v>
      </c>
      <c r="AA604" s="165">
        <v>1</v>
      </c>
      <c r="AB604" s="50">
        <v>14</v>
      </c>
      <c r="AC604" s="74">
        <v>573</v>
      </c>
      <c r="AD604" s="164">
        <v>0.9</v>
      </c>
    </row>
    <row r="605" spans="1:40" ht="15" customHeight="1">
      <c r="A605" s="88" t="s">
        <v>68</v>
      </c>
      <c r="B605" s="50" t="s">
        <v>5271</v>
      </c>
      <c r="C605" s="7" t="s">
        <v>392</v>
      </c>
      <c r="D605" s="48" t="s">
        <v>5272</v>
      </c>
      <c r="E605" s="50" t="s">
        <v>5273</v>
      </c>
      <c r="G605" s="76" t="s">
        <v>5274</v>
      </c>
      <c r="H605" s="50">
        <v>4653</v>
      </c>
      <c r="I605" s="49" t="s">
        <v>2</v>
      </c>
      <c r="J605" s="50" t="s">
        <v>5275</v>
      </c>
      <c r="K605" s="51">
        <v>41529</v>
      </c>
      <c r="L605" s="115">
        <v>41520</v>
      </c>
      <c r="M605" s="50">
        <f t="shared" si="32"/>
        <v>9</v>
      </c>
      <c r="N605" s="50" t="s">
        <v>2</v>
      </c>
      <c r="O605" s="74">
        <f>2/2</f>
        <v>1</v>
      </c>
      <c r="P605" s="50">
        <v>6.3</v>
      </c>
      <c r="Q605" s="74">
        <v>6.2</v>
      </c>
      <c r="R605" s="50">
        <v>17</v>
      </c>
      <c r="S605" s="74">
        <v>24</v>
      </c>
      <c r="T605" s="50">
        <v>0.06</v>
      </c>
      <c r="U605" s="74">
        <v>1.51</v>
      </c>
      <c r="V605" s="50">
        <v>0.93</v>
      </c>
      <c r="W605" s="74">
        <v>2.8000000000000001E-2</v>
      </c>
      <c r="X605" s="50">
        <v>6.2E-2</v>
      </c>
      <c r="Y605" s="74">
        <f>0.03/2</f>
        <v>1.4999999999999999E-2</v>
      </c>
    </row>
    <row r="606" spans="1:40" ht="15" customHeight="1">
      <c r="A606" s="88" t="s">
        <v>68</v>
      </c>
      <c r="B606" s="50" t="s">
        <v>3384</v>
      </c>
      <c r="C606" s="7" t="s">
        <v>3421</v>
      </c>
      <c r="D606" s="48" t="s">
        <v>534</v>
      </c>
      <c r="E606" s="50" t="s">
        <v>304</v>
      </c>
      <c r="G606" s="76" t="s">
        <v>2547</v>
      </c>
      <c r="I606" s="49" t="s">
        <v>1</v>
      </c>
      <c r="J606" s="50" t="s">
        <v>3422</v>
      </c>
      <c r="K606" s="51">
        <v>41638</v>
      </c>
      <c r="L606" s="115">
        <v>41631</v>
      </c>
      <c r="M606" s="50">
        <f t="shared" si="32"/>
        <v>7</v>
      </c>
      <c r="N606" s="50" t="s">
        <v>2</v>
      </c>
      <c r="AE606" s="50">
        <v>0.4</v>
      </c>
    </row>
    <row r="607" spans="1:40" ht="15" customHeight="1">
      <c r="A607" s="88" t="s">
        <v>68</v>
      </c>
      <c r="B607" s="50" t="s">
        <v>2707</v>
      </c>
      <c r="C607" s="7" t="s">
        <v>2688</v>
      </c>
      <c r="D607" s="48" t="s">
        <v>379</v>
      </c>
      <c r="E607" s="50" t="s">
        <v>3350</v>
      </c>
      <c r="G607" s="76" t="s">
        <v>2994</v>
      </c>
      <c r="H607" s="50">
        <v>4953</v>
      </c>
      <c r="I607" s="49" t="s">
        <v>2</v>
      </c>
      <c r="J607" s="50" t="s">
        <v>3508</v>
      </c>
      <c r="K607" s="51">
        <v>41579</v>
      </c>
      <c r="L607" s="115">
        <v>41554</v>
      </c>
      <c r="M607" s="50">
        <f>K607-L607</f>
        <v>25</v>
      </c>
      <c r="N607" s="50" t="s">
        <v>2</v>
      </c>
      <c r="O607" s="74">
        <v>23</v>
      </c>
      <c r="P607" s="50">
        <v>6</v>
      </c>
      <c r="Q607" s="74">
        <v>7.25</v>
      </c>
      <c r="R607" s="50">
        <v>320</v>
      </c>
      <c r="S607" s="74">
        <v>950</v>
      </c>
      <c r="T607" s="50">
        <v>1.53</v>
      </c>
      <c r="U607" s="74">
        <v>10.4</v>
      </c>
      <c r="V607" s="50">
        <f>0.01/2</f>
        <v>5.0000000000000001E-3</v>
      </c>
      <c r="W607" s="74">
        <v>9.8000000000000004E-2</v>
      </c>
      <c r="X607" s="50">
        <v>0.79</v>
      </c>
      <c r="Y607" s="74">
        <v>1.38E-2</v>
      </c>
      <c r="AE607" s="50">
        <v>19.5</v>
      </c>
      <c r="AF607" s="52">
        <v>150</v>
      </c>
      <c r="AG607" s="52">
        <v>950</v>
      </c>
      <c r="AH607" s="52">
        <v>2.4</v>
      </c>
      <c r="AI607" s="52">
        <f t="shared" ref="AI607:AJ609" si="33">0.01/2</f>
        <v>5.0000000000000001E-3</v>
      </c>
      <c r="AJ607" s="50">
        <v>0.1</v>
      </c>
      <c r="AK607" s="52" t="s">
        <v>143</v>
      </c>
      <c r="AL607" s="52">
        <f>0.0017/2</f>
        <v>8.4999999999999995E-4</v>
      </c>
      <c r="AM607" s="52">
        <v>0.79</v>
      </c>
      <c r="AN607" s="358">
        <v>7.25</v>
      </c>
    </row>
    <row r="608" spans="1:40" ht="15" customHeight="1">
      <c r="A608" s="88" t="s">
        <v>68</v>
      </c>
      <c r="B608" s="50" t="s">
        <v>2707</v>
      </c>
      <c r="C608" s="7" t="s">
        <v>2688</v>
      </c>
      <c r="D608" s="48" t="s">
        <v>379</v>
      </c>
      <c r="E608" s="50" t="s">
        <v>3350</v>
      </c>
      <c r="G608" s="76" t="s">
        <v>2994</v>
      </c>
      <c r="H608" s="50">
        <v>4953</v>
      </c>
      <c r="I608" s="49" t="s">
        <v>2</v>
      </c>
      <c r="J608" s="50" t="s">
        <v>5290</v>
      </c>
      <c r="K608" s="51">
        <v>41579</v>
      </c>
      <c r="L608" s="115">
        <v>41554</v>
      </c>
      <c r="M608" s="50">
        <f>K608-L608</f>
        <v>25</v>
      </c>
      <c r="N608" s="50" t="s">
        <v>2</v>
      </c>
      <c r="O608" s="74">
        <f>1.4/2</f>
        <v>0.7</v>
      </c>
      <c r="P608" s="50">
        <v>6</v>
      </c>
      <c r="Q608" s="74">
        <v>7.32</v>
      </c>
      <c r="R608" s="50">
        <v>190</v>
      </c>
      <c r="S608" s="74">
        <v>12</v>
      </c>
      <c r="T608" s="50">
        <v>0.54</v>
      </c>
      <c r="U608" s="74">
        <v>5.12</v>
      </c>
      <c r="V608" s="50">
        <v>0.1</v>
      </c>
      <c r="W608" s="74">
        <f>0.005/2</f>
        <v>2.5000000000000001E-3</v>
      </c>
      <c r="X608" s="50">
        <v>8.0000000000000002E-3</v>
      </c>
      <c r="Y608" s="74">
        <f>0.002/2</f>
        <v>1E-3</v>
      </c>
      <c r="AE608" s="50">
        <v>3.21</v>
      </c>
      <c r="AF608" s="52">
        <f>4/2</f>
        <v>2</v>
      </c>
      <c r="AG608" s="52">
        <v>12</v>
      </c>
      <c r="AH608" s="52">
        <v>1.1399999999999999</v>
      </c>
      <c r="AI608" s="52">
        <f t="shared" si="33"/>
        <v>5.0000000000000001E-3</v>
      </c>
      <c r="AJ608" s="52">
        <f t="shared" si="33"/>
        <v>5.0000000000000001E-3</v>
      </c>
      <c r="AK608" s="52" t="s">
        <v>143</v>
      </c>
      <c r="AL608" s="52">
        <f>0.0017/2</f>
        <v>8.4999999999999995E-4</v>
      </c>
      <c r="AM608" s="52">
        <v>8.0000000000000002E-3</v>
      </c>
      <c r="AN608" s="358">
        <v>7.32</v>
      </c>
    </row>
    <row r="609" spans="1:40" ht="15" customHeight="1">
      <c r="A609" s="88" t="s">
        <v>68</v>
      </c>
      <c r="B609" s="50" t="s">
        <v>2707</v>
      </c>
      <c r="C609" s="7" t="s">
        <v>2688</v>
      </c>
      <c r="D609" s="48" t="s">
        <v>379</v>
      </c>
      <c r="E609" s="50" t="s">
        <v>3350</v>
      </c>
      <c r="G609" s="76" t="s">
        <v>2994</v>
      </c>
      <c r="H609" s="50">
        <v>4953</v>
      </c>
      <c r="I609" s="49" t="s">
        <v>2</v>
      </c>
      <c r="J609" s="50" t="s">
        <v>2998</v>
      </c>
      <c r="K609" s="51">
        <v>41579</v>
      </c>
      <c r="L609" s="115">
        <v>41554</v>
      </c>
      <c r="M609" s="50">
        <f>K609-L609</f>
        <v>25</v>
      </c>
      <c r="N609" s="50" t="s">
        <v>2</v>
      </c>
      <c r="O609" s="74">
        <f>1.4/2</f>
        <v>0.7</v>
      </c>
      <c r="P609" s="50">
        <v>6</v>
      </c>
      <c r="Q609" s="74">
        <v>6.72</v>
      </c>
      <c r="R609" s="50">
        <v>270</v>
      </c>
      <c r="S609" s="74">
        <v>550</v>
      </c>
      <c r="T609" s="50">
        <v>2.5</v>
      </c>
      <c r="U609" s="74">
        <v>5.2</v>
      </c>
      <c r="V609" s="50">
        <v>0.32</v>
      </c>
      <c r="W609" s="74">
        <v>3.5000000000000003E-2</v>
      </c>
      <c r="X609" s="50">
        <v>8.6999999999999994E-2</v>
      </c>
      <c r="Y609" s="74">
        <v>3.5999999999999997E-2</v>
      </c>
      <c r="AE609" s="50">
        <v>2.17</v>
      </c>
      <c r="AF609" s="52">
        <v>100</v>
      </c>
      <c r="AG609" s="52">
        <v>550</v>
      </c>
      <c r="AH609" s="52">
        <v>1.1000000000000001</v>
      </c>
      <c r="AI609" s="52">
        <f t="shared" si="33"/>
        <v>5.0000000000000001E-3</v>
      </c>
      <c r="AJ609" s="52">
        <f t="shared" si="33"/>
        <v>5.0000000000000001E-3</v>
      </c>
      <c r="AK609" s="52" t="s">
        <v>143</v>
      </c>
      <c r="AL609" s="52">
        <f>0.0017/2</f>
        <v>8.4999999999999995E-4</v>
      </c>
      <c r="AM609" s="52">
        <v>8.6999999999999994E-2</v>
      </c>
      <c r="AN609" s="358">
        <v>6.72</v>
      </c>
    </row>
    <row r="610" spans="1:40" ht="15" customHeight="1">
      <c r="A610" s="88" t="s">
        <v>68</v>
      </c>
      <c r="B610" s="50" t="s">
        <v>2347</v>
      </c>
      <c r="C610" s="7" t="s">
        <v>520</v>
      </c>
      <c r="D610" s="48" t="s">
        <v>684</v>
      </c>
      <c r="E610" s="50" t="s">
        <v>2616</v>
      </c>
      <c r="G610" s="76" t="s">
        <v>2349</v>
      </c>
      <c r="H610" s="50">
        <v>9199</v>
      </c>
      <c r="I610" s="49" t="s">
        <v>2</v>
      </c>
      <c r="J610" s="50" t="s">
        <v>2350</v>
      </c>
      <c r="K610" s="51">
        <v>41600</v>
      </c>
      <c r="L610" s="115">
        <v>41596</v>
      </c>
      <c r="M610" s="50">
        <f t="shared" si="32"/>
        <v>4</v>
      </c>
      <c r="N610" s="50" t="s">
        <v>2</v>
      </c>
      <c r="O610" s="74">
        <f>2/2</f>
        <v>1</v>
      </c>
      <c r="P610" s="50">
        <v>6.1</v>
      </c>
      <c r="Q610" s="74">
        <v>6.1</v>
      </c>
      <c r="R610" s="50">
        <v>105</v>
      </c>
      <c r="S610" s="74">
        <v>24</v>
      </c>
      <c r="T610" s="50">
        <v>2.09</v>
      </c>
      <c r="U610" s="74">
        <v>3.15</v>
      </c>
      <c r="V610" s="50">
        <f>0.1/2</f>
        <v>0.05</v>
      </c>
      <c r="W610" s="74">
        <f>0.01/2</f>
        <v>5.0000000000000001E-3</v>
      </c>
      <c r="X610" s="50">
        <v>3.3000000000000002E-2</v>
      </c>
      <c r="Y610" s="74">
        <f>0.03/2</f>
        <v>1.4999999999999999E-2</v>
      </c>
      <c r="Z610" s="164">
        <v>1</v>
      </c>
      <c r="AA610" s="165">
        <v>1</v>
      </c>
      <c r="AB610" s="50">
        <v>31</v>
      </c>
      <c r="AD610" s="164">
        <v>1</v>
      </c>
    </row>
    <row r="611" spans="1:40" ht="15" customHeight="1">
      <c r="A611" s="88" t="s">
        <v>68</v>
      </c>
      <c r="B611" s="50" t="s">
        <v>3314</v>
      </c>
      <c r="C611" s="7" t="s">
        <v>4151</v>
      </c>
      <c r="D611" s="14" t="s">
        <v>78</v>
      </c>
      <c r="E611" s="7" t="s">
        <v>3312</v>
      </c>
      <c r="F611" s="7"/>
      <c r="G611" s="15" t="s">
        <v>3313</v>
      </c>
      <c r="H611" s="7">
        <v>4953</v>
      </c>
      <c r="I611" s="19" t="s">
        <v>1</v>
      </c>
      <c r="J611" s="7" t="s">
        <v>81</v>
      </c>
      <c r="K611" s="51">
        <v>41605</v>
      </c>
      <c r="L611" s="115">
        <v>41600</v>
      </c>
      <c r="M611" s="50">
        <f t="shared" si="32"/>
        <v>5</v>
      </c>
      <c r="N611" s="50" t="s">
        <v>2</v>
      </c>
      <c r="O611" s="74">
        <f>5/2</f>
        <v>2.5</v>
      </c>
      <c r="P611" s="50">
        <v>4.82</v>
      </c>
      <c r="Q611" s="74">
        <v>8.07</v>
      </c>
      <c r="R611" s="50">
        <v>180</v>
      </c>
      <c r="S611" s="74">
        <v>220</v>
      </c>
      <c r="T611" s="50">
        <v>1.3</v>
      </c>
      <c r="U611" s="74">
        <v>1.6</v>
      </c>
      <c r="V611" s="50">
        <f>0.1/2</f>
        <v>0.05</v>
      </c>
      <c r="W611" s="74">
        <f>0.04/2</f>
        <v>0.02</v>
      </c>
      <c r="X611" s="50">
        <v>6.9000000000000006E-2</v>
      </c>
      <c r="Y611" s="74">
        <f>0.013/2</f>
        <v>6.4999999999999997E-3</v>
      </c>
      <c r="AE611" s="50">
        <v>5.2</v>
      </c>
    </row>
    <row r="612" spans="1:40" ht="15" customHeight="1">
      <c r="A612" s="88" t="s">
        <v>68</v>
      </c>
      <c r="B612" s="50" t="s">
        <v>3314</v>
      </c>
      <c r="C612" s="7" t="s">
        <v>4151</v>
      </c>
      <c r="D612" s="14" t="s">
        <v>78</v>
      </c>
      <c r="E612" s="7" t="s">
        <v>3312</v>
      </c>
      <c r="F612" s="7"/>
      <c r="G612" s="15" t="s">
        <v>3313</v>
      </c>
      <c r="H612" s="7">
        <v>4953</v>
      </c>
      <c r="I612" s="19" t="s">
        <v>1</v>
      </c>
      <c r="J612" s="7" t="s">
        <v>114</v>
      </c>
      <c r="K612" s="51">
        <v>41605</v>
      </c>
      <c r="L612" s="115">
        <v>41600</v>
      </c>
      <c r="M612" s="50">
        <f t="shared" si="32"/>
        <v>5</v>
      </c>
      <c r="N612" s="50" t="s">
        <v>2</v>
      </c>
      <c r="O612" s="74">
        <f>5/2</f>
        <v>2.5</v>
      </c>
      <c r="P612" s="50">
        <v>4.82</v>
      </c>
      <c r="Q612" s="74">
        <v>8.3699999999999992</v>
      </c>
      <c r="R612" s="50">
        <v>120</v>
      </c>
      <c r="S612" s="74">
        <v>400</v>
      </c>
      <c r="T612" s="50">
        <v>1</v>
      </c>
      <c r="U612" s="74">
        <f>1/2</f>
        <v>0.5</v>
      </c>
      <c r="V612" s="50">
        <f>0.1/2</f>
        <v>0.05</v>
      </c>
      <c r="W612" s="74">
        <v>4.4999999999999998E-2</v>
      </c>
      <c r="X612" s="50">
        <v>0.11</v>
      </c>
      <c r="Y612" s="74">
        <v>0.04</v>
      </c>
      <c r="AE612" s="50">
        <v>31</v>
      </c>
    </row>
    <row r="613" spans="1:40" ht="15" customHeight="1">
      <c r="A613" s="88" t="s">
        <v>68</v>
      </c>
      <c r="B613" s="50" t="s">
        <v>3384</v>
      </c>
      <c r="C613" s="7" t="s">
        <v>3421</v>
      </c>
      <c r="D613" s="48" t="s">
        <v>534</v>
      </c>
      <c r="E613" s="50" t="s">
        <v>304</v>
      </c>
      <c r="G613" s="76" t="s">
        <v>2547</v>
      </c>
      <c r="I613" s="49" t="s">
        <v>1</v>
      </c>
      <c r="J613" s="50" t="s">
        <v>3422</v>
      </c>
      <c r="K613" s="51">
        <v>41728</v>
      </c>
      <c r="L613" s="115">
        <v>41717</v>
      </c>
      <c r="M613" s="50">
        <f t="shared" si="32"/>
        <v>11</v>
      </c>
      <c r="N613" s="50" t="s">
        <v>2</v>
      </c>
      <c r="O613" s="74">
        <f>0.5/2</f>
        <v>0.25</v>
      </c>
      <c r="P613" s="50">
        <v>5.19</v>
      </c>
      <c r="Q613" s="74">
        <v>5.8</v>
      </c>
      <c r="R613" s="50">
        <v>7</v>
      </c>
      <c r="S613" s="74">
        <v>6</v>
      </c>
      <c r="T613" s="50">
        <v>0.03</v>
      </c>
      <c r="U613" s="74">
        <v>0.12</v>
      </c>
      <c r="V613" s="50">
        <f>0.05/2</f>
        <v>2.5000000000000001E-2</v>
      </c>
      <c r="W613" s="74">
        <v>0.01</v>
      </c>
      <c r="X613" s="50">
        <f>0.01/2</f>
        <v>5.0000000000000001E-3</v>
      </c>
      <c r="Y613" s="74">
        <f>0.005/2</f>
        <v>2.5000000000000001E-3</v>
      </c>
      <c r="Z613" s="164">
        <v>1</v>
      </c>
      <c r="AA613" s="165">
        <v>1</v>
      </c>
      <c r="AB613" s="50">
        <v>23</v>
      </c>
      <c r="AC613" s="74">
        <v>43.6</v>
      </c>
      <c r="AD613" s="164">
        <v>1</v>
      </c>
      <c r="AE613" s="50">
        <v>0.52</v>
      </c>
    </row>
    <row r="614" spans="1:40" ht="15" customHeight="1">
      <c r="A614" s="88" t="s">
        <v>68</v>
      </c>
      <c r="B614" s="50" t="s">
        <v>3471</v>
      </c>
      <c r="C614" s="7" t="s">
        <v>3472</v>
      </c>
      <c r="D614" s="48" t="s">
        <v>2372</v>
      </c>
      <c r="F614" s="77" t="s">
        <v>5320</v>
      </c>
      <c r="G614" s="76" t="s">
        <v>3474</v>
      </c>
      <c r="H614" s="50">
        <v>4214</v>
      </c>
      <c r="I614" s="49" t="s">
        <v>2</v>
      </c>
      <c r="J614" s="50" t="s">
        <v>477</v>
      </c>
      <c r="K614" s="51">
        <v>41432</v>
      </c>
      <c r="L614" s="115">
        <v>41428</v>
      </c>
      <c r="M614" s="50">
        <f t="shared" si="32"/>
        <v>4</v>
      </c>
      <c r="N614" s="50" t="s">
        <v>2</v>
      </c>
      <c r="O614" s="74">
        <v>2.7</v>
      </c>
      <c r="P614" s="50">
        <v>7.58</v>
      </c>
      <c r="Q614" s="74">
        <v>6.5</v>
      </c>
      <c r="R614" s="50">
        <v>73</v>
      </c>
      <c r="S614" s="74">
        <v>70</v>
      </c>
      <c r="T614" s="50">
        <v>0.2</v>
      </c>
      <c r="U614" s="74">
        <v>1.01</v>
      </c>
      <c r="V614" s="50">
        <v>0.26</v>
      </c>
      <c r="W614" s="74">
        <v>3.7999999999999999E-2</v>
      </c>
      <c r="X614" s="50">
        <v>5.7000000000000002E-2</v>
      </c>
      <c r="Y614" s="74">
        <v>3.3000000000000002E-2</v>
      </c>
    </row>
    <row r="615" spans="1:40" ht="15" customHeight="1">
      <c r="A615" s="88" t="s">
        <v>68</v>
      </c>
      <c r="B615" s="50" t="s">
        <v>3378</v>
      </c>
      <c r="C615" s="7" t="s">
        <v>3379</v>
      </c>
      <c r="D615" s="48" t="s">
        <v>3380</v>
      </c>
      <c r="F615" s="50" t="s">
        <v>3381</v>
      </c>
      <c r="G615" s="76" t="s">
        <v>3382</v>
      </c>
      <c r="H615" s="50">
        <v>4953</v>
      </c>
      <c r="I615" s="49" t="s">
        <v>2</v>
      </c>
      <c r="J615" s="50" t="s">
        <v>366</v>
      </c>
      <c r="K615" s="51">
        <v>41495</v>
      </c>
      <c r="L615" s="115">
        <v>41489</v>
      </c>
      <c r="M615" s="50">
        <f t="shared" si="32"/>
        <v>6</v>
      </c>
      <c r="N615" s="50" t="s">
        <v>2</v>
      </c>
      <c r="O615" s="74">
        <f>1.4/2</f>
        <v>0.7</v>
      </c>
      <c r="P615" s="50">
        <v>6.5</v>
      </c>
      <c r="Q615" s="74">
        <v>6.17</v>
      </c>
      <c r="R615" s="50">
        <v>30</v>
      </c>
      <c r="S615" s="74">
        <v>52</v>
      </c>
      <c r="T615" s="50">
        <v>0.15</v>
      </c>
      <c r="U615" s="74">
        <v>0.96</v>
      </c>
      <c r="V615" s="50">
        <v>0.1</v>
      </c>
      <c r="W615" s="74">
        <f>0.005/2</f>
        <v>2.5000000000000001E-3</v>
      </c>
      <c r="X615" s="50">
        <v>1.6E-2</v>
      </c>
      <c r="Y615" s="74">
        <v>3.0000000000000001E-3</v>
      </c>
    </row>
    <row r="616" spans="1:40" ht="15" customHeight="1">
      <c r="A616" s="88" t="s">
        <v>68</v>
      </c>
      <c r="B616" s="50" t="s">
        <v>3308</v>
      </c>
      <c r="C616" s="7" t="s">
        <v>3309</v>
      </c>
      <c r="D616" s="48" t="s">
        <v>209</v>
      </c>
      <c r="F616" s="50" t="s">
        <v>3310</v>
      </c>
      <c r="G616" s="76" t="s">
        <v>3311</v>
      </c>
      <c r="H616" s="50">
        <v>4953</v>
      </c>
      <c r="I616" s="49" t="s">
        <v>2</v>
      </c>
      <c r="J616" s="50" t="s">
        <v>460</v>
      </c>
      <c r="K616" s="51">
        <v>41596</v>
      </c>
      <c r="L616" s="115">
        <v>41586</v>
      </c>
      <c r="M616" s="50">
        <f t="shared" si="32"/>
        <v>10</v>
      </c>
      <c r="N616" s="50" t="s">
        <v>2</v>
      </c>
      <c r="O616" s="74">
        <v>4.9000000000000004</v>
      </c>
      <c r="P616" s="50">
        <v>6.5</v>
      </c>
      <c r="Q616" s="74">
        <v>7.52</v>
      </c>
      <c r="R616" s="50">
        <v>35</v>
      </c>
      <c r="S616" s="74">
        <v>70</v>
      </c>
      <c r="T616" s="50">
        <v>0.19</v>
      </c>
      <c r="U616" s="74">
        <v>1.29</v>
      </c>
      <c r="X616" s="50">
        <v>0.122</v>
      </c>
      <c r="Y616" s="74">
        <v>5.2999999999999999E-2</v>
      </c>
    </row>
    <row r="617" spans="1:40" ht="15" customHeight="1">
      <c r="A617" s="88" t="s">
        <v>68</v>
      </c>
      <c r="B617" s="50" t="s">
        <v>4138</v>
      </c>
      <c r="C617" s="7" t="s">
        <v>3448</v>
      </c>
      <c r="D617" s="48" t="s">
        <v>262</v>
      </c>
      <c r="F617" s="50" t="s">
        <v>3449</v>
      </c>
      <c r="G617" s="76" t="s">
        <v>3450</v>
      </c>
      <c r="H617" s="50">
        <v>4953</v>
      </c>
      <c r="I617" s="49" t="s">
        <v>2</v>
      </c>
      <c r="J617" s="50" t="s">
        <v>510</v>
      </c>
      <c r="K617" s="51">
        <v>41631</v>
      </c>
      <c r="L617" s="115">
        <v>41625</v>
      </c>
      <c r="M617" s="50">
        <f t="shared" si="32"/>
        <v>6</v>
      </c>
      <c r="N617" s="50" t="s">
        <v>2</v>
      </c>
      <c r="O617" s="74">
        <v>1.5</v>
      </c>
      <c r="P617" s="50">
        <v>6.5</v>
      </c>
      <c r="Q617" s="74">
        <v>7.66</v>
      </c>
      <c r="R617" s="50">
        <v>39</v>
      </c>
      <c r="S617" s="74">
        <v>52</v>
      </c>
      <c r="T617" s="50">
        <v>0.14000000000000001</v>
      </c>
      <c r="U617" s="74">
        <v>0.93</v>
      </c>
      <c r="V617" s="50">
        <v>0.22</v>
      </c>
      <c r="W617" s="74">
        <v>8.0000000000000002E-3</v>
      </c>
      <c r="X617" s="50">
        <v>5.8999999999999997E-2</v>
      </c>
      <c r="Y617" s="74">
        <v>1.2999999999999999E-2</v>
      </c>
    </row>
    <row r="618" spans="1:40" ht="15" customHeight="1">
      <c r="A618" s="88" t="s">
        <v>68</v>
      </c>
      <c r="B618" s="50" t="s">
        <v>3546</v>
      </c>
      <c r="C618" s="7" t="s">
        <v>3538</v>
      </c>
      <c r="D618" s="48" t="s">
        <v>1541</v>
      </c>
      <c r="F618" s="50" t="s">
        <v>3547</v>
      </c>
      <c r="G618" s="76" t="s">
        <v>3548</v>
      </c>
      <c r="H618" s="50">
        <v>4953</v>
      </c>
      <c r="I618" s="49" t="s">
        <v>2</v>
      </c>
      <c r="J618" s="50" t="s">
        <v>510</v>
      </c>
      <c r="K618" s="51">
        <v>41585</v>
      </c>
      <c r="L618" s="115">
        <v>41554</v>
      </c>
      <c r="M618" s="50">
        <f t="shared" si="32"/>
        <v>31</v>
      </c>
      <c r="N618" s="50" t="s">
        <v>2</v>
      </c>
      <c r="P618" s="50">
        <v>6.5</v>
      </c>
      <c r="R618" s="50">
        <v>26</v>
      </c>
      <c r="S618" s="74">
        <v>220</v>
      </c>
      <c r="X618" s="50">
        <v>0.56999999999999995</v>
      </c>
    </row>
    <row r="619" spans="1:40" ht="15" customHeight="1">
      <c r="A619" s="88" t="s">
        <v>68</v>
      </c>
      <c r="B619" s="50" t="s">
        <v>3546</v>
      </c>
      <c r="C619" s="7" t="s">
        <v>3538</v>
      </c>
      <c r="D619" s="48" t="s">
        <v>1541</v>
      </c>
      <c r="F619" s="50" t="s">
        <v>3547</v>
      </c>
      <c r="G619" s="76" t="s">
        <v>3548</v>
      </c>
      <c r="H619" s="50">
        <v>4953</v>
      </c>
      <c r="I619" s="49" t="s">
        <v>2</v>
      </c>
      <c r="J619" s="50" t="s">
        <v>510</v>
      </c>
      <c r="K619" s="51">
        <v>41710</v>
      </c>
      <c r="L619" s="115">
        <v>41689</v>
      </c>
      <c r="M619" s="50">
        <f t="shared" si="32"/>
        <v>21</v>
      </c>
      <c r="N619" s="50" t="s">
        <v>2</v>
      </c>
      <c r="O619" s="74">
        <v>6</v>
      </c>
      <c r="P619" s="50">
        <v>8.35</v>
      </c>
      <c r="Q619" s="74">
        <v>7.35</v>
      </c>
      <c r="T619" s="50">
        <v>0.47</v>
      </c>
      <c r="U619" s="74">
        <v>1.97</v>
      </c>
      <c r="V619" s="50">
        <v>0.13</v>
      </c>
      <c r="W619" s="74">
        <v>5.2999999999999999E-2</v>
      </c>
      <c r="Y619" s="74">
        <v>0.14599999999999999</v>
      </c>
    </row>
    <row r="620" spans="1:40" ht="15" customHeight="1">
      <c r="A620" s="88" t="s">
        <v>68</v>
      </c>
      <c r="B620" s="50" t="s">
        <v>3418</v>
      </c>
      <c r="C620" s="7" t="s">
        <v>3419</v>
      </c>
      <c r="D620" s="48" t="s">
        <v>452</v>
      </c>
      <c r="F620" s="50" t="s">
        <v>2714</v>
      </c>
      <c r="G620" s="76" t="s">
        <v>3420</v>
      </c>
      <c r="H620" s="50">
        <v>9199</v>
      </c>
      <c r="I620" s="49" t="s">
        <v>2</v>
      </c>
      <c r="J620" s="50" t="s">
        <v>366</v>
      </c>
      <c r="K620" s="51">
        <v>41085</v>
      </c>
      <c r="L620" s="115">
        <v>41066</v>
      </c>
      <c r="M620" s="50">
        <f t="shared" si="32"/>
        <v>19</v>
      </c>
      <c r="N620" s="50" t="s">
        <v>2</v>
      </c>
      <c r="O620" s="74">
        <v>18</v>
      </c>
      <c r="P620" s="50">
        <v>6.5</v>
      </c>
      <c r="Q620" s="74">
        <v>6.99</v>
      </c>
      <c r="R620" s="50">
        <v>92</v>
      </c>
      <c r="S620" s="74">
        <v>560</v>
      </c>
      <c r="T620" s="50">
        <v>0.43</v>
      </c>
      <c r="U620" s="74">
        <v>1.53</v>
      </c>
      <c r="V620" s="50">
        <v>0.11</v>
      </c>
      <c r="W620" s="74">
        <v>3.1E-2</v>
      </c>
      <c r="X620" s="50">
        <v>0.372</v>
      </c>
      <c r="Y620" s="74">
        <v>5.6000000000000001E-2</v>
      </c>
    </row>
    <row r="621" spans="1:40" ht="15" customHeight="1">
      <c r="A621" s="88" t="s">
        <v>68</v>
      </c>
      <c r="B621" s="50" t="s">
        <v>3378</v>
      </c>
      <c r="C621" s="7" t="s">
        <v>3379</v>
      </c>
      <c r="D621" s="48" t="s">
        <v>3380</v>
      </c>
      <c r="F621" s="50" t="s">
        <v>3381</v>
      </c>
      <c r="G621" s="76" t="s">
        <v>3382</v>
      </c>
      <c r="H621" s="50">
        <v>4953</v>
      </c>
      <c r="I621" s="49" t="s">
        <v>2</v>
      </c>
      <c r="J621" s="50" t="s">
        <v>366</v>
      </c>
      <c r="K621" s="51">
        <v>41727</v>
      </c>
      <c r="L621" s="115">
        <v>41718</v>
      </c>
      <c r="M621" s="50">
        <f t="shared" si="32"/>
        <v>9</v>
      </c>
      <c r="N621" s="50" t="s">
        <v>2</v>
      </c>
      <c r="O621" s="74">
        <v>2.6</v>
      </c>
      <c r="P621" s="50">
        <v>8.35</v>
      </c>
      <c r="Q621" s="74">
        <v>6.74</v>
      </c>
      <c r="R621" s="50">
        <f>10/2</f>
        <v>5</v>
      </c>
      <c r="S621" s="74">
        <v>550</v>
      </c>
      <c r="T621" s="50">
        <v>0.5</v>
      </c>
      <c r="U621" s="74">
        <v>2.2000000000000002</v>
      </c>
      <c r="V621" s="50">
        <f>0.01/2</f>
        <v>5.0000000000000001E-3</v>
      </c>
      <c r="W621" s="74">
        <v>2.9000000000000001E-2</v>
      </c>
      <c r="X621" s="50">
        <v>7.1999999999999995E-2</v>
      </c>
      <c r="Y621" s="74">
        <v>1.7999999999999999E-2</v>
      </c>
    </row>
    <row r="622" spans="1:40" ht="15" customHeight="1">
      <c r="A622" s="88" t="s">
        <v>68</v>
      </c>
      <c r="B622" s="50" t="s">
        <v>3540</v>
      </c>
      <c r="C622" s="7" t="s">
        <v>3538</v>
      </c>
      <c r="D622" s="48" t="s">
        <v>1537</v>
      </c>
      <c r="F622" s="50" t="s">
        <v>3541</v>
      </c>
      <c r="G622" s="76" t="s">
        <v>3542</v>
      </c>
      <c r="H622" s="50">
        <v>4953</v>
      </c>
      <c r="I622" s="49" t="s">
        <v>2</v>
      </c>
      <c r="J622" s="50" t="s">
        <v>510</v>
      </c>
      <c r="K622" s="51">
        <v>41345</v>
      </c>
      <c r="L622" s="115">
        <v>41341</v>
      </c>
      <c r="M622" s="50">
        <f t="shared" si="32"/>
        <v>4</v>
      </c>
      <c r="N622" s="50" t="s">
        <v>2</v>
      </c>
      <c r="O622" s="74">
        <v>42</v>
      </c>
      <c r="P622" s="50">
        <v>6.5</v>
      </c>
      <c r="Q622" s="74">
        <v>8.67</v>
      </c>
      <c r="R622" s="50">
        <v>726</v>
      </c>
      <c r="S622" s="74">
        <v>1500</v>
      </c>
      <c r="T622" s="50">
        <v>2.77</v>
      </c>
      <c r="U622" s="74">
        <v>8.4</v>
      </c>
      <c r="V622" s="50">
        <v>0.21</v>
      </c>
      <c r="W622" s="74">
        <v>0.21</v>
      </c>
      <c r="X622" s="50">
        <v>2.0499999999999998</v>
      </c>
      <c r="Y622" s="74">
        <v>1.32</v>
      </c>
      <c r="Z622" s="164">
        <v>1</v>
      </c>
      <c r="AA622" s="165">
        <v>1</v>
      </c>
      <c r="AB622" s="50">
        <v>700</v>
      </c>
      <c r="AC622" s="74">
        <v>1411</v>
      </c>
      <c r="AD622" s="164">
        <v>1</v>
      </c>
    </row>
    <row r="623" spans="1:40" ht="15" customHeight="1">
      <c r="A623" s="88" t="s">
        <v>68</v>
      </c>
      <c r="B623" s="50" t="s">
        <v>2820</v>
      </c>
      <c r="C623" s="7" t="s">
        <v>4076</v>
      </c>
      <c r="D623" s="48" t="s">
        <v>588</v>
      </c>
      <c r="F623" s="50" t="s">
        <v>3503</v>
      </c>
      <c r="G623" s="76" t="s">
        <v>3504</v>
      </c>
      <c r="H623" s="50">
        <v>4953</v>
      </c>
      <c r="I623" s="49" t="s">
        <v>2</v>
      </c>
      <c r="J623" s="50" t="s">
        <v>510</v>
      </c>
      <c r="K623" s="51">
        <v>41508</v>
      </c>
      <c r="L623" s="115">
        <v>41499</v>
      </c>
      <c r="M623" s="50">
        <f t="shared" si="32"/>
        <v>9</v>
      </c>
      <c r="N623" s="50" t="s">
        <v>2</v>
      </c>
      <c r="O623" s="74">
        <f>1.4/2</f>
        <v>0.7</v>
      </c>
      <c r="P623" s="50">
        <v>6.5</v>
      </c>
      <c r="Q623" s="74">
        <v>7.17</v>
      </c>
      <c r="R623" s="50">
        <v>34</v>
      </c>
      <c r="S623" s="74">
        <v>10</v>
      </c>
      <c r="T623" s="50">
        <v>0.11</v>
      </c>
      <c r="U623" s="74">
        <v>1.02</v>
      </c>
      <c r="V623" s="50">
        <v>2.82</v>
      </c>
      <c r="W623" s="74">
        <f>0.005/2</f>
        <v>2.5000000000000001E-3</v>
      </c>
      <c r="X623" s="50">
        <v>8.0000000000000002E-3</v>
      </c>
      <c r="Y623" s="74">
        <f>0.002/2</f>
        <v>1E-3</v>
      </c>
    </row>
    <row r="624" spans="1:40" ht="15" customHeight="1">
      <c r="A624" s="88" t="s">
        <v>68</v>
      </c>
      <c r="B624" s="50" t="s">
        <v>3514</v>
      </c>
      <c r="C624" s="7" t="s">
        <v>3572</v>
      </c>
      <c r="D624" s="48" t="s">
        <v>89</v>
      </c>
      <c r="F624" s="50" t="s">
        <v>3573</v>
      </c>
      <c r="G624" s="76" t="s">
        <v>3574</v>
      </c>
      <c r="H624" s="50">
        <v>4953</v>
      </c>
      <c r="I624" s="49" t="s">
        <v>2</v>
      </c>
      <c r="J624" s="50" t="s">
        <v>366</v>
      </c>
      <c r="K624" s="51">
        <v>41432</v>
      </c>
      <c r="L624" s="115">
        <v>41428</v>
      </c>
      <c r="M624" s="50">
        <f t="shared" si="32"/>
        <v>4</v>
      </c>
      <c r="N624" s="50" t="s">
        <v>2</v>
      </c>
      <c r="O624" s="74">
        <v>25</v>
      </c>
      <c r="P624" s="50">
        <v>6.5</v>
      </c>
      <c r="Q624" s="74">
        <v>7.53</v>
      </c>
      <c r="R624" s="50">
        <v>467</v>
      </c>
      <c r="S624" s="74">
        <v>340</v>
      </c>
      <c r="T624" s="50">
        <v>1.02</v>
      </c>
      <c r="U624" s="74">
        <v>6.1</v>
      </c>
      <c r="V624" s="50">
        <f>0.01/2</f>
        <v>5.0000000000000001E-3</v>
      </c>
      <c r="W624" s="74">
        <v>5.5E-2</v>
      </c>
      <c r="X624" s="50">
        <v>0.46</v>
      </c>
      <c r="Y624" s="74">
        <v>0.30499999999999999</v>
      </c>
    </row>
    <row r="625" spans="1:49" ht="15" customHeight="1">
      <c r="A625" s="88" t="s">
        <v>68</v>
      </c>
      <c r="B625" s="50" t="s">
        <v>2712</v>
      </c>
      <c r="C625" s="7" t="s">
        <v>3481</v>
      </c>
      <c r="D625" s="48" t="s">
        <v>2775</v>
      </c>
      <c r="F625" s="50" t="s">
        <v>3482</v>
      </c>
      <c r="G625" s="76" t="s">
        <v>3483</v>
      </c>
      <c r="H625" s="50">
        <v>4953</v>
      </c>
      <c r="I625" s="49" t="s">
        <v>2</v>
      </c>
      <c r="J625" s="50" t="s">
        <v>510</v>
      </c>
      <c r="K625" s="51">
        <v>41432</v>
      </c>
      <c r="L625" s="115">
        <v>41428</v>
      </c>
      <c r="M625" s="50">
        <f t="shared" si="32"/>
        <v>4</v>
      </c>
      <c r="N625" s="50" t="s">
        <v>2</v>
      </c>
      <c r="O625" s="74">
        <v>1.4</v>
      </c>
      <c r="P625" s="50">
        <v>6.5</v>
      </c>
      <c r="Q625" s="74">
        <v>7.18</v>
      </c>
      <c r="R625" s="50">
        <v>38</v>
      </c>
      <c r="S625" s="74">
        <v>24</v>
      </c>
      <c r="T625" s="50">
        <v>0.18</v>
      </c>
      <c r="U625" s="74">
        <v>0.85</v>
      </c>
      <c r="V625" s="50">
        <v>0.06</v>
      </c>
      <c r="W625" s="74">
        <f>0.005/2</f>
        <v>2.5000000000000001E-3</v>
      </c>
      <c r="X625" s="50">
        <v>8.0000000000000002E-3</v>
      </c>
      <c r="Y625" s="74">
        <v>2E-3</v>
      </c>
    </row>
    <row r="626" spans="1:49" ht="15" customHeight="1">
      <c r="A626" s="88" t="s">
        <v>68</v>
      </c>
      <c r="B626" s="50" t="s">
        <v>3514</v>
      </c>
      <c r="C626" s="7" t="s">
        <v>3524</v>
      </c>
      <c r="D626" s="48" t="s">
        <v>84</v>
      </c>
      <c r="F626" s="50" t="s">
        <v>3525</v>
      </c>
      <c r="G626" s="76" t="s">
        <v>3526</v>
      </c>
      <c r="H626" s="50">
        <v>4212</v>
      </c>
      <c r="I626" s="49" t="s">
        <v>2</v>
      </c>
      <c r="J626" s="50" t="s">
        <v>510</v>
      </c>
      <c r="K626" s="51">
        <v>41432</v>
      </c>
      <c r="L626" s="115">
        <v>41428</v>
      </c>
      <c r="M626" s="50">
        <f t="shared" si="32"/>
        <v>4</v>
      </c>
      <c r="N626" s="50" t="s">
        <v>2</v>
      </c>
      <c r="O626" s="74">
        <f>1.4/2</f>
        <v>0.7</v>
      </c>
      <c r="P626" s="50">
        <v>6.5</v>
      </c>
      <c r="Q626" s="74">
        <v>7.2</v>
      </c>
      <c r="R626" s="50">
        <v>17</v>
      </c>
      <c r="S626" s="74">
        <v>8</v>
      </c>
      <c r="T626" s="50">
        <v>0.06</v>
      </c>
      <c r="U626" s="74">
        <v>0.66</v>
      </c>
      <c r="V626" s="50">
        <v>0.2</v>
      </c>
      <c r="W626" s="74">
        <f>0.005/2</f>
        <v>2.5000000000000001E-3</v>
      </c>
      <c r="X626" s="50">
        <v>7.0000000000000001E-3</v>
      </c>
      <c r="Y626" s="74">
        <v>4.0000000000000001E-3</v>
      </c>
      <c r="Z626" s="164">
        <v>1</v>
      </c>
      <c r="AA626" s="165">
        <v>1</v>
      </c>
      <c r="AB626" s="50">
        <v>58</v>
      </c>
      <c r="AC626" s="74">
        <v>155</v>
      </c>
      <c r="AD626" s="164">
        <v>1</v>
      </c>
    </row>
    <row r="627" spans="1:49" ht="15" customHeight="1">
      <c r="A627" s="88" t="s">
        <v>68</v>
      </c>
      <c r="B627" s="50" t="s">
        <v>2725</v>
      </c>
      <c r="C627" s="7" t="s">
        <v>4050</v>
      </c>
      <c r="D627" s="48" t="s">
        <v>2727</v>
      </c>
      <c r="F627" s="50" t="s">
        <v>2728</v>
      </c>
      <c r="G627" s="76" t="s">
        <v>2729</v>
      </c>
      <c r="H627" s="50">
        <v>4212</v>
      </c>
      <c r="J627" s="50" t="s">
        <v>593</v>
      </c>
      <c r="K627" s="51">
        <v>41432</v>
      </c>
      <c r="L627" s="115">
        <v>41428</v>
      </c>
      <c r="M627" s="50">
        <f t="shared" si="32"/>
        <v>4</v>
      </c>
      <c r="N627" s="50" t="s">
        <v>2</v>
      </c>
      <c r="O627" s="74">
        <f>1.4/2</f>
        <v>0.7</v>
      </c>
      <c r="P627" s="50">
        <v>6.5</v>
      </c>
      <c r="Q627" s="74">
        <v>7.13</v>
      </c>
      <c r="R627" s="50">
        <v>19</v>
      </c>
      <c r="S627" s="74">
        <v>6</v>
      </c>
      <c r="T627" s="50">
        <v>0.06</v>
      </c>
      <c r="U627" s="74">
        <v>0.48</v>
      </c>
      <c r="V627" s="50">
        <v>0.11</v>
      </c>
      <c r="W627" s="74">
        <f>0.005/2</f>
        <v>2.5000000000000001E-3</v>
      </c>
      <c r="X627" s="50">
        <v>1.2E-2</v>
      </c>
      <c r="Y627" s="74">
        <f>0.002/2</f>
        <v>1E-3</v>
      </c>
    </row>
    <row r="628" spans="1:49" ht="15" customHeight="1">
      <c r="A628" s="88" t="s">
        <v>68</v>
      </c>
      <c r="B628" s="50" t="s">
        <v>4145</v>
      </c>
      <c r="C628" s="7" t="s">
        <v>3528</v>
      </c>
      <c r="D628" s="48" t="s">
        <v>2913</v>
      </c>
      <c r="F628" s="50" t="s">
        <v>3529</v>
      </c>
      <c r="G628" s="76" t="s">
        <v>2768</v>
      </c>
      <c r="H628" s="50">
        <v>4212</v>
      </c>
      <c r="I628" s="49" t="s">
        <v>2</v>
      </c>
      <c r="J628" s="50" t="s">
        <v>366</v>
      </c>
      <c r="K628" s="51">
        <v>41499</v>
      </c>
      <c r="L628" s="115">
        <v>41488</v>
      </c>
      <c r="M628" s="50">
        <f t="shared" si="32"/>
        <v>11</v>
      </c>
      <c r="N628" s="50" t="s">
        <v>2</v>
      </c>
      <c r="O628" s="74">
        <f>1.4/2</f>
        <v>0.7</v>
      </c>
      <c r="P628" s="50">
        <v>6.5</v>
      </c>
      <c r="Q628" s="74">
        <v>7.68</v>
      </c>
      <c r="R628" s="50">
        <v>41</v>
      </c>
      <c r="S628" s="74">
        <v>480</v>
      </c>
      <c r="T628" s="50">
        <v>0.49</v>
      </c>
      <c r="U628" s="74">
        <v>1.87</v>
      </c>
      <c r="V628" s="50">
        <v>15.8</v>
      </c>
      <c r="W628" s="74">
        <v>2.9000000000000001E-2</v>
      </c>
      <c r="X628" s="50">
        <v>7.1999999999999995E-2</v>
      </c>
      <c r="Y628" s="74">
        <v>1.4999999999999999E-2</v>
      </c>
    </row>
    <row r="629" spans="1:49" ht="15" customHeight="1">
      <c r="A629" s="88" t="s">
        <v>68</v>
      </c>
      <c r="B629" s="50" t="s">
        <v>3304</v>
      </c>
      <c r="C629" s="7" t="s">
        <v>3518</v>
      </c>
      <c r="D629" s="48" t="s">
        <v>3286</v>
      </c>
      <c r="F629" s="48" t="s">
        <v>3333</v>
      </c>
      <c r="G629" s="76" t="s">
        <v>3338</v>
      </c>
      <c r="H629" s="50">
        <v>4953</v>
      </c>
      <c r="I629" s="49" t="s">
        <v>2</v>
      </c>
      <c r="J629" s="50" t="s">
        <v>510</v>
      </c>
      <c r="K629" s="51">
        <v>41432</v>
      </c>
      <c r="L629" s="115">
        <v>41428</v>
      </c>
      <c r="M629" s="50">
        <f t="shared" si="32"/>
        <v>4</v>
      </c>
      <c r="N629" s="50" t="s">
        <v>2</v>
      </c>
      <c r="O629" s="74">
        <v>14</v>
      </c>
      <c r="P629" s="50">
        <v>6.5</v>
      </c>
      <c r="Q629" s="74">
        <v>7.87</v>
      </c>
      <c r="R629" s="50">
        <v>256</v>
      </c>
      <c r="S629" s="74">
        <v>120</v>
      </c>
      <c r="T629" s="50">
        <v>0.56999999999999995</v>
      </c>
      <c r="U629" s="74">
        <v>1.07</v>
      </c>
      <c r="V629" s="50">
        <v>0.05</v>
      </c>
      <c r="W629" s="74">
        <v>4.5999999999999999E-2</v>
      </c>
      <c r="X629" s="50">
        <v>0.28799999999999998</v>
      </c>
      <c r="Y629" s="74">
        <v>6.9000000000000006E-2</v>
      </c>
    </row>
    <row r="630" spans="1:49" ht="15" customHeight="1">
      <c r="A630" s="88" t="s">
        <v>68</v>
      </c>
      <c r="B630" s="50" t="s">
        <v>2969</v>
      </c>
      <c r="C630" s="7" t="s">
        <v>4124</v>
      </c>
      <c r="D630" s="14" t="s">
        <v>314</v>
      </c>
      <c r="E630" s="7"/>
      <c r="F630" s="7" t="s">
        <v>4125</v>
      </c>
      <c r="G630" s="15" t="s">
        <v>4126</v>
      </c>
      <c r="H630" s="7">
        <v>4953</v>
      </c>
      <c r="I630" s="19" t="s">
        <v>2</v>
      </c>
      <c r="J630" s="7" t="s">
        <v>357</v>
      </c>
      <c r="K630" s="51">
        <v>41631</v>
      </c>
      <c r="L630" s="115">
        <v>41625</v>
      </c>
      <c r="M630" s="50">
        <f t="shared" si="32"/>
        <v>6</v>
      </c>
      <c r="N630" s="50" t="s">
        <v>2</v>
      </c>
      <c r="O630" s="74">
        <f>2/2</f>
        <v>1</v>
      </c>
      <c r="P630" s="50">
        <v>6.5</v>
      </c>
      <c r="Q630" s="74">
        <v>7.6</v>
      </c>
      <c r="R630" s="50">
        <v>180</v>
      </c>
      <c r="S630" s="74">
        <v>300</v>
      </c>
      <c r="T630" s="50">
        <v>0.73</v>
      </c>
      <c r="U630" s="74">
        <v>2.0499999999999998</v>
      </c>
      <c r="V630" s="50">
        <v>0.37</v>
      </c>
      <c r="W630" s="74">
        <v>7.0999999999999994E-2</v>
      </c>
      <c r="X630" s="50">
        <v>0.17</v>
      </c>
      <c r="Y630" s="74">
        <v>4.7E-2</v>
      </c>
      <c r="AE630" s="50">
        <v>14.2</v>
      </c>
    </row>
    <row r="631" spans="1:49" ht="15" customHeight="1">
      <c r="A631" s="88" t="s">
        <v>68</v>
      </c>
      <c r="B631" s="50" t="s">
        <v>2969</v>
      </c>
      <c r="C631" s="7" t="s">
        <v>4124</v>
      </c>
      <c r="D631" s="14" t="s">
        <v>314</v>
      </c>
      <c r="E631" s="7"/>
      <c r="F631" s="7" t="s">
        <v>4125</v>
      </c>
      <c r="G631" s="15" t="s">
        <v>4126</v>
      </c>
      <c r="H631" s="7">
        <v>4953</v>
      </c>
      <c r="I631" s="19" t="s">
        <v>2</v>
      </c>
      <c r="J631" s="7" t="s">
        <v>890</v>
      </c>
      <c r="K631" s="51">
        <v>41631</v>
      </c>
      <c r="L631" s="115">
        <v>41625</v>
      </c>
      <c r="M631" s="50">
        <f t="shared" si="32"/>
        <v>6</v>
      </c>
      <c r="N631" s="50" t="s">
        <v>2</v>
      </c>
      <c r="O631" s="74">
        <f>2/2</f>
        <v>1</v>
      </c>
      <c r="P631" s="50">
        <v>6.5</v>
      </c>
      <c r="Q631" s="74">
        <v>7.4</v>
      </c>
      <c r="R631" s="50">
        <v>98</v>
      </c>
      <c r="S631" s="74">
        <v>75</v>
      </c>
      <c r="T631" s="50">
        <v>0.95</v>
      </c>
      <c r="U631" s="74">
        <v>3.21</v>
      </c>
      <c r="V631" s="50">
        <v>7.35</v>
      </c>
      <c r="W631" s="74">
        <v>3.3000000000000002E-2</v>
      </c>
      <c r="X631" s="50">
        <v>3.5000000000000003E-2</v>
      </c>
      <c r="Y631" s="74">
        <f>0.03/2</f>
        <v>1.4999999999999999E-2</v>
      </c>
      <c r="AE631" s="50">
        <v>2.6</v>
      </c>
    </row>
    <row r="632" spans="1:49" ht="15" customHeight="1">
      <c r="A632" s="88" t="s">
        <v>68</v>
      </c>
      <c r="B632" s="50" t="s">
        <v>2969</v>
      </c>
      <c r="C632" s="7" t="s">
        <v>4124</v>
      </c>
      <c r="D632" s="14" t="s">
        <v>314</v>
      </c>
      <c r="E632" s="7"/>
      <c r="F632" s="7" t="s">
        <v>4125</v>
      </c>
      <c r="G632" s="15" t="s">
        <v>4126</v>
      </c>
      <c r="H632" s="7">
        <v>4953</v>
      </c>
      <c r="I632" s="19" t="s">
        <v>2</v>
      </c>
      <c r="J632" s="7" t="s">
        <v>4341</v>
      </c>
      <c r="K632" s="51">
        <v>41631</v>
      </c>
      <c r="L632" s="115">
        <v>41625</v>
      </c>
      <c r="M632" s="50">
        <f t="shared" si="32"/>
        <v>6</v>
      </c>
      <c r="N632" s="50" t="s">
        <v>2</v>
      </c>
      <c r="O632" s="74">
        <f>2/2</f>
        <v>1</v>
      </c>
      <c r="P632" s="50">
        <v>6.5</v>
      </c>
      <c r="Q632" s="74">
        <v>7.3</v>
      </c>
      <c r="R632" s="50">
        <v>160</v>
      </c>
      <c r="S632" s="74">
        <v>317</v>
      </c>
      <c r="T632" s="50">
        <v>0.74</v>
      </c>
      <c r="U632" s="74">
        <v>2.61</v>
      </c>
      <c r="V632" s="50">
        <v>0.61</v>
      </c>
      <c r="W632" s="74">
        <v>5.6000000000000001E-2</v>
      </c>
      <c r="X632" s="50">
        <v>0.192</v>
      </c>
      <c r="Y632" s="74">
        <v>0.04</v>
      </c>
      <c r="AE632" s="50">
        <v>25.6</v>
      </c>
    </row>
    <row r="633" spans="1:49" ht="15" customHeight="1">
      <c r="A633" s="88" t="s">
        <v>68</v>
      </c>
      <c r="B633" s="50" t="s">
        <v>2969</v>
      </c>
      <c r="C633" s="7" t="s">
        <v>4124</v>
      </c>
      <c r="D633" s="14" t="s">
        <v>314</v>
      </c>
      <c r="E633" s="7"/>
      <c r="F633" s="7" t="s">
        <v>4125</v>
      </c>
      <c r="G633" s="15" t="s">
        <v>4126</v>
      </c>
      <c r="H633" s="7">
        <v>4953</v>
      </c>
      <c r="I633" s="19" t="s">
        <v>2</v>
      </c>
      <c r="J633" s="7" t="s">
        <v>4127</v>
      </c>
      <c r="K633" s="51">
        <v>41631</v>
      </c>
      <c r="L633" s="115">
        <v>41625</v>
      </c>
      <c r="M633" s="50">
        <f t="shared" si="32"/>
        <v>6</v>
      </c>
      <c r="N633" s="50" t="s">
        <v>2</v>
      </c>
      <c r="O633" s="74">
        <f>2/2</f>
        <v>1</v>
      </c>
      <c r="P633" s="50">
        <v>6.5</v>
      </c>
      <c r="Q633" s="74">
        <v>7.1</v>
      </c>
      <c r="R633" s="50">
        <v>510</v>
      </c>
      <c r="S633" s="74">
        <v>60</v>
      </c>
      <c r="T633" s="50">
        <v>4.3099999999999996</v>
      </c>
      <c r="U633" s="74">
        <v>6.27</v>
      </c>
      <c r="V633" s="50">
        <v>3.94</v>
      </c>
      <c r="W633" s="74">
        <v>2.9000000000000001E-2</v>
      </c>
      <c r="X633" s="50">
        <v>4.2999999999999997E-2</v>
      </c>
      <c r="Y633" s="74">
        <f>0.03/2</f>
        <v>1.4999999999999999E-2</v>
      </c>
      <c r="AE633" s="50">
        <v>2.65</v>
      </c>
    </row>
    <row r="634" spans="1:49" ht="15" customHeight="1">
      <c r="A634" s="88" t="s">
        <v>68</v>
      </c>
      <c r="B634" s="50" t="s">
        <v>3514</v>
      </c>
      <c r="C634" s="7" t="s">
        <v>3572</v>
      </c>
      <c r="D634" s="14" t="s">
        <v>89</v>
      </c>
      <c r="E634" s="7"/>
      <c r="F634" s="7" t="s">
        <v>3573</v>
      </c>
      <c r="G634" s="15" t="s">
        <v>3574</v>
      </c>
      <c r="H634" s="7">
        <v>4953</v>
      </c>
      <c r="I634" s="19" t="s">
        <v>2</v>
      </c>
      <c r="J634" s="7" t="s">
        <v>366</v>
      </c>
      <c r="K634" s="51">
        <v>41631</v>
      </c>
      <c r="L634" s="115">
        <v>41625</v>
      </c>
      <c r="M634" s="50">
        <v>6</v>
      </c>
      <c r="N634" s="50" t="s">
        <v>2</v>
      </c>
      <c r="O634" s="74">
        <v>39</v>
      </c>
      <c r="P634" s="50">
        <v>6.5</v>
      </c>
      <c r="R634" s="50">
        <v>550</v>
      </c>
      <c r="S634" s="74">
        <v>710</v>
      </c>
      <c r="T634" s="50">
        <v>1.5</v>
      </c>
      <c r="U634" s="74">
        <v>6.38</v>
      </c>
      <c r="X634" s="50">
        <v>0.65900000000000003</v>
      </c>
      <c r="Y634" s="74">
        <v>0.21099999999999999</v>
      </c>
    </row>
    <row r="635" spans="1:49" ht="15" customHeight="1">
      <c r="A635" s="88" t="s">
        <v>68</v>
      </c>
      <c r="B635" s="50" t="s">
        <v>3867</v>
      </c>
      <c r="C635" s="7" t="s">
        <v>3868</v>
      </c>
      <c r="D635" s="14" t="s">
        <v>3869</v>
      </c>
      <c r="E635" s="7"/>
      <c r="F635" s="7" t="s">
        <v>3870</v>
      </c>
      <c r="G635" s="15" t="s">
        <v>3871</v>
      </c>
      <c r="H635" s="7">
        <v>9199</v>
      </c>
      <c r="I635" s="19" t="s">
        <v>2</v>
      </c>
      <c r="J635" s="7" t="s">
        <v>510</v>
      </c>
      <c r="K635" s="51">
        <v>41653</v>
      </c>
      <c r="L635" s="115">
        <v>41650</v>
      </c>
      <c r="M635" s="50">
        <v>3</v>
      </c>
      <c r="N635" s="50" t="s">
        <v>2</v>
      </c>
      <c r="O635" s="74">
        <v>0.7</v>
      </c>
      <c r="P635" s="50">
        <v>6.5</v>
      </c>
      <c r="Q635" s="74">
        <v>6.81</v>
      </c>
      <c r="R635" s="50">
        <v>110</v>
      </c>
      <c r="S635" s="74">
        <v>77</v>
      </c>
      <c r="T635" s="50">
        <v>0.99</v>
      </c>
      <c r="U635" s="74">
        <v>5.88</v>
      </c>
      <c r="V635" s="50">
        <f>0.01/2</f>
        <v>5.0000000000000001E-3</v>
      </c>
      <c r="W635" s="74">
        <v>1.4E-2</v>
      </c>
      <c r="X635" s="50">
        <v>3.5999999999999997E-2</v>
      </c>
      <c r="Y635" s="74">
        <v>7.0000000000000001E-3</v>
      </c>
      <c r="AV635" s="1">
        <v>5.0000000000000001E-3</v>
      </c>
      <c r="AW635" s="5">
        <v>76.599999999999994</v>
      </c>
    </row>
    <row r="636" spans="1:49" ht="15" customHeight="1">
      <c r="A636" s="88" t="s">
        <v>68</v>
      </c>
      <c r="B636" s="50" t="s">
        <v>4141</v>
      </c>
      <c r="C636" s="7" t="s">
        <v>3408</v>
      </c>
      <c r="D636" s="14" t="s">
        <v>372</v>
      </c>
      <c r="E636" s="7"/>
      <c r="F636" s="7" t="s">
        <v>3409</v>
      </c>
      <c r="G636" s="15" t="s">
        <v>3410</v>
      </c>
      <c r="H636" s="7">
        <v>4953</v>
      </c>
      <c r="I636" s="19" t="s">
        <v>1</v>
      </c>
      <c r="J636" s="7" t="s">
        <v>366</v>
      </c>
      <c r="K636" s="51">
        <v>41585</v>
      </c>
      <c r="L636" s="115">
        <v>41539</v>
      </c>
      <c r="M636" s="50">
        <v>46</v>
      </c>
      <c r="N636" s="50" t="s">
        <v>2</v>
      </c>
      <c r="O636" s="74">
        <v>16</v>
      </c>
      <c r="P636" s="50">
        <v>6.5</v>
      </c>
      <c r="R636" s="50">
        <v>150</v>
      </c>
      <c r="S636" s="74">
        <v>300</v>
      </c>
      <c r="T636" s="50">
        <v>1.1000000000000001</v>
      </c>
      <c r="U636" s="74">
        <v>8.15</v>
      </c>
      <c r="W636" s="74">
        <v>9.0999999999999998E-2</v>
      </c>
      <c r="X636" s="50">
        <v>0.625</v>
      </c>
      <c r="Y636" s="74">
        <v>0.45200000000000001</v>
      </c>
    </row>
    <row r="637" spans="1:49" ht="15" customHeight="1">
      <c r="A637" s="88" t="s">
        <v>68</v>
      </c>
      <c r="B637" s="50" t="s">
        <v>4141</v>
      </c>
      <c r="C637" s="7" t="s">
        <v>3408</v>
      </c>
      <c r="D637" s="14" t="s">
        <v>372</v>
      </c>
      <c r="E637" s="7"/>
      <c r="F637" s="7" t="s">
        <v>3409</v>
      </c>
      <c r="G637" s="15" t="s">
        <v>3410</v>
      </c>
      <c r="H637" s="7">
        <v>4953</v>
      </c>
      <c r="I637" s="19" t="s">
        <v>1</v>
      </c>
      <c r="J637" s="7" t="s">
        <v>366</v>
      </c>
      <c r="K637" s="51">
        <v>41345</v>
      </c>
      <c r="L637" s="115">
        <v>41332</v>
      </c>
      <c r="M637" s="50">
        <v>13</v>
      </c>
      <c r="N637" s="50" t="s">
        <v>2</v>
      </c>
      <c r="P637" s="50">
        <v>6.5</v>
      </c>
      <c r="Q637" s="74">
        <v>7.53</v>
      </c>
      <c r="V637" s="50">
        <v>0.04</v>
      </c>
    </row>
    <row r="638" spans="1:49" ht="15" customHeight="1">
      <c r="A638" s="88" t="s">
        <v>68</v>
      </c>
      <c r="B638" s="50" t="s">
        <v>3304</v>
      </c>
      <c r="C638" s="7" t="s">
        <v>3440</v>
      </c>
      <c r="D638" s="14" t="s">
        <v>372</v>
      </c>
      <c r="E638" s="7"/>
      <c r="F638" s="7" t="s">
        <v>3409</v>
      </c>
      <c r="G638" s="15" t="s">
        <v>3441</v>
      </c>
      <c r="H638" s="7">
        <v>5093</v>
      </c>
      <c r="I638" s="19" t="s">
        <v>2</v>
      </c>
      <c r="J638" s="7" t="s">
        <v>510</v>
      </c>
      <c r="K638" s="51">
        <v>41585</v>
      </c>
      <c r="L638" s="115">
        <v>41539</v>
      </c>
      <c r="M638" s="50">
        <v>46</v>
      </c>
      <c r="N638" s="50" t="s">
        <v>2</v>
      </c>
      <c r="O638" s="74">
        <v>10</v>
      </c>
      <c r="P638" s="50">
        <v>6.5</v>
      </c>
      <c r="R638" s="50">
        <v>83</v>
      </c>
      <c r="S638" s="74">
        <v>260</v>
      </c>
      <c r="T638" s="50">
        <v>0.56999999999999995</v>
      </c>
      <c r="U638" s="74">
        <v>2.88</v>
      </c>
      <c r="W638" s="74">
        <v>0.109</v>
      </c>
      <c r="X638" s="50">
        <v>0.69199999999999995</v>
      </c>
      <c r="Y638" s="74">
        <v>9.4E-2</v>
      </c>
    </row>
    <row r="639" spans="1:49" ht="15" customHeight="1">
      <c r="A639" s="88" t="s">
        <v>68</v>
      </c>
      <c r="B639" s="50" t="s">
        <v>3304</v>
      </c>
      <c r="C639" s="7" t="s">
        <v>3440</v>
      </c>
      <c r="D639" s="14" t="s">
        <v>372</v>
      </c>
      <c r="E639" s="7"/>
      <c r="F639" s="7" t="s">
        <v>3409</v>
      </c>
      <c r="G639" s="15" t="s">
        <v>3441</v>
      </c>
      <c r="H639" s="7">
        <v>5093</v>
      </c>
      <c r="I639" s="19" t="s">
        <v>2</v>
      </c>
      <c r="J639" s="7" t="s">
        <v>510</v>
      </c>
      <c r="K639" s="51">
        <v>41345</v>
      </c>
      <c r="L639" s="115">
        <v>41332</v>
      </c>
      <c r="M639" s="50">
        <v>13</v>
      </c>
      <c r="N639" s="50" t="s">
        <v>2</v>
      </c>
      <c r="P639" s="50">
        <v>6.5</v>
      </c>
      <c r="Q639" s="74">
        <v>7.79</v>
      </c>
      <c r="V639" s="50">
        <v>0.38</v>
      </c>
    </row>
    <row r="640" spans="1:49" ht="15" customHeight="1">
      <c r="A640" s="88" t="s">
        <v>68</v>
      </c>
      <c r="B640" s="50" t="s">
        <v>3301</v>
      </c>
      <c r="C640" s="7" t="s">
        <v>3301</v>
      </c>
      <c r="D640" s="14" t="s">
        <v>2591</v>
      </c>
      <c r="E640" s="7"/>
      <c r="F640" s="7" t="s">
        <v>3302</v>
      </c>
      <c r="G640" s="15" t="s">
        <v>3303</v>
      </c>
      <c r="H640" s="7">
        <v>4212</v>
      </c>
      <c r="I640" s="19" t="s">
        <v>1</v>
      </c>
      <c r="J640" s="7" t="s">
        <v>366</v>
      </c>
      <c r="K640" s="51">
        <v>41631</v>
      </c>
      <c r="L640" s="115">
        <v>41625</v>
      </c>
      <c r="M640" s="50">
        <v>6</v>
      </c>
      <c r="N640" s="50" t="s">
        <v>2</v>
      </c>
      <c r="O640" s="74">
        <v>0.7</v>
      </c>
      <c r="P640" s="50">
        <v>6.5</v>
      </c>
      <c r="Q640" s="74">
        <v>7.05</v>
      </c>
      <c r="R640" s="50">
        <v>15</v>
      </c>
      <c r="S640" s="74">
        <v>15</v>
      </c>
      <c r="T640" s="50">
        <v>7.0000000000000007E-2</v>
      </c>
      <c r="U640" s="74">
        <v>0.42</v>
      </c>
      <c r="V640" s="50">
        <v>0.05</v>
      </c>
      <c r="W640" s="74">
        <f>0.05/2</f>
        <v>2.5000000000000001E-2</v>
      </c>
      <c r="X640" s="50">
        <v>5.0000000000000001E-3</v>
      </c>
      <c r="Y640" s="74">
        <f>0.002/2</f>
        <v>1E-3</v>
      </c>
    </row>
    <row r="641" spans="1:40" ht="15" customHeight="1">
      <c r="A641" s="88" t="s">
        <v>68</v>
      </c>
      <c r="B641" s="50" t="s">
        <v>4795</v>
      </c>
      <c r="C641" s="7" t="s">
        <v>4796</v>
      </c>
      <c r="D641" s="14">
        <v>163</v>
      </c>
      <c r="E641" s="7"/>
      <c r="F641" s="7" t="s">
        <v>3570</v>
      </c>
      <c r="G641" s="15" t="s">
        <v>3576</v>
      </c>
      <c r="H641" s="7">
        <v>5093</v>
      </c>
      <c r="I641" s="19" t="s">
        <v>2</v>
      </c>
      <c r="J641" s="7" t="s">
        <v>510</v>
      </c>
      <c r="K641" s="51">
        <v>41585</v>
      </c>
      <c r="L641" s="115">
        <v>41554</v>
      </c>
      <c r="M641" s="50">
        <v>31</v>
      </c>
      <c r="N641" s="50" t="s">
        <v>2</v>
      </c>
      <c r="O641" s="74">
        <v>2.1</v>
      </c>
      <c r="P641" s="50">
        <v>6.5</v>
      </c>
      <c r="R641" s="50">
        <v>46</v>
      </c>
      <c r="S641" s="74">
        <v>45</v>
      </c>
      <c r="T641" s="50">
        <v>0.19</v>
      </c>
      <c r="U641" s="74">
        <v>2.1</v>
      </c>
      <c r="W641" s="74">
        <v>1.9E-2</v>
      </c>
      <c r="X641" s="50">
        <v>0.11799999999999999</v>
      </c>
      <c r="Y641" s="74">
        <v>3.2000000000000001E-2</v>
      </c>
    </row>
    <row r="642" spans="1:40" ht="15" customHeight="1">
      <c r="A642" s="88" t="s">
        <v>68</v>
      </c>
      <c r="B642" s="50" t="s">
        <v>4795</v>
      </c>
      <c r="C642" s="7" t="s">
        <v>4796</v>
      </c>
      <c r="D642" s="14">
        <v>163</v>
      </c>
      <c r="E642" s="7"/>
      <c r="F642" s="7" t="s">
        <v>3570</v>
      </c>
      <c r="G642" s="15" t="s">
        <v>3576</v>
      </c>
      <c r="H642" s="7">
        <v>5093</v>
      </c>
      <c r="I642" s="19" t="s">
        <v>2</v>
      </c>
      <c r="J642" s="7" t="s">
        <v>510</v>
      </c>
      <c r="K642" s="51">
        <v>41710</v>
      </c>
      <c r="L642" s="115">
        <v>41691</v>
      </c>
      <c r="M642" s="50">
        <v>19</v>
      </c>
      <c r="N642" s="50" t="s">
        <v>2</v>
      </c>
      <c r="P642" s="50">
        <v>6.5</v>
      </c>
      <c r="Q642" s="74">
        <v>7.64</v>
      </c>
      <c r="V642" s="50">
        <v>0.05</v>
      </c>
    </row>
    <row r="643" spans="1:40" ht="15" customHeight="1">
      <c r="A643" s="88" t="s">
        <v>68</v>
      </c>
      <c r="B643" s="50" t="s">
        <v>3339</v>
      </c>
      <c r="C643" s="7" t="s">
        <v>3454</v>
      </c>
      <c r="D643" s="14" t="s">
        <v>827</v>
      </c>
      <c r="E643" s="7"/>
      <c r="F643" s="7" t="s">
        <v>3341</v>
      </c>
      <c r="G643" s="15" t="s">
        <v>3455</v>
      </c>
      <c r="H643" s="7">
        <v>4953</v>
      </c>
      <c r="I643" s="19" t="s">
        <v>2</v>
      </c>
      <c r="J643" s="7" t="s">
        <v>366</v>
      </c>
      <c r="K643" s="51">
        <v>41605</v>
      </c>
      <c r="L643" s="115">
        <v>41600</v>
      </c>
      <c r="M643" s="50">
        <v>5</v>
      </c>
      <c r="N643" s="50" t="s">
        <v>2</v>
      </c>
      <c r="O643" s="74">
        <f>1.4/2</f>
        <v>0.7</v>
      </c>
      <c r="P643" s="50">
        <v>6.5</v>
      </c>
      <c r="R643" s="50">
        <v>17</v>
      </c>
      <c r="S643" s="74">
        <v>40</v>
      </c>
      <c r="T643" s="50">
        <v>0.34</v>
      </c>
      <c r="U643" s="74">
        <v>0.61</v>
      </c>
      <c r="W643" s="74">
        <v>1.4999999999999999E-2</v>
      </c>
      <c r="X643" s="50">
        <v>0.15</v>
      </c>
      <c r="Y643" s="74">
        <v>2.3E-2</v>
      </c>
    </row>
    <row r="644" spans="1:40" ht="15" customHeight="1">
      <c r="A644" s="88" t="s">
        <v>68</v>
      </c>
      <c r="B644" s="50" t="s">
        <v>3339</v>
      </c>
      <c r="C644" s="7" t="s">
        <v>3454</v>
      </c>
      <c r="D644" s="14" t="s">
        <v>827</v>
      </c>
      <c r="E644" s="7"/>
      <c r="F644" s="7" t="s">
        <v>3341</v>
      </c>
      <c r="G644" s="15" t="s">
        <v>3455</v>
      </c>
      <c r="H644" s="7">
        <v>4953</v>
      </c>
      <c r="I644" s="19" t="s">
        <v>2</v>
      </c>
      <c r="J644" s="7" t="s">
        <v>366</v>
      </c>
      <c r="K644" s="51">
        <v>41710</v>
      </c>
      <c r="L644" s="115">
        <v>41691</v>
      </c>
      <c r="M644" s="50">
        <v>19</v>
      </c>
      <c r="N644" s="50" t="s">
        <v>2</v>
      </c>
      <c r="P644" s="50">
        <v>6.5</v>
      </c>
      <c r="Q644" s="74">
        <v>7.54</v>
      </c>
      <c r="V644" s="50">
        <v>0.16</v>
      </c>
    </row>
    <row r="645" spans="1:40" ht="15" customHeight="1">
      <c r="A645" s="88" t="s">
        <v>68</v>
      </c>
      <c r="B645" s="50" t="s">
        <v>2763</v>
      </c>
      <c r="C645" s="7" t="s">
        <v>3003</v>
      </c>
      <c r="D645" s="14" t="s">
        <v>2378</v>
      </c>
      <c r="E645" s="7"/>
      <c r="F645" s="7" t="s">
        <v>3484</v>
      </c>
      <c r="G645" s="15" t="s">
        <v>3004</v>
      </c>
      <c r="H645" s="7">
        <v>4953</v>
      </c>
      <c r="I645" s="19" t="s">
        <v>2</v>
      </c>
      <c r="J645" s="7" t="s">
        <v>510</v>
      </c>
      <c r="K645" s="51">
        <v>41585</v>
      </c>
      <c r="L645" s="115">
        <v>41554</v>
      </c>
      <c r="M645" s="50">
        <v>31</v>
      </c>
      <c r="N645" s="50" t="s">
        <v>2</v>
      </c>
      <c r="O645" s="74">
        <v>2.5</v>
      </c>
      <c r="P645" s="50">
        <v>6.5</v>
      </c>
      <c r="Q645" s="74">
        <v>7.08</v>
      </c>
      <c r="R645" s="50">
        <v>43</v>
      </c>
      <c r="S645" s="74">
        <v>190</v>
      </c>
      <c r="T645" s="50">
        <v>0.59</v>
      </c>
      <c r="U645" s="74">
        <v>5.87</v>
      </c>
      <c r="V645" s="50">
        <v>0.17</v>
      </c>
      <c r="W645" s="74">
        <v>0.06</v>
      </c>
      <c r="X645" s="50">
        <v>0.41899999999999998</v>
      </c>
      <c r="Y645" s="74">
        <v>2.5999999999999999E-2</v>
      </c>
    </row>
    <row r="646" spans="1:40" ht="15" customHeight="1">
      <c r="A646" s="88" t="s">
        <v>68</v>
      </c>
      <c r="B646" s="50" t="s">
        <v>2763</v>
      </c>
      <c r="C646" s="7" t="s">
        <v>3003</v>
      </c>
      <c r="D646" s="14" t="s">
        <v>2378</v>
      </c>
      <c r="E646" s="7"/>
      <c r="F646" s="7" t="s">
        <v>3484</v>
      </c>
      <c r="G646" s="15" t="s">
        <v>3004</v>
      </c>
      <c r="H646" s="7">
        <v>4953</v>
      </c>
      <c r="I646" s="19" t="s">
        <v>2</v>
      </c>
      <c r="J646" s="7" t="s">
        <v>460</v>
      </c>
      <c r="K646" s="51">
        <v>41585</v>
      </c>
      <c r="L646" s="115">
        <v>41554</v>
      </c>
      <c r="M646" s="50">
        <v>31</v>
      </c>
      <c r="N646" s="50" t="s">
        <v>2</v>
      </c>
      <c r="O646" s="74">
        <f>1.4/2</f>
        <v>0.7</v>
      </c>
      <c r="P646" s="50">
        <v>6.5</v>
      </c>
      <c r="Q646" s="74">
        <v>6.94</v>
      </c>
      <c r="R646" s="50">
        <v>52</v>
      </c>
      <c r="S646" s="74">
        <v>160</v>
      </c>
      <c r="T646" s="50">
        <v>0.47</v>
      </c>
      <c r="U646" s="74">
        <v>1.58</v>
      </c>
      <c r="V646" s="50">
        <v>0.4</v>
      </c>
      <c r="W646" s="74">
        <v>1.4999999999999999E-2</v>
      </c>
      <c r="X646" s="50">
        <v>7.0999999999999994E-2</v>
      </c>
      <c r="Y646" s="74">
        <v>6.0000000000000001E-3</v>
      </c>
      <c r="Z646" s="164">
        <v>1</v>
      </c>
      <c r="AA646" s="165">
        <v>1</v>
      </c>
      <c r="AB646" s="50">
        <v>12</v>
      </c>
      <c r="AC646" s="74">
        <v>147</v>
      </c>
      <c r="AD646" s="164">
        <v>1</v>
      </c>
    </row>
    <row r="647" spans="1:40" ht="15" customHeight="1">
      <c r="A647" s="88" t="s">
        <v>68</v>
      </c>
      <c r="B647" s="50" t="s">
        <v>2820</v>
      </c>
      <c r="C647" s="7" t="s">
        <v>4076</v>
      </c>
      <c r="D647" s="14" t="s">
        <v>588</v>
      </c>
      <c r="E647" s="7"/>
      <c r="F647" s="7" t="s">
        <v>3503</v>
      </c>
      <c r="G647" s="15" t="s">
        <v>3504</v>
      </c>
      <c r="H647" s="7">
        <v>4953</v>
      </c>
      <c r="I647" s="19" t="s">
        <v>2</v>
      </c>
      <c r="J647" s="7" t="s">
        <v>510</v>
      </c>
      <c r="K647" s="51">
        <v>41710</v>
      </c>
      <c r="L647" s="115">
        <v>41691</v>
      </c>
      <c r="M647" s="50">
        <v>19</v>
      </c>
      <c r="N647" s="50" t="s">
        <v>2</v>
      </c>
      <c r="O647" s="74">
        <f>1.4/2</f>
        <v>0.7</v>
      </c>
      <c r="P647" s="50">
        <v>6.5</v>
      </c>
      <c r="Q647" s="74">
        <v>7.12</v>
      </c>
      <c r="R647" s="50">
        <v>21</v>
      </c>
      <c r="S647" s="74">
        <v>46</v>
      </c>
      <c r="T647" s="50">
        <v>0.22</v>
      </c>
      <c r="U647" s="74">
        <v>1.45</v>
      </c>
      <c r="V647" s="50">
        <v>0.54</v>
      </c>
      <c r="W647" s="74">
        <f>0.005/2</f>
        <v>2.5000000000000001E-3</v>
      </c>
      <c r="X647" s="50">
        <v>3.0000000000000001E-3</v>
      </c>
      <c r="Y647" s="74">
        <f>0.002/2</f>
        <v>1E-3</v>
      </c>
    </row>
    <row r="648" spans="1:40" ht="15" customHeight="1">
      <c r="A648" s="293" t="s">
        <v>68</v>
      </c>
      <c r="B648" s="50" t="s">
        <v>5495</v>
      </c>
      <c r="C648" s="7" t="s">
        <v>5496</v>
      </c>
      <c r="D648" s="14" t="s">
        <v>1683</v>
      </c>
      <c r="E648" s="7"/>
      <c r="F648" s="7" t="s">
        <v>5497</v>
      </c>
      <c r="G648" s="15" t="s">
        <v>5498</v>
      </c>
      <c r="H648" s="7">
        <v>4212</v>
      </c>
      <c r="I648" s="19" t="s">
        <v>2</v>
      </c>
      <c r="J648" s="7" t="s">
        <v>366</v>
      </c>
      <c r="K648" s="51">
        <v>41710</v>
      </c>
      <c r="L648" s="115">
        <v>41691</v>
      </c>
      <c r="N648" s="50" t="s">
        <v>2</v>
      </c>
      <c r="O648" s="74">
        <v>12</v>
      </c>
      <c r="P648" s="50">
        <v>6.5</v>
      </c>
      <c r="Q648" s="74">
        <v>7.5</v>
      </c>
      <c r="R648" s="50">
        <v>79</v>
      </c>
      <c r="S648" s="74">
        <v>250</v>
      </c>
      <c r="T648" s="50">
        <v>0.34</v>
      </c>
      <c r="U648" s="74">
        <v>1.87</v>
      </c>
      <c r="V648" s="50">
        <v>0.18</v>
      </c>
      <c r="W648" s="74">
        <v>2.9000000000000001E-2</v>
      </c>
      <c r="X648" s="50">
        <v>0.159</v>
      </c>
      <c r="Y648" s="74">
        <v>2.7E-2</v>
      </c>
      <c r="Z648" s="164">
        <v>1</v>
      </c>
      <c r="AA648" s="165">
        <v>1</v>
      </c>
      <c r="AB648" s="50">
        <v>14</v>
      </c>
      <c r="AC648" s="74">
        <v>72</v>
      </c>
      <c r="AD648" s="164">
        <v>1</v>
      </c>
    </row>
    <row r="649" spans="1:40" ht="15" customHeight="1">
      <c r="A649" s="293" t="s">
        <v>68</v>
      </c>
      <c r="B649" s="50" t="s">
        <v>2107</v>
      </c>
      <c r="C649" s="7" t="s">
        <v>2546</v>
      </c>
      <c r="D649" s="14" t="s">
        <v>308</v>
      </c>
      <c r="E649" s="7" t="s">
        <v>235</v>
      </c>
      <c r="F649" s="7"/>
      <c r="G649" s="15" t="s">
        <v>3015</v>
      </c>
      <c r="H649" s="7">
        <v>4953</v>
      </c>
      <c r="I649" s="19" t="s">
        <v>1</v>
      </c>
      <c r="J649" s="7" t="s">
        <v>3173</v>
      </c>
      <c r="K649" s="51">
        <v>41726</v>
      </c>
      <c r="L649" s="115">
        <v>41720</v>
      </c>
      <c r="N649" s="50" t="s">
        <v>1</v>
      </c>
      <c r="O649" s="74">
        <f>2/2</f>
        <v>1</v>
      </c>
      <c r="P649" s="50">
        <v>6.6</v>
      </c>
      <c r="Q649" s="74">
        <v>6.9</v>
      </c>
      <c r="R649" s="50">
        <v>19</v>
      </c>
      <c r="S649" s="74">
        <v>372</v>
      </c>
      <c r="T649" s="50">
        <v>0.12</v>
      </c>
      <c r="U649" s="74">
        <v>1.1100000000000001</v>
      </c>
      <c r="V649" s="50">
        <v>2.97</v>
      </c>
      <c r="W649" s="74">
        <v>0.38500000000000001</v>
      </c>
      <c r="X649" s="50">
        <v>0.88700000000000001</v>
      </c>
      <c r="Y649" s="74">
        <f>0.03/2</f>
        <v>1.4999999999999999E-2</v>
      </c>
      <c r="Z649" s="164">
        <v>0.24199999999999999</v>
      </c>
      <c r="AA649" s="165">
        <v>0.154</v>
      </c>
      <c r="AB649" s="50">
        <v>126</v>
      </c>
      <c r="AC649" s="74">
        <v>761</v>
      </c>
      <c r="AD649" s="164">
        <v>0</v>
      </c>
      <c r="AE649" s="50">
        <v>0.46</v>
      </c>
      <c r="AF649" s="50">
        <v>12</v>
      </c>
      <c r="AG649" s="50">
        <v>40</v>
      </c>
      <c r="AH649" s="50">
        <v>0.23</v>
      </c>
      <c r="AI649" s="50">
        <f>0.01/2</f>
        <v>5.0000000000000001E-3</v>
      </c>
      <c r="AJ649" s="50">
        <f>0.05/2</f>
        <v>2.5000000000000001E-2</v>
      </c>
      <c r="AK649" s="50">
        <f>0.02/2</f>
        <v>0.01</v>
      </c>
      <c r="AL649" s="50">
        <f>0.02/2</f>
        <v>0.01</v>
      </c>
      <c r="AM649" s="50">
        <v>0.88700000000000001</v>
      </c>
      <c r="AN649" s="114">
        <v>6.9</v>
      </c>
    </row>
    <row r="650" spans="1:40" ht="15" customHeight="1">
      <c r="A650" s="293" t="s">
        <v>68</v>
      </c>
      <c r="B650" s="50" t="s">
        <v>2617</v>
      </c>
      <c r="C650" s="7" t="s">
        <v>5499</v>
      </c>
      <c r="D650" s="14" t="s">
        <v>1569</v>
      </c>
      <c r="E650" s="7" t="s">
        <v>2619</v>
      </c>
      <c r="F650" s="7"/>
      <c r="G650" s="15" t="s">
        <v>2620</v>
      </c>
      <c r="H650" s="7">
        <v>4953</v>
      </c>
      <c r="I650" s="19" t="s">
        <v>2</v>
      </c>
      <c r="J650" s="7" t="s">
        <v>2621</v>
      </c>
      <c r="K650" s="51">
        <v>41499</v>
      </c>
      <c r="L650" s="115">
        <v>41495</v>
      </c>
      <c r="N650" s="50" t="s">
        <v>2</v>
      </c>
      <c r="O650" s="74">
        <f>1.5/2</f>
        <v>0.75</v>
      </c>
      <c r="P650" s="50">
        <v>6</v>
      </c>
      <c r="Q650" s="74">
        <v>7.33</v>
      </c>
      <c r="R650" s="50">
        <v>32</v>
      </c>
      <c r="S650" s="74">
        <v>55</v>
      </c>
      <c r="T650" s="50">
        <v>0.19</v>
      </c>
      <c r="U650" s="74">
        <v>3.18</v>
      </c>
      <c r="V650" s="50">
        <f>0.01/2</f>
        <v>5.0000000000000001E-3</v>
      </c>
      <c r="W650" s="74">
        <f>0.005/2</f>
        <v>2.5000000000000001E-3</v>
      </c>
      <c r="X650" s="50">
        <v>1.4999999999999999E-2</v>
      </c>
      <c r="Y650" s="74">
        <f>0.002/2</f>
        <v>1E-3</v>
      </c>
      <c r="AE650" s="50">
        <v>22.3</v>
      </c>
      <c r="AH650" s="50">
        <v>0.51</v>
      </c>
    </row>
    <row r="651" spans="1:40" ht="15" customHeight="1">
      <c r="A651" s="293" t="s">
        <v>68</v>
      </c>
      <c r="B651" s="50" t="s">
        <v>5500</v>
      </c>
      <c r="C651" s="7" t="s">
        <v>3353</v>
      </c>
      <c r="D651" s="14" t="s">
        <v>1537</v>
      </c>
      <c r="E651" s="7" t="s">
        <v>467</v>
      </c>
      <c r="F651" s="7" t="s">
        <v>5501</v>
      </c>
      <c r="G651" s="15" t="s">
        <v>3586</v>
      </c>
      <c r="H651" s="7">
        <v>4953</v>
      </c>
      <c r="I651" s="19" t="s">
        <v>1</v>
      </c>
      <c r="J651" s="7" t="s">
        <v>5502</v>
      </c>
      <c r="K651" s="51">
        <v>41345</v>
      </c>
      <c r="L651" s="115">
        <v>41341</v>
      </c>
      <c r="N651" s="50" t="s">
        <v>2</v>
      </c>
      <c r="O651" s="74">
        <f>5/2</f>
        <v>2.5</v>
      </c>
      <c r="P651" s="50">
        <v>7.52</v>
      </c>
      <c r="Q651" s="74">
        <v>7.94</v>
      </c>
      <c r="R651" s="50">
        <v>49</v>
      </c>
      <c r="S651" s="74">
        <v>57</v>
      </c>
      <c r="T651" s="50">
        <f>0.1/2</f>
        <v>0.05</v>
      </c>
      <c r="U651" s="74">
        <f>1/2</f>
        <v>0.5</v>
      </c>
      <c r="V651" s="50">
        <v>0.14000000000000001</v>
      </c>
      <c r="W651" s="74">
        <f>0.04/2</f>
        <v>0.02</v>
      </c>
      <c r="X651" s="50">
        <v>0.12</v>
      </c>
      <c r="Y651" s="74">
        <v>3.7999999999999999E-2</v>
      </c>
      <c r="Z651" s="164">
        <v>1</v>
      </c>
      <c r="AA651" s="165">
        <v>1</v>
      </c>
      <c r="AB651" s="50">
        <v>25</v>
      </c>
      <c r="AC651" s="74">
        <v>71</v>
      </c>
      <c r="AD651" s="164">
        <v>1</v>
      </c>
    </row>
    <row r="652" spans="1:40" ht="15" customHeight="1">
      <c r="A652" s="88" t="s">
        <v>68</v>
      </c>
      <c r="B652" s="50" t="s">
        <v>470</v>
      </c>
      <c r="C652" s="7" t="s">
        <v>475</v>
      </c>
      <c r="D652" s="14" t="s">
        <v>471</v>
      </c>
      <c r="E652" s="7" t="s">
        <v>2615</v>
      </c>
      <c r="F652" s="7"/>
      <c r="G652" s="15" t="s">
        <v>5503</v>
      </c>
      <c r="H652" s="7">
        <v>4953</v>
      </c>
      <c r="I652" s="19" t="s">
        <v>2</v>
      </c>
      <c r="J652" s="7" t="s">
        <v>477</v>
      </c>
      <c r="K652" s="51">
        <v>41710</v>
      </c>
      <c r="L652" s="115">
        <v>41691</v>
      </c>
      <c r="N652" s="50" t="s">
        <v>2</v>
      </c>
      <c r="O652" s="74">
        <v>0.7</v>
      </c>
      <c r="P652" s="50">
        <v>5.5</v>
      </c>
      <c r="Q652" s="74">
        <v>7.25</v>
      </c>
      <c r="R652" s="50">
        <v>19</v>
      </c>
      <c r="S652" s="74">
        <v>23</v>
      </c>
      <c r="T652" s="50">
        <v>0.14000000000000001</v>
      </c>
      <c r="U652" s="74">
        <v>0.82</v>
      </c>
      <c r="V652" s="50">
        <v>0.37</v>
      </c>
      <c r="W652" s="74">
        <v>1.0999999999999999E-2</v>
      </c>
      <c r="X652" s="50">
        <v>2.1999999999999999E-2</v>
      </c>
      <c r="Y652" s="74">
        <v>4.0000000000000001E-3</v>
      </c>
    </row>
    <row r="653" spans="1:40" ht="15" customHeight="1">
      <c r="A653" s="293" t="s">
        <v>68</v>
      </c>
      <c r="B653" s="50" t="s">
        <v>3314</v>
      </c>
      <c r="C653" s="7" t="s">
        <v>3317</v>
      </c>
      <c r="D653" s="14" t="s">
        <v>78</v>
      </c>
      <c r="E653" s="7" t="s">
        <v>3318</v>
      </c>
      <c r="F653" s="7"/>
      <c r="G653" s="15" t="s">
        <v>3319</v>
      </c>
      <c r="H653" s="7">
        <v>4953</v>
      </c>
      <c r="I653" s="19"/>
      <c r="J653" s="7" t="s">
        <v>81</v>
      </c>
      <c r="K653" s="51">
        <v>41689</v>
      </c>
      <c r="L653" s="115">
        <v>41683</v>
      </c>
      <c r="N653" s="50" t="s">
        <v>1</v>
      </c>
      <c r="O653" s="74">
        <v>7.4</v>
      </c>
      <c r="P653" s="50">
        <v>7.27</v>
      </c>
      <c r="Q653" s="74">
        <v>5.95</v>
      </c>
      <c r="R653" s="50">
        <v>770</v>
      </c>
      <c r="S653" s="74">
        <v>240</v>
      </c>
      <c r="T653" s="50">
        <v>3.1</v>
      </c>
      <c r="U653" s="74">
        <v>2.2000000000000002</v>
      </c>
      <c r="V653" s="50">
        <v>0.18</v>
      </c>
      <c r="W653" s="74">
        <v>4.8000000000000001E-2</v>
      </c>
      <c r="X653" s="50">
        <v>0.12</v>
      </c>
      <c r="Y653" s="74">
        <v>2.3E-2</v>
      </c>
    </row>
    <row r="654" spans="1:40" ht="15" customHeight="1">
      <c r="A654" s="293" t="s">
        <v>68</v>
      </c>
      <c r="B654" s="50" t="s">
        <v>3314</v>
      </c>
      <c r="C654" s="7" t="s">
        <v>3317</v>
      </c>
      <c r="D654" s="14" t="s">
        <v>78</v>
      </c>
      <c r="E654" s="7" t="s">
        <v>3318</v>
      </c>
      <c r="F654" s="7"/>
      <c r="G654" s="15" t="s">
        <v>3319</v>
      </c>
      <c r="H654" s="7">
        <v>4953</v>
      </c>
      <c r="I654" s="19"/>
      <c r="J654" s="7" t="s">
        <v>115</v>
      </c>
      <c r="K654" s="51">
        <v>41689</v>
      </c>
      <c r="L654" s="115">
        <v>41683</v>
      </c>
      <c r="N654" s="50" t="s">
        <v>1</v>
      </c>
      <c r="O654" s="74">
        <v>5.6</v>
      </c>
      <c r="P654" s="50">
        <v>5.95</v>
      </c>
      <c r="Q654" s="74">
        <v>6.99</v>
      </c>
      <c r="R654" s="50">
        <v>460</v>
      </c>
      <c r="S654" s="74">
        <v>360</v>
      </c>
      <c r="T654" s="50">
        <v>0.81</v>
      </c>
      <c r="U654" s="74">
        <v>1.9</v>
      </c>
      <c r="V654" s="50">
        <v>0.68</v>
      </c>
      <c r="W654" s="74">
        <v>6.7000000000000004E-2</v>
      </c>
      <c r="X654" s="50">
        <v>0.21</v>
      </c>
      <c r="Y654" s="74">
        <v>3.6999999999999998E-2</v>
      </c>
    </row>
    <row r="655" spans="1:40" ht="15" customHeight="1">
      <c r="A655" s="293" t="s">
        <v>68</v>
      </c>
      <c r="B655" s="50" t="s">
        <v>5504</v>
      </c>
      <c r="C655" s="7" t="s">
        <v>5505</v>
      </c>
      <c r="D655" s="14" t="s">
        <v>3953</v>
      </c>
      <c r="E655" s="7" t="s">
        <v>5506</v>
      </c>
      <c r="F655" s="7"/>
      <c r="G655" s="15" t="s">
        <v>3925</v>
      </c>
      <c r="H655" s="7">
        <v>4953</v>
      </c>
      <c r="I655" s="19" t="s">
        <v>2</v>
      </c>
      <c r="J655" s="7" t="s">
        <v>5507</v>
      </c>
      <c r="K655" s="51">
        <v>41631</v>
      </c>
      <c r="L655" s="115">
        <v>41625</v>
      </c>
      <c r="N655" s="50" t="s">
        <v>2</v>
      </c>
      <c r="O655" s="74">
        <f>1/2</f>
        <v>0.5</v>
      </c>
      <c r="P655" s="50">
        <v>7</v>
      </c>
      <c r="Q655" s="74">
        <v>7</v>
      </c>
      <c r="R655" s="50">
        <v>98.4</v>
      </c>
      <c r="S655" s="74">
        <v>350</v>
      </c>
      <c r="T655" s="50">
        <v>0.25</v>
      </c>
      <c r="U655" s="74">
        <v>0.6</v>
      </c>
      <c r="V655" s="50">
        <v>0.33</v>
      </c>
      <c r="W655" s="74">
        <v>5.8999999999999997E-2</v>
      </c>
      <c r="X655" s="50">
        <v>0.25900000000000001</v>
      </c>
      <c r="Y655" s="74">
        <v>0.109</v>
      </c>
      <c r="Z655" s="164">
        <v>1</v>
      </c>
      <c r="AA655" s="165">
        <v>1</v>
      </c>
      <c r="AB655" s="50">
        <v>37.56</v>
      </c>
      <c r="AC655" s="74">
        <v>51</v>
      </c>
      <c r="AD655" s="164">
        <v>0.9</v>
      </c>
    </row>
    <row r="656" spans="1:40" ht="15" customHeight="1">
      <c r="A656" s="293" t="s">
        <v>68</v>
      </c>
      <c r="B656" s="50" t="s">
        <v>5504</v>
      </c>
      <c r="C656" s="7" t="s">
        <v>5505</v>
      </c>
      <c r="D656" s="14" t="s">
        <v>3953</v>
      </c>
      <c r="E656" s="7" t="s">
        <v>5506</v>
      </c>
      <c r="F656" s="7"/>
      <c r="G656" s="15" t="s">
        <v>3925</v>
      </c>
      <c r="H656" s="7">
        <v>4953</v>
      </c>
      <c r="I656" s="19" t="s">
        <v>2</v>
      </c>
      <c r="J656" s="7" t="s">
        <v>5507</v>
      </c>
      <c r="K656" s="51">
        <v>41499</v>
      </c>
      <c r="L656" s="115">
        <v>41495</v>
      </c>
      <c r="N656" s="50" t="s">
        <v>2</v>
      </c>
      <c r="O656" s="74">
        <f>1/2</f>
        <v>0.5</v>
      </c>
      <c r="P656" s="50">
        <v>6.4</v>
      </c>
      <c r="Q656" s="74">
        <v>6.2</v>
      </c>
      <c r="R656" s="50">
        <v>148.6</v>
      </c>
      <c r="S656" s="74">
        <v>30</v>
      </c>
      <c r="T656" s="50">
        <v>0.28999999999999998</v>
      </c>
      <c r="U656" s="74">
        <v>1.8</v>
      </c>
      <c r="V656" s="50">
        <v>0.86</v>
      </c>
      <c r="W656" s="74">
        <v>0.06</v>
      </c>
      <c r="X656" s="50">
        <v>0.14899999999999999</v>
      </c>
      <c r="Y656" s="74">
        <v>8.9999999999999993E-3</v>
      </c>
      <c r="AB656" s="50">
        <v>45.94</v>
      </c>
    </row>
    <row r="657" spans="1:47" ht="15" customHeight="1">
      <c r="A657" s="293" t="s">
        <v>68</v>
      </c>
      <c r="B657" s="50" t="s">
        <v>4121</v>
      </c>
      <c r="C657" s="7" t="s">
        <v>4121</v>
      </c>
      <c r="D657" s="14" t="s">
        <v>262</v>
      </c>
      <c r="E657" s="7" t="s">
        <v>4122</v>
      </c>
      <c r="F657" s="7"/>
      <c r="G657" s="15" t="s">
        <v>3327</v>
      </c>
      <c r="H657" s="7">
        <v>4953</v>
      </c>
      <c r="I657" s="19" t="s">
        <v>2</v>
      </c>
      <c r="J657" s="7" t="s">
        <v>4123</v>
      </c>
      <c r="K657" s="51">
        <v>41729</v>
      </c>
      <c r="L657" s="115">
        <v>41727</v>
      </c>
      <c r="N657" s="50" t="s">
        <v>2</v>
      </c>
      <c r="O657" s="74">
        <v>2.2000000000000002</v>
      </c>
      <c r="P657" s="50">
        <v>6.84</v>
      </c>
      <c r="Q657" s="74">
        <v>7.1</v>
      </c>
      <c r="R657" s="50">
        <f>10/2</f>
        <v>5</v>
      </c>
      <c r="S657" s="74">
        <v>14</v>
      </c>
      <c r="T657" s="50">
        <v>0.14000000000000001</v>
      </c>
      <c r="U657" s="74">
        <v>0.49</v>
      </c>
      <c r="V657" s="50">
        <f>0.1/2</f>
        <v>0.05</v>
      </c>
      <c r="W657" s="74">
        <v>2.9000000000000001E-2</v>
      </c>
      <c r="X657" s="50">
        <v>9.1999999999999998E-2</v>
      </c>
      <c r="Y657" s="74">
        <f>0.03/2</f>
        <v>1.4999999999999999E-2</v>
      </c>
      <c r="Z657" s="164">
        <v>1</v>
      </c>
      <c r="AA657" s="165">
        <v>1</v>
      </c>
      <c r="AB657" s="50">
        <v>13</v>
      </c>
      <c r="AC657" s="74">
        <v>50</v>
      </c>
      <c r="AD657" s="164">
        <v>1</v>
      </c>
    </row>
    <row r="658" spans="1:47" ht="15" customHeight="1">
      <c r="A658" s="293" t="s">
        <v>68</v>
      </c>
      <c r="B658" s="50" t="s">
        <v>2774</v>
      </c>
      <c r="C658" s="7" t="s">
        <v>5508</v>
      </c>
      <c r="D658" s="14" t="s">
        <v>2775</v>
      </c>
      <c r="E658" s="7"/>
      <c r="F658" s="7" t="s">
        <v>3486</v>
      </c>
      <c r="G658" s="15" t="s">
        <v>3487</v>
      </c>
      <c r="H658" s="7">
        <v>4953</v>
      </c>
      <c r="I658" s="19" t="s">
        <v>2</v>
      </c>
      <c r="J658" s="7" t="s">
        <v>510</v>
      </c>
      <c r="K658" s="51">
        <v>41653</v>
      </c>
      <c r="L658" s="115">
        <v>41650</v>
      </c>
      <c r="N658" s="50" t="s">
        <v>1</v>
      </c>
      <c r="O658" s="74">
        <f>1.4/2</f>
        <v>0.7</v>
      </c>
      <c r="P658" s="50">
        <v>6.5</v>
      </c>
      <c r="Q658" s="74">
        <v>6.86</v>
      </c>
      <c r="R658" s="50">
        <v>32</v>
      </c>
      <c r="S658" s="74">
        <v>40</v>
      </c>
      <c r="T658" s="50">
        <v>0.38</v>
      </c>
      <c r="U658" s="74">
        <v>2.38</v>
      </c>
      <c r="V658" s="50">
        <v>0.02</v>
      </c>
      <c r="W658" s="74">
        <f>0.005/2</f>
        <v>2.5000000000000001E-3</v>
      </c>
      <c r="X658" s="50">
        <v>1.9E-2</v>
      </c>
      <c r="Y658" s="74">
        <v>2E-3</v>
      </c>
    </row>
    <row r="659" spans="1:47" ht="15" customHeight="1">
      <c r="A659" s="293" t="s">
        <v>68</v>
      </c>
      <c r="B659" s="50" t="s">
        <v>5495</v>
      </c>
      <c r="C659" s="7" t="s">
        <v>3524</v>
      </c>
      <c r="D659" s="14" t="s">
        <v>84</v>
      </c>
      <c r="E659" s="7"/>
      <c r="F659" s="7" t="s">
        <v>3525</v>
      </c>
      <c r="G659" s="15" t="s">
        <v>3526</v>
      </c>
      <c r="H659" s="7">
        <v>4212</v>
      </c>
      <c r="I659" s="19" t="s">
        <v>2</v>
      </c>
      <c r="J659" s="7" t="s">
        <v>366</v>
      </c>
      <c r="K659" s="51">
        <v>41631</v>
      </c>
      <c r="L659" s="115">
        <v>41625</v>
      </c>
      <c r="N659" s="50" t="s">
        <v>2</v>
      </c>
      <c r="O659" s="74">
        <v>6.7</v>
      </c>
      <c r="P659" s="50">
        <v>6.5</v>
      </c>
      <c r="Q659" s="74">
        <v>7.39</v>
      </c>
      <c r="R659" s="50">
        <v>210</v>
      </c>
      <c r="S659" s="74">
        <v>480</v>
      </c>
      <c r="T659" s="50">
        <v>0.8</v>
      </c>
      <c r="U659" s="74">
        <v>2.48</v>
      </c>
      <c r="V659" s="50">
        <v>0.04</v>
      </c>
      <c r="W659" s="74">
        <v>5.8999999999999997E-2</v>
      </c>
      <c r="X659" s="50">
        <v>0.25</v>
      </c>
      <c r="Y659" s="74">
        <v>0.04</v>
      </c>
    </row>
    <row r="660" spans="1:47" ht="15" customHeight="1">
      <c r="A660" s="293" t="s">
        <v>68</v>
      </c>
      <c r="B660" s="50" t="s">
        <v>5509</v>
      </c>
      <c r="C660" s="7" t="s">
        <v>4818</v>
      </c>
      <c r="D660" s="14" t="s">
        <v>350</v>
      </c>
      <c r="E660" s="7" t="s">
        <v>5510</v>
      </c>
      <c r="F660" s="7"/>
      <c r="G660" s="15" t="s">
        <v>1502</v>
      </c>
      <c r="H660" s="7">
        <v>5093</v>
      </c>
      <c r="I660" s="19" t="s">
        <v>2</v>
      </c>
      <c r="J660" s="7" t="s">
        <v>1503</v>
      </c>
      <c r="K660" s="51">
        <v>41710</v>
      </c>
      <c r="L660" s="115">
        <v>41691</v>
      </c>
      <c r="N660" s="50" t="s">
        <v>1</v>
      </c>
      <c r="V660" s="50">
        <v>0.8</v>
      </c>
      <c r="AE660" s="50">
        <v>1.04</v>
      </c>
      <c r="AT660" s="50">
        <f>5/2</f>
        <v>2.5</v>
      </c>
      <c r="AU660" s="50">
        <f>0.5/2</f>
        <v>0.25</v>
      </c>
    </row>
    <row r="661" spans="1:47" ht="15" customHeight="1">
      <c r="A661" s="293" t="s">
        <v>68</v>
      </c>
      <c r="B661" s="50" t="s">
        <v>3314</v>
      </c>
      <c r="C661" s="7" t="s">
        <v>3315</v>
      </c>
      <c r="D661" s="14" t="s">
        <v>78</v>
      </c>
      <c r="E661" s="7" t="s">
        <v>3312</v>
      </c>
      <c r="F661" s="7"/>
      <c r="G661" s="15" t="s">
        <v>3313</v>
      </c>
      <c r="H661" s="7">
        <v>4953</v>
      </c>
      <c r="I661" s="19" t="s">
        <v>1</v>
      </c>
      <c r="J661" s="7" t="s">
        <v>510</v>
      </c>
      <c r="K661" s="51">
        <v>41170</v>
      </c>
      <c r="L661" s="115">
        <v>41160</v>
      </c>
      <c r="N661" s="50" t="s">
        <v>2</v>
      </c>
      <c r="O661" s="74">
        <f>5/2</f>
        <v>2.5</v>
      </c>
      <c r="P661" s="50">
        <v>5</v>
      </c>
      <c r="Q661" s="74">
        <v>8</v>
      </c>
      <c r="R661" s="50">
        <v>37</v>
      </c>
      <c r="S661" s="74">
        <v>940</v>
      </c>
      <c r="T661" s="50">
        <v>0.74</v>
      </c>
      <c r="U661" s="74">
        <v>4.2</v>
      </c>
      <c r="V661" s="50">
        <v>0.24</v>
      </c>
      <c r="W661" s="74">
        <v>0.09</v>
      </c>
      <c r="X661" s="50">
        <v>0.14000000000000001</v>
      </c>
      <c r="Y661" s="74">
        <v>0.11</v>
      </c>
      <c r="AE661" s="50">
        <v>21</v>
      </c>
      <c r="AG661" s="50">
        <v>940</v>
      </c>
      <c r="AM661" s="50">
        <v>0.14000000000000001</v>
      </c>
      <c r="AN661" s="114">
        <v>8</v>
      </c>
    </row>
    <row r="662" spans="1:47" ht="15" customHeight="1">
      <c r="A662" s="293" t="s">
        <v>68</v>
      </c>
      <c r="B662" s="50" t="s">
        <v>1381</v>
      </c>
      <c r="C662" s="7" t="s">
        <v>1482</v>
      </c>
      <c r="D662" s="14" t="s">
        <v>200</v>
      </c>
      <c r="E662" s="7" t="s">
        <v>214</v>
      </c>
      <c r="F662" s="7"/>
      <c r="G662" s="15" t="s">
        <v>1480</v>
      </c>
      <c r="H662" s="7">
        <v>4953</v>
      </c>
      <c r="I662" s="19" t="s">
        <v>1</v>
      </c>
      <c r="J662" s="7" t="s">
        <v>1481</v>
      </c>
      <c r="K662" s="51">
        <v>41717</v>
      </c>
      <c r="L662" s="115">
        <v>41710</v>
      </c>
      <c r="N662" s="50" t="s">
        <v>1</v>
      </c>
      <c r="R662" s="50">
        <v>34</v>
      </c>
      <c r="U662" s="74">
        <v>1.49</v>
      </c>
      <c r="AE662" s="50">
        <v>0.66400000000000003</v>
      </c>
    </row>
    <row r="663" spans="1:47" ht="15" customHeight="1">
      <c r="A663" s="293" t="s">
        <v>68</v>
      </c>
      <c r="B663" s="50" t="s">
        <v>1381</v>
      </c>
      <c r="C663" s="7" t="s">
        <v>1482</v>
      </c>
      <c r="D663" s="14" t="s">
        <v>200</v>
      </c>
      <c r="E663" s="7" t="s">
        <v>214</v>
      </c>
      <c r="F663" s="7"/>
      <c r="G663" s="15" t="s">
        <v>1480</v>
      </c>
      <c r="H663" s="7">
        <v>9199</v>
      </c>
      <c r="I663" s="19" t="s">
        <v>1</v>
      </c>
      <c r="J663" s="7" t="s">
        <v>1483</v>
      </c>
      <c r="K663" s="51">
        <v>41717</v>
      </c>
      <c r="L663" s="115">
        <v>41710</v>
      </c>
      <c r="N663" s="50" t="s">
        <v>1</v>
      </c>
      <c r="R663" s="50">
        <v>36</v>
      </c>
      <c r="S663" s="74">
        <v>26</v>
      </c>
      <c r="T663" s="50">
        <v>0.16</v>
      </c>
      <c r="U663" s="74">
        <v>1.34</v>
      </c>
      <c r="V663" s="50">
        <v>0.78</v>
      </c>
    </row>
    <row r="664" spans="1:47" ht="15" customHeight="1">
      <c r="A664" s="293" t="s">
        <v>68</v>
      </c>
      <c r="B664" s="50" t="s">
        <v>5511</v>
      </c>
      <c r="C664" s="7" t="s">
        <v>5512</v>
      </c>
      <c r="D664" s="14" t="s">
        <v>1896</v>
      </c>
      <c r="E664" s="7" t="s">
        <v>467</v>
      </c>
      <c r="F664" s="7" t="s">
        <v>3631</v>
      </c>
      <c r="G664" s="15" t="s">
        <v>4134</v>
      </c>
      <c r="H664" s="7">
        <v>4953</v>
      </c>
      <c r="I664" s="19" t="s">
        <v>2</v>
      </c>
      <c r="J664" s="7" t="s">
        <v>5513</v>
      </c>
      <c r="K664" s="51">
        <v>41345</v>
      </c>
      <c r="L664" s="115">
        <v>41341</v>
      </c>
      <c r="N664" s="50" t="s">
        <v>2</v>
      </c>
      <c r="O664" s="74">
        <f>5/2</f>
        <v>2.5</v>
      </c>
      <c r="P664" s="50">
        <v>8.5500000000000007</v>
      </c>
      <c r="Q664" s="74">
        <v>8.1300000000000008</v>
      </c>
      <c r="R664" s="50">
        <v>39</v>
      </c>
      <c r="S664" s="74">
        <v>61</v>
      </c>
      <c r="T664" s="50">
        <f>0.1/2</f>
        <v>0.05</v>
      </c>
      <c r="U664" s="74">
        <f t="shared" ref="U664:U669" si="34">1/2</f>
        <v>0.5</v>
      </c>
      <c r="V664" s="50">
        <v>0.11</v>
      </c>
      <c r="W664" s="74">
        <f t="shared" ref="W664:W669" si="35">0.04/2</f>
        <v>0.02</v>
      </c>
      <c r="X664" s="50">
        <v>0.12</v>
      </c>
      <c r="Y664" s="74">
        <v>3.9E-2</v>
      </c>
      <c r="Z664" s="164">
        <v>1</v>
      </c>
      <c r="AA664" s="165">
        <v>1</v>
      </c>
      <c r="AB664" s="50">
        <v>29</v>
      </c>
      <c r="AC664" s="74">
        <v>73</v>
      </c>
      <c r="AD664" s="164">
        <v>1</v>
      </c>
    </row>
    <row r="665" spans="1:47" ht="15" customHeight="1">
      <c r="A665" s="293" t="s">
        <v>68</v>
      </c>
      <c r="B665" s="50" t="s">
        <v>5511</v>
      </c>
      <c r="C665" s="7" t="s">
        <v>5512</v>
      </c>
      <c r="D665" s="14" t="s">
        <v>1896</v>
      </c>
      <c r="E665" s="7" t="s">
        <v>467</v>
      </c>
      <c r="F665" s="7" t="s">
        <v>3631</v>
      </c>
      <c r="G665" s="15" t="s">
        <v>4134</v>
      </c>
      <c r="H665" s="7">
        <v>4953</v>
      </c>
      <c r="I665" s="19" t="s">
        <v>2</v>
      </c>
      <c r="J665" s="7" t="s">
        <v>5514</v>
      </c>
      <c r="K665" s="51">
        <v>41345</v>
      </c>
      <c r="L665" s="115">
        <v>41341</v>
      </c>
      <c r="N665" s="50" t="s">
        <v>2</v>
      </c>
      <c r="O665" s="74">
        <f>5/2</f>
        <v>2.5</v>
      </c>
      <c r="P665" s="50">
        <v>8.5500000000000007</v>
      </c>
      <c r="Q665" s="74">
        <v>8.42</v>
      </c>
      <c r="R665" s="50">
        <v>45</v>
      </c>
      <c r="S665" s="74">
        <v>41</v>
      </c>
      <c r="T665" s="50">
        <f>0.1/2</f>
        <v>0.05</v>
      </c>
      <c r="U665" s="74">
        <f t="shared" si="34"/>
        <v>0.5</v>
      </c>
      <c r="V665" s="50">
        <v>0.12</v>
      </c>
      <c r="W665" s="74">
        <f t="shared" si="35"/>
        <v>0.02</v>
      </c>
      <c r="X665" s="50">
        <v>0.12</v>
      </c>
      <c r="Y665" s="74">
        <v>3.7999999999999999E-2</v>
      </c>
      <c r="Z665" s="164">
        <v>1</v>
      </c>
      <c r="AA665" s="165">
        <v>1</v>
      </c>
      <c r="AB665" s="50">
        <v>27</v>
      </c>
      <c r="AC665" s="74">
        <v>71</v>
      </c>
      <c r="AD665" s="164">
        <v>1</v>
      </c>
    </row>
    <row r="666" spans="1:47" ht="15" customHeight="1">
      <c r="A666" s="293" t="s">
        <v>68</v>
      </c>
      <c r="B666" s="50" t="s">
        <v>5511</v>
      </c>
      <c r="C666" s="7" t="s">
        <v>5515</v>
      </c>
      <c r="D666" s="14" t="s">
        <v>1537</v>
      </c>
      <c r="E666" s="7" t="s">
        <v>467</v>
      </c>
      <c r="F666" s="7" t="s">
        <v>5501</v>
      </c>
      <c r="G666" s="15" t="s">
        <v>5516</v>
      </c>
      <c r="H666" s="7">
        <v>4953</v>
      </c>
      <c r="I666" s="19" t="s">
        <v>2</v>
      </c>
      <c r="J666" s="7" t="s">
        <v>5517</v>
      </c>
      <c r="K666" s="51">
        <v>41345</v>
      </c>
      <c r="L666" s="115">
        <v>41341</v>
      </c>
      <c r="N666" s="50" t="s">
        <v>2</v>
      </c>
      <c r="O666" s="74">
        <f>5/2</f>
        <v>2.5</v>
      </c>
      <c r="P666" s="50">
        <v>7.06</v>
      </c>
      <c r="Q666" s="74">
        <v>7.05</v>
      </c>
      <c r="R666" s="50">
        <v>47</v>
      </c>
      <c r="S666" s="74">
        <v>58</v>
      </c>
      <c r="T666" s="50">
        <f>0.1/2</f>
        <v>0.05</v>
      </c>
      <c r="U666" s="74">
        <f t="shared" si="34"/>
        <v>0.5</v>
      </c>
      <c r="V666" s="50">
        <v>0.36</v>
      </c>
      <c r="W666" s="74">
        <f t="shared" si="35"/>
        <v>0.02</v>
      </c>
      <c r="X666" s="50">
        <v>0.11</v>
      </c>
      <c r="Y666" s="74">
        <v>2.8000000000000001E-2</v>
      </c>
      <c r="Z666" s="164">
        <v>1</v>
      </c>
      <c r="AA666" s="165">
        <v>1</v>
      </c>
      <c r="AB666" s="50">
        <v>20</v>
      </c>
      <c r="AC666" s="74">
        <v>67</v>
      </c>
      <c r="AD666" s="164">
        <v>0.8</v>
      </c>
    </row>
    <row r="667" spans="1:47" ht="15" customHeight="1">
      <c r="A667" s="293" t="s">
        <v>68</v>
      </c>
      <c r="B667" s="50" t="s">
        <v>5511</v>
      </c>
      <c r="C667" s="7" t="s">
        <v>5515</v>
      </c>
      <c r="D667" s="14" t="s">
        <v>1537</v>
      </c>
      <c r="E667" s="7" t="s">
        <v>467</v>
      </c>
      <c r="F667" s="7" t="s">
        <v>5501</v>
      </c>
      <c r="G667" s="15" t="s">
        <v>5516</v>
      </c>
      <c r="H667" s="7">
        <v>4953</v>
      </c>
      <c r="I667" s="19" t="s">
        <v>2</v>
      </c>
      <c r="J667" s="7" t="s">
        <v>5518</v>
      </c>
      <c r="K667" s="51">
        <v>41345</v>
      </c>
      <c r="L667" s="115">
        <v>41341</v>
      </c>
      <c r="N667" s="50" t="s">
        <v>2</v>
      </c>
      <c r="O667" s="74">
        <f>5/2</f>
        <v>2.5</v>
      </c>
      <c r="P667" s="50">
        <v>7.06</v>
      </c>
      <c r="Q667" s="74">
        <v>7.17</v>
      </c>
      <c r="R667" s="50">
        <v>53</v>
      </c>
      <c r="S667" s="74">
        <v>54</v>
      </c>
      <c r="T667" s="50">
        <v>0.34</v>
      </c>
      <c r="U667" s="74">
        <f t="shared" si="34"/>
        <v>0.5</v>
      </c>
      <c r="V667" s="50">
        <v>0.37</v>
      </c>
      <c r="W667" s="74">
        <f t="shared" si="35"/>
        <v>0.02</v>
      </c>
      <c r="X667" s="50">
        <v>0.12</v>
      </c>
      <c r="Y667" s="74">
        <v>3.2000000000000001E-2</v>
      </c>
      <c r="Z667" s="164">
        <v>1</v>
      </c>
      <c r="AA667" s="165">
        <v>1</v>
      </c>
      <c r="AB667" s="50">
        <v>20</v>
      </c>
      <c r="AC667" s="74">
        <v>67</v>
      </c>
      <c r="AD667" s="164">
        <v>1</v>
      </c>
    </row>
    <row r="668" spans="1:47" ht="15" customHeight="1">
      <c r="A668" s="293" t="s">
        <v>68</v>
      </c>
      <c r="B668" s="50" t="s">
        <v>5511</v>
      </c>
      <c r="C668" s="7" t="s">
        <v>3359</v>
      </c>
      <c r="D668" s="14" t="s">
        <v>1540</v>
      </c>
      <c r="E668" s="7" t="s">
        <v>5519</v>
      </c>
      <c r="F668" s="7" t="s">
        <v>3361</v>
      </c>
      <c r="G668" s="15" t="s">
        <v>3362</v>
      </c>
      <c r="H668" s="7">
        <v>4953</v>
      </c>
      <c r="I668" s="19" t="s">
        <v>2</v>
      </c>
      <c r="J668" s="7" t="s">
        <v>5520</v>
      </c>
      <c r="K668" s="51">
        <v>41345</v>
      </c>
      <c r="L668" s="115">
        <v>41341</v>
      </c>
      <c r="N668" s="50" t="s">
        <v>2</v>
      </c>
      <c r="O668" s="74">
        <f>5/2</f>
        <v>2.5</v>
      </c>
      <c r="P668" s="50">
        <v>6.98</v>
      </c>
      <c r="Q668" s="74">
        <v>7.29</v>
      </c>
      <c r="R668" s="50">
        <v>41</v>
      </c>
      <c r="S668" s="74">
        <v>53</v>
      </c>
      <c r="T668" s="50">
        <f>0.1/2</f>
        <v>0.05</v>
      </c>
      <c r="U668" s="74">
        <f t="shared" si="34"/>
        <v>0.5</v>
      </c>
      <c r="V668" s="50">
        <f>0.1/2</f>
        <v>0.05</v>
      </c>
      <c r="W668" s="74">
        <f t="shared" si="35"/>
        <v>0.02</v>
      </c>
      <c r="X668" s="50">
        <v>7.5999999999999998E-2</v>
      </c>
      <c r="Y668" s="74">
        <f>0.013/2</f>
        <v>6.4999999999999997E-3</v>
      </c>
      <c r="Z668" s="164">
        <v>1</v>
      </c>
      <c r="AA668" s="165">
        <v>1</v>
      </c>
      <c r="AB668" s="50">
        <v>7.1</v>
      </c>
      <c r="AC668" s="74">
        <v>44</v>
      </c>
      <c r="AD668" s="164">
        <v>1</v>
      </c>
    </row>
    <row r="669" spans="1:47" ht="15" customHeight="1">
      <c r="A669" s="293" t="s">
        <v>68</v>
      </c>
      <c r="B669" s="50" t="s">
        <v>5521</v>
      </c>
      <c r="C669" s="7" t="s">
        <v>3359</v>
      </c>
      <c r="D669" s="14" t="s">
        <v>1540</v>
      </c>
      <c r="E669" s="7" t="s">
        <v>5519</v>
      </c>
      <c r="F669" s="7" t="s">
        <v>3361</v>
      </c>
      <c r="G669" s="15" t="s">
        <v>3362</v>
      </c>
      <c r="H669" s="7">
        <v>4953</v>
      </c>
      <c r="I669" s="19" t="s">
        <v>2</v>
      </c>
      <c r="J669" s="7" t="s">
        <v>5522</v>
      </c>
      <c r="K669" s="51">
        <v>41345</v>
      </c>
      <c r="L669" s="115">
        <v>41341</v>
      </c>
      <c r="N669" s="50" t="s">
        <v>2</v>
      </c>
      <c r="O669" s="74">
        <v>6.3</v>
      </c>
      <c r="P669" s="50">
        <v>6.98</v>
      </c>
      <c r="Q669" s="74">
        <v>7.06</v>
      </c>
      <c r="R669" s="50">
        <v>64</v>
      </c>
      <c r="S669" s="74">
        <v>100</v>
      </c>
      <c r="T669" s="50">
        <v>0.11</v>
      </c>
      <c r="U669" s="74">
        <f t="shared" si="34"/>
        <v>0.5</v>
      </c>
      <c r="V669" s="50">
        <f>0.1/2</f>
        <v>0.05</v>
      </c>
      <c r="W669" s="74">
        <f t="shared" si="35"/>
        <v>0.02</v>
      </c>
      <c r="X669" s="50">
        <v>0.15</v>
      </c>
      <c r="Y669" s="74">
        <v>2.1000000000000001E-2</v>
      </c>
      <c r="Z669" s="164">
        <v>1</v>
      </c>
      <c r="AA669" s="165">
        <v>1</v>
      </c>
      <c r="AB669" s="50">
        <v>12</v>
      </c>
      <c r="AC669" s="74">
        <v>49</v>
      </c>
      <c r="AD669" s="164">
        <v>1</v>
      </c>
    </row>
    <row r="670" spans="1:47" ht="15" customHeight="1">
      <c r="A670" s="293" t="s">
        <v>68</v>
      </c>
      <c r="B670" s="50" t="s">
        <v>5523</v>
      </c>
      <c r="C670" s="7" t="s">
        <v>475</v>
      </c>
      <c r="D670" s="14" t="s">
        <v>4742</v>
      </c>
      <c r="E670" s="7" t="s">
        <v>5524</v>
      </c>
      <c r="F670" s="7"/>
      <c r="G670" s="15" t="s">
        <v>5525</v>
      </c>
      <c r="H670" s="7">
        <v>4953</v>
      </c>
      <c r="I670" s="19" t="s">
        <v>2</v>
      </c>
      <c r="J670" s="7" t="s">
        <v>5606</v>
      </c>
      <c r="K670" s="51">
        <v>41578</v>
      </c>
      <c r="L670" s="115">
        <v>41539</v>
      </c>
      <c r="N670" s="50" t="s">
        <v>2</v>
      </c>
      <c r="O670" s="74">
        <v>1.6</v>
      </c>
      <c r="P670" s="50">
        <v>5.5</v>
      </c>
      <c r="Q670" s="74">
        <v>7.2</v>
      </c>
      <c r="R670" s="50">
        <v>81</v>
      </c>
      <c r="S670" s="74">
        <v>23</v>
      </c>
      <c r="T670" s="50">
        <v>0.19</v>
      </c>
      <c r="U670" s="74">
        <v>2.88</v>
      </c>
      <c r="V670" s="50">
        <v>0.59</v>
      </c>
      <c r="W670" s="74">
        <v>2.1000000000000001E-2</v>
      </c>
      <c r="X670" s="50">
        <v>4.7E-2</v>
      </c>
      <c r="Y670" s="74">
        <v>6.0000000000000001E-3</v>
      </c>
    </row>
    <row r="671" spans="1:47" ht="15" customHeight="1">
      <c r="A671" s="293" t="s">
        <v>68</v>
      </c>
      <c r="B671" s="50" t="s">
        <v>2920</v>
      </c>
      <c r="C671" s="7" t="s">
        <v>392</v>
      </c>
      <c r="D671" s="14" t="s">
        <v>2921</v>
      </c>
      <c r="E671" s="7" t="s">
        <v>3005</v>
      </c>
      <c r="F671" s="7"/>
      <c r="G671" s="15" t="s">
        <v>3006</v>
      </c>
      <c r="H671" s="7">
        <v>4953</v>
      </c>
      <c r="I671" s="19" t="s">
        <v>2</v>
      </c>
      <c r="J671" s="7" t="s">
        <v>272</v>
      </c>
      <c r="K671" s="51">
        <v>41539</v>
      </c>
      <c r="L671" s="115">
        <v>41530</v>
      </c>
      <c r="N671" s="50" t="s">
        <v>2</v>
      </c>
      <c r="O671" s="74">
        <f>1/2</f>
        <v>0.5</v>
      </c>
      <c r="P671" s="50">
        <v>6.31</v>
      </c>
      <c r="Q671" s="74">
        <v>6.79</v>
      </c>
      <c r="R671" s="50">
        <v>7.5</v>
      </c>
      <c r="S671" s="74">
        <v>12</v>
      </c>
      <c r="T671" s="50">
        <v>0.21</v>
      </c>
      <c r="U671" s="74">
        <v>1.1200000000000001</v>
      </c>
      <c r="V671" s="50">
        <v>0.13</v>
      </c>
      <c r="W671" s="74">
        <v>1.0999999999999999E-2</v>
      </c>
      <c r="X671" s="50">
        <v>2.1999999999999999E-2</v>
      </c>
      <c r="Y671" s="74">
        <v>2E-3</v>
      </c>
      <c r="Z671" s="164">
        <v>1</v>
      </c>
      <c r="AA671" s="165">
        <v>1</v>
      </c>
      <c r="AB671" s="50">
        <v>14.1</v>
      </c>
      <c r="AC671" s="74">
        <v>78</v>
      </c>
      <c r="AD671" s="164">
        <v>1</v>
      </c>
      <c r="AE671" s="50">
        <v>0.28000000000000003</v>
      </c>
      <c r="AF671" s="50">
        <v>2.5</v>
      </c>
      <c r="AG671" s="50">
        <v>12</v>
      </c>
      <c r="AH671" s="50">
        <v>0.25</v>
      </c>
      <c r="AI671" s="50">
        <f>0.01/2</f>
        <v>5.0000000000000001E-3</v>
      </c>
      <c r="AJ671" s="50">
        <f>0.005/2</f>
        <v>2.5000000000000001E-3</v>
      </c>
      <c r="AK671" s="50">
        <f>0.005/2</f>
        <v>2.5000000000000001E-3</v>
      </c>
      <c r="AL671" s="50">
        <f>0.005/2</f>
        <v>2.5000000000000001E-3</v>
      </c>
      <c r="AM671" s="50">
        <v>2.1999999999999999E-2</v>
      </c>
      <c r="AN671" s="114">
        <v>6.79</v>
      </c>
    </row>
    <row r="672" spans="1:47" ht="15" customHeight="1">
      <c r="A672" s="88" t="s">
        <v>68</v>
      </c>
      <c r="B672" s="50" t="s">
        <v>1485</v>
      </c>
      <c r="C672" s="7" t="s">
        <v>1485</v>
      </c>
      <c r="D672" s="14" t="s">
        <v>480</v>
      </c>
      <c r="E672" s="7" t="s">
        <v>1486</v>
      </c>
      <c r="F672" s="7"/>
      <c r="G672" s="15" t="s">
        <v>1487</v>
      </c>
      <c r="H672" s="7">
        <v>4212</v>
      </c>
      <c r="I672" s="19" t="s">
        <v>1</v>
      </c>
      <c r="J672" s="7" t="s">
        <v>81</v>
      </c>
      <c r="K672" s="51">
        <v>41487</v>
      </c>
      <c r="L672" s="115">
        <v>41481</v>
      </c>
      <c r="N672" s="50" t="s">
        <v>2</v>
      </c>
      <c r="O672" s="74">
        <v>7.3</v>
      </c>
      <c r="P672" s="50">
        <v>5</v>
      </c>
      <c r="Q672" s="74">
        <v>6.1</v>
      </c>
      <c r="R672" s="50">
        <v>750</v>
      </c>
      <c r="S672" s="74">
        <v>151</v>
      </c>
      <c r="T672" s="50">
        <v>0.38</v>
      </c>
      <c r="U672" s="74">
        <v>27.2</v>
      </c>
      <c r="V672" s="50">
        <v>6.62</v>
      </c>
      <c r="W672" s="74">
        <v>0.157</v>
      </c>
      <c r="X672" s="50">
        <v>1.1599999999999999</v>
      </c>
      <c r="Y672" s="74">
        <v>1.4999999999999999E-2</v>
      </c>
    </row>
    <row r="673" spans="1:49" ht="15" customHeight="1">
      <c r="A673" s="293" t="s">
        <v>68</v>
      </c>
      <c r="B673" s="50" t="s">
        <v>4681</v>
      </c>
      <c r="C673" s="7" t="s">
        <v>4681</v>
      </c>
      <c r="D673" s="14" t="s">
        <v>4682</v>
      </c>
      <c r="E673" s="7"/>
      <c r="F673" s="7"/>
      <c r="G673" s="15" t="s">
        <v>4564</v>
      </c>
      <c r="H673" s="7"/>
      <c r="I673" s="19"/>
      <c r="J673" s="7" t="s">
        <v>5526</v>
      </c>
      <c r="K673" s="51">
        <v>41645</v>
      </c>
      <c r="L673" s="115"/>
      <c r="N673" s="50" t="s">
        <v>2</v>
      </c>
      <c r="O673" s="74">
        <v>2.2999999999999998</v>
      </c>
      <c r="P673" s="50">
        <v>6</v>
      </c>
      <c r="Q673" s="74">
        <v>3.2</v>
      </c>
      <c r="R673" s="50">
        <v>29</v>
      </c>
      <c r="S673" s="74">
        <v>55</v>
      </c>
      <c r="T673" s="50">
        <v>0.36</v>
      </c>
      <c r="U673" s="74">
        <v>0.75</v>
      </c>
      <c r="V673" s="50">
        <v>9.6999999999999993</v>
      </c>
      <c r="W673" s="74">
        <v>1.4E-2</v>
      </c>
      <c r="X673" s="50">
        <v>5.0999999999999997E-2</v>
      </c>
      <c r="Y673" s="74">
        <v>8.3999999999999995E-3</v>
      </c>
      <c r="Z673" s="164">
        <v>0.63700000000000001</v>
      </c>
      <c r="AA673" s="165">
        <v>0.55500000000000005</v>
      </c>
      <c r="AB673" s="50">
        <v>4</v>
      </c>
      <c r="AC673" s="74">
        <v>602</v>
      </c>
      <c r="AD673" s="164">
        <v>0</v>
      </c>
    </row>
    <row r="674" spans="1:49" ht="15" customHeight="1">
      <c r="A674" s="88" t="s">
        <v>68</v>
      </c>
      <c r="B674" s="50" t="s">
        <v>2794</v>
      </c>
      <c r="C674" s="7" t="s">
        <v>5527</v>
      </c>
      <c r="D674" s="14" t="s">
        <v>397</v>
      </c>
      <c r="E674" s="7" t="s">
        <v>3401</v>
      </c>
      <c r="F674" s="7"/>
      <c r="G674" s="15" t="s">
        <v>3402</v>
      </c>
      <c r="H674" s="7">
        <v>4653</v>
      </c>
      <c r="I674" s="19" t="s">
        <v>2</v>
      </c>
      <c r="J674" s="7" t="s">
        <v>5528</v>
      </c>
      <c r="K674" s="51">
        <v>41345</v>
      </c>
      <c r="L674" s="115">
        <v>41332</v>
      </c>
      <c r="N674" s="50" t="s">
        <v>2</v>
      </c>
      <c r="O674" s="74">
        <f>5/2</f>
        <v>2.5</v>
      </c>
      <c r="P674" s="50">
        <v>5</v>
      </c>
      <c r="Q674" s="74">
        <v>7.2</v>
      </c>
      <c r="R674" s="50">
        <v>290</v>
      </c>
      <c r="S674" s="74">
        <v>150</v>
      </c>
      <c r="T674" s="50">
        <v>0.38</v>
      </c>
      <c r="U674" s="74">
        <v>3.9</v>
      </c>
      <c r="V674" s="50">
        <v>0.12</v>
      </c>
      <c r="W674" s="74">
        <v>8.5000000000000006E-2</v>
      </c>
      <c r="X674" s="50">
        <v>0.2</v>
      </c>
      <c r="Y674" s="74">
        <v>0.04</v>
      </c>
      <c r="Z674" s="164">
        <v>1</v>
      </c>
      <c r="AA674" s="165">
        <v>1</v>
      </c>
      <c r="AB674" s="50">
        <v>100</v>
      </c>
      <c r="AC674" s="74">
        <v>2349</v>
      </c>
      <c r="AD674" s="164">
        <v>1</v>
      </c>
      <c r="AE674" s="50">
        <v>37</v>
      </c>
      <c r="AF674" s="50">
        <f>30/2</f>
        <v>15</v>
      </c>
      <c r="AG674" s="50">
        <v>150</v>
      </c>
      <c r="AH674" s="50">
        <v>0.48</v>
      </c>
      <c r="AI674" s="50">
        <v>5.0000000000000001E-3</v>
      </c>
      <c r="AJ674" s="50">
        <v>2.5000000000000001E-2</v>
      </c>
      <c r="AK674" s="50">
        <v>0.01</v>
      </c>
      <c r="AL674" s="50">
        <v>5.0000000000000001E-3</v>
      </c>
      <c r="AM674" s="50">
        <v>0.02</v>
      </c>
      <c r="AN674" s="114">
        <v>7.2</v>
      </c>
    </row>
    <row r="675" spans="1:49" ht="15" customHeight="1">
      <c r="A675" s="88" t="s">
        <v>68</v>
      </c>
      <c r="B675" s="50" t="s">
        <v>2794</v>
      </c>
      <c r="C675" s="7" t="s">
        <v>5527</v>
      </c>
      <c r="D675" s="14" t="s">
        <v>397</v>
      </c>
      <c r="E675" s="7" t="s">
        <v>3401</v>
      </c>
      <c r="F675" s="7"/>
      <c r="G675" s="15" t="s">
        <v>3402</v>
      </c>
      <c r="H675" s="7">
        <v>4653</v>
      </c>
      <c r="I675" s="19" t="s">
        <v>2</v>
      </c>
      <c r="J675" s="7" t="s">
        <v>5529</v>
      </c>
      <c r="K675" s="51">
        <v>41345</v>
      </c>
      <c r="L675" s="115">
        <v>41332</v>
      </c>
      <c r="N675" s="50" t="s">
        <v>2</v>
      </c>
      <c r="O675" s="74">
        <v>1.6</v>
      </c>
      <c r="P675" s="50">
        <v>5</v>
      </c>
      <c r="Q675" s="74">
        <v>7.2</v>
      </c>
      <c r="R675" s="50">
        <v>640</v>
      </c>
      <c r="S675" s="74">
        <v>830</v>
      </c>
      <c r="T675" s="50">
        <v>1.6</v>
      </c>
      <c r="U675" s="74">
        <v>3.9</v>
      </c>
      <c r="V675" s="50">
        <v>0.35</v>
      </c>
      <c r="W675" s="74">
        <v>0.04</v>
      </c>
      <c r="X675" s="50">
        <v>0.14000000000000001</v>
      </c>
      <c r="Y675" s="74">
        <v>0.03</v>
      </c>
      <c r="Z675" s="164">
        <v>1</v>
      </c>
      <c r="AA675" s="165">
        <v>1</v>
      </c>
      <c r="AB675" s="50">
        <v>96</v>
      </c>
      <c r="AC675" s="74">
        <v>2306</v>
      </c>
      <c r="AD675" s="164">
        <v>1</v>
      </c>
      <c r="AE675" s="50">
        <v>7</v>
      </c>
      <c r="AF675" s="50">
        <f>100/2</f>
        <v>50</v>
      </c>
      <c r="AG675" s="50">
        <v>830</v>
      </c>
      <c r="AH675" s="50">
        <v>0.41</v>
      </c>
      <c r="AI675" s="50">
        <v>5.0000000000000001E-3</v>
      </c>
      <c r="AJ675" s="50">
        <v>2.5000000000000001E-2</v>
      </c>
      <c r="AK675" s="50">
        <v>0.01</v>
      </c>
      <c r="AL675" s="50">
        <v>5.0000000000000001E-3</v>
      </c>
      <c r="AM675" s="50">
        <v>0.14000000000000001</v>
      </c>
      <c r="AN675" s="114">
        <v>7.2</v>
      </c>
    </row>
    <row r="676" spans="1:49" ht="15" customHeight="1">
      <c r="A676" s="293" t="s">
        <v>68</v>
      </c>
      <c r="B676" s="50" t="s">
        <v>2794</v>
      </c>
      <c r="C676" s="7" t="s">
        <v>5527</v>
      </c>
      <c r="D676" s="14" t="s">
        <v>397</v>
      </c>
      <c r="E676" s="7" t="s">
        <v>3401</v>
      </c>
      <c r="F676" s="7"/>
      <c r="G676" s="15" t="s">
        <v>3402</v>
      </c>
      <c r="H676" s="7">
        <v>4653</v>
      </c>
      <c r="I676" s="19" t="s">
        <v>2</v>
      </c>
      <c r="J676" s="7" t="s">
        <v>5529</v>
      </c>
      <c r="K676" s="51">
        <v>41529</v>
      </c>
      <c r="L676" s="115">
        <v>41520</v>
      </c>
      <c r="N676" s="50" t="s">
        <v>2</v>
      </c>
      <c r="O676" s="74">
        <v>3.7</v>
      </c>
      <c r="P676" s="50">
        <v>7.2</v>
      </c>
      <c r="Q676" s="74">
        <v>7.1</v>
      </c>
      <c r="R676" s="50">
        <v>126</v>
      </c>
      <c r="S676" s="74">
        <v>192</v>
      </c>
      <c r="T676" s="50">
        <v>0.56999999999999995</v>
      </c>
      <c r="U676" s="74">
        <v>2.63</v>
      </c>
      <c r="V676" s="50">
        <v>0.45</v>
      </c>
      <c r="W676" s="74">
        <v>5.2999999999999999E-2</v>
      </c>
      <c r="X676" s="50">
        <v>0.10199999999999999</v>
      </c>
      <c r="Y676" s="74">
        <v>6.4000000000000001E-2</v>
      </c>
      <c r="AE676" s="50">
        <v>4.96</v>
      </c>
    </row>
    <row r="677" spans="1:49" ht="15" customHeight="1">
      <c r="A677" s="293" t="s">
        <v>68</v>
      </c>
      <c r="B677" s="50" t="s">
        <v>2794</v>
      </c>
      <c r="C677" s="7" t="s">
        <v>5527</v>
      </c>
      <c r="D677" s="14" t="s">
        <v>397</v>
      </c>
      <c r="E677" s="7" t="s">
        <v>3401</v>
      </c>
      <c r="F677" s="7"/>
      <c r="G677" s="15" t="s">
        <v>3402</v>
      </c>
      <c r="H677" s="7">
        <v>4653</v>
      </c>
      <c r="I677" s="19" t="s">
        <v>2</v>
      </c>
      <c r="J677" s="7" t="s">
        <v>5528</v>
      </c>
      <c r="K677" s="51">
        <v>41529</v>
      </c>
      <c r="L677" s="115">
        <v>41520</v>
      </c>
      <c r="N677" s="50" t="s">
        <v>2</v>
      </c>
      <c r="O677" s="74">
        <v>6.9</v>
      </c>
      <c r="P677" s="50">
        <v>7.2</v>
      </c>
      <c r="Q677" s="74">
        <v>6</v>
      </c>
      <c r="R677" s="50">
        <v>39</v>
      </c>
      <c r="S677" s="74">
        <v>11</v>
      </c>
      <c r="T677" s="50">
        <v>0.18</v>
      </c>
      <c r="U677" s="74">
        <v>0.93</v>
      </c>
      <c r="V677" s="50">
        <v>0.17</v>
      </c>
      <c r="W677" s="74">
        <v>1.2E-2</v>
      </c>
      <c r="X677" s="50">
        <v>4.3999999999999997E-2</v>
      </c>
      <c r="Y677" s="74">
        <f>0.03/2</f>
        <v>1.4999999999999999E-2</v>
      </c>
      <c r="AE677" s="50">
        <v>1.87</v>
      </c>
    </row>
    <row r="678" spans="1:49" ht="15" customHeight="1">
      <c r="A678" s="293" t="s">
        <v>68</v>
      </c>
      <c r="B678" s="50" t="s">
        <v>3667</v>
      </c>
      <c r="C678" s="7" t="s">
        <v>3460</v>
      </c>
      <c r="D678" s="14" t="s">
        <v>3461</v>
      </c>
      <c r="E678" s="7"/>
      <c r="F678" s="7" t="s">
        <v>3462</v>
      </c>
      <c r="G678" s="15" t="s">
        <v>3463</v>
      </c>
      <c r="H678" s="7">
        <v>4953</v>
      </c>
      <c r="I678" s="19" t="s">
        <v>2</v>
      </c>
      <c r="J678" s="7" t="s">
        <v>5530</v>
      </c>
      <c r="K678" s="51">
        <v>41631</v>
      </c>
      <c r="L678" s="115">
        <v>41625</v>
      </c>
      <c r="N678" s="50" t="s">
        <v>2</v>
      </c>
      <c r="O678" s="74">
        <v>1.7</v>
      </c>
      <c r="P678" s="50">
        <v>6.5</v>
      </c>
      <c r="Q678" s="74">
        <v>8.11</v>
      </c>
      <c r="R678" s="50">
        <v>110</v>
      </c>
      <c r="S678" s="74">
        <v>520</v>
      </c>
      <c r="T678" s="50">
        <v>0.76</v>
      </c>
      <c r="U678" s="74">
        <v>2.5</v>
      </c>
      <c r="V678" s="50">
        <v>0.16</v>
      </c>
      <c r="W678" s="74">
        <v>7.0000000000000007E-2</v>
      </c>
      <c r="X678" s="50">
        <v>0.44700000000000001</v>
      </c>
      <c r="Y678" s="74">
        <v>6.9000000000000006E-2</v>
      </c>
    </row>
    <row r="679" spans="1:49" ht="15" customHeight="1">
      <c r="A679" s="293" t="s">
        <v>68</v>
      </c>
      <c r="B679" s="50" t="s">
        <v>3667</v>
      </c>
      <c r="C679" s="7" t="s">
        <v>5531</v>
      </c>
      <c r="D679" s="14" t="s">
        <v>3461</v>
      </c>
      <c r="E679" s="7"/>
      <c r="F679" s="7" t="s">
        <v>3462</v>
      </c>
      <c r="G679" s="15" t="s">
        <v>3463</v>
      </c>
      <c r="H679" s="7">
        <v>4953</v>
      </c>
      <c r="I679" s="19" t="s">
        <v>2</v>
      </c>
      <c r="J679" s="7" t="s">
        <v>3465</v>
      </c>
      <c r="K679" s="51">
        <v>41631</v>
      </c>
      <c r="L679" s="115">
        <v>41626</v>
      </c>
      <c r="N679" s="50" t="s">
        <v>2</v>
      </c>
      <c r="O679" s="74">
        <v>0.7</v>
      </c>
      <c r="P679" s="50">
        <v>6.5</v>
      </c>
      <c r="Q679" s="74">
        <v>8.6</v>
      </c>
      <c r="R679" s="50">
        <v>240</v>
      </c>
      <c r="S679" s="74">
        <v>3400</v>
      </c>
      <c r="T679" s="50">
        <v>2.5</v>
      </c>
      <c r="U679" s="74">
        <v>4.2</v>
      </c>
      <c r="V679" s="50">
        <f>0.01/2</f>
        <v>5.0000000000000001E-3</v>
      </c>
      <c r="W679" s="74">
        <v>0.19400000000000001</v>
      </c>
      <c r="X679" s="50">
        <v>0.98699999999999999</v>
      </c>
      <c r="Y679" s="74">
        <v>0.20300000000000001</v>
      </c>
    </row>
    <row r="680" spans="1:49" ht="15" customHeight="1">
      <c r="A680" s="293" t="s">
        <v>68</v>
      </c>
      <c r="B680" s="50" t="s">
        <v>3667</v>
      </c>
      <c r="C680" s="7" t="s">
        <v>3460</v>
      </c>
      <c r="D680" s="14" t="s">
        <v>3461</v>
      </c>
      <c r="E680" s="7"/>
      <c r="F680" s="7" t="s">
        <v>3462</v>
      </c>
      <c r="G680" s="15" t="s">
        <v>3463</v>
      </c>
      <c r="H680" s="7">
        <v>4953</v>
      </c>
      <c r="I680" s="19" t="s">
        <v>2</v>
      </c>
      <c r="J680" s="7" t="s">
        <v>3414</v>
      </c>
      <c r="K680" s="51">
        <v>41631</v>
      </c>
      <c r="L680" s="115">
        <v>41626</v>
      </c>
      <c r="N680" s="50" t="s">
        <v>2</v>
      </c>
      <c r="O680" s="74">
        <v>1.9</v>
      </c>
      <c r="P680" s="50">
        <v>6.5</v>
      </c>
      <c r="Q680" s="74">
        <v>8.11</v>
      </c>
      <c r="R680" s="50">
        <v>210</v>
      </c>
      <c r="S680" s="74">
        <v>580</v>
      </c>
      <c r="T680" s="50">
        <v>1.3</v>
      </c>
      <c r="U680" s="74">
        <v>4.04</v>
      </c>
      <c r="V680" s="50">
        <v>0.22</v>
      </c>
      <c r="W680" s="74">
        <v>4.4999999999999998E-2</v>
      </c>
      <c r="X680" s="50">
        <v>0.219</v>
      </c>
      <c r="Y680" s="74">
        <v>6.4000000000000001E-2</v>
      </c>
    </row>
    <row r="681" spans="1:49" ht="15" customHeight="1">
      <c r="A681" s="88" t="s">
        <v>68</v>
      </c>
      <c r="B681" s="50" t="s">
        <v>2070</v>
      </c>
      <c r="C681" s="7" t="s">
        <v>6625</v>
      </c>
      <c r="D681" s="14" t="s">
        <v>1837</v>
      </c>
      <c r="E681" s="7" t="s">
        <v>5532</v>
      </c>
      <c r="F681" s="7"/>
      <c r="G681" s="15" t="s">
        <v>5533</v>
      </c>
      <c r="H681" s="7">
        <v>4212</v>
      </c>
      <c r="I681" s="19" t="s">
        <v>2</v>
      </c>
      <c r="J681" s="7" t="s">
        <v>81</v>
      </c>
      <c r="K681" s="51">
        <v>41529</v>
      </c>
      <c r="L681" s="115">
        <v>41518</v>
      </c>
      <c r="N681" s="50" t="s">
        <v>2</v>
      </c>
      <c r="O681" s="74">
        <v>0.25</v>
      </c>
      <c r="P681" s="50">
        <v>6.8</v>
      </c>
      <c r="Q681" s="74">
        <v>6.88</v>
      </c>
      <c r="R681" s="50">
        <v>150</v>
      </c>
      <c r="S681" s="74">
        <v>56</v>
      </c>
      <c r="T681" s="50">
        <v>0.24</v>
      </c>
      <c r="U681" s="74">
        <v>1.68</v>
      </c>
      <c r="V681" s="50">
        <v>0.81699999999999995</v>
      </c>
      <c r="W681" s="74">
        <v>1.8200000000000001E-2</v>
      </c>
      <c r="X681" s="50">
        <v>2.7799999999999998E-2</v>
      </c>
      <c r="Y681" s="74">
        <v>5.6699999999999997E-3</v>
      </c>
      <c r="Z681" s="164">
        <v>1</v>
      </c>
      <c r="AA681" s="165">
        <v>1</v>
      </c>
      <c r="AB681" s="50">
        <v>26.1</v>
      </c>
      <c r="AC681" s="74">
        <v>234</v>
      </c>
      <c r="AD681" s="164">
        <v>1</v>
      </c>
      <c r="AE681" s="50">
        <v>1.98</v>
      </c>
      <c r="AF681" s="50">
        <f>1/2</f>
        <v>0.5</v>
      </c>
      <c r="AG681" s="50">
        <v>56</v>
      </c>
      <c r="AH681" s="50">
        <v>0.16800000000000001</v>
      </c>
      <c r="AI681" s="50">
        <f>0.0103/2</f>
        <v>5.1500000000000001E-3</v>
      </c>
      <c r="AJ681" s="50">
        <f>0.00892/2</f>
        <v>4.4600000000000004E-3</v>
      </c>
      <c r="AK681" s="50">
        <f>0.00115/2</f>
        <v>5.7499999999999999E-4</v>
      </c>
      <c r="AL681" s="50">
        <f>0.00113/2</f>
        <v>5.6499999999999996E-4</v>
      </c>
      <c r="AM681" s="50">
        <v>2.7799999999999998E-2</v>
      </c>
      <c r="AN681" s="114">
        <v>6.88</v>
      </c>
      <c r="AV681" s="1">
        <f>0.01/2</f>
        <v>5.0000000000000001E-3</v>
      </c>
      <c r="AW681" s="5">
        <v>37</v>
      </c>
    </row>
    <row r="682" spans="1:49" ht="15" customHeight="1">
      <c r="A682" s="88" t="s">
        <v>68</v>
      </c>
      <c r="B682" s="50" t="s">
        <v>2070</v>
      </c>
      <c r="C682" s="7" t="s">
        <v>6625</v>
      </c>
      <c r="D682" s="14" t="s">
        <v>1837</v>
      </c>
      <c r="E682" s="7" t="s">
        <v>2076</v>
      </c>
      <c r="F682" s="7"/>
      <c r="G682" s="15" t="s">
        <v>5533</v>
      </c>
      <c r="H682" s="7">
        <v>4212</v>
      </c>
      <c r="I682" s="19" t="s">
        <v>2</v>
      </c>
      <c r="J682" s="7" t="s">
        <v>1943</v>
      </c>
      <c r="K682" s="51">
        <v>40904</v>
      </c>
      <c r="L682" s="115">
        <v>40900</v>
      </c>
      <c r="M682" s="50">
        <v>4</v>
      </c>
      <c r="N682" s="50" t="s">
        <v>2</v>
      </c>
      <c r="O682" s="74">
        <v>2.5</v>
      </c>
      <c r="P682" s="50">
        <v>7.42</v>
      </c>
      <c r="Q682" s="74">
        <v>6.59</v>
      </c>
      <c r="R682" s="50">
        <v>120</v>
      </c>
      <c r="S682" s="74">
        <v>600</v>
      </c>
      <c r="T682" s="50">
        <v>0.25</v>
      </c>
      <c r="U682" s="74">
        <v>0.5</v>
      </c>
      <c r="V682" s="50">
        <v>0.47</v>
      </c>
      <c r="W682" s="74">
        <v>5.1999999999999998E-2</v>
      </c>
      <c r="X682" s="50">
        <v>0.13</v>
      </c>
      <c r="Y682" s="74">
        <v>3.9E-2</v>
      </c>
      <c r="Z682" s="164">
        <v>1</v>
      </c>
      <c r="AA682" s="165">
        <v>1</v>
      </c>
      <c r="AB682" s="50">
        <v>59</v>
      </c>
      <c r="AC682" s="74">
        <v>107</v>
      </c>
      <c r="AD682" s="164">
        <v>1</v>
      </c>
    </row>
    <row r="683" spans="1:49" ht="15" customHeight="1">
      <c r="A683" s="293" t="s">
        <v>68</v>
      </c>
      <c r="B683" s="50" t="s">
        <v>5534</v>
      </c>
      <c r="D683" s="14" t="s">
        <v>480</v>
      </c>
      <c r="E683" s="7" t="s">
        <v>5535</v>
      </c>
      <c r="F683" s="7"/>
      <c r="G683" s="15" t="s">
        <v>3175</v>
      </c>
      <c r="H683" s="7"/>
      <c r="I683" s="19" t="s">
        <v>1</v>
      </c>
      <c r="J683" s="7" t="s">
        <v>5536</v>
      </c>
      <c r="K683" s="51">
        <v>41631</v>
      </c>
      <c r="L683" s="115"/>
      <c r="N683" s="50" t="s">
        <v>2</v>
      </c>
      <c r="O683" s="74">
        <f>2/2</f>
        <v>1</v>
      </c>
      <c r="P683" s="50">
        <v>7</v>
      </c>
      <c r="Q683" s="74">
        <v>7.5</v>
      </c>
      <c r="R683" s="50">
        <v>16</v>
      </c>
      <c r="S683" s="74">
        <v>12</v>
      </c>
      <c r="T683" s="50">
        <f>0.05/2</f>
        <v>2.5000000000000001E-2</v>
      </c>
      <c r="U683" s="74">
        <v>0.78</v>
      </c>
      <c r="V683" s="50">
        <v>1.39</v>
      </c>
      <c r="W683" s="74">
        <v>2.3E-2</v>
      </c>
      <c r="X683" s="50">
        <v>5.2999999999999999E-2</v>
      </c>
      <c r="Y683" s="74">
        <f>0.03/2</f>
        <v>1.4999999999999999E-2</v>
      </c>
      <c r="Z683" s="164">
        <v>1</v>
      </c>
      <c r="AA683" s="165">
        <v>1</v>
      </c>
      <c r="AB683" s="50">
        <v>136</v>
      </c>
      <c r="AC683" s="74">
        <v>761</v>
      </c>
      <c r="AD683" s="164">
        <v>0.6</v>
      </c>
      <c r="AE683" s="50">
        <v>0.72</v>
      </c>
      <c r="AG683" s="50">
        <v>12</v>
      </c>
      <c r="AM683" s="50">
        <v>5.2999999999999999E-2</v>
      </c>
      <c r="AN683" s="114">
        <v>7.5</v>
      </c>
      <c r="AO683" s="114">
        <v>600</v>
      </c>
    </row>
    <row r="684" spans="1:49" ht="15" customHeight="1">
      <c r="A684" s="293" t="s">
        <v>68</v>
      </c>
      <c r="B684" s="50" t="s">
        <v>2358</v>
      </c>
      <c r="C684" s="7" t="s">
        <v>4051</v>
      </c>
      <c r="D684" s="14" t="s">
        <v>111</v>
      </c>
      <c r="E684" s="7" t="s">
        <v>5537</v>
      </c>
      <c r="F684" s="7">
        <v>5200</v>
      </c>
      <c r="G684" s="15" t="s">
        <v>2360</v>
      </c>
      <c r="H684" s="7">
        <v>4953</v>
      </c>
      <c r="I684" s="19" t="s">
        <v>2</v>
      </c>
      <c r="J684" s="7" t="s">
        <v>2361</v>
      </c>
      <c r="K684" s="51">
        <v>41605</v>
      </c>
      <c r="L684" s="115">
        <v>41600</v>
      </c>
      <c r="N684" s="50" t="s">
        <v>2</v>
      </c>
      <c r="R684" s="50">
        <v>220</v>
      </c>
      <c r="S684" s="74">
        <v>165</v>
      </c>
      <c r="T684" s="50">
        <v>2.06</v>
      </c>
      <c r="U684" s="74">
        <v>8.8000000000000007</v>
      </c>
      <c r="W684" s="74">
        <v>2.7E-2</v>
      </c>
      <c r="AE684" s="50">
        <v>10.5</v>
      </c>
    </row>
    <row r="685" spans="1:49" ht="15" customHeight="1">
      <c r="A685" s="293" t="s">
        <v>68</v>
      </c>
      <c r="B685" s="50" t="s">
        <v>2358</v>
      </c>
      <c r="C685" s="7" t="s">
        <v>2757</v>
      </c>
      <c r="D685" s="14" t="s">
        <v>111</v>
      </c>
      <c r="E685" s="7" t="s">
        <v>5537</v>
      </c>
      <c r="F685" s="7">
        <v>5200</v>
      </c>
      <c r="G685" s="15" t="s">
        <v>2890</v>
      </c>
      <c r="H685" s="7">
        <v>9999</v>
      </c>
      <c r="I685" s="19" t="s">
        <v>2</v>
      </c>
      <c r="J685" s="7" t="s">
        <v>2891</v>
      </c>
      <c r="K685" s="51">
        <v>41579</v>
      </c>
      <c r="L685" s="115">
        <v>41554</v>
      </c>
      <c r="N685" s="50" t="s">
        <v>2</v>
      </c>
      <c r="R685" s="50">
        <v>89</v>
      </c>
      <c r="S685" s="74">
        <v>65</v>
      </c>
      <c r="T685" s="50">
        <v>0.37</v>
      </c>
      <c r="U685" s="74">
        <v>2.74</v>
      </c>
      <c r="AV685" s="1">
        <v>8.9999999999999993E-3</v>
      </c>
      <c r="AW685" s="5">
        <v>215</v>
      </c>
    </row>
    <row r="686" spans="1:49" ht="15" customHeight="1">
      <c r="A686" s="293" t="s">
        <v>68</v>
      </c>
      <c r="B686" s="50" t="s">
        <v>4797</v>
      </c>
      <c r="C686" s="7" t="s">
        <v>3298</v>
      </c>
      <c r="D686" s="14" t="s">
        <v>1837</v>
      </c>
      <c r="E686" s="7" t="s">
        <v>4048</v>
      </c>
      <c r="F686" s="7"/>
      <c r="G686" s="15" t="s">
        <v>3300</v>
      </c>
      <c r="H686" s="7">
        <v>4212</v>
      </c>
      <c r="I686" s="19" t="s">
        <v>2</v>
      </c>
      <c r="J686" s="7" t="s">
        <v>96</v>
      </c>
      <c r="K686" s="51">
        <v>41629</v>
      </c>
      <c r="L686" s="115">
        <v>41625</v>
      </c>
      <c r="N686" s="50" t="s">
        <v>1</v>
      </c>
      <c r="O686" s="74">
        <v>680</v>
      </c>
      <c r="R686" s="50">
        <v>2400</v>
      </c>
      <c r="S686" s="74">
        <v>3000</v>
      </c>
      <c r="T686" s="50">
        <v>3.48</v>
      </c>
      <c r="U686" s="74">
        <v>17.3</v>
      </c>
      <c r="W686" s="74">
        <v>1.31</v>
      </c>
      <c r="X686" s="50">
        <v>5.62</v>
      </c>
      <c r="Y686" s="74">
        <v>1.69</v>
      </c>
    </row>
    <row r="687" spans="1:49" ht="15" customHeight="1">
      <c r="A687" s="293" t="s">
        <v>68</v>
      </c>
      <c r="B687" s="50" t="s">
        <v>336</v>
      </c>
      <c r="C687" s="7" t="s">
        <v>337</v>
      </c>
      <c r="D687" s="14" t="s">
        <v>338</v>
      </c>
      <c r="E687" s="7" t="s">
        <v>599</v>
      </c>
      <c r="F687" s="7">
        <v>6900</v>
      </c>
      <c r="G687" s="15" t="s">
        <v>339</v>
      </c>
      <c r="H687" s="7">
        <v>4953</v>
      </c>
      <c r="I687" s="19"/>
      <c r="J687" s="7" t="s">
        <v>5538</v>
      </c>
      <c r="K687" s="51">
        <v>41631</v>
      </c>
      <c r="L687" s="115">
        <v>41625</v>
      </c>
      <c r="N687" s="50" t="s">
        <v>2</v>
      </c>
      <c r="O687" s="74">
        <f>1/2</f>
        <v>0.5</v>
      </c>
      <c r="P687" s="50">
        <v>7.32</v>
      </c>
      <c r="Q687" s="74">
        <v>5.05</v>
      </c>
      <c r="R687" s="50">
        <v>15.5</v>
      </c>
      <c r="S687" s="74">
        <v>14</v>
      </c>
      <c r="T687" s="50">
        <f>0.05/2</f>
        <v>2.5000000000000001E-2</v>
      </c>
      <c r="U687" s="74">
        <v>0.39</v>
      </c>
      <c r="V687" s="50">
        <f>0.2/2</f>
        <v>0.1</v>
      </c>
      <c r="W687" s="74">
        <f>0.01/2</f>
        <v>5.0000000000000001E-3</v>
      </c>
      <c r="X687" s="50">
        <v>0.04</v>
      </c>
      <c r="Y687" s="74">
        <f>0.02/2</f>
        <v>0.01</v>
      </c>
      <c r="AE687" s="50">
        <v>0.43</v>
      </c>
      <c r="AF687" s="50">
        <v>3.4</v>
      </c>
      <c r="AG687" s="50">
        <v>14</v>
      </c>
      <c r="AH687" s="50">
        <f>0.1/2</f>
        <v>0.05</v>
      </c>
      <c r="AI687" s="50">
        <f t="shared" ref="AI687:AL688" si="36">0.01/2</f>
        <v>5.0000000000000001E-3</v>
      </c>
      <c r="AJ687" s="50">
        <f t="shared" si="36"/>
        <v>5.0000000000000001E-3</v>
      </c>
      <c r="AK687" s="50">
        <f t="shared" si="36"/>
        <v>5.0000000000000001E-3</v>
      </c>
      <c r="AL687" s="50">
        <f t="shared" si="36"/>
        <v>5.0000000000000001E-3</v>
      </c>
      <c r="AM687" s="50">
        <v>0.04</v>
      </c>
      <c r="AN687" s="114">
        <v>5.05</v>
      </c>
    </row>
    <row r="688" spans="1:49" ht="15" customHeight="1">
      <c r="A688" s="293" t="s">
        <v>68</v>
      </c>
      <c r="B688" s="50" t="s">
        <v>336</v>
      </c>
      <c r="C688" s="7" t="s">
        <v>337</v>
      </c>
      <c r="D688" s="14" t="s">
        <v>338</v>
      </c>
      <c r="E688" s="7" t="s">
        <v>5539</v>
      </c>
      <c r="F688" s="7">
        <v>6900</v>
      </c>
      <c r="G688" s="15" t="s">
        <v>339</v>
      </c>
      <c r="H688" s="7">
        <v>4953</v>
      </c>
      <c r="I688" s="19"/>
      <c r="J688" s="7" t="s">
        <v>341</v>
      </c>
      <c r="K688" s="51">
        <v>41631</v>
      </c>
      <c r="L688" s="115">
        <v>41625</v>
      </c>
      <c r="N688" s="50" t="s">
        <v>2</v>
      </c>
      <c r="O688" s="74">
        <v>1.5</v>
      </c>
      <c r="P688" s="50">
        <v>7.32</v>
      </c>
      <c r="Q688" s="74">
        <v>7.14</v>
      </c>
      <c r="R688" s="50">
        <v>59.4</v>
      </c>
      <c r="S688" s="74">
        <v>146.5</v>
      </c>
      <c r="T688" s="50">
        <v>0.32</v>
      </c>
      <c r="U688" s="74">
        <v>5.82</v>
      </c>
      <c r="V688" s="50">
        <v>2.1</v>
      </c>
      <c r="W688" s="74">
        <f>0.01/2</f>
        <v>5.0000000000000001E-3</v>
      </c>
      <c r="X688" s="50">
        <v>0.06</v>
      </c>
      <c r="Y688" s="74">
        <f>0.02/2</f>
        <v>0.01</v>
      </c>
      <c r="AE688" s="50">
        <v>24.7</v>
      </c>
      <c r="AF688" s="50">
        <v>4.0999999999999996</v>
      </c>
      <c r="AG688" s="50">
        <v>146.6</v>
      </c>
      <c r="AH688" s="50">
        <f>0.1/2</f>
        <v>0.05</v>
      </c>
      <c r="AI688" s="50">
        <f t="shared" si="36"/>
        <v>5.0000000000000001E-3</v>
      </c>
      <c r="AJ688" s="50">
        <f t="shared" si="36"/>
        <v>5.0000000000000001E-3</v>
      </c>
      <c r="AK688" s="50">
        <f t="shared" si="36"/>
        <v>5.0000000000000001E-3</v>
      </c>
      <c r="AL688" s="50">
        <f t="shared" si="36"/>
        <v>5.0000000000000001E-3</v>
      </c>
      <c r="AM688" s="50">
        <v>0.06</v>
      </c>
      <c r="AN688" s="114">
        <v>7.14</v>
      </c>
    </row>
    <row r="689" spans="1:41" ht="15" customHeight="1">
      <c r="A689" s="293" t="s">
        <v>68</v>
      </c>
      <c r="B689" s="50" t="s">
        <v>2358</v>
      </c>
      <c r="C689" s="7" t="s">
        <v>4051</v>
      </c>
      <c r="D689" s="14" t="s">
        <v>111</v>
      </c>
      <c r="E689" s="7" t="s">
        <v>5537</v>
      </c>
      <c r="F689" s="7">
        <v>5200</v>
      </c>
      <c r="G689" s="15" t="s">
        <v>2360</v>
      </c>
      <c r="H689" s="7">
        <v>4953</v>
      </c>
      <c r="I689" s="19" t="s">
        <v>2</v>
      </c>
      <c r="J689" s="7" t="s">
        <v>2361</v>
      </c>
      <c r="K689" s="51">
        <v>41539</v>
      </c>
      <c r="L689" s="115">
        <v>41529</v>
      </c>
      <c r="N689" s="50" t="s">
        <v>2</v>
      </c>
      <c r="AE689" s="50">
        <v>1.1399999999999999</v>
      </c>
    </row>
    <row r="690" spans="1:41" ht="15" customHeight="1">
      <c r="A690" s="293" t="s">
        <v>68</v>
      </c>
      <c r="B690" s="50" t="s">
        <v>3561</v>
      </c>
      <c r="C690" s="7" t="s">
        <v>3424</v>
      </c>
      <c r="D690" s="14" t="s">
        <v>84</v>
      </c>
      <c r="E690" s="7" t="s">
        <v>3628</v>
      </c>
      <c r="F690" s="7"/>
      <c r="G690" s="15" t="s">
        <v>3425</v>
      </c>
      <c r="H690" s="7">
        <v>4953</v>
      </c>
      <c r="I690" s="19" t="s">
        <v>2</v>
      </c>
      <c r="J690" s="7" t="s">
        <v>3426</v>
      </c>
      <c r="K690" s="51">
        <v>41513</v>
      </c>
      <c r="L690" s="115">
        <v>41508</v>
      </c>
      <c r="N690" s="50" t="s">
        <v>2</v>
      </c>
      <c r="O690" s="74">
        <v>1.4</v>
      </c>
      <c r="P690" s="50">
        <v>8.0399999999999991</v>
      </c>
      <c r="Q690" s="74">
        <v>7.73</v>
      </c>
      <c r="R690" s="50">
        <v>14</v>
      </c>
      <c r="S690" s="74">
        <v>64</v>
      </c>
      <c r="T690" s="50">
        <v>0.61</v>
      </c>
      <c r="U690" s="74">
        <v>4.55</v>
      </c>
      <c r="V690" s="50">
        <v>0.22</v>
      </c>
      <c r="W690" s="74">
        <v>0.06</v>
      </c>
      <c r="X690" s="50">
        <v>0.16</v>
      </c>
      <c r="Y690" s="74">
        <f>0.05/2</f>
        <v>2.5000000000000001E-2</v>
      </c>
      <c r="Z690" s="164">
        <v>1</v>
      </c>
      <c r="AA690" s="165">
        <v>1</v>
      </c>
      <c r="AB690" s="50">
        <v>200</v>
      </c>
      <c r="AC690" s="74">
        <v>36</v>
      </c>
      <c r="AD690" s="164">
        <v>1</v>
      </c>
    </row>
    <row r="691" spans="1:41" ht="15" customHeight="1">
      <c r="A691" s="293" t="s">
        <v>68</v>
      </c>
      <c r="B691" s="50" t="s">
        <v>2107</v>
      </c>
      <c r="C691" s="7" t="s">
        <v>2546</v>
      </c>
      <c r="D691" s="14" t="s">
        <v>308</v>
      </c>
      <c r="E691" s="7" t="s">
        <v>235</v>
      </c>
      <c r="F691" s="7"/>
      <c r="G691" s="15" t="s">
        <v>3015</v>
      </c>
      <c r="H691" s="7">
        <v>4953</v>
      </c>
      <c r="I691" s="19" t="s">
        <v>1</v>
      </c>
      <c r="J691" s="7" t="s">
        <v>3173</v>
      </c>
      <c r="K691" s="51">
        <v>41529</v>
      </c>
      <c r="L691" s="115">
        <v>41520</v>
      </c>
      <c r="N691" s="50" t="s">
        <v>2</v>
      </c>
      <c r="AE691" s="50">
        <v>110</v>
      </c>
    </row>
    <row r="692" spans="1:41" ht="15" customHeight="1">
      <c r="A692" s="293" t="s">
        <v>68</v>
      </c>
      <c r="B692" s="50" t="s">
        <v>5540</v>
      </c>
      <c r="C692" s="7" t="s">
        <v>294</v>
      </c>
      <c r="D692" s="14" t="s">
        <v>295</v>
      </c>
      <c r="E692" s="7" t="s">
        <v>5541</v>
      </c>
      <c r="F692" s="7"/>
      <c r="G692" s="15" t="s">
        <v>297</v>
      </c>
      <c r="H692" s="7">
        <v>4953</v>
      </c>
      <c r="I692" s="19" t="s">
        <v>2</v>
      </c>
      <c r="J692" s="7" t="s">
        <v>5542</v>
      </c>
      <c r="K692" s="51">
        <v>41487</v>
      </c>
      <c r="L692" s="115">
        <v>41478</v>
      </c>
      <c r="N692" s="50" t="s">
        <v>2</v>
      </c>
      <c r="O692" s="74">
        <v>1.3</v>
      </c>
      <c r="P692" s="50">
        <v>7.74</v>
      </c>
      <c r="Q692" s="74">
        <v>7.31</v>
      </c>
      <c r="R692" s="50">
        <v>63</v>
      </c>
      <c r="S692" s="74">
        <v>20</v>
      </c>
      <c r="T692" s="50">
        <v>0.36</v>
      </c>
      <c r="U692" s="74">
        <v>1.26</v>
      </c>
      <c r="V692" s="50">
        <v>1.77</v>
      </c>
      <c r="W692" s="74">
        <v>0.11</v>
      </c>
      <c r="X692" s="50">
        <v>0.1</v>
      </c>
      <c r="Y692" s="74">
        <v>2.5000000000000001E-2</v>
      </c>
      <c r="Z692" s="164">
        <v>1</v>
      </c>
      <c r="AA692" s="165">
        <v>1</v>
      </c>
      <c r="AB692" s="50">
        <f>1/2</f>
        <v>0.5</v>
      </c>
      <c r="AC692" s="74">
        <v>297</v>
      </c>
      <c r="AD692" s="164">
        <v>1</v>
      </c>
    </row>
    <row r="693" spans="1:41" ht="15" customHeight="1">
      <c r="A693" s="293" t="s">
        <v>68</v>
      </c>
      <c r="B693" s="50" t="s">
        <v>5540</v>
      </c>
      <c r="C693" s="7" t="s">
        <v>294</v>
      </c>
      <c r="D693" s="14" t="s">
        <v>295</v>
      </c>
      <c r="E693" s="7" t="s">
        <v>5541</v>
      </c>
      <c r="F693" s="7"/>
      <c r="G693" s="15" t="s">
        <v>297</v>
      </c>
      <c r="H693" s="7">
        <v>4953</v>
      </c>
      <c r="I693" s="19" t="s">
        <v>2</v>
      </c>
      <c r="J693" s="7" t="s">
        <v>299</v>
      </c>
      <c r="K693" s="51">
        <v>41487</v>
      </c>
      <c r="L693" s="115">
        <v>41478</v>
      </c>
      <c r="N693" s="50" t="s">
        <v>2</v>
      </c>
      <c r="O693" s="74">
        <v>1.6</v>
      </c>
      <c r="P693" s="50">
        <v>7.74</v>
      </c>
      <c r="Q693" s="74">
        <v>7.3</v>
      </c>
      <c r="R693" s="50">
        <v>92</v>
      </c>
      <c r="S693" s="74">
        <v>20</v>
      </c>
      <c r="T693" s="50">
        <v>0.8</v>
      </c>
      <c r="U693" s="74">
        <v>4.6900000000000004</v>
      </c>
      <c r="V693" s="50">
        <v>0.77</v>
      </c>
      <c r="W693" s="74">
        <v>0.12</v>
      </c>
      <c r="X693" s="50">
        <v>0.15</v>
      </c>
      <c r="Y693" s="74">
        <v>2.5000000000000001E-2</v>
      </c>
      <c r="Z693" s="164">
        <v>1</v>
      </c>
      <c r="AA693" s="165">
        <v>1</v>
      </c>
      <c r="AB693" s="50">
        <f>1/2</f>
        <v>0.5</v>
      </c>
      <c r="AC693" s="74">
        <v>422</v>
      </c>
      <c r="AD693" s="164">
        <v>1</v>
      </c>
    </row>
    <row r="694" spans="1:41" ht="15" customHeight="1">
      <c r="A694" s="293" t="s">
        <v>68</v>
      </c>
      <c r="B694" s="50" t="s">
        <v>3667</v>
      </c>
      <c r="C694" s="7" t="s">
        <v>5548</v>
      </c>
      <c r="D694" s="14" t="s">
        <v>3461</v>
      </c>
      <c r="E694" s="7"/>
      <c r="F694" s="7"/>
      <c r="G694" s="15" t="s">
        <v>3463</v>
      </c>
      <c r="H694" s="7">
        <v>4953</v>
      </c>
      <c r="I694" s="19"/>
      <c r="J694" s="7" t="s">
        <v>5549</v>
      </c>
      <c r="K694" s="51">
        <v>40780</v>
      </c>
      <c r="L694" s="115"/>
      <c r="N694" s="50" t="s">
        <v>2</v>
      </c>
      <c r="O694" s="74">
        <v>2.5</v>
      </c>
      <c r="R694" s="50">
        <v>93</v>
      </c>
      <c r="T694" s="50">
        <v>0.42</v>
      </c>
      <c r="U694" s="74">
        <v>2.6</v>
      </c>
      <c r="V694" s="50">
        <v>0.56999999999999995</v>
      </c>
      <c r="Z694" s="164">
        <v>1</v>
      </c>
      <c r="AA694" s="165">
        <v>1</v>
      </c>
      <c r="AB694" s="50">
        <v>44</v>
      </c>
      <c r="AC694" s="74">
        <v>330</v>
      </c>
      <c r="AD694" s="164">
        <v>1</v>
      </c>
    </row>
    <row r="695" spans="1:41" ht="15" customHeight="1">
      <c r="A695" s="293" t="s">
        <v>68</v>
      </c>
      <c r="B695" s="50" t="s">
        <v>3667</v>
      </c>
      <c r="C695" s="7" t="s">
        <v>5548</v>
      </c>
      <c r="D695" s="14" t="s">
        <v>3461</v>
      </c>
      <c r="E695" s="7"/>
      <c r="F695" s="7"/>
      <c r="G695" s="15" t="s">
        <v>3463</v>
      </c>
      <c r="H695" s="7">
        <v>4953</v>
      </c>
      <c r="I695" s="19"/>
      <c r="J695" s="7" t="s">
        <v>5550</v>
      </c>
      <c r="K695" s="51">
        <v>40780</v>
      </c>
      <c r="L695" s="115"/>
      <c r="N695" s="50" t="s">
        <v>2</v>
      </c>
      <c r="O695" s="74">
        <v>1.5</v>
      </c>
      <c r="R695" s="50">
        <v>82</v>
      </c>
      <c r="T695" s="50">
        <v>0.35</v>
      </c>
      <c r="U695" s="74">
        <v>1.9</v>
      </c>
      <c r="V695" s="50">
        <v>0.34</v>
      </c>
      <c r="Z695" s="164">
        <v>1</v>
      </c>
      <c r="AA695" s="165">
        <v>1</v>
      </c>
      <c r="AB695" s="50">
        <v>42</v>
      </c>
      <c r="AC695" s="74">
        <v>218</v>
      </c>
      <c r="AD695" s="164">
        <v>1</v>
      </c>
    </row>
    <row r="696" spans="1:41" ht="15" customHeight="1">
      <c r="A696" s="293" t="s">
        <v>68</v>
      </c>
      <c r="B696" s="50" t="s">
        <v>3667</v>
      </c>
      <c r="C696" s="7" t="s">
        <v>5548</v>
      </c>
      <c r="D696" s="14" t="s">
        <v>3461</v>
      </c>
      <c r="E696" s="7"/>
      <c r="F696" s="7"/>
      <c r="G696" s="15" t="s">
        <v>3463</v>
      </c>
      <c r="H696" s="7">
        <v>4953</v>
      </c>
      <c r="I696" s="19"/>
      <c r="J696" s="7" t="s">
        <v>5551</v>
      </c>
      <c r="K696" s="51">
        <v>40780</v>
      </c>
      <c r="L696" s="115"/>
      <c r="N696" s="50" t="s">
        <v>2</v>
      </c>
      <c r="O696" s="74">
        <v>1.4</v>
      </c>
      <c r="R696" s="50">
        <v>78</v>
      </c>
      <c r="T696" s="50">
        <v>0.14000000000000001</v>
      </c>
      <c r="U696" s="74">
        <v>2.1</v>
      </c>
      <c r="V696" s="50">
        <v>0.42</v>
      </c>
      <c r="Z696" s="164">
        <v>1</v>
      </c>
      <c r="AA696" s="165">
        <v>1</v>
      </c>
      <c r="AB696" s="50">
        <v>40</v>
      </c>
      <c r="AC696" s="74">
        <v>172</v>
      </c>
      <c r="AD696" s="164">
        <v>1</v>
      </c>
    </row>
    <row r="697" spans="1:41" ht="15" customHeight="1">
      <c r="A697" s="293" t="s">
        <v>68</v>
      </c>
      <c r="B697" s="50" t="s">
        <v>3667</v>
      </c>
      <c r="C697" s="7" t="s">
        <v>5548</v>
      </c>
      <c r="D697" s="14" t="s">
        <v>3461</v>
      </c>
      <c r="E697" s="7"/>
      <c r="F697" s="7"/>
      <c r="G697" s="15" t="s">
        <v>3463</v>
      </c>
      <c r="H697" s="7">
        <v>4953</v>
      </c>
      <c r="I697" s="19"/>
      <c r="J697" s="7" t="s">
        <v>5552</v>
      </c>
      <c r="K697" s="51">
        <v>40780</v>
      </c>
      <c r="L697" s="115"/>
      <c r="N697" s="50" t="s">
        <v>2</v>
      </c>
      <c r="O697" s="74">
        <v>9.5</v>
      </c>
      <c r="R697" s="50">
        <v>150</v>
      </c>
      <c r="T697" s="50">
        <v>0.71</v>
      </c>
      <c r="U697" s="74">
        <v>4.5999999999999996</v>
      </c>
      <c r="V697" s="50">
        <v>0.49</v>
      </c>
      <c r="Z697" s="164">
        <v>1</v>
      </c>
      <c r="AA697" s="165">
        <v>1</v>
      </c>
      <c r="AB697" s="50">
        <v>32</v>
      </c>
      <c r="AC697" s="74">
        <v>185</v>
      </c>
      <c r="AD697" s="164">
        <v>0.65</v>
      </c>
    </row>
    <row r="698" spans="1:41" ht="15" customHeight="1">
      <c r="A698" s="293" t="s">
        <v>68</v>
      </c>
      <c r="B698" s="50" t="s">
        <v>1457</v>
      </c>
      <c r="C698" s="7" t="s">
        <v>1458</v>
      </c>
      <c r="D698" s="14" t="s">
        <v>156</v>
      </c>
      <c r="E698" s="7" t="s">
        <v>5553</v>
      </c>
      <c r="F698" s="7" t="s">
        <v>5554</v>
      </c>
      <c r="G698" s="15" t="s">
        <v>1460</v>
      </c>
      <c r="H698" s="7">
        <v>4953</v>
      </c>
      <c r="I698" s="19" t="s">
        <v>1</v>
      </c>
      <c r="J698" s="7" t="s">
        <v>5555</v>
      </c>
      <c r="K698" s="51">
        <v>41717</v>
      </c>
      <c r="L698" s="115">
        <v>41710</v>
      </c>
      <c r="N698" s="50" t="s">
        <v>1</v>
      </c>
      <c r="O698" s="74">
        <f>2/2</f>
        <v>1</v>
      </c>
      <c r="P698" s="50">
        <v>6.9</v>
      </c>
      <c r="Q698" s="74">
        <v>6.8</v>
      </c>
      <c r="R698" s="50">
        <v>45</v>
      </c>
      <c r="S698" s="74">
        <v>32</v>
      </c>
      <c r="T698" s="50">
        <v>0.2</v>
      </c>
      <c r="U698" s="74">
        <v>20</v>
      </c>
      <c r="V698" s="50">
        <v>0.42</v>
      </c>
      <c r="W698" s="74">
        <v>5.0000000000000001E-3</v>
      </c>
      <c r="X698" s="50">
        <v>1.4999999999999999E-2</v>
      </c>
      <c r="Y698" s="74">
        <v>1.4999999999999999E-2</v>
      </c>
      <c r="AE698" s="50">
        <v>15.2</v>
      </c>
      <c r="AG698" s="50">
        <v>32</v>
      </c>
      <c r="AM698" s="50">
        <v>1.4999999999999999E-2</v>
      </c>
      <c r="AN698" s="114">
        <v>6.8</v>
      </c>
      <c r="AO698" s="114">
        <v>50</v>
      </c>
    </row>
    <row r="699" spans="1:41" ht="15" customHeight="1">
      <c r="A699" s="293" t="s">
        <v>68</v>
      </c>
      <c r="B699" s="50" t="s">
        <v>1457</v>
      </c>
      <c r="C699" s="7" t="s">
        <v>1461</v>
      </c>
      <c r="D699" s="14" t="s">
        <v>156</v>
      </c>
      <c r="E699" s="7" t="s">
        <v>5553</v>
      </c>
      <c r="F699" s="7" t="s">
        <v>5554</v>
      </c>
      <c r="G699" s="15" t="s">
        <v>1462</v>
      </c>
      <c r="H699" s="7">
        <v>4953</v>
      </c>
      <c r="I699" s="19" t="s">
        <v>1</v>
      </c>
      <c r="J699" s="7" t="s">
        <v>194</v>
      </c>
      <c r="K699" s="51">
        <v>41717</v>
      </c>
      <c r="L699" s="115">
        <v>41710</v>
      </c>
      <c r="N699" s="50" t="s">
        <v>1</v>
      </c>
      <c r="O699" s="74">
        <f>2/2</f>
        <v>1</v>
      </c>
      <c r="P699" s="50">
        <v>6.9</v>
      </c>
      <c r="Q699" s="74">
        <v>8.9</v>
      </c>
      <c r="R699" s="50">
        <v>224</v>
      </c>
      <c r="S699" s="74">
        <v>322</v>
      </c>
      <c r="T699" s="50">
        <v>0.32</v>
      </c>
      <c r="U699" s="74">
        <v>8.33</v>
      </c>
      <c r="V699" s="50">
        <v>0.22</v>
      </c>
      <c r="W699" s="74">
        <v>6.0999999999999999E-2</v>
      </c>
      <c r="X699" s="50">
        <v>4.1000000000000002E-2</v>
      </c>
      <c r="Y699" s="74">
        <f>0.03/2</f>
        <v>1.4999999999999999E-2</v>
      </c>
      <c r="AE699" s="50">
        <v>5.75</v>
      </c>
      <c r="AF699" s="50">
        <v>26</v>
      </c>
      <c r="AG699" s="50">
        <v>322</v>
      </c>
      <c r="AH699" s="50">
        <v>4.93</v>
      </c>
      <c r="AI699" s="50">
        <f>0.01/2</f>
        <v>5.0000000000000001E-3</v>
      </c>
      <c r="AJ699" s="50">
        <f>0.05/2</f>
        <v>2.5000000000000001E-2</v>
      </c>
      <c r="AK699" s="50">
        <f>0.01/2</f>
        <v>5.0000000000000001E-3</v>
      </c>
      <c r="AL699" s="50">
        <f>0.02/2</f>
        <v>0.01</v>
      </c>
      <c r="AM699" s="50">
        <v>4.1000000000000002E-2</v>
      </c>
      <c r="AN699" s="114">
        <v>8.9</v>
      </c>
      <c r="AO699" s="114">
        <f>100/2</f>
        <v>50</v>
      </c>
    </row>
    <row r="700" spans="1:41" ht="15" customHeight="1">
      <c r="A700" s="293" t="s">
        <v>68</v>
      </c>
      <c r="B700" s="50" t="s">
        <v>1457</v>
      </c>
      <c r="C700" s="7" t="s">
        <v>1461</v>
      </c>
      <c r="D700" s="14" t="s">
        <v>156</v>
      </c>
      <c r="E700" s="7" t="s">
        <v>5553</v>
      </c>
      <c r="F700" s="7" t="s">
        <v>5554</v>
      </c>
      <c r="G700" s="15" t="s">
        <v>1462</v>
      </c>
      <c r="H700" s="7">
        <v>4953</v>
      </c>
      <c r="I700" s="19" t="s">
        <v>1</v>
      </c>
      <c r="J700" s="7" t="s">
        <v>569</v>
      </c>
      <c r="K700" s="51">
        <v>41717</v>
      </c>
      <c r="L700" s="115">
        <v>41710</v>
      </c>
      <c r="N700" s="50" t="s">
        <v>1</v>
      </c>
      <c r="O700" s="74">
        <f>2/1</f>
        <v>2</v>
      </c>
      <c r="P700" s="50">
        <v>6.9</v>
      </c>
      <c r="Q700" s="74">
        <v>7.8</v>
      </c>
      <c r="R700" s="50">
        <v>64</v>
      </c>
      <c r="S700" s="74">
        <v>13</v>
      </c>
      <c r="T700" s="50">
        <v>0.12</v>
      </c>
      <c r="U700" s="74">
        <v>2.5499999999999998</v>
      </c>
      <c r="V700" s="50">
        <f>0.1/2</f>
        <v>0.05</v>
      </c>
      <c r="W700" s="74">
        <v>1.0999999999999999E-2</v>
      </c>
      <c r="X700" s="50">
        <f>0.03/2</f>
        <v>1.4999999999999999E-2</v>
      </c>
      <c r="Y700" s="74">
        <v>1.4999999999999999E-2</v>
      </c>
      <c r="AE700" s="50">
        <v>0.34</v>
      </c>
      <c r="AF700" s="50">
        <v>3</v>
      </c>
      <c r="AG700" s="50">
        <v>13</v>
      </c>
      <c r="AH700" s="50">
        <v>0.76</v>
      </c>
      <c r="AI700" s="50">
        <f>0.01/2</f>
        <v>5.0000000000000001E-3</v>
      </c>
      <c r="AJ700" s="50">
        <f>0.05/2</f>
        <v>2.5000000000000001E-2</v>
      </c>
      <c r="AK700" s="50">
        <f>0.02/2</f>
        <v>0.01</v>
      </c>
      <c r="AL700" s="50">
        <f>0.02/2</f>
        <v>0.01</v>
      </c>
      <c r="AM700" s="50">
        <f>0.03/2</f>
        <v>1.4999999999999999E-2</v>
      </c>
      <c r="AN700" s="114">
        <v>7.8</v>
      </c>
      <c r="AO700" s="114">
        <f>100/2</f>
        <v>50</v>
      </c>
    </row>
    <row r="701" spans="1:41" ht="15" customHeight="1">
      <c r="A701" s="293" t="s">
        <v>68</v>
      </c>
      <c r="B701" s="50" t="s">
        <v>3577</v>
      </c>
      <c r="C701" s="7" t="s">
        <v>5580</v>
      </c>
      <c r="D701" s="14" t="s">
        <v>3578</v>
      </c>
      <c r="E701" s="7" t="s">
        <v>3579</v>
      </c>
      <c r="F701" s="7"/>
      <c r="G701" s="15" t="s">
        <v>3587</v>
      </c>
      <c r="H701" s="7">
        <v>4953</v>
      </c>
      <c r="I701" s="19" t="s">
        <v>1</v>
      </c>
      <c r="J701" s="7" t="s">
        <v>4223</v>
      </c>
      <c r="K701" s="51">
        <v>41736</v>
      </c>
      <c r="L701" s="115">
        <v>41732</v>
      </c>
      <c r="N701" s="50" t="s">
        <v>2</v>
      </c>
      <c r="O701" s="74">
        <v>1.6</v>
      </c>
      <c r="P701" s="50">
        <v>5.65</v>
      </c>
      <c r="Q701" s="74">
        <v>6.38</v>
      </c>
      <c r="R701" s="50">
        <v>32.1</v>
      </c>
      <c r="S701" s="74">
        <v>43</v>
      </c>
      <c r="T701" s="50">
        <v>0.18</v>
      </c>
      <c r="U701" s="74">
        <v>1.1000000000000001</v>
      </c>
      <c r="V701" s="50">
        <v>0.27</v>
      </c>
      <c r="W701" s="74">
        <v>1.2E-2</v>
      </c>
      <c r="X701" s="50">
        <v>3.9E-2</v>
      </c>
      <c r="Y701" s="74">
        <v>1.2999999999999999E-2</v>
      </c>
      <c r="AE701" s="50">
        <v>1.1299999999999999</v>
      </c>
    </row>
    <row r="702" spans="1:41" ht="15" customHeight="1">
      <c r="A702" s="293" t="s">
        <v>68</v>
      </c>
      <c r="B702" s="50" t="s">
        <v>3577</v>
      </c>
      <c r="C702" s="7" t="s">
        <v>5581</v>
      </c>
      <c r="D702" s="14" t="s">
        <v>3578</v>
      </c>
      <c r="E702" s="7" t="s">
        <v>3579</v>
      </c>
      <c r="F702" s="7"/>
      <c r="G702" s="15" t="s">
        <v>3587</v>
      </c>
      <c r="H702" s="7">
        <v>4953</v>
      </c>
      <c r="I702" s="19" t="s">
        <v>1</v>
      </c>
      <c r="J702" s="7" t="s">
        <v>5582</v>
      </c>
      <c r="K702" s="51">
        <v>41736</v>
      </c>
      <c r="L702" s="115">
        <v>41732</v>
      </c>
      <c r="N702" s="50" t="s">
        <v>2</v>
      </c>
      <c r="O702" s="74">
        <v>2.8</v>
      </c>
      <c r="P702" s="50">
        <v>5.65</v>
      </c>
      <c r="Q702" s="74">
        <v>6.16</v>
      </c>
      <c r="R702" s="50">
        <v>3.7</v>
      </c>
      <c r="S702" s="74">
        <v>12</v>
      </c>
      <c r="T702" s="50">
        <v>0.09</v>
      </c>
      <c r="U702" s="74">
        <v>1.1200000000000001</v>
      </c>
      <c r="V702" s="50">
        <v>0.44</v>
      </c>
      <c r="W702" s="74">
        <v>1.2E-2</v>
      </c>
      <c r="X702" s="50">
        <v>0.107</v>
      </c>
      <c r="Y702" s="74">
        <v>4.0000000000000001E-3</v>
      </c>
      <c r="AE702" s="50">
        <v>0.31</v>
      </c>
    </row>
    <row r="703" spans="1:41" ht="15" customHeight="1">
      <c r="A703" s="293" t="s">
        <v>68</v>
      </c>
      <c r="B703" s="50" t="s">
        <v>2617</v>
      </c>
      <c r="C703" s="7" t="s">
        <v>2618</v>
      </c>
      <c r="D703" s="14" t="s">
        <v>290</v>
      </c>
      <c r="E703" s="7" t="s">
        <v>2619</v>
      </c>
      <c r="F703" s="7"/>
      <c r="G703" s="15" t="s">
        <v>2620</v>
      </c>
      <c r="H703" s="7">
        <v>4953</v>
      </c>
      <c r="I703" s="19" t="s">
        <v>2</v>
      </c>
      <c r="J703" s="7" t="s">
        <v>5583</v>
      </c>
      <c r="K703" s="51">
        <v>41718</v>
      </c>
      <c r="L703" s="115">
        <v>41710</v>
      </c>
      <c r="N703" s="50" t="s">
        <v>2</v>
      </c>
      <c r="O703" s="74">
        <f>1.4/2</f>
        <v>0.7</v>
      </c>
      <c r="P703" s="50">
        <v>5</v>
      </c>
      <c r="Q703" s="74">
        <v>7.76</v>
      </c>
      <c r="R703" s="50">
        <v>16</v>
      </c>
      <c r="S703" s="74">
        <f>5/2</f>
        <v>2.5</v>
      </c>
      <c r="T703" s="50">
        <v>0.04</v>
      </c>
      <c r="U703" s="74">
        <v>1.6</v>
      </c>
      <c r="V703" s="50">
        <v>0.24</v>
      </c>
      <c r="W703" s="74">
        <f>0.005/2</f>
        <v>2.5000000000000001E-3</v>
      </c>
      <c r="X703" s="50">
        <v>5.2999999999999999E-2</v>
      </c>
      <c r="Y703" s="74">
        <f>0.002/2</f>
        <v>1E-3</v>
      </c>
      <c r="Z703" s="164">
        <v>1</v>
      </c>
      <c r="AA703" s="165">
        <v>1</v>
      </c>
      <c r="AB703" s="50">
        <f>2/2</f>
        <v>1</v>
      </c>
      <c r="AC703" s="74">
        <v>148</v>
      </c>
      <c r="AD703" s="164">
        <v>1</v>
      </c>
      <c r="AE703" s="50">
        <v>1.3</v>
      </c>
      <c r="AF703" s="50">
        <f>4/2</f>
        <v>2</v>
      </c>
      <c r="AG703" s="50">
        <f>5/2</f>
        <v>2.5</v>
      </c>
      <c r="AH703" s="50">
        <v>1.23</v>
      </c>
      <c r="AI703" s="50">
        <f>0.1/2</f>
        <v>0.05</v>
      </c>
      <c r="AJ703" s="50">
        <f>0.1/2</f>
        <v>0.05</v>
      </c>
      <c r="AK703" s="50">
        <f>0.1/2</f>
        <v>0.05</v>
      </c>
      <c r="AL703" s="50">
        <f>0.1/2</f>
        <v>0.05</v>
      </c>
      <c r="AM703" s="50">
        <v>5.2999999999999999E-2</v>
      </c>
      <c r="AN703" s="114">
        <v>7.76</v>
      </c>
    </row>
    <row r="704" spans="1:41" ht="15" customHeight="1">
      <c r="A704" s="293" t="s">
        <v>68</v>
      </c>
      <c r="B704" s="50" t="s">
        <v>2358</v>
      </c>
      <c r="C704" s="7" t="s">
        <v>4051</v>
      </c>
      <c r="D704" s="14" t="s">
        <v>111</v>
      </c>
      <c r="E704" s="7" t="s">
        <v>112</v>
      </c>
      <c r="F704" s="7">
        <v>5200</v>
      </c>
      <c r="G704" s="15" t="s">
        <v>2360</v>
      </c>
      <c r="H704" s="7">
        <v>4953</v>
      </c>
      <c r="I704" s="19" t="s">
        <v>2</v>
      </c>
      <c r="J704" s="7" t="s">
        <v>2361</v>
      </c>
      <c r="K704" s="51">
        <v>41689</v>
      </c>
      <c r="L704" s="115">
        <v>41675</v>
      </c>
      <c r="N704" s="50" t="s">
        <v>1</v>
      </c>
      <c r="AE704" s="50">
        <v>2.2999999999999998</v>
      </c>
    </row>
    <row r="705" spans="1:44" ht="15" customHeight="1">
      <c r="A705" s="293" t="s">
        <v>68</v>
      </c>
      <c r="B705" s="50" t="s">
        <v>404</v>
      </c>
      <c r="C705" s="7" t="s">
        <v>622</v>
      </c>
      <c r="D705" s="14" t="s">
        <v>406</v>
      </c>
      <c r="E705" s="7" t="s">
        <v>623</v>
      </c>
      <c r="F705" s="7"/>
      <c r="G705" s="15" t="s">
        <v>624</v>
      </c>
      <c r="H705" s="7">
        <v>4953</v>
      </c>
      <c r="I705" s="19" t="s">
        <v>2</v>
      </c>
      <c r="J705" s="7" t="s">
        <v>625</v>
      </c>
      <c r="K705" s="51">
        <v>41737</v>
      </c>
      <c r="L705" s="115">
        <v>41728</v>
      </c>
      <c r="N705" s="50" t="s">
        <v>2</v>
      </c>
      <c r="T705" s="50">
        <v>1.58</v>
      </c>
    </row>
    <row r="706" spans="1:44" ht="15" customHeight="1">
      <c r="A706" s="293" t="s">
        <v>68</v>
      </c>
      <c r="B706" s="50" t="s">
        <v>3355</v>
      </c>
      <c r="D706" s="14" t="s">
        <v>480</v>
      </c>
      <c r="E706" s="7" t="s">
        <v>569</v>
      </c>
      <c r="F706" s="7"/>
      <c r="G706" s="15" t="s">
        <v>3175</v>
      </c>
      <c r="H706" s="7">
        <v>4953</v>
      </c>
      <c r="I706" s="19" t="s">
        <v>1</v>
      </c>
      <c r="J706" s="7"/>
      <c r="K706" s="51">
        <v>41726</v>
      </c>
      <c r="L706" s="115"/>
      <c r="N706" s="50" t="s">
        <v>2</v>
      </c>
      <c r="AE706" s="50">
        <v>0.39</v>
      </c>
    </row>
    <row r="707" spans="1:44" ht="15" customHeight="1">
      <c r="A707" s="293" t="s">
        <v>68</v>
      </c>
      <c r="B707" s="50" t="s">
        <v>2684</v>
      </c>
      <c r="C707" s="7" t="s">
        <v>2688</v>
      </c>
      <c r="D707" s="14" t="s">
        <v>836</v>
      </c>
      <c r="E707" s="7" t="s">
        <v>364</v>
      </c>
      <c r="F707" s="7"/>
      <c r="G707" s="15" t="s">
        <v>4077</v>
      </c>
      <c r="H707" s="7">
        <v>4953</v>
      </c>
      <c r="I707" s="19" t="s">
        <v>2</v>
      </c>
      <c r="J707" s="7" t="s">
        <v>5584</v>
      </c>
      <c r="K707" s="51">
        <v>41717</v>
      </c>
      <c r="L707" s="115">
        <v>41710</v>
      </c>
      <c r="N707" s="50" t="s">
        <v>2</v>
      </c>
      <c r="O707" s="74">
        <v>39</v>
      </c>
      <c r="P707" s="50">
        <v>5</v>
      </c>
      <c r="Q707" s="74">
        <v>7.41</v>
      </c>
      <c r="R707" s="50">
        <v>73</v>
      </c>
      <c r="S707" s="74">
        <v>1300</v>
      </c>
      <c r="T707" s="50">
        <v>1.25</v>
      </c>
      <c r="U707" s="74">
        <v>9.25</v>
      </c>
      <c r="V707" s="50">
        <v>0.57999999999999996</v>
      </c>
      <c r="W707" s="74">
        <v>0.05</v>
      </c>
      <c r="X707" s="50">
        <v>0.125</v>
      </c>
      <c r="Y707" s="74">
        <v>2.8000000000000001E-2</v>
      </c>
    </row>
    <row r="708" spans="1:44" ht="15" customHeight="1">
      <c r="A708" s="293" t="s">
        <v>68</v>
      </c>
      <c r="B708" s="50" t="s">
        <v>2794</v>
      </c>
      <c r="C708" s="7" t="s">
        <v>3400</v>
      </c>
      <c r="D708" s="14" t="s">
        <v>397</v>
      </c>
      <c r="E708" s="7" t="s">
        <v>3401</v>
      </c>
      <c r="F708" s="7"/>
      <c r="G708" s="15" t="s">
        <v>3402</v>
      </c>
      <c r="H708" s="7">
        <v>4953</v>
      </c>
      <c r="I708" s="19" t="s">
        <v>2</v>
      </c>
      <c r="J708" s="7" t="s">
        <v>74</v>
      </c>
      <c r="K708" s="51">
        <v>41653</v>
      </c>
      <c r="L708" s="115">
        <v>41649</v>
      </c>
      <c r="N708" s="50" t="s">
        <v>2</v>
      </c>
      <c r="O708" s="74">
        <v>24</v>
      </c>
      <c r="Q708" s="74">
        <v>6.34</v>
      </c>
      <c r="R708" s="50">
        <v>110</v>
      </c>
      <c r="S708" s="74">
        <v>600</v>
      </c>
      <c r="T708" s="50">
        <v>1.31</v>
      </c>
      <c r="U708" s="74">
        <v>6.75</v>
      </c>
      <c r="V708" s="50">
        <v>0.14000000000000001</v>
      </c>
      <c r="W708" s="74">
        <v>0.14099999999999999</v>
      </c>
      <c r="X708" s="50">
        <v>0.36599999999999999</v>
      </c>
      <c r="Y708" s="74">
        <v>0.189</v>
      </c>
      <c r="Z708" s="164">
        <v>1</v>
      </c>
      <c r="AA708" s="165">
        <v>1</v>
      </c>
      <c r="AB708" s="50">
        <v>28</v>
      </c>
      <c r="AC708" s="74">
        <v>1020</v>
      </c>
      <c r="AD708" s="164">
        <v>0.9</v>
      </c>
    </row>
    <row r="709" spans="1:44" ht="15" customHeight="1">
      <c r="A709" s="293" t="s">
        <v>68</v>
      </c>
      <c r="B709" s="50" t="s">
        <v>82</v>
      </c>
      <c r="C709" s="7" t="s">
        <v>83</v>
      </c>
      <c r="D709" s="14" t="s">
        <v>595</v>
      </c>
      <c r="E709" s="7" t="s">
        <v>5585</v>
      </c>
      <c r="F709" s="7"/>
      <c r="G709" s="15" t="s">
        <v>86</v>
      </c>
      <c r="H709" s="7">
        <v>4953</v>
      </c>
      <c r="I709" s="19" t="s">
        <v>2</v>
      </c>
      <c r="J709" s="7" t="s">
        <v>284</v>
      </c>
      <c r="K709" s="51">
        <v>41605</v>
      </c>
      <c r="L709" s="115">
        <v>41602</v>
      </c>
      <c r="N709" s="50" t="s">
        <v>2</v>
      </c>
      <c r="P709" s="50">
        <v>7.96</v>
      </c>
      <c r="Q709" s="74">
        <v>7.22</v>
      </c>
      <c r="AE709" s="50">
        <v>0.12</v>
      </c>
    </row>
    <row r="710" spans="1:44" ht="15" customHeight="1">
      <c r="A710" s="293" t="s">
        <v>68</v>
      </c>
      <c r="B710" s="50" t="s">
        <v>2222</v>
      </c>
      <c r="C710" s="7" t="s">
        <v>3432</v>
      </c>
      <c r="D710" s="14" t="s">
        <v>372</v>
      </c>
      <c r="E710" s="7" t="s">
        <v>3428</v>
      </c>
      <c r="F710" s="7" t="s">
        <v>2896</v>
      </c>
      <c r="G710" s="15" t="s">
        <v>3429</v>
      </c>
      <c r="H710" s="7">
        <v>4953</v>
      </c>
      <c r="I710" s="19" t="s">
        <v>2</v>
      </c>
      <c r="J710" s="7" t="s">
        <v>3430</v>
      </c>
      <c r="K710" s="51">
        <v>41637</v>
      </c>
      <c r="L710" s="115"/>
      <c r="N710" s="50" t="s">
        <v>2</v>
      </c>
      <c r="AE710" s="50">
        <v>1.18</v>
      </c>
    </row>
    <row r="711" spans="1:44" ht="15" customHeight="1">
      <c r="A711" s="293" t="s">
        <v>68</v>
      </c>
      <c r="B711" s="50" t="s">
        <v>5586</v>
      </c>
      <c r="C711" s="7" t="s">
        <v>5587</v>
      </c>
      <c r="D711" s="14" t="s">
        <v>636</v>
      </c>
      <c r="E711" s="7" t="s">
        <v>1859</v>
      </c>
      <c r="F711" s="7"/>
      <c r="G711" s="15" t="s">
        <v>5588</v>
      </c>
      <c r="H711" s="7">
        <v>4953</v>
      </c>
      <c r="I711" s="19" t="s">
        <v>1</v>
      </c>
      <c r="J711" s="7" t="s">
        <v>5589</v>
      </c>
      <c r="K711" s="51">
        <v>41645</v>
      </c>
      <c r="L711" s="115">
        <v>40321</v>
      </c>
      <c r="N711" s="50" t="s">
        <v>1</v>
      </c>
      <c r="O711" s="74">
        <f>4.9/2</f>
        <v>2.4500000000000002</v>
      </c>
      <c r="P711" s="50">
        <v>6.6</v>
      </c>
      <c r="Q711" s="74">
        <v>7.23</v>
      </c>
      <c r="R711" s="50">
        <v>17.7</v>
      </c>
      <c r="S711" s="74">
        <v>18.8</v>
      </c>
      <c r="T711" s="50">
        <f>0.05/2</f>
        <v>2.5000000000000001E-2</v>
      </c>
      <c r="U711" s="74">
        <v>0.51</v>
      </c>
      <c r="V711" s="50">
        <f>0.1/2</f>
        <v>0.05</v>
      </c>
      <c r="W711" s="74">
        <v>1.4E-2</v>
      </c>
      <c r="X711" s="50">
        <v>0.1</v>
      </c>
      <c r="Y711" s="74">
        <v>1.2999999999999999E-2</v>
      </c>
      <c r="Z711" s="164">
        <v>1</v>
      </c>
      <c r="AA711" s="165">
        <v>1</v>
      </c>
      <c r="AB711" s="50">
        <v>180</v>
      </c>
      <c r="AC711" s="74">
        <v>779</v>
      </c>
      <c r="AD711" s="164">
        <v>1</v>
      </c>
      <c r="AE711" s="50">
        <v>1.1000000000000001</v>
      </c>
      <c r="AR711" s="50">
        <f>0.0002/2</f>
        <v>1E-4</v>
      </c>
    </row>
    <row r="712" spans="1:44" ht="15" customHeight="1">
      <c r="A712" s="293" t="s">
        <v>68</v>
      </c>
      <c r="B712" s="50" t="s">
        <v>4137</v>
      </c>
      <c r="C712" s="7" t="s">
        <v>3561</v>
      </c>
      <c r="D712" s="14" t="s">
        <v>262</v>
      </c>
      <c r="E712" s="7" t="s">
        <v>3562</v>
      </c>
      <c r="F712" s="7"/>
      <c r="G712" s="15" t="s">
        <v>3565</v>
      </c>
      <c r="H712" s="7">
        <v>4953</v>
      </c>
      <c r="I712" s="19" t="s">
        <v>2</v>
      </c>
      <c r="J712" s="7" t="s">
        <v>3563</v>
      </c>
      <c r="K712" s="51">
        <v>41604</v>
      </c>
      <c r="L712" s="115">
        <v>41600</v>
      </c>
      <c r="N712" s="50" t="s">
        <v>2</v>
      </c>
      <c r="P712" s="50">
        <v>8.2799999999999994</v>
      </c>
      <c r="Q712" s="74">
        <v>8.64</v>
      </c>
      <c r="T712" s="50">
        <v>0.35</v>
      </c>
      <c r="U712" s="74">
        <v>4.17</v>
      </c>
      <c r="W712" s="74">
        <v>0.19</v>
      </c>
      <c r="X712" s="50">
        <v>0.24</v>
      </c>
      <c r="Y712" s="74">
        <f>0.05/2</f>
        <v>2.5000000000000001E-2</v>
      </c>
    </row>
    <row r="713" spans="1:44" ht="15" customHeight="1">
      <c r="A713" s="293" t="s">
        <v>68</v>
      </c>
      <c r="B713" s="50" t="s">
        <v>4137</v>
      </c>
      <c r="C713" s="7" t="s">
        <v>3561</v>
      </c>
      <c r="D713" s="14" t="s">
        <v>262</v>
      </c>
      <c r="E713" s="7" t="s">
        <v>3562</v>
      </c>
      <c r="F713" s="7"/>
      <c r="G713" s="15" t="s">
        <v>3565</v>
      </c>
      <c r="H713" s="7">
        <v>4953</v>
      </c>
      <c r="I713" s="19" t="s">
        <v>2</v>
      </c>
      <c r="J713" s="7" t="s">
        <v>3564</v>
      </c>
      <c r="K713" s="51">
        <v>41604</v>
      </c>
      <c r="L713" s="115">
        <v>41600</v>
      </c>
      <c r="N713" s="50" t="s">
        <v>2</v>
      </c>
      <c r="P713" s="50">
        <v>8.2799999999999994</v>
      </c>
      <c r="Q713" s="74">
        <v>8.32</v>
      </c>
      <c r="R713" s="50">
        <v>43</v>
      </c>
      <c r="S713" s="74">
        <v>7</v>
      </c>
      <c r="T713" s="50">
        <v>0.62</v>
      </c>
      <c r="U713" s="74">
        <v>3.01</v>
      </c>
      <c r="W713" s="74">
        <v>0.17</v>
      </c>
      <c r="X713" s="50">
        <v>0.22</v>
      </c>
      <c r="Y713" s="74">
        <f>0.05/2</f>
        <v>2.5000000000000001E-2</v>
      </c>
    </row>
    <row r="714" spans="1:44" ht="15" customHeight="1">
      <c r="A714" s="293" t="s">
        <v>68</v>
      </c>
      <c r="B714" s="50" t="s">
        <v>4137</v>
      </c>
      <c r="C714" s="7" t="s">
        <v>3561</v>
      </c>
      <c r="D714" s="14" t="s">
        <v>262</v>
      </c>
      <c r="E714" s="7" t="s">
        <v>1976</v>
      </c>
      <c r="F714" s="7"/>
      <c r="G714" s="15" t="s">
        <v>3565</v>
      </c>
      <c r="H714" s="7">
        <v>4953</v>
      </c>
      <c r="I714" s="19" t="s">
        <v>2</v>
      </c>
      <c r="J714" s="7" t="s">
        <v>3566</v>
      </c>
      <c r="K714" s="51">
        <v>41605</v>
      </c>
      <c r="L714" s="115">
        <v>41600</v>
      </c>
      <c r="N714" s="50" t="s">
        <v>2</v>
      </c>
      <c r="P714" s="50">
        <v>8.2799999999999994</v>
      </c>
      <c r="Q714" s="74">
        <v>7.57</v>
      </c>
      <c r="T714" s="50">
        <v>0.68</v>
      </c>
      <c r="W714" s="74">
        <v>0.45</v>
      </c>
      <c r="X714" s="50">
        <v>0.41</v>
      </c>
      <c r="Y714" s="74">
        <v>0.09</v>
      </c>
      <c r="Z714" s="164">
        <v>1</v>
      </c>
      <c r="AA714" s="165">
        <v>1</v>
      </c>
      <c r="AC714" s="74">
        <v>192</v>
      </c>
      <c r="AD714" s="164">
        <v>1</v>
      </c>
    </row>
    <row r="715" spans="1:44" ht="15" customHeight="1">
      <c r="A715" s="293" t="s">
        <v>68</v>
      </c>
      <c r="B715" s="50" t="s">
        <v>2740</v>
      </c>
      <c r="C715" s="7" t="s">
        <v>5590</v>
      </c>
      <c r="D715" s="14" t="s">
        <v>2741</v>
      </c>
      <c r="E715" s="7" t="s">
        <v>3367</v>
      </c>
      <c r="F715" s="7" t="s">
        <v>3368</v>
      </c>
      <c r="G715" s="15" t="s">
        <v>3369</v>
      </c>
      <c r="H715" s="7">
        <v>4953</v>
      </c>
      <c r="I715" s="19" t="s">
        <v>2</v>
      </c>
      <c r="J715" s="7" t="s">
        <v>569</v>
      </c>
      <c r="K715" s="51">
        <v>41443</v>
      </c>
      <c r="L715" s="115">
        <v>41439</v>
      </c>
      <c r="N715" s="50" t="s">
        <v>2</v>
      </c>
      <c r="O715" s="74">
        <f t="shared" ref="O715:O720" si="37">1.4/2</f>
        <v>0.7</v>
      </c>
      <c r="P715" s="50">
        <v>6.5</v>
      </c>
      <c r="Q715" s="74">
        <v>7.56</v>
      </c>
      <c r="R715" s="50">
        <v>107</v>
      </c>
      <c r="S715" s="74">
        <v>13</v>
      </c>
      <c r="T715" s="50">
        <v>0.39</v>
      </c>
      <c r="U715" s="74">
        <v>2</v>
      </c>
      <c r="V715" s="50">
        <v>0.26</v>
      </c>
      <c r="W715" s="74">
        <v>1.2E-2</v>
      </c>
      <c r="X715" s="50">
        <v>4.1000000000000002E-2</v>
      </c>
      <c r="Y715" s="74">
        <v>8.0000000000000002E-3</v>
      </c>
      <c r="Z715" s="164">
        <v>1</v>
      </c>
      <c r="AA715" s="165">
        <v>1</v>
      </c>
      <c r="AB715" s="50">
        <v>30</v>
      </c>
      <c r="AC715" s="74">
        <v>257</v>
      </c>
      <c r="AD715" s="164">
        <v>1</v>
      </c>
      <c r="AE715" s="50">
        <v>0.89300000000000002</v>
      </c>
      <c r="AF715" s="50">
        <v>4.5999999999999996</v>
      </c>
      <c r="AG715" s="50">
        <v>13</v>
      </c>
      <c r="AH715" s="50">
        <v>0.14000000000000001</v>
      </c>
      <c r="AM715" s="50">
        <v>4.1000000000000002E-2</v>
      </c>
      <c r="AN715" s="114">
        <v>7.56</v>
      </c>
    </row>
    <row r="716" spans="1:44" ht="15" customHeight="1">
      <c r="A716" s="293" t="s">
        <v>68</v>
      </c>
      <c r="B716" s="50" t="s">
        <v>2740</v>
      </c>
      <c r="C716" s="7" t="s">
        <v>5590</v>
      </c>
      <c r="D716" s="14" t="s">
        <v>2741</v>
      </c>
      <c r="E716" s="7" t="s">
        <v>3367</v>
      </c>
      <c r="F716" s="7" t="s">
        <v>3368</v>
      </c>
      <c r="G716" s="15" t="s">
        <v>3369</v>
      </c>
      <c r="H716" s="7">
        <v>4953</v>
      </c>
      <c r="I716" s="19" t="s">
        <v>2</v>
      </c>
      <c r="J716" s="7" t="s">
        <v>194</v>
      </c>
      <c r="K716" s="51">
        <v>41443</v>
      </c>
      <c r="L716" s="115">
        <v>41439</v>
      </c>
      <c r="N716" s="50" t="s">
        <v>2</v>
      </c>
      <c r="O716" s="74">
        <f t="shared" si="37"/>
        <v>0.7</v>
      </c>
      <c r="P716" s="50">
        <v>6.5</v>
      </c>
      <c r="Q716" s="74">
        <v>7.8</v>
      </c>
      <c r="R716" s="50">
        <v>127</v>
      </c>
      <c r="S716" s="74">
        <v>36</v>
      </c>
      <c r="T716" s="50">
        <v>0.5</v>
      </c>
      <c r="U716" s="74">
        <v>2.73</v>
      </c>
      <c r="V716" s="50">
        <v>0.05</v>
      </c>
      <c r="W716" s="74">
        <v>1.9E-2</v>
      </c>
      <c r="X716" s="50">
        <v>0.109</v>
      </c>
      <c r="Y716" s="74">
        <v>1.4999999999999999E-2</v>
      </c>
      <c r="Z716" s="164">
        <v>1</v>
      </c>
      <c r="AA716" s="165">
        <v>1</v>
      </c>
      <c r="AB716" s="50">
        <v>52</v>
      </c>
      <c r="AC716" s="74">
        <v>200</v>
      </c>
      <c r="AD716" s="164">
        <v>1</v>
      </c>
      <c r="AE716" s="50">
        <v>2.85</v>
      </c>
      <c r="AF716" s="50">
        <v>8.4</v>
      </c>
      <c r="AG716" s="50">
        <v>36</v>
      </c>
      <c r="AH716" s="50">
        <v>0.27</v>
      </c>
      <c r="AM716" s="50">
        <v>0.109</v>
      </c>
      <c r="AN716" s="114">
        <v>7.8</v>
      </c>
    </row>
    <row r="717" spans="1:44" ht="15" customHeight="1">
      <c r="A717" s="293" t="s">
        <v>68</v>
      </c>
      <c r="B717" s="50" t="s">
        <v>2740</v>
      </c>
      <c r="C717" s="7" t="s">
        <v>5590</v>
      </c>
      <c r="D717" s="14" t="s">
        <v>2741</v>
      </c>
      <c r="E717" s="7" t="s">
        <v>3367</v>
      </c>
      <c r="F717" s="7" t="s">
        <v>3368</v>
      </c>
      <c r="G717" s="15" t="s">
        <v>3369</v>
      </c>
      <c r="H717" s="7">
        <v>4953</v>
      </c>
      <c r="I717" s="19" t="s">
        <v>2</v>
      </c>
      <c r="J717" s="7" t="s">
        <v>194</v>
      </c>
      <c r="K717" s="51">
        <v>41585</v>
      </c>
      <c r="L717" s="115">
        <v>41565</v>
      </c>
      <c r="N717" s="50" t="s">
        <v>2</v>
      </c>
      <c r="O717" s="74">
        <f t="shared" si="37"/>
        <v>0.7</v>
      </c>
      <c r="P717" s="50">
        <v>6.4</v>
      </c>
      <c r="Q717" s="74">
        <v>6.9</v>
      </c>
      <c r="R717" s="50">
        <v>87</v>
      </c>
      <c r="S717" s="74">
        <v>46</v>
      </c>
      <c r="T717" s="50">
        <v>0.47</v>
      </c>
      <c r="U717" s="74">
        <v>2.65</v>
      </c>
      <c r="V717" s="50">
        <v>7.0000000000000007E-2</v>
      </c>
      <c r="W717" s="74">
        <v>1.9E-2</v>
      </c>
      <c r="X717" s="50">
        <v>0.14099999999999999</v>
      </c>
      <c r="Y717" s="74">
        <v>1.4E-2</v>
      </c>
      <c r="AE717" s="50">
        <v>3.36</v>
      </c>
      <c r="AF717" s="50">
        <v>18</v>
      </c>
      <c r="AG717" s="50">
        <v>46</v>
      </c>
      <c r="AH717" s="50">
        <v>0.28999999999999998</v>
      </c>
      <c r="AI717" s="50">
        <f t="shared" ref="AI717:AL718" si="38">0.01/2</f>
        <v>5.0000000000000001E-3</v>
      </c>
      <c r="AJ717" s="50">
        <f t="shared" si="38"/>
        <v>5.0000000000000001E-3</v>
      </c>
      <c r="AK717" s="50">
        <f t="shared" si="38"/>
        <v>5.0000000000000001E-3</v>
      </c>
      <c r="AL717" s="50">
        <f t="shared" si="38"/>
        <v>5.0000000000000001E-3</v>
      </c>
      <c r="AM717" s="50">
        <v>0.109</v>
      </c>
      <c r="AN717" s="114">
        <v>7.8</v>
      </c>
    </row>
    <row r="718" spans="1:44" ht="15" customHeight="1">
      <c r="A718" s="293" t="s">
        <v>68</v>
      </c>
      <c r="B718" s="50" t="s">
        <v>2740</v>
      </c>
      <c r="C718" s="7" t="s">
        <v>5590</v>
      </c>
      <c r="D718" s="14" t="s">
        <v>2741</v>
      </c>
      <c r="E718" s="7" t="s">
        <v>3367</v>
      </c>
      <c r="F718" s="7" t="s">
        <v>3368</v>
      </c>
      <c r="G718" s="15" t="s">
        <v>3369</v>
      </c>
      <c r="H718" s="7">
        <v>4953</v>
      </c>
      <c r="I718" s="19" t="s">
        <v>2</v>
      </c>
      <c r="J718" s="7" t="s">
        <v>569</v>
      </c>
      <c r="K718" s="51">
        <v>41585</v>
      </c>
      <c r="L718" s="115">
        <v>41565</v>
      </c>
      <c r="N718" s="50" t="s">
        <v>2</v>
      </c>
      <c r="O718" s="74">
        <f t="shared" si="37"/>
        <v>0.7</v>
      </c>
      <c r="P718" s="50">
        <v>6.4</v>
      </c>
      <c r="Q718" s="74">
        <v>6.08</v>
      </c>
      <c r="R718" s="50">
        <v>70</v>
      </c>
      <c r="S718" s="74">
        <v>190</v>
      </c>
      <c r="T718" s="50">
        <v>0.68</v>
      </c>
      <c r="U718" s="74">
        <v>5.47</v>
      </c>
      <c r="V718" s="50">
        <v>0.47</v>
      </c>
      <c r="W718" s="74">
        <v>2.9000000000000001E-2</v>
      </c>
      <c r="X718" s="50">
        <v>0.113</v>
      </c>
      <c r="Y718" s="74">
        <v>6.0000000000000001E-3</v>
      </c>
      <c r="AE718" s="50">
        <v>4.07</v>
      </c>
      <c r="AF718" s="50">
        <v>27</v>
      </c>
      <c r="AG718" s="50">
        <v>190</v>
      </c>
      <c r="AH718" s="50">
        <v>0.51</v>
      </c>
      <c r="AI718" s="50">
        <f t="shared" si="38"/>
        <v>5.0000000000000001E-3</v>
      </c>
      <c r="AJ718" s="50">
        <f t="shared" si="38"/>
        <v>5.0000000000000001E-3</v>
      </c>
      <c r="AK718" s="50">
        <f t="shared" si="38"/>
        <v>5.0000000000000001E-3</v>
      </c>
      <c r="AL718" s="50">
        <f t="shared" si="38"/>
        <v>5.0000000000000001E-3</v>
      </c>
      <c r="AM718" s="50">
        <v>0.113</v>
      </c>
      <c r="AN718" s="114">
        <v>6.08</v>
      </c>
    </row>
    <row r="719" spans="1:44" ht="15" customHeight="1">
      <c r="A719" s="293" t="s">
        <v>68</v>
      </c>
      <c r="B719" s="50" t="s">
        <v>457</v>
      </c>
      <c r="C719" s="7" t="s">
        <v>392</v>
      </c>
      <c r="D719" s="14" t="s">
        <v>458</v>
      </c>
      <c r="E719" s="7" t="s">
        <v>969</v>
      </c>
      <c r="F719" s="7">
        <v>4710</v>
      </c>
      <c r="G719" s="15" t="s">
        <v>459</v>
      </c>
      <c r="H719" s="7">
        <v>9199</v>
      </c>
      <c r="I719" s="19" t="s">
        <v>2</v>
      </c>
      <c r="J719" s="7" t="s">
        <v>460</v>
      </c>
      <c r="K719" s="51">
        <v>41585</v>
      </c>
      <c r="L719" s="115">
        <v>41579</v>
      </c>
      <c r="N719" s="50" t="s">
        <v>2</v>
      </c>
      <c r="O719" s="74">
        <f t="shared" si="37"/>
        <v>0.7</v>
      </c>
      <c r="P719" s="50">
        <v>5.2</v>
      </c>
      <c r="Q719" s="74">
        <v>7.6</v>
      </c>
      <c r="R719" s="50">
        <v>35</v>
      </c>
      <c r="S719" s="74">
        <v>9</v>
      </c>
      <c r="T719" s="50">
        <v>0.19</v>
      </c>
      <c r="U719" s="74">
        <v>0.59</v>
      </c>
      <c r="V719" s="50">
        <v>0.11</v>
      </c>
      <c r="W719" s="74">
        <f>0.005/2</f>
        <v>2.5000000000000001E-3</v>
      </c>
      <c r="X719" s="50">
        <v>1.9E-3</v>
      </c>
      <c r="Y719" s="74">
        <v>3.0000000000000001E-3</v>
      </c>
    </row>
    <row r="720" spans="1:44" ht="15" customHeight="1">
      <c r="A720" s="293" t="s">
        <v>68</v>
      </c>
      <c r="B720" s="50" t="s">
        <v>457</v>
      </c>
      <c r="C720" s="7" t="s">
        <v>392</v>
      </c>
      <c r="D720" s="14" t="s">
        <v>458</v>
      </c>
      <c r="E720" s="7" t="s">
        <v>969</v>
      </c>
      <c r="F720" s="7">
        <v>4710</v>
      </c>
      <c r="G720" s="15" t="s">
        <v>459</v>
      </c>
      <c r="H720" s="7">
        <v>9199</v>
      </c>
      <c r="I720" s="19" t="s">
        <v>2</v>
      </c>
      <c r="J720" s="7" t="s">
        <v>357</v>
      </c>
      <c r="K720" s="51">
        <v>41585</v>
      </c>
      <c r="L720" s="115">
        <v>41579</v>
      </c>
      <c r="N720" s="50" t="s">
        <v>2</v>
      </c>
      <c r="O720" s="74">
        <f t="shared" si="37"/>
        <v>0.7</v>
      </c>
      <c r="P720" s="50">
        <v>5.2</v>
      </c>
      <c r="Q720" s="74">
        <v>7.1</v>
      </c>
      <c r="R720" s="50">
        <v>54</v>
      </c>
      <c r="S720" s="74">
        <v>58</v>
      </c>
      <c r="T720" s="50">
        <v>0.27</v>
      </c>
      <c r="U720" s="74">
        <v>0.65</v>
      </c>
      <c r="V720" s="50">
        <v>0.15</v>
      </c>
      <c r="W720" s="74">
        <v>1.4999999999999999E-2</v>
      </c>
      <c r="X720" s="50">
        <v>5.6000000000000001E-2</v>
      </c>
      <c r="Y720" s="74">
        <v>8.0000000000000002E-3</v>
      </c>
    </row>
    <row r="721" spans="1:50" ht="15" customHeight="1">
      <c r="A721" s="293" t="s">
        <v>68</v>
      </c>
      <c r="B721" s="50" t="s">
        <v>4801</v>
      </c>
      <c r="C721" s="7" t="s">
        <v>4763</v>
      </c>
      <c r="D721" s="14" t="s">
        <v>347</v>
      </c>
      <c r="E721" s="7" t="s">
        <v>4802</v>
      </c>
      <c r="F721" s="7"/>
      <c r="G721" s="15" t="s">
        <v>1118</v>
      </c>
      <c r="H721" s="7">
        <v>4953</v>
      </c>
      <c r="I721" s="19" t="s">
        <v>2</v>
      </c>
      <c r="J721" s="7" t="s">
        <v>5591</v>
      </c>
      <c r="K721" s="51">
        <v>41579</v>
      </c>
      <c r="L721" s="115">
        <v>41554</v>
      </c>
      <c r="M721" s="50">
        <f>K721-L721</f>
        <v>25</v>
      </c>
      <c r="N721" s="50" t="s">
        <v>2</v>
      </c>
      <c r="O721" s="74">
        <f>2/2</f>
        <v>1</v>
      </c>
      <c r="P721" s="50">
        <v>7.05</v>
      </c>
      <c r="Q721" s="74">
        <v>6.9</v>
      </c>
      <c r="R721" s="50">
        <v>32</v>
      </c>
      <c r="S721" s="74">
        <v>7</v>
      </c>
      <c r="T721" s="50">
        <v>0.14000000000000001</v>
      </c>
      <c r="U721" s="74">
        <v>0.92</v>
      </c>
      <c r="V721" s="50">
        <v>1.64</v>
      </c>
      <c r="W721" s="74">
        <v>6.1000000000000004E-3</v>
      </c>
      <c r="X721" s="50">
        <v>0.16500000000000001</v>
      </c>
      <c r="Y721" s="74">
        <f>0.03/2</f>
        <v>1.4999999999999999E-2</v>
      </c>
      <c r="Z721" s="164">
        <v>1</v>
      </c>
      <c r="AA721" s="165">
        <v>1</v>
      </c>
      <c r="AB721" s="50">
        <v>26</v>
      </c>
      <c r="AC721" s="74">
        <v>97</v>
      </c>
      <c r="AD721" s="164">
        <v>0.7</v>
      </c>
    </row>
    <row r="722" spans="1:50" ht="15" customHeight="1">
      <c r="A722" s="293" t="s">
        <v>68</v>
      </c>
      <c r="B722" s="50" t="s">
        <v>4801</v>
      </c>
      <c r="C722" s="7" t="s">
        <v>4763</v>
      </c>
      <c r="D722" s="14" t="s">
        <v>347</v>
      </c>
      <c r="E722" s="7" t="s">
        <v>4802</v>
      </c>
      <c r="F722" s="7"/>
      <c r="G722" s="15" t="s">
        <v>1121</v>
      </c>
      <c r="H722" s="7">
        <v>4953</v>
      </c>
      <c r="I722" s="19" t="s">
        <v>2</v>
      </c>
      <c r="J722" s="7" t="s">
        <v>5592</v>
      </c>
      <c r="K722" s="51">
        <v>41579</v>
      </c>
      <c r="L722" s="115">
        <v>41919</v>
      </c>
      <c r="N722" s="50" t="s">
        <v>2</v>
      </c>
      <c r="O722" s="74">
        <f>2/2</f>
        <v>1</v>
      </c>
      <c r="P722" s="50">
        <v>7.1</v>
      </c>
      <c r="Q722" s="74">
        <v>6.7</v>
      </c>
      <c r="R722" s="50">
        <v>34</v>
      </c>
      <c r="S722" s="74">
        <v>45</v>
      </c>
      <c r="T722" s="50">
        <v>7.0000000000000007E-2</v>
      </c>
      <c r="U722" s="74">
        <v>2</v>
      </c>
      <c r="V722" s="50">
        <v>0.73</v>
      </c>
      <c r="W722" s="74">
        <v>2.8000000000000001E-2</v>
      </c>
      <c r="X722" s="50">
        <v>0.26</v>
      </c>
      <c r="Y722" s="74">
        <f>0.03/2</f>
        <v>1.4999999999999999E-2</v>
      </c>
      <c r="Z722" s="164">
        <v>1</v>
      </c>
      <c r="AA722" s="165">
        <v>1</v>
      </c>
      <c r="AB722" s="50">
        <v>14</v>
      </c>
      <c r="AC722" s="74">
        <v>78</v>
      </c>
      <c r="AD722" s="164">
        <v>0.8</v>
      </c>
    </row>
    <row r="723" spans="1:50" ht="15" customHeight="1">
      <c r="A723" s="293" t="s">
        <v>68</v>
      </c>
      <c r="B723" s="50" t="s">
        <v>2820</v>
      </c>
      <c r="C723" s="7" t="s">
        <v>4076</v>
      </c>
      <c r="D723" s="14" t="s">
        <v>588</v>
      </c>
      <c r="E723" s="7"/>
      <c r="F723" s="7" t="s">
        <v>3503</v>
      </c>
      <c r="G723" s="15" t="s">
        <v>3504</v>
      </c>
      <c r="H723" s="7">
        <v>4953</v>
      </c>
      <c r="I723" s="19" t="s">
        <v>2</v>
      </c>
      <c r="J723" s="7" t="s">
        <v>510</v>
      </c>
      <c r="K723" s="51">
        <v>41605</v>
      </c>
      <c r="L723" s="115">
        <v>41596</v>
      </c>
      <c r="N723" s="50" t="s">
        <v>2</v>
      </c>
      <c r="P723" s="50">
        <v>6.5</v>
      </c>
      <c r="V723" s="50">
        <v>0.96</v>
      </c>
    </row>
    <row r="724" spans="1:50" ht="15" customHeight="1">
      <c r="A724" s="293" t="s">
        <v>68</v>
      </c>
      <c r="B724" s="50" t="s">
        <v>4147</v>
      </c>
      <c r="C724" s="7" t="s">
        <v>3469</v>
      </c>
      <c r="D724" s="14" t="s">
        <v>1129</v>
      </c>
      <c r="E724" s="7" t="s">
        <v>398</v>
      </c>
      <c r="F724" s="7"/>
      <c r="G724" s="15" t="s">
        <v>3181</v>
      </c>
      <c r="H724" s="7">
        <v>4953</v>
      </c>
      <c r="I724" s="19" t="s">
        <v>1</v>
      </c>
      <c r="J724" s="7" t="s">
        <v>1376</v>
      </c>
      <c r="K724" s="51">
        <v>41653</v>
      </c>
      <c r="L724" s="115" t="s">
        <v>5620</v>
      </c>
      <c r="N724" s="50" t="s">
        <v>1</v>
      </c>
      <c r="O724" s="74">
        <v>1.5</v>
      </c>
      <c r="P724" s="50">
        <v>6</v>
      </c>
      <c r="Q724" s="74">
        <v>6.8</v>
      </c>
      <c r="R724" s="50">
        <v>160</v>
      </c>
      <c r="S724" s="74">
        <v>58</v>
      </c>
      <c r="T724" s="50">
        <v>0.7</v>
      </c>
      <c r="U724" s="74">
        <v>6.8</v>
      </c>
      <c r="W724" s="74">
        <v>3.1E-2</v>
      </c>
      <c r="X724" s="50">
        <v>0.4</v>
      </c>
      <c r="Y724" s="74">
        <v>4.8000000000000001E-2</v>
      </c>
      <c r="AQ724" s="49">
        <v>10400</v>
      </c>
      <c r="AX724">
        <v>2700</v>
      </c>
    </row>
    <row r="725" spans="1:50" ht="15" customHeight="1">
      <c r="A725" s="293" t="s">
        <v>68</v>
      </c>
      <c r="B725" s="50" t="s">
        <v>1457</v>
      </c>
      <c r="C725" s="7" t="s">
        <v>1461</v>
      </c>
      <c r="D725" s="14" t="s">
        <v>257</v>
      </c>
      <c r="E725" s="7" t="s">
        <v>5593</v>
      </c>
      <c r="F725" s="7" t="s">
        <v>5594</v>
      </c>
      <c r="G725" s="15" t="s">
        <v>1462</v>
      </c>
      <c r="H725" s="7">
        <v>4953</v>
      </c>
      <c r="I725" s="19" t="s">
        <v>1</v>
      </c>
      <c r="J725" s="7" t="s">
        <v>5595</v>
      </c>
      <c r="K725" s="51">
        <v>41345</v>
      </c>
      <c r="L725" s="115">
        <v>41339</v>
      </c>
      <c r="N725" s="50" t="s">
        <v>2</v>
      </c>
      <c r="O725" s="74">
        <f>2/2</f>
        <v>1</v>
      </c>
      <c r="Q725" s="74">
        <v>7.9</v>
      </c>
      <c r="R725" s="50">
        <v>118</v>
      </c>
      <c r="S725" s="74">
        <v>12</v>
      </c>
      <c r="T725" s="50">
        <v>0.06</v>
      </c>
      <c r="U725" s="74">
        <v>3.81</v>
      </c>
      <c r="V725" s="50">
        <v>0.45</v>
      </c>
      <c r="W725" s="74">
        <v>3.5000000000000003E-2</v>
      </c>
      <c r="X725" s="50">
        <f>0.03/2</f>
        <v>1.4999999999999999E-2</v>
      </c>
      <c r="Y725" s="74">
        <f>0.03/2</f>
        <v>1.4999999999999999E-2</v>
      </c>
      <c r="Z725" s="164">
        <v>1</v>
      </c>
      <c r="AA725" s="165">
        <v>1</v>
      </c>
      <c r="AB725" s="50">
        <v>346</v>
      </c>
      <c r="AC725" s="74">
        <v>1198</v>
      </c>
      <c r="AD725" s="164">
        <v>1</v>
      </c>
      <c r="AE725" s="50">
        <v>0.39</v>
      </c>
      <c r="AF725" s="50">
        <f>3/2</f>
        <v>1.5</v>
      </c>
      <c r="AG725" s="50">
        <v>12</v>
      </c>
      <c r="AH725" s="50">
        <v>0.53</v>
      </c>
      <c r="AI725" s="50">
        <f>0.01/2</f>
        <v>5.0000000000000001E-3</v>
      </c>
      <c r="AJ725" s="50">
        <f>0.05/2</f>
        <v>2.5000000000000001E-2</v>
      </c>
      <c r="AK725" s="50">
        <f t="shared" ref="AK725:AL728" si="39">0.02/2</f>
        <v>0.01</v>
      </c>
      <c r="AL725" s="50">
        <f t="shared" si="39"/>
        <v>0.01</v>
      </c>
      <c r="AM725" s="50">
        <f>0.03/2</f>
        <v>1.4999999999999999E-2</v>
      </c>
      <c r="AN725" s="114">
        <v>7.9</v>
      </c>
      <c r="AO725" s="114">
        <f>100/2</f>
        <v>50</v>
      </c>
    </row>
    <row r="726" spans="1:50" ht="15" customHeight="1">
      <c r="A726" s="293" t="s">
        <v>68</v>
      </c>
      <c r="B726" s="50" t="s">
        <v>1457</v>
      </c>
      <c r="C726" s="7" t="s">
        <v>1461</v>
      </c>
      <c r="D726" s="14" t="s">
        <v>257</v>
      </c>
      <c r="E726" s="7" t="s">
        <v>5593</v>
      </c>
      <c r="F726" s="7" t="s">
        <v>5594</v>
      </c>
      <c r="G726" s="15" t="s">
        <v>1462</v>
      </c>
      <c r="H726" s="7">
        <v>4953</v>
      </c>
      <c r="I726" s="19" t="s">
        <v>1</v>
      </c>
      <c r="J726" s="7" t="s">
        <v>5595</v>
      </c>
      <c r="K726" s="51">
        <v>41529</v>
      </c>
      <c r="L726" s="115">
        <v>41527</v>
      </c>
      <c r="N726" s="50" t="s">
        <v>2</v>
      </c>
      <c r="O726" s="74">
        <v>2.7</v>
      </c>
      <c r="P726" s="50">
        <v>7.2</v>
      </c>
      <c r="Q726" s="74">
        <v>8.1</v>
      </c>
      <c r="R726" s="50">
        <v>113</v>
      </c>
      <c r="S726" s="74">
        <v>306</v>
      </c>
      <c r="T726" s="50">
        <v>0.26</v>
      </c>
      <c r="U726" s="74">
        <v>4.38</v>
      </c>
      <c r="V726" s="50">
        <v>0.1</v>
      </c>
      <c r="W726" s="74">
        <v>4.2999999999999997E-2</v>
      </c>
      <c r="X726" s="50">
        <v>0.13</v>
      </c>
      <c r="Y726" s="74">
        <v>6.0999999999999999E-2</v>
      </c>
      <c r="Z726" s="164">
        <v>1</v>
      </c>
      <c r="AA726" s="165">
        <v>1</v>
      </c>
      <c r="AB726" s="50">
        <v>112</v>
      </c>
      <c r="AC726" s="74">
        <v>227</v>
      </c>
      <c r="AD726" s="164">
        <v>1</v>
      </c>
      <c r="AE726" s="50">
        <v>7.2</v>
      </c>
      <c r="AF726" s="50">
        <v>51</v>
      </c>
      <c r="AG726" s="50">
        <v>3096</v>
      </c>
      <c r="AH726" s="50">
        <v>0.06</v>
      </c>
      <c r="AI726" s="50">
        <f>0.01/2</f>
        <v>5.0000000000000001E-3</v>
      </c>
      <c r="AJ726" s="50">
        <f>0.05/2</f>
        <v>2.5000000000000001E-2</v>
      </c>
      <c r="AK726" s="50">
        <f t="shared" si="39"/>
        <v>0.01</v>
      </c>
      <c r="AL726" s="50">
        <f t="shared" si="39"/>
        <v>0.01</v>
      </c>
      <c r="AM726" s="50">
        <v>0.13</v>
      </c>
      <c r="AN726" s="114">
        <v>8.1</v>
      </c>
      <c r="AO726" s="114">
        <v>1100</v>
      </c>
    </row>
    <row r="727" spans="1:50" ht="15" customHeight="1">
      <c r="A727" s="293" t="s">
        <v>68</v>
      </c>
      <c r="B727" s="50" t="s">
        <v>1457</v>
      </c>
      <c r="C727" s="7" t="s">
        <v>1461</v>
      </c>
      <c r="D727" s="14" t="s">
        <v>156</v>
      </c>
      <c r="E727" s="7" t="s">
        <v>5593</v>
      </c>
      <c r="F727" s="7" t="s">
        <v>5594</v>
      </c>
      <c r="G727" s="15" t="s">
        <v>1462</v>
      </c>
      <c r="H727" s="7">
        <v>4953</v>
      </c>
      <c r="I727" s="19" t="s">
        <v>1</v>
      </c>
      <c r="J727" s="7" t="s">
        <v>5596</v>
      </c>
      <c r="K727" s="51">
        <v>41345</v>
      </c>
      <c r="L727" s="115">
        <v>41339</v>
      </c>
      <c r="N727" s="50" t="s">
        <v>2</v>
      </c>
      <c r="O727" s="74">
        <f>2/2</f>
        <v>1</v>
      </c>
      <c r="Q727" s="74">
        <v>10.3</v>
      </c>
      <c r="R727" s="50">
        <v>76</v>
      </c>
      <c r="S727" s="74">
        <v>623</v>
      </c>
      <c r="T727" s="50">
        <v>0.82</v>
      </c>
      <c r="U727" s="74">
        <v>2.13</v>
      </c>
      <c r="V727" s="50">
        <v>0.59</v>
      </c>
      <c r="W727" s="74">
        <v>0.11799999999999999</v>
      </c>
      <c r="X727" s="50">
        <v>0.16</v>
      </c>
      <c r="Y727" s="74">
        <v>8.7999999999999995E-2</v>
      </c>
      <c r="Z727" s="164">
        <v>1</v>
      </c>
      <c r="AA727" s="165">
        <v>1</v>
      </c>
      <c r="AB727" s="50">
        <v>236</v>
      </c>
      <c r="AC727" s="74">
        <v>692</v>
      </c>
      <c r="AD727" s="164">
        <v>1</v>
      </c>
      <c r="AE727" s="50">
        <v>21.8</v>
      </c>
      <c r="AF727" s="50">
        <v>29</v>
      </c>
      <c r="AG727" s="50">
        <v>623</v>
      </c>
      <c r="AH727" s="50">
        <v>0.2</v>
      </c>
      <c r="AI727" s="50">
        <f>0.01/2</f>
        <v>5.0000000000000001E-3</v>
      </c>
      <c r="AJ727" s="50">
        <f>0.05/2</f>
        <v>2.5000000000000001E-2</v>
      </c>
      <c r="AK727" s="50">
        <f t="shared" si="39"/>
        <v>0.01</v>
      </c>
      <c r="AL727" s="50">
        <f t="shared" si="39"/>
        <v>0.01</v>
      </c>
      <c r="AM727" s="50">
        <v>0.16</v>
      </c>
      <c r="AN727" s="114">
        <v>10.3</v>
      </c>
      <c r="AO727" s="114">
        <v>900</v>
      </c>
    </row>
    <row r="728" spans="1:50" ht="15" customHeight="1">
      <c r="A728" s="293" t="s">
        <v>68</v>
      </c>
      <c r="B728" s="50" t="s">
        <v>1457</v>
      </c>
      <c r="C728" s="7" t="s">
        <v>1461</v>
      </c>
      <c r="D728" s="14" t="s">
        <v>156</v>
      </c>
      <c r="E728" s="7" t="s">
        <v>5593</v>
      </c>
      <c r="F728" s="7" t="s">
        <v>5594</v>
      </c>
      <c r="G728" s="15" t="s">
        <v>1462</v>
      </c>
      <c r="H728" s="7">
        <v>4953</v>
      </c>
      <c r="I728" s="19" t="s">
        <v>1</v>
      </c>
      <c r="J728" s="7" t="s">
        <v>5596</v>
      </c>
      <c r="K728" s="51">
        <v>41529</v>
      </c>
      <c r="L728" s="115">
        <v>41527</v>
      </c>
      <c r="N728" s="50" t="s">
        <v>2</v>
      </c>
      <c r="O728" s="74">
        <v>2.2000000000000002</v>
      </c>
      <c r="P728" s="50">
        <v>7.2</v>
      </c>
      <c r="Q728" s="74">
        <v>7.5</v>
      </c>
      <c r="R728" s="50">
        <v>28</v>
      </c>
      <c r="S728" s="74">
        <v>50</v>
      </c>
      <c r="T728" s="50">
        <v>2.5000000000000001E-2</v>
      </c>
      <c r="U728" s="74">
        <v>0.6</v>
      </c>
      <c r="V728" s="50">
        <v>0.36</v>
      </c>
      <c r="W728" s="74">
        <v>1.2E-2</v>
      </c>
      <c r="X728" s="50">
        <v>0.05</v>
      </c>
      <c r="Y728" s="74">
        <v>1.4999999999999999E-2</v>
      </c>
      <c r="Z728" s="164">
        <v>1</v>
      </c>
      <c r="AA728" s="165">
        <v>1</v>
      </c>
      <c r="AB728" s="50">
        <v>112</v>
      </c>
      <c r="AC728" s="74">
        <v>227</v>
      </c>
      <c r="AD728" s="164">
        <v>1</v>
      </c>
      <c r="AE728" s="50">
        <v>7.2</v>
      </c>
      <c r="AF728" s="50">
        <v>51</v>
      </c>
      <c r="AG728" s="50">
        <v>50</v>
      </c>
      <c r="AH728" s="50">
        <v>0.06</v>
      </c>
      <c r="AI728" s="50">
        <f>0.01/2</f>
        <v>5.0000000000000001E-3</v>
      </c>
      <c r="AJ728" s="50">
        <f>0.05/2</f>
        <v>2.5000000000000001E-2</v>
      </c>
      <c r="AK728" s="50">
        <f t="shared" si="39"/>
        <v>0.01</v>
      </c>
      <c r="AL728" s="50">
        <f t="shared" si="39"/>
        <v>0.01</v>
      </c>
      <c r="AM728" s="50">
        <v>0.05</v>
      </c>
      <c r="AN728" s="114">
        <v>7.5</v>
      </c>
      <c r="AO728" s="114">
        <v>1100</v>
      </c>
    </row>
    <row r="729" spans="1:50" ht="15" customHeight="1">
      <c r="A729" s="293" t="s">
        <v>68</v>
      </c>
      <c r="B729" s="50" t="s">
        <v>1457</v>
      </c>
      <c r="C729" s="7" t="s">
        <v>1458</v>
      </c>
      <c r="D729" s="14" t="s">
        <v>156</v>
      </c>
      <c r="E729" s="7" t="s">
        <v>5593</v>
      </c>
      <c r="F729" s="7" t="s">
        <v>5594</v>
      </c>
      <c r="G729" s="15" t="s">
        <v>1460</v>
      </c>
      <c r="H729" s="7">
        <v>4953</v>
      </c>
      <c r="I729" s="19" t="s">
        <v>1</v>
      </c>
      <c r="J729" s="7" t="s">
        <v>5555</v>
      </c>
      <c r="K729" s="51">
        <v>41529</v>
      </c>
      <c r="L729" s="115">
        <v>41527</v>
      </c>
      <c r="N729" s="50" t="s">
        <v>2</v>
      </c>
      <c r="O729" s="74">
        <v>3.4</v>
      </c>
      <c r="P729" s="50">
        <v>7.2</v>
      </c>
      <c r="Q729" s="74">
        <v>7.5</v>
      </c>
      <c r="R729" s="50">
        <v>89</v>
      </c>
      <c r="S729" s="74">
        <v>115</v>
      </c>
      <c r="T729" s="50">
        <v>0.13</v>
      </c>
      <c r="U729" s="74">
        <v>2.67</v>
      </c>
      <c r="V729" s="50">
        <v>5.67</v>
      </c>
      <c r="W729" s="74">
        <v>3.6999999999999998E-2</v>
      </c>
      <c r="X729" s="50">
        <v>0.121</v>
      </c>
      <c r="Y729" s="74">
        <f>0.03/2</f>
        <v>1.4999999999999999E-2</v>
      </c>
      <c r="Z729" s="164">
        <v>1</v>
      </c>
      <c r="AA729" s="165">
        <v>1</v>
      </c>
      <c r="AB729" s="50">
        <v>80</v>
      </c>
      <c r="AC729" s="74">
        <v>266</v>
      </c>
      <c r="AD729" s="164">
        <v>0.75</v>
      </c>
      <c r="AE729" s="50">
        <v>1.67</v>
      </c>
      <c r="AG729" s="50">
        <v>115</v>
      </c>
      <c r="AM729" s="50">
        <v>0.121</v>
      </c>
      <c r="AN729" s="114">
        <v>7.5</v>
      </c>
      <c r="AO729" s="114">
        <v>12000</v>
      </c>
    </row>
    <row r="730" spans="1:50" ht="15" customHeight="1">
      <c r="A730" s="293" t="s">
        <v>68</v>
      </c>
      <c r="B730" s="50" t="s">
        <v>1457</v>
      </c>
      <c r="C730" s="7" t="s">
        <v>1458</v>
      </c>
      <c r="D730" s="14" t="s">
        <v>156</v>
      </c>
      <c r="E730" s="7" t="s">
        <v>5593</v>
      </c>
      <c r="F730" s="7" t="s">
        <v>5594</v>
      </c>
      <c r="G730" s="15" t="s">
        <v>1460</v>
      </c>
      <c r="H730" s="7">
        <v>4953</v>
      </c>
      <c r="I730" s="19" t="s">
        <v>1</v>
      </c>
      <c r="J730" s="7" t="s">
        <v>5555</v>
      </c>
      <c r="K730" s="51">
        <v>41345</v>
      </c>
      <c r="L730" s="115">
        <v>41339</v>
      </c>
      <c r="N730" s="50" t="s">
        <v>2</v>
      </c>
      <c r="O730" s="74">
        <v>2.9</v>
      </c>
      <c r="Q730" s="74">
        <v>7.1</v>
      </c>
      <c r="R730" s="50">
        <v>34</v>
      </c>
      <c r="S730" s="74">
        <v>284</v>
      </c>
      <c r="T730" s="50">
        <v>0.34</v>
      </c>
      <c r="U730" s="74">
        <v>0.84</v>
      </c>
      <c r="V730" s="50">
        <v>0.18</v>
      </c>
      <c r="W730" s="74">
        <v>6.3E-2</v>
      </c>
      <c r="X730" s="50">
        <v>0.18</v>
      </c>
      <c r="Y730" s="74">
        <v>5.1999999999999998E-2</v>
      </c>
      <c r="Z730" s="164">
        <v>1</v>
      </c>
      <c r="AA730" s="165">
        <v>1</v>
      </c>
      <c r="AB730" s="50">
        <v>51</v>
      </c>
      <c r="AC730" s="74">
        <v>249</v>
      </c>
      <c r="AD730" s="164">
        <v>1</v>
      </c>
      <c r="AE730" s="50">
        <v>13.7</v>
      </c>
      <c r="AG730" s="50">
        <v>284</v>
      </c>
      <c r="AM730" s="50">
        <v>0.18</v>
      </c>
      <c r="AN730" s="114">
        <v>7.1</v>
      </c>
    </row>
    <row r="731" spans="1:50" ht="15" customHeight="1">
      <c r="A731" s="293" t="s">
        <v>68</v>
      </c>
      <c r="B731" s="50" t="s">
        <v>3471</v>
      </c>
      <c r="C731" s="7" t="s">
        <v>3472</v>
      </c>
      <c r="D731" s="14" t="s">
        <v>2372</v>
      </c>
      <c r="E731" s="7"/>
      <c r="F731" s="321" t="s">
        <v>3473</v>
      </c>
      <c r="G731" s="15" t="s">
        <v>3474</v>
      </c>
      <c r="H731" s="7">
        <v>4214</v>
      </c>
      <c r="I731" s="19" t="s">
        <v>2</v>
      </c>
      <c r="J731" s="7" t="s">
        <v>477</v>
      </c>
      <c r="K731" s="51">
        <v>41605</v>
      </c>
      <c r="L731" s="115">
        <v>41596</v>
      </c>
      <c r="N731" s="50" t="s">
        <v>2</v>
      </c>
      <c r="O731" s="74">
        <v>6.5</v>
      </c>
      <c r="P731" s="50">
        <v>7.1</v>
      </c>
      <c r="Q731" s="74">
        <v>6.5</v>
      </c>
      <c r="R731" s="50">
        <v>74</v>
      </c>
      <c r="S731" s="74">
        <v>110</v>
      </c>
      <c r="T731" s="50">
        <v>0.24</v>
      </c>
      <c r="U731" s="74">
        <v>1.32</v>
      </c>
      <c r="V731" s="50">
        <v>0.18</v>
      </c>
      <c r="W731" s="74">
        <v>4.3999999999999997E-2</v>
      </c>
      <c r="X731" s="50">
        <v>0.105</v>
      </c>
      <c r="Y731" s="74">
        <v>7.0000000000000007E-2</v>
      </c>
    </row>
    <row r="732" spans="1:50" ht="15" customHeight="1">
      <c r="A732" s="293" t="s">
        <v>68</v>
      </c>
      <c r="B732" s="50" t="s">
        <v>2107</v>
      </c>
      <c r="C732" s="7" t="s">
        <v>2546</v>
      </c>
      <c r="D732" s="14" t="s">
        <v>308</v>
      </c>
      <c r="E732" s="7" t="s">
        <v>235</v>
      </c>
      <c r="F732" s="7"/>
      <c r="G732" s="15" t="s">
        <v>3015</v>
      </c>
      <c r="H732" s="7">
        <v>4953</v>
      </c>
      <c r="I732" s="19" t="s">
        <v>1</v>
      </c>
      <c r="J732" s="7" t="s">
        <v>194</v>
      </c>
      <c r="K732" s="51">
        <v>41621</v>
      </c>
      <c r="L732" s="115">
        <v>41625</v>
      </c>
      <c r="N732" s="50" t="s">
        <v>2</v>
      </c>
      <c r="O732" s="74">
        <f>2/2</f>
        <v>1</v>
      </c>
      <c r="P732" s="50">
        <v>7.5</v>
      </c>
      <c r="Q732" s="74">
        <v>7.4</v>
      </c>
      <c r="R732" s="50">
        <v>10</v>
      </c>
      <c r="S732" s="74">
        <v>15</v>
      </c>
      <c r="T732" s="50">
        <f>0.05/2</f>
        <v>2.5000000000000001E-2</v>
      </c>
      <c r="U732" s="74">
        <v>0.74</v>
      </c>
      <c r="V732" s="50">
        <v>0.25</v>
      </c>
      <c r="W732" s="74">
        <v>0.01</v>
      </c>
      <c r="X732" s="50">
        <f>0.03/2</f>
        <v>1.4999999999999999E-2</v>
      </c>
      <c r="Y732" s="74">
        <f>0.03/2</f>
        <v>1.4999999999999999E-2</v>
      </c>
      <c r="AE732" s="50">
        <v>2.34</v>
      </c>
    </row>
    <row r="733" spans="1:50" ht="15" customHeight="1">
      <c r="A733" s="293" t="s">
        <v>68</v>
      </c>
      <c r="B733" s="50" t="s">
        <v>930</v>
      </c>
      <c r="D733" s="14" t="s">
        <v>756</v>
      </c>
      <c r="E733" s="7" t="s">
        <v>931</v>
      </c>
      <c r="F733" s="7"/>
      <c r="G733" s="15" t="s">
        <v>933</v>
      </c>
      <c r="H733" s="7"/>
      <c r="I733" s="19" t="s">
        <v>2</v>
      </c>
      <c r="J733" s="7" t="s">
        <v>934</v>
      </c>
      <c r="K733" s="51">
        <v>41579</v>
      </c>
      <c r="L733" s="115">
        <v>41554</v>
      </c>
      <c r="N733" s="50" t="s">
        <v>2</v>
      </c>
      <c r="O733" s="74">
        <v>3.4</v>
      </c>
      <c r="P733" s="50">
        <v>7.4</v>
      </c>
      <c r="Q733" s="74">
        <v>7.4</v>
      </c>
      <c r="R733" s="50">
        <v>62</v>
      </c>
      <c r="S733" s="74">
        <v>40</v>
      </c>
      <c r="T733" s="50">
        <v>0.23</v>
      </c>
      <c r="U733" s="74">
        <v>2.3199999999999998</v>
      </c>
      <c r="V733" s="50">
        <v>0.52</v>
      </c>
      <c r="W733" s="74">
        <v>2.5999999999999999E-2</v>
      </c>
      <c r="X733" s="50">
        <v>7.4999999999999997E-2</v>
      </c>
      <c r="Y733" s="74">
        <f>0.03/2</f>
        <v>1.4999999999999999E-2</v>
      </c>
      <c r="Z733" s="164">
        <v>1</v>
      </c>
      <c r="AA733" s="165">
        <v>1</v>
      </c>
      <c r="AB733" s="50">
        <v>24</v>
      </c>
      <c r="AC733" s="74">
        <v>78</v>
      </c>
      <c r="AD733" s="164">
        <v>1</v>
      </c>
    </row>
    <row r="734" spans="1:50" ht="15" customHeight="1">
      <c r="A734" s="293" t="s">
        <v>68</v>
      </c>
      <c r="B734" s="50" t="s">
        <v>4823</v>
      </c>
      <c r="C734" s="7" t="s">
        <v>4824</v>
      </c>
      <c r="D734" s="14" t="s">
        <v>462</v>
      </c>
      <c r="E734" s="7" t="s">
        <v>5597</v>
      </c>
      <c r="F734" s="7" t="s">
        <v>4211</v>
      </c>
      <c r="G734" s="15" t="s">
        <v>3046</v>
      </c>
      <c r="H734" s="7">
        <v>4953</v>
      </c>
      <c r="I734" s="19" t="s">
        <v>2</v>
      </c>
      <c r="J734" s="7" t="s">
        <v>4826</v>
      </c>
      <c r="K734" s="51">
        <v>41691</v>
      </c>
      <c r="L734" s="115">
        <v>41689</v>
      </c>
      <c r="N734" s="50" t="s">
        <v>1</v>
      </c>
      <c r="O734" s="74">
        <f>1.4/2</f>
        <v>0.7</v>
      </c>
      <c r="P734" s="50">
        <v>5.5</v>
      </c>
      <c r="Q734" s="74">
        <v>7.7</v>
      </c>
      <c r="R734" s="50">
        <v>23</v>
      </c>
      <c r="S734" s="74">
        <v>53</v>
      </c>
      <c r="T734" s="50">
        <v>0.26</v>
      </c>
      <c r="U734" s="74">
        <v>1.43</v>
      </c>
      <c r="V734" s="50">
        <v>0.63</v>
      </c>
      <c r="W734" s="74">
        <v>1.2999999999999999E-2</v>
      </c>
      <c r="X734" s="50">
        <v>0.03</v>
      </c>
      <c r="Y734" s="74">
        <v>8.0000000000000002E-3</v>
      </c>
    </row>
    <row r="735" spans="1:50" ht="15" customHeight="1">
      <c r="A735" s="88" t="s">
        <v>68</v>
      </c>
      <c r="B735" s="50" t="s">
        <v>82</v>
      </c>
      <c r="C735" s="7" t="s">
        <v>83</v>
      </c>
      <c r="D735" s="14" t="s">
        <v>595</v>
      </c>
      <c r="E735" s="7" t="s">
        <v>5585</v>
      </c>
      <c r="F735" s="7"/>
      <c r="G735" s="15" t="s">
        <v>86</v>
      </c>
      <c r="H735" s="7">
        <v>4953</v>
      </c>
      <c r="I735" s="19" t="s">
        <v>2</v>
      </c>
      <c r="J735" s="7" t="s">
        <v>284</v>
      </c>
      <c r="K735" s="51">
        <v>41539</v>
      </c>
      <c r="L735" s="115">
        <v>41530</v>
      </c>
      <c r="N735" s="50" t="s">
        <v>2</v>
      </c>
      <c r="O735" s="74">
        <v>1.4</v>
      </c>
      <c r="P735" s="50">
        <v>8.11</v>
      </c>
      <c r="Q735" s="74">
        <v>7.88</v>
      </c>
      <c r="R735" s="50">
        <v>6.8</v>
      </c>
      <c r="S735" s="74">
        <v>0.5</v>
      </c>
      <c r="T735" s="50">
        <v>2.5000000000000001E-2</v>
      </c>
      <c r="U735" s="74">
        <v>0.81</v>
      </c>
      <c r="V735" s="50">
        <v>0.1</v>
      </c>
      <c r="W735" s="74">
        <v>5.0000000000000001E-3</v>
      </c>
      <c r="X735" s="50">
        <v>0.02</v>
      </c>
      <c r="Y735" s="74">
        <v>0.01</v>
      </c>
      <c r="AE735" s="50">
        <v>0.01</v>
      </c>
    </row>
    <row r="736" spans="1:50" ht="15" customHeight="1">
      <c r="A736" s="293" t="s">
        <v>68</v>
      </c>
      <c r="B736" s="50" t="s">
        <v>2794</v>
      </c>
      <c r="C736" s="7" t="s">
        <v>5527</v>
      </c>
      <c r="D736" s="14" t="s">
        <v>397</v>
      </c>
      <c r="E736" s="7" t="s">
        <v>3401</v>
      </c>
      <c r="F736" s="7"/>
      <c r="G736" s="15" t="s">
        <v>3402</v>
      </c>
      <c r="H736" s="7">
        <v>4953</v>
      </c>
      <c r="I736" s="19" t="s">
        <v>2</v>
      </c>
      <c r="J736" s="7" t="s">
        <v>74</v>
      </c>
      <c r="K736" s="51">
        <v>41579</v>
      </c>
      <c r="L736" s="115"/>
      <c r="N736" s="50" t="s">
        <v>2</v>
      </c>
      <c r="O736" s="74">
        <v>16</v>
      </c>
      <c r="Q736" s="74">
        <v>7.16</v>
      </c>
      <c r="R736" s="50">
        <v>620</v>
      </c>
      <c r="S736" s="74">
        <f>5/2</f>
        <v>2.5</v>
      </c>
      <c r="T736" s="50">
        <v>1.61</v>
      </c>
      <c r="U736" s="74">
        <v>7.6</v>
      </c>
      <c r="V736" s="50">
        <v>0.22</v>
      </c>
      <c r="W736" s="74">
        <v>0.152</v>
      </c>
      <c r="X736" s="50">
        <v>0.39600000000000002</v>
      </c>
      <c r="Y736" s="74">
        <v>0.24</v>
      </c>
      <c r="Z736" s="164">
        <v>1</v>
      </c>
      <c r="AA736" s="165">
        <v>1</v>
      </c>
      <c r="AB736" s="50">
        <v>58</v>
      </c>
      <c r="AC736" s="74">
        <v>590</v>
      </c>
      <c r="AD736" s="164">
        <v>1</v>
      </c>
    </row>
    <row r="737" spans="1:51" ht="15" customHeight="1">
      <c r="A737" s="293" t="s">
        <v>68</v>
      </c>
      <c r="B737" s="50" t="s">
        <v>3499</v>
      </c>
      <c r="C737" s="7" t="s">
        <v>392</v>
      </c>
      <c r="D737" s="14" t="s">
        <v>640</v>
      </c>
      <c r="E737" s="7" t="s">
        <v>3500</v>
      </c>
      <c r="F737" s="7"/>
      <c r="G737" s="15" t="s">
        <v>642</v>
      </c>
      <c r="H737" s="7">
        <v>4953</v>
      </c>
      <c r="I737" s="19" t="s">
        <v>2</v>
      </c>
      <c r="J737" s="7" t="s">
        <v>641</v>
      </c>
      <c r="K737" s="51">
        <v>41539</v>
      </c>
      <c r="L737" s="115">
        <v>41530</v>
      </c>
      <c r="N737" s="50" t="s">
        <v>2</v>
      </c>
      <c r="O737" s="74">
        <f>1/2</f>
        <v>0.5</v>
      </c>
      <c r="P737" s="50">
        <v>6</v>
      </c>
      <c r="Q737" s="74">
        <v>6.19</v>
      </c>
      <c r="R737" s="50">
        <v>76.2</v>
      </c>
      <c r="S737" s="74">
        <v>11</v>
      </c>
      <c r="T737" s="50">
        <v>0.31</v>
      </c>
      <c r="U737" s="74">
        <v>1.82</v>
      </c>
      <c r="V737" s="50">
        <v>0.52</v>
      </c>
      <c r="W737" s="74">
        <v>1.6E-2</v>
      </c>
      <c r="X737" s="50">
        <v>3.1E-2</v>
      </c>
      <c r="Y737" s="74">
        <v>3.0000000000000001E-3</v>
      </c>
      <c r="AB737" s="50">
        <v>27.07</v>
      </c>
      <c r="AE737" s="50">
        <v>0.33</v>
      </c>
      <c r="AF737" s="50">
        <v>5.8</v>
      </c>
      <c r="AG737" s="50">
        <v>11</v>
      </c>
      <c r="AH737" s="50">
        <v>1.4</v>
      </c>
      <c r="AI737" s="50">
        <f>0.01/2</f>
        <v>5.0000000000000001E-3</v>
      </c>
      <c r="AJ737" s="50">
        <f t="shared" ref="AJ737:AL738" si="40">0.005/2</f>
        <v>2.5000000000000001E-3</v>
      </c>
      <c r="AK737" s="50">
        <f t="shared" si="40"/>
        <v>2.5000000000000001E-3</v>
      </c>
      <c r="AL737" s="50">
        <f t="shared" si="40"/>
        <v>2.5000000000000001E-3</v>
      </c>
      <c r="AM737" s="50">
        <v>3.1E-2</v>
      </c>
      <c r="AN737" s="114">
        <v>6.19</v>
      </c>
    </row>
    <row r="738" spans="1:51" ht="15" customHeight="1">
      <c r="A738" s="293" t="s">
        <v>68</v>
      </c>
      <c r="B738" s="50" t="s">
        <v>3499</v>
      </c>
      <c r="C738" s="7" t="s">
        <v>392</v>
      </c>
      <c r="D738" s="14" t="s">
        <v>640</v>
      </c>
      <c r="E738" s="7" t="s">
        <v>3500</v>
      </c>
      <c r="F738" s="7"/>
      <c r="G738" s="15" t="s">
        <v>642</v>
      </c>
      <c r="H738" s="7">
        <v>4953</v>
      </c>
      <c r="I738" s="19" t="s">
        <v>2</v>
      </c>
      <c r="J738" s="7" t="s">
        <v>643</v>
      </c>
      <c r="K738" s="51">
        <v>41539</v>
      </c>
      <c r="L738" s="115">
        <v>41530</v>
      </c>
      <c r="N738" s="50" t="s">
        <v>2</v>
      </c>
      <c r="O738" s="74">
        <f>1/2</f>
        <v>0.5</v>
      </c>
      <c r="P738" s="50">
        <v>6</v>
      </c>
      <c r="Q738" s="74">
        <v>6.73</v>
      </c>
      <c r="R738" s="50">
        <v>992</v>
      </c>
      <c r="S738" s="74">
        <v>484</v>
      </c>
      <c r="T738" s="50">
        <v>1.1399999999999999</v>
      </c>
      <c r="U738" s="74">
        <v>5.8</v>
      </c>
      <c r="V738" s="50">
        <v>0.33</v>
      </c>
      <c r="W738" s="74">
        <v>2.5000000000000001E-2</v>
      </c>
      <c r="X738" s="50">
        <v>3.9E-2</v>
      </c>
      <c r="Y738" s="74">
        <v>4.0000000000000001E-3</v>
      </c>
      <c r="AB738" s="50">
        <v>36.46</v>
      </c>
      <c r="AE738" s="50">
        <v>0.35</v>
      </c>
      <c r="AF738" s="50">
        <v>3.5</v>
      </c>
      <c r="AG738" s="50">
        <v>484</v>
      </c>
      <c r="AH738" s="50">
        <v>0.44</v>
      </c>
      <c r="AI738" s="50">
        <f>0.01/2</f>
        <v>5.0000000000000001E-3</v>
      </c>
      <c r="AJ738" s="50">
        <f t="shared" si="40"/>
        <v>2.5000000000000001E-3</v>
      </c>
      <c r="AK738" s="50">
        <f t="shared" si="40"/>
        <v>2.5000000000000001E-3</v>
      </c>
      <c r="AL738" s="50">
        <f t="shared" si="40"/>
        <v>2.5000000000000001E-3</v>
      </c>
      <c r="AM738" s="50">
        <v>3.9E-2</v>
      </c>
      <c r="AN738" s="114">
        <v>6.73</v>
      </c>
    </row>
    <row r="739" spans="1:51" ht="15" customHeight="1">
      <c r="A739" s="88" t="s">
        <v>68</v>
      </c>
      <c r="B739" s="50" t="s">
        <v>3378</v>
      </c>
      <c r="C739" s="7" t="s">
        <v>3379</v>
      </c>
      <c r="D739" s="14" t="s">
        <v>3380</v>
      </c>
      <c r="E739" s="7"/>
      <c r="F739" s="7" t="s">
        <v>3381</v>
      </c>
      <c r="G739" s="15" t="s">
        <v>3382</v>
      </c>
      <c r="H739" s="7">
        <v>4953</v>
      </c>
      <c r="I739" s="19" t="s">
        <v>2</v>
      </c>
      <c r="J739" s="7" t="s">
        <v>366</v>
      </c>
      <c r="K739" s="51">
        <v>41432</v>
      </c>
      <c r="L739" s="115">
        <v>41428</v>
      </c>
      <c r="M739" s="50">
        <f>K739-L739</f>
        <v>4</v>
      </c>
      <c r="N739" s="50" t="s">
        <v>2</v>
      </c>
      <c r="O739" s="74">
        <f>1.4/2</f>
        <v>0.7</v>
      </c>
      <c r="P739" s="50">
        <v>6.5</v>
      </c>
      <c r="Q739" s="74">
        <v>6.38</v>
      </c>
      <c r="R739" s="50">
        <v>42</v>
      </c>
      <c r="S739" s="74">
        <v>23</v>
      </c>
      <c r="T739" s="50">
        <v>0.11</v>
      </c>
      <c r="U739" s="74">
        <v>0.93</v>
      </c>
      <c r="V739" s="50">
        <v>0.54</v>
      </c>
      <c r="W739" s="74">
        <v>7.0000000000000001E-3</v>
      </c>
      <c r="X739" s="50">
        <v>2.1000000000000001E-2</v>
      </c>
      <c r="Y739" s="74">
        <v>8.0000000000000002E-3</v>
      </c>
      <c r="Z739" s="164">
        <v>1</v>
      </c>
      <c r="AA739" s="165">
        <v>1</v>
      </c>
      <c r="AB739" s="50">
        <v>40</v>
      </c>
      <c r="AC739" s="74">
        <v>1603</v>
      </c>
      <c r="AD739" s="164">
        <v>1</v>
      </c>
    </row>
    <row r="740" spans="1:51" s="1" customFormat="1" ht="15" customHeight="1">
      <c r="A740" s="290" t="s">
        <v>68</v>
      </c>
      <c r="B740" s="50" t="s">
        <v>3456</v>
      </c>
      <c r="C740" s="7" t="s">
        <v>3492</v>
      </c>
      <c r="D740" s="48" t="s">
        <v>165</v>
      </c>
      <c r="E740" s="50"/>
      <c r="F740" s="50" t="s">
        <v>3493</v>
      </c>
      <c r="G740" s="76" t="s">
        <v>3588</v>
      </c>
      <c r="H740" s="50">
        <v>4953</v>
      </c>
      <c r="I740" s="49" t="s">
        <v>1</v>
      </c>
      <c r="J740" s="50" t="s">
        <v>477</v>
      </c>
      <c r="K740" s="51">
        <v>41605</v>
      </c>
      <c r="L740" s="115">
        <v>41598</v>
      </c>
      <c r="M740" s="50"/>
      <c r="N740" s="50" t="s">
        <v>2</v>
      </c>
      <c r="O740" s="49">
        <f>1.4/2</f>
        <v>0.7</v>
      </c>
      <c r="P740" s="50">
        <v>6.5</v>
      </c>
      <c r="Q740" s="49">
        <v>6.77</v>
      </c>
      <c r="R740" s="50">
        <v>22</v>
      </c>
      <c r="S740" s="49">
        <v>10</v>
      </c>
      <c r="T740" s="50">
        <v>0.14000000000000001</v>
      </c>
      <c r="U740" s="49">
        <v>0.81</v>
      </c>
      <c r="V740" s="50">
        <v>0.06</v>
      </c>
      <c r="W740" s="49">
        <f>0.005/2</f>
        <v>2.5000000000000001E-3</v>
      </c>
      <c r="X740" s="50">
        <v>1.2E-2</v>
      </c>
      <c r="Y740" s="49">
        <f>0.002/2</f>
        <v>1E-3</v>
      </c>
      <c r="Z740" s="164"/>
      <c r="AA740" s="269"/>
      <c r="AB740" s="50"/>
      <c r="AC740" s="49"/>
      <c r="AD740" s="164"/>
      <c r="AE740" s="50"/>
      <c r="AF740" s="50"/>
      <c r="AG740" s="50"/>
      <c r="AH740" s="50"/>
      <c r="AI740" s="50"/>
      <c r="AJ740" s="50"/>
      <c r="AK740" s="50"/>
      <c r="AL740" s="50"/>
      <c r="AM740" s="50"/>
      <c r="AN740" s="114"/>
      <c r="AO740" s="114"/>
      <c r="AP740" s="50"/>
      <c r="AQ740" s="49"/>
      <c r="AR740" s="50"/>
      <c r="AS740" s="49"/>
      <c r="AT740" s="50"/>
      <c r="AU740" s="2"/>
      <c r="AW740" s="5"/>
      <c r="AY740" s="5"/>
    </row>
    <row r="741" spans="1:51" ht="15" customHeight="1">
      <c r="A741" s="88" t="s">
        <v>68</v>
      </c>
      <c r="B741" s="50" t="s">
        <v>3499</v>
      </c>
      <c r="C741" s="74" t="s">
        <v>392</v>
      </c>
      <c r="D741" s="48" t="s">
        <v>640</v>
      </c>
      <c r="E741" s="50" t="s">
        <v>3500</v>
      </c>
      <c r="F741" s="74"/>
      <c r="G741" s="76" t="s">
        <v>642</v>
      </c>
      <c r="H741" s="50">
        <v>4953</v>
      </c>
      <c r="I741" s="74" t="s">
        <v>2</v>
      </c>
      <c r="J741" s="50" t="s">
        <v>641</v>
      </c>
      <c r="K741" s="51">
        <v>41717</v>
      </c>
      <c r="L741" s="115">
        <v>41710</v>
      </c>
      <c r="N741" s="50" t="s">
        <v>2</v>
      </c>
      <c r="P741" s="50">
        <v>5.52</v>
      </c>
      <c r="Q741" s="74">
        <v>6.86</v>
      </c>
      <c r="R741" s="50">
        <v>890</v>
      </c>
      <c r="S741" s="74">
        <v>1660</v>
      </c>
      <c r="T741" s="50">
        <v>0.83</v>
      </c>
      <c r="W741" s="74">
        <v>2.3E-2</v>
      </c>
      <c r="X741" s="50">
        <v>0.182</v>
      </c>
      <c r="AE741" s="50">
        <v>3.7</v>
      </c>
    </row>
    <row r="742" spans="1:51" ht="15" customHeight="1">
      <c r="A742" s="88" t="s">
        <v>68</v>
      </c>
      <c r="B742" s="50" t="s">
        <v>3499</v>
      </c>
      <c r="C742" s="74" t="s">
        <v>392</v>
      </c>
      <c r="D742" s="48" t="s">
        <v>640</v>
      </c>
      <c r="E742" s="50" t="s">
        <v>3500</v>
      </c>
      <c r="F742" s="74"/>
      <c r="G742" s="76" t="s">
        <v>642</v>
      </c>
      <c r="H742" s="50">
        <v>4953</v>
      </c>
      <c r="I742" s="74" t="s">
        <v>2</v>
      </c>
      <c r="J742" s="50" t="s">
        <v>643</v>
      </c>
      <c r="K742" s="51">
        <v>41717</v>
      </c>
      <c r="L742" s="115">
        <v>41710</v>
      </c>
      <c r="N742" s="50" t="s">
        <v>2</v>
      </c>
      <c r="P742" s="50">
        <v>5.52</v>
      </c>
      <c r="Q742" s="74">
        <v>6.79</v>
      </c>
      <c r="R742" s="50">
        <v>113.9</v>
      </c>
      <c r="S742" s="74">
        <v>90</v>
      </c>
      <c r="T742" s="50">
        <v>0.16</v>
      </c>
      <c r="U742" s="74">
        <v>0.38</v>
      </c>
      <c r="W742" s="74">
        <v>2.3E-2</v>
      </c>
      <c r="X742" s="50">
        <v>5.6000000000000001E-2</v>
      </c>
      <c r="AE742" s="50">
        <v>1.97</v>
      </c>
    </row>
    <row r="743" spans="1:51" ht="15" customHeight="1">
      <c r="A743" s="293" t="s">
        <v>68</v>
      </c>
      <c r="B743" s="50" t="s">
        <v>2358</v>
      </c>
      <c r="C743" s="50" t="s">
        <v>388</v>
      </c>
      <c r="D743" s="48" t="s">
        <v>111</v>
      </c>
      <c r="E743" s="50" t="s">
        <v>2889</v>
      </c>
      <c r="F743" s="50">
        <v>5200</v>
      </c>
      <c r="G743" s="76" t="s">
        <v>2360</v>
      </c>
      <c r="H743" s="50">
        <v>4953</v>
      </c>
      <c r="I743" s="49" t="s">
        <v>2</v>
      </c>
      <c r="J743" s="50" t="s">
        <v>2361</v>
      </c>
      <c r="K743" s="51">
        <v>40996</v>
      </c>
      <c r="L743" s="115">
        <v>40993</v>
      </c>
      <c r="N743" s="50" t="s">
        <v>2</v>
      </c>
      <c r="P743" s="117"/>
      <c r="Q743" s="131"/>
      <c r="W743" s="227"/>
      <c r="X743" s="226"/>
      <c r="Y743" s="226"/>
      <c r="AE743" s="50">
        <v>10.3</v>
      </c>
      <c r="AR743" s="273">
        <v>1E-4</v>
      </c>
      <c r="AS743" s="50">
        <v>6.55</v>
      </c>
      <c r="AU743" s="50"/>
    </row>
    <row r="744" spans="1:51" ht="15" customHeight="1">
      <c r="A744" s="293" t="s">
        <v>68</v>
      </c>
      <c r="B744" s="50" t="s">
        <v>2358</v>
      </c>
      <c r="C744" s="50" t="s">
        <v>388</v>
      </c>
      <c r="D744" s="48" t="s">
        <v>111</v>
      </c>
      <c r="E744" s="50" t="s">
        <v>112</v>
      </c>
      <c r="F744" s="50">
        <v>5200</v>
      </c>
      <c r="G744" s="76" t="s">
        <v>2360</v>
      </c>
      <c r="H744" s="50">
        <v>4953</v>
      </c>
      <c r="I744" s="49" t="s">
        <v>2</v>
      </c>
      <c r="J744" s="50" t="s">
        <v>2361</v>
      </c>
      <c r="K744" s="51">
        <v>41044</v>
      </c>
      <c r="L744" s="115">
        <v>41039</v>
      </c>
      <c r="N744" s="50" t="s">
        <v>2</v>
      </c>
      <c r="O744" s="74">
        <v>1</v>
      </c>
      <c r="P744" s="117">
        <v>5.31</v>
      </c>
      <c r="Q744" s="131">
        <v>7.1</v>
      </c>
      <c r="R744" s="50">
        <v>43</v>
      </c>
      <c r="S744" s="74">
        <v>172</v>
      </c>
      <c r="T744" s="50">
        <v>1.3</v>
      </c>
      <c r="U744" s="74">
        <v>6</v>
      </c>
      <c r="V744" s="50">
        <v>0.05</v>
      </c>
      <c r="W744" s="227">
        <v>3.2000000000000001E-2</v>
      </c>
      <c r="X744" s="226">
        <v>7.4999999999999997E-2</v>
      </c>
      <c r="Y744" s="226">
        <v>3.1E-2</v>
      </c>
      <c r="AE744" s="50">
        <v>6.75</v>
      </c>
      <c r="AR744" s="273">
        <v>1E-4</v>
      </c>
      <c r="AS744" s="50">
        <v>3.82</v>
      </c>
      <c r="AT744" s="50">
        <v>2.5000000000000001E-4</v>
      </c>
      <c r="AU744" s="50">
        <v>5.0000000000000001E-3</v>
      </c>
    </row>
    <row r="745" spans="1:51" ht="15" customHeight="1">
      <c r="A745" s="293" t="s">
        <v>68</v>
      </c>
      <c r="B745" s="50" t="s">
        <v>3442</v>
      </c>
      <c r="C745" s="74" t="s">
        <v>3376</v>
      </c>
      <c r="D745" s="48" t="s">
        <v>818</v>
      </c>
      <c r="E745" s="50" t="s">
        <v>3377</v>
      </c>
      <c r="F745" s="74"/>
      <c r="G745" s="76" t="s">
        <v>3625</v>
      </c>
      <c r="H745" s="50">
        <v>4953</v>
      </c>
      <c r="I745" s="74" t="s">
        <v>2</v>
      </c>
      <c r="J745" s="50" t="s">
        <v>392</v>
      </c>
      <c r="K745" s="51">
        <v>41432</v>
      </c>
      <c r="L745" s="115">
        <v>41427</v>
      </c>
      <c r="N745" s="50" t="s">
        <v>2</v>
      </c>
      <c r="AE745" s="50">
        <v>25.4</v>
      </c>
    </row>
    <row r="746" spans="1:51" ht="15" customHeight="1">
      <c r="A746" s="293" t="s">
        <v>68</v>
      </c>
      <c r="B746" s="50" t="s">
        <v>3442</v>
      </c>
      <c r="C746" s="74" t="s">
        <v>3376</v>
      </c>
      <c r="D746" s="48" t="s">
        <v>818</v>
      </c>
      <c r="E746" s="50" t="s">
        <v>3377</v>
      </c>
      <c r="F746" s="74"/>
      <c r="G746" s="76" t="s">
        <v>3625</v>
      </c>
      <c r="H746" s="50">
        <v>4953</v>
      </c>
      <c r="I746" s="74" t="s">
        <v>2</v>
      </c>
      <c r="J746" s="50" t="s">
        <v>392</v>
      </c>
      <c r="K746" s="51">
        <v>41456</v>
      </c>
      <c r="L746" s="115">
        <v>41452</v>
      </c>
      <c r="N746" s="50" t="s">
        <v>2</v>
      </c>
      <c r="O746" s="74">
        <v>10.4</v>
      </c>
      <c r="P746" s="50">
        <v>5.78</v>
      </c>
      <c r="Q746" s="74">
        <v>7.66</v>
      </c>
      <c r="R746" s="50">
        <v>506</v>
      </c>
      <c r="S746" s="74">
        <v>583</v>
      </c>
      <c r="T746" s="50">
        <v>0.52</v>
      </c>
      <c r="U746" s="74">
        <v>3.42</v>
      </c>
      <c r="V746" s="50">
        <v>0.25</v>
      </c>
      <c r="W746" s="74">
        <v>3.5999999999999997E-2</v>
      </c>
      <c r="X746" s="50">
        <v>0.19</v>
      </c>
      <c r="Y746" s="74">
        <v>0.04</v>
      </c>
      <c r="AE746" s="50">
        <v>24.3</v>
      </c>
    </row>
    <row r="747" spans="1:51" ht="15" customHeight="1">
      <c r="A747" s="293" t="s">
        <v>68</v>
      </c>
      <c r="B747" s="50" t="s">
        <v>3442</v>
      </c>
      <c r="C747" s="74" t="s">
        <v>3376</v>
      </c>
      <c r="D747" s="48" t="s">
        <v>818</v>
      </c>
      <c r="E747" s="50" t="s">
        <v>3377</v>
      </c>
      <c r="F747" s="74"/>
      <c r="G747" s="76" t="s">
        <v>3625</v>
      </c>
      <c r="H747" s="50">
        <v>4953</v>
      </c>
      <c r="I747" s="74" t="s">
        <v>2</v>
      </c>
      <c r="J747" s="50" t="s">
        <v>392</v>
      </c>
      <c r="K747" s="51">
        <v>41156</v>
      </c>
      <c r="L747" s="115">
        <v>41148</v>
      </c>
      <c r="N747" s="50" t="s">
        <v>2</v>
      </c>
      <c r="O747" s="74">
        <f>5/2</f>
        <v>2.5</v>
      </c>
      <c r="P747" s="50">
        <v>5</v>
      </c>
      <c r="Q747" s="74">
        <v>6.95</v>
      </c>
      <c r="R747" s="50">
        <v>108</v>
      </c>
      <c r="S747" s="74">
        <v>42</v>
      </c>
      <c r="T747" s="50">
        <v>0.43</v>
      </c>
      <c r="U747" s="74">
        <f>0.5/2</f>
        <v>0.25</v>
      </c>
      <c r="V747" s="50">
        <v>0.73</v>
      </c>
      <c r="W747" s="74">
        <v>1.9E-2</v>
      </c>
      <c r="X747" s="50">
        <v>0.08</v>
      </c>
      <c r="Y747" s="74">
        <v>8.0000000000000002E-3</v>
      </c>
      <c r="AE747" s="50">
        <v>1.94</v>
      </c>
    </row>
    <row r="748" spans="1:51" ht="15" customHeight="1">
      <c r="A748" s="293" t="s">
        <v>68</v>
      </c>
      <c r="B748" s="50" t="s">
        <v>5966</v>
      </c>
      <c r="C748" s="7" t="s">
        <v>5967</v>
      </c>
      <c r="D748" s="14" t="s">
        <v>5968</v>
      </c>
      <c r="E748" s="7" t="s">
        <v>5969</v>
      </c>
      <c r="F748" s="7"/>
      <c r="G748" s="15" t="s">
        <v>5970</v>
      </c>
      <c r="H748" s="7">
        <v>4953</v>
      </c>
      <c r="I748" s="19" t="s">
        <v>2</v>
      </c>
      <c r="J748" s="7" t="s">
        <v>3386</v>
      </c>
      <c r="K748" s="51">
        <v>41744</v>
      </c>
      <c r="L748" s="115">
        <v>41737</v>
      </c>
      <c r="M748" s="50">
        <v>7</v>
      </c>
      <c r="N748" s="50" t="s">
        <v>2</v>
      </c>
      <c r="O748" s="74">
        <v>0.25</v>
      </c>
      <c r="P748" s="50">
        <v>4.92</v>
      </c>
      <c r="Q748" s="74">
        <v>6.7</v>
      </c>
      <c r="R748" s="50">
        <v>44</v>
      </c>
      <c r="S748" s="74">
        <v>96</v>
      </c>
      <c r="T748" s="50">
        <v>7.0000000000000007E-2</v>
      </c>
      <c r="U748" s="74">
        <v>1</v>
      </c>
      <c r="V748" s="50">
        <v>0.06</v>
      </c>
      <c r="W748" s="74">
        <v>0.04</v>
      </c>
      <c r="X748" s="50">
        <v>5.0000000000000001E-3</v>
      </c>
      <c r="Y748" s="74">
        <v>2E-3</v>
      </c>
      <c r="AE748" s="50">
        <v>0.77</v>
      </c>
      <c r="AG748" s="50">
        <v>96</v>
      </c>
      <c r="AM748" s="50">
        <v>5.0000000000000001E-3</v>
      </c>
      <c r="AN748" s="114">
        <v>6.7</v>
      </c>
    </row>
    <row r="749" spans="1:51" ht="15" customHeight="1">
      <c r="A749" s="293" t="s">
        <v>68</v>
      </c>
      <c r="B749" s="50" t="s">
        <v>1116</v>
      </c>
      <c r="C749" s="7" t="s">
        <v>1116</v>
      </c>
      <c r="D749" s="14" t="s">
        <v>347</v>
      </c>
      <c r="E749" s="7" t="s">
        <v>4802</v>
      </c>
      <c r="F749" s="7"/>
      <c r="G749" s="15" t="s">
        <v>1118</v>
      </c>
      <c r="H749" s="7">
        <v>4953</v>
      </c>
      <c r="I749" s="19" t="s">
        <v>2</v>
      </c>
      <c r="J749" s="7" t="s">
        <v>5971</v>
      </c>
      <c r="K749" s="51">
        <v>41116</v>
      </c>
      <c r="L749" s="115">
        <v>41113</v>
      </c>
      <c r="M749" s="50">
        <v>3</v>
      </c>
      <c r="N749" s="50" t="s">
        <v>2</v>
      </c>
      <c r="O749" s="74">
        <v>1</v>
      </c>
      <c r="P749" s="50">
        <v>7</v>
      </c>
      <c r="Q749" s="74">
        <v>6.2</v>
      </c>
      <c r="R749" s="50">
        <v>5</v>
      </c>
      <c r="S749" s="74">
        <v>4</v>
      </c>
      <c r="T749" s="50">
        <v>2.5000000000000001E-2</v>
      </c>
      <c r="U749" s="74">
        <v>0.54</v>
      </c>
      <c r="V749" s="50">
        <v>0.05</v>
      </c>
      <c r="W749" s="74">
        <v>3.1E-2</v>
      </c>
      <c r="X749" s="50">
        <v>0.153</v>
      </c>
      <c r="Y749" s="74">
        <v>1.4999999999999999E-2</v>
      </c>
    </row>
    <row r="750" spans="1:51" ht="15" customHeight="1">
      <c r="A750" s="293" t="s">
        <v>68</v>
      </c>
      <c r="B750" s="50" t="s">
        <v>4604</v>
      </c>
      <c r="C750" s="7" t="s">
        <v>2688</v>
      </c>
      <c r="D750" s="14" t="s">
        <v>1903</v>
      </c>
      <c r="E750" s="7" t="s">
        <v>5972</v>
      </c>
      <c r="F750" s="7"/>
      <c r="G750" s="15" t="s">
        <v>2950</v>
      </c>
      <c r="H750" s="7">
        <v>4953</v>
      </c>
      <c r="I750" s="19" t="s">
        <v>2</v>
      </c>
      <c r="J750" s="7" t="s">
        <v>4606</v>
      </c>
      <c r="K750" s="51">
        <v>41717</v>
      </c>
      <c r="L750" s="115">
        <v>41710</v>
      </c>
      <c r="M750" s="50">
        <v>7</v>
      </c>
      <c r="N750" s="50" t="s">
        <v>2</v>
      </c>
      <c r="O750" s="74">
        <v>0.7</v>
      </c>
      <c r="P750" s="50">
        <v>5</v>
      </c>
      <c r="Q750" s="74">
        <v>7.64</v>
      </c>
      <c r="R750" s="50">
        <v>58</v>
      </c>
      <c r="S750" s="74">
        <v>110</v>
      </c>
      <c r="T750" s="50">
        <v>0.57999999999999996</v>
      </c>
      <c r="U750" s="74">
        <v>2.86</v>
      </c>
      <c r="V750" s="50">
        <v>0.89</v>
      </c>
      <c r="W750" s="74">
        <v>2.5999999999999999E-2</v>
      </c>
      <c r="X750" s="50">
        <v>4.7E-2</v>
      </c>
      <c r="Y750" s="74">
        <v>8.9999999999999993E-3</v>
      </c>
      <c r="Z750" s="164">
        <v>1</v>
      </c>
      <c r="AA750" s="165">
        <v>1</v>
      </c>
      <c r="AB750" s="50">
        <v>220</v>
      </c>
      <c r="AC750" s="74">
        <v>2654</v>
      </c>
      <c r="AD750" s="164">
        <v>1</v>
      </c>
    </row>
    <row r="751" spans="1:51" ht="15" customHeight="1">
      <c r="A751" s="88" t="s">
        <v>68</v>
      </c>
      <c r="B751" s="50" t="s">
        <v>3411</v>
      </c>
      <c r="C751" s="7" t="s">
        <v>5973</v>
      </c>
      <c r="D751" s="14" t="s">
        <v>1896</v>
      </c>
      <c r="E751" s="7" t="s">
        <v>5974</v>
      </c>
      <c r="F751" s="7"/>
      <c r="G751" s="15" t="s">
        <v>5975</v>
      </c>
      <c r="H751" s="7">
        <v>4953</v>
      </c>
      <c r="I751" s="19" t="s">
        <v>2</v>
      </c>
      <c r="J751" s="7" t="s">
        <v>510</v>
      </c>
      <c r="K751" s="51">
        <v>41402</v>
      </c>
      <c r="L751" s="115">
        <v>41383</v>
      </c>
      <c r="M751" s="50">
        <v>19</v>
      </c>
      <c r="N751" s="50" t="s">
        <v>2</v>
      </c>
      <c r="O751" s="74">
        <v>9.1</v>
      </c>
      <c r="P751" s="50">
        <v>6.5</v>
      </c>
      <c r="Q751" s="74">
        <v>7.38</v>
      </c>
      <c r="R751" s="50">
        <v>133</v>
      </c>
      <c r="S751" s="74">
        <v>840</v>
      </c>
      <c r="T751" s="50">
        <v>3.7</v>
      </c>
      <c r="U751" s="74">
        <v>19.899999999999999</v>
      </c>
      <c r="V751" s="50">
        <v>0.22</v>
      </c>
      <c r="W751" s="74">
        <v>7.4999999999999997E-2</v>
      </c>
      <c r="X751" s="50">
        <v>0.30599999999999999</v>
      </c>
      <c r="Y751" s="74">
        <v>0.17</v>
      </c>
    </row>
    <row r="752" spans="1:51" ht="15" customHeight="1">
      <c r="A752" s="293" t="s">
        <v>68</v>
      </c>
      <c r="B752" s="50" t="s">
        <v>3411</v>
      </c>
      <c r="C752" s="7" t="s">
        <v>5973</v>
      </c>
      <c r="D752" s="14" t="s">
        <v>1896</v>
      </c>
      <c r="E752" s="7" t="s">
        <v>5974</v>
      </c>
      <c r="F752" s="7"/>
      <c r="G752" s="15" t="s">
        <v>5975</v>
      </c>
      <c r="H752" s="7">
        <v>4953</v>
      </c>
      <c r="I752" s="19" t="s">
        <v>2</v>
      </c>
      <c r="J752" s="7" t="s">
        <v>510</v>
      </c>
      <c r="K752" s="51">
        <v>41345</v>
      </c>
      <c r="L752" s="115">
        <v>41341</v>
      </c>
      <c r="M752" s="50">
        <v>4</v>
      </c>
      <c r="N752" s="50" t="s">
        <v>2</v>
      </c>
      <c r="O752" s="74">
        <v>0.7</v>
      </c>
      <c r="P752" s="50">
        <v>6.5</v>
      </c>
      <c r="Q752" s="74">
        <v>7.8</v>
      </c>
      <c r="R752" s="50">
        <v>58</v>
      </c>
      <c r="S752" s="74">
        <v>13</v>
      </c>
      <c r="T752" s="50">
        <v>0.79</v>
      </c>
      <c r="U752" s="74">
        <v>1.58</v>
      </c>
      <c r="V752" s="50">
        <v>0.78</v>
      </c>
      <c r="W752" s="74">
        <v>1.2999999999999999E-2</v>
      </c>
      <c r="X752" s="50">
        <v>1.4E-2</v>
      </c>
      <c r="Y752" s="74">
        <v>5.0000000000000001E-3</v>
      </c>
    </row>
    <row r="753" spans="1:40" ht="15" customHeight="1">
      <c r="A753" s="293" t="s">
        <v>68</v>
      </c>
      <c r="B753" s="50" t="s">
        <v>3582</v>
      </c>
      <c r="C753" s="7" t="s">
        <v>3346</v>
      </c>
      <c r="D753" s="14" t="s">
        <v>756</v>
      </c>
      <c r="E753" s="7" t="s">
        <v>3347</v>
      </c>
      <c r="F753" s="7"/>
      <c r="G753" s="15" t="s">
        <v>3348</v>
      </c>
      <c r="H753" s="7">
        <v>4953</v>
      </c>
      <c r="I753" s="19" t="s">
        <v>2</v>
      </c>
      <c r="J753" s="7" t="s">
        <v>510</v>
      </c>
      <c r="K753" s="51">
        <v>41775</v>
      </c>
      <c r="L753" s="115">
        <v>41769</v>
      </c>
      <c r="M753" s="50">
        <v>6</v>
      </c>
      <c r="N753" s="50" t="s">
        <v>2</v>
      </c>
      <c r="O753" s="74">
        <v>0.7</v>
      </c>
      <c r="P753" s="50">
        <v>6.57</v>
      </c>
      <c r="Q753" s="74">
        <v>7.03</v>
      </c>
      <c r="R753" s="50">
        <v>63</v>
      </c>
      <c r="S753" s="74">
        <v>8</v>
      </c>
      <c r="T753" s="50">
        <v>0.11</v>
      </c>
      <c r="U753" s="74">
        <v>1.05</v>
      </c>
      <c r="V753" s="50">
        <v>0.12</v>
      </c>
      <c r="W753" s="74">
        <v>1.4E-2</v>
      </c>
      <c r="X753" s="50">
        <v>3.3000000000000002E-2</v>
      </c>
      <c r="Y753" s="74">
        <v>4.0000000000000001E-3</v>
      </c>
    </row>
    <row r="754" spans="1:40" ht="15" customHeight="1">
      <c r="A754" s="293" t="s">
        <v>68</v>
      </c>
      <c r="B754" s="50" t="s">
        <v>2222</v>
      </c>
      <c r="C754" s="7" t="s">
        <v>3432</v>
      </c>
      <c r="D754" s="14" t="s">
        <v>372</v>
      </c>
      <c r="E754" s="7" t="s">
        <v>3428</v>
      </c>
      <c r="F754" s="7" t="s">
        <v>2896</v>
      </c>
      <c r="G754" s="15" t="s">
        <v>3429</v>
      </c>
      <c r="H754" s="7">
        <v>4953</v>
      </c>
      <c r="I754" s="19" t="s">
        <v>2</v>
      </c>
      <c r="J754" s="7" t="s">
        <v>3430</v>
      </c>
      <c r="K754" s="51">
        <v>41726</v>
      </c>
      <c r="L754" s="115">
        <v>41723</v>
      </c>
      <c r="M754" s="50">
        <v>3</v>
      </c>
      <c r="N754" s="50" t="s">
        <v>2</v>
      </c>
      <c r="O754" s="74">
        <v>1.25</v>
      </c>
      <c r="P754" s="50">
        <v>6.4</v>
      </c>
      <c r="Q754" s="74">
        <v>6.5</v>
      </c>
      <c r="R754" s="50">
        <v>55</v>
      </c>
      <c r="S754" s="74">
        <v>44</v>
      </c>
      <c r="T754" s="50">
        <v>7.0000000000000007E-2</v>
      </c>
      <c r="U754" s="74">
        <v>1.92</v>
      </c>
      <c r="V754" s="50">
        <v>2.02</v>
      </c>
      <c r="W754" s="74">
        <v>0.08</v>
      </c>
      <c r="X754" s="50">
        <v>0.02</v>
      </c>
      <c r="Y754" s="74">
        <v>4.0000000000000001E-3</v>
      </c>
      <c r="AE754" s="50">
        <v>0.21</v>
      </c>
    </row>
    <row r="755" spans="1:40" ht="15" customHeight="1">
      <c r="A755" s="293" t="s">
        <v>68</v>
      </c>
      <c r="B755" s="50" t="s">
        <v>1122</v>
      </c>
      <c r="C755" s="7" t="s">
        <v>1122</v>
      </c>
      <c r="D755" s="14" t="s">
        <v>205</v>
      </c>
      <c r="E755" s="7" t="s">
        <v>1123</v>
      </c>
      <c r="F755" s="7"/>
      <c r="G755" s="15" t="s">
        <v>1124</v>
      </c>
      <c r="H755" s="7">
        <v>4953</v>
      </c>
      <c r="I755" s="19" t="s">
        <v>2</v>
      </c>
      <c r="J755" s="7" t="s">
        <v>81</v>
      </c>
      <c r="K755" s="51">
        <v>41710</v>
      </c>
      <c r="L755" s="115">
        <v>41691</v>
      </c>
      <c r="M755" s="50">
        <v>19</v>
      </c>
      <c r="N755" s="50" t="s">
        <v>2</v>
      </c>
      <c r="AE755" s="50">
        <v>9.2100000000000009</v>
      </c>
    </row>
    <row r="756" spans="1:40" ht="15" customHeight="1">
      <c r="A756" s="293" t="s">
        <v>68</v>
      </c>
      <c r="B756" s="50" t="s">
        <v>1122</v>
      </c>
      <c r="C756" s="7" t="s">
        <v>1122</v>
      </c>
      <c r="D756" s="14" t="s">
        <v>205</v>
      </c>
      <c r="E756" s="7" t="s">
        <v>364</v>
      </c>
      <c r="F756" s="7"/>
      <c r="G756" s="15" t="s">
        <v>1124</v>
      </c>
      <c r="H756" s="7">
        <v>4953</v>
      </c>
      <c r="I756" s="19" t="s">
        <v>2</v>
      </c>
      <c r="J756" s="7" t="s">
        <v>114</v>
      </c>
      <c r="K756" s="51">
        <v>41710</v>
      </c>
      <c r="L756" s="115">
        <v>41691</v>
      </c>
      <c r="M756" s="50">
        <v>19</v>
      </c>
      <c r="N756" s="50" t="s">
        <v>1</v>
      </c>
      <c r="O756" s="74">
        <v>0.7</v>
      </c>
      <c r="P756" s="50">
        <v>5.96</v>
      </c>
      <c r="Q756" s="74">
        <v>6.77</v>
      </c>
      <c r="R756" s="50">
        <v>53</v>
      </c>
      <c r="S756" s="74">
        <v>44</v>
      </c>
      <c r="T756" s="50">
        <v>0.39</v>
      </c>
      <c r="U756" s="74">
        <v>5.19</v>
      </c>
      <c r="V756" s="50">
        <v>0.65</v>
      </c>
      <c r="W756" s="74">
        <v>1.9E-2</v>
      </c>
      <c r="X756" s="50">
        <v>2.1999999999999999E-2</v>
      </c>
      <c r="Y756" s="74">
        <v>8.0000000000000002E-3</v>
      </c>
      <c r="AE756" s="50">
        <v>1.9</v>
      </c>
      <c r="AF756" s="50">
        <v>5.2</v>
      </c>
      <c r="AG756" s="50">
        <v>44</v>
      </c>
      <c r="AH756" s="50">
        <v>3.62</v>
      </c>
      <c r="AI756" s="50">
        <v>5.0000000000000001E-3</v>
      </c>
      <c r="AJ756" s="50">
        <v>5.0000000000000001E-3</v>
      </c>
      <c r="AK756" s="50">
        <v>5.0000000000000001E-3</v>
      </c>
      <c r="AL756" s="50">
        <v>5.0000000000000001E-3</v>
      </c>
      <c r="AM756" s="50">
        <v>2.1999999999999999E-2</v>
      </c>
      <c r="AN756" s="114">
        <v>6.77</v>
      </c>
    </row>
    <row r="757" spans="1:40" ht="15" customHeight="1">
      <c r="A757" s="293" t="s">
        <v>68</v>
      </c>
      <c r="B757" s="50" t="s">
        <v>3411</v>
      </c>
      <c r="C757" s="7" t="s">
        <v>475</v>
      </c>
      <c r="D757" s="14" t="s">
        <v>1896</v>
      </c>
      <c r="E757" s="7"/>
      <c r="F757" s="7" t="s">
        <v>3412</v>
      </c>
      <c r="G757" s="15" t="s">
        <v>3413</v>
      </c>
      <c r="H757" s="7">
        <v>4953</v>
      </c>
      <c r="I757" s="19" t="s">
        <v>2</v>
      </c>
      <c r="J757" s="7" t="s">
        <v>3630</v>
      </c>
      <c r="K757" s="51">
        <v>41402</v>
      </c>
      <c r="L757" s="115">
        <v>41383</v>
      </c>
      <c r="M757" s="50">
        <v>19</v>
      </c>
      <c r="N757" s="50" t="s">
        <v>2</v>
      </c>
      <c r="O757" s="74">
        <v>22</v>
      </c>
      <c r="P757" s="50">
        <v>7.69</v>
      </c>
      <c r="Q757" s="74">
        <v>6.94</v>
      </c>
      <c r="R757" s="50">
        <v>265</v>
      </c>
      <c r="S757" s="74">
        <v>580</v>
      </c>
      <c r="T757" s="50">
        <v>6.2</v>
      </c>
      <c r="U757" s="74">
        <v>32.799999999999997</v>
      </c>
      <c r="V757" s="50">
        <v>3.67</v>
      </c>
      <c r="W757" s="74">
        <v>0.217</v>
      </c>
      <c r="X757" s="50">
        <v>1.75</v>
      </c>
      <c r="Y757" s="74">
        <v>0.33300000000000002</v>
      </c>
      <c r="AE757" s="50">
        <v>31</v>
      </c>
    </row>
    <row r="758" spans="1:40" ht="15" customHeight="1">
      <c r="A758" s="293" t="s">
        <v>68</v>
      </c>
      <c r="B758" s="50" t="s">
        <v>5495</v>
      </c>
      <c r="C758" s="7" t="s">
        <v>5496</v>
      </c>
      <c r="D758" s="14" t="s">
        <v>1683</v>
      </c>
      <c r="E758" s="7"/>
      <c r="F758" s="14" t="s">
        <v>5497</v>
      </c>
      <c r="G758" s="15" t="s">
        <v>5498</v>
      </c>
      <c r="H758" s="7">
        <v>4212</v>
      </c>
      <c r="I758" s="19" t="s">
        <v>2</v>
      </c>
      <c r="J758" s="7" t="s">
        <v>366</v>
      </c>
      <c r="K758" s="51">
        <v>41759</v>
      </c>
      <c r="L758" s="115">
        <v>41755</v>
      </c>
      <c r="M758" s="50">
        <v>4</v>
      </c>
      <c r="N758" s="50" t="s">
        <v>2</v>
      </c>
      <c r="O758" s="74">
        <v>12</v>
      </c>
      <c r="P758" s="50">
        <v>6.5</v>
      </c>
      <c r="Q758" s="74">
        <v>7.68</v>
      </c>
      <c r="R758" s="50">
        <v>181</v>
      </c>
      <c r="S758" s="74">
        <v>250</v>
      </c>
      <c r="T758" s="50">
        <v>0.38</v>
      </c>
      <c r="U758" s="74">
        <v>1.23</v>
      </c>
      <c r="V758" s="50">
        <v>5.0000000000000001E-3</v>
      </c>
      <c r="W758" s="74">
        <v>3.9E-2</v>
      </c>
      <c r="X758" s="50">
        <v>0.17399999999999999</v>
      </c>
      <c r="Y758" s="74">
        <v>4.9000000000000002E-2</v>
      </c>
    </row>
    <row r="759" spans="1:40" ht="15" customHeight="1">
      <c r="A759" s="293" t="s">
        <v>68</v>
      </c>
      <c r="B759" s="50" t="s">
        <v>4138</v>
      </c>
      <c r="C759" s="7" t="s">
        <v>3518</v>
      </c>
      <c r="D759" s="14" t="s">
        <v>133</v>
      </c>
      <c r="E759" s="7"/>
      <c r="F759" s="14" t="s">
        <v>3333</v>
      </c>
      <c r="G759" s="15" t="s">
        <v>3338</v>
      </c>
      <c r="H759" s="7">
        <v>4953</v>
      </c>
      <c r="I759" s="19" t="s">
        <v>2</v>
      </c>
      <c r="J759" s="7" t="s">
        <v>366</v>
      </c>
      <c r="K759" s="51">
        <v>41744</v>
      </c>
      <c r="L759" s="115">
        <v>41737</v>
      </c>
      <c r="M759" s="50">
        <v>7</v>
      </c>
      <c r="N759" s="50" t="s">
        <v>2</v>
      </c>
      <c r="O759" s="74">
        <v>5.0999999999999996</v>
      </c>
      <c r="P759" s="50">
        <v>6.5</v>
      </c>
      <c r="Q759" s="74">
        <v>7.46</v>
      </c>
      <c r="R759" s="50">
        <v>70</v>
      </c>
      <c r="S759" s="74">
        <v>140</v>
      </c>
      <c r="T759" s="50">
        <v>0.23</v>
      </c>
      <c r="U759" s="74">
        <v>1.05</v>
      </c>
      <c r="V759" s="50">
        <v>0.1</v>
      </c>
      <c r="W759" s="74">
        <v>2.1000000000000001E-2</v>
      </c>
      <c r="X759" s="50">
        <v>0.128</v>
      </c>
      <c r="Y759" s="74">
        <v>3.5999999999999997E-2</v>
      </c>
    </row>
    <row r="760" spans="1:40" ht="15" customHeight="1">
      <c r="A760" s="293" t="s">
        <v>68</v>
      </c>
      <c r="B760" s="50" t="s">
        <v>3308</v>
      </c>
      <c r="C760" s="7" t="s">
        <v>3309</v>
      </c>
      <c r="D760" s="14" t="s">
        <v>209</v>
      </c>
      <c r="E760" s="7"/>
      <c r="F760" s="14" t="s">
        <v>3310</v>
      </c>
      <c r="G760" s="15" t="s">
        <v>3311</v>
      </c>
      <c r="H760" s="7">
        <v>4953</v>
      </c>
      <c r="I760" s="19" t="s">
        <v>2</v>
      </c>
      <c r="J760" s="7" t="s">
        <v>460</v>
      </c>
      <c r="K760" s="51">
        <v>41759</v>
      </c>
      <c r="L760" s="115">
        <v>41755</v>
      </c>
      <c r="M760" s="50">
        <v>4</v>
      </c>
      <c r="N760" s="50" t="s">
        <v>2</v>
      </c>
      <c r="O760" s="74">
        <v>18</v>
      </c>
      <c r="P760" s="50">
        <v>6.5</v>
      </c>
      <c r="R760" s="50">
        <v>312</v>
      </c>
      <c r="S760" s="74">
        <v>490</v>
      </c>
      <c r="T760" s="50">
        <v>1.1100000000000001</v>
      </c>
      <c r="U760" s="74">
        <v>8.0399999999999991</v>
      </c>
      <c r="X760" s="50">
        <v>0.67700000000000005</v>
      </c>
      <c r="Y760" s="74">
        <v>0.29499999999999998</v>
      </c>
    </row>
    <row r="761" spans="1:40" ht="15" customHeight="1">
      <c r="A761" s="293" t="s">
        <v>68</v>
      </c>
      <c r="B761" s="50" t="s">
        <v>3466</v>
      </c>
      <c r="C761" s="7" t="s">
        <v>3467</v>
      </c>
      <c r="D761" s="14" t="s">
        <v>1505</v>
      </c>
      <c r="E761" s="7"/>
      <c r="F761" s="14" t="s">
        <v>5976</v>
      </c>
      <c r="G761" s="15" t="s">
        <v>3179</v>
      </c>
      <c r="H761" s="7">
        <v>4953</v>
      </c>
      <c r="I761" s="19" t="s">
        <v>2</v>
      </c>
      <c r="J761" s="7" t="s">
        <v>366</v>
      </c>
      <c r="K761" s="51">
        <v>41759</v>
      </c>
      <c r="L761" s="115">
        <v>41755</v>
      </c>
      <c r="M761" s="50">
        <v>4</v>
      </c>
      <c r="N761" s="50" t="s">
        <v>2</v>
      </c>
      <c r="O761" s="74">
        <v>12</v>
      </c>
      <c r="P761" s="50">
        <v>6.5</v>
      </c>
      <c r="Q761" s="74">
        <v>7.28</v>
      </c>
      <c r="R761" s="50">
        <v>225</v>
      </c>
      <c r="S761" s="74">
        <v>180</v>
      </c>
      <c r="T761" s="50">
        <v>0.55000000000000004</v>
      </c>
      <c r="U761" s="74">
        <v>6.2</v>
      </c>
      <c r="V761" s="50">
        <v>0.08</v>
      </c>
      <c r="W761" s="74">
        <v>6.0999999999999999E-2</v>
      </c>
      <c r="X761" s="50">
        <v>0.42199999999999999</v>
      </c>
      <c r="Y761" s="74">
        <v>0.254</v>
      </c>
    </row>
    <row r="762" spans="1:40" ht="15" customHeight="1">
      <c r="A762" s="293" t="s">
        <v>68</v>
      </c>
      <c r="B762" s="50" t="s">
        <v>4138</v>
      </c>
      <c r="C762" s="7" t="s">
        <v>4139</v>
      </c>
      <c r="D762" s="14" t="s">
        <v>133</v>
      </c>
      <c r="E762" s="7"/>
      <c r="F762" s="14" t="s">
        <v>3336</v>
      </c>
      <c r="G762" s="15" t="s">
        <v>3337</v>
      </c>
      <c r="H762" s="7">
        <v>5093</v>
      </c>
      <c r="I762" s="19" t="s">
        <v>2</v>
      </c>
      <c r="J762" s="7" t="s">
        <v>510</v>
      </c>
      <c r="K762" s="51">
        <v>41744</v>
      </c>
      <c r="L762" s="115">
        <v>41737</v>
      </c>
      <c r="M762" s="50">
        <v>7</v>
      </c>
      <c r="N762" s="50" t="s">
        <v>2</v>
      </c>
      <c r="O762" s="74">
        <v>13</v>
      </c>
      <c r="P762" s="50">
        <v>6.5</v>
      </c>
      <c r="Q762" s="74">
        <v>6.8</v>
      </c>
      <c r="R762" s="50">
        <v>498</v>
      </c>
      <c r="S762" s="74">
        <v>250</v>
      </c>
      <c r="T762" s="50">
        <v>0.86</v>
      </c>
      <c r="U762" s="74">
        <v>5.22</v>
      </c>
      <c r="V762" s="50">
        <v>5.0000000000000001E-3</v>
      </c>
      <c r="W762" s="74">
        <v>7.1999999999999995E-2</v>
      </c>
      <c r="X762" s="50">
        <v>0.52900000000000003</v>
      </c>
      <c r="Y762" s="74">
        <v>0.106</v>
      </c>
    </row>
    <row r="763" spans="1:40" ht="15" customHeight="1">
      <c r="A763" s="293" t="s">
        <v>68</v>
      </c>
      <c r="B763" s="50" t="s">
        <v>4138</v>
      </c>
      <c r="C763" s="7" t="s">
        <v>3305</v>
      </c>
      <c r="D763" s="14" t="s">
        <v>156</v>
      </c>
      <c r="E763" s="7"/>
      <c r="F763" s="14" t="s">
        <v>3306</v>
      </c>
      <c r="G763" s="15" t="s">
        <v>3307</v>
      </c>
      <c r="H763" s="7">
        <v>4953</v>
      </c>
      <c r="I763" s="19" t="s">
        <v>2</v>
      </c>
      <c r="J763" s="7" t="s">
        <v>460</v>
      </c>
      <c r="K763" s="51">
        <v>41744</v>
      </c>
      <c r="L763" s="115">
        <v>41737</v>
      </c>
      <c r="M763" s="50">
        <v>7</v>
      </c>
      <c r="N763" s="50" t="s">
        <v>2</v>
      </c>
      <c r="O763" s="74">
        <v>4.2</v>
      </c>
      <c r="P763" s="50">
        <v>6.5</v>
      </c>
      <c r="Q763" s="74">
        <v>6.75</v>
      </c>
      <c r="R763" s="50">
        <v>116</v>
      </c>
      <c r="S763" s="74">
        <v>180</v>
      </c>
      <c r="T763" s="50">
        <v>0.3</v>
      </c>
      <c r="U763" s="74">
        <v>2.12</v>
      </c>
      <c r="V763" s="50">
        <v>5.0000000000000001E-3</v>
      </c>
      <c r="W763" s="74">
        <v>1.7999999999999999E-2</v>
      </c>
      <c r="X763" s="50">
        <v>0.128</v>
      </c>
      <c r="Y763" s="74">
        <v>2.3E-2</v>
      </c>
    </row>
    <row r="764" spans="1:40" ht="15" customHeight="1">
      <c r="A764" s="293" t="s">
        <v>68</v>
      </c>
      <c r="B764" s="50" t="s">
        <v>4138</v>
      </c>
      <c r="C764" s="7" t="s">
        <v>3440</v>
      </c>
      <c r="D764" s="14" t="s">
        <v>372</v>
      </c>
      <c r="E764" s="7"/>
      <c r="F764" s="14" t="s">
        <v>5977</v>
      </c>
      <c r="G764" s="15" t="s">
        <v>3441</v>
      </c>
      <c r="H764" s="7">
        <v>5093</v>
      </c>
      <c r="I764" s="19" t="s">
        <v>2</v>
      </c>
      <c r="J764" s="7" t="s">
        <v>510</v>
      </c>
      <c r="K764" s="51">
        <v>41744</v>
      </c>
      <c r="L764" s="115">
        <v>41737</v>
      </c>
      <c r="M764" s="50">
        <v>7</v>
      </c>
      <c r="N764" s="50" t="s">
        <v>2</v>
      </c>
      <c r="O764" s="74">
        <v>6</v>
      </c>
      <c r="P764" s="50">
        <v>6.5</v>
      </c>
      <c r="R764" s="50">
        <v>47</v>
      </c>
      <c r="S764" s="74">
        <v>190</v>
      </c>
      <c r="T764" s="50">
        <v>0.33</v>
      </c>
      <c r="U764" s="74">
        <v>0.67</v>
      </c>
      <c r="W764" s="74">
        <v>2.9000000000000001E-2</v>
      </c>
      <c r="X764" s="50">
        <v>0.109</v>
      </c>
      <c r="Y764" s="74">
        <v>0.13600000000000001</v>
      </c>
    </row>
    <row r="765" spans="1:40" ht="15" customHeight="1">
      <c r="A765" s="293" t="s">
        <v>68</v>
      </c>
      <c r="B765" s="50" t="s">
        <v>4141</v>
      </c>
      <c r="C765" s="7" t="s">
        <v>3408</v>
      </c>
      <c r="D765" s="14" t="s">
        <v>372</v>
      </c>
      <c r="E765" s="7"/>
      <c r="F765" s="14" t="s">
        <v>5978</v>
      </c>
      <c r="G765" s="15" t="s">
        <v>3410</v>
      </c>
      <c r="H765" s="7">
        <v>4953</v>
      </c>
      <c r="I765" s="19" t="s">
        <v>1</v>
      </c>
      <c r="J765" s="7" t="s">
        <v>510</v>
      </c>
      <c r="K765" s="51">
        <v>41744</v>
      </c>
      <c r="L765" s="115">
        <v>41737</v>
      </c>
      <c r="M765" s="50">
        <v>7</v>
      </c>
      <c r="N765" s="50" t="s">
        <v>2</v>
      </c>
      <c r="O765" s="74">
        <v>8.9</v>
      </c>
      <c r="P765" s="50">
        <v>6.5</v>
      </c>
      <c r="Q765" s="74">
        <v>7.48</v>
      </c>
      <c r="R765" s="50">
        <v>187</v>
      </c>
      <c r="S765" s="74">
        <v>210</v>
      </c>
      <c r="T765" s="50">
        <v>0.43</v>
      </c>
      <c r="U765" s="74">
        <v>4.38</v>
      </c>
      <c r="V765" s="50">
        <v>0.06</v>
      </c>
      <c r="W765" s="74">
        <v>5.0999999999999997E-2</v>
      </c>
      <c r="X765" s="50">
        <v>0.43099999999999999</v>
      </c>
      <c r="Y765" s="74">
        <v>0.26500000000000001</v>
      </c>
    </row>
    <row r="766" spans="1:40" ht="15" customHeight="1">
      <c r="A766" s="293" t="s">
        <v>68</v>
      </c>
      <c r="B766" s="50" t="s">
        <v>336</v>
      </c>
      <c r="C766" s="7" t="s">
        <v>341</v>
      </c>
      <c r="D766" s="14" t="s">
        <v>338</v>
      </c>
      <c r="E766" s="7" t="s">
        <v>599</v>
      </c>
      <c r="F766" s="7">
        <v>6900</v>
      </c>
      <c r="G766" s="15" t="s">
        <v>339</v>
      </c>
      <c r="H766" s="7">
        <v>4953</v>
      </c>
      <c r="I766" s="19"/>
      <c r="J766" s="7" t="s">
        <v>341</v>
      </c>
      <c r="K766" s="51">
        <v>41795</v>
      </c>
      <c r="L766" s="115">
        <v>41782</v>
      </c>
      <c r="M766" s="50">
        <v>13</v>
      </c>
      <c r="N766" s="50" t="s">
        <v>2</v>
      </c>
      <c r="O766" s="74">
        <v>6</v>
      </c>
      <c r="P766" s="50">
        <v>5.93</v>
      </c>
      <c r="Q766" s="74">
        <v>7</v>
      </c>
      <c r="R766" s="50">
        <v>124</v>
      </c>
      <c r="S766" s="74">
        <v>330</v>
      </c>
      <c r="T766" s="50">
        <v>0.49</v>
      </c>
      <c r="U766" s="74">
        <v>4.9000000000000004</v>
      </c>
      <c r="V766" s="50">
        <v>0.28000000000000003</v>
      </c>
      <c r="W766" s="74">
        <v>0.05</v>
      </c>
      <c r="X766" s="50">
        <v>0.21</v>
      </c>
      <c r="Y766" s="74">
        <v>0.04</v>
      </c>
      <c r="AE766" s="50">
        <v>15</v>
      </c>
    </row>
    <row r="767" spans="1:40" ht="15" customHeight="1">
      <c r="A767" s="293" t="s">
        <v>68</v>
      </c>
      <c r="B767" s="50" t="s">
        <v>336</v>
      </c>
      <c r="C767" s="7" t="s">
        <v>340</v>
      </c>
      <c r="D767" s="14" t="s">
        <v>338</v>
      </c>
      <c r="E767" s="7" t="s">
        <v>599</v>
      </c>
      <c r="F767" s="7">
        <v>6900</v>
      </c>
      <c r="G767" s="15" t="s">
        <v>339</v>
      </c>
      <c r="H767" s="7">
        <v>4953</v>
      </c>
      <c r="I767" s="19"/>
      <c r="J767" s="7" t="s">
        <v>340</v>
      </c>
      <c r="K767" s="51">
        <v>41795</v>
      </c>
      <c r="L767" s="115">
        <v>41782</v>
      </c>
      <c r="M767" s="50">
        <v>13</v>
      </c>
      <c r="N767" s="50" t="s">
        <v>2</v>
      </c>
      <c r="O767" s="74">
        <v>1.7</v>
      </c>
      <c r="P767" s="50">
        <v>5.93</v>
      </c>
      <c r="Q767" s="74">
        <v>7.18</v>
      </c>
      <c r="R767" s="50">
        <v>91.4</v>
      </c>
      <c r="S767" s="74">
        <v>201</v>
      </c>
      <c r="T767" s="50">
        <v>0.57999999999999996</v>
      </c>
      <c r="U767" s="74">
        <v>11.58</v>
      </c>
      <c r="V767" s="50">
        <v>0.35</v>
      </c>
      <c r="W767" s="74">
        <v>0.01</v>
      </c>
      <c r="X767" s="50">
        <v>0.05</v>
      </c>
      <c r="Y767" s="74">
        <v>0.01</v>
      </c>
      <c r="AE767" s="50">
        <v>20.399999999999999</v>
      </c>
    </row>
    <row r="768" spans="1:40" ht="15" customHeight="1">
      <c r="A768" s="293" t="s">
        <v>68</v>
      </c>
      <c r="B768" s="50" t="s">
        <v>5534</v>
      </c>
      <c r="D768" s="14" t="s">
        <v>480</v>
      </c>
      <c r="E768" s="7" t="s">
        <v>5535</v>
      </c>
      <c r="F768" s="7"/>
      <c r="G768" s="15" t="s">
        <v>3175</v>
      </c>
      <c r="H768" s="7"/>
      <c r="I768" s="19" t="s">
        <v>1</v>
      </c>
      <c r="J768" s="7" t="s">
        <v>5536</v>
      </c>
      <c r="K768" s="51">
        <v>41795</v>
      </c>
      <c r="L768" s="115"/>
      <c r="N768" s="50" t="s">
        <v>2</v>
      </c>
      <c r="O768" s="74">
        <v>1</v>
      </c>
      <c r="P768" s="50">
        <v>7.9</v>
      </c>
      <c r="Q768" s="74">
        <v>7.1</v>
      </c>
      <c r="R768" s="50">
        <v>29</v>
      </c>
      <c r="S768" s="74">
        <v>15</v>
      </c>
      <c r="T768" s="50">
        <v>0.09</v>
      </c>
      <c r="U768" s="74">
        <v>1.05</v>
      </c>
      <c r="V768" s="50">
        <v>1.1100000000000001</v>
      </c>
      <c r="W768" s="74">
        <v>5.0000000000000001E-3</v>
      </c>
      <c r="X768" s="50">
        <v>1.4999999999999999E-2</v>
      </c>
      <c r="Y768" s="74">
        <v>1.4999999999999999E-2</v>
      </c>
      <c r="Z768" s="164">
        <v>1</v>
      </c>
      <c r="AA768" s="165">
        <v>1</v>
      </c>
      <c r="AB768" s="50">
        <v>179</v>
      </c>
      <c r="AC768" s="74">
        <v>544</v>
      </c>
      <c r="AD768" s="164">
        <v>1</v>
      </c>
      <c r="AE768" s="50">
        <v>0.38</v>
      </c>
    </row>
    <row r="769" spans="1:40" ht="15" customHeight="1">
      <c r="A769" s="293" t="s">
        <v>68</v>
      </c>
      <c r="B769" s="50" t="s">
        <v>4152</v>
      </c>
      <c r="C769" s="7" t="s">
        <v>3538</v>
      </c>
      <c r="D769" s="14" t="s">
        <v>56</v>
      </c>
      <c r="E769" s="7"/>
      <c r="F769" s="7" t="s">
        <v>3539</v>
      </c>
      <c r="G769" s="15" t="s">
        <v>3544</v>
      </c>
      <c r="H769" s="7">
        <v>4953</v>
      </c>
      <c r="I769" s="19" t="s">
        <v>2</v>
      </c>
      <c r="J769" s="7" t="s">
        <v>510</v>
      </c>
      <c r="K769" s="51">
        <v>41631</v>
      </c>
      <c r="L769" s="115">
        <v>41625</v>
      </c>
      <c r="M769" s="50">
        <v>6</v>
      </c>
      <c r="N769" s="50" t="s">
        <v>2</v>
      </c>
      <c r="O769" s="74">
        <v>42</v>
      </c>
      <c r="P769" s="50">
        <v>6.5</v>
      </c>
      <c r="R769" s="50">
        <v>440</v>
      </c>
      <c r="S769" s="74">
        <v>680</v>
      </c>
      <c r="T769" s="50">
        <v>1.3</v>
      </c>
      <c r="U769" s="74">
        <v>9.6999999999999993</v>
      </c>
      <c r="W769" s="74">
        <v>0.11</v>
      </c>
      <c r="X769" s="50">
        <v>1.01</v>
      </c>
      <c r="Y769" s="74">
        <v>0.249</v>
      </c>
    </row>
    <row r="770" spans="1:40" ht="15" customHeight="1">
      <c r="A770" s="293" t="s">
        <v>68</v>
      </c>
      <c r="B770" s="50" t="s">
        <v>4152</v>
      </c>
      <c r="C770" s="7" t="s">
        <v>3538</v>
      </c>
      <c r="D770" s="14" t="s">
        <v>56</v>
      </c>
      <c r="E770" s="7"/>
      <c r="F770" s="7" t="s">
        <v>3539</v>
      </c>
      <c r="G770" s="15" t="s">
        <v>3544</v>
      </c>
      <c r="H770" s="7">
        <v>4953</v>
      </c>
      <c r="I770" s="19" t="s">
        <v>2</v>
      </c>
      <c r="J770" s="7" t="s">
        <v>510</v>
      </c>
      <c r="K770" s="51">
        <v>41727</v>
      </c>
      <c r="L770" s="115"/>
      <c r="N770" s="50" t="s">
        <v>2</v>
      </c>
      <c r="P770" s="50">
        <v>6.5</v>
      </c>
      <c r="Q770" s="74">
        <v>7.56</v>
      </c>
      <c r="V770" s="50">
        <v>0.14000000000000001</v>
      </c>
    </row>
    <row r="771" spans="1:40" ht="15" customHeight="1">
      <c r="A771" s="293" t="s">
        <v>68</v>
      </c>
      <c r="B771" s="50" t="s">
        <v>4152</v>
      </c>
      <c r="C771" s="7" t="s">
        <v>3538</v>
      </c>
      <c r="D771" s="14" t="s">
        <v>56</v>
      </c>
      <c r="E771" s="7"/>
      <c r="F771" s="7" t="s">
        <v>3539</v>
      </c>
      <c r="G771" s="15" t="s">
        <v>3544</v>
      </c>
      <c r="H771" s="7">
        <v>4953</v>
      </c>
      <c r="I771" s="19" t="s">
        <v>2</v>
      </c>
      <c r="J771" s="7" t="s">
        <v>510</v>
      </c>
      <c r="K771" s="51">
        <v>41759</v>
      </c>
      <c r="L771" s="115">
        <v>41755</v>
      </c>
      <c r="M771" s="50">
        <v>4</v>
      </c>
      <c r="N771" s="50" t="s">
        <v>2</v>
      </c>
      <c r="O771" s="74">
        <v>18</v>
      </c>
      <c r="P771" s="50">
        <v>6.5</v>
      </c>
      <c r="R771" s="50">
        <v>111</v>
      </c>
      <c r="S771" s="74">
        <v>140</v>
      </c>
      <c r="T771" s="50">
        <v>0.52</v>
      </c>
      <c r="U771" s="74">
        <v>3.43</v>
      </c>
      <c r="W771" s="74">
        <v>6.2E-2</v>
      </c>
      <c r="X771" s="50">
        <v>0.68400000000000005</v>
      </c>
      <c r="Y771" s="74">
        <v>0.23</v>
      </c>
    </row>
    <row r="772" spans="1:40" ht="15" customHeight="1">
      <c r="A772" s="293" t="s">
        <v>68</v>
      </c>
      <c r="B772" s="50" t="s">
        <v>4696</v>
      </c>
      <c r="C772" s="7" t="s">
        <v>3575</v>
      </c>
      <c r="D772" s="14" t="s">
        <v>516</v>
      </c>
      <c r="E772" s="7"/>
      <c r="F772" s="7" t="s">
        <v>3570</v>
      </c>
      <c r="G772" s="15" t="s">
        <v>3576</v>
      </c>
      <c r="H772" s="7">
        <v>5093</v>
      </c>
      <c r="I772" s="19" t="s">
        <v>2</v>
      </c>
      <c r="J772" s="7" t="s">
        <v>510</v>
      </c>
      <c r="K772" s="51">
        <v>41744</v>
      </c>
      <c r="L772" s="115">
        <v>41737</v>
      </c>
      <c r="M772" s="50">
        <v>7</v>
      </c>
      <c r="N772" s="50" t="s">
        <v>2</v>
      </c>
      <c r="O772" s="74">
        <v>5.5</v>
      </c>
      <c r="P772" s="50">
        <v>6.5</v>
      </c>
      <c r="R772" s="50">
        <v>101</v>
      </c>
      <c r="S772" s="74">
        <v>100</v>
      </c>
      <c r="U772" s="74">
        <v>1.78</v>
      </c>
      <c r="X772" s="50">
        <v>0.14499999999999999</v>
      </c>
      <c r="Y772" s="74">
        <v>7.3999999999999996E-2</v>
      </c>
      <c r="Z772" s="164">
        <v>1</v>
      </c>
      <c r="AA772" s="165">
        <v>1</v>
      </c>
    </row>
    <row r="773" spans="1:40" ht="15" customHeight="1">
      <c r="A773" s="293" t="s">
        <v>68</v>
      </c>
      <c r="B773" s="50" t="s">
        <v>4145</v>
      </c>
      <c r="C773" s="7" t="s">
        <v>3528</v>
      </c>
      <c r="D773" s="14"/>
      <c r="E773" s="7"/>
      <c r="F773" s="7" t="s">
        <v>3529</v>
      </c>
      <c r="G773" s="15" t="s">
        <v>2768</v>
      </c>
      <c r="H773" s="7">
        <v>4212</v>
      </c>
      <c r="I773" s="19" t="s">
        <v>2</v>
      </c>
      <c r="J773" s="7" t="s">
        <v>366</v>
      </c>
      <c r="K773" s="51">
        <v>41759</v>
      </c>
      <c r="L773" s="115">
        <v>41755</v>
      </c>
      <c r="M773" s="50">
        <v>4</v>
      </c>
      <c r="N773" s="50" t="s">
        <v>2</v>
      </c>
      <c r="P773" s="50">
        <v>6.5</v>
      </c>
      <c r="R773" s="50">
        <v>76</v>
      </c>
      <c r="S773" s="74">
        <v>1300</v>
      </c>
      <c r="T773" s="50">
        <v>1.18</v>
      </c>
      <c r="V773" s="50">
        <v>5.0000000000000001E-3</v>
      </c>
      <c r="W773" s="74">
        <v>0.10100000000000001</v>
      </c>
      <c r="X773" s="50">
        <v>0.34399999999999997</v>
      </c>
      <c r="Y773" s="74">
        <v>0.10100000000000001</v>
      </c>
    </row>
    <row r="774" spans="1:40" ht="15" customHeight="1">
      <c r="A774" s="293" t="s">
        <v>68</v>
      </c>
      <c r="B774" s="50" t="s">
        <v>4696</v>
      </c>
      <c r="C774" s="7" t="s">
        <v>3454</v>
      </c>
      <c r="D774" s="14" t="s">
        <v>827</v>
      </c>
      <c r="E774" s="7"/>
      <c r="F774" s="7" t="s">
        <v>3341</v>
      </c>
      <c r="G774" s="15" t="s">
        <v>3455</v>
      </c>
      <c r="H774" s="7">
        <v>4953</v>
      </c>
      <c r="I774" s="19" t="s">
        <v>2</v>
      </c>
      <c r="J774" s="7" t="s">
        <v>366</v>
      </c>
      <c r="K774" s="51">
        <v>41759</v>
      </c>
      <c r="L774" s="115">
        <v>41737</v>
      </c>
      <c r="M774" s="50">
        <v>22</v>
      </c>
      <c r="N774" s="50" t="s">
        <v>2</v>
      </c>
      <c r="O774" s="74">
        <v>0.7</v>
      </c>
      <c r="P774" s="50">
        <v>6.5</v>
      </c>
      <c r="Q774" s="74">
        <v>7.55</v>
      </c>
      <c r="R774" s="50">
        <v>41</v>
      </c>
      <c r="S774" s="74">
        <v>7.5</v>
      </c>
      <c r="T774" s="50">
        <v>0.09</v>
      </c>
      <c r="U774" s="74">
        <v>0.91</v>
      </c>
      <c r="V774" s="50">
        <v>5.0000000000000001E-3</v>
      </c>
      <c r="W774" s="74">
        <v>0.01</v>
      </c>
      <c r="X774" s="50">
        <v>5.6000000000000001E-2</v>
      </c>
      <c r="Y774" s="74">
        <v>2E-3</v>
      </c>
    </row>
    <row r="775" spans="1:40" ht="15" customHeight="1">
      <c r="A775" s="293" t="s">
        <v>68</v>
      </c>
      <c r="B775" s="50" t="s">
        <v>4696</v>
      </c>
      <c r="C775" s="7" t="s">
        <v>4806</v>
      </c>
      <c r="D775" s="14" t="s">
        <v>3532</v>
      </c>
      <c r="E775" s="7"/>
      <c r="F775" s="7">
        <v>3700</v>
      </c>
      <c r="G775" s="15" t="s">
        <v>3533</v>
      </c>
      <c r="H775" s="7">
        <v>4953</v>
      </c>
      <c r="I775" s="19" t="s">
        <v>2</v>
      </c>
      <c r="J775" s="7" t="s">
        <v>366</v>
      </c>
      <c r="K775" s="51">
        <v>41744</v>
      </c>
      <c r="L775" s="115">
        <v>41737</v>
      </c>
      <c r="M775" s="50">
        <v>7</v>
      </c>
      <c r="N775" s="50" t="s">
        <v>2</v>
      </c>
      <c r="O775" s="74">
        <v>0.7</v>
      </c>
      <c r="P775" s="50">
        <v>6.5</v>
      </c>
      <c r="Q775" s="74">
        <v>6.46</v>
      </c>
      <c r="R775" s="50">
        <v>25</v>
      </c>
      <c r="S775" s="74">
        <v>75</v>
      </c>
      <c r="T775" s="50">
        <v>0.37</v>
      </c>
      <c r="U775" s="74">
        <v>1.55</v>
      </c>
      <c r="V775" s="50">
        <v>0.66</v>
      </c>
      <c r="W775" s="74">
        <v>0.02</v>
      </c>
      <c r="X775" s="50">
        <v>6.7000000000000004E-2</v>
      </c>
      <c r="Y775" s="74">
        <v>1.2999999999999999E-2</v>
      </c>
    </row>
    <row r="776" spans="1:40" ht="15" customHeight="1">
      <c r="A776" s="88" t="s">
        <v>68</v>
      </c>
      <c r="B776" s="50" t="s">
        <v>4801</v>
      </c>
      <c r="C776" s="7" t="s">
        <v>4763</v>
      </c>
      <c r="D776" s="48" t="s">
        <v>347</v>
      </c>
      <c r="E776" s="50" t="s">
        <v>4802</v>
      </c>
      <c r="F776" s="74"/>
      <c r="G776" s="76" t="s">
        <v>1118</v>
      </c>
      <c r="H776" s="50">
        <v>4953</v>
      </c>
      <c r="I776" s="74" t="s">
        <v>2</v>
      </c>
      <c r="J776" s="50" t="s">
        <v>5971</v>
      </c>
      <c r="K776" s="51">
        <v>41432</v>
      </c>
      <c r="L776" s="115">
        <v>41428</v>
      </c>
      <c r="M776" s="50">
        <f>K776-L776</f>
        <v>4</v>
      </c>
      <c r="N776" s="50" t="s">
        <v>2</v>
      </c>
      <c r="O776" s="74">
        <f>2/2</f>
        <v>1</v>
      </c>
      <c r="P776" s="50">
        <v>7.05</v>
      </c>
      <c r="Q776" s="74">
        <v>7</v>
      </c>
      <c r="R776" s="50">
        <f>10/2</f>
        <v>5</v>
      </c>
      <c r="S776" s="74">
        <v>3</v>
      </c>
      <c r="T776" s="50">
        <f>0.05/2</f>
        <v>2.5000000000000001E-2</v>
      </c>
      <c r="U776" s="74">
        <v>0.28000000000000003</v>
      </c>
      <c r="V776" s="50">
        <v>0.15</v>
      </c>
      <c r="W776" s="74">
        <v>1.0999999999999999E-2</v>
      </c>
      <c r="X776" s="50">
        <v>0.1</v>
      </c>
      <c r="Y776" s="74">
        <f>0.03/2</f>
        <v>1.4999999999999999E-2</v>
      </c>
      <c r="Z776" s="164">
        <v>1</v>
      </c>
      <c r="AA776" s="165">
        <v>1</v>
      </c>
      <c r="AB776" s="50">
        <v>62</v>
      </c>
      <c r="AC776" s="74">
        <v>293</v>
      </c>
      <c r="AD776" s="164">
        <v>0.9</v>
      </c>
    </row>
    <row r="777" spans="1:40" ht="15" customHeight="1">
      <c r="A777" s="293" t="s">
        <v>68</v>
      </c>
      <c r="B777" s="50" t="s">
        <v>2756</v>
      </c>
      <c r="C777" s="50" t="s">
        <v>2688</v>
      </c>
      <c r="D777" s="83" t="s">
        <v>1903</v>
      </c>
      <c r="E777" s="74" t="s">
        <v>2758</v>
      </c>
      <c r="F777" s="50" t="s">
        <v>2667</v>
      </c>
      <c r="G777" s="48" t="s">
        <v>2950</v>
      </c>
      <c r="H777" s="74">
        <v>4953</v>
      </c>
      <c r="I777" s="50" t="s">
        <v>2</v>
      </c>
      <c r="J777" s="48" t="s">
        <v>2951</v>
      </c>
      <c r="K777" s="51">
        <v>41226</v>
      </c>
      <c r="L777" s="115">
        <v>41220</v>
      </c>
      <c r="M777" s="50">
        <f>K777-L777</f>
        <v>6</v>
      </c>
      <c r="N777" s="50" t="s">
        <v>2</v>
      </c>
      <c r="O777" s="131">
        <v>1.4</v>
      </c>
      <c r="Q777" s="74">
        <v>7</v>
      </c>
      <c r="R777" s="50">
        <v>92</v>
      </c>
      <c r="S777" s="74">
        <v>180</v>
      </c>
      <c r="T777" s="50">
        <v>0.34</v>
      </c>
      <c r="U777" s="131">
        <v>1.98</v>
      </c>
      <c r="V777" s="50">
        <v>0.28000000000000003</v>
      </c>
      <c r="W777" s="74">
        <v>7.0000000000000001E-3</v>
      </c>
      <c r="X777" s="50">
        <v>2.5999999999999999E-2</v>
      </c>
      <c r="Y777" s="74">
        <v>4.0000000000000001E-3</v>
      </c>
      <c r="Z777" s="271">
        <v>1</v>
      </c>
      <c r="AA777" s="271">
        <v>1</v>
      </c>
      <c r="AB777" s="114">
        <v>32</v>
      </c>
      <c r="AC777" s="50">
        <v>221</v>
      </c>
      <c r="AD777" s="271">
        <v>1</v>
      </c>
    </row>
    <row r="778" spans="1:40" ht="15" customHeight="1">
      <c r="A778" s="293" t="s">
        <v>68</v>
      </c>
      <c r="B778" s="50" t="s">
        <v>5979</v>
      </c>
      <c r="C778" s="7" t="s">
        <v>5980</v>
      </c>
      <c r="D778" s="14" t="s">
        <v>2591</v>
      </c>
      <c r="E778" s="7" t="s">
        <v>5981</v>
      </c>
      <c r="F778" s="7"/>
      <c r="G778" s="15" t="s">
        <v>3915</v>
      </c>
      <c r="H778" s="7">
        <v>4953</v>
      </c>
      <c r="I778" s="19" t="s">
        <v>2</v>
      </c>
      <c r="J778" s="7" t="s">
        <v>5980</v>
      </c>
      <c r="K778" s="51">
        <v>41726</v>
      </c>
      <c r="L778" s="115">
        <v>41717</v>
      </c>
      <c r="N778" s="50" t="s">
        <v>2</v>
      </c>
      <c r="O778" s="74">
        <v>0.5</v>
      </c>
      <c r="P778" s="50">
        <v>5.19</v>
      </c>
      <c r="Q778" s="74">
        <v>6.9</v>
      </c>
      <c r="R778" s="50">
        <v>65</v>
      </c>
      <c r="S778" s="74">
        <v>550</v>
      </c>
      <c r="T778" s="50">
        <v>0.61</v>
      </c>
      <c r="U778" s="74">
        <v>1.56</v>
      </c>
      <c r="V778" s="50">
        <v>0.7</v>
      </c>
      <c r="W778" s="74">
        <v>0.06</v>
      </c>
      <c r="X778" s="50">
        <v>0.11</v>
      </c>
      <c r="Y778" s="74">
        <v>2.9000000000000001E-2</v>
      </c>
      <c r="Z778" s="164">
        <v>1</v>
      </c>
      <c r="AA778" s="165">
        <v>1</v>
      </c>
      <c r="AB778" s="50">
        <v>69</v>
      </c>
      <c r="AC778" s="74">
        <v>1923</v>
      </c>
      <c r="AD778" s="164">
        <v>0.5</v>
      </c>
      <c r="AE778" s="50">
        <v>9.09</v>
      </c>
      <c r="AF778" s="50">
        <v>7</v>
      </c>
      <c r="AG778" s="50">
        <v>550</v>
      </c>
      <c r="AH778" s="50">
        <v>0.74</v>
      </c>
      <c r="AI778" s="50">
        <f t="shared" ref="AI778:AL779" si="41">0.01/2</f>
        <v>5.0000000000000001E-3</v>
      </c>
      <c r="AJ778" s="50">
        <f t="shared" si="41"/>
        <v>5.0000000000000001E-3</v>
      </c>
      <c r="AK778" s="50">
        <f t="shared" si="41"/>
        <v>5.0000000000000001E-3</v>
      </c>
      <c r="AL778" s="50">
        <f t="shared" si="41"/>
        <v>5.0000000000000001E-3</v>
      </c>
      <c r="AM778" s="50">
        <v>0.11</v>
      </c>
      <c r="AN778" s="114">
        <v>6.9</v>
      </c>
    </row>
    <row r="779" spans="1:40" ht="15" customHeight="1">
      <c r="A779" s="293" t="s">
        <v>68</v>
      </c>
      <c r="B779" s="50" t="s">
        <v>5979</v>
      </c>
      <c r="C779" s="7" t="s">
        <v>5982</v>
      </c>
      <c r="D779" s="14" t="s">
        <v>2591</v>
      </c>
      <c r="E779" s="7" t="s">
        <v>5981</v>
      </c>
      <c r="F779" s="7"/>
      <c r="G779" s="15" t="s">
        <v>3915</v>
      </c>
      <c r="H779" s="7">
        <v>4953</v>
      </c>
      <c r="I779" s="19" t="s">
        <v>2</v>
      </c>
      <c r="J779" s="7" t="s">
        <v>5982</v>
      </c>
      <c r="K779" s="51">
        <v>41726</v>
      </c>
      <c r="L779" s="115">
        <v>41717</v>
      </c>
      <c r="N779" s="50" t="s">
        <v>2</v>
      </c>
      <c r="O779" s="74">
        <v>0.8</v>
      </c>
      <c r="P779" s="50">
        <v>5.19</v>
      </c>
      <c r="Q779" s="74">
        <v>7</v>
      </c>
      <c r="R779" s="50">
        <v>43</v>
      </c>
      <c r="S779" s="74">
        <v>105</v>
      </c>
      <c r="T779" s="50">
        <v>0.3</v>
      </c>
      <c r="U779" s="74">
        <v>3.43</v>
      </c>
      <c r="V779" s="50">
        <v>0.8</v>
      </c>
      <c r="W779" s="74">
        <v>0.03</v>
      </c>
      <c r="X779" s="50">
        <v>0.12</v>
      </c>
      <c r="Y779" s="74">
        <v>7.0000000000000001E-3</v>
      </c>
      <c r="Z779" s="164">
        <v>1</v>
      </c>
      <c r="AA779" s="165">
        <v>1</v>
      </c>
      <c r="AB779" s="50">
        <v>57</v>
      </c>
      <c r="AC779" s="74">
        <v>528</v>
      </c>
      <c r="AD779" s="164">
        <v>1</v>
      </c>
      <c r="AE779" s="50">
        <v>2.82</v>
      </c>
      <c r="AF779" s="50">
        <v>3</v>
      </c>
      <c r="AG779" s="50">
        <v>105</v>
      </c>
      <c r="AH779" s="50">
        <v>2.6</v>
      </c>
      <c r="AI779" s="50">
        <f>0.01/2</f>
        <v>5.0000000000000001E-3</v>
      </c>
      <c r="AJ779" s="50">
        <f t="shared" si="41"/>
        <v>5.0000000000000001E-3</v>
      </c>
      <c r="AK779" s="50">
        <f t="shared" si="41"/>
        <v>5.0000000000000001E-3</v>
      </c>
      <c r="AL779" s="50">
        <f t="shared" si="41"/>
        <v>5.0000000000000001E-3</v>
      </c>
      <c r="AM779" s="50">
        <v>0.12</v>
      </c>
      <c r="AN779" s="114">
        <v>7</v>
      </c>
    </row>
    <row r="780" spans="1:40" ht="15" customHeight="1">
      <c r="A780" s="293" t="s">
        <v>68</v>
      </c>
      <c r="B780" s="50" t="s">
        <v>5966</v>
      </c>
      <c r="C780" s="7" t="s">
        <v>5967</v>
      </c>
      <c r="D780" s="14" t="s">
        <v>5968</v>
      </c>
      <c r="E780" s="7" t="s">
        <v>6068</v>
      </c>
      <c r="F780" s="7"/>
      <c r="G780" s="15" t="s">
        <v>5970</v>
      </c>
      <c r="H780" s="7"/>
      <c r="I780" s="19" t="s">
        <v>2</v>
      </c>
      <c r="J780" s="7" t="s">
        <v>3386</v>
      </c>
      <c r="K780" s="51">
        <v>41345</v>
      </c>
      <c r="L780" s="115">
        <v>40976</v>
      </c>
      <c r="N780" s="50" t="s">
        <v>2</v>
      </c>
      <c r="O780" s="74">
        <f>1.6/2</f>
        <v>0.8</v>
      </c>
      <c r="P780" s="50">
        <v>6.3</v>
      </c>
      <c r="Q780" s="74">
        <v>7.8</v>
      </c>
      <c r="R780" s="50">
        <v>36</v>
      </c>
      <c r="S780" s="74">
        <v>21</v>
      </c>
      <c r="T780" s="50">
        <f>0.01/2</f>
        <v>5.0000000000000001E-3</v>
      </c>
      <c r="U780" s="74">
        <v>0.41</v>
      </c>
      <c r="V780" s="50">
        <v>0.15</v>
      </c>
      <c r="W780" s="74">
        <v>0.01</v>
      </c>
      <c r="X780" s="50">
        <f>0.01/2</f>
        <v>5.0000000000000001E-3</v>
      </c>
      <c r="Y780" s="74">
        <v>7.0000000000000001E-3</v>
      </c>
      <c r="Z780" s="164">
        <v>1</v>
      </c>
      <c r="AA780" s="165">
        <v>1</v>
      </c>
      <c r="AB780" s="50">
        <v>119</v>
      </c>
      <c r="AC780" s="74">
        <v>310</v>
      </c>
      <c r="AD780" s="164">
        <v>1</v>
      </c>
      <c r="AE780" s="50">
        <v>3.74</v>
      </c>
      <c r="AF780" s="50">
        <v>3</v>
      </c>
      <c r="AG780" s="50">
        <v>21</v>
      </c>
      <c r="AH780" s="50">
        <v>0.01</v>
      </c>
      <c r="AI780" s="50">
        <f>0.01/2</f>
        <v>5.0000000000000001E-3</v>
      </c>
      <c r="AJ780" s="50">
        <f>0.01/2</f>
        <v>5.0000000000000001E-3</v>
      </c>
      <c r="AK780" s="50">
        <f>0.01/2</f>
        <v>5.0000000000000001E-3</v>
      </c>
      <c r="AL780" s="50">
        <f>0.01/2</f>
        <v>5.0000000000000001E-3</v>
      </c>
      <c r="AM780" s="50">
        <f>0.01/2</f>
        <v>5.0000000000000001E-3</v>
      </c>
      <c r="AN780" s="114">
        <v>7.8</v>
      </c>
    </row>
    <row r="781" spans="1:40" ht="15" customHeight="1">
      <c r="A781" s="293" t="s">
        <v>68</v>
      </c>
      <c r="B781" s="50" t="s">
        <v>1488</v>
      </c>
      <c r="C781" s="7" t="s">
        <v>1489</v>
      </c>
      <c r="D781" s="14" t="s">
        <v>1490</v>
      </c>
      <c r="E781" s="7" t="s">
        <v>1491</v>
      </c>
      <c r="F781" s="7"/>
      <c r="G781" s="15" t="s">
        <v>1492</v>
      </c>
      <c r="H781" s="7"/>
      <c r="I781" s="19" t="s">
        <v>2</v>
      </c>
      <c r="J781" s="7" t="s">
        <v>6069</v>
      </c>
      <c r="K781" s="51">
        <v>41781</v>
      </c>
      <c r="L781" s="115" t="s">
        <v>6070</v>
      </c>
      <c r="N781" s="50" t="s">
        <v>2</v>
      </c>
      <c r="O781" s="74">
        <v>3.4</v>
      </c>
      <c r="P781" s="50">
        <v>6</v>
      </c>
      <c r="Q781" s="74">
        <v>4.0999999999999996</v>
      </c>
      <c r="R781" s="50">
        <v>51</v>
      </c>
      <c r="S781" s="74">
        <v>120</v>
      </c>
      <c r="T781" s="50">
        <v>0.19</v>
      </c>
      <c r="U781" s="74">
        <v>0.89</v>
      </c>
      <c r="V781" s="50">
        <v>0.15</v>
      </c>
      <c r="W781" s="74">
        <v>1.7000000000000001E-2</v>
      </c>
      <c r="X781" s="50">
        <v>5.8999999999999997E-2</v>
      </c>
      <c r="Y781" s="74">
        <v>0.01</v>
      </c>
      <c r="Z781" s="164">
        <v>1</v>
      </c>
      <c r="AA781" s="165">
        <v>1</v>
      </c>
      <c r="AB781" s="50">
        <v>8</v>
      </c>
      <c r="AC781" s="74">
        <v>39</v>
      </c>
      <c r="AD781" s="164">
        <v>1</v>
      </c>
    </row>
    <row r="782" spans="1:40" ht="15" customHeight="1">
      <c r="A782" s="293" t="s">
        <v>68</v>
      </c>
      <c r="B782" s="50" t="s">
        <v>1488</v>
      </c>
      <c r="C782" s="7" t="s">
        <v>1489</v>
      </c>
      <c r="D782" s="14" t="s">
        <v>1490</v>
      </c>
      <c r="E782" s="7" t="s">
        <v>1491</v>
      </c>
      <c r="F782" s="7"/>
      <c r="G782" s="15" t="s">
        <v>1492</v>
      </c>
      <c r="H782" s="7"/>
      <c r="I782" s="19" t="s">
        <v>2</v>
      </c>
      <c r="J782" s="7" t="s">
        <v>6071</v>
      </c>
      <c r="K782" s="51">
        <v>41781</v>
      </c>
      <c r="L782" s="115" t="s">
        <v>6070</v>
      </c>
      <c r="N782" s="50" t="s">
        <v>2</v>
      </c>
      <c r="O782" s="74">
        <v>1.6</v>
      </c>
      <c r="P782" s="50">
        <v>6</v>
      </c>
      <c r="Q782" s="74">
        <v>5.9</v>
      </c>
      <c r="R782" s="50">
        <v>61</v>
      </c>
      <c r="S782" s="74">
        <v>53</v>
      </c>
      <c r="T782" s="50">
        <v>0.22</v>
      </c>
      <c r="U782" s="74">
        <v>1.2</v>
      </c>
      <c r="V782" s="50">
        <v>0.24</v>
      </c>
      <c r="W782" s="74">
        <v>1.7000000000000001E-2</v>
      </c>
      <c r="X782" s="50">
        <v>4.3999999999999997E-2</v>
      </c>
      <c r="Y782" s="74">
        <v>9.1000000000000004E-3</v>
      </c>
      <c r="Z782" s="164">
        <v>1</v>
      </c>
      <c r="AA782" s="165">
        <v>1</v>
      </c>
      <c r="AB782" s="50">
        <v>10</v>
      </c>
      <c r="AC782" s="74">
        <v>68</v>
      </c>
      <c r="AD782" s="164">
        <v>1</v>
      </c>
    </row>
    <row r="783" spans="1:40" ht="15" customHeight="1">
      <c r="A783" s="293" t="s">
        <v>68</v>
      </c>
      <c r="B783" s="50" t="s">
        <v>519</v>
      </c>
      <c r="C783" s="7" t="s">
        <v>2757</v>
      </c>
      <c r="D783" s="14" t="s">
        <v>4682</v>
      </c>
      <c r="E783" s="7" t="s">
        <v>6133</v>
      </c>
      <c r="F783" s="7" t="s">
        <v>3864</v>
      </c>
      <c r="G783" s="15" t="s">
        <v>521</v>
      </c>
      <c r="H783" s="7">
        <v>4953</v>
      </c>
      <c r="I783" s="19" t="s">
        <v>1</v>
      </c>
      <c r="J783" s="7" t="s">
        <v>6134</v>
      </c>
      <c r="K783" s="51">
        <v>41539</v>
      </c>
      <c r="L783" s="115">
        <v>41530</v>
      </c>
      <c r="N783" s="50" t="s">
        <v>2</v>
      </c>
      <c r="O783" s="74">
        <f>1/2</f>
        <v>0.5</v>
      </c>
      <c r="P783" s="50">
        <v>5</v>
      </c>
      <c r="Q783" s="74">
        <v>6.8</v>
      </c>
      <c r="R783" s="50">
        <v>51</v>
      </c>
      <c r="S783" s="74">
        <v>88</v>
      </c>
      <c r="T783" s="50">
        <v>0.2</v>
      </c>
      <c r="U783" s="74">
        <v>2.6</v>
      </c>
      <c r="V783" s="50">
        <v>0.22</v>
      </c>
      <c r="W783" s="74">
        <v>4.4999999999999998E-2</v>
      </c>
      <c r="X783" s="50">
        <v>0.28000000000000003</v>
      </c>
      <c r="Y783" s="74">
        <v>3.4000000000000002E-2</v>
      </c>
      <c r="AE783" s="50">
        <v>5.2</v>
      </c>
    </row>
    <row r="784" spans="1:40" ht="15" customHeight="1">
      <c r="A784" s="293" t="s">
        <v>68</v>
      </c>
      <c r="B784" s="50" t="s">
        <v>2707</v>
      </c>
      <c r="C784" s="7" t="s">
        <v>2688</v>
      </c>
      <c r="D784" s="14" t="s">
        <v>379</v>
      </c>
      <c r="E784" s="7" t="s">
        <v>3350</v>
      </c>
      <c r="F784" s="7"/>
      <c r="G784" s="15" t="s">
        <v>2994</v>
      </c>
      <c r="H784" s="7">
        <v>4953</v>
      </c>
      <c r="I784" s="19" t="s">
        <v>2</v>
      </c>
      <c r="J784" s="7" t="s">
        <v>2997</v>
      </c>
      <c r="K784" s="51">
        <v>41487</v>
      </c>
      <c r="L784" s="115">
        <v>41481</v>
      </c>
      <c r="N784" s="50" t="s">
        <v>2</v>
      </c>
      <c r="O784" s="74">
        <f>1.5/2</f>
        <v>0.75</v>
      </c>
      <c r="P784" s="50">
        <v>6</v>
      </c>
      <c r="Q784" s="74">
        <v>7.68</v>
      </c>
      <c r="R784" s="50">
        <v>289</v>
      </c>
      <c r="S784" s="74">
        <v>56</v>
      </c>
      <c r="T784" s="50">
        <v>2.2200000000000002</v>
      </c>
      <c r="U784" s="74">
        <v>8.9</v>
      </c>
      <c r="V784" s="50">
        <f>0.01/2</f>
        <v>5.0000000000000001E-3</v>
      </c>
      <c r="W784" s="74">
        <f>0.005/2</f>
        <v>2.5000000000000001E-3</v>
      </c>
      <c r="X784" s="50">
        <v>4.0000000000000001E-3</v>
      </c>
      <c r="Y784" s="74">
        <f>0.002/2</f>
        <v>1E-3</v>
      </c>
      <c r="Z784" s="164">
        <v>1</v>
      </c>
      <c r="AA784" s="165">
        <v>1</v>
      </c>
      <c r="AB784" s="50">
        <v>544</v>
      </c>
      <c r="AC784" s="74">
        <v>1701</v>
      </c>
      <c r="AD784" s="164">
        <v>1</v>
      </c>
      <c r="AE784" s="50">
        <v>17.399999999999999</v>
      </c>
    </row>
    <row r="785" spans="1:50" ht="15" customHeight="1">
      <c r="A785" s="293" t="s">
        <v>68</v>
      </c>
      <c r="B785" s="50" t="s">
        <v>2707</v>
      </c>
      <c r="C785" s="7" t="s">
        <v>2688</v>
      </c>
      <c r="D785" s="14" t="s">
        <v>379</v>
      </c>
      <c r="E785" s="7" t="s">
        <v>3350</v>
      </c>
      <c r="F785" s="7"/>
      <c r="G785" s="15" t="s">
        <v>2994</v>
      </c>
      <c r="H785" s="7">
        <v>4953</v>
      </c>
      <c r="I785" s="19" t="s">
        <v>2</v>
      </c>
      <c r="J785" s="7" t="s">
        <v>2998</v>
      </c>
      <c r="K785" s="51">
        <v>41487</v>
      </c>
      <c r="L785" s="115">
        <v>41471</v>
      </c>
      <c r="N785" s="50" t="s">
        <v>2</v>
      </c>
      <c r="O785" s="74">
        <v>4.4000000000000004</v>
      </c>
      <c r="P785" s="50">
        <v>6</v>
      </c>
      <c r="Q785" s="74">
        <v>6.84</v>
      </c>
      <c r="R785" s="50">
        <v>78</v>
      </c>
      <c r="S785" s="74">
        <v>16</v>
      </c>
      <c r="T785" s="50">
        <v>0.37</v>
      </c>
      <c r="U785" s="74">
        <v>1.59</v>
      </c>
      <c r="V785" s="50">
        <v>0.59</v>
      </c>
      <c r="W785" s="74">
        <v>1.4E-2</v>
      </c>
      <c r="X785" s="50">
        <v>3.9E-2</v>
      </c>
      <c r="Y785" s="74">
        <f>0.002/2</f>
        <v>1E-3</v>
      </c>
      <c r="Z785" s="164">
        <v>1</v>
      </c>
      <c r="AA785" s="165">
        <v>1</v>
      </c>
      <c r="AB785" s="50">
        <v>16</v>
      </c>
      <c r="AC785" s="74">
        <v>62</v>
      </c>
      <c r="AD785" s="164">
        <v>1</v>
      </c>
      <c r="AE785" s="50">
        <v>0.54800000000000004</v>
      </c>
    </row>
    <row r="786" spans="1:50" ht="15" customHeight="1">
      <c r="A786" s="293" t="s">
        <v>68</v>
      </c>
      <c r="B786" s="50" t="s">
        <v>6135</v>
      </c>
      <c r="C786" s="7" t="s">
        <v>6136</v>
      </c>
      <c r="D786" s="14" t="s">
        <v>98</v>
      </c>
      <c r="E786" s="7" t="s">
        <v>1546</v>
      </c>
      <c r="F786" s="7"/>
      <c r="G786" s="15" t="s">
        <v>6137</v>
      </c>
      <c r="H786" s="7">
        <v>4953</v>
      </c>
      <c r="I786" s="19" t="s">
        <v>1</v>
      </c>
      <c r="J786" s="7" t="s">
        <v>6138</v>
      </c>
      <c r="K786" s="51">
        <v>41729</v>
      </c>
      <c r="L786" s="115">
        <v>41718</v>
      </c>
      <c r="N786" s="50" t="s">
        <v>1</v>
      </c>
      <c r="O786" s="74" t="s">
        <v>955</v>
      </c>
      <c r="P786" s="50">
        <v>6.8</v>
      </c>
      <c r="Q786" s="74">
        <v>6.9</v>
      </c>
      <c r="R786" s="50">
        <v>210</v>
      </c>
      <c r="S786" s="74">
        <v>339</v>
      </c>
      <c r="T786" s="50">
        <v>0.55900000000000005</v>
      </c>
      <c r="U786" s="74">
        <v>2.06</v>
      </c>
      <c r="V786" s="50">
        <v>6.2199999999999998E-2</v>
      </c>
      <c r="W786" s="74">
        <v>1.17E-2</v>
      </c>
      <c r="X786" s="50">
        <v>9.5399999999999999E-2</v>
      </c>
      <c r="Y786" s="74">
        <v>2.93E-2</v>
      </c>
    </row>
    <row r="787" spans="1:50" ht="15" customHeight="1">
      <c r="A787" s="293" t="s">
        <v>68</v>
      </c>
      <c r="B787" s="50" t="s">
        <v>6135</v>
      </c>
      <c r="C787" s="7" t="s">
        <v>6136</v>
      </c>
      <c r="D787" s="14" t="s">
        <v>98</v>
      </c>
      <c r="E787" s="7" t="s">
        <v>1546</v>
      </c>
      <c r="F787" s="7"/>
      <c r="G787" s="15" t="s">
        <v>6137</v>
      </c>
      <c r="H787" s="7">
        <v>4953</v>
      </c>
      <c r="I787" s="19" t="s">
        <v>1</v>
      </c>
      <c r="J787" s="7" t="s">
        <v>6139</v>
      </c>
      <c r="K787" s="51">
        <v>41729</v>
      </c>
      <c r="L787" s="115">
        <v>41718</v>
      </c>
      <c r="N787" s="50" t="s">
        <v>1</v>
      </c>
      <c r="O787" s="74">
        <v>3.71</v>
      </c>
      <c r="P787" s="50">
        <v>6.8</v>
      </c>
      <c r="Q787" s="74">
        <v>8</v>
      </c>
      <c r="R787" s="50" t="s">
        <v>955</v>
      </c>
      <c r="S787" s="74">
        <v>5.8</v>
      </c>
      <c r="T787" s="50">
        <v>0.13</v>
      </c>
      <c r="U787" s="74">
        <v>0.61199999999999999</v>
      </c>
      <c r="V787" s="50">
        <v>0.218</v>
      </c>
      <c r="W787" s="74" t="s">
        <v>955</v>
      </c>
      <c r="X787" s="50">
        <v>1.34E-2</v>
      </c>
      <c r="Y787" s="74" t="s">
        <v>955</v>
      </c>
    </row>
    <row r="788" spans="1:50" ht="15" customHeight="1">
      <c r="A788" s="293" t="s">
        <v>68</v>
      </c>
      <c r="B788" s="50" t="s">
        <v>6140</v>
      </c>
      <c r="C788" s="7" t="s">
        <v>6141</v>
      </c>
      <c r="D788" s="14" t="s">
        <v>406</v>
      </c>
      <c r="E788" s="7" t="s">
        <v>398</v>
      </c>
      <c r="F788" s="7"/>
      <c r="G788" s="15" t="s">
        <v>2461</v>
      </c>
      <c r="H788" s="7">
        <v>9711</v>
      </c>
      <c r="I788" s="19" t="s">
        <v>1</v>
      </c>
      <c r="J788" s="7" t="s">
        <v>6142</v>
      </c>
      <c r="K788" s="51">
        <v>41585</v>
      </c>
      <c r="L788" s="115">
        <v>41579</v>
      </c>
      <c r="N788" s="50" t="s">
        <v>2</v>
      </c>
      <c r="O788" s="74">
        <f>1/2</f>
        <v>0.5</v>
      </c>
      <c r="P788" s="50">
        <v>5.66</v>
      </c>
      <c r="Q788" s="74">
        <v>6.92</v>
      </c>
      <c r="R788" s="50">
        <v>99</v>
      </c>
      <c r="S788" s="74">
        <v>130</v>
      </c>
      <c r="T788" s="50">
        <v>0.44</v>
      </c>
      <c r="U788" s="74">
        <v>1.3</v>
      </c>
      <c r="V788" s="50">
        <v>0.21</v>
      </c>
      <c r="W788" s="74">
        <v>2.7E-2</v>
      </c>
      <c r="X788" s="50">
        <v>8.6999999999999994E-2</v>
      </c>
      <c r="Y788" s="74">
        <v>0.02</v>
      </c>
      <c r="Z788" s="164">
        <v>1</v>
      </c>
      <c r="AA788" s="165">
        <v>1</v>
      </c>
      <c r="AB788" s="50">
        <v>10</v>
      </c>
      <c r="AC788" s="74">
        <v>59</v>
      </c>
      <c r="AD788" s="164">
        <v>1</v>
      </c>
      <c r="AQ788" s="49">
        <v>4200</v>
      </c>
      <c r="AX788">
        <v>10400</v>
      </c>
    </row>
    <row r="789" spans="1:50" ht="15" customHeight="1">
      <c r="A789" s="293" t="s">
        <v>68</v>
      </c>
      <c r="B789" s="50" t="s">
        <v>6143</v>
      </c>
      <c r="C789" s="7" t="s">
        <v>6144</v>
      </c>
      <c r="D789" s="14" t="s">
        <v>1565</v>
      </c>
      <c r="E789" s="7" t="s">
        <v>623</v>
      </c>
      <c r="F789" s="7"/>
      <c r="G789" s="15" t="s">
        <v>6145</v>
      </c>
      <c r="H789" s="7">
        <v>4953</v>
      </c>
      <c r="I789" s="19" t="s">
        <v>2</v>
      </c>
      <c r="J789" s="7" t="s">
        <v>6144</v>
      </c>
      <c r="K789" s="51">
        <v>41585</v>
      </c>
      <c r="L789" s="115">
        <v>41579</v>
      </c>
      <c r="N789" s="50" t="s">
        <v>2</v>
      </c>
      <c r="O789" s="74">
        <v>5.7</v>
      </c>
      <c r="P789" s="50">
        <v>5.8</v>
      </c>
      <c r="Q789" s="74">
        <v>6.8</v>
      </c>
      <c r="R789" s="50">
        <v>220</v>
      </c>
      <c r="S789" s="74">
        <v>204</v>
      </c>
      <c r="T789" s="50">
        <v>0.5</v>
      </c>
      <c r="U789" s="74">
        <v>2.84</v>
      </c>
      <c r="V789" s="50">
        <v>0.8</v>
      </c>
      <c r="W789" s="74">
        <v>6.3E-2</v>
      </c>
      <c r="X789" s="50">
        <v>0.223</v>
      </c>
      <c r="Y789" s="74">
        <v>6.6000000000000003E-2</v>
      </c>
      <c r="Z789" s="164">
        <v>1</v>
      </c>
      <c r="AA789" s="165">
        <v>1</v>
      </c>
      <c r="AB789" s="50">
        <v>34</v>
      </c>
      <c r="AC789" s="74">
        <v>152</v>
      </c>
      <c r="AD789" s="164">
        <v>1</v>
      </c>
    </row>
    <row r="790" spans="1:50" ht="15" customHeight="1">
      <c r="A790" s="293" t="s">
        <v>68</v>
      </c>
      <c r="B790" s="50" t="s">
        <v>6143</v>
      </c>
      <c r="C790" s="7" t="s">
        <v>6146</v>
      </c>
      <c r="D790" s="14" t="s">
        <v>1565</v>
      </c>
      <c r="E790" s="7" t="s">
        <v>623</v>
      </c>
      <c r="F790" s="7"/>
      <c r="G790" s="15" t="s">
        <v>6145</v>
      </c>
      <c r="H790" s="7">
        <v>4953</v>
      </c>
      <c r="I790" s="19" t="s">
        <v>2</v>
      </c>
      <c r="J790" s="7" t="s">
        <v>6146</v>
      </c>
      <c r="K790" s="51">
        <v>41585</v>
      </c>
      <c r="L790" s="115">
        <v>41579</v>
      </c>
      <c r="N790" s="50" t="s">
        <v>2</v>
      </c>
      <c r="O790" s="74">
        <v>9.1</v>
      </c>
      <c r="P790" s="50">
        <v>5.8</v>
      </c>
      <c r="Q790" s="74">
        <v>6.7</v>
      </c>
      <c r="R790" s="50">
        <v>140</v>
      </c>
      <c r="S790" s="74">
        <v>256</v>
      </c>
      <c r="T790" s="50">
        <v>0.56000000000000005</v>
      </c>
      <c r="U790" s="74">
        <v>2.36</v>
      </c>
      <c r="V790" s="50">
        <v>0.5</v>
      </c>
      <c r="W790" s="74">
        <v>0.10299999999999999</v>
      </c>
      <c r="X790" s="50">
        <v>0.151</v>
      </c>
      <c r="Y790" s="74">
        <v>3.2000000000000001E-2</v>
      </c>
      <c r="Z790" s="164">
        <v>1</v>
      </c>
      <c r="AA790" s="165">
        <v>1</v>
      </c>
      <c r="AB790" s="50">
        <v>28</v>
      </c>
      <c r="AC790" s="74">
        <v>90</v>
      </c>
      <c r="AD790" s="164">
        <v>1</v>
      </c>
    </row>
    <row r="791" spans="1:50" ht="15" customHeight="1">
      <c r="A791" s="293" t="s">
        <v>68</v>
      </c>
      <c r="B791" s="50" t="s">
        <v>6147</v>
      </c>
      <c r="C791" s="7" t="s">
        <v>6148</v>
      </c>
      <c r="D791" s="14" t="s">
        <v>735</v>
      </c>
      <c r="E791" s="7" t="s">
        <v>1293</v>
      </c>
      <c r="F791" s="7" t="s">
        <v>6149</v>
      </c>
      <c r="G791" s="15" t="s">
        <v>6150</v>
      </c>
      <c r="H791" s="7">
        <v>4953</v>
      </c>
      <c r="I791" s="19" t="s">
        <v>2</v>
      </c>
      <c r="J791" s="7" t="s">
        <v>6151</v>
      </c>
      <c r="K791" s="51">
        <v>41585</v>
      </c>
      <c r="L791" s="115">
        <v>41554</v>
      </c>
      <c r="N791" s="50" t="s">
        <v>2</v>
      </c>
      <c r="O791" s="74">
        <f>1.4/2</f>
        <v>0.7</v>
      </c>
      <c r="P791" s="50">
        <v>6</v>
      </c>
      <c r="Q791" s="74">
        <v>7.7</v>
      </c>
      <c r="R791" s="50">
        <v>59</v>
      </c>
      <c r="S791" s="74">
        <v>6.5</v>
      </c>
      <c r="T791" s="50">
        <v>0.05</v>
      </c>
      <c r="U791" s="74">
        <v>2.2799999999999998</v>
      </c>
      <c r="V791" s="50">
        <v>0.52</v>
      </c>
      <c r="W791" s="74">
        <f>0.005/2</f>
        <v>2.5000000000000001E-3</v>
      </c>
      <c r="X791" s="50">
        <v>4.0000000000000001E-3</v>
      </c>
      <c r="Y791" s="74">
        <v>4.7E-2</v>
      </c>
      <c r="Z791" s="164">
        <v>1</v>
      </c>
      <c r="AA791" s="165">
        <v>1</v>
      </c>
      <c r="AB791" s="50">
        <v>70</v>
      </c>
      <c r="AC791" s="74">
        <v>364</v>
      </c>
      <c r="AD791" s="164">
        <v>1</v>
      </c>
    </row>
    <row r="792" spans="1:50" ht="15" customHeight="1">
      <c r="A792" s="293" t="s">
        <v>68</v>
      </c>
      <c r="B792" s="50" t="s">
        <v>6147</v>
      </c>
      <c r="C792" s="7" t="s">
        <v>6148</v>
      </c>
      <c r="D792" s="14" t="s">
        <v>735</v>
      </c>
      <c r="E792" s="7" t="s">
        <v>1293</v>
      </c>
      <c r="F792" s="7" t="s">
        <v>6149</v>
      </c>
      <c r="G792" s="15" t="s">
        <v>6150</v>
      </c>
      <c r="H792" s="7">
        <v>4953</v>
      </c>
      <c r="I792" s="19" t="s">
        <v>2</v>
      </c>
      <c r="J792" s="7" t="s">
        <v>6152</v>
      </c>
      <c r="K792" s="51">
        <v>41585</v>
      </c>
      <c r="L792" s="115">
        <v>41554</v>
      </c>
      <c r="N792" s="50" t="s">
        <v>2</v>
      </c>
      <c r="O792" s="74">
        <f>1.4/2</f>
        <v>0.7</v>
      </c>
      <c r="P792" s="50">
        <v>6</v>
      </c>
      <c r="Q792" s="74">
        <v>7.69</v>
      </c>
      <c r="R792" s="50">
        <v>39</v>
      </c>
      <c r="S792" s="74">
        <v>37</v>
      </c>
      <c r="T792" s="50">
        <v>7.0000000000000007E-2</v>
      </c>
      <c r="U792" s="74">
        <v>11.4</v>
      </c>
      <c r="V792" s="50">
        <v>0.28000000000000003</v>
      </c>
      <c r="W792" s="74">
        <f>0.005/2</f>
        <v>2.5000000000000001E-3</v>
      </c>
      <c r="X792" s="50">
        <v>3.0000000000000001E-3</v>
      </c>
      <c r="Y792" s="74">
        <v>7.0000000000000001E-3</v>
      </c>
      <c r="Z792" s="164">
        <v>1</v>
      </c>
      <c r="AA792" s="165">
        <v>1</v>
      </c>
      <c r="AB792" s="50">
        <v>150</v>
      </c>
      <c r="AC792" s="74">
        <v>624</v>
      </c>
      <c r="AD792" s="164">
        <v>1</v>
      </c>
    </row>
    <row r="793" spans="1:50" ht="15" customHeight="1">
      <c r="A793" s="293" t="s">
        <v>68</v>
      </c>
      <c r="B793" s="50" t="s">
        <v>6147</v>
      </c>
      <c r="C793" s="7" t="s">
        <v>6148</v>
      </c>
      <c r="D793" s="14" t="s">
        <v>735</v>
      </c>
      <c r="E793" s="7" t="s">
        <v>1293</v>
      </c>
      <c r="F793" s="7" t="s">
        <v>6149</v>
      </c>
      <c r="G793" s="15" t="s">
        <v>6150</v>
      </c>
      <c r="H793" s="7">
        <v>4953</v>
      </c>
      <c r="I793" s="19" t="s">
        <v>2</v>
      </c>
      <c r="J793" s="7" t="s">
        <v>6153</v>
      </c>
      <c r="K793" s="51">
        <v>41585</v>
      </c>
      <c r="L793" s="115">
        <v>41554</v>
      </c>
      <c r="N793" s="50" t="s">
        <v>2</v>
      </c>
      <c r="O793" s="74">
        <v>9.1999999999999993</v>
      </c>
      <c r="P793" s="50">
        <v>6</v>
      </c>
      <c r="Q793" s="74">
        <v>6.69</v>
      </c>
      <c r="R793" s="50">
        <v>650</v>
      </c>
      <c r="S793" s="74">
        <v>950</v>
      </c>
      <c r="T793" s="50">
        <v>1.4</v>
      </c>
      <c r="U793" s="74">
        <v>11.6</v>
      </c>
      <c r="V793" s="50">
        <f>0.01/2</f>
        <v>5.0000000000000001E-3</v>
      </c>
      <c r="W793" s="74">
        <v>0.112</v>
      </c>
      <c r="X793" s="50">
        <v>0.378</v>
      </c>
      <c r="Y793" s="74">
        <v>5.8000000000000003E-2</v>
      </c>
      <c r="Z793" s="164">
        <v>1</v>
      </c>
      <c r="AA793" s="165">
        <v>1</v>
      </c>
      <c r="AB793" s="50">
        <v>18</v>
      </c>
      <c r="AC793" s="74">
        <v>81</v>
      </c>
      <c r="AD793" s="164">
        <v>1</v>
      </c>
    </row>
    <row r="794" spans="1:50" ht="15" customHeight="1">
      <c r="A794" s="293" t="s">
        <v>68</v>
      </c>
      <c r="B794" s="50" t="s">
        <v>6147</v>
      </c>
      <c r="C794" s="7" t="s">
        <v>6148</v>
      </c>
      <c r="D794" s="14" t="s">
        <v>735</v>
      </c>
      <c r="E794" s="7" t="s">
        <v>1293</v>
      </c>
      <c r="F794" s="7" t="s">
        <v>6149</v>
      </c>
      <c r="G794" s="15" t="s">
        <v>6150</v>
      </c>
      <c r="H794" s="7">
        <v>4953</v>
      </c>
      <c r="I794" s="19" t="s">
        <v>2</v>
      </c>
      <c r="J794" s="7" t="s">
        <v>6152</v>
      </c>
      <c r="K794" s="51">
        <v>41585</v>
      </c>
      <c r="L794" s="115">
        <v>41554</v>
      </c>
      <c r="N794" s="50" t="s">
        <v>2</v>
      </c>
      <c r="O794" s="74">
        <v>9.4</v>
      </c>
      <c r="P794" s="50">
        <v>6</v>
      </c>
      <c r="Q794" s="74">
        <v>6.93</v>
      </c>
      <c r="R794" s="50">
        <v>220</v>
      </c>
      <c r="S794" s="74">
        <v>240</v>
      </c>
      <c r="T794" s="50">
        <v>0.62</v>
      </c>
      <c r="U794" s="74">
        <v>2.92</v>
      </c>
      <c r="V794" s="50">
        <v>7.0000000000000007E-2</v>
      </c>
      <c r="W794" s="74">
        <v>0.04</v>
      </c>
      <c r="X794" s="50">
        <v>0.192</v>
      </c>
      <c r="Y794" s="74">
        <v>4.7E-2</v>
      </c>
      <c r="Z794" s="164">
        <v>1</v>
      </c>
      <c r="AA794" s="165">
        <v>1</v>
      </c>
      <c r="AB794" s="50">
        <v>8</v>
      </c>
      <c r="AC794" s="74">
        <v>38</v>
      </c>
      <c r="AD794" s="164">
        <v>1</v>
      </c>
    </row>
    <row r="795" spans="1:50" ht="15" customHeight="1">
      <c r="A795" s="293" t="s">
        <v>68</v>
      </c>
      <c r="B795" s="50" t="s">
        <v>6147</v>
      </c>
      <c r="C795" s="7" t="s">
        <v>6154</v>
      </c>
      <c r="D795" s="14" t="s">
        <v>735</v>
      </c>
      <c r="E795" s="7" t="s">
        <v>6155</v>
      </c>
      <c r="F795" s="7" t="s">
        <v>6156</v>
      </c>
      <c r="G795" s="15" t="s">
        <v>6157</v>
      </c>
      <c r="H795" s="7">
        <v>4953</v>
      </c>
      <c r="I795" s="19" t="s">
        <v>2</v>
      </c>
      <c r="J795" s="7" t="s">
        <v>6158</v>
      </c>
      <c r="K795" s="51">
        <v>41585</v>
      </c>
      <c r="L795" s="115">
        <v>41554</v>
      </c>
      <c r="N795" s="50" t="s">
        <v>2</v>
      </c>
      <c r="O795" s="74">
        <f>1.4/2</f>
        <v>0.7</v>
      </c>
      <c r="P795" s="50">
        <v>6</v>
      </c>
      <c r="Q795" s="74">
        <v>7.75</v>
      </c>
      <c r="R795" s="50">
        <v>150</v>
      </c>
      <c r="S795" s="74">
        <v>58</v>
      </c>
      <c r="T795" s="50">
        <v>0.67</v>
      </c>
      <c r="U795" s="74">
        <v>27.3</v>
      </c>
      <c r="V795" s="50">
        <v>1.25</v>
      </c>
      <c r="W795" s="74">
        <f>0.005/2</f>
        <v>2.5000000000000001E-3</v>
      </c>
      <c r="X795" s="50">
        <v>1.0999999999999999E-2</v>
      </c>
      <c r="Y795" s="74">
        <f>0.002/2</f>
        <v>1E-3</v>
      </c>
      <c r="Z795" s="164">
        <v>1</v>
      </c>
      <c r="AA795" s="165">
        <v>1</v>
      </c>
      <c r="AB795" s="50">
        <v>280</v>
      </c>
      <c r="AC795" s="74">
        <v>1075</v>
      </c>
      <c r="AD795" s="164">
        <v>1</v>
      </c>
    </row>
    <row r="796" spans="1:50" ht="15" customHeight="1">
      <c r="A796" s="293" t="s">
        <v>68</v>
      </c>
      <c r="B796" s="50" t="s">
        <v>5979</v>
      </c>
      <c r="C796" s="7" t="s">
        <v>5980</v>
      </c>
      <c r="D796" s="14" t="s">
        <v>2591</v>
      </c>
      <c r="E796" s="7" t="s">
        <v>5981</v>
      </c>
      <c r="F796" s="7"/>
      <c r="G796" s="15" t="s">
        <v>3915</v>
      </c>
      <c r="H796" s="7">
        <v>4953</v>
      </c>
      <c r="I796" s="19" t="s">
        <v>2</v>
      </c>
      <c r="J796" s="7" t="s">
        <v>5980</v>
      </c>
      <c r="K796" s="51">
        <v>41495</v>
      </c>
      <c r="L796" s="115">
        <v>41490</v>
      </c>
      <c r="N796" s="50" t="s">
        <v>2</v>
      </c>
      <c r="O796" s="74">
        <f>1.4/2</f>
        <v>0.7</v>
      </c>
      <c r="P796" s="50">
        <v>5.59</v>
      </c>
      <c r="Q796" s="74">
        <v>6.6</v>
      </c>
      <c r="R796" s="50">
        <v>35</v>
      </c>
      <c r="S796" s="74">
        <v>12</v>
      </c>
      <c r="T796" s="50">
        <v>0.11</v>
      </c>
      <c r="U796" s="74">
        <v>0.85</v>
      </c>
      <c r="V796" s="50">
        <v>1.3</v>
      </c>
      <c r="W796" s="74">
        <v>0.03</v>
      </c>
      <c r="X796" s="50">
        <v>0.08</v>
      </c>
      <c r="Y796" s="74">
        <v>3.0000000000000001E-3</v>
      </c>
      <c r="Z796" s="164">
        <v>1</v>
      </c>
      <c r="AA796" s="165">
        <v>1</v>
      </c>
      <c r="AB796" s="50">
        <v>49</v>
      </c>
      <c r="AC796" s="74">
        <v>195</v>
      </c>
      <c r="AD796" s="164">
        <v>0.5</v>
      </c>
      <c r="AE796" s="50">
        <v>0.5</v>
      </c>
      <c r="AF796" s="50">
        <v>3</v>
      </c>
      <c r="AG796" s="50">
        <v>12</v>
      </c>
      <c r="AH796" s="50">
        <f>0.02/2</f>
        <v>0.01</v>
      </c>
      <c r="AI796" s="50">
        <f t="shared" ref="AI796:AL797" si="42">0.01/2</f>
        <v>5.0000000000000001E-3</v>
      </c>
      <c r="AJ796" s="50">
        <f t="shared" si="42"/>
        <v>5.0000000000000001E-3</v>
      </c>
      <c r="AK796" s="50">
        <f t="shared" si="42"/>
        <v>5.0000000000000001E-3</v>
      </c>
      <c r="AL796" s="50">
        <f t="shared" si="42"/>
        <v>5.0000000000000001E-3</v>
      </c>
      <c r="AM796" s="50">
        <v>0.08</v>
      </c>
      <c r="AN796" s="114">
        <v>6.6</v>
      </c>
    </row>
    <row r="797" spans="1:50" ht="15" customHeight="1">
      <c r="A797" s="293" t="s">
        <v>68</v>
      </c>
      <c r="B797" s="50" t="s">
        <v>5979</v>
      </c>
      <c r="C797" s="7" t="s">
        <v>5982</v>
      </c>
      <c r="D797" s="14" t="s">
        <v>2591</v>
      </c>
      <c r="E797" s="7" t="s">
        <v>5981</v>
      </c>
      <c r="F797" s="7"/>
      <c r="G797" s="15" t="s">
        <v>3915</v>
      </c>
      <c r="H797" s="7">
        <v>4953</v>
      </c>
      <c r="I797" s="19" t="s">
        <v>2</v>
      </c>
      <c r="J797" s="7" t="s">
        <v>5982</v>
      </c>
      <c r="K797" s="51">
        <v>41495</v>
      </c>
      <c r="L797" s="115">
        <v>41490</v>
      </c>
      <c r="N797" s="50" t="s">
        <v>2</v>
      </c>
      <c r="O797" s="74">
        <f>1.4/2</f>
        <v>0.7</v>
      </c>
      <c r="P797" s="50">
        <v>5.59</v>
      </c>
      <c r="Q797" s="74">
        <v>6.3</v>
      </c>
      <c r="R797" s="50">
        <v>33</v>
      </c>
      <c r="S797" s="74">
        <v>9</v>
      </c>
      <c r="T797" s="50">
        <v>0.65</v>
      </c>
      <c r="U797" s="74">
        <v>0.82</v>
      </c>
      <c r="V797" s="50">
        <v>2.8</v>
      </c>
      <c r="W797" s="74">
        <v>0.04</v>
      </c>
      <c r="X797" s="50">
        <v>0.01</v>
      </c>
      <c r="Y797" s="74">
        <v>1E-3</v>
      </c>
      <c r="Z797" s="164">
        <v>1</v>
      </c>
      <c r="AA797" s="165">
        <v>1</v>
      </c>
      <c r="AB797" s="50">
        <v>52</v>
      </c>
      <c r="AC797" s="74">
        <v>238</v>
      </c>
      <c r="AD797" s="164">
        <v>0.9</v>
      </c>
      <c r="AE797" s="50">
        <v>0.44</v>
      </c>
      <c r="AF797" s="50">
        <v>5</v>
      </c>
      <c r="AG797" s="50">
        <v>9</v>
      </c>
      <c r="AH797" s="50">
        <f>0.02/2</f>
        <v>0.01</v>
      </c>
      <c r="AI797" s="50">
        <f t="shared" si="42"/>
        <v>5.0000000000000001E-3</v>
      </c>
      <c r="AJ797" s="50">
        <f t="shared" si="42"/>
        <v>5.0000000000000001E-3</v>
      </c>
      <c r="AK797" s="50">
        <f t="shared" si="42"/>
        <v>5.0000000000000001E-3</v>
      </c>
      <c r="AL797" s="50">
        <f t="shared" si="42"/>
        <v>5.0000000000000001E-3</v>
      </c>
      <c r="AM797" s="50">
        <v>0.01</v>
      </c>
      <c r="AN797" s="114">
        <v>6.3</v>
      </c>
    </row>
    <row r="798" spans="1:50" ht="15" customHeight="1">
      <c r="A798" s="293" t="s">
        <v>68</v>
      </c>
      <c r="B798" s="50" t="s">
        <v>4701</v>
      </c>
      <c r="C798" s="7" t="s">
        <v>388</v>
      </c>
      <c r="D798" s="14" t="s">
        <v>480</v>
      </c>
      <c r="E798" s="7" t="s">
        <v>2329</v>
      </c>
      <c r="F798" s="7"/>
      <c r="G798" s="15" t="s">
        <v>2974</v>
      </c>
      <c r="H798" s="7">
        <v>4953</v>
      </c>
      <c r="I798" s="19" t="s">
        <v>1</v>
      </c>
      <c r="J798" s="7" t="s">
        <v>6159</v>
      </c>
      <c r="K798" s="51">
        <v>41527</v>
      </c>
      <c r="L798" s="115">
        <v>41520</v>
      </c>
      <c r="N798" s="50" t="s">
        <v>2</v>
      </c>
      <c r="O798" s="74">
        <v>16</v>
      </c>
      <c r="P798" s="50">
        <v>8.4</v>
      </c>
      <c r="Q798" s="74">
        <v>7.11</v>
      </c>
      <c r="R798" s="50">
        <v>142.5</v>
      </c>
      <c r="S798" s="74">
        <v>625</v>
      </c>
      <c r="T798" s="50">
        <v>1.1299999999999999</v>
      </c>
      <c r="U798" s="74">
        <v>7.6</v>
      </c>
      <c r="V798" s="50">
        <v>1.48</v>
      </c>
      <c r="W798" s="74">
        <v>0.16400000000000001</v>
      </c>
      <c r="X798" s="50">
        <v>0.35599999999999998</v>
      </c>
      <c r="Y798" s="74">
        <v>0.16300000000000001</v>
      </c>
      <c r="Z798" s="164">
        <v>1</v>
      </c>
      <c r="AA798" s="165">
        <v>1</v>
      </c>
      <c r="AB798" s="50">
        <v>228</v>
      </c>
      <c r="AC798" s="74">
        <v>560</v>
      </c>
      <c r="AD798" s="164">
        <v>1</v>
      </c>
    </row>
    <row r="799" spans="1:50" ht="15" customHeight="1">
      <c r="A799" s="293" t="s">
        <v>68</v>
      </c>
      <c r="B799" s="50" t="s">
        <v>4701</v>
      </c>
      <c r="C799" s="7" t="s">
        <v>388</v>
      </c>
      <c r="D799" s="14" t="s">
        <v>480</v>
      </c>
      <c r="E799" s="7" t="s">
        <v>2329</v>
      </c>
      <c r="F799" s="7"/>
      <c r="G799" s="15" t="s">
        <v>2974</v>
      </c>
      <c r="H799" s="7">
        <v>4953</v>
      </c>
      <c r="I799" s="19" t="s">
        <v>1</v>
      </c>
      <c r="J799" s="7" t="s">
        <v>6160</v>
      </c>
      <c r="K799" s="51">
        <v>41527</v>
      </c>
      <c r="L799" s="115">
        <v>41520</v>
      </c>
      <c r="N799" s="50" t="s">
        <v>2</v>
      </c>
      <c r="O799" s="74">
        <v>1.2</v>
      </c>
      <c r="P799" s="50">
        <v>8.4</v>
      </c>
      <c r="Q799" s="74">
        <v>7.56</v>
      </c>
      <c r="R799" s="50">
        <v>844</v>
      </c>
      <c r="S799" s="74">
        <v>307</v>
      </c>
      <c r="T799" s="50">
        <v>0.39</v>
      </c>
      <c r="U799" s="74">
        <v>2.8</v>
      </c>
      <c r="V799" s="50">
        <v>1.43</v>
      </c>
      <c r="W799" s="74">
        <v>4.1000000000000002E-2</v>
      </c>
      <c r="X799" s="50">
        <v>0.48299999999999998</v>
      </c>
      <c r="Y799" s="74">
        <v>6.2E-2</v>
      </c>
      <c r="Z799" s="164">
        <v>1</v>
      </c>
      <c r="AA799" s="165">
        <v>1</v>
      </c>
      <c r="AB799" s="50">
        <v>35.14</v>
      </c>
      <c r="AC799" s="74">
        <v>120</v>
      </c>
      <c r="AD799" s="164">
        <v>1</v>
      </c>
    </row>
    <row r="800" spans="1:50" ht="15" customHeight="1">
      <c r="A800" s="293" t="s">
        <v>68</v>
      </c>
      <c r="B800" s="50" t="s">
        <v>2347</v>
      </c>
      <c r="C800" s="7" t="s">
        <v>520</v>
      </c>
      <c r="D800" s="14" t="s">
        <v>684</v>
      </c>
      <c r="E800" s="7" t="s">
        <v>2616</v>
      </c>
      <c r="F800" s="7"/>
      <c r="G800" s="15" t="s">
        <v>2349</v>
      </c>
      <c r="H800" s="7">
        <v>9199</v>
      </c>
      <c r="I800" s="19" t="s">
        <v>2</v>
      </c>
      <c r="J800" s="7" t="s">
        <v>2350</v>
      </c>
      <c r="K800" s="51">
        <v>41727</v>
      </c>
      <c r="L800" s="115">
        <v>41718</v>
      </c>
      <c r="N800" s="50" t="s">
        <v>2</v>
      </c>
      <c r="O800" s="74">
        <f>2/2</f>
        <v>1</v>
      </c>
      <c r="R800" s="50">
        <v>340</v>
      </c>
      <c r="S800" s="74">
        <v>246</v>
      </c>
      <c r="T800" s="50">
        <v>0.78</v>
      </c>
      <c r="U800" s="74">
        <v>4.0599999999999996</v>
      </c>
      <c r="W800" s="74">
        <v>0.122</v>
      </c>
      <c r="X800" s="50">
        <v>0.61799999999999999</v>
      </c>
      <c r="Y800" s="74">
        <v>7.6999999999999999E-2</v>
      </c>
    </row>
    <row r="801" spans="1:51" ht="15" customHeight="1">
      <c r="A801" s="293" t="s">
        <v>68</v>
      </c>
      <c r="B801" s="50" t="s">
        <v>232</v>
      </c>
      <c r="C801" s="7" t="s">
        <v>6161</v>
      </c>
      <c r="D801" s="14" t="s">
        <v>234</v>
      </c>
      <c r="E801" s="7" t="s">
        <v>240</v>
      </c>
      <c r="F801" s="7"/>
      <c r="G801" s="15" t="s">
        <v>241</v>
      </c>
      <c r="H801" s="7">
        <v>4212</v>
      </c>
      <c r="I801" s="19" t="s">
        <v>1</v>
      </c>
      <c r="J801" s="7" t="s">
        <v>6162</v>
      </c>
      <c r="K801" s="51">
        <v>41600</v>
      </c>
      <c r="L801" s="115">
        <v>41585</v>
      </c>
      <c r="N801" s="50" t="s">
        <v>2</v>
      </c>
      <c r="O801" s="74">
        <f>1/2</f>
        <v>0.5</v>
      </c>
      <c r="P801" s="50">
        <v>5.67</v>
      </c>
      <c r="Q801" s="74">
        <v>7.31</v>
      </c>
      <c r="R801" s="50">
        <v>23.7</v>
      </c>
      <c r="S801" s="74">
        <v>15.5</v>
      </c>
      <c r="T801" s="50">
        <v>0.09</v>
      </c>
      <c r="U801" s="74">
        <v>0.91</v>
      </c>
      <c r="V801" s="50">
        <v>0.56999999999999995</v>
      </c>
      <c r="W801" s="74">
        <v>0.02</v>
      </c>
      <c r="X801" s="50">
        <v>7.0000000000000007E-2</v>
      </c>
      <c r="Y801" s="74">
        <f>0.02/2</f>
        <v>0.01</v>
      </c>
      <c r="Z801" s="164">
        <v>1</v>
      </c>
      <c r="AA801" s="165">
        <v>1</v>
      </c>
      <c r="AB801" s="50">
        <v>46.3</v>
      </c>
      <c r="AC801" s="74">
        <v>283</v>
      </c>
      <c r="AD801" s="164">
        <v>0.65</v>
      </c>
      <c r="AE801" s="50">
        <v>0.74</v>
      </c>
      <c r="AF801" s="50">
        <v>3.9</v>
      </c>
      <c r="AG801" s="50">
        <v>15.6</v>
      </c>
      <c r="AH801" s="50">
        <v>0.31</v>
      </c>
      <c r="AI801" s="50">
        <f>0.01/2</f>
        <v>5.0000000000000001E-3</v>
      </c>
      <c r="AJ801" s="50">
        <f>0.01/2</f>
        <v>5.0000000000000001E-3</v>
      </c>
      <c r="AK801" s="50">
        <f>0.01/2</f>
        <v>5.0000000000000001E-3</v>
      </c>
      <c r="AL801" s="50">
        <f>0.01/2</f>
        <v>5.0000000000000001E-3</v>
      </c>
      <c r="AM801" s="50">
        <v>7.0000000000000007E-2</v>
      </c>
      <c r="AN801" s="114">
        <v>7.31</v>
      </c>
    </row>
    <row r="802" spans="1:51" ht="15" customHeight="1">
      <c r="A802" s="88" t="s">
        <v>68</v>
      </c>
      <c r="B802" s="50" t="s">
        <v>6371</v>
      </c>
      <c r="C802" s="7" t="s">
        <v>392</v>
      </c>
      <c r="D802" s="14" t="s">
        <v>1683</v>
      </c>
      <c r="E802" s="7"/>
      <c r="F802" s="321" t="s">
        <v>5497</v>
      </c>
      <c r="G802" s="15" t="s">
        <v>6372</v>
      </c>
      <c r="H802" s="7">
        <v>4212</v>
      </c>
      <c r="I802" s="19" t="s">
        <v>2</v>
      </c>
      <c r="J802" s="7" t="s">
        <v>366</v>
      </c>
      <c r="K802" s="51">
        <v>41727</v>
      </c>
      <c r="L802" s="115">
        <v>41717</v>
      </c>
      <c r="N802" s="50" t="s">
        <v>2</v>
      </c>
      <c r="O802" s="74">
        <v>49</v>
      </c>
      <c r="P802" s="50">
        <v>6.5</v>
      </c>
      <c r="Q802" s="74">
        <v>8.84</v>
      </c>
      <c r="R802" s="50">
        <v>500</v>
      </c>
      <c r="S802" s="74">
        <v>380</v>
      </c>
      <c r="T802" s="50">
        <v>0.53</v>
      </c>
      <c r="U802" s="74">
        <v>4.46</v>
      </c>
      <c r="V802" s="50">
        <v>0.15</v>
      </c>
      <c r="W802" s="74">
        <v>6.0999999999999999E-2</v>
      </c>
      <c r="X802" s="50">
        <v>0.52400000000000002</v>
      </c>
      <c r="Y802" s="74">
        <v>0.315</v>
      </c>
    </row>
    <row r="803" spans="1:51" ht="15" customHeight="1">
      <c r="A803" s="293" t="s">
        <v>68</v>
      </c>
      <c r="B803" s="7" t="s">
        <v>954</v>
      </c>
      <c r="C803" s="7" t="s">
        <v>97</v>
      </c>
      <c r="D803" s="14" t="s">
        <v>98</v>
      </c>
      <c r="E803" s="7" t="s">
        <v>1546</v>
      </c>
      <c r="F803" s="7"/>
      <c r="G803" s="15" t="s">
        <v>154</v>
      </c>
      <c r="H803" s="7"/>
      <c r="I803" s="19" t="s">
        <v>2</v>
      </c>
      <c r="J803" s="7" t="s">
        <v>97</v>
      </c>
      <c r="K803" s="51">
        <v>41710</v>
      </c>
      <c r="L803" s="115">
        <v>41706</v>
      </c>
      <c r="N803" s="7" t="s">
        <v>2</v>
      </c>
      <c r="O803" s="74">
        <v>0.5</v>
      </c>
      <c r="P803" s="117">
        <v>6.93</v>
      </c>
      <c r="Q803" s="131">
        <v>7.11</v>
      </c>
      <c r="R803" s="50">
        <v>28.9</v>
      </c>
      <c r="S803" s="74">
        <v>49</v>
      </c>
      <c r="T803" s="50">
        <v>0.21</v>
      </c>
      <c r="U803" s="74">
        <v>1.76</v>
      </c>
      <c r="V803" s="50">
        <v>0.69</v>
      </c>
      <c r="W803" s="74">
        <v>1.7999999999999999E-2</v>
      </c>
      <c r="X803" s="50">
        <v>5.0999999999999997E-2</v>
      </c>
      <c r="Y803" s="74">
        <v>6.0000000000000001E-3</v>
      </c>
    </row>
    <row r="804" spans="1:51" ht="15" customHeight="1">
      <c r="A804" s="290" t="s">
        <v>68</v>
      </c>
      <c r="B804" s="50" t="s">
        <v>3456</v>
      </c>
      <c r="C804" s="7" t="s">
        <v>3492</v>
      </c>
      <c r="D804" s="48" t="s">
        <v>165</v>
      </c>
      <c r="F804" s="50" t="s">
        <v>3493</v>
      </c>
      <c r="G804" s="76" t="s">
        <v>3588</v>
      </c>
      <c r="H804" s="50">
        <v>4953</v>
      </c>
      <c r="I804" s="49" t="s">
        <v>1</v>
      </c>
      <c r="J804" s="50" t="s">
        <v>477</v>
      </c>
      <c r="K804" s="51">
        <v>41795</v>
      </c>
      <c r="L804" s="115">
        <v>41789</v>
      </c>
      <c r="N804" s="50" t="s">
        <v>2</v>
      </c>
      <c r="P804" s="50">
        <v>6.5</v>
      </c>
      <c r="U804" s="74">
        <v>1.1200000000000001</v>
      </c>
    </row>
    <row r="805" spans="1:51" s="400" customFormat="1" ht="15" customHeight="1">
      <c r="A805" s="293" t="s">
        <v>68</v>
      </c>
      <c r="B805" s="376" t="s">
        <v>6483</v>
      </c>
      <c r="C805" s="376" t="s">
        <v>6483</v>
      </c>
      <c r="D805" s="374" t="s">
        <v>347</v>
      </c>
      <c r="E805" s="402" t="s">
        <v>112</v>
      </c>
      <c r="F805" s="385"/>
      <c r="G805" s="377" t="s">
        <v>3557</v>
      </c>
      <c r="H805" s="385">
        <v>4953</v>
      </c>
      <c r="I805" s="378" t="s">
        <v>1</v>
      </c>
      <c r="J805" s="402" t="s">
        <v>81</v>
      </c>
      <c r="K805" s="403">
        <v>41578</v>
      </c>
      <c r="L805" s="379">
        <v>41554</v>
      </c>
      <c r="M805" s="402">
        <v>24</v>
      </c>
      <c r="N805" s="402" t="s">
        <v>2</v>
      </c>
      <c r="O805" s="404">
        <v>4.4000000000000004</v>
      </c>
      <c r="Q805" s="404">
        <v>6.6</v>
      </c>
      <c r="R805" s="402">
        <v>93</v>
      </c>
      <c r="S805" s="404">
        <v>39</v>
      </c>
      <c r="T805" s="402">
        <v>0.09</v>
      </c>
      <c r="U805" s="404">
        <v>2.0499999999999998</v>
      </c>
      <c r="V805" s="402">
        <v>1.72</v>
      </c>
      <c r="W805" s="404">
        <v>3.7999999999999999E-2</v>
      </c>
      <c r="X805" s="402">
        <v>5.7000000000000002E-2</v>
      </c>
      <c r="Y805" s="404">
        <f t="shared" ref="Y805:Y810" si="43">0.03/2</f>
        <v>1.4999999999999999E-2</v>
      </c>
      <c r="AE805" s="402"/>
      <c r="AF805" s="402"/>
      <c r="AG805" s="402"/>
      <c r="AH805" s="402"/>
      <c r="AI805" s="402"/>
      <c r="AJ805" s="402"/>
      <c r="AK805" s="402"/>
      <c r="AL805" s="402"/>
      <c r="AM805" s="402"/>
      <c r="AN805" s="394"/>
      <c r="AO805" s="394"/>
      <c r="AP805" s="402"/>
      <c r="AQ805" s="391"/>
      <c r="AR805" s="402"/>
      <c r="AS805" s="391"/>
      <c r="AT805" s="402"/>
      <c r="AU805" s="2"/>
      <c r="AV805" s="1"/>
      <c r="AW805" s="5"/>
      <c r="AY805" s="5"/>
    </row>
    <row r="806" spans="1:51" s="400" customFormat="1" ht="15" customHeight="1">
      <c r="A806" s="293" t="s">
        <v>68</v>
      </c>
      <c r="B806" s="402" t="s">
        <v>404</v>
      </c>
      <c r="C806" s="385" t="s">
        <v>4120</v>
      </c>
      <c r="D806" s="374" t="s">
        <v>406</v>
      </c>
      <c r="E806" s="385" t="s">
        <v>614</v>
      </c>
      <c r="F806" s="385" t="s">
        <v>6484</v>
      </c>
      <c r="G806" s="377" t="s">
        <v>615</v>
      </c>
      <c r="H806" s="385">
        <v>4953</v>
      </c>
      <c r="I806" s="378" t="s">
        <v>2</v>
      </c>
      <c r="J806" s="385" t="s">
        <v>616</v>
      </c>
      <c r="K806" s="403">
        <v>41653</v>
      </c>
      <c r="L806" s="379">
        <v>41650</v>
      </c>
      <c r="M806" s="402">
        <v>3</v>
      </c>
      <c r="N806" s="402" t="s">
        <v>2</v>
      </c>
      <c r="O806" s="404">
        <f>2/2</f>
        <v>1</v>
      </c>
      <c r="P806" s="402">
        <v>7.85</v>
      </c>
      <c r="Q806" s="404">
        <v>6.6</v>
      </c>
      <c r="R806" s="402">
        <f>10/2</f>
        <v>5</v>
      </c>
      <c r="S806" s="404">
        <v>99</v>
      </c>
      <c r="T806" s="402">
        <v>0.32</v>
      </c>
      <c r="U806" s="404">
        <v>1.56</v>
      </c>
      <c r="V806" s="402">
        <f>0.1/2</f>
        <v>0.05</v>
      </c>
      <c r="W806" s="404">
        <v>1.7999999999999999E-2</v>
      </c>
      <c r="X806" s="402">
        <v>0.05</v>
      </c>
      <c r="Y806" s="404">
        <f t="shared" si="43"/>
        <v>1.4999999999999999E-2</v>
      </c>
      <c r="AE806" s="402"/>
      <c r="AF806" s="402"/>
      <c r="AG806" s="402"/>
      <c r="AH806" s="402"/>
      <c r="AI806" s="402"/>
      <c r="AJ806" s="402"/>
      <c r="AK806" s="402"/>
      <c r="AL806" s="402"/>
      <c r="AM806" s="402"/>
      <c r="AN806" s="394"/>
      <c r="AO806" s="394"/>
      <c r="AP806" s="402"/>
      <c r="AQ806" s="391"/>
      <c r="AR806" s="402"/>
      <c r="AS806" s="391"/>
      <c r="AT806" s="402"/>
      <c r="AU806" s="2"/>
      <c r="AV806" s="1"/>
      <c r="AW806" s="5"/>
      <c r="AY806" s="5"/>
    </row>
    <row r="807" spans="1:51" s="400" customFormat="1" ht="15" customHeight="1">
      <c r="A807" s="293" t="s">
        <v>68</v>
      </c>
      <c r="B807" s="402" t="s">
        <v>404</v>
      </c>
      <c r="C807" s="385" t="s">
        <v>4120</v>
      </c>
      <c r="D807" s="374" t="s">
        <v>406</v>
      </c>
      <c r="E807" s="385" t="s">
        <v>621</v>
      </c>
      <c r="F807" s="385" t="s">
        <v>6484</v>
      </c>
      <c r="G807" s="377" t="s">
        <v>615</v>
      </c>
      <c r="H807" s="385">
        <v>4953</v>
      </c>
      <c r="I807" s="378" t="s">
        <v>2</v>
      </c>
      <c r="J807" s="385" t="s">
        <v>617</v>
      </c>
      <c r="K807" s="403">
        <v>41653</v>
      </c>
      <c r="L807" s="379">
        <v>41650</v>
      </c>
      <c r="M807" s="402">
        <v>3</v>
      </c>
      <c r="N807" s="402" t="s">
        <v>2</v>
      </c>
      <c r="O807" s="404">
        <f>2/2</f>
        <v>1</v>
      </c>
      <c r="P807" s="402">
        <v>7.85</v>
      </c>
      <c r="Q807" s="404">
        <v>6.5</v>
      </c>
      <c r="R807" s="402">
        <v>39</v>
      </c>
      <c r="S807" s="404">
        <f>1/2</f>
        <v>0.5</v>
      </c>
      <c r="T807" s="402">
        <v>0.17</v>
      </c>
      <c r="U807" s="404">
        <v>2.0299999999999998</v>
      </c>
      <c r="V807" s="402">
        <v>0.1</v>
      </c>
      <c r="W807" s="404">
        <v>6.2E-2</v>
      </c>
      <c r="X807" s="402">
        <v>5.5E-2</v>
      </c>
      <c r="Y807" s="404">
        <f t="shared" si="43"/>
        <v>1.4999999999999999E-2</v>
      </c>
      <c r="AE807" s="402"/>
      <c r="AF807" s="402"/>
      <c r="AG807" s="402"/>
      <c r="AH807" s="402"/>
      <c r="AI807" s="402"/>
      <c r="AJ807" s="402"/>
      <c r="AK807" s="402"/>
      <c r="AL807" s="402"/>
      <c r="AM807" s="402"/>
      <c r="AN807" s="394"/>
      <c r="AO807" s="394"/>
      <c r="AP807" s="402"/>
      <c r="AQ807" s="391"/>
      <c r="AR807" s="402"/>
      <c r="AS807" s="391"/>
      <c r="AT807" s="402"/>
      <c r="AU807" s="2"/>
      <c r="AV807" s="1"/>
      <c r="AW807" s="5"/>
      <c r="AY807" s="5"/>
    </row>
    <row r="808" spans="1:51" s="400" customFormat="1" ht="15" customHeight="1">
      <c r="A808" s="293" t="s">
        <v>68</v>
      </c>
      <c r="B808" s="402" t="s">
        <v>404</v>
      </c>
      <c r="C808" s="385" t="s">
        <v>4120</v>
      </c>
      <c r="D808" s="374" t="s">
        <v>406</v>
      </c>
      <c r="E808" s="385" t="s">
        <v>621</v>
      </c>
      <c r="F808" s="385" t="s">
        <v>6484</v>
      </c>
      <c r="G808" s="377" t="s">
        <v>615</v>
      </c>
      <c r="H808" s="385">
        <v>4953</v>
      </c>
      <c r="I808" s="378" t="s">
        <v>2</v>
      </c>
      <c r="J808" s="385" t="s">
        <v>618</v>
      </c>
      <c r="K808" s="403">
        <v>41653</v>
      </c>
      <c r="L808" s="379">
        <v>41650</v>
      </c>
      <c r="M808" s="402">
        <v>3</v>
      </c>
      <c r="N808" s="402" t="s">
        <v>2</v>
      </c>
      <c r="O808" s="404">
        <f>2/2</f>
        <v>1</v>
      </c>
      <c r="P808" s="402">
        <v>7.85</v>
      </c>
      <c r="Q808" s="404">
        <v>6.1</v>
      </c>
      <c r="R808" s="402">
        <v>33</v>
      </c>
      <c r="S808" s="404">
        <v>1</v>
      </c>
      <c r="T808" s="402">
        <v>0.21</v>
      </c>
      <c r="U808" s="404">
        <v>1.65</v>
      </c>
      <c r="V808" s="402">
        <v>0.34</v>
      </c>
      <c r="W808" s="404">
        <v>3.6999999999999998E-2</v>
      </c>
      <c r="X808" s="402">
        <v>5.5E-2</v>
      </c>
      <c r="Y808" s="404">
        <f t="shared" si="43"/>
        <v>1.4999999999999999E-2</v>
      </c>
      <c r="AE808" s="402"/>
      <c r="AF808" s="402"/>
      <c r="AG808" s="402"/>
      <c r="AH808" s="402"/>
      <c r="AI808" s="402"/>
      <c r="AJ808" s="402"/>
      <c r="AK808" s="402"/>
      <c r="AL808" s="402"/>
      <c r="AM808" s="402"/>
      <c r="AN808" s="394"/>
      <c r="AO808" s="394"/>
      <c r="AP808" s="402"/>
      <c r="AQ808" s="391"/>
      <c r="AR808" s="402"/>
      <c r="AS808" s="391"/>
      <c r="AT808" s="402"/>
      <c r="AU808" s="2"/>
      <c r="AV808" s="1"/>
      <c r="AW808" s="5"/>
      <c r="AY808" s="5"/>
    </row>
    <row r="809" spans="1:51" s="400" customFormat="1" ht="15" customHeight="1">
      <c r="A809" s="293" t="s">
        <v>68</v>
      </c>
      <c r="B809" s="402" t="s">
        <v>404</v>
      </c>
      <c r="C809" s="385" t="s">
        <v>4120</v>
      </c>
      <c r="D809" s="374" t="s">
        <v>406</v>
      </c>
      <c r="E809" s="385" t="s">
        <v>621</v>
      </c>
      <c r="F809" s="385" t="s">
        <v>6484</v>
      </c>
      <c r="G809" s="377" t="s">
        <v>615</v>
      </c>
      <c r="H809" s="385">
        <v>4953</v>
      </c>
      <c r="I809" s="378" t="s">
        <v>2</v>
      </c>
      <c r="J809" s="385" t="s">
        <v>619</v>
      </c>
      <c r="K809" s="403">
        <v>41653</v>
      </c>
      <c r="L809" s="379">
        <v>41650</v>
      </c>
      <c r="M809" s="402">
        <v>3</v>
      </c>
      <c r="N809" s="402" t="s">
        <v>2</v>
      </c>
      <c r="O809" s="404">
        <f>2/2</f>
        <v>1</v>
      </c>
      <c r="P809" s="402">
        <v>7.85</v>
      </c>
      <c r="Q809" s="404">
        <v>6.7</v>
      </c>
      <c r="R809" s="402">
        <v>22</v>
      </c>
      <c r="S809" s="404">
        <v>5</v>
      </c>
      <c r="T809" s="402">
        <v>0.09</v>
      </c>
      <c r="U809" s="404">
        <v>1.03</v>
      </c>
      <c r="V809" s="402">
        <v>0.14000000000000001</v>
      </c>
      <c r="W809" s="404">
        <v>3.5999999999999997E-2</v>
      </c>
      <c r="X809" s="402">
        <v>8.4000000000000005E-2</v>
      </c>
      <c r="Y809" s="404">
        <f t="shared" si="43"/>
        <v>1.4999999999999999E-2</v>
      </c>
      <c r="AE809" s="402"/>
      <c r="AF809" s="402"/>
      <c r="AG809" s="402"/>
      <c r="AH809" s="402"/>
      <c r="AI809" s="402"/>
      <c r="AJ809" s="402"/>
      <c r="AK809" s="402"/>
      <c r="AL809" s="402"/>
      <c r="AM809" s="402"/>
      <c r="AN809" s="394"/>
      <c r="AO809" s="394"/>
      <c r="AP809" s="402"/>
      <c r="AQ809" s="391"/>
      <c r="AR809" s="402"/>
      <c r="AS809" s="391"/>
      <c r="AT809" s="402"/>
      <c r="AU809" s="2"/>
      <c r="AV809" s="1"/>
      <c r="AW809" s="5"/>
      <c r="AY809" s="5"/>
    </row>
    <row r="810" spans="1:51" s="400" customFormat="1" ht="15" customHeight="1">
      <c r="A810" s="293" t="s">
        <v>68</v>
      </c>
      <c r="B810" s="402" t="s">
        <v>404</v>
      </c>
      <c r="C810" s="385" t="s">
        <v>622</v>
      </c>
      <c r="D810" s="374" t="s">
        <v>406</v>
      </c>
      <c r="E810" s="385" t="s">
        <v>623</v>
      </c>
      <c r="F810" s="385" t="s">
        <v>6484</v>
      </c>
      <c r="G810" s="377" t="s">
        <v>624</v>
      </c>
      <c r="H810" s="385">
        <v>4953</v>
      </c>
      <c r="I810" s="378" t="s">
        <v>2</v>
      </c>
      <c r="J810" s="385" t="s">
        <v>625</v>
      </c>
      <c r="K810" s="403">
        <v>41653</v>
      </c>
      <c r="L810" s="379">
        <v>41650</v>
      </c>
      <c r="M810" s="402">
        <v>3</v>
      </c>
      <c r="N810" s="402" t="s">
        <v>2</v>
      </c>
      <c r="O810" s="404">
        <f>2/2</f>
        <v>1</v>
      </c>
      <c r="P810" s="402">
        <v>6.85</v>
      </c>
      <c r="Q810" s="404">
        <v>6.7</v>
      </c>
      <c r="R810" s="402">
        <v>100</v>
      </c>
      <c r="S810" s="404">
        <v>7</v>
      </c>
      <c r="T810" s="402">
        <v>1.34</v>
      </c>
      <c r="U810" s="404">
        <v>2.09</v>
      </c>
      <c r="V810" s="402">
        <f>0.1/2</f>
        <v>0.05</v>
      </c>
      <c r="W810" s="404">
        <v>7.1999999999999995E-2</v>
      </c>
      <c r="X810" s="402">
        <f>0.03/2</f>
        <v>1.4999999999999999E-2</v>
      </c>
      <c r="Y810" s="404">
        <f t="shared" si="43"/>
        <v>1.4999999999999999E-2</v>
      </c>
      <c r="AE810" s="402"/>
      <c r="AF810" s="402"/>
      <c r="AG810" s="402"/>
      <c r="AH810" s="402"/>
      <c r="AI810" s="402"/>
      <c r="AJ810" s="402"/>
      <c r="AK810" s="402"/>
      <c r="AL810" s="402"/>
      <c r="AM810" s="402"/>
      <c r="AN810" s="394"/>
      <c r="AO810" s="394"/>
      <c r="AP810" s="402"/>
      <c r="AQ810" s="391"/>
      <c r="AR810" s="402"/>
      <c r="AS810" s="391"/>
      <c r="AT810" s="402"/>
      <c r="AU810" s="2"/>
      <c r="AV810" s="1"/>
      <c r="AW810" s="5"/>
      <c r="AY810" s="5"/>
    </row>
    <row r="811" spans="1:51" s="400" customFormat="1" ht="15" customHeight="1">
      <c r="A811" s="293" t="s">
        <v>68</v>
      </c>
      <c r="B811" s="402" t="s">
        <v>2966</v>
      </c>
      <c r="C811" s="385" t="s">
        <v>2546</v>
      </c>
      <c r="D811" s="374" t="s">
        <v>186</v>
      </c>
      <c r="E811" s="385"/>
      <c r="F811" s="385"/>
      <c r="G811" s="377" t="s">
        <v>6090</v>
      </c>
      <c r="H811" s="385"/>
      <c r="I811" s="378" t="s">
        <v>2</v>
      </c>
      <c r="J811" s="385" t="s">
        <v>6485</v>
      </c>
      <c r="K811" s="403">
        <v>41737</v>
      </c>
      <c r="L811" s="379">
        <v>41727</v>
      </c>
      <c r="M811" s="402">
        <v>10</v>
      </c>
      <c r="N811" s="402" t="s">
        <v>2</v>
      </c>
      <c r="O811" s="404">
        <v>2.6</v>
      </c>
      <c r="P811" s="402">
        <v>4.7</v>
      </c>
      <c r="Q811" s="404">
        <v>7</v>
      </c>
      <c r="R811" s="402">
        <v>38</v>
      </c>
      <c r="S811" s="404">
        <v>262</v>
      </c>
      <c r="T811" s="402">
        <v>0.93</v>
      </c>
      <c r="U811" s="404">
        <v>1.99</v>
      </c>
      <c r="V811" s="402">
        <v>1</v>
      </c>
      <c r="W811" s="404">
        <v>4.7E-2</v>
      </c>
      <c r="X811" s="402">
        <v>9.7000000000000003E-2</v>
      </c>
      <c r="Y811" s="404">
        <v>3.4000000000000002E-2</v>
      </c>
      <c r="Z811" s="396">
        <v>1</v>
      </c>
      <c r="AA811" s="397">
        <v>1</v>
      </c>
      <c r="AB811" s="402">
        <v>48</v>
      </c>
      <c r="AC811" s="404">
        <v>242</v>
      </c>
      <c r="AD811" s="396">
        <v>1</v>
      </c>
      <c r="AE811" s="402"/>
      <c r="AF811" s="402"/>
      <c r="AG811" s="402"/>
      <c r="AH811" s="402"/>
      <c r="AI811" s="402"/>
      <c r="AJ811" s="402"/>
      <c r="AK811" s="402"/>
      <c r="AL811" s="402"/>
      <c r="AM811" s="402"/>
      <c r="AN811" s="394"/>
      <c r="AO811" s="394"/>
      <c r="AP811" s="402"/>
      <c r="AQ811" s="391"/>
      <c r="AR811" s="402"/>
      <c r="AS811" s="391"/>
      <c r="AT811" s="402"/>
      <c r="AU811" s="2"/>
      <c r="AV811" s="1"/>
      <c r="AW811" s="5"/>
      <c r="AY811" s="5"/>
    </row>
    <row r="812" spans="1:51" s="400" customFormat="1" ht="15" customHeight="1">
      <c r="A812" s="375" t="s">
        <v>68</v>
      </c>
      <c r="B812" s="402" t="s">
        <v>4135</v>
      </c>
      <c r="C812" s="385" t="s">
        <v>3535</v>
      </c>
      <c r="D812" s="374" t="s">
        <v>1896</v>
      </c>
      <c r="E812" s="385" t="s">
        <v>467</v>
      </c>
      <c r="F812" s="385" t="s">
        <v>3631</v>
      </c>
      <c r="G812" s="377" t="s">
        <v>3536</v>
      </c>
      <c r="H812" s="385">
        <v>4212</v>
      </c>
      <c r="I812" s="378" t="s">
        <v>2</v>
      </c>
      <c r="J812" s="385" t="s">
        <v>6486</v>
      </c>
      <c r="K812" s="403">
        <v>41345</v>
      </c>
      <c r="L812" s="379">
        <v>41341</v>
      </c>
      <c r="M812" s="402">
        <v>4</v>
      </c>
      <c r="N812" s="402" t="s">
        <v>2</v>
      </c>
      <c r="O812" s="404">
        <f>5/2</f>
        <v>2.5</v>
      </c>
      <c r="P812" s="402">
        <v>7.15</v>
      </c>
      <c r="Q812" s="404">
        <v>7.2</v>
      </c>
      <c r="R812" s="402">
        <v>59</v>
      </c>
      <c r="S812" s="404">
        <v>70</v>
      </c>
      <c r="T812" s="402">
        <f>0.1/2</f>
        <v>0.05</v>
      </c>
      <c r="U812" s="404">
        <f>1/2</f>
        <v>0.5</v>
      </c>
      <c r="V812" s="402">
        <f>0.1/2</f>
        <v>0.05</v>
      </c>
      <c r="W812" s="404">
        <f>0.04/2</f>
        <v>0.02</v>
      </c>
      <c r="X812" s="402">
        <v>0.12</v>
      </c>
      <c r="Y812" s="404">
        <f>0.013/2</f>
        <v>6.4999999999999997E-3</v>
      </c>
      <c r="Z812" s="396">
        <v>1</v>
      </c>
      <c r="AA812" s="397">
        <v>1</v>
      </c>
      <c r="AB812" s="402">
        <v>6.5</v>
      </c>
      <c r="AC812" s="404">
        <v>71</v>
      </c>
      <c r="AD812" s="396">
        <v>0.85</v>
      </c>
      <c r="AE812" s="402"/>
      <c r="AF812" s="402"/>
      <c r="AG812" s="402"/>
      <c r="AH812" s="402"/>
      <c r="AI812" s="402"/>
      <c r="AJ812" s="402"/>
      <c r="AK812" s="402"/>
      <c r="AL812" s="402"/>
      <c r="AM812" s="402"/>
      <c r="AN812" s="394"/>
      <c r="AO812" s="394"/>
      <c r="AP812" s="402"/>
      <c r="AQ812" s="391"/>
      <c r="AR812" s="402"/>
      <c r="AS812" s="391"/>
      <c r="AT812" s="402"/>
      <c r="AU812" s="2"/>
      <c r="AV812" s="1"/>
      <c r="AW812" s="5"/>
      <c r="AY812" s="5"/>
    </row>
    <row r="813" spans="1:51" ht="15" customHeight="1">
      <c r="A813" s="293" t="s">
        <v>68</v>
      </c>
      <c r="B813" s="7" t="s">
        <v>387</v>
      </c>
      <c r="C813" s="7" t="s">
        <v>6076</v>
      </c>
      <c r="D813" s="374" t="s">
        <v>389</v>
      </c>
      <c r="E813" s="385" t="s">
        <v>112</v>
      </c>
      <c r="F813" s="7"/>
      <c r="G813" s="15" t="s">
        <v>391</v>
      </c>
      <c r="H813" s="7"/>
      <c r="I813" s="19"/>
      <c r="J813" s="7" t="s">
        <v>6076</v>
      </c>
      <c r="K813" s="51">
        <v>41579</v>
      </c>
      <c r="L813" s="115">
        <v>41554</v>
      </c>
      <c r="N813" s="7" t="s">
        <v>2</v>
      </c>
      <c r="O813" s="74">
        <v>1.6</v>
      </c>
      <c r="P813" s="117">
        <v>6.08</v>
      </c>
      <c r="Q813" s="131">
        <v>6.77</v>
      </c>
      <c r="R813" s="50">
        <v>66.3</v>
      </c>
      <c r="S813" s="74">
        <v>90</v>
      </c>
      <c r="T813" s="50">
        <v>0.09</v>
      </c>
      <c r="U813" s="74">
        <v>4</v>
      </c>
      <c r="V813" s="50">
        <v>0.15</v>
      </c>
      <c r="W813" s="74">
        <f>0.005/2</f>
        <v>2.5000000000000001E-3</v>
      </c>
      <c r="X813" s="50">
        <v>1.9E-2</v>
      </c>
      <c r="Y813" s="74">
        <f>0.002/2</f>
        <v>1E-3</v>
      </c>
    </row>
    <row r="814" spans="1:51" ht="15" customHeight="1">
      <c r="A814" s="375" t="s">
        <v>68</v>
      </c>
      <c r="B814" s="386" t="s">
        <v>546</v>
      </c>
      <c r="C814" s="386" t="s">
        <v>547</v>
      </c>
      <c r="D814" s="389"/>
      <c r="E814" s="387" t="s">
        <v>549</v>
      </c>
      <c r="F814" s="402"/>
      <c r="G814" s="377" t="s">
        <v>550</v>
      </c>
      <c r="H814" s="385">
        <v>4953</v>
      </c>
      <c r="I814" s="378" t="s">
        <v>2</v>
      </c>
      <c r="J814" s="385" t="s">
        <v>552</v>
      </c>
      <c r="K814" s="403">
        <v>41768</v>
      </c>
      <c r="L814" s="379" t="s">
        <v>5380</v>
      </c>
      <c r="M814" s="402"/>
      <c r="N814" s="402" t="s">
        <v>2</v>
      </c>
      <c r="O814" s="404">
        <f>1.6/2</f>
        <v>0.8</v>
      </c>
      <c r="P814" s="402">
        <v>5.6</v>
      </c>
      <c r="Q814" s="404">
        <v>6.8</v>
      </c>
      <c r="R814" s="402">
        <f>20/2</f>
        <v>10</v>
      </c>
      <c r="S814" s="404">
        <v>3</v>
      </c>
      <c r="T814" s="402">
        <v>1.0999999999999999E-2</v>
      </c>
      <c r="U814" s="404">
        <f>1.6/2</f>
        <v>0.8</v>
      </c>
      <c r="V814" s="402">
        <v>0.89</v>
      </c>
      <c r="W814" s="404">
        <f>0.005/2</f>
        <v>2.5000000000000001E-3</v>
      </c>
      <c r="X814" s="402">
        <f>0.01/2</f>
        <v>5.0000000000000001E-3</v>
      </c>
      <c r="Y814" s="404">
        <f>0.005/2</f>
        <v>2.5000000000000001E-3</v>
      </c>
      <c r="Z814" s="396"/>
      <c r="AA814" s="397"/>
      <c r="AB814" s="402"/>
      <c r="AC814" s="404"/>
      <c r="AD814" s="396"/>
      <c r="AE814" s="402"/>
      <c r="AF814" s="402"/>
      <c r="AG814" s="402"/>
      <c r="AH814" s="402"/>
      <c r="AI814" s="402"/>
      <c r="AJ814" s="402"/>
      <c r="AK814" s="402"/>
      <c r="AL814" s="402"/>
      <c r="AM814" s="402"/>
      <c r="AN814" s="394"/>
      <c r="AO814" s="394"/>
      <c r="AP814" s="402"/>
      <c r="AQ814" s="391"/>
      <c r="AR814" s="402"/>
      <c r="AS814" s="391"/>
      <c r="AT814" s="402"/>
      <c r="AX814" s="400"/>
    </row>
    <row r="815" spans="1:51" ht="15" customHeight="1">
      <c r="A815" s="375" t="s">
        <v>68</v>
      </c>
      <c r="B815" s="386" t="s">
        <v>546</v>
      </c>
      <c r="C815" s="386" t="s">
        <v>547</v>
      </c>
      <c r="D815" s="389"/>
      <c r="E815" s="387" t="s">
        <v>549</v>
      </c>
      <c r="F815" s="402"/>
      <c r="G815" s="377" t="s">
        <v>550</v>
      </c>
      <c r="H815" s="385">
        <v>4953</v>
      </c>
      <c r="I815" s="378" t="s">
        <v>2</v>
      </c>
      <c r="J815" s="385" t="s">
        <v>553</v>
      </c>
      <c r="K815" s="403">
        <v>41768</v>
      </c>
      <c r="L815" s="379" t="s">
        <v>5380</v>
      </c>
      <c r="M815" s="402"/>
      <c r="N815" s="402" t="s">
        <v>2</v>
      </c>
      <c r="O815" s="404">
        <f>1.6/2</f>
        <v>0.8</v>
      </c>
      <c r="P815" s="402">
        <v>5.6</v>
      </c>
      <c r="Q815" s="404">
        <v>7</v>
      </c>
      <c r="R815" s="402">
        <v>27</v>
      </c>
      <c r="S815" s="404">
        <v>16.8</v>
      </c>
      <c r="T815" s="402">
        <v>9.0999999999999998E-2</v>
      </c>
      <c r="U815" s="404">
        <f>1.6/2</f>
        <v>0.8</v>
      </c>
      <c r="V815" s="402">
        <v>0.46</v>
      </c>
      <c r="W815" s="404">
        <f>0.005/2</f>
        <v>2.5000000000000001E-3</v>
      </c>
      <c r="X815" s="402">
        <v>7.0999999999999994E-2</v>
      </c>
      <c r="Y815" s="404">
        <f>0.005/2</f>
        <v>2.5000000000000001E-3</v>
      </c>
      <c r="Z815" s="396"/>
      <c r="AA815" s="397"/>
      <c r="AB815" s="402"/>
      <c r="AC815" s="404"/>
      <c r="AD815" s="396"/>
      <c r="AE815" s="402"/>
      <c r="AF815" s="402"/>
      <c r="AG815" s="402"/>
      <c r="AH815" s="402"/>
      <c r="AI815" s="402"/>
      <c r="AJ815" s="402"/>
      <c r="AK815" s="402"/>
      <c r="AL815" s="402"/>
      <c r="AM815" s="402"/>
      <c r="AN815" s="394"/>
      <c r="AO815" s="394"/>
      <c r="AP815" s="402"/>
      <c r="AQ815" s="391"/>
      <c r="AR815" s="402"/>
      <c r="AS815" s="391"/>
      <c r="AT815" s="402"/>
      <c r="AX815" s="400"/>
    </row>
    <row r="816" spans="1:51" ht="15" customHeight="1">
      <c r="A816" s="375" t="s">
        <v>68</v>
      </c>
      <c r="B816" s="386" t="s">
        <v>546</v>
      </c>
      <c r="C816" s="386" t="s">
        <v>547</v>
      </c>
      <c r="D816" s="389"/>
      <c r="E816" s="387" t="s">
        <v>549</v>
      </c>
      <c r="F816" s="402"/>
      <c r="G816" s="377" t="s">
        <v>550</v>
      </c>
      <c r="H816" s="385">
        <v>4953</v>
      </c>
      <c r="I816" s="378" t="s">
        <v>2</v>
      </c>
      <c r="J816" s="385" t="s">
        <v>551</v>
      </c>
      <c r="K816" s="403">
        <v>41768</v>
      </c>
      <c r="L816" s="379" t="s">
        <v>5380</v>
      </c>
      <c r="M816" s="402"/>
      <c r="N816" s="402" t="s">
        <v>2</v>
      </c>
      <c r="O816" s="404">
        <f>1.6/2</f>
        <v>0.8</v>
      </c>
      <c r="P816" s="402">
        <v>5.6</v>
      </c>
      <c r="Q816" s="404">
        <v>7.1</v>
      </c>
      <c r="R816" s="402">
        <v>36</v>
      </c>
      <c r="S816" s="404">
        <v>22.8</v>
      </c>
      <c r="T816" s="402">
        <v>7.5999999999999998E-2</v>
      </c>
      <c r="U816" s="404">
        <f>1.6/2</f>
        <v>0.8</v>
      </c>
      <c r="V816" s="402">
        <f>0.46/2</f>
        <v>0.23</v>
      </c>
      <c r="W816" s="404">
        <f>0.005/2</f>
        <v>2.5000000000000001E-3</v>
      </c>
      <c r="X816" s="402">
        <v>3.9E-2</v>
      </c>
      <c r="Y816" s="404">
        <f>0.005/2</f>
        <v>2.5000000000000001E-3</v>
      </c>
      <c r="Z816" s="396"/>
      <c r="AA816" s="397"/>
      <c r="AB816" s="402"/>
      <c r="AC816" s="404"/>
      <c r="AD816" s="396"/>
      <c r="AE816" s="402"/>
      <c r="AF816" s="402"/>
      <c r="AG816" s="402"/>
      <c r="AH816" s="402"/>
      <c r="AI816" s="402"/>
      <c r="AJ816" s="402"/>
      <c r="AK816" s="402"/>
      <c r="AL816" s="402"/>
      <c r="AM816" s="402"/>
      <c r="AN816" s="394"/>
      <c r="AO816" s="394"/>
      <c r="AP816" s="402"/>
      <c r="AQ816" s="391"/>
      <c r="AR816" s="402"/>
      <c r="AS816" s="391"/>
      <c r="AT816" s="402"/>
      <c r="AX816" s="400"/>
    </row>
    <row r="817" spans="1:50" ht="15" customHeight="1">
      <c r="A817" s="375" t="s">
        <v>68</v>
      </c>
      <c r="B817" s="402" t="s">
        <v>3378</v>
      </c>
      <c r="C817" s="385" t="s">
        <v>3379</v>
      </c>
      <c r="D817" s="374" t="s">
        <v>3380</v>
      </c>
      <c r="E817" s="385"/>
      <c r="F817" s="385" t="s">
        <v>3381</v>
      </c>
      <c r="G817" s="377" t="s">
        <v>3382</v>
      </c>
      <c r="H817" s="385">
        <v>4953</v>
      </c>
      <c r="I817" s="378" t="s">
        <v>2</v>
      </c>
      <c r="J817" s="385" t="s">
        <v>366</v>
      </c>
      <c r="K817" s="403">
        <v>41759</v>
      </c>
      <c r="L817" s="379">
        <v>41755</v>
      </c>
      <c r="M817" s="402">
        <f t="shared" ref="M817" si="44">K817-L817</f>
        <v>4</v>
      </c>
      <c r="N817" s="402" t="s">
        <v>2</v>
      </c>
      <c r="O817" s="404">
        <v>19</v>
      </c>
      <c r="P817" s="402">
        <v>6.5</v>
      </c>
      <c r="Q817" s="404">
        <v>6.54</v>
      </c>
      <c r="R817" s="402">
        <v>288</v>
      </c>
      <c r="S817" s="404">
        <v>1300</v>
      </c>
      <c r="T817" s="402">
        <v>2.6</v>
      </c>
      <c r="U817" s="404">
        <v>7.35</v>
      </c>
      <c r="V817" s="402">
        <f>0.01/2</f>
        <v>5.0000000000000001E-3</v>
      </c>
      <c r="W817" s="404">
        <v>0.10199999999999999</v>
      </c>
      <c r="X817" s="402">
        <v>0.3</v>
      </c>
      <c r="Y817" s="404">
        <v>4.4999999999999998E-2</v>
      </c>
      <c r="Z817" s="396"/>
      <c r="AA817" s="397"/>
      <c r="AB817" s="402"/>
      <c r="AC817" s="404"/>
      <c r="AD817" s="396"/>
      <c r="AE817" s="402"/>
      <c r="AF817" s="402"/>
      <c r="AG817" s="402"/>
      <c r="AH817" s="402"/>
      <c r="AI817" s="402"/>
      <c r="AJ817" s="402"/>
      <c r="AK817" s="402"/>
      <c r="AL817" s="402"/>
      <c r="AM817" s="402"/>
      <c r="AN817" s="394"/>
      <c r="AO817" s="394"/>
      <c r="AP817" s="402"/>
      <c r="AQ817" s="391"/>
      <c r="AR817" s="402"/>
      <c r="AS817" s="391"/>
      <c r="AT817" s="402"/>
      <c r="AX817" s="400"/>
    </row>
    <row r="818" spans="1:50" ht="15" customHeight="1">
      <c r="A818" s="293" t="s">
        <v>68</v>
      </c>
      <c r="B818" s="386" t="s">
        <v>387</v>
      </c>
      <c r="C818" s="386" t="s">
        <v>388</v>
      </c>
      <c r="D818" s="389" t="s">
        <v>389</v>
      </c>
      <c r="E818" s="387" t="s">
        <v>390</v>
      </c>
      <c r="F818" s="386"/>
      <c r="G818" s="56" t="s">
        <v>391</v>
      </c>
      <c r="H818" s="63"/>
      <c r="I818" s="386" t="s">
        <v>2</v>
      </c>
      <c r="J818" s="392" t="s">
        <v>392</v>
      </c>
      <c r="K818" s="57">
        <v>40857</v>
      </c>
      <c r="L818" s="132">
        <v>40845</v>
      </c>
      <c r="M818" s="386">
        <v>12</v>
      </c>
      <c r="N818" s="386" t="s">
        <v>2</v>
      </c>
      <c r="O818" s="135">
        <v>0.5</v>
      </c>
      <c r="P818" s="386">
        <v>6.11</v>
      </c>
      <c r="Q818" s="135">
        <v>6.59</v>
      </c>
      <c r="R818" s="136">
        <v>38.4</v>
      </c>
      <c r="S818" s="137">
        <v>81</v>
      </c>
      <c r="T818" s="134">
        <v>0.28000000000000003</v>
      </c>
      <c r="U818" s="135">
        <v>2.5</v>
      </c>
      <c r="V818" s="386">
        <v>0.76</v>
      </c>
      <c r="W818" s="155">
        <v>7.0000000000000001E-3</v>
      </c>
      <c r="X818" s="386">
        <v>5.0999999999999997E-2</v>
      </c>
      <c r="Y818" s="155">
        <v>1.4E-2</v>
      </c>
      <c r="Z818" s="312">
        <v>1</v>
      </c>
      <c r="AA818" s="312">
        <v>1</v>
      </c>
      <c r="AB818" s="351">
        <v>42.8</v>
      </c>
      <c r="AC818" s="142">
        <v>119</v>
      </c>
      <c r="AD818" s="312">
        <v>1</v>
      </c>
    </row>
    <row r="819" spans="1:50" ht="15" customHeight="1">
      <c r="A819" s="293" t="s">
        <v>68</v>
      </c>
      <c r="B819" s="402" t="s">
        <v>2013</v>
      </c>
      <c r="C819" s="402" t="s">
        <v>2014</v>
      </c>
      <c r="D819" s="405" t="s">
        <v>389</v>
      </c>
      <c r="E819" s="402" t="s">
        <v>112</v>
      </c>
      <c r="F819" s="402"/>
      <c r="G819" s="401" t="s">
        <v>391</v>
      </c>
      <c r="H819" s="113"/>
      <c r="I819" s="391"/>
      <c r="J819" s="401" t="s">
        <v>2015</v>
      </c>
      <c r="K819" s="403">
        <v>41030</v>
      </c>
      <c r="L819" s="379">
        <v>41021</v>
      </c>
      <c r="M819" s="402">
        <v>9</v>
      </c>
      <c r="N819" s="402" t="s">
        <v>2</v>
      </c>
      <c r="O819" s="395">
        <v>0.5</v>
      </c>
      <c r="P819" s="380">
        <v>6.13</v>
      </c>
      <c r="Q819" s="395">
        <v>6.38</v>
      </c>
      <c r="R819" s="402">
        <v>78.599999999999994</v>
      </c>
      <c r="S819" s="404">
        <v>121</v>
      </c>
      <c r="T819" s="402">
        <v>0.5</v>
      </c>
      <c r="U819" s="395">
        <v>2.8</v>
      </c>
      <c r="V819" s="402">
        <v>0.6</v>
      </c>
      <c r="W819" s="404">
        <v>7.0000000000000001E-3</v>
      </c>
      <c r="X819" s="402">
        <v>3.5000000000000003E-2</v>
      </c>
      <c r="Y819" s="404">
        <v>1.4E-2</v>
      </c>
      <c r="Z819" s="399"/>
      <c r="AA819" s="399"/>
      <c r="AB819" s="394"/>
      <c r="AC819" s="402"/>
      <c r="AD819" s="314"/>
    </row>
    <row r="820" spans="1:50" ht="15" customHeight="1">
      <c r="A820" s="41" t="s">
        <v>68</v>
      </c>
      <c r="B820" s="385" t="s">
        <v>3577</v>
      </c>
      <c r="C820" s="18"/>
      <c r="D820" s="377" t="s">
        <v>3578</v>
      </c>
      <c r="E820" s="20" t="s">
        <v>3579</v>
      </c>
      <c r="F820" s="385"/>
      <c r="G820" s="390" t="s">
        <v>3587</v>
      </c>
      <c r="H820" s="384">
        <v>4953</v>
      </c>
      <c r="I820" s="385" t="s">
        <v>1</v>
      </c>
      <c r="J820" s="344" t="s">
        <v>194</v>
      </c>
      <c r="K820" s="16">
        <v>41456</v>
      </c>
      <c r="L820" s="17">
        <v>41452</v>
      </c>
      <c r="M820" s="402">
        <f t="shared" ref="M820:M824" si="45">K820-L820</f>
        <v>4</v>
      </c>
      <c r="N820" s="385" t="s">
        <v>2</v>
      </c>
      <c r="O820" s="384">
        <v>1</v>
      </c>
      <c r="P820" s="385">
        <v>5.8</v>
      </c>
      <c r="Q820" s="384">
        <v>7.08</v>
      </c>
      <c r="R820" s="385">
        <v>970</v>
      </c>
      <c r="S820" s="384">
        <v>23</v>
      </c>
      <c r="T820" s="385">
        <v>0.45</v>
      </c>
      <c r="U820" s="8">
        <v>3.6</v>
      </c>
      <c r="V820" s="385">
        <v>0.61</v>
      </c>
      <c r="W820" s="384">
        <v>1.0999999999999999E-2</v>
      </c>
      <c r="X820" s="385">
        <v>5.0999999999999997E-2</v>
      </c>
      <c r="Y820" s="384">
        <v>2.5000000000000001E-2</v>
      </c>
      <c r="Z820" s="323">
        <v>1</v>
      </c>
      <c r="AA820" s="323">
        <v>1</v>
      </c>
      <c r="AB820" s="20">
        <v>20.309999999999999</v>
      </c>
      <c r="AC820" s="385">
        <v>92</v>
      </c>
      <c r="AD820" s="323">
        <v>0.9</v>
      </c>
      <c r="AO820" s="385">
        <v>3500</v>
      </c>
    </row>
    <row r="821" spans="1:50" ht="15" customHeight="1">
      <c r="A821" s="41" t="s">
        <v>68</v>
      </c>
      <c r="B821" s="385" t="s">
        <v>3577</v>
      </c>
      <c r="C821" s="18"/>
      <c r="D821" s="377" t="s">
        <v>3578</v>
      </c>
      <c r="E821" s="20" t="s">
        <v>3579</v>
      </c>
      <c r="F821" s="385"/>
      <c r="G821" s="390" t="s">
        <v>3587</v>
      </c>
      <c r="H821" s="384">
        <v>4953</v>
      </c>
      <c r="I821" s="385" t="s">
        <v>1</v>
      </c>
      <c r="J821" s="344" t="s">
        <v>569</v>
      </c>
      <c r="K821" s="16">
        <v>41456</v>
      </c>
      <c r="L821" s="17">
        <v>41452</v>
      </c>
      <c r="M821" s="402">
        <f t="shared" si="45"/>
        <v>4</v>
      </c>
      <c r="N821" s="385" t="s">
        <v>2</v>
      </c>
      <c r="O821" s="384">
        <v>2.8</v>
      </c>
      <c r="P821" s="385">
        <v>5.8</v>
      </c>
      <c r="Q821" s="384">
        <v>7.29</v>
      </c>
      <c r="R821" s="385">
        <v>213</v>
      </c>
      <c r="S821" s="384">
        <v>41</v>
      </c>
      <c r="T821" s="385">
        <v>0.25</v>
      </c>
      <c r="U821" s="8">
        <v>1.8</v>
      </c>
      <c r="V821" s="385">
        <v>0.75</v>
      </c>
      <c r="W821" s="384">
        <v>2.1999999999999999E-2</v>
      </c>
      <c r="X821" s="385">
        <v>0.114</v>
      </c>
      <c r="Y821" s="384">
        <v>1.6E-2</v>
      </c>
      <c r="Z821" s="323">
        <v>1</v>
      </c>
      <c r="AA821" s="323">
        <v>1</v>
      </c>
      <c r="AB821" s="20">
        <v>15.43</v>
      </c>
      <c r="AC821" s="385">
        <v>99</v>
      </c>
      <c r="AD821" s="323">
        <v>1</v>
      </c>
      <c r="AO821" s="385">
        <v>5000</v>
      </c>
    </row>
    <row r="822" spans="1:50" ht="15" customHeight="1">
      <c r="A822" s="41" t="s">
        <v>68</v>
      </c>
      <c r="B822" s="385" t="s">
        <v>3577</v>
      </c>
      <c r="C822" s="18"/>
      <c r="D822" s="377" t="s">
        <v>3578</v>
      </c>
      <c r="E822" s="20" t="s">
        <v>3579</v>
      </c>
      <c r="F822" s="385"/>
      <c r="G822" s="390" t="s">
        <v>3587</v>
      </c>
      <c r="H822" s="384">
        <v>4953</v>
      </c>
      <c r="I822" s="385" t="s">
        <v>1</v>
      </c>
      <c r="J822" s="344" t="s">
        <v>194</v>
      </c>
      <c r="K822" s="403">
        <v>41554</v>
      </c>
      <c r="L822" s="398">
        <v>41551</v>
      </c>
      <c r="M822" s="402">
        <f t="shared" si="45"/>
        <v>3</v>
      </c>
      <c r="N822" s="402" t="s">
        <v>2</v>
      </c>
      <c r="O822" s="404">
        <v>4</v>
      </c>
      <c r="P822" s="402">
        <v>5</v>
      </c>
      <c r="Q822" s="404">
        <v>6.35</v>
      </c>
      <c r="R822" s="402">
        <v>7.5</v>
      </c>
      <c r="S822" s="404">
        <v>3</v>
      </c>
      <c r="T822" s="402">
        <v>2.5000000000000001E-2</v>
      </c>
      <c r="U822" s="395">
        <v>0.54</v>
      </c>
      <c r="V822" s="402">
        <v>0.1</v>
      </c>
      <c r="W822" s="404">
        <v>0.13300000000000001</v>
      </c>
      <c r="X822" s="402">
        <v>4.8000000000000001E-2</v>
      </c>
      <c r="Y822" s="404">
        <v>0.01</v>
      </c>
    </row>
    <row r="823" spans="1:50" ht="15" customHeight="1">
      <c r="A823" s="41" t="s">
        <v>68</v>
      </c>
      <c r="B823" s="385" t="s">
        <v>3577</v>
      </c>
      <c r="C823" s="18"/>
      <c r="D823" s="377" t="s">
        <v>3578</v>
      </c>
      <c r="E823" s="20" t="s">
        <v>3579</v>
      </c>
      <c r="F823" s="385"/>
      <c r="G823" s="390" t="s">
        <v>3587</v>
      </c>
      <c r="H823" s="384">
        <v>4953</v>
      </c>
      <c r="I823" s="385" t="s">
        <v>1</v>
      </c>
      <c r="J823" s="344" t="s">
        <v>569</v>
      </c>
      <c r="K823" s="403">
        <v>41554</v>
      </c>
      <c r="L823" s="398">
        <v>41551</v>
      </c>
      <c r="M823" s="402">
        <f t="shared" si="45"/>
        <v>3</v>
      </c>
      <c r="N823" s="402" t="s">
        <v>2</v>
      </c>
      <c r="O823" s="404">
        <v>1.2</v>
      </c>
      <c r="P823" s="402">
        <v>5</v>
      </c>
      <c r="Q823" s="404">
        <v>6.44</v>
      </c>
      <c r="R823" s="402">
        <v>44.4</v>
      </c>
      <c r="S823" s="404">
        <v>0.5</v>
      </c>
      <c r="T823" s="402">
        <v>2.5000000000000001E-2</v>
      </c>
      <c r="U823" s="395">
        <v>0.52</v>
      </c>
      <c r="V823" s="402">
        <v>0.05</v>
      </c>
      <c r="W823" s="404">
        <v>0.155</v>
      </c>
      <c r="X823" s="402">
        <v>0.153</v>
      </c>
      <c r="Y823" s="404">
        <v>6.0000000000000001E-3</v>
      </c>
    </row>
    <row r="824" spans="1:50" ht="15" customHeight="1">
      <c r="A824" s="293" t="s">
        <v>68</v>
      </c>
      <c r="B824" s="385" t="s">
        <v>2070</v>
      </c>
      <c r="C824" s="385" t="s">
        <v>6091</v>
      </c>
      <c r="D824" s="48" t="s">
        <v>1837</v>
      </c>
      <c r="E824" s="385" t="s">
        <v>6092</v>
      </c>
      <c r="F824" s="385"/>
      <c r="G824" s="377" t="s">
        <v>5533</v>
      </c>
      <c r="H824" s="385">
        <v>4212</v>
      </c>
      <c r="I824" s="378" t="s">
        <v>2</v>
      </c>
      <c r="J824" s="385" t="s">
        <v>81</v>
      </c>
      <c r="K824" s="403">
        <v>41631</v>
      </c>
      <c r="L824" s="379">
        <v>41625</v>
      </c>
      <c r="M824" s="402">
        <f t="shared" si="45"/>
        <v>6</v>
      </c>
      <c r="N824" s="385" t="s">
        <v>2</v>
      </c>
      <c r="P824" s="380">
        <v>7.22</v>
      </c>
      <c r="AE824" s="50">
        <v>15</v>
      </c>
    </row>
    <row r="825" spans="1:50" ht="15" customHeight="1">
      <c r="E825" s="367"/>
    </row>
    <row r="826" spans="1:50" ht="15" customHeight="1">
      <c r="E826" s="367"/>
      <c r="J826" s="402"/>
      <c r="K826" s="403"/>
    </row>
    <row r="827" spans="1:50" ht="15" customHeight="1">
      <c r="J827" s="385"/>
      <c r="K827" s="403"/>
    </row>
    <row r="828" spans="1:50" ht="15" customHeight="1">
      <c r="J828" s="385"/>
      <c r="K828" s="403"/>
    </row>
    <row r="829" spans="1:50" ht="15" customHeight="1">
      <c r="J829" s="385"/>
      <c r="K829" s="403"/>
    </row>
    <row r="830" spans="1:50" ht="15" customHeight="1">
      <c r="J830" s="385"/>
      <c r="K830" s="403"/>
    </row>
    <row r="831" spans="1:50" ht="15" customHeight="1">
      <c r="J831" s="385"/>
      <c r="K831" s="403"/>
    </row>
    <row r="832" spans="1:50" ht="15" customHeight="1">
      <c r="J832" s="385"/>
      <c r="K832" s="403"/>
    </row>
  </sheetData>
  <autoFilter ref="A1:AY824"/>
  <sortState ref="J10330:K10336">
    <sortCondition ref="K10330:K10336"/>
  </sortState>
  <conditionalFormatting sqref="P193 O18:P18 O748:O777 O783:O802 O804 O536:O744 O2:O478 O480:O534">
    <cfRule type="cellIs" dxfId="1404" priority="4483" stopIfTrue="1" operator="greaterThan">
      <formula>5</formula>
    </cfRule>
  </conditionalFormatting>
  <conditionalFormatting sqref="R193 Q189:R189 Q18:R18 Q748:Q777 Q783:Q802 Q804 AA740:AA742 Q536:Q744 Q2:Q478 Q480:Q534">
    <cfRule type="cellIs" dxfId="1403" priority="4482" stopIfTrue="1" operator="notBetween">
      <formula>5</formula>
      <formula>9</formula>
    </cfRule>
  </conditionalFormatting>
  <conditionalFormatting sqref="S193 S189 R18:S18 R748:R777 R783:R802 R804 R536:R744 R2:R478 R480:R534">
    <cfRule type="cellIs" dxfId="1402" priority="4481" stopIfTrue="1" operator="greaterThan">
      <formula>75</formula>
    </cfRule>
  </conditionalFormatting>
  <conditionalFormatting sqref="T193 T189 S18:T18 S748:S777 S783:S802 S804 S536:S744 S2:S478 S480:S534">
    <cfRule type="cellIs" dxfId="1401" priority="4480" stopIfTrue="1" operator="greaterThan">
      <formula>90</formula>
    </cfRule>
  </conditionalFormatting>
  <conditionalFormatting sqref="U193 U189 T18:U18 T748:T777 T783:T802 T804 AB740:AB742 T536:T744 T2:T478 T480:T534">
    <cfRule type="cellIs" dxfId="1400" priority="4479" stopIfTrue="1" operator="greaterThan">
      <formula>0.4</formula>
    </cfRule>
  </conditionalFormatting>
  <conditionalFormatting sqref="V193 V189 U18:V18 U748:U777 U783:U802 U804 AC740:AC742 U536:U744 U2:U478 U480:U534">
    <cfRule type="cellIs" dxfId="1399" priority="4478" stopIfTrue="1" operator="greaterThan">
      <formula>2.3</formula>
    </cfRule>
  </conditionalFormatting>
  <conditionalFormatting sqref="W193 W189 V18:W18 V748:V777 V783:V802 V804 V536:V744 V2:V478 V480:V534">
    <cfRule type="cellIs" dxfId="1398" priority="4477" stopIfTrue="1" operator="greaterThan">
      <formula>1.1</formula>
    </cfRule>
  </conditionalFormatting>
  <conditionalFormatting sqref="X193 X189 W18:X18 W748:W777 W783:W802 W804 W536:W744 W2:W478 W480:W534">
    <cfRule type="cellIs" dxfId="1397" priority="4476" stopIfTrue="1" operator="greaterThan">
      <formula>0.059</formula>
    </cfRule>
  </conditionalFormatting>
  <conditionalFormatting sqref="Y193 Y189 X18:Y18 X748:X777 X783:X802 X804 AD740:AD742 X536:X744 X2:X478 X480:X534">
    <cfRule type="cellIs" dxfId="1396" priority="4475" stopIfTrue="1" operator="greaterThan">
      <formula>0.16</formula>
    </cfRule>
  </conditionalFormatting>
  <conditionalFormatting sqref="Y748:Y777 Y783:Y802 Y804 AE740:AE742 Y536:Y744 Y2:Y478 Y480:Y534">
    <cfRule type="cellIs" dxfId="1395" priority="4474" stopIfTrue="1" operator="greaterThan">
      <formula>0.076</formula>
    </cfRule>
  </conditionalFormatting>
  <conditionalFormatting sqref="AR743:AR744 AF113:AF122 AR113:AR122 AF108:AF110 AO108:AO110 AR108:AR110">
    <cfRule type="cellIs" dxfId="1394" priority="3855" operator="greaterThan">
      <formula>0.0014</formula>
    </cfRule>
  </conditionalFormatting>
  <conditionalFormatting sqref="AS743:AS744 AG113:AG122 AS113:AS122 AG108:AG110 AP108:AP110 AS108:AS110">
    <cfRule type="cellIs" dxfId="1393" priority="3854" operator="greaterThan">
      <formula>0.75</formula>
    </cfRule>
  </conditionalFormatting>
  <conditionalFormatting sqref="AE743:AE744 AE587:AE590 AE376:AE379 AE113:AE123 AN108:AN110 AE108:AE110">
    <cfRule type="cellIs" dxfId="1392" priority="3851" operator="greaterThan">
      <formula>1</formula>
    </cfRule>
  </conditionalFormatting>
  <conditionalFormatting sqref="AN383:AN397">
    <cfRule type="cellIs" dxfId="1391" priority="3285" operator="notBetween">
      <formula>6</formula>
      <formula>9</formula>
    </cfRule>
  </conditionalFormatting>
  <conditionalFormatting sqref="AM403:AM431 AM380:AM397">
    <cfRule type="cellIs" dxfId="1390" priority="3283" operator="greaterThan">
      <formula>0.2</formula>
    </cfRule>
  </conditionalFormatting>
  <conditionalFormatting sqref="AL403:AL431 AL380:AL397">
    <cfRule type="cellIs" dxfId="1389" priority="3281" operator="greaterThan">
      <formula>0.026</formula>
    </cfRule>
  </conditionalFormatting>
  <conditionalFormatting sqref="AK403:AK431 AK380:AK397">
    <cfRule type="cellIs" dxfId="1388" priority="3279" operator="greaterThan">
      <formula>0.025</formula>
    </cfRule>
  </conditionalFormatting>
  <conditionalFormatting sqref="AJ403:AJ431 AJ380:AJ397">
    <cfRule type="cellIs" dxfId="1387" priority="3277" operator="greaterThan">
      <formula>0.12</formula>
    </cfRule>
  </conditionalFormatting>
  <conditionalFormatting sqref="AI403:AI431 AI380:AI397">
    <cfRule type="cellIs" dxfId="1386" priority="3275" operator="greaterThan">
      <formula>0.033</formula>
    </cfRule>
  </conditionalFormatting>
  <conditionalFormatting sqref="AH383:AH397">
    <cfRule type="cellIs" dxfId="1385" priority="3273" operator="greaterThan">
      <formula>10</formula>
    </cfRule>
  </conditionalFormatting>
  <conditionalFormatting sqref="AG383:AG397">
    <cfRule type="cellIs" dxfId="1384" priority="3271" operator="greaterThan">
      <formula>88</formula>
    </cfRule>
  </conditionalFormatting>
  <conditionalFormatting sqref="AF383:AF397">
    <cfRule type="cellIs" dxfId="1383" priority="3269" operator="greaterThan">
      <formula>140</formula>
    </cfRule>
  </conditionalFormatting>
  <conditionalFormatting sqref="AE380:AE397">
    <cfRule type="cellIs" dxfId="1382" priority="3268" operator="greaterThan">
      <formula>1</formula>
    </cfRule>
  </conditionalFormatting>
  <conditionalFormatting sqref="AN380:AN382">
    <cfRule type="cellIs" dxfId="1381" priority="3265" operator="notBetween">
      <formula>6</formula>
      <formula>9</formula>
    </cfRule>
  </conditionalFormatting>
  <conditionalFormatting sqref="AH380:AH382">
    <cfRule type="cellIs" dxfId="1380" priority="3257" operator="greaterThan">
      <formula>10</formula>
    </cfRule>
  </conditionalFormatting>
  <conditionalFormatting sqref="AG380:AG382">
    <cfRule type="cellIs" dxfId="1379" priority="3255" operator="greaterThan">
      <formula>88</formula>
    </cfRule>
  </conditionalFormatting>
  <conditionalFormatting sqref="AF380:AF382">
    <cfRule type="cellIs" dxfId="1378" priority="3253" operator="greaterThan">
      <formula>140</formula>
    </cfRule>
  </conditionalFormatting>
  <conditionalFormatting sqref="AE403:AE431">
    <cfRule type="cellIs" dxfId="1377" priority="2938" operator="greaterThan">
      <formula>1</formula>
    </cfRule>
  </conditionalFormatting>
  <conditionalFormatting sqref="AN403:AN431">
    <cfRule type="cellIs" dxfId="1376" priority="2951" operator="notBetween">
      <formula>6</formula>
      <formula>9</formula>
    </cfRule>
  </conditionalFormatting>
  <conditionalFormatting sqref="AH403:AH431">
    <cfRule type="cellIs" dxfId="1375" priority="2943" operator="greaterThan">
      <formula>10</formula>
    </cfRule>
  </conditionalFormatting>
  <conditionalFormatting sqref="AG403:AG431">
    <cfRule type="cellIs" dxfId="1374" priority="2941" operator="greaterThan">
      <formula>88</formula>
    </cfRule>
  </conditionalFormatting>
  <conditionalFormatting sqref="AF403:AF431">
    <cfRule type="cellIs" dxfId="1373" priority="2939" operator="greaterThan">
      <formula>140</formula>
    </cfRule>
  </conditionalFormatting>
  <conditionalFormatting sqref="O777">
    <cfRule type="cellIs" dxfId="1372" priority="474" stopIfTrue="1" operator="greaterThan">
      <formula>5</formula>
    </cfRule>
  </conditionalFormatting>
  <conditionalFormatting sqref="Q777">
    <cfRule type="cellIs" dxfId="1371" priority="473" stopIfTrue="1" operator="notBetween">
      <formula>5</formula>
      <formula>9</formula>
    </cfRule>
  </conditionalFormatting>
  <conditionalFormatting sqref="R777">
    <cfRule type="cellIs" dxfId="1370" priority="472" stopIfTrue="1" operator="greaterThan">
      <formula>75</formula>
    </cfRule>
  </conditionalFormatting>
  <conditionalFormatting sqref="S777">
    <cfRule type="cellIs" dxfId="1369" priority="471" stopIfTrue="1" operator="greaterThan">
      <formula>90</formula>
    </cfRule>
  </conditionalFormatting>
  <conditionalFormatting sqref="T777">
    <cfRule type="cellIs" dxfId="1368" priority="470" stopIfTrue="1" operator="greaterThan">
      <formula>0.4</formula>
    </cfRule>
  </conditionalFormatting>
  <conditionalFormatting sqref="U777">
    <cfRule type="cellIs" dxfId="1367" priority="469" stopIfTrue="1" operator="greaterThan">
      <formula>2.3</formula>
    </cfRule>
  </conditionalFormatting>
  <conditionalFormatting sqref="V777">
    <cfRule type="cellIs" dxfId="1366" priority="468" stopIfTrue="1" operator="greaterThan">
      <formula>1.1</formula>
    </cfRule>
  </conditionalFormatting>
  <conditionalFormatting sqref="W777">
    <cfRule type="cellIs" dxfId="1365" priority="467" stopIfTrue="1" operator="greaterThan">
      <formula>0.059</formula>
    </cfRule>
  </conditionalFormatting>
  <conditionalFormatting sqref="X777">
    <cfRule type="cellIs" dxfId="1364" priority="466" stopIfTrue="1" operator="greaterThan">
      <formula>0.16</formula>
    </cfRule>
  </conditionalFormatting>
  <conditionalFormatting sqref="Y777">
    <cfRule type="cellIs" dxfId="1363" priority="465" stopIfTrue="1" operator="greaterThan">
      <formula>0.076</formula>
    </cfRule>
  </conditionalFormatting>
  <conditionalFormatting sqref="S803">
    <cfRule type="cellIs" dxfId="1362" priority="401" operator="greaterThan">
      <formula>90</formula>
    </cfRule>
  </conditionalFormatting>
  <conditionalFormatting sqref="O803">
    <cfRule type="cellIs" dxfId="1361" priority="410" stopIfTrue="1" operator="greaterThan">
      <formula>5</formula>
    </cfRule>
  </conditionalFormatting>
  <conditionalFormatting sqref="Q803">
    <cfRule type="cellIs" dxfId="1360" priority="409" stopIfTrue="1" operator="notBetween">
      <formula>5</formula>
      <formula>9</formula>
    </cfRule>
  </conditionalFormatting>
  <conditionalFormatting sqref="R803">
    <cfRule type="cellIs" dxfId="1359" priority="408" stopIfTrue="1" operator="greaterThan">
      <formula>75</formula>
    </cfRule>
  </conditionalFormatting>
  <conditionalFormatting sqref="T803">
    <cfRule type="cellIs" dxfId="1358" priority="407" stopIfTrue="1" operator="greaterThan">
      <formula>0.4</formula>
    </cfRule>
  </conditionalFormatting>
  <conditionalFormatting sqref="U803">
    <cfRule type="cellIs" dxfId="1357" priority="406" stopIfTrue="1" operator="greaterThan">
      <formula>2.3</formula>
    </cfRule>
  </conditionalFormatting>
  <conditionalFormatting sqref="V803">
    <cfRule type="cellIs" dxfId="1356" priority="405" stopIfTrue="1" operator="greaterThan">
      <formula>1.1</formula>
    </cfRule>
  </conditionalFormatting>
  <conditionalFormatting sqref="W803">
    <cfRule type="cellIs" dxfId="1355" priority="404" stopIfTrue="1" operator="greaterThan">
      <formula>0.059</formula>
    </cfRule>
  </conditionalFormatting>
  <conditionalFormatting sqref="X803">
    <cfRule type="cellIs" dxfId="1354" priority="403" stopIfTrue="1" operator="greaterThan">
      <formula>0.16</formula>
    </cfRule>
  </conditionalFormatting>
  <conditionalFormatting sqref="Y803">
    <cfRule type="cellIs" dxfId="1353" priority="402" stopIfTrue="1" operator="greaterThan">
      <formula>0.076</formula>
    </cfRule>
  </conditionalFormatting>
  <conditionalFormatting sqref="O745:O747">
    <cfRule type="cellIs" dxfId="1352" priority="400" stopIfTrue="1" operator="greaterThan">
      <formula>5</formula>
    </cfRule>
  </conditionalFormatting>
  <conditionalFormatting sqref="AA745:AA747 Q745:Q747">
    <cfRule type="cellIs" dxfId="1351" priority="399" stopIfTrue="1" operator="notBetween">
      <formula>5</formula>
      <formula>9</formula>
    </cfRule>
  </conditionalFormatting>
  <conditionalFormatting sqref="R745:R747">
    <cfRule type="cellIs" dxfId="1350" priority="398" stopIfTrue="1" operator="greaterThan">
      <formula>75</formula>
    </cfRule>
  </conditionalFormatting>
  <conditionalFormatting sqref="S745:S747">
    <cfRule type="cellIs" dxfId="1349" priority="397" stopIfTrue="1" operator="greaterThan">
      <formula>90</formula>
    </cfRule>
  </conditionalFormatting>
  <conditionalFormatting sqref="AB745:AB747 T745:T747">
    <cfRule type="cellIs" dxfId="1348" priority="396" stopIfTrue="1" operator="greaterThan">
      <formula>0.4</formula>
    </cfRule>
  </conditionalFormatting>
  <conditionalFormatting sqref="AC745:AC747 U745:U747">
    <cfRule type="cellIs" dxfId="1347" priority="395" stopIfTrue="1" operator="greaterThan">
      <formula>2.3</formula>
    </cfRule>
  </conditionalFormatting>
  <conditionalFormatting sqref="V745:V747">
    <cfRule type="cellIs" dxfId="1346" priority="394" stopIfTrue="1" operator="greaterThan">
      <formula>1.1</formula>
    </cfRule>
  </conditionalFormatting>
  <conditionalFormatting sqref="W745:W747">
    <cfRule type="cellIs" dxfId="1345" priority="393" stopIfTrue="1" operator="greaterThan">
      <formula>0.059</formula>
    </cfRule>
  </conditionalFormatting>
  <conditionalFormatting sqref="AD745:AD747 X745:X747">
    <cfRule type="cellIs" dxfId="1344" priority="392" stopIfTrue="1" operator="greaterThan">
      <formula>0.16</formula>
    </cfRule>
  </conditionalFormatting>
  <conditionalFormatting sqref="AE745:AE747 Y745:Y747">
    <cfRule type="cellIs" dxfId="1343" priority="391" stopIfTrue="1" operator="greaterThan">
      <formula>0.076</formula>
    </cfRule>
  </conditionalFormatting>
  <conditionalFormatting sqref="O778:O782">
    <cfRule type="cellIs" dxfId="1342" priority="330" stopIfTrue="1" operator="greaterThan">
      <formula>5</formula>
    </cfRule>
  </conditionalFormatting>
  <conditionalFormatting sqref="Q778:Q782">
    <cfRule type="cellIs" dxfId="1341" priority="329" stopIfTrue="1" operator="notBetween">
      <formula>5</formula>
      <formula>9</formula>
    </cfRule>
  </conditionalFormatting>
  <conditionalFormatting sqref="R778:R782">
    <cfRule type="cellIs" dxfId="1340" priority="328" stopIfTrue="1" operator="greaterThan">
      <formula>75</formula>
    </cfRule>
  </conditionalFormatting>
  <conditionalFormatting sqref="S778:S782">
    <cfRule type="cellIs" dxfId="1339" priority="327" stopIfTrue="1" operator="greaterThan">
      <formula>90</formula>
    </cfRule>
  </conditionalFormatting>
  <conditionalFormatting sqref="T778:T782">
    <cfRule type="cellIs" dxfId="1338" priority="326" stopIfTrue="1" operator="greaterThan">
      <formula>0.4</formula>
    </cfRule>
  </conditionalFormatting>
  <conditionalFormatting sqref="U778:U782">
    <cfRule type="cellIs" dxfId="1337" priority="325" stopIfTrue="1" operator="greaterThan">
      <formula>2.3</formula>
    </cfRule>
  </conditionalFormatting>
  <conditionalFormatting sqref="V778:V782">
    <cfRule type="cellIs" dxfId="1336" priority="324" stopIfTrue="1" operator="greaterThan">
      <formula>1.1</formula>
    </cfRule>
  </conditionalFormatting>
  <conditionalFormatting sqref="W778:W782">
    <cfRule type="cellIs" dxfId="1335" priority="323" stopIfTrue="1" operator="greaterThan">
      <formula>0.059</formula>
    </cfRule>
  </conditionalFormatting>
  <conditionalFormatting sqref="X778:X782">
    <cfRule type="cellIs" dxfId="1334" priority="322" stopIfTrue="1" operator="greaterThan">
      <formula>0.16</formula>
    </cfRule>
  </conditionalFormatting>
  <conditionalFormatting sqref="Y778:Y782">
    <cfRule type="cellIs" dxfId="1333" priority="321" stopIfTrue="1" operator="greaterThan">
      <formula>0.076</formula>
    </cfRule>
  </conditionalFormatting>
  <conditionalFormatting sqref="O813">
    <cfRule type="cellIs" dxfId="1332" priority="152" stopIfTrue="1" operator="greaterThan">
      <formula>5</formula>
    </cfRule>
  </conditionalFormatting>
  <conditionalFormatting sqref="Q813">
    <cfRule type="cellIs" dxfId="1331" priority="151" stopIfTrue="1" operator="notBetween">
      <formula>5</formula>
      <formula>9</formula>
    </cfRule>
  </conditionalFormatting>
  <conditionalFormatting sqref="R813">
    <cfRule type="cellIs" dxfId="1330" priority="150" stopIfTrue="1" operator="greaterThan">
      <formula>75</formula>
    </cfRule>
  </conditionalFormatting>
  <conditionalFormatting sqref="T813">
    <cfRule type="cellIs" dxfId="1329" priority="149" stopIfTrue="1" operator="greaterThan">
      <formula>0.4</formula>
    </cfRule>
  </conditionalFormatting>
  <conditionalFormatting sqref="U813">
    <cfRule type="cellIs" dxfId="1328" priority="148" stopIfTrue="1" operator="greaterThan">
      <formula>2.3</formula>
    </cfRule>
  </conditionalFormatting>
  <conditionalFormatting sqref="V813">
    <cfRule type="cellIs" dxfId="1327" priority="147" stopIfTrue="1" operator="greaterThan">
      <formula>1.1</formula>
    </cfRule>
  </conditionalFormatting>
  <conditionalFormatting sqref="W813">
    <cfRule type="cellIs" dxfId="1326" priority="146" stopIfTrue="1" operator="greaterThan">
      <formula>0.059</formula>
    </cfRule>
  </conditionalFormatting>
  <conditionalFormatting sqref="X813">
    <cfRule type="cellIs" dxfId="1325" priority="145" stopIfTrue="1" operator="greaterThan">
      <formula>0.16</formula>
    </cfRule>
  </conditionalFormatting>
  <conditionalFormatting sqref="Y813">
    <cfRule type="cellIs" dxfId="1324" priority="144" stopIfTrue="1" operator="greaterThan">
      <formula>0.076</formula>
    </cfRule>
  </conditionalFormatting>
  <conditionalFormatting sqref="S813">
    <cfRule type="cellIs" dxfId="1323" priority="143" operator="greaterThan">
      <formula>90</formula>
    </cfRule>
  </conditionalFormatting>
  <conditionalFormatting sqref="O814:O817">
    <cfRule type="cellIs" dxfId="1322" priority="142" stopIfTrue="1" operator="greaterThan">
      <formula>5</formula>
    </cfRule>
  </conditionalFormatting>
  <conditionalFormatting sqref="Q814:Q817">
    <cfRule type="cellIs" dxfId="1321" priority="141" stopIfTrue="1" operator="notBetween">
      <formula>5</formula>
      <formula>9</formula>
    </cfRule>
  </conditionalFormatting>
  <conditionalFormatting sqref="R814:R817">
    <cfRule type="cellIs" dxfId="1320" priority="140" stopIfTrue="1" operator="greaterThan">
      <formula>75</formula>
    </cfRule>
  </conditionalFormatting>
  <conditionalFormatting sqref="S814:S817">
    <cfRule type="cellIs" dxfId="1319" priority="139" stopIfTrue="1" operator="greaterThan">
      <formula>90</formula>
    </cfRule>
  </conditionalFormatting>
  <conditionalFormatting sqref="T814:T817">
    <cfRule type="cellIs" dxfId="1318" priority="138" stopIfTrue="1" operator="greaterThan">
      <formula>0.4</formula>
    </cfRule>
  </conditionalFormatting>
  <conditionalFormatting sqref="U814:U817">
    <cfRule type="cellIs" dxfId="1317" priority="137" stopIfTrue="1" operator="greaterThan">
      <formula>2.3</formula>
    </cfRule>
  </conditionalFormatting>
  <conditionalFormatting sqref="V814:V817">
    <cfRule type="cellIs" dxfId="1316" priority="136" stopIfTrue="1" operator="greaterThan">
      <formula>1.1</formula>
    </cfRule>
  </conditionalFormatting>
  <conditionalFormatting sqref="W814:W817">
    <cfRule type="cellIs" dxfId="1315" priority="135" stopIfTrue="1" operator="greaterThan">
      <formula>0.059</formula>
    </cfRule>
  </conditionalFormatting>
  <conditionalFormatting sqref="X814:X817">
    <cfRule type="cellIs" dxfId="1314" priority="134" stopIfTrue="1" operator="greaterThan">
      <formula>0.16</formula>
    </cfRule>
  </conditionalFormatting>
  <conditionalFormatting sqref="Y814:Y817">
    <cfRule type="cellIs" dxfId="1313" priority="133" stopIfTrue="1" operator="greaterThan">
      <formula>0.076</formula>
    </cfRule>
  </conditionalFormatting>
  <conditionalFormatting sqref="O805:O812">
    <cfRule type="cellIs" dxfId="1312" priority="92" stopIfTrue="1" operator="greaterThan">
      <formula>5</formula>
    </cfRule>
  </conditionalFormatting>
  <conditionalFormatting sqref="Q805:Q812">
    <cfRule type="cellIs" dxfId="1311" priority="91" stopIfTrue="1" operator="notBetween">
      <formula>5</formula>
      <formula>9</formula>
    </cfRule>
  </conditionalFormatting>
  <conditionalFormatting sqref="R805:R812">
    <cfRule type="cellIs" dxfId="1310" priority="90" stopIfTrue="1" operator="greaterThan">
      <formula>75</formula>
    </cfRule>
  </conditionalFormatting>
  <conditionalFormatting sqref="S805:S812">
    <cfRule type="cellIs" dxfId="1309" priority="89" stopIfTrue="1" operator="greaterThan">
      <formula>90</formula>
    </cfRule>
  </conditionalFormatting>
  <conditionalFormatting sqref="T805:T812">
    <cfRule type="cellIs" dxfId="1308" priority="88" stopIfTrue="1" operator="greaterThan">
      <formula>0.4</formula>
    </cfRule>
  </conditionalFormatting>
  <conditionalFormatting sqref="U805:U812">
    <cfRule type="cellIs" dxfId="1307" priority="87" stopIfTrue="1" operator="greaterThan">
      <formula>2.3</formula>
    </cfRule>
  </conditionalFormatting>
  <conditionalFormatting sqref="V805:V812">
    <cfRule type="cellIs" dxfId="1306" priority="86" stopIfTrue="1" operator="greaterThan">
      <formula>1.1</formula>
    </cfRule>
  </conditionalFormatting>
  <conditionalFormatting sqref="W805:W812">
    <cfRule type="cellIs" dxfId="1305" priority="85" stopIfTrue="1" operator="greaterThan">
      <formula>0.059</formula>
    </cfRule>
  </conditionalFormatting>
  <conditionalFormatting sqref="X805:X812">
    <cfRule type="cellIs" dxfId="1304" priority="84" stopIfTrue="1" operator="greaterThan">
      <formula>0.16</formula>
    </cfRule>
  </conditionalFormatting>
  <conditionalFormatting sqref="Y805:Y812">
    <cfRule type="cellIs" dxfId="1303" priority="83" stopIfTrue="1" operator="greaterThan">
      <formula>0.076</formula>
    </cfRule>
  </conditionalFormatting>
  <conditionalFormatting sqref="O818:O819">
    <cfRule type="cellIs" dxfId="1302" priority="82" stopIfTrue="1" operator="greaterThan">
      <formula>5</formula>
    </cfRule>
  </conditionalFormatting>
  <conditionalFormatting sqref="Q818:Q819">
    <cfRule type="cellIs" dxfId="1301" priority="81" stopIfTrue="1" operator="notBetween">
      <formula>5</formula>
      <formula>9</formula>
    </cfRule>
  </conditionalFormatting>
  <conditionalFormatting sqref="R818:R819">
    <cfRule type="cellIs" dxfId="1300" priority="80" stopIfTrue="1" operator="greaterThan">
      <formula>75</formula>
    </cfRule>
  </conditionalFormatting>
  <conditionalFormatting sqref="S818:S819">
    <cfRule type="cellIs" dxfId="1299" priority="79" stopIfTrue="1" operator="greaterThan">
      <formula>90</formula>
    </cfRule>
  </conditionalFormatting>
  <conditionalFormatting sqref="T818:T819">
    <cfRule type="cellIs" dxfId="1298" priority="78" stopIfTrue="1" operator="greaterThan">
      <formula>0.4</formula>
    </cfRule>
  </conditionalFormatting>
  <conditionalFormatting sqref="U818:U819">
    <cfRule type="cellIs" dxfId="1297" priority="77" stopIfTrue="1" operator="greaterThan">
      <formula>2.3</formula>
    </cfRule>
  </conditionalFormatting>
  <conditionalFormatting sqref="V818:V819">
    <cfRule type="cellIs" dxfId="1296" priority="76" stopIfTrue="1" operator="greaterThan">
      <formula>1.1</formula>
    </cfRule>
  </conditionalFormatting>
  <conditionalFormatting sqref="W818:W819">
    <cfRule type="cellIs" dxfId="1295" priority="75" stopIfTrue="1" operator="greaterThan">
      <formula>0.059</formula>
    </cfRule>
  </conditionalFormatting>
  <conditionalFormatting sqref="X818:X819">
    <cfRule type="cellIs" dxfId="1294" priority="74" stopIfTrue="1" operator="greaterThan">
      <formula>0.16</formula>
    </cfRule>
  </conditionalFormatting>
  <conditionalFormatting sqref="Y818:Y819">
    <cfRule type="cellIs" dxfId="1293" priority="73" stopIfTrue="1" operator="greaterThan">
      <formula>0.076</formula>
    </cfRule>
  </conditionalFormatting>
  <conditionalFormatting sqref="O479">
    <cfRule type="cellIs" dxfId="1292" priority="72" stopIfTrue="1" operator="greaterThan">
      <formula>5</formula>
    </cfRule>
  </conditionalFormatting>
  <conditionalFormatting sqref="Q479">
    <cfRule type="cellIs" dxfId="1291" priority="71" stopIfTrue="1" operator="notBetween">
      <formula>5</formula>
      <formula>9</formula>
    </cfRule>
  </conditionalFormatting>
  <conditionalFormatting sqref="R479">
    <cfRule type="cellIs" dxfId="1290" priority="70" stopIfTrue="1" operator="greaterThan">
      <formula>75</formula>
    </cfRule>
  </conditionalFormatting>
  <conditionalFormatting sqref="S479">
    <cfRule type="cellIs" dxfId="1289" priority="69" stopIfTrue="1" operator="greaterThan">
      <formula>90</formula>
    </cfRule>
  </conditionalFormatting>
  <conditionalFormatting sqref="T479">
    <cfRule type="cellIs" dxfId="1288" priority="68" stopIfTrue="1" operator="greaterThan">
      <formula>0.4</formula>
    </cfRule>
  </conditionalFormatting>
  <conditionalFormatting sqref="U479">
    <cfRule type="cellIs" dxfId="1287" priority="67" stopIfTrue="1" operator="greaterThan">
      <formula>2.3</formula>
    </cfRule>
  </conditionalFormatting>
  <conditionalFormatting sqref="V479">
    <cfRule type="cellIs" dxfId="1286" priority="66" stopIfTrue="1" operator="greaterThan">
      <formula>1.1</formula>
    </cfRule>
  </conditionalFormatting>
  <conditionalFormatting sqref="W479">
    <cfRule type="cellIs" dxfId="1285" priority="65" stopIfTrue="1" operator="greaterThan">
      <formula>0.059</formula>
    </cfRule>
  </conditionalFormatting>
  <conditionalFormatting sqref="X479">
    <cfRule type="cellIs" dxfId="1284" priority="64" stopIfTrue="1" operator="greaterThan">
      <formula>0.16</formula>
    </cfRule>
  </conditionalFormatting>
  <conditionalFormatting sqref="Y479">
    <cfRule type="cellIs" dxfId="1283" priority="63" stopIfTrue="1" operator="greaterThan">
      <formula>0.076</formula>
    </cfRule>
  </conditionalFormatting>
  <conditionalFormatting sqref="O820:O823">
    <cfRule type="cellIs" dxfId="1282" priority="52" stopIfTrue="1" operator="greaterThan">
      <formula>5</formula>
    </cfRule>
  </conditionalFormatting>
  <conditionalFormatting sqref="Q820:Q823">
    <cfRule type="cellIs" dxfId="1281" priority="51" stopIfTrue="1" operator="notBetween">
      <formula>5</formula>
      <formula>9</formula>
    </cfRule>
  </conditionalFormatting>
  <conditionalFormatting sqref="R820:R823">
    <cfRule type="cellIs" dxfId="1280" priority="50" stopIfTrue="1" operator="greaterThan">
      <formula>75</formula>
    </cfRule>
  </conditionalFormatting>
  <conditionalFormatting sqref="S820:S823">
    <cfRule type="cellIs" dxfId="1279" priority="49" stopIfTrue="1" operator="greaterThan">
      <formula>90</formula>
    </cfRule>
  </conditionalFormatting>
  <conditionalFormatting sqref="T820:T823">
    <cfRule type="cellIs" dxfId="1278" priority="48" stopIfTrue="1" operator="greaterThan">
      <formula>0.4</formula>
    </cfRule>
  </conditionalFormatting>
  <conditionalFormatting sqref="U820:U823">
    <cfRule type="cellIs" dxfId="1277" priority="47" stopIfTrue="1" operator="greaterThan">
      <formula>2.3</formula>
    </cfRule>
  </conditionalFormatting>
  <conditionalFormatting sqref="V820:V823">
    <cfRule type="cellIs" dxfId="1276" priority="46" stopIfTrue="1" operator="greaterThan">
      <formula>1.1</formula>
    </cfRule>
  </conditionalFormatting>
  <conditionalFormatting sqref="W820:W823">
    <cfRule type="cellIs" dxfId="1275" priority="45" stopIfTrue="1" operator="greaterThan">
      <formula>0.059</formula>
    </cfRule>
  </conditionalFormatting>
  <conditionalFormatting sqref="X820:X823">
    <cfRule type="cellIs" dxfId="1274" priority="44" stopIfTrue="1" operator="greaterThan">
      <formula>0.16</formula>
    </cfRule>
  </conditionalFormatting>
  <conditionalFormatting sqref="Y820:Y823">
    <cfRule type="cellIs" dxfId="1273" priority="43" stopIfTrue="1" operator="greaterThan">
      <formula>0.076</formula>
    </cfRule>
  </conditionalFormatting>
  <conditionalFormatting sqref="P824">
    <cfRule type="cellIs" dxfId="1272" priority="2" stopIfTrue="1" operator="notBetween">
      <formula>5</formula>
      <formula>9</formula>
    </cfRule>
  </conditionalFormatting>
  <conditionalFormatting sqref="P824">
    <cfRule type="cellIs" dxfId="1271" priority="1" stopIfTrue="1" operator="notBetween">
      <formula>5</formula>
      <formula>9</formula>
    </cfRule>
  </conditionalFormatting>
  <conditionalFormatting sqref="AN814:AN817">
    <cfRule type="cellIs" dxfId="1270" priority="4684" operator="notBetween">
      <formula>6</formula>
      <formula>9</formula>
    </cfRule>
    <cfRule type="expression" dxfId="1269" priority="4685">
      <formula>C814:C1699="N"</formula>
    </cfRule>
  </conditionalFormatting>
  <conditionalFormatting sqref="AM814:AM817">
    <cfRule type="cellIs" dxfId="1268" priority="4686" operator="greaterThan">
      <formula>0.2</formula>
    </cfRule>
    <cfRule type="expression" dxfId="1267" priority="4687">
      <formula>C814:C1699="N"</formula>
    </cfRule>
  </conditionalFormatting>
  <conditionalFormatting sqref="AL814:AL817">
    <cfRule type="cellIs" dxfId="1266" priority="4688" operator="greaterThan">
      <formula>0.026</formula>
    </cfRule>
    <cfRule type="expression" dxfId="1265" priority="4689">
      <formula>C814:C1699="N"</formula>
    </cfRule>
  </conditionalFormatting>
  <conditionalFormatting sqref="AK814:AK817">
    <cfRule type="cellIs" dxfId="1264" priority="4690" operator="greaterThan">
      <formula>0.025</formula>
    </cfRule>
    <cfRule type="expression" dxfId="1263" priority="4691">
      <formula>C814:C1699="N"</formula>
    </cfRule>
  </conditionalFormatting>
  <conditionalFormatting sqref="AJ814:AJ817">
    <cfRule type="cellIs" dxfId="1262" priority="4692" operator="greaterThan">
      <formula>0.12</formula>
    </cfRule>
    <cfRule type="expression" dxfId="1261" priority="4693">
      <formula>C814:C1699="N"</formula>
    </cfRule>
  </conditionalFormatting>
  <conditionalFormatting sqref="AH814:AH817">
    <cfRule type="cellIs" dxfId="1260" priority="4694" operator="greaterThan">
      <formula>10</formula>
    </cfRule>
    <cfRule type="expression" dxfId="1259" priority="4695">
      <formula>C814:C1699="N"</formula>
    </cfRule>
  </conditionalFormatting>
  <conditionalFormatting sqref="AG814:AG817">
    <cfRule type="cellIs" dxfId="1258" priority="4696" operator="greaterThan">
      <formula>88</formula>
    </cfRule>
    <cfRule type="expression" dxfId="1257" priority="4697">
      <formula>C814:C1699="N"</formula>
    </cfRule>
  </conditionalFormatting>
  <conditionalFormatting sqref="AF814:AF817">
    <cfRule type="cellIs" dxfId="1256" priority="4698" operator="greaterThan">
      <formula>140</formula>
    </cfRule>
    <cfRule type="expression" dxfId="1255" priority="4699">
      <formula>C814:C1699="N"</formula>
    </cfRule>
  </conditionalFormatting>
  <conditionalFormatting sqref="AI814:AI817">
    <cfRule type="cellIs" dxfId="1254" priority="4700" operator="greaterThan">
      <formula>0.033</formula>
    </cfRule>
    <cfRule type="expression" dxfId="1253" priority="4701">
      <formula>C814:C1699="N"</formula>
    </cfRule>
  </conditionalFormatting>
  <conditionalFormatting sqref="AM814:AM817">
    <cfRule type="cellIs" dxfId="1252" priority="4702" operator="greaterThan">
      <formula>0.2</formula>
    </cfRule>
    <cfRule type="expression" dxfId="1251" priority="4703">
      <formula>C814:C1925="N"</formula>
    </cfRule>
  </conditionalFormatting>
  <conditionalFormatting sqref="AL814:AL817">
    <cfRule type="cellIs" dxfId="1250" priority="4704" operator="greaterThan">
      <formula>0.026</formula>
    </cfRule>
    <cfRule type="expression" dxfId="1249" priority="4705">
      <formula>C814:C1925="N"</formula>
    </cfRule>
  </conditionalFormatting>
  <conditionalFormatting sqref="AK814:AK817">
    <cfRule type="cellIs" dxfId="1248" priority="4706" operator="greaterThan">
      <formula>0.025</formula>
    </cfRule>
    <cfRule type="expression" dxfId="1247" priority="4707">
      <formula>C814:C1925="N"</formula>
    </cfRule>
  </conditionalFormatting>
  <conditionalFormatting sqref="AJ814:AJ817">
    <cfRule type="cellIs" dxfId="1246" priority="4708" operator="greaterThan">
      <formula>0.12</formula>
    </cfRule>
    <cfRule type="expression" dxfId="1245" priority="4709">
      <formula>C814:C1925="N"</formula>
    </cfRule>
  </conditionalFormatting>
  <conditionalFormatting sqref="AH814:AH817">
    <cfRule type="cellIs" dxfId="1244" priority="4710" operator="greaterThan">
      <formula>10</formula>
    </cfRule>
    <cfRule type="expression" dxfId="1243" priority="4711">
      <formula>C814:C1925="N"</formula>
    </cfRule>
  </conditionalFormatting>
  <conditionalFormatting sqref="AG814:AG817">
    <cfRule type="cellIs" dxfId="1242" priority="4712" operator="greaterThan">
      <formula>88</formula>
    </cfRule>
    <cfRule type="expression" dxfId="1241" priority="4713">
      <formula>C814:C1925="N"</formula>
    </cfRule>
  </conditionalFormatting>
  <conditionalFormatting sqref="AF814:AF817">
    <cfRule type="cellIs" dxfId="1240" priority="4714" operator="greaterThan">
      <formula>140</formula>
    </cfRule>
    <cfRule type="expression" dxfId="1239" priority="4715">
      <formula>C814:C1925="N"</formula>
    </cfRule>
  </conditionalFormatting>
  <conditionalFormatting sqref="AE814:AE817">
    <cfRule type="expression" dxfId="1238" priority="4716">
      <formula>C814:C1925="N"</formula>
    </cfRule>
    <cfRule type="cellIs" dxfId="1237" priority="4717" operator="greaterThan">
      <formula>1</formula>
    </cfRule>
  </conditionalFormatting>
  <conditionalFormatting sqref="AI814:AI817">
    <cfRule type="cellIs" dxfId="1236" priority="4718" operator="greaterThan">
      <formula>0.033</formula>
    </cfRule>
    <cfRule type="expression" dxfId="1235" priority="4719">
      <formula>C814:C1925="N"</formula>
    </cfRule>
  </conditionalFormatting>
  <conditionalFormatting sqref="AN814:AN817">
    <cfRule type="cellIs" dxfId="1234" priority="4720" operator="notBetween">
      <formula>6</formula>
      <formula>9</formula>
    </cfRule>
    <cfRule type="expression" dxfId="1233" priority="4721">
      <formula>C814:C1925="N"</formula>
    </cfRule>
  </conditionalFormatting>
  <conditionalFormatting sqref="AE814:AE817">
    <cfRule type="expression" dxfId="1232" priority="4722">
      <formula>C814:C1699="N"</formula>
    </cfRule>
    <cfRule type="cellIs" dxfId="1231" priority="4723" operator="greaterThan">
      <formula>1</formula>
    </cfRule>
  </conditionalFormatting>
  <pageMargins left="0.7" right="0.7" top="0.75" bottom="0.75" header="0.3" footer="0.3"/>
  <pageSetup orientation="portrait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theme="0" tint="-4.9989318521683403E-2"/>
  </sheetPr>
  <dimension ref="A1:AU273"/>
  <sheetViews>
    <sheetView showGridLines="0" zoomScale="110" zoomScaleNormal="110" zoomScalePageLayoutView="110" workbookViewId="0">
      <pane ySplit="1" topLeftCell="A254" activePane="bottomLeft" state="frozen"/>
      <selection activeCell="C171" sqref="C171"/>
      <selection pane="bottomLeft" activeCell="A267" sqref="A267"/>
    </sheetView>
  </sheetViews>
  <sheetFormatPr baseColWidth="10" defaultColWidth="8.83203125" defaultRowHeight="15" customHeight="1" x14ac:dyDescent="0"/>
  <cols>
    <col min="1" max="1" width="17" style="74" bestFit="1" customWidth="1"/>
    <col min="2" max="2" width="19.6640625" style="50" customWidth="1"/>
    <col min="3" max="3" width="11.83203125" style="50" customWidth="1"/>
    <col min="4" max="4" width="10.6640625" style="48" customWidth="1"/>
    <col min="5" max="5" width="14.6640625" style="50" customWidth="1"/>
    <col min="6" max="6" width="11.5" style="50" customWidth="1"/>
    <col min="7" max="7" width="8.83203125" style="76"/>
    <col min="8" max="8" width="8.83203125" style="50"/>
    <col min="9" max="9" width="8.83203125" style="49"/>
    <col min="10" max="10" width="16.1640625" style="50" customWidth="1"/>
    <col min="11" max="11" width="10" style="50" customWidth="1"/>
    <col min="12" max="12" width="9" style="49" customWidth="1"/>
    <col min="13" max="13" width="10.5" style="50" customWidth="1"/>
    <col min="14" max="14" width="8.83203125" style="50"/>
    <col min="15" max="15" width="8.83203125" style="74"/>
    <col min="16" max="16" width="8.83203125" style="50"/>
    <col min="17" max="17" width="8.83203125" style="74"/>
    <col min="18" max="18" width="8.83203125" style="50"/>
    <col min="19" max="19" width="8.83203125" style="74"/>
    <col min="20" max="20" width="8.83203125" style="50"/>
    <col min="21" max="21" width="8.83203125" style="74"/>
    <col min="22" max="22" width="8.83203125" style="50"/>
    <col min="23" max="23" width="8.83203125" style="74"/>
    <col min="24" max="25" width="8.83203125" style="50"/>
    <col min="26" max="26" width="8.83203125" style="164"/>
    <col min="27" max="27" width="8.83203125" style="165"/>
    <col min="28" max="28" width="10" style="50" customWidth="1"/>
    <col min="29" max="29" width="12.1640625" style="74" customWidth="1"/>
    <col min="30" max="30" width="14.33203125" style="164" customWidth="1"/>
    <col min="31" max="33" width="8.83203125" style="50"/>
    <col min="34" max="34" width="11.33203125" style="50" customWidth="1"/>
    <col min="35" max="35" width="9.1640625" style="50" customWidth="1"/>
    <col min="36" max="47" width="8.83203125" style="74"/>
  </cols>
  <sheetData>
    <row r="1" spans="1:47" ht="49" thickBot="1">
      <c r="A1" s="282" t="s">
        <v>32</v>
      </c>
      <c r="B1" s="37" t="s">
        <v>3</v>
      </c>
      <c r="C1" s="37" t="s">
        <v>4</v>
      </c>
      <c r="D1" s="39" t="s">
        <v>5</v>
      </c>
      <c r="E1" s="37" t="s">
        <v>6</v>
      </c>
      <c r="F1" s="37" t="s">
        <v>7</v>
      </c>
      <c r="G1" s="39" t="s">
        <v>0</v>
      </c>
      <c r="H1" s="37" t="s">
        <v>20</v>
      </c>
      <c r="I1" s="37" t="s">
        <v>8</v>
      </c>
      <c r="J1" s="37" t="s">
        <v>9</v>
      </c>
      <c r="K1" s="37" t="s">
        <v>10</v>
      </c>
      <c r="L1" s="37" t="s">
        <v>11</v>
      </c>
      <c r="M1" s="37" t="s">
        <v>12</v>
      </c>
      <c r="N1" s="37" t="s">
        <v>13</v>
      </c>
      <c r="O1" s="37" t="s">
        <v>4098</v>
      </c>
      <c r="P1" s="37" t="s">
        <v>14</v>
      </c>
      <c r="Q1" s="37" t="s">
        <v>4099</v>
      </c>
      <c r="R1" s="37" t="s">
        <v>4093</v>
      </c>
      <c r="S1" s="37" t="s">
        <v>4094</v>
      </c>
      <c r="T1" s="37" t="s">
        <v>4095</v>
      </c>
      <c r="U1" s="37" t="s">
        <v>4096</v>
      </c>
      <c r="V1" s="37" t="s">
        <v>4097</v>
      </c>
      <c r="W1" s="37" t="s">
        <v>4106</v>
      </c>
      <c r="X1" s="37" t="s">
        <v>4101</v>
      </c>
      <c r="Y1" s="37" t="s">
        <v>4102</v>
      </c>
      <c r="Z1" s="95" t="s">
        <v>15</v>
      </c>
      <c r="AA1" s="95" t="s">
        <v>16</v>
      </c>
      <c r="AB1" s="37" t="s">
        <v>17</v>
      </c>
      <c r="AC1" s="37" t="s">
        <v>18</v>
      </c>
      <c r="AD1" s="95" t="s">
        <v>19</v>
      </c>
      <c r="AE1" s="37" t="s">
        <v>4107</v>
      </c>
      <c r="AF1" s="37" t="s">
        <v>4110</v>
      </c>
      <c r="AG1" s="37" t="s">
        <v>4111</v>
      </c>
      <c r="AH1" s="37" t="s">
        <v>1214</v>
      </c>
      <c r="AI1" s="37" t="s">
        <v>963</v>
      </c>
    </row>
    <row r="2" spans="1:47" ht="14">
      <c r="A2" s="245" t="s">
        <v>279</v>
      </c>
      <c r="B2" s="54" t="s">
        <v>275</v>
      </c>
      <c r="C2" s="54" t="s">
        <v>275</v>
      </c>
      <c r="D2" s="56" t="s">
        <v>276</v>
      </c>
      <c r="E2" s="54" t="s">
        <v>277</v>
      </c>
      <c r="F2" s="54"/>
      <c r="G2" s="61" t="s">
        <v>278</v>
      </c>
      <c r="H2" s="54">
        <v>5015</v>
      </c>
      <c r="I2" s="55" t="s">
        <v>2</v>
      </c>
      <c r="J2" s="54" t="s">
        <v>272</v>
      </c>
      <c r="K2" s="57">
        <v>40857</v>
      </c>
      <c r="L2" s="132">
        <v>40845</v>
      </c>
      <c r="M2" s="54">
        <v>12</v>
      </c>
      <c r="N2" s="54" t="s">
        <v>2</v>
      </c>
      <c r="O2" s="135">
        <f>1/2</f>
        <v>0.5</v>
      </c>
      <c r="P2" s="134">
        <v>5.23</v>
      </c>
      <c r="Q2" s="135">
        <v>4.8</v>
      </c>
      <c r="R2" s="54">
        <f>2/2</f>
        <v>1</v>
      </c>
      <c r="S2" s="155">
        <f>1/2</f>
        <v>0.5</v>
      </c>
      <c r="T2" s="54">
        <f>0.05/2</f>
        <v>2.5000000000000001E-2</v>
      </c>
      <c r="U2" s="155">
        <v>0.38</v>
      </c>
      <c r="V2" s="54">
        <f>0.2/2</f>
        <v>0.1</v>
      </c>
      <c r="W2" s="155">
        <f>0.01/2</f>
        <v>5.0000000000000001E-3</v>
      </c>
      <c r="X2" s="54">
        <v>0.05</v>
      </c>
      <c r="Y2" s="155">
        <f>0.02/2</f>
        <v>0.01</v>
      </c>
      <c r="Z2" s="157">
        <v>0.73699999999999999</v>
      </c>
      <c r="AA2" s="158">
        <v>0.375</v>
      </c>
      <c r="AB2" s="54">
        <v>10.3</v>
      </c>
      <c r="AC2" s="155">
        <v>74.099999999999994</v>
      </c>
      <c r="AD2" s="157">
        <v>0</v>
      </c>
      <c r="AE2" s="198">
        <v>0.02</v>
      </c>
      <c r="AF2" s="276">
        <f>0.0002/2</f>
        <v>1E-4</v>
      </c>
      <c r="AG2" s="198">
        <v>0.28999999999999998</v>
      </c>
      <c r="AH2" s="189">
        <f>20/2</f>
        <v>10</v>
      </c>
    </row>
    <row r="3" spans="1:47" ht="14">
      <c r="A3" s="245" t="s">
        <v>279</v>
      </c>
      <c r="B3" s="50" t="s">
        <v>486</v>
      </c>
      <c r="C3" s="50" t="s">
        <v>486</v>
      </c>
      <c r="D3" s="48" t="s">
        <v>372</v>
      </c>
      <c r="E3" s="50" t="s">
        <v>487</v>
      </c>
      <c r="G3" s="76" t="s">
        <v>488</v>
      </c>
      <c r="H3" s="50">
        <v>5015</v>
      </c>
      <c r="I3" s="52" t="s">
        <v>1</v>
      </c>
      <c r="J3" s="50" t="s">
        <v>271</v>
      </c>
      <c r="K3" s="51">
        <v>40884</v>
      </c>
      <c r="L3" s="115">
        <v>40876</v>
      </c>
      <c r="M3" s="50">
        <v>8</v>
      </c>
      <c r="N3" s="50" t="s">
        <v>2</v>
      </c>
      <c r="O3" s="131">
        <v>8</v>
      </c>
      <c r="P3" s="50">
        <v>4.76</v>
      </c>
      <c r="Q3" s="74">
        <v>6.7</v>
      </c>
      <c r="R3" s="224">
        <v>49.7</v>
      </c>
      <c r="S3" s="225">
        <v>632</v>
      </c>
      <c r="T3" s="226">
        <v>0.76</v>
      </c>
      <c r="U3" s="227">
        <v>2.35</v>
      </c>
      <c r="V3" s="226">
        <f>0.2/2</f>
        <v>0.1</v>
      </c>
      <c r="W3" s="227">
        <v>0.47</v>
      </c>
      <c r="X3" s="226">
        <v>1.51</v>
      </c>
      <c r="Y3" s="226">
        <v>0.6</v>
      </c>
      <c r="Z3" s="164">
        <v>1</v>
      </c>
      <c r="AA3" s="164">
        <v>1</v>
      </c>
      <c r="AB3" s="50">
        <v>125</v>
      </c>
      <c r="AC3" s="74">
        <v>67.2</v>
      </c>
      <c r="AD3" s="164">
        <v>0.5</v>
      </c>
      <c r="AE3" s="226">
        <v>34.909999999999997</v>
      </c>
      <c r="AF3" s="273">
        <v>1E-3</v>
      </c>
      <c r="AG3" s="226">
        <v>36.03</v>
      </c>
      <c r="AH3" s="50">
        <f>10/2</f>
        <v>5</v>
      </c>
      <c r="AI3" s="50">
        <v>1400</v>
      </c>
    </row>
    <row r="4" spans="1:47" ht="14">
      <c r="A4" s="245" t="s">
        <v>279</v>
      </c>
      <c r="B4" s="50" t="s">
        <v>527</v>
      </c>
      <c r="C4" s="50" t="s">
        <v>527</v>
      </c>
      <c r="D4" s="48" t="s">
        <v>372</v>
      </c>
      <c r="E4" s="50" t="s">
        <v>487</v>
      </c>
      <c r="G4" s="76" t="s">
        <v>528</v>
      </c>
      <c r="H4" s="50">
        <v>5015</v>
      </c>
      <c r="I4" s="49" t="s">
        <v>1</v>
      </c>
      <c r="J4" s="50" t="s">
        <v>271</v>
      </c>
      <c r="K4" s="51">
        <v>40883</v>
      </c>
      <c r="L4" s="115">
        <v>40876</v>
      </c>
      <c r="M4" s="50">
        <v>7</v>
      </c>
      <c r="N4" s="50" t="s">
        <v>2</v>
      </c>
      <c r="O4" s="74">
        <v>2.5</v>
      </c>
      <c r="P4" s="50">
        <v>5</v>
      </c>
      <c r="Q4" s="74">
        <v>6.39</v>
      </c>
      <c r="R4" s="50">
        <v>26.2</v>
      </c>
      <c r="S4" s="74">
        <v>171</v>
      </c>
      <c r="T4" s="50">
        <v>0.21</v>
      </c>
      <c r="U4" s="74">
        <v>0.96</v>
      </c>
      <c r="V4" s="50">
        <v>0.56000000000000005</v>
      </c>
      <c r="W4" s="74">
        <v>0.02</v>
      </c>
      <c r="X4" s="50">
        <v>0.37</v>
      </c>
      <c r="Y4" s="50">
        <v>0.05</v>
      </c>
      <c r="Z4" s="164">
        <v>1</v>
      </c>
      <c r="AA4" s="165">
        <v>0.749</v>
      </c>
      <c r="AB4" s="50">
        <v>10.199999999999999</v>
      </c>
      <c r="AC4" s="74">
        <v>21</v>
      </c>
      <c r="AD4" s="164">
        <v>0.25</v>
      </c>
      <c r="AE4" s="50">
        <v>2.95</v>
      </c>
      <c r="AF4" s="273">
        <v>2.0000000000000001E-4</v>
      </c>
      <c r="AG4" s="50">
        <v>1.35</v>
      </c>
      <c r="AH4" s="50">
        <f>10/2</f>
        <v>5</v>
      </c>
    </row>
    <row r="5" spans="1:47" ht="14">
      <c r="A5" s="245" t="s">
        <v>279</v>
      </c>
      <c r="B5" s="50" t="s">
        <v>648</v>
      </c>
      <c r="C5" s="50" t="s">
        <v>648</v>
      </c>
      <c r="D5" s="48" t="s">
        <v>314</v>
      </c>
      <c r="E5" s="50" t="s">
        <v>649</v>
      </c>
      <c r="G5" s="76" t="s">
        <v>650</v>
      </c>
      <c r="H5" s="50">
        <v>5015</v>
      </c>
      <c r="I5" s="49" t="s">
        <v>2</v>
      </c>
      <c r="J5" s="50" t="s">
        <v>271</v>
      </c>
      <c r="K5" s="51">
        <v>40857</v>
      </c>
      <c r="L5" s="115">
        <v>40846</v>
      </c>
      <c r="M5" s="50">
        <v>11</v>
      </c>
      <c r="N5" s="50" t="s">
        <v>2</v>
      </c>
      <c r="O5" s="74">
        <f>1.4/2</f>
        <v>0.7</v>
      </c>
      <c r="P5" s="50">
        <v>6.35</v>
      </c>
      <c r="Q5" s="74">
        <v>6.54</v>
      </c>
      <c r="R5" s="50">
        <v>28</v>
      </c>
      <c r="S5" s="74">
        <v>26</v>
      </c>
      <c r="T5" s="50">
        <v>0.18</v>
      </c>
      <c r="U5" s="74">
        <v>0.91</v>
      </c>
      <c r="V5" s="50">
        <f>0.05/2</f>
        <v>2.5000000000000001E-2</v>
      </c>
      <c r="W5" s="74">
        <v>1.4E-2</v>
      </c>
      <c r="X5" s="50">
        <v>6.0999999999999999E-2</v>
      </c>
      <c r="Y5" s="50">
        <v>2.5000000000000001E-2</v>
      </c>
      <c r="Z5" s="164">
        <v>1</v>
      </c>
      <c r="AA5" s="164">
        <v>1</v>
      </c>
      <c r="AB5" s="50">
        <v>2</v>
      </c>
      <c r="AC5" s="74">
        <v>13</v>
      </c>
      <c r="AD5" s="164">
        <v>1</v>
      </c>
      <c r="AE5" s="50">
        <v>0.93200000000000005</v>
      </c>
      <c r="AF5" s="273">
        <v>2.0000000000000001E-4</v>
      </c>
      <c r="AG5" s="50">
        <v>0.76200000000000001</v>
      </c>
    </row>
    <row r="6" spans="1:47" ht="14">
      <c r="A6" s="245" t="s">
        <v>279</v>
      </c>
      <c r="B6" s="50" t="s">
        <v>651</v>
      </c>
      <c r="C6" s="50" t="s">
        <v>652</v>
      </c>
      <c r="D6" s="48" t="s">
        <v>462</v>
      </c>
      <c r="E6" s="50" t="s">
        <v>653</v>
      </c>
      <c r="G6" s="76" t="s">
        <v>654</v>
      </c>
      <c r="H6" s="50">
        <v>5015</v>
      </c>
      <c r="I6" s="49" t="s">
        <v>2</v>
      </c>
      <c r="J6" s="50" t="s">
        <v>271</v>
      </c>
      <c r="K6" s="51">
        <v>40870</v>
      </c>
      <c r="L6" s="115">
        <v>40863</v>
      </c>
      <c r="M6" s="50">
        <v>7</v>
      </c>
      <c r="N6" s="50" t="s">
        <v>2</v>
      </c>
      <c r="O6" s="74">
        <f>1.4/2</f>
        <v>0.7</v>
      </c>
      <c r="Q6" s="74">
        <v>5.22</v>
      </c>
      <c r="R6" s="50">
        <v>25</v>
      </c>
      <c r="S6" s="74">
        <v>5</v>
      </c>
      <c r="T6" s="50">
        <v>0.08</v>
      </c>
      <c r="U6" s="74">
        <v>0.32</v>
      </c>
      <c r="V6" s="50">
        <v>0.05</v>
      </c>
      <c r="W6" s="74">
        <v>2.3E-2</v>
      </c>
      <c r="X6" s="50">
        <v>4.1000000000000002E-2</v>
      </c>
      <c r="Y6" s="50">
        <v>4.0000000000000001E-3</v>
      </c>
      <c r="Z6" s="164">
        <v>0.70699999999999996</v>
      </c>
      <c r="AA6" s="165">
        <v>0.66200000000000003</v>
      </c>
      <c r="AB6" s="50">
        <v>6</v>
      </c>
      <c r="AC6" s="74">
        <v>73</v>
      </c>
      <c r="AD6" s="164">
        <v>0</v>
      </c>
      <c r="AE6" s="50">
        <v>0.997</v>
      </c>
      <c r="AF6" s="273">
        <v>2.0000000000000001E-4</v>
      </c>
      <c r="AG6" s="50">
        <v>0.51900000000000002</v>
      </c>
      <c r="AH6" s="77">
        <f>50/2</f>
        <v>25</v>
      </c>
    </row>
    <row r="7" spans="1:47" ht="14">
      <c r="A7" s="245" t="s">
        <v>279</v>
      </c>
      <c r="B7" s="50" t="s">
        <v>655</v>
      </c>
      <c r="C7" s="50" t="s">
        <v>655</v>
      </c>
      <c r="D7" s="48" t="s">
        <v>379</v>
      </c>
      <c r="G7" s="76" t="s">
        <v>656</v>
      </c>
      <c r="H7" s="50">
        <v>5015</v>
      </c>
      <c r="I7" s="49" t="s">
        <v>1</v>
      </c>
      <c r="J7" s="50" t="s">
        <v>271</v>
      </c>
      <c r="K7" s="51">
        <v>40843</v>
      </c>
      <c r="L7" s="115">
        <v>40836</v>
      </c>
      <c r="M7" s="50">
        <v>7</v>
      </c>
      <c r="N7" s="50" t="s">
        <v>2</v>
      </c>
      <c r="O7" s="74">
        <f>2.4/2</f>
        <v>1.2</v>
      </c>
      <c r="P7" s="50">
        <v>6.9</v>
      </c>
      <c r="Q7" s="74">
        <v>6.6</v>
      </c>
      <c r="R7" s="50">
        <f>20/2</f>
        <v>10</v>
      </c>
      <c r="S7" s="74">
        <v>8.8000000000000007</v>
      </c>
      <c r="T7" s="50">
        <v>1.4E-2</v>
      </c>
      <c r="U7" s="74">
        <f>1/2</f>
        <v>0.5</v>
      </c>
      <c r="V7" s="50">
        <f>0.046/2</f>
        <v>2.3E-2</v>
      </c>
      <c r="W7" s="74">
        <f>0.005/2</f>
        <v>2.5000000000000001E-3</v>
      </c>
      <c r="X7" s="50">
        <v>1.4999999999999999E-2</v>
      </c>
      <c r="Y7" s="50">
        <f>0.005/2</f>
        <v>2.5000000000000001E-3</v>
      </c>
      <c r="AA7" s="164"/>
      <c r="AC7" s="50"/>
      <c r="AE7" s="50">
        <v>0.2</v>
      </c>
      <c r="AF7" s="273">
        <f>0.0002/2</f>
        <v>1E-4</v>
      </c>
      <c r="AG7" s="50">
        <v>0.17</v>
      </c>
      <c r="AH7" s="77">
        <f>1.3/2</f>
        <v>0.65</v>
      </c>
      <c r="AI7" s="50">
        <f>50/2</f>
        <v>25</v>
      </c>
    </row>
    <row r="8" spans="1:47" ht="14">
      <c r="A8" s="245" t="s">
        <v>279</v>
      </c>
      <c r="B8" s="50" t="s">
        <v>704</v>
      </c>
      <c r="C8" s="50" t="s">
        <v>704</v>
      </c>
      <c r="D8" s="48" t="s">
        <v>56</v>
      </c>
      <c r="E8" s="50" t="s">
        <v>705</v>
      </c>
      <c r="G8" s="76" t="s">
        <v>706</v>
      </c>
      <c r="H8" s="50">
        <v>5015</v>
      </c>
      <c r="I8" s="49" t="s">
        <v>2</v>
      </c>
      <c r="J8" s="50" t="s">
        <v>271</v>
      </c>
      <c r="K8" s="51">
        <v>40905</v>
      </c>
      <c r="L8" s="115">
        <v>40899</v>
      </c>
      <c r="M8" s="50">
        <v>6</v>
      </c>
      <c r="N8" s="50" t="s">
        <v>2</v>
      </c>
      <c r="O8" s="74">
        <v>2.8</v>
      </c>
      <c r="P8" s="50">
        <v>8.1</v>
      </c>
      <c r="Q8" s="74">
        <v>7.6</v>
      </c>
      <c r="R8" s="50">
        <v>29</v>
      </c>
      <c r="S8" s="74">
        <v>23</v>
      </c>
      <c r="T8" s="50">
        <v>0.09</v>
      </c>
      <c r="U8" s="74">
        <v>0.6</v>
      </c>
      <c r="V8" s="50">
        <v>0.3</v>
      </c>
      <c r="W8" s="74">
        <v>1.6E-2</v>
      </c>
      <c r="X8" s="50">
        <v>7.9000000000000001E-2</v>
      </c>
      <c r="Y8" s="50">
        <f>0.03/2</f>
        <v>1.4999999999999999E-2</v>
      </c>
      <c r="Z8" s="164">
        <v>1</v>
      </c>
      <c r="AA8" s="164">
        <v>1</v>
      </c>
      <c r="AB8" s="50">
        <v>35</v>
      </c>
      <c r="AC8" s="74">
        <v>173</v>
      </c>
      <c r="AD8" s="164">
        <v>0.9</v>
      </c>
      <c r="AE8" s="50">
        <v>1.26</v>
      </c>
      <c r="AF8" s="273">
        <f>0.0004/2</f>
        <v>2.0000000000000001E-4</v>
      </c>
      <c r="AG8" s="50">
        <v>0.89</v>
      </c>
      <c r="AH8" s="50">
        <v>7</v>
      </c>
    </row>
    <row r="9" spans="1:47" ht="14">
      <c r="A9" s="245" t="s">
        <v>279</v>
      </c>
      <c r="B9" s="50" t="s">
        <v>704</v>
      </c>
      <c r="C9" s="50" t="s">
        <v>704</v>
      </c>
      <c r="D9" s="48" t="s">
        <v>56</v>
      </c>
      <c r="E9" s="50" t="s">
        <v>705</v>
      </c>
      <c r="G9" s="76" t="s">
        <v>706</v>
      </c>
      <c r="H9" s="50">
        <v>5015</v>
      </c>
      <c r="I9" s="49" t="s">
        <v>2</v>
      </c>
      <c r="J9" s="50" t="s">
        <v>271</v>
      </c>
      <c r="K9" s="51">
        <v>40921</v>
      </c>
      <c r="L9" s="115">
        <v>40909</v>
      </c>
      <c r="M9" s="50">
        <v>12</v>
      </c>
      <c r="N9" s="50" t="s">
        <v>2</v>
      </c>
      <c r="O9" s="50"/>
      <c r="P9" s="85"/>
      <c r="Q9" s="85"/>
      <c r="R9" s="85"/>
      <c r="S9" s="85"/>
      <c r="T9" s="85"/>
      <c r="U9" s="85"/>
      <c r="V9" s="85"/>
      <c r="W9" s="85"/>
      <c r="X9" s="85"/>
      <c r="Y9" s="85"/>
      <c r="AA9" s="164"/>
      <c r="AC9" s="50"/>
      <c r="AE9" s="50">
        <v>1.47</v>
      </c>
      <c r="AF9" s="273">
        <f>0.0004/2</f>
        <v>2.0000000000000001E-4</v>
      </c>
      <c r="AG9" s="50">
        <v>0.93</v>
      </c>
    </row>
    <row r="10" spans="1:47" s="28" customFormat="1" ht="14">
      <c r="A10" s="74" t="s">
        <v>279</v>
      </c>
      <c r="B10" s="50" t="s">
        <v>1127</v>
      </c>
      <c r="C10" s="50" t="s">
        <v>1128</v>
      </c>
      <c r="D10" s="48" t="s">
        <v>1129</v>
      </c>
      <c r="E10" s="50" t="s">
        <v>1130</v>
      </c>
      <c r="F10" s="50"/>
      <c r="G10" s="76" t="s">
        <v>1131</v>
      </c>
      <c r="H10" s="50">
        <v>5015</v>
      </c>
      <c r="I10" s="49" t="s">
        <v>2</v>
      </c>
      <c r="J10" s="50" t="s">
        <v>1132</v>
      </c>
      <c r="K10" s="51">
        <v>40884</v>
      </c>
      <c r="L10" s="115"/>
      <c r="M10" s="50"/>
      <c r="N10" s="50" t="s">
        <v>2</v>
      </c>
      <c r="O10" s="74">
        <f>2/2</f>
        <v>1</v>
      </c>
      <c r="P10" s="50">
        <v>6.04</v>
      </c>
      <c r="Q10" s="74">
        <v>6.62</v>
      </c>
      <c r="R10" s="50">
        <v>14</v>
      </c>
      <c r="S10" s="74">
        <f>2/2</f>
        <v>1</v>
      </c>
      <c r="T10" s="50">
        <v>0.02</v>
      </c>
      <c r="U10" s="74">
        <f>0.14/2</f>
        <v>7.0000000000000007E-2</v>
      </c>
      <c r="V10" s="50">
        <v>0.31</v>
      </c>
      <c r="W10" s="74">
        <v>0.02</v>
      </c>
      <c r="X10" s="50">
        <v>1.01</v>
      </c>
      <c r="Y10" s="50">
        <v>1.6E-2</v>
      </c>
      <c r="Z10" s="164">
        <v>0.70699999999999996</v>
      </c>
      <c r="AA10" s="165">
        <v>0.52100000000000002</v>
      </c>
      <c r="AB10" s="50">
        <v>16</v>
      </c>
      <c r="AC10" s="74">
        <v>56</v>
      </c>
      <c r="AD10" s="164">
        <v>0</v>
      </c>
      <c r="AE10" s="50">
        <v>0.219</v>
      </c>
      <c r="AF10" s="273">
        <f t="shared" ref="AF10:AF19" si="0">0.0002/2</f>
        <v>1E-4</v>
      </c>
      <c r="AG10" s="50">
        <v>0.27400000000000002</v>
      </c>
      <c r="AH10" s="50"/>
      <c r="AI10" s="50"/>
      <c r="AJ10" s="74"/>
      <c r="AK10" s="74"/>
      <c r="AL10" s="74"/>
      <c r="AM10" s="74"/>
      <c r="AN10" s="74"/>
      <c r="AO10" s="74"/>
      <c r="AP10" s="74"/>
      <c r="AQ10" s="74"/>
      <c r="AR10" s="74"/>
      <c r="AS10" s="74"/>
      <c r="AT10" s="74"/>
      <c r="AU10" s="74"/>
    </row>
    <row r="11" spans="1:47" s="28" customFormat="1" ht="14">
      <c r="A11" s="74" t="s">
        <v>279</v>
      </c>
      <c r="B11" s="50" t="s">
        <v>1127</v>
      </c>
      <c r="C11" s="50" t="s">
        <v>1128</v>
      </c>
      <c r="D11" s="48" t="s">
        <v>1129</v>
      </c>
      <c r="E11" s="50" t="s">
        <v>1130</v>
      </c>
      <c r="F11" s="50"/>
      <c r="G11" s="76" t="s">
        <v>1131</v>
      </c>
      <c r="H11" s="50">
        <v>5015</v>
      </c>
      <c r="I11" s="49"/>
      <c r="J11" s="50" t="s">
        <v>1132</v>
      </c>
      <c r="K11" s="51">
        <v>41085</v>
      </c>
      <c r="L11" s="115"/>
      <c r="M11" s="50"/>
      <c r="N11" s="50" t="s">
        <v>2</v>
      </c>
      <c r="O11" s="74">
        <f>6.8/2</f>
        <v>3.4</v>
      </c>
      <c r="P11" s="50">
        <v>4.58</v>
      </c>
      <c r="Q11" s="74">
        <v>6.11</v>
      </c>
      <c r="R11" s="50">
        <v>28</v>
      </c>
      <c r="S11" s="74">
        <v>118</v>
      </c>
      <c r="T11" s="50">
        <v>0.03</v>
      </c>
      <c r="U11" s="74">
        <v>1.03</v>
      </c>
      <c r="V11" s="50">
        <v>1.1000000000000001</v>
      </c>
      <c r="W11" s="74">
        <v>0.09</v>
      </c>
      <c r="X11" s="50">
        <v>0.98</v>
      </c>
      <c r="Y11" s="50">
        <v>0.17799999999999999</v>
      </c>
      <c r="Z11" s="164">
        <v>0.70699999999999996</v>
      </c>
      <c r="AA11" s="165">
        <v>0.39200000000000002</v>
      </c>
      <c r="AB11" s="50">
        <v>14</v>
      </c>
      <c r="AC11" s="74">
        <v>28</v>
      </c>
      <c r="AD11" s="164">
        <v>0</v>
      </c>
      <c r="AE11" s="50">
        <v>1.4</v>
      </c>
      <c r="AF11" s="273">
        <f t="shared" si="0"/>
        <v>1E-4</v>
      </c>
      <c r="AG11" s="50">
        <v>2.09</v>
      </c>
      <c r="AH11" s="50">
        <f>50/2</f>
        <v>25</v>
      </c>
      <c r="AI11" s="50"/>
      <c r="AJ11" s="74"/>
      <c r="AK11" s="74"/>
      <c r="AL11" s="74"/>
      <c r="AM11" s="74"/>
      <c r="AN11" s="74"/>
      <c r="AO11" s="74"/>
      <c r="AP11" s="74"/>
      <c r="AQ11" s="74"/>
      <c r="AR11" s="74"/>
      <c r="AS11" s="74"/>
      <c r="AT11" s="74"/>
      <c r="AU11" s="74"/>
    </row>
    <row r="12" spans="1:47" s="28" customFormat="1" ht="14">
      <c r="A12" s="74" t="s">
        <v>279</v>
      </c>
      <c r="B12" s="50" t="s">
        <v>905</v>
      </c>
      <c r="C12" s="50" t="s">
        <v>905</v>
      </c>
      <c r="D12" s="48" t="s">
        <v>372</v>
      </c>
      <c r="E12" s="50" t="s">
        <v>906</v>
      </c>
      <c r="F12" s="50"/>
      <c r="G12" s="76" t="s">
        <v>907</v>
      </c>
      <c r="H12" s="50">
        <v>5015</v>
      </c>
      <c r="I12" s="49" t="s">
        <v>2</v>
      </c>
      <c r="J12" s="50" t="s">
        <v>271</v>
      </c>
      <c r="K12" s="51">
        <v>40884</v>
      </c>
      <c r="L12" s="115">
        <v>40877</v>
      </c>
      <c r="M12" s="50">
        <v>7</v>
      </c>
      <c r="N12" s="50" t="s">
        <v>2</v>
      </c>
      <c r="O12" s="74">
        <v>5.5</v>
      </c>
      <c r="P12" s="50">
        <v>6.8</v>
      </c>
      <c r="Q12" s="74">
        <v>7.5</v>
      </c>
      <c r="R12" s="50">
        <v>25</v>
      </c>
      <c r="S12" s="74">
        <v>20</v>
      </c>
      <c r="T12" s="50">
        <f>0.05/2</f>
        <v>2.5000000000000001E-2</v>
      </c>
      <c r="U12" s="74">
        <v>1.01</v>
      </c>
      <c r="V12" s="50">
        <v>0.1</v>
      </c>
      <c r="W12" s="74">
        <v>2.5000000000000001E-2</v>
      </c>
      <c r="X12" s="50">
        <v>6.9000000000000006E-2</v>
      </c>
      <c r="Y12" s="50">
        <f>0.03/2</f>
        <v>1.4999999999999999E-2</v>
      </c>
      <c r="Z12" s="164">
        <v>1</v>
      </c>
      <c r="AA12" s="165">
        <v>1</v>
      </c>
      <c r="AB12" s="50">
        <v>31</v>
      </c>
      <c r="AC12" s="74">
        <v>81</v>
      </c>
      <c r="AD12" s="164">
        <v>1</v>
      </c>
      <c r="AE12" s="50">
        <v>1.45</v>
      </c>
      <c r="AF12" s="273">
        <f>0.0004/2</f>
        <v>2.0000000000000001E-4</v>
      </c>
      <c r="AG12" s="50">
        <v>0.68</v>
      </c>
      <c r="AH12" s="50">
        <f>2/2</f>
        <v>1</v>
      </c>
      <c r="AI12" s="50"/>
      <c r="AJ12" s="74"/>
      <c r="AK12" s="74"/>
      <c r="AL12" s="74"/>
      <c r="AM12" s="74"/>
      <c r="AN12" s="74"/>
      <c r="AO12" s="74"/>
      <c r="AP12" s="74"/>
      <c r="AQ12" s="74"/>
      <c r="AR12" s="74"/>
      <c r="AS12" s="74"/>
      <c r="AT12" s="74"/>
      <c r="AU12" s="74"/>
    </row>
    <row r="13" spans="1:47" s="28" customFormat="1" ht="14">
      <c r="A13" s="74" t="s">
        <v>279</v>
      </c>
      <c r="B13" s="50" t="s">
        <v>1133</v>
      </c>
      <c r="C13" s="50" t="s">
        <v>1133</v>
      </c>
      <c r="D13" s="48" t="s">
        <v>314</v>
      </c>
      <c r="E13" s="50" t="s">
        <v>649</v>
      </c>
      <c r="F13" s="50"/>
      <c r="G13" s="76" t="s">
        <v>650</v>
      </c>
      <c r="H13" s="50">
        <v>5015</v>
      </c>
      <c r="I13" s="49" t="s">
        <v>2</v>
      </c>
      <c r="J13" s="50" t="s">
        <v>271</v>
      </c>
      <c r="K13" s="51">
        <v>40920</v>
      </c>
      <c r="L13" s="115">
        <v>40909</v>
      </c>
      <c r="M13" s="50">
        <v>11</v>
      </c>
      <c r="N13" s="50" t="s">
        <v>2</v>
      </c>
      <c r="O13" s="74"/>
      <c r="P13" s="50"/>
      <c r="Q13" s="74"/>
      <c r="R13" s="50"/>
      <c r="S13" s="74"/>
      <c r="T13" s="50"/>
      <c r="U13" s="74"/>
      <c r="V13" s="50"/>
      <c r="W13" s="74"/>
      <c r="X13" s="50"/>
      <c r="Y13" s="50"/>
      <c r="Z13" s="164"/>
      <c r="AA13" s="165"/>
      <c r="AB13" s="50"/>
      <c r="AC13" s="74"/>
      <c r="AD13" s="164"/>
      <c r="AE13" s="50">
        <v>1.69</v>
      </c>
      <c r="AF13" s="273">
        <f t="shared" si="0"/>
        <v>1E-4</v>
      </c>
      <c r="AG13" s="50">
        <v>1.2</v>
      </c>
      <c r="AH13" s="50">
        <f>10/2</f>
        <v>5</v>
      </c>
      <c r="AI13" s="50"/>
      <c r="AJ13" s="74"/>
      <c r="AK13" s="74"/>
      <c r="AL13" s="74"/>
      <c r="AM13" s="74"/>
      <c r="AN13" s="74"/>
      <c r="AO13" s="74"/>
      <c r="AP13" s="74"/>
      <c r="AQ13" s="74"/>
      <c r="AR13" s="74"/>
      <c r="AS13" s="74"/>
      <c r="AT13" s="74"/>
      <c r="AU13" s="74"/>
    </row>
    <row r="14" spans="1:47" s="28" customFormat="1" ht="14">
      <c r="A14" s="74" t="s">
        <v>279</v>
      </c>
      <c r="B14" s="50" t="s">
        <v>1133</v>
      </c>
      <c r="C14" s="50" t="s">
        <v>1133</v>
      </c>
      <c r="D14" s="48" t="s">
        <v>314</v>
      </c>
      <c r="E14" s="50" t="s">
        <v>649</v>
      </c>
      <c r="F14" s="50"/>
      <c r="G14" s="76" t="s">
        <v>650</v>
      </c>
      <c r="H14" s="50">
        <v>5015</v>
      </c>
      <c r="I14" s="49" t="s">
        <v>2</v>
      </c>
      <c r="J14" s="50" t="s">
        <v>271</v>
      </c>
      <c r="K14" s="51">
        <v>41030</v>
      </c>
      <c r="L14" s="115">
        <v>41021</v>
      </c>
      <c r="M14" s="50">
        <v>9</v>
      </c>
      <c r="N14" s="50" t="s">
        <v>2</v>
      </c>
      <c r="O14" s="74">
        <f>1.5/2</f>
        <v>0.75</v>
      </c>
      <c r="P14" s="50">
        <v>6.86</v>
      </c>
      <c r="Q14" s="74">
        <v>6.35</v>
      </c>
      <c r="R14" s="50">
        <f>10/2</f>
        <v>5</v>
      </c>
      <c r="S14" s="74">
        <v>55</v>
      </c>
      <c r="T14" s="50">
        <v>0.11</v>
      </c>
      <c r="U14" s="74">
        <v>0.77</v>
      </c>
      <c r="V14" s="50">
        <v>0.11</v>
      </c>
      <c r="W14" s="74">
        <v>1.7999999999999999E-2</v>
      </c>
      <c r="X14" s="50">
        <v>8.7999999999999995E-2</v>
      </c>
      <c r="Y14" s="50">
        <v>1.7000000000000001E-2</v>
      </c>
      <c r="Z14" s="164"/>
      <c r="AA14" s="165"/>
      <c r="AB14" s="50"/>
      <c r="AC14" s="74"/>
      <c r="AD14" s="164"/>
      <c r="AE14" s="50">
        <v>1.49</v>
      </c>
      <c r="AF14" s="273">
        <f t="shared" si="0"/>
        <v>1E-4</v>
      </c>
      <c r="AG14" s="50">
        <v>1.1000000000000001</v>
      </c>
      <c r="AH14" s="50">
        <f>10/2</f>
        <v>5</v>
      </c>
      <c r="AI14" s="50"/>
      <c r="AJ14" s="74"/>
      <c r="AK14" s="74"/>
      <c r="AL14" s="74"/>
      <c r="AM14" s="74"/>
      <c r="AN14" s="74"/>
      <c r="AO14" s="74"/>
      <c r="AP14" s="74"/>
      <c r="AQ14" s="74"/>
      <c r="AR14" s="74"/>
      <c r="AS14" s="74"/>
      <c r="AT14" s="74"/>
      <c r="AU14" s="74"/>
    </row>
    <row r="15" spans="1:47" s="28" customFormat="1" ht="14">
      <c r="A15" s="74" t="s">
        <v>279</v>
      </c>
      <c r="B15" s="50" t="s">
        <v>1133</v>
      </c>
      <c r="C15" s="50" t="s">
        <v>1133</v>
      </c>
      <c r="D15" s="48" t="s">
        <v>314</v>
      </c>
      <c r="E15" s="50" t="s">
        <v>649</v>
      </c>
      <c r="F15" s="50"/>
      <c r="G15" s="76" t="s">
        <v>650</v>
      </c>
      <c r="H15" s="50">
        <v>5015</v>
      </c>
      <c r="I15" s="49" t="s">
        <v>2</v>
      </c>
      <c r="J15" s="50" t="s">
        <v>271</v>
      </c>
      <c r="K15" s="51">
        <v>41131</v>
      </c>
      <c r="L15" s="115">
        <v>41126</v>
      </c>
      <c r="M15" s="50">
        <v>5</v>
      </c>
      <c r="N15" s="50" t="s">
        <v>2</v>
      </c>
      <c r="O15" s="74"/>
      <c r="P15" s="50"/>
      <c r="Q15" s="74"/>
      <c r="R15" s="50"/>
      <c r="S15" s="74"/>
      <c r="T15" s="50"/>
      <c r="U15" s="74"/>
      <c r="V15" s="50"/>
      <c r="W15" s="74"/>
      <c r="X15" s="50"/>
      <c r="Y15" s="50"/>
      <c r="Z15" s="164"/>
      <c r="AA15" s="165"/>
      <c r="AB15" s="50"/>
      <c r="AC15" s="74"/>
      <c r="AD15" s="164"/>
      <c r="AE15" s="50">
        <v>10.5</v>
      </c>
      <c r="AF15" s="273">
        <f t="shared" si="0"/>
        <v>1E-4</v>
      </c>
      <c r="AG15" s="50">
        <v>8.0299999999999994</v>
      </c>
      <c r="AH15" s="50"/>
      <c r="AI15" s="50"/>
      <c r="AJ15" s="74"/>
      <c r="AK15" s="74"/>
      <c r="AL15" s="74"/>
      <c r="AM15" s="74"/>
      <c r="AN15" s="74"/>
      <c r="AO15" s="74"/>
      <c r="AP15" s="74"/>
      <c r="AQ15" s="74"/>
      <c r="AR15" s="74"/>
      <c r="AS15" s="74"/>
      <c r="AT15" s="74"/>
      <c r="AU15" s="74"/>
    </row>
    <row r="16" spans="1:47" s="28" customFormat="1" ht="14">
      <c r="A16" s="74" t="s">
        <v>279</v>
      </c>
      <c r="B16" s="50" t="s">
        <v>1134</v>
      </c>
      <c r="C16" s="50" t="s">
        <v>1134</v>
      </c>
      <c r="D16" s="48" t="s">
        <v>1135</v>
      </c>
      <c r="E16" s="50" t="s">
        <v>487</v>
      </c>
      <c r="F16" s="50"/>
      <c r="G16" s="76" t="s">
        <v>1136</v>
      </c>
      <c r="H16" s="50">
        <v>5015</v>
      </c>
      <c r="I16" s="49" t="s">
        <v>1</v>
      </c>
      <c r="J16" s="50" t="s">
        <v>271</v>
      </c>
      <c r="K16" s="51">
        <v>40920</v>
      </c>
      <c r="L16" s="115">
        <v>40909</v>
      </c>
      <c r="M16" s="50">
        <v>11</v>
      </c>
      <c r="N16" s="50" t="s">
        <v>2</v>
      </c>
      <c r="O16" s="74"/>
      <c r="P16" s="50"/>
      <c r="Q16" s="74"/>
      <c r="R16" s="50"/>
      <c r="S16" s="74"/>
      <c r="T16" s="50"/>
      <c r="U16" s="74"/>
      <c r="V16" s="50"/>
      <c r="W16" s="74"/>
      <c r="X16" s="50"/>
      <c r="Y16" s="50"/>
      <c r="Z16" s="164"/>
      <c r="AA16" s="165"/>
      <c r="AB16" s="50"/>
      <c r="AC16" s="74"/>
      <c r="AD16" s="164"/>
      <c r="AE16" s="50">
        <v>6.84</v>
      </c>
      <c r="AF16" s="273">
        <f t="shared" si="0"/>
        <v>1E-4</v>
      </c>
      <c r="AG16" s="50">
        <v>3.78</v>
      </c>
      <c r="AH16" s="50"/>
      <c r="AI16" s="50"/>
      <c r="AJ16" s="74"/>
      <c r="AK16" s="74"/>
      <c r="AL16" s="74"/>
      <c r="AM16" s="74"/>
      <c r="AN16" s="74"/>
      <c r="AO16" s="74"/>
      <c r="AP16" s="74"/>
      <c r="AQ16" s="74"/>
      <c r="AR16" s="74"/>
      <c r="AS16" s="74"/>
      <c r="AT16" s="74"/>
      <c r="AU16" s="74"/>
    </row>
    <row r="17" spans="1:47" s="28" customFormat="1" ht="14">
      <c r="A17" s="74" t="s">
        <v>279</v>
      </c>
      <c r="B17" s="50" t="s">
        <v>1134</v>
      </c>
      <c r="C17" s="50" t="s">
        <v>1134</v>
      </c>
      <c r="D17" s="48" t="s">
        <v>1135</v>
      </c>
      <c r="E17" s="50" t="s">
        <v>487</v>
      </c>
      <c r="F17" s="50"/>
      <c r="G17" s="76" t="s">
        <v>1136</v>
      </c>
      <c r="H17" s="50">
        <v>5015</v>
      </c>
      <c r="I17" s="49" t="s">
        <v>1</v>
      </c>
      <c r="J17" s="50" t="s">
        <v>271</v>
      </c>
      <c r="K17" s="51">
        <v>40996</v>
      </c>
      <c r="L17" s="115">
        <v>40993</v>
      </c>
      <c r="M17" s="50">
        <v>3</v>
      </c>
      <c r="N17" s="50" t="s">
        <v>2</v>
      </c>
      <c r="O17" s="74">
        <v>2.9</v>
      </c>
      <c r="P17" s="50">
        <v>6.9</v>
      </c>
      <c r="Q17" s="74">
        <v>7.34</v>
      </c>
      <c r="R17" s="50">
        <v>120</v>
      </c>
      <c r="S17" s="74">
        <v>390</v>
      </c>
      <c r="T17" s="50">
        <v>0.39</v>
      </c>
      <c r="U17" s="74">
        <v>1.83</v>
      </c>
      <c r="V17" s="50">
        <v>0.25</v>
      </c>
      <c r="W17" s="74">
        <v>0.252</v>
      </c>
      <c r="X17" s="50">
        <v>0.84899999999999998</v>
      </c>
      <c r="Y17" s="50">
        <v>0.73899999999999999</v>
      </c>
      <c r="Z17" s="164">
        <v>1</v>
      </c>
      <c r="AA17" s="165">
        <v>1</v>
      </c>
      <c r="AB17" s="50">
        <v>50</v>
      </c>
      <c r="AC17" s="74">
        <v>173</v>
      </c>
      <c r="AD17" s="164">
        <v>1</v>
      </c>
      <c r="AE17" s="50">
        <v>33.6</v>
      </c>
      <c r="AF17" s="273">
        <f t="shared" si="0"/>
        <v>1E-4</v>
      </c>
      <c r="AG17" s="50">
        <v>14.5</v>
      </c>
      <c r="AH17" s="50">
        <f>20/2</f>
        <v>10</v>
      </c>
      <c r="AI17" s="50">
        <v>10</v>
      </c>
      <c r="AJ17" s="74"/>
      <c r="AK17" s="74"/>
      <c r="AL17" s="74"/>
      <c r="AM17" s="74"/>
      <c r="AN17" s="74"/>
      <c r="AO17" s="74"/>
      <c r="AP17" s="74"/>
      <c r="AQ17" s="74"/>
      <c r="AR17" s="74"/>
      <c r="AS17" s="74"/>
      <c r="AT17" s="74"/>
      <c r="AU17" s="74"/>
    </row>
    <row r="18" spans="1:47" s="28" customFormat="1" ht="14">
      <c r="A18" s="74" t="s">
        <v>279</v>
      </c>
      <c r="B18" s="50" t="s">
        <v>1134</v>
      </c>
      <c r="C18" s="50" t="s">
        <v>1134</v>
      </c>
      <c r="D18" s="48" t="s">
        <v>1135</v>
      </c>
      <c r="E18" s="50" t="s">
        <v>487</v>
      </c>
      <c r="F18" s="50"/>
      <c r="G18" s="76" t="s">
        <v>1136</v>
      </c>
      <c r="H18" s="50">
        <v>5015</v>
      </c>
      <c r="I18" s="49" t="s">
        <v>1</v>
      </c>
      <c r="J18" s="50" t="s">
        <v>271</v>
      </c>
      <c r="K18" s="51">
        <v>41030</v>
      </c>
      <c r="L18" s="115">
        <v>41025</v>
      </c>
      <c r="M18" s="50">
        <v>5</v>
      </c>
      <c r="N18" s="50" t="s">
        <v>2</v>
      </c>
      <c r="O18" s="74">
        <v>8.1</v>
      </c>
      <c r="P18" s="50">
        <v>6.2</v>
      </c>
      <c r="Q18" s="74">
        <v>7.03</v>
      </c>
      <c r="R18" s="50">
        <v>67</v>
      </c>
      <c r="S18" s="74">
        <v>260</v>
      </c>
      <c r="T18" s="50">
        <v>0.39</v>
      </c>
      <c r="U18" s="74">
        <v>1.46</v>
      </c>
      <c r="V18" s="50">
        <v>0.28999999999999998</v>
      </c>
      <c r="W18" s="74">
        <v>0.161</v>
      </c>
      <c r="X18" s="50">
        <v>0.66700000000000004</v>
      </c>
      <c r="Y18" s="50">
        <v>0.45900000000000002</v>
      </c>
      <c r="Z18" s="164"/>
      <c r="AA18" s="165"/>
      <c r="AB18" s="50"/>
      <c r="AC18" s="74"/>
      <c r="AD18" s="164"/>
      <c r="AE18" s="50">
        <v>23.9</v>
      </c>
      <c r="AF18" s="273">
        <f t="shared" si="0"/>
        <v>1E-4</v>
      </c>
      <c r="AG18" s="50">
        <v>9.6999999999999993</v>
      </c>
      <c r="AH18" s="50">
        <f>10/2</f>
        <v>5</v>
      </c>
      <c r="AI18" s="50"/>
      <c r="AJ18" s="74"/>
      <c r="AK18" s="74"/>
      <c r="AL18" s="74"/>
      <c r="AM18" s="74"/>
      <c r="AN18" s="74"/>
      <c r="AO18" s="74"/>
      <c r="AP18" s="74"/>
      <c r="AQ18" s="74"/>
      <c r="AR18" s="74"/>
      <c r="AS18" s="74"/>
      <c r="AT18" s="74"/>
      <c r="AU18" s="74"/>
    </row>
    <row r="19" spans="1:47" s="28" customFormat="1" ht="14">
      <c r="A19" s="74" t="s">
        <v>279</v>
      </c>
      <c r="B19" s="50" t="s">
        <v>1137</v>
      </c>
      <c r="C19" s="50" t="s">
        <v>1138</v>
      </c>
      <c r="D19" s="48" t="s">
        <v>548</v>
      </c>
      <c r="E19" s="50" t="s">
        <v>1139</v>
      </c>
      <c r="F19" s="50"/>
      <c r="G19" s="76" t="s">
        <v>1140</v>
      </c>
      <c r="H19" s="50">
        <v>5015</v>
      </c>
      <c r="I19" s="49" t="s">
        <v>2</v>
      </c>
      <c r="J19" s="50" t="s">
        <v>271</v>
      </c>
      <c r="K19" s="51">
        <v>41030</v>
      </c>
      <c r="L19" s="115">
        <v>41021</v>
      </c>
      <c r="M19" s="50">
        <v>8</v>
      </c>
      <c r="N19" s="50" t="s">
        <v>2</v>
      </c>
      <c r="O19" s="74">
        <f>1.4/2</f>
        <v>0.7</v>
      </c>
      <c r="P19" s="50">
        <v>6</v>
      </c>
      <c r="Q19" s="74">
        <v>6.51</v>
      </c>
      <c r="R19" s="50">
        <v>25</v>
      </c>
      <c r="S19" s="74">
        <f>5/2</f>
        <v>2.5</v>
      </c>
      <c r="T19" s="50">
        <v>0.06</v>
      </c>
      <c r="U19" s="74">
        <v>0.35</v>
      </c>
      <c r="V19" s="50">
        <f>0.05/2</f>
        <v>2.5000000000000001E-2</v>
      </c>
      <c r="W19" s="74">
        <f>0.005/2</f>
        <v>2.5000000000000001E-3</v>
      </c>
      <c r="X19" s="50">
        <v>0.76100000000000001</v>
      </c>
      <c r="Y19" s="50">
        <f>0.002/2</f>
        <v>1E-3</v>
      </c>
      <c r="Z19" s="164">
        <v>0.78300000000000003</v>
      </c>
      <c r="AA19" s="165">
        <v>0.35399999999999998</v>
      </c>
      <c r="AB19" s="50">
        <v>18</v>
      </c>
      <c r="AC19" s="74">
        <v>71</v>
      </c>
      <c r="AD19" s="164">
        <v>0</v>
      </c>
      <c r="AE19" s="50">
        <v>1.73</v>
      </c>
      <c r="AF19" s="273">
        <f t="shared" si="0"/>
        <v>1E-4</v>
      </c>
      <c r="AG19" s="50">
        <f>0.01/2</f>
        <v>5.0000000000000001E-3</v>
      </c>
      <c r="AH19" s="50" t="s">
        <v>2667</v>
      </c>
      <c r="AI19" s="50"/>
      <c r="AJ19" s="74"/>
      <c r="AK19" s="74"/>
      <c r="AL19" s="74"/>
      <c r="AM19" s="74"/>
      <c r="AN19" s="74"/>
      <c r="AO19" s="74"/>
      <c r="AP19" s="74"/>
      <c r="AQ19" s="74"/>
      <c r="AR19" s="74"/>
      <c r="AS19" s="74"/>
      <c r="AT19" s="74"/>
      <c r="AU19" s="74"/>
    </row>
    <row r="20" spans="1:47" s="28" customFormat="1" ht="14">
      <c r="A20" s="74" t="s">
        <v>279</v>
      </c>
      <c r="B20" s="50" t="s">
        <v>651</v>
      </c>
      <c r="C20" s="50" t="s">
        <v>652</v>
      </c>
      <c r="D20" s="48" t="s">
        <v>462</v>
      </c>
      <c r="E20" s="50" t="s">
        <v>653</v>
      </c>
      <c r="F20" s="50"/>
      <c r="G20" s="76" t="s">
        <v>654</v>
      </c>
      <c r="H20" s="50">
        <v>5015</v>
      </c>
      <c r="I20" s="49" t="s">
        <v>2</v>
      </c>
      <c r="J20" s="50" t="s">
        <v>271</v>
      </c>
      <c r="K20" s="51">
        <v>40996</v>
      </c>
      <c r="L20" s="115">
        <v>40970</v>
      </c>
      <c r="M20" s="50">
        <v>26</v>
      </c>
      <c r="N20" s="50" t="s">
        <v>2</v>
      </c>
      <c r="O20" s="74"/>
      <c r="P20" s="50"/>
      <c r="Q20" s="74"/>
      <c r="R20" s="50"/>
      <c r="S20" s="74"/>
      <c r="T20" s="50"/>
      <c r="U20" s="74"/>
      <c r="V20" s="50"/>
      <c r="W20" s="74"/>
      <c r="X20" s="50"/>
      <c r="Y20" s="50"/>
      <c r="Z20" s="164"/>
      <c r="AA20" s="165"/>
      <c r="AB20" s="50"/>
      <c r="AC20" s="74"/>
      <c r="AD20" s="164"/>
      <c r="AE20" s="50">
        <v>2.7</v>
      </c>
      <c r="AF20" s="273">
        <f>0.0002/2</f>
        <v>1E-4</v>
      </c>
      <c r="AG20" s="50">
        <v>1.53</v>
      </c>
      <c r="AH20" s="50"/>
      <c r="AI20" s="50"/>
      <c r="AJ20" s="74"/>
      <c r="AK20" s="74"/>
      <c r="AL20" s="74"/>
      <c r="AM20" s="74"/>
      <c r="AN20" s="74"/>
      <c r="AO20" s="74"/>
      <c r="AP20" s="74"/>
      <c r="AQ20" s="74"/>
      <c r="AR20" s="74"/>
      <c r="AS20" s="74"/>
      <c r="AT20" s="74"/>
      <c r="AU20" s="74"/>
    </row>
    <row r="21" spans="1:47" s="28" customFormat="1" ht="14">
      <c r="A21" s="74" t="s">
        <v>279</v>
      </c>
      <c r="B21" s="50" t="s">
        <v>651</v>
      </c>
      <c r="C21" s="50" t="s">
        <v>652</v>
      </c>
      <c r="D21" s="48" t="s">
        <v>462</v>
      </c>
      <c r="E21" s="50" t="s">
        <v>653</v>
      </c>
      <c r="F21" s="50"/>
      <c r="G21" s="76" t="s">
        <v>654</v>
      </c>
      <c r="H21" s="50">
        <v>5015</v>
      </c>
      <c r="I21" s="49" t="s">
        <v>2</v>
      </c>
      <c r="J21" s="50" t="s">
        <v>271</v>
      </c>
      <c r="K21" s="51">
        <v>41030</v>
      </c>
      <c r="L21" s="115">
        <v>41021</v>
      </c>
      <c r="M21" s="50">
        <v>9</v>
      </c>
      <c r="N21" s="50" t="s">
        <v>2</v>
      </c>
      <c r="O21" s="74">
        <f>1.4/2</f>
        <v>0.7</v>
      </c>
      <c r="P21" s="50">
        <v>6.07</v>
      </c>
      <c r="Q21" s="74">
        <v>6.7</v>
      </c>
      <c r="R21" s="50">
        <v>18</v>
      </c>
      <c r="S21" s="74">
        <v>9.5</v>
      </c>
      <c r="T21" s="50">
        <v>0.05</v>
      </c>
      <c r="U21" s="74">
        <v>0.57999999999999996</v>
      </c>
      <c r="V21" s="50">
        <v>0.14000000000000001</v>
      </c>
      <c r="W21" s="74">
        <v>2.9000000000000001E-2</v>
      </c>
      <c r="X21" s="50">
        <v>5.2999999999999999E-2</v>
      </c>
      <c r="Y21" s="50">
        <v>5.0000000000000001E-3</v>
      </c>
      <c r="Z21" s="164"/>
      <c r="AA21" s="165"/>
      <c r="AB21" s="50"/>
      <c r="AC21" s="74"/>
      <c r="AD21" s="164"/>
      <c r="AE21" s="50">
        <v>0.53100000000000003</v>
      </c>
      <c r="AF21" s="273">
        <f>0.0002/2</f>
        <v>1E-4</v>
      </c>
      <c r="AG21" s="50">
        <v>0.23300000000000001</v>
      </c>
      <c r="AH21" s="50"/>
      <c r="AI21" s="50"/>
      <c r="AJ21" s="74"/>
      <c r="AK21" s="74"/>
      <c r="AL21" s="74"/>
      <c r="AM21" s="74"/>
      <c r="AN21" s="74"/>
      <c r="AO21" s="74"/>
      <c r="AP21" s="74"/>
      <c r="AQ21" s="74"/>
      <c r="AR21" s="74"/>
      <c r="AS21" s="74"/>
      <c r="AT21" s="74"/>
      <c r="AU21" s="74"/>
    </row>
    <row r="22" spans="1:47" s="28" customFormat="1" ht="14">
      <c r="A22" s="74" t="s">
        <v>279</v>
      </c>
      <c r="B22" s="50" t="s">
        <v>651</v>
      </c>
      <c r="C22" s="50" t="s">
        <v>652</v>
      </c>
      <c r="D22" s="48" t="s">
        <v>462</v>
      </c>
      <c r="E22" s="50" t="s">
        <v>653</v>
      </c>
      <c r="F22" s="50"/>
      <c r="G22" s="76" t="s">
        <v>654</v>
      </c>
      <c r="H22" s="50">
        <v>5015</v>
      </c>
      <c r="I22" s="49" t="s">
        <v>2</v>
      </c>
      <c r="J22" s="50" t="s">
        <v>271</v>
      </c>
      <c r="K22" s="51">
        <v>41170</v>
      </c>
      <c r="L22" s="115">
        <v>41160</v>
      </c>
      <c r="M22" s="50">
        <v>10</v>
      </c>
      <c r="N22" s="50" t="s">
        <v>2</v>
      </c>
      <c r="O22" s="74"/>
      <c r="P22" s="50"/>
      <c r="Q22" s="74"/>
      <c r="R22" s="50"/>
      <c r="S22" s="74"/>
      <c r="T22" s="50"/>
      <c r="U22" s="74"/>
      <c r="V22" s="50"/>
      <c r="W22" s="74"/>
      <c r="X22" s="50"/>
      <c r="Y22" s="50"/>
      <c r="Z22" s="164"/>
      <c r="AA22" s="165"/>
      <c r="AB22" s="50"/>
      <c r="AC22" s="74"/>
      <c r="AD22" s="164"/>
      <c r="AE22" s="50">
        <v>3.25</v>
      </c>
      <c r="AF22" s="273">
        <v>2.9999999999999997E-4</v>
      </c>
      <c r="AG22" s="50">
        <v>1.51</v>
      </c>
      <c r="AH22" s="50"/>
      <c r="AI22" s="50"/>
      <c r="AJ22" s="74"/>
      <c r="AK22" s="74"/>
      <c r="AL22" s="74"/>
      <c r="AM22" s="74"/>
      <c r="AN22" s="74"/>
      <c r="AO22" s="74"/>
      <c r="AP22" s="74"/>
      <c r="AQ22" s="74"/>
      <c r="AR22" s="74"/>
      <c r="AS22" s="74"/>
      <c r="AT22" s="74"/>
      <c r="AU22" s="74"/>
    </row>
    <row r="23" spans="1:47" s="28" customFormat="1" ht="14">
      <c r="A23" s="74" t="s">
        <v>279</v>
      </c>
      <c r="B23" s="50" t="s">
        <v>527</v>
      </c>
      <c r="C23" s="50" t="s">
        <v>527</v>
      </c>
      <c r="D23" s="48" t="s">
        <v>372</v>
      </c>
      <c r="E23" s="50" t="s">
        <v>487</v>
      </c>
      <c r="F23" s="50"/>
      <c r="G23" s="76" t="s">
        <v>528</v>
      </c>
      <c r="H23" s="50">
        <v>5015</v>
      </c>
      <c r="I23" s="49" t="s">
        <v>1</v>
      </c>
      <c r="J23" s="50" t="s">
        <v>271</v>
      </c>
      <c r="K23" s="51">
        <v>40999</v>
      </c>
      <c r="L23" s="115">
        <v>40992</v>
      </c>
      <c r="M23" s="50">
        <v>7</v>
      </c>
      <c r="N23" s="50" t="s">
        <v>2</v>
      </c>
      <c r="O23" s="74"/>
      <c r="P23" s="50"/>
      <c r="Q23" s="74"/>
      <c r="R23" s="50"/>
      <c r="S23" s="74"/>
      <c r="T23" s="50"/>
      <c r="U23" s="74"/>
      <c r="V23" s="50"/>
      <c r="W23" s="74"/>
      <c r="X23" s="50"/>
      <c r="Y23" s="50"/>
      <c r="Z23" s="164"/>
      <c r="AA23" s="165"/>
      <c r="AB23" s="50"/>
      <c r="AC23" s="74"/>
      <c r="AD23" s="164"/>
      <c r="AE23" s="50">
        <v>0.09</v>
      </c>
      <c r="AF23" s="273">
        <f>0.0002/2</f>
        <v>1E-4</v>
      </c>
      <c r="AG23" s="50">
        <v>0.03</v>
      </c>
      <c r="AH23" s="50"/>
      <c r="AI23" s="50"/>
      <c r="AJ23" s="74"/>
      <c r="AK23" s="74"/>
      <c r="AL23" s="74"/>
      <c r="AM23" s="74"/>
      <c r="AN23" s="74"/>
      <c r="AO23" s="74"/>
      <c r="AP23" s="74"/>
      <c r="AQ23" s="74"/>
      <c r="AR23" s="74"/>
      <c r="AS23" s="74"/>
      <c r="AT23" s="74"/>
      <c r="AU23" s="74"/>
    </row>
    <row r="24" spans="1:47" s="28" customFormat="1" ht="14">
      <c r="A24" s="74" t="s">
        <v>279</v>
      </c>
      <c r="B24" s="50" t="s">
        <v>527</v>
      </c>
      <c r="C24" s="50" t="s">
        <v>527</v>
      </c>
      <c r="D24" s="48" t="s">
        <v>372</v>
      </c>
      <c r="E24" s="50" t="s">
        <v>487</v>
      </c>
      <c r="F24" s="50"/>
      <c r="G24" s="76" t="s">
        <v>528</v>
      </c>
      <c r="H24" s="50">
        <v>5015</v>
      </c>
      <c r="I24" s="49" t="s">
        <v>1</v>
      </c>
      <c r="J24" s="50" t="s">
        <v>271</v>
      </c>
      <c r="K24" s="51">
        <v>41082</v>
      </c>
      <c r="L24" s="115">
        <v>41073</v>
      </c>
      <c r="M24" s="50">
        <v>9</v>
      </c>
      <c r="N24" s="50" t="s">
        <v>2</v>
      </c>
      <c r="O24" s="74">
        <v>4.9000000000000004</v>
      </c>
      <c r="P24" s="50">
        <v>5.4</v>
      </c>
      <c r="Q24" s="74">
        <v>4.8899999999999997</v>
      </c>
      <c r="R24" s="50">
        <v>26.9</v>
      </c>
      <c r="S24" s="74">
        <v>51</v>
      </c>
      <c r="T24" s="50">
        <v>0.12</v>
      </c>
      <c r="U24" s="74">
        <v>0.94</v>
      </c>
      <c r="V24" s="50">
        <v>0.46</v>
      </c>
      <c r="W24" s="74">
        <v>0.02</v>
      </c>
      <c r="X24" s="50">
        <v>0.89</v>
      </c>
      <c r="Y24" s="50">
        <v>0.02</v>
      </c>
      <c r="Z24" s="164"/>
      <c r="AA24" s="165"/>
      <c r="AB24" s="50"/>
      <c r="AC24" s="74"/>
      <c r="AD24" s="164"/>
      <c r="AE24" s="50">
        <v>1.91</v>
      </c>
      <c r="AF24" s="273">
        <f>0.0002/2</f>
        <v>1E-4</v>
      </c>
      <c r="AG24" s="50">
        <v>1.5</v>
      </c>
      <c r="AH24" s="50"/>
      <c r="AI24" s="50"/>
      <c r="AJ24" s="74"/>
      <c r="AK24" s="74"/>
      <c r="AL24" s="74"/>
      <c r="AM24" s="74"/>
      <c r="AN24" s="74"/>
      <c r="AO24" s="74"/>
      <c r="AP24" s="74"/>
      <c r="AQ24" s="74"/>
      <c r="AR24" s="74"/>
      <c r="AS24" s="74"/>
      <c r="AT24" s="74"/>
      <c r="AU24" s="74"/>
    </row>
    <row r="25" spans="1:47" s="28" customFormat="1" ht="14">
      <c r="A25" s="74" t="s">
        <v>279</v>
      </c>
      <c r="B25" s="50" t="s">
        <v>1141</v>
      </c>
      <c r="C25" s="50" t="s">
        <v>1142</v>
      </c>
      <c r="D25" s="48" t="s">
        <v>397</v>
      </c>
      <c r="E25" s="50"/>
      <c r="F25" s="50"/>
      <c r="G25" s="76" t="s">
        <v>1143</v>
      </c>
      <c r="H25" s="50">
        <v>5015</v>
      </c>
      <c r="I25" s="49" t="s">
        <v>2</v>
      </c>
      <c r="J25" s="50" t="s">
        <v>1144</v>
      </c>
      <c r="K25" s="51">
        <v>40835</v>
      </c>
      <c r="L25" s="115">
        <v>40829</v>
      </c>
      <c r="M25" s="50">
        <v>6</v>
      </c>
      <c r="N25" s="50" t="s">
        <v>2</v>
      </c>
      <c r="O25" s="74">
        <v>2.8</v>
      </c>
      <c r="P25" s="50"/>
      <c r="Q25" s="74">
        <v>7.02</v>
      </c>
      <c r="R25" s="50">
        <v>110</v>
      </c>
      <c r="S25" s="74">
        <v>430</v>
      </c>
      <c r="T25" s="50">
        <v>0.44</v>
      </c>
      <c r="U25" s="74">
        <v>1.7</v>
      </c>
      <c r="V25" s="50">
        <v>0.12</v>
      </c>
      <c r="W25" s="74">
        <v>0.374</v>
      </c>
      <c r="X25" s="50">
        <v>0.92700000000000005</v>
      </c>
      <c r="Y25" s="50">
        <v>1.7</v>
      </c>
      <c r="Z25" s="164">
        <v>0.85580999999999996</v>
      </c>
      <c r="AA25" s="165">
        <v>0.70711000000000002</v>
      </c>
      <c r="AB25" s="50">
        <v>12</v>
      </c>
      <c r="AC25" s="74">
        <v>47</v>
      </c>
      <c r="AD25" s="164">
        <v>0</v>
      </c>
      <c r="AE25" s="50">
        <v>27.7</v>
      </c>
      <c r="AF25" s="273">
        <f>0.0002/2</f>
        <v>1E-4</v>
      </c>
      <c r="AG25" s="50">
        <v>13.8</v>
      </c>
      <c r="AH25" s="50"/>
      <c r="AI25" s="50"/>
      <c r="AJ25" s="74"/>
      <c r="AK25" s="74"/>
      <c r="AL25" s="74"/>
      <c r="AM25" s="74"/>
      <c r="AN25" s="74"/>
      <c r="AO25" s="74"/>
      <c r="AP25" s="74"/>
      <c r="AQ25" s="74"/>
      <c r="AR25" s="74"/>
      <c r="AS25" s="74"/>
      <c r="AT25" s="74"/>
      <c r="AU25" s="74"/>
    </row>
    <row r="26" spans="1:47" s="28" customFormat="1" ht="14">
      <c r="A26" s="74" t="s">
        <v>279</v>
      </c>
      <c r="B26" s="50" t="s">
        <v>1141</v>
      </c>
      <c r="C26" s="50" t="s">
        <v>1142</v>
      </c>
      <c r="D26" s="48" t="s">
        <v>397</v>
      </c>
      <c r="E26" s="50"/>
      <c r="F26" s="50"/>
      <c r="G26" s="76" t="s">
        <v>1143</v>
      </c>
      <c r="H26" s="50">
        <v>5015</v>
      </c>
      <c r="I26" s="49" t="s">
        <v>2</v>
      </c>
      <c r="J26" s="50" t="s">
        <v>1144</v>
      </c>
      <c r="K26" s="51">
        <v>40996</v>
      </c>
      <c r="L26" s="115"/>
      <c r="M26" s="50"/>
      <c r="N26" s="50" t="s">
        <v>2</v>
      </c>
      <c r="O26" s="74">
        <v>0.7</v>
      </c>
      <c r="P26" s="50"/>
      <c r="Q26" s="74">
        <v>6.78</v>
      </c>
      <c r="R26" s="50">
        <v>24</v>
      </c>
      <c r="S26" s="74">
        <v>170</v>
      </c>
      <c r="T26" s="50">
        <v>0.22</v>
      </c>
      <c r="U26" s="74">
        <v>0.82</v>
      </c>
      <c r="V26" s="50">
        <v>0.03</v>
      </c>
      <c r="W26" s="74">
        <v>0.248</v>
      </c>
      <c r="X26" s="50">
        <v>0.71599999999999997</v>
      </c>
      <c r="Y26" s="50">
        <v>1.05</v>
      </c>
      <c r="Z26" s="164">
        <v>1</v>
      </c>
      <c r="AA26" s="165">
        <v>1</v>
      </c>
      <c r="AB26" s="50">
        <v>28</v>
      </c>
      <c r="AC26" s="74">
        <v>44</v>
      </c>
      <c r="AD26" s="164">
        <v>1</v>
      </c>
      <c r="AE26" s="50"/>
      <c r="AF26" s="273"/>
      <c r="AG26" s="50"/>
      <c r="AH26" s="50"/>
      <c r="AI26" s="50"/>
      <c r="AJ26" s="74"/>
      <c r="AK26" s="74"/>
      <c r="AL26" s="74"/>
      <c r="AM26" s="74"/>
      <c r="AN26" s="74"/>
      <c r="AO26" s="74"/>
      <c r="AP26" s="74"/>
      <c r="AQ26" s="74"/>
      <c r="AR26" s="74"/>
      <c r="AS26" s="74"/>
      <c r="AT26" s="74"/>
      <c r="AU26" s="74"/>
    </row>
    <row r="27" spans="1:47" s="28" customFormat="1" ht="14">
      <c r="A27" s="74" t="s">
        <v>279</v>
      </c>
      <c r="B27" s="50" t="s">
        <v>1141</v>
      </c>
      <c r="C27" s="50" t="s">
        <v>1142</v>
      </c>
      <c r="D27" s="48" t="s">
        <v>397</v>
      </c>
      <c r="E27" s="50"/>
      <c r="F27" s="50"/>
      <c r="G27" s="76" t="s">
        <v>1143</v>
      </c>
      <c r="H27" s="50">
        <v>5015</v>
      </c>
      <c r="I27" s="49" t="s">
        <v>2</v>
      </c>
      <c r="J27" s="50" t="s">
        <v>1144</v>
      </c>
      <c r="K27" s="51">
        <v>41030</v>
      </c>
      <c r="L27" s="115"/>
      <c r="M27" s="50"/>
      <c r="N27" s="50" t="s">
        <v>2</v>
      </c>
      <c r="O27" s="74">
        <v>0.7</v>
      </c>
      <c r="P27" s="50"/>
      <c r="Q27" s="74">
        <v>6.86</v>
      </c>
      <c r="R27" s="50">
        <v>32</v>
      </c>
      <c r="S27" s="74">
        <v>370</v>
      </c>
      <c r="T27" s="50">
        <v>0.24</v>
      </c>
      <c r="U27" s="74">
        <v>0.98</v>
      </c>
      <c r="V27" s="50">
        <v>0.03</v>
      </c>
      <c r="W27" s="74">
        <v>0.21</v>
      </c>
      <c r="X27" s="50">
        <v>0.55800000000000005</v>
      </c>
      <c r="Y27" s="50">
        <v>0.92300000000000004</v>
      </c>
      <c r="Z27" s="164">
        <v>0.70699999999999996</v>
      </c>
      <c r="AA27" s="165">
        <v>0.70699999999999996</v>
      </c>
      <c r="AB27" s="50">
        <v>10</v>
      </c>
      <c r="AC27" s="74">
        <v>34</v>
      </c>
      <c r="AD27" s="164">
        <v>1</v>
      </c>
      <c r="AE27" s="50">
        <v>16.2</v>
      </c>
      <c r="AF27" s="273">
        <v>1E-4</v>
      </c>
      <c r="AG27" s="50">
        <v>8.1</v>
      </c>
      <c r="AH27" s="50"/>
      <c r="AI27" s="50"/>
      <c r="AJ27" s="74"/>
      <c r="AK27" s="74"/>
      <c r="AL27" s="74"/>
      <c r="AM27" s="74"/>
      <c r="AN27" s="74"/>
      <c r="AO27" s="74"/>
      <c r="AP27" s="74"/>
      <c r="AQ27" s="74"/>
      <c r="AR27" s="74"/>
      <c r="AS27" s="74"/>
      <c r="AT27" s="74"/>
      <c r="AU27" s="74"/>
    </row>
    <row r="28" spans="1:47" s="28" customFormat="1" ht="14">
      <c r="A28" s="74" t="s">
        <v>279</v>
      </c>
      <c r="B28" s="50" t="s">
        <v>1145</v>
      </c>
      <c r="C28" s="50" t="s">
        <v>1145</v>
      </c>
      <c r="D28" s="48" t="s">
        <v>133</v>
      </c>
      <c r="E28" s="50" t="s">
        <v>2610</v>
      </c>
      <c r="F28" s="50" t="s">
        <v>2609</v>
      </c>
      <c r="G28" s="76" t="s">
        <v>1146</v>
      </c>
      <c r="H28" s="50">
        <v>5015</v>
      </c>
      <c r="I28" s="49" t="s">
        <v>2</v>
      </c>
      <c r="J28" s="50" t="s">
        <v>1144</v>
      </c>
      <c r="K28" s="51">
        <v>41030</v>
      </c>
      <c r="L28" s="115"/>
      <c r="M28" s="115" t="s">
        <v>1147</v>
      </c>
      <c r="N28" s="50" t="s">
        <v>2</v>
      </c>
      <c r="O28" s="74">
        <v>12</v>
      </c>
      <c r="P28" s="50"/>
      <c r="Q28" s="74">
        <v>8.08</v>
      </c>
      <c r="R28" s="50">
        <v>1500</v>
      </c>
      <c r="S28" s="74">
        <v>2700</v>
      </c>
      <c r="T28" s="50">
        <v>1.7</v>
      </c>
      <c r="U28" s="74">
        <v>2.2000000000000002</v>
      </c>
      <c r="V28" s="50">
        <v>0.17</v>
      </c>
      <c r="W28" s="74">
        <v>1.7</v>
      </c>
      <c r="X28" s="50">
        <v>11</v>
      </c>
      <c r="Y28" s="50">
        <v>7.6</v>
      </c>
      <c r="Z28" s="164">
        <v>1</v>
      </c>
      <c r="AA28" s="165">
        <v>1</v>
      </c>
      <c r="AB28" s="50">
        <v>240</v>
      </c>
      <c r="AC28" s="74">
        <v>273</v>
      </c>
      <c r="AD28" s="164">
        <v>1</v>
      </c>
      <c r="AE28" s="50">
        <v>110</v>
      </c>
      <c r="AF28" s="273">
        <f>0.0004/2</f>
        <v>2.0000000000000001E-4</v>
      </c>
      <c r="AG28" s="50">
        <v>22</v>
      </c>
      <c r="AH28" s="50"/>
      <c r="AI28" s="50"/>
      <c r="AJ28" s="74"/>
      <c r="AK28" s="74"/>
      <c r="AL28" s="74"/>
      <c r="AM28" s="74"/>
      <c r="AN28" s="74"/>
      <c r="AO28" s="74"/>
      <c r="AP28" s="74"/>
      <c r="AQ28" s="74"/>
      <c r="AR28" s="74"/>
      <c r="AS28" s="74"/>
      <c r="AT28" s="74"/>
      <c r="AU28" s="74"/>
    </row>
    <row r="29" spans="1:47" s="28" customFormat="1" ht="14">
      <c r="A29" s="74" t="s">
        <v>279</v>
      </c>
      <c r="B29" s="50" t="s">
        <v>1148</v>
      </c>
      <c r="C29" s="50" t="s">
        <v>1148</v>
      </c>
      <c r="D29" s="48" t="s">
        <v>735</v>
      </c>
      <c r="E29" s="50" t="s">
        <v>1149</v>
      </c>
      <c r="F29" s="50"/>
      <c r="G29" s="76" t="s">
        <v>1150</v>
      </c>
      <c r="H29" s="50">
        <v>5015</v>
      </c>
      <c r="I29" s="49" t="s">
        <v>2</v>
      </c>
      <c r="J29" s="50" t="s">
        <v>271</v>
      </c>
      <c r="K29" s="51">
        <v>41131</v>
      </c>
      <c r="L29" s="115">
        <v>41126</v>
      </c>
      <c r="M29" s="50">
        <v>5</v>
      </c>
      <c r="N29" s="50" t="s">
        <v>2</v>
      </c>
      <c r="O29" s="74">
        <v>3.6</v>
      </c>
      <c r="P29" s="50">
        <v>5.32</v>
      </c>
      <c r="Q29" s="74">
        <v>5.29</v>
      </c>
      <c r="R29" s="50">
        <v>300</v>
      </c>
      <c r="S29" s="74">
        <v>30</v>
      </c>
      <c r="T29" s="50">
        <v>0.04</v>
      </c>
      <c r="U29" s="74">
        <v>3.84</v>
      </c>
      <c r="V29" s="50">
        <v>0.12</v>
      </c>
      <c r="W29" s="74">
        <v>3.2000000000000001E-2</v>
      </c>
      <c r="X29" s="50">
        <v>6.3E-2</v>
      </c>
      <c r="Y29" s="50">
        <v>1.4999999999999999E-2</v>
      </c>
      <c r="Z29" s="164"/>
      <c r="AA29" s="165"/>
      <c r="AB29" s="50"/>
      <c r="AC29" s="74"/>
      <c r="AD29" s="164"/>
      <c r="AE29" s="50">
        <v>14.6</v>
      </c>
      <c r="AF29" s="273">
        <f t="shared" ref="AF29:AF35" si="1">0.0002/2</f>
        <v>1E-4</v>
      </c>
      <c r="AG29" s="50">
        <v>0.40100000000000002</v>
      </c>
      <c r="AH29" s="50">
        <v>3.6</v>
      </c>
      <c r="AI29" s="50"/>
      <c r="AJ29" s="74"/>
      <c r="AK29" s="74"/>
      <c r="AL29" s="74"/>
      <c r="AM29" s="74"/>
      <c r="AN29" s="74"/>
      <c r="AO29" s="74"/>
      <c r="AP29" s="74"/>
      <c r="AQ29" s="74"/>
      <c r="AR29" s="74"/>
      <c r="AS29" s="74"/>
      <c r="AT29" s="74"/>
      <c r="AU29" s="74"/>
    </row>
    <row r="30" spans="1:47" s="28" customFormat="1" ht="14">
      <c r="A30" s="74" t="s">
        <v>279</v>
      </c>
      <c r="B30" s="50" t="s">
        <v>1148</v>
      </c>
      <c r="C30" s="50" t="s">
        <v>1148</v>
      </c>
      <c r="D30" s="48" t="s">
        <v>735</v>
      </c>
      <c r="E30" s="50" t="s">
        <v>1149</v>
      </c>
      <c r="F30" s="50"/>
      <c r="G30" s="76" t="s">
        <v>1150</v>
      </c>
      <c r="H30" s="50">
        <v>5015</v>
      </c>
      <c r="I30" s="49" t="s">
        <v>2</v>
      </c>
      <c r="J30" s="50" t="s">
        <v>272</v>
      </c>
      <c r="K30" s="51">
        <v>41131</v>
      </c>
      <c r="L30" s="115">
        <v>41126</v>
      </c>
      <c r="M30" s="50">
        <v>5</v>
      </c>
      <c r="N30" s="50" t="s">
        <v>2</v>
      </c>
      <c r="O30" s="74">
        <v>3</v>
      </c>
      <c r="P30" s="50">
        <v>5.32</v>
      </c>
      <c r="Q30" s="74">
        <v>6.07</v>
      </c>
      <c r="R30" s="50">
        <v>8</v>
      </c>
      <c r="S30" s="74">
        <v>16</v>
      </c>
      <c r="T30" s="50">
        <v>0.01</v>
      </c>
      <c r="U30" s="74">
        <v>1.92</v>
      </c>
      <c r="V30" s="50">
        <v>0.04</v>
      </c>
      <c r="W30" s="74">
        <v>5.0000000000000001E-3</v>
      </c>
      <c r="X30" s="50">
        <v>7.8E-2</v>
      </c>
      <c r="Y30" s="50">
        <v>3.0000000000000001E-3</v>
      </c>
      <c r="Z30" s="164"/>
      <c r="AA30" s="165"/>
      <c r="AB30" s="50"/>
      <c r="AC30" s="74"/>
      <c r="AD30" s="164"/>
      <c r="AE30" s="50">
        <v>6.4</v>
      </c>
      <c r="AF30" s="273">
        <f t="shared" si="1"/>
        <v>1E-4</v>
      </c>
      <c r="AG30" s="50">
        <v>0.14399999999999999</v>
      </c>
      <c r="AH30" s="50">
        <v>3.6</v>
      </c>
      <c r="AI30" s="50"/>
      <c r="AJ30" s="74"/>
      <c r="AK30" s="74"/>
      <c r="AL30" s="74"/>
      <c r="AM30" s="74"/>
      <c r="AN30" s="74"/>
      <c r="AO30" s="74"/>
      <c r="AP30" s="74"/>
      <c r="AQ30" s="74"/>
      <c r="AR30" s="74"/>
      <c r="AS30" s="74"/>
      <c r="AT30" s="74"/>
      <c r="AU30" s="74"/>
    </row>
    <row r="31" spans="1:47" s="28" customFormat="1" ht="14">
      <c r="A31" s="74" t="s">
        <v>279</v>
      </c>
      <c r="B31" s="50" t="s">
        <v>275</v>
      </c>
      <c r="C31" s="50" t="s">
        <v>275</v>
      </c>
      <c r="D31" s="48" t="s">
        <v>276</v>
      </c>
      <c r="E31" s="50" t="s">
        <v>1151</v>
      </c>
      <c r="F31" s="50"/>
      <c r="G31" s="76" t="s">
        <v>278</v>
      </c>
      <c r="H31" s="50">
        <v>5015</v>
      </c>
      <c r="I31" s="49" t="s">
        <v>1</v>
      </c>
      <c r="J31" s="50" t="s">
        <v>272</v>
      </c>
      <c r="K31" s="51">
        <v>40996</v>
      </c>
      <c r="L31" s="115">
        <v>40971</v>
      </c>
      <c r="M31" s="50">
        <v>25</v>
      </c>
      <c r="N31" s="50" t="s">
        <v>2</v>
      </c>
      <c r="O31" s="74"/>
      <c r="P31" s="50"/>
      <c r="Q31" s="74"/>
      <c r="R31" s="50"/>
      <c r="S31" s="74"/>
      <c r="T31" s="50"/>
      <c r="U31" s="74"/>
      <c r="V31" s="50"/>
      <c r="W31" s="74"/>
      <c r="X31" s="50"/>
      <c r="Y31" s="50"/>
      <c r="Z31" s="164"/>
      <c r="AA31" s="165"/>
      <c r="AB31" s="50"/>
      <c r="AC31" s="74"/>
      <c r="AD31" s="164"/>
      <c r="AE31" s="50">
        <f>0.02/2</f>
        <v>0.01</v>
      </c>
      <c r="AF31" s="273">
        <f t="shared" si="1"/>
        <v>1E-4</v>
      </c>
      <c r="AG31" s="50">
        <v>0.21</v>
      </c>
      <c r="AH31" s="50"/>
      <c r="AI31" s="50"/>
      <c r="AJ31" s="74"/>
      <c r="AK31" s="74"/>
      <c r="AL31" s="74"/>
      <c r="AM31" s="74"/>
      <c r="AN31" s="74"/>
      <c r="AO31" s="74"/>
      <c r="AP31" s="74"/>
      <c r="AQ31" s="74"/>
      <c r="AR31" s="74"/>
      <c r="AS31" s="74"/>
      <c r="AT31" s="74"/>
      <c r="AU31" s="74"/>
    </row>
    <row r="32" spans="1:47" s="28" customFormat="1" ht="14">
      <c r="A32" s="74" t="s">
        <v>279</v>
      </c>
      <c r="B32" s="50" t="s">
        <v>275</v>
      </c>
      <c r="C32" s="50" t="s">
        <v>275</v>
      </c>
      <c r="D32" s="48" t="s">
        <v>276</v>
      </c>
      <c r="E32" s="50" t="s">
        <v>277</v>
      </c>
      <c r="F32" s="50"/>
      <c r="G32" s="76" t="s">
        <v>278</v>
      </c>
      <c r="H32" s="50">
        <v>5015</v>
      </c>
      <c r="I32" s="49" t="s">
        <v>1</v>
      </c>
      <c r="J32" s="50" t="s">
        <v>272</v>
      </c>
      <c r="K32" s="51">
        <v>41072</v>
      </c>
      <c r="L32" s="115">
        <v>41066</v>
      </c>
      <c r="M32" s="50">
        <v>6</v>
      </c>
      <c r="N32" s="50" t="s">
        <v>2</v>
      </c>
      <c r="O32" s="74">
        <v>3.4</v>
      </c>
      <c r="P32" s="50">
        <v>6.72</v>
      </c>
      <c r="Q32" s="74">
        <v>6.6</v>
      </c>
      <c r="R32" s="50">
        <v>20.5</v>
      </c>
      <c r="S32" s="74">
        <v>5</v>
      </c>
      <c r="T32" s="50">
        <f>0.05/2</f>
        <v>2.5000000000000001E-2</v>
      </c>
      <c r="U32" s="74">
        <v>0.65</v>
      </c>
      <c r="V32" s="50">
        <v>0.69</v>
      </c>
      <c r="W32" s="74">
        <f>0.01/2</f>
        <v>5.0000000000000001E-3</v>
      </c>
      <c r="X32" s="50">
        <v>0.01</v>
      </c>
      <c r="Y32" s="50">
        <f>0.02/2</f>
        <v>0.01</v>
      </c>
      <c r="Z32" s="164"/>
      <c r="AA32" s="165"/>
      <c r="AB32" s="50"/>
      <c r="AC32" s="74"/>
      <c r="AD32" s="164"/>
      <c r="AE32" s="50">
        <v>0.54</v>
      </c>
      <c r="AF32" s="273">
        <f t="shared" si="1"/>
        <v>1E-4</v>
      </c>
      <c r="AG32" s="50">
        <v>0.15</v>
      </c>
      <c r="AH32" s="50">
        <f>10/2</f>
        <v>5</v>
      </c>
      <c r="AI32" s="50"/>
      <c r="AJ32" s="74"/>
      <c r="AK32" s="74"/>
      <c r="AL32" s="74"/>
      <c r="AM32" s="74"/>
      <c r="AN32" s="74"/>
      <c r="AO32" s="74"/>
      <c r="AP32" s="74"/>
      <c r="AQ32" s="74"/>
      <c r="AR32" s="74"/>
      <c r="AS32" s="74"/>
      <c r="AT32" s="74"/>
      <c r="AU32" s="74"/>
    </row>
    <row r="33" spans="1:47" s="28" customFormat="1" ht="14">
      <c r="A33" s="74" t="s">
        <v>279</v>
      </c>
      <c r="B33" s="50" t="s">
        <v>275</v>
      </c>
      <c r="C33" s="50" t="s">
        <v>275</v>
      </c>
      <c r="D33" s="48" t="s">
        <v>276</v>
      </c>
      <c r="E33" s="50" t="s">
        <v>1151</v>
      </c>
      <c r="F33" s="50"/>
      <c r="G33" s="76" t="s">
        <v>278</v>
      </c>
      <c r="H33" s="50">
        <v>5015</v>
      </c>
      <c r="I33" s="49" t="s">
        <v>1</v>
      </c>
      <c r="J33" s="50" t="s">
        <v>272</v>
      </c>
      <c r="K33" s="51">
        <v>41108</v>
      </c>
      <c r="L33" s="115">
        <v>41105</v>
      </c>
      <c r="M33" s="50">
        <v>3</v>
      </c>
      <c r="N33" s="50" t="s">
        <v>2</v>
      </c>
      <c r="O33" s="74"/>
      <c r="P33" s="50"/>
      <c r="Q33" s="74"/>
      <c r="R33" s="50"/>
      <c r="S33" s="74"/>
      <c r="T33" s="50"/>
      <c r="U33" s="74"/>
      <c r="V33" s="50"/>
      <c r="W33" s="74"/>
      <c r="X33" s="50"/>
      <c r="Y33" s="50"/>
      <c r="Z33" s="164"/>
      <c r="AA33" s="165"/>
      <c r="AB33" s="50"/>
      <c r="AC33" s="74"/>
      <c r="AD33" s="164"/>
      <c r="AE33" s="50">
        <v>0.02</v>
      </c>
      <c r="AF33" s="273">
        <f t="shared" si="1"/>
        <v>1E-4</v>
      </c>
      <c r="AG33" s="50">
        <v>0.01</v>
      </c>
      <c r="AH33" s="50"/>
      <c r="AI33" s="50"/>
      <c r="AJ33" s="74"/>
      <c r="AK33" s="74"/>
      <c r="AL33" s="74"/>
      <c r="AM33" s="74"/>
      <c r="AN33" s="74"/>
      <c r="AO33" s="74"/>
      <c r="AP33" s="74"/>
      <c r="AQ33" s="74"/>
      <c r="AR33" s="74"/>
      <c r="AS33" s="74"/>
      <c r="AT33" s="74"/>
      <c r="AU33" s="74"/>
    </row>
    <row r="34" spans="1:47" s="28" customFormat="1" ht="14">
      <c r="A34" s="74" t="s">
        <v>279</v>
      </c>
      <c r="B34" s="50" t="s">
        <v>1152</v>
      </c>
      <c r="C34" s="50" t="s">
        <v>1152</v>
      </c>
      <c r="D34" s="48" t="s">
        <v>379</v>
      </c>
      <c r="E34" s="50" t="s">
        <v>1153</v>
      </c>
      <c r="F34" s="50"/>
      <c r="G34" s="76" t="s">
        <v>1154</v>
      </c>
      <c r="H34" s="50">
        <v>5015</v>
      </c>
      <c r="I34" s="49" t="s">
        <v>1</v>
      </c>
      <c r="J34" s="50"/>
      <c r="K34" s="51">
        <v>40935</v>
      </c>
      <c r="L34" s="115">
        <v>40931</v>
      </c>
      <c r="M34" s="50">
        <v>4</v>
      </c>
      <c r="N34" s="50" t="s">
        <v>2</v>
      </c>
      <c r="O34" s="74">
        <v>1.1000000000000001</v>
      </c>
      <c r="P34" s="50">
        <v>4.2300000000000004</v>
      </c>
      <c r="Q34" s="74">
        <v>5.9</v>
      </c>
      <c r="R34" s="50">
        <v>63.1</v>
      </c>
      <c r="S34" s="74">
        <v>1139</v>
      </c>
      <c r="T34" s="50">
        <v>0.6</v>
      </c>
      <c r="U34" s="74">
        <v>1.33</v>
      </c>
      <c r="V34" s="50">
        <v>0.28999999999999998</v>
      </c>
      <c r="W34" s="74">
        <v>0.06</v>
      </c>
      <c r="X34" s="50">
        <v>0.46</v>
      </c>
      <c r="Y34" s="50">
        <v>0.14000000000000001</v>
      </c>
      <c r="Z34" s="164">
        <v>1</v>
      </c>
      <c r="AA34" s="165">
        <v>0.16900000000000001</v>
      </c>
      <c r="AB34" s="50">
        <v>22.5</v>
      </c>
      <c r="AC34" s="74">
        <v>27.4</v>
      </c>
      <c r="AD34" s="164">
        <v>0</v>
      </c>
      <c r="AE34" s="50">
        <v>23.59</v>
      </c>
      <c r="AF34" s="273">
        <f t="shared" si="1"/>
        <v>1E-4</v>
      </c>
      <c r="AG34" s="50">
        <v>23.67</v>
      </c>
      <c r="AH34" s="50">
        <f>10/2</f>
        <v>5</v>
      </c>
      <c r="AI34" s="50"/>
      <c r="AJ34" s="74"/>
      <c r="AK34" s="74"/>
      <c r="AL34" s="74"/>
      <c r="AM34" s="74"/>
      <c r="AN34" s="74"/>
      <c r="AO34" s="74"/>
      <c r="AP34" s="74"/>
      <c r="AQ34" s="74"/>
      <c r="AR34" s="74"/>
      <c r="AS34" s="74"/>
      <c r="AT34" s="74"/>
      <c r="AU34" s="74"/>
    </row>
    <row r="35" spans="1:47" s="28" customFormat="1" ht="14">
      <c r="A35" s="74" t="s">
        <v>279</v>
      </c>
      <c r="B35" s="50" t="s">
        <v>1152</v>
      </c>
      <c r="C35" s="50" t="s">
        <v>1152</v>
      </c>
      <c r="D35" s="48" t="s">
        <v>379</v>
      </c>
      <c r="E35" s="50" t="s">
        <v>1153</v>
      </c>
      <c r="F35" s="50"/>
      <c r="G35" s="76" t="s">
        <v>1154</v>
      </c>
      <c r="H35" s="50">
        <v>5015</v>
      </c>
      <c r="I35" s="49" t="s">
        <v>1</v>
      </c>
      <c r="J35" s="50" t="s">
        <v>271</v>
      </c>
      <c r="K35" s="51">
        <v>41030</v>
      </c>
      <c r="L35" s="115">
        <v>41022</v>
      </c>
      <c r="M35" s="50">
        <v>7</v>
      </c>
      <c r="N35" s="50" t="s">
        <v>2</v>
      </c>
      <c r="O35" s="74">
        <v>3.1</v>
      </c>
      <c r="P35" s="50">
        <v>6</v>
      </c>
      <c r="Q35" s="74">
        <v>7.18</v>
      </c>
      <c r="R35" s="50">
        <v>52.3</v>
      </c>
      <c r="S35" s="74">
        <v>132</v>
      </c>
      <c r="T35" s="50">
        <v>0.33</v>
      </c>
      <c r="U35" s="74">
        <v>1.6</v>
      </c>
      <c r="V35" s="50">
        <v>0.28999999999999998</v>
      </c>
      <c r="W35" s="74">
        <v>0.09</v>
      </c>
      <c r="X35" s="50">
        <v>0.54</v>
      </c>
      <c r="Y35" s="50">
        <v>0.2</v>
      </c>
      <c r="Z35" s="164"/>
      <c r="AA35" s="165"/>
      <c r="AB35" s="50"/>
      <c r="AC35" s="74"/>
      <c r="AD35" s="164"/>
      <c r="AE35" s="50">
        <v>12.3</v>
      </c>
      <c r="AF35" s="273">
        <f t="shared" si="1"/>
        <v>1E-4</v>
      </c>
      <c r="AG35" s="50">
        <v>9.23</v>
      </c>
      <c r="AH35" s="50">
        <v>25</v>
      </c>
      <c r="AI35" s="50"/>
      <c r="AJ35" s="74"/>
      <c r="AK35" s="74"/>
      <c r="AL35" s="74"/>
      <c r="AM35" s="74"/>
      <c r="AN35" s="74"/>
      <c r="AO35" s="74"/>
      <c r="AP35" s="74"/>
      <c r="AQ35" s="74"/>
      <c r="AR35" s="74"/>
      <c r="AS35" s="74"/>
      <c r="AT35" s="74"/>
      <c r="AU35" s="74"/>
    </row>
    <row r="36" spans="1:47" s="28" customFormat="1" ht="14">
      <c r="A36" s="74" t="s">
        <v>279</v>
      </c>
      <c r="B36" s="50" t="s">
        <v>905</v>
      </c>
      <c r="C36" s="50" t="s">
        <v>905</v>
      </c>
      <c r="D36" s="48" t="s">
        <v>372</v>
      </c>
      <c r="E36" s="50" t="s">
        <v>906</v>
      </c>
      <c r="F36" s="50"/>
      <c r="G36" s="76" t="s">
        <v>907</v>
      </c>
      <c r="H36" s="50">
        <v>5015</v>
      </c>
      <c r="I36" s="49" t="s">
        <v>2</v>
      </c>
      <c r="J36" s="50" t="s">
        <v>271</v>
      </c>
      <c r="K36" s="51">
        <v>41030</v>
      </c>
      <c r="L36" s="115">
        <v>41021</v>
      </c>
      <c r="M36" s="50">
        <v>9</v>
      </c>
      <c r="N36" s="50" t="s">
        <v>2</v>
      </c>
      <c r="O36" s="74">
        <v>3.5</v>
      </c>
      <c r="P36" s="50">
        <v>6.6</v>
      </c>
      <c r="Q36" s="74">
        <v>7.3</v>
      </c>
      <c r="R36" s="50">
        <v>83</v>
      </c>
      <c r="S36" s="74">
        <v>148</v>
      </c>
      <c r="T36" s="50">
        <v>0.23</v>
      </c>
      <c r="U36" s="74">
        <v>2.27</v>
      </c>
      <c r="V36" s="50">
        <v>1.35</v>
      </c>
      <c r="W36" s="74">
        <v>0.152</v>
      </c>
      <c r="X36" s="50">
        <v>1.27</v>
      </c>
      <c r="Y36" s="50">
        <v>0.34300000000000003</v>
      </c>
      <c r="Z36" s="164"/>
      <c r="AA36" s="165"/>
      <c r="AB36" s="50"/>
      <c r="AC36" s="74"/>
      <c r="AD36" s="164"/>
      <c r="AE36" s="50">
        <v>12.5</v>
      </c>
      <c r="AF36" s="273">
        <f>0.0004/2</f>
        <v>2.0000000000000001E-4</v>
      </c>
      <c r="AG36" s="50">
        <v>2.88</v>
      </c>
      <c r="AH36" s="50">
        <f>50/2</f>
        <v>25</v>
      </c>
      <c r="AI36" s="50"/>
      <c r="AJ36" s="74"/>
      <c r="AK36" s="74"/>
      <c r="AL36" s="74"/>
      <c r="AM36" s="74"/>
      <c r="AN36" s="74"/>
      <c r="AO36" s="74"/>
      <c r="AP36" s="74"/>
      <c r="AQ36" s="74"/>
      <c r="AR36" s="74"/>
      <c r="AS36" s="74"/>
      <c r="AT36" s="74"/>
      <c r="AU36" s="74"/>
    </row>
    <row r="37" spans="1:47" s="28" customFormat="1" ht="14">
      <c r="A37" s="74" t="s">
        <v>279</v>
      </c>
      <c r="B37" s="50" t="s">
        <v>1155</v>
      </c>
      <c r="C37" s="50" t="s">
        <v>1155</v>
      </c>
      <c r="D37" s="48" t="s">
        <v>350</v>
      </c>
      <c r="E37" s="50" t="s">
        <v>1156</v>
      </c>
      <c r="F37" s="50"/>
      <c r="G37" s="76" t="s">
        <v>1157</v>
      </c>
      <c r="H37" s="50">
        <v>5015</v>
      </c>
      <c r="I37" s="49" t="s">
        <v>1</v>
      </c>
      <c r="J37" s="50" t="s">
        <v>271</v>
      </c>
      <c r="K37" s="51">
        <v>40857</v>
      </c>
      <c r="L37" s="115">
        <v>40846</v>
      </c>
      <c r="M37" s="50">
        <f>K37-L37</f>
        <v>11</v>
      </c>
      <c r="N37" s="50" t="s">
        <v>2</v>
      </c>
      <c r="O37" s="74">
        <v>2.2000000000000002</v>
      </c>
      <c r="P37" s="50">
        <v>6.65</v>
      </c>
      <c r="Q37" s="74">
        <v>6.75</v>
      </c>
      <c r="R37" s="50">
        <v>160</v>
      </c>
      <c r="S37" s="74">
        <v>260</v>
      </c>
      <c r="T37" s="50">
        <v>0.1</v>
      </c>
      <c r="U37" s="74">
        <v>2.1</v>
      </c>
      <c r="V37" s="50">
        <f>0.05/2</f>
        <v>2.5000000000000001E-2</v>
      </c>
      <c r="W37" s="74">
        <v>6.2E-2</v>
      </c>
      <c r="X37" s="50">
        <v>0.26400000000000001</v>
      </c>
      <c r="Y37" s="50">
        <v>0.36799999999999999</v>
      </c>
      <c r="Z37" s="164">
        <v>1</v>
      </c>
      <c r="AA37" s="165">
        <v>1</v>
      </c>
      <c r="AB37" s="50">
        <v>10</v>
      </c>
      <c r="AC37" s="74">
        <v>35</v>
      </c>
      <c r="AD37" s="164">
        <v>1</v>
      </c>
      <c r="AE37" s="50">
        <v>9.5</v>
      </c>
      <c r="AF37" s="273">
        <f>0.0002/2</f>
        <v>1E-4</v>
      </c>
      <c r="AG37" s="50">
        <v>6.79</v>
      </c>
      <c r="AH37" s="50"/>
      <c r="AI37" s="50"/>
      <c r="AJ37" s="74"/>
      <c r="AK37" s="74"/>
      <c r="AL37" s="74"/>
      <c r="AM37" s="74"/>
      <c r="AN37" s="74"/>
      <c r="AO37" s="74"/>
      <c r="AP37" s="74"/>
      <c r="AQ37" s="74"/>
      <c r="AR37" s="74"/>
      <c r="AS37" s="74"/>
      <c r="AT37" s="74"/>
      <c r="AU37" s="74"/>
    </row>
    <row r="38" spans="1:47" s="28" customFormat="1" ht="14">
      <c r="A38" s="74" t="s">
        <v>279</v>
      </c>
      <c r="B38" s="50" t="s">
        <v>1155</v>
      </c>
      <c r="C38" s="50" t="s">
        <v>1155</v>
      </c>
      <c r="D38" s="48" t="s">
        <v>350</v>
      </c>
      <c r="E38" s="50" t="s">
        <v>1156</v>
      </c>
      <c r="F38" s="50"/>
      <c r="G38" s="76" t="s">
        <v>1157</v>
      </c>
      <c r="H38" s="50">
        <v>5015</v>
      </c>
      <c r="I38" s="49" t="s">
        <v>1</v>
      </c>
      <c r="J38" s="50" t="s">
        <v>271</v>
      </c>
      <c r="K38" s="51">
        <v>41021</v>
      </c>
      <c r="L38" s="115">
        <v>41000</v>
      </c>
      <c r="M38" s="50">
        <v>21</v>
      </c>
      <c r="N38" s="50" t="s">
        <v>2</v>
      </c>
      <c r="O38" s="74"/>
      <c r="P38" s="50"/>
      <c r="Q38" s="74"/>
      <c r="R38" s="50"/>
      <c r="S38" s="74"/>
      <c r="T38" s="50"/>
      <c r="U38" s="74"/>
      <c r="V38" s="50"/>
      <c r="W38" s="74"/>
      <c r="X38" s="50"/>
      <c r="Y38" s="50"/>
      <c r="Z38" s="164"/>
      <c r="AA38" s="165"/>
      <c r="AB38" s="50"/>
      <c r="AC38" s="74"/>
      <c r="AD38" s="164"/>
      <c r="AE38" s="50"/>
      <c r="AF38" s="273"/>
      <c r="AG38" s="50"/>
      <c r="AH38" s="50">
        <f>10/2</f>
        <v>5</v>
      </c>
      <c r="AI38" s="50"/>
      <c r="AJ38" s="74"/>
      <c r="AK38" s="74"/>
      <c r="AL38" s="74"/>
      <c r="AM38" s="74"/>
      <c r="AN38" s="74"/>
      <c r="AO38" s="74"/>
      <c r="AP38" s="74"/>
      <c r="AQ38" s="74"/>
      <c r="AR38" s="74"/>
      <c r="AS38" s="74"/>
      <c r="AT38" s="74"/>
      <c r="AU38" s="74"/>
    </row>
    <row r="39" spans="1:47" s="28" customFormat="1" ht="14">
      <c r="A39" s="74" t="s">
        <v>279</v>
      </c>
      <c r="B39" s="50" t="s">
        <v>1155</v>
      </c>
      <c r="C39" s="50" t="s">
        <v>1155</v>
      </c>
      <c r="D39" s="48" t="s">
        <v>350</v>
      </c>
      <c r="E39" s="50" t="s">
        <v>1156</v>
      </c>
      <c r="F39" s="50"/>
      <c r="G39" s="76" t="s">
        <v>1157</v>
      </c>
      <c r="H39" s="50">
        <v>5015</v>
      </c>
      <c r="I39" s="49" t="s">
        <v>1</v>
      </c>
      <c r="J39" s="50" t="s">
        <v>271</v>
      </c>
      <c r="K39" s="51">
        <v>41030</v>
      </c>
      <c r="L39" s="115">
        <v>41021</v>
      </c>
      <c r="M39" s="50">
        <v>9</v>
      </c>
      <c r="N39" s="50" t="s">
        <v>2</v>
      </c>
      <c r="O39" s="74">
        <f>1.6/2</f>
        <v>0.8</v>
      </c>
      <c r="P39" s="50">
        <v>5.97</v>
      </c>
      <c r="Q39" s="74">
        <v>6.66</v>
      </c>
      <c r="R39" s="50">
        <v>22</v>
      </c>
      <c r="S39" s="74">
        <v>48</v>
      </c>
      <c r="T39" s="50">
        <v>0.22</v>
      </c>
      <c r="U39" s="74">
        <v>0.93</v>
      </c>
      <c r="V39" s="50">
        <v>0.2</v>
      </c>
      <c r="W39" s="74">
        <v>0.01</v>
      </c>
      <c r="X39" s="50">
        <v>6.3E-2</v>
      </c>
      <c r="Y39" s="50">
        <v>5.2999999999999999E-2</v>
      </c>
      <c r="Z39" s="164"/>
      <c r="AA39" s="165"/>
      <c r="AB39" s="50"/>
      <c r="AC39" s="74"/>
      <c r="AD39" s="164"/>
      <c r="AE39" s="50">
        <v>2.23</v>
      </c>
      <c r="AF39" s="273">
        <f>0.0002/2</f>
        <v>1E-4</v>
      </c>
      <c r="AG39" s="50">
        <v>1.44</v>
      </c>
      <c r="AH39" s="50">
        <f>0.01/2</f>
        <v>5.0000000000000001E-3</v>
      </c>
      <c r="AI39" s="50"/>
      <c r="AJ39" s="74"/>
      <c r="AK39" s="74"/>
      <c r="AL39" s="74"/>
      <c r="AM39" s="74"/>
      <c r="AN39" s="74"/>
      <c r="AO39" s="74"/>
      <c r="AP39" s="74"/>
      <c r="AQ39" s="74"/>
      <c r="AR39" s="74"/>
      <c r="AS39" s="74"/>
      <c r="AT39" s="74"/>
      <c r="AU39" s="74"/>
    </row>
    <row r="40" spans="1:47" s="28" customFormat="1" ht="14">
      <c r="A40" s="74" t="s">
        <v>279</v>
      </c>
      <c r="B40" s="50" t="s">
        <v>1158</v>
      </c>
      <c r="C40" s="50" t="s">
        <v>1159</v>
      </c>
      <c r="D40" s="48" t="s">
        <v>1160</v>
      </c>
      <c r="E40" s="50" t="s">
        <v>1161</v>
      </c>
      <c r="F40" s="50"/>
      <c r="G40" s="76" t="s">
        <v>1162</v>
      </c>
      <c r="H40" s="50">
        <v>5015</v>
      </c>
      <c r="I40" s="49" t="s">
        <v>2</v>
      </c>
      <c r="J40" s="50" t="s">
        <v>271</v>
      </c>
      <c r="K40" s="51">
        <v>40883</v>
      </c>
      <c r="L40" s="115">
        <v>40865</v>
      </c>
      <c r="M40" s="50">
        <v>18</v>
      </c>
      <c r="N40" s="50" t="s">
        <v>2</v>
      </c>
      <c r="O40" s="74">
        <f>1.8/2</f>
        <v>0.9</v>
      </c>
      <c r="P40" s="50">
        <v>6.9</v>
      </c>
      <c r="Q40" s="74">
        <v>9.1999999999999993</v>
      </c>
      <c r="R40" s="50">
        <v>360</v>
      </c>
      <c r="S40" s="74">
        <v>530</v>
      </c>
      <c r="T40" s="50">
        <v>0.69</v>
      </c>
      <c r="U40" s="74">
        <v>1.7</v>
      </c>
      <c r="V40" s="50">
        <f>0.46/2</f>
        <v>0.23</v>
      </c>
      <c r="W40" s="74">
        <v>0.39500000000000002</v>
      </c>
      <c r="X40" s="50">
        <v>0.871</v>
      </c>
      <c r="Y40" s="50">
        <v>0.56000000000000005</v>
      </c>
      <c r="Z40" s="164">
        <v>1</v>
      </c>
      <c r="AA40" s="165">
        <v>1</v>
      </c>
      <c r="AB40" s="50">
        <v>38</v>
      </c>
      <c r="AC40" s="74">
        <v>84</v>
      </c>
      <c r="AD40" s="164">
        <v>1</v>
      </c>
      <c r="AE40" s="50"/>
      <c r="AF40" s="273"/>
      <c r="AG40" s="50"/>
      <c r="AH40" s="50"/>
      <c r="AI40" s="50"/>
      <c r="AJ40" s="74"/>
      <c r="AK40" s="74"/>
      <c r="AL40" s="74"/>
      <c r="AM40" s="74"/>
      <c r="AN40" s="74"/>
      <c r="AO40" s="74"/>
      <c r="AP40" s="74"/>
      <c r="AQ40" s="74"/>
      <c r="AR40" s="74"/>
      <c r="AS40" s="74"/>
      <c r="AT40" s="74"/>
      <c r="AU40" s="74"/>
    </row>
    <row r="41" spans="1:47" s="28" customFormat="1" ht="14">
      <c r="A41" s="74" t="s">
        <v>279</v>
      </c>
      <c r="B41" s="50" t="s">
        <v>1158</v>
      </c>
      <c r="C41" s="50" t="s">
        <v>1159</v>
      </c>
      <c r="D41" s="48" t="s">
        <v>1160</v>
      </c>
      <c r="E41" s="50" t="s">
        <v>1161</v>
      </c>
      <c r="F41" s="50"/>
      <c r="G41" s="76" t="s">
        <v>1162</v>
      </c>
      <c r="H41" s="50">
        <v>5015</v>
      </c>
      <c r="I41" s="49" t="s">
        <v>2</v>
      </c>
      <c r="J41" s="50" t="s">
        <v>271</v>
      </c>
      <c r="K41" s="51">
        <v>41085</v>
      </c>
      <c r="L41" s="115">
        <v>41074</v>
      </c>
      <c r="M41" s="50">
        <v>11</v>
      </c>
      <c r="N41" s="50" t="s">
        <v>2</v>
      </c>
      <c r="O41" s="74">
        <v>2.1</v>
      </c>
      <c r="P41" s="50">
        <v>6.4</v>
      </c>
      <c r="Q41" s="74">
        <v>7</v>
      </c>
      <c r="R41" s="50">
        <v>120</v>
      </c>
      <c r="S41" s="74">
        <v>220</v>
      </c>
      <c r="T41" s="50">
        <v>0.23400000000000001</v>
      </c>
      <c r="U41" s="74">
        <v>1.8</v>
      </c>
      <c r="V41" s="50">
        <f>0.46/2</f>
        <v>0.23</v>
      </c>
      <c r="W41" s="74">
        <v>0.13500000000000001</v>
      </c>
      <c r="X41" s="50">
        <v>0.33300000000000002</v>
      </c>
      <c r="Y41" s="50">
        <v>0.187</v>
      </c>
      <c r="Z41" s="164"/>
      <c r="AA41" s="165"/>
      <c r="AB41" s="50"/>
      <c r="AC41" s="74"/>
      <c r="AD41" s="164"/>
      <c r="AE41" s="50">
        <v>12.4</v>
      </c>
      <c r="AF41" s="273">
        <f>0.0002/2</f>
        <v>1E-4</v>
      </c>
      <c r="AG41" s="50">
        <v>7.07</v>
      </c>
      <c r="AH41" s="77">
        <f>1.3/2</f>
        <v>0.65</v>
      </c>
      <c r="AI41" s="50"/>
      <c r="AJ41" s="74"/>
      <c r="AK41" s="74"/>
      <c r="AL41" s="74"/>
      <c r="AM41" s="74"/>
      <c r="AN41" s="74"/>
      <c r="AO41" s="74"/>
      <c r="AP41" s="74"/>
      <c r="AQ41" s="74"/>
      <c r="AR41" s="74"/>
      <c r="AS41" s="74"/>
      <c r="AT41" s="74"/>
      <c r="AU41" s="74"/>
    </row>
    <row r="42" spans="1:47" s="28" customFormat="1" ht="14">
      <c r="A42" s="74" t="s">
        <v>279</v>
      </c>
      <c r="B42" s="50" t="s">
        <v>1163</v>
      </c>
      <c r="C42" s="50" t="s">
        <v>1163</v>
      </c>
      <c r="D42" s="48" t="s">
        <v>290</v>
      </c>
      <c r="E42" s="50" t="s">
        <v>1164</v>
      </c>
      <c r="F42" s="50"/>
      <c r="G42" s="76" t="s">
        <v>1165</v>
      </c>
      <c r="H42" s="50">
        <v>5015</v>
      </c>
      <c r="I42" s="49" t="s">
        <v>1</v>
      </c>
      <c r="J42" s="50" t="s">
        <v>1144</v>
      </c>
      <c r="K42" s="51">
        <v>40809</v>
      </c>
      <c r="L42" s="115"/>
      <c r="M42" s="50"/>
      <c r="N42" s="50" t="s">
        <v>2</v>
      </c>
      <c r="O42" s="74">
        <f>1.4/2</f>
        <v>0.7</v>
      </c>
      <c r="P42" s="50">
        <v>4.66</v>
      </c>
      <c r="Q42" s="74">
        <v>4.74</v>
      </c>
      <c r="R42" s="50">
        <f>10/2</f>
        <v>5</v>
      </c>
      <c r="S42" s="74">
        <v>6.5</v>
      </c>
      <c r="T42" s="50">
        <f>0.01/2</f>
        <v>5.0000000000000001E-3</v>
      </c>
      <c r="U42" s="74">
        <v>0.48</v>
      </c>
      <c r="V42" s="50">
        <v>0.12</v>
      </c>
      <c r="W42" s="74">
        <f>0.001/2</f>
        <v>5.0000000000000001E-4</v>
      </c>
      <c r="X42" s="50">
        <v>7.2999999999999995E-2</v>
      </c>
      <c r="Y42" s="50">
        <f>0.002/2</f>
        <v>1E-3</v>
      </c>
      <c r="Z42" s="164">
        <v>0.70699999999999996</v>
      </c>
      <c r="AA42" s="165">
        <v>0.17699999999999999</v>
      </c>
      <c r="AB42" s="50">
        <v>2</v>
      </c>
      <c r="AC42" s="74">
        <v>30</v>
      </c>
      <c r="AD42" s="164">
        <v>0</v>
      </c>
      <c r="AE42" s="50">
        <v>0.184</v>
      </c>
      <c r="AF42" s="273"/>
      <c r="AG42" s="50">
        <v>0.12</v>
      </c>
      <c r="AH42" s="50"/>
      <c r="AI42" s="50"/>
      <c r="AJ42" s="74"/>
      <c r="AK42" s="74"/>
      <c r="AL42" s="74"/>
      <c r="AM42" s="74"/>
      <c r="AN42" s="74"/>
      <c r="AO42" s="74"/>
      <c r="AP42" s="74"/>
      <c r="AQ42" s="74"/>
      <c r="AR42" s="74"/>
      <c r="AS42" s="74"/>
      <c r="AT42" s="74"/>
      <c r="AU42" s="74"/>
    </row>
    <row r="43" spans="1:47" s="28" customFormat="1" ht="14">
      <c r="A43" s="74" t="s">
        <v>279</v>
      </c>
      <c r="B43" s="50" t="s">
        <v>1163</v>
      </c>
      <c r="C43" s="50" t="s">
        <v>1163</v>
      </c>
      <c r="D43" s="48" t="s">
        <v>290</v>
      </c>
      <c r="E43" s="50" t="s">
        <v>1164</v>
      </c>
      <c r="F43" s="50"/>
      <c r="G43" s="76" t="s">
        <v>1165</v>
      </c>
      <c r="H43" s="50">
        <v>5015</v>
      </c>
      <c r="I43" s="49" t="s">
        <v>1</v>
      </c>
      <c r="J43" s="50" t="s">
        <v>1144</v>
      </c>
      <c r="K43" s="51">
        <v>40962</v>
      </c>
      <c r="L43" s="115"/>
      <c r="M43" s="50"/>
      <c r="N43" s="50" t="s">
        <v>2</v>
      </c>
      <c r="O43" s="74">
        <f>1.4/2</f>
        <v>0.7</v>
      </c>
      <c r="P43" s="50">
        <v>4.74</v>
      </c>
      <c r="Q43" s="74">
        <v>4.66</v>
      </c>
      <c r="R43" s="50">
        <f>10/2</f>
        <v>5</v>
      </c>
      <c r="S43" s="74">
        <v>6.5</v>
      </c>
      <c r="T43" s="50">
        <v>0.01</v>
      </c>
      <c r="U43" s="74">
        <v>0.48</v>
      </c>
      <c r="V43" s="50">
        <v>0.12</v>
      </c>
      <c r="W43" s="74">
        <f>0.001/2</f>
        <v>5.0000000000000001E-4</v>
      </c>
      <c r="X43" s="50">
        <v>7.2999999999999995E-2</v>
      </c>
      <c r="Y43" s="50">
        <v>2E-3</v>
      </c>
      <c r="Z43" s="164"/>
      <c r="AA43" s="165"/>
      <c r="AB43" s="50"/>
      <c r="AC43" s="74"/>
      <c r="AD43" s="164"/>
      <c r="AE43" s="50"/>
      <c r="AF43" s="273"/>
      <c r="AG43" s="50"/>
      <c r="AH43" s="50"/>
      <c r="AI43" s="50"/>
      <c r="AJ43" s="74"/>
      <c r="AK43" s="74"/>
      <c r="AL43" s="74"/>
      <c r="AM43" s="74"/>
      <c r="AN43" s="74"/>
      <c r="AO43" s="74"/>
      <c r="AP43" s="74"/>
      <c r="AQ43" s="74"/>
      <c r="AR43" s="74"/>
      <c r="AS43" s="74"/>
      <c r="AT43" s="74"/>
      <c r="AU43" s="74"/>
    </row>
    <row r="44" spans="1:47" s="28" customFormat="1" ht="14">
      <c r="A44" s="82" t="s">
        <v>279</v>
      </c>
      <c r="B44" s="50" t="s">
        <v>1163</v>
      </c>
      <c r="C44" s="50" t="s">
        <v>1163</v>
      </c>
      <c r="D44" s="48" t="s">
        <v>290</v>
      </c>
      <c r="E44" s="50" t="s">
        <v>1164</v>
      </c>
      <c r="F44" s="50"/>
      <c r="G44" s="76" t="s">
        <v>1165</v>
      </c>
      <c r="H44" s="50">
        <v>5015</v>
      </c>
      <c r="I44" s="49" t="s">
        <v>1</v>
      </c>
      <c r="J44" s="50" t="s">
        <v>1144</v>
      </c>
      <c r="K44" s="51">
        <v>41085</v>
      </c>
      <c r="L44" s="115"/>
      <c r="M44" s="50"/>
      <c r="N44" s="50" t="s">
        <v>2</v>
      </c>
      <c r="O44" s="74"/>
      <c r="P44" s="50"/>
      <c r="Q44" s="74"/>
      <c r="R44" s="50"/>
      <c r="S44" s="74"/>
      <c r="T44" s="50"/>
      <c r="U44" s="74"/>
      <c r="V44" s="50"/>
      <c r="W44" s="74"/>
      <c r="X44" s="50"/>
      <c r="Y44" s="50"/>
      <c r="Z44" s="164"/>
      <c r="AA44" s="165"/>
      <c r="AB44" s="50"/>
      <c r="AC44" s="74"/>
      <c r="AD44" s="164"/>
      <c r="AE44" s="50">
        <v>5.35</v>
      </c>
      <c r="AF44" s="273">
        <v>2.0000000000000001E-4</v>
      </c>
      <c r="AG44" s="50">
        <v>7.31</v>
      </c>
      <c r="AH44" s="50"/>
      <c r="AI44" s="50"/>
      <c r="AJ44" s="74"/>
      <c r="AK44" s="74"/>
      <c r="AL44" s="74"/>
      <c r="AM44" s="74"/>
      <c r="AN44" s="74"/>
      <c r="AO44" s="74"/>
      <c r="AP44" s="74"/>
      <c r="AQ44" s="74"/>
      <c r="AR44" s="74"/>
      <c r="AS44" s="74"/>
      <c r="AT44" s="74"/>
      <c r="AU44" s="74"/>
    </row>
    <row r="45" spans="1:47" s="28" customFormat="1" ht="14">
      <c r="A45" s="74" t="s">
        <v>279</v>
      </c>
      <c r="B45" s="50" t="s">
        <v>1166</v>
      </c>
      <c r="C45" s="50" t="s">
        <v>1166</v>
      </c>
      <c r="D45" s="48" t="s">
        <v>347</v>
      </c>
      <c r="E45" s="50" t="s">
        <v>1167</v>
      </c>
      <c r="F45" s="50"/>
      <c r="G45" s="76" t="s">
        <v>1168</v>
      </c>
      <c r="H45" s="50">
        <v>5015</v>
      </c>
      <c r="I45" s="49" t="s">
        <v>1</v>
      </c>
      <c r="J45" s="50" t="s">
        <v>271</v>
      </c>
      <c r="K45" s="51">
        <v>40920</v>
      </c>
      <c r="L45" s="115">
        <v>40909</v>
      </c>
      <c r="M45" s="50">
        <v>11</v>
      </c>
      <c r="N45" s="50" t="s">
        <v>2</v>
      </c>
      <c r="O45" s="74">
        <f>2/2</f>
        <v>1</v>
      </c>
      <c r="P45" s="50">
        <v>6.5</v>
      </c>
      <c r="Q45" s="74">
        <v>7.2</v>
      </c>
      <c r="R45" s="50">
        <f>10/2</f>
        <v>5</v>
      </c>
      <c r="S45" s="74">
        <v>24</v>
      </c>
      <c r="T45" s="50">
        <v>0.06</v>
      </c>
      <c r="U45" s="74">
        <v>0.56000000000000005</v>
      </c>
      <c r="V45" s="50">
        <v>0.27</v>
      </c>
      <c r="W45" s="74">
        <v>1.2999999999999999E-2</v>
      </c>
      <c r="X45" s="50">
        <v>0.03</v>
      </c>
      <c r="Y45" s="50">
        <v>0.03</v>
      </c>
      <c r="Z45" s="164">
        <v>1</v>
      </c>
      <c r="AA45" s="165">
        <v>1</v>
      </c>
      <c r="AB45" s="50">
        <v>20</v>
      </c>
      <c r="AC45" s="74">
        <v>57</v>
      </c>
      <c r="AD45" s="164">
        <v>1</v>
      </c>
      <c r="AE45" s="50">
        <v>2.12</v>
      </c>
      <c r="AF45" s="273">
        <f>0.0004/2</f>
        <v>2.0000000000000001E-4</v>
      </c>
      <c r="AG45" s="50">
        <v>1.34</v>
      </c>
      <c r="AH45" s="50">
        <f>50/2</f>
        <v>25</v>
      </c>
      <c r="AI45" s="50">
        <v>50</v>
      </c>
      <c r="AJ45" s="74"/>
      <c r="AK45" s="74"/>
      <c r="AL45" s="74"/>
      <c r="AM45" s="74"/>
      <c r="AN45" s="74"/>
      <c r="AO45" s="74"/>
      <c r="AP45" s="74"/>
      <c r="AQ45" s="74"/>
      <c r="AR45" s="74"/>
      <c r="AS45" s="74"/>
      <c r="AT45" s="74"/>
      <c r="AU45" s="74"/>
    </row>
    <row r="46" spans="1:47" s="28" customFormat="1" ht="14">
      <c r="A46" s="74" t="s">
        <v>279</v>
      </c>
      <c r="B46" s="50" t="s">
        <v>1166</v>
      </c>
      <c r="C46" s="50" t="s">
        <v>1166</v>
      </c>
      <c r="D46" s="48" t="s">
        <v>347</v>
      </c>
      <c r="E46" s="50" t="s">
        <v>1167</v>
      </c>
      <c r="F46" s="50"/>
      <c r="G46" s="76" t="s">
        <v>1168</v>
      </c>
      <c r="H46" s="50">
        <v>5015</v>
      </c>
      <c r="I46" s="49" t="s">
        <v>1</v>
      </c>
      <c r="J46" s="50" t="s">
        <v>271</v>
      </c>
      <c r="K46" s="51">
        <v>40996</v>
      </c>
      <c r="L46" s="115">
        <v>40970</v>
      </c>
      <c r="M46" s="50">
        <v>26</v>
      </c>
      <c r="N46" s="50" t="s">
        <v>2</v>
      </c>
      <c r="O46" s="74"/>
      <c r="P46" s="50"/>
      <c r="Q46" s="74"/>
      <c r="R46" s="50"/>
      <c r="S46" s="74"/>
      <c r="T46" s="50"/>
      <c r="U46" s="74"/>
      <c r="V46" s="50"/>
      <c r="W46" s="74"/>
      <c r="X46" s="50"/>
      <c r="Y46" s="50"/>
      <c r="Z46" s="164"/>
      <c r="AA46" s="165"/>
      <c r="AB46" s="50"/>
      <c r="AC46" s="74"/>
      <c r="AD46" s="164"/>
      <c r="AE46" s="50">
        <v>2.7</v>
      </c>
      <c r="AF46" s="273">
        <f>0.0004/2</f>
        <v>2.0000000000000001E-4</v>
      </c>
      <c r="AG46" s="50">
        <v>1.62</v>
      </c>
      <c r="AH46" s="50"/>
      <c r="AI46" s="50"/>
      <c r="AJ46" s="74"/>
      <c r="AK46" s="74"/>
      <c r="AL46" s="74"/>
      <c r="AM46" s="74"/>
      <c r="AN46" s="74"/>
      <c r="AO46" s="74"/>
      <c r="AP46" s="74"/>
      <c r="AQ46" s="74"/>
      <c r="AR46" s="74"/>
      <c r="AS46" s="74"/>
      <c r="AT46" s="74"/>
      <c r="AU46" s="74"/>
    </row>
    <row r="47" spans="1:47" s="28" customFormat="1" ht="14">
      <c r="A47" s="74" t="s">
        <v>279</v>
      </c>
      <c r="B47" s="50" t="s">
        <v>1166</v>
      </c>
      <c r="C47" s="50" t="s">
        <v>1166</v>
      </c>
      <c r="D47" s="48" t="s">
        <v>347</v>
      </c>
      <c r="E47" s="50" t="s">
        <v>1167</v>
      </c>
      <c r="F47" s="50"/>
      <c r="G47" s="76" t="s">
        <v>1168</v>
      </c>
      <c r="H47" s="50">
        <v>5015</v>
      </c>
      <c r="I47" s="49" t="s">
        <v>1</v>
      </c>
      <c r="J47" s="50" t="s">
        <v>271</v>
      </c>
      <c r="K47" s="51">
        <v>41108</v>
      </c>
      <c r="L47" s="115">
        <v>41105</v>
      </c>
      <c r="M47" s="50">
        <v>3</v>
      </c>
      <c r="N47" s="50" t="s">
        <v>2</v>
      </c>
      <c r="O47" s="74">
        <f>2/2</f>
        <v>1</v>
      </c>
      <c r="P47" s="50">
        <v>6.8</v>
      </c>
      <c r="Q47" s="74">
        <v>6.8</v>
      </c>
      <c r="R47" s="50">
        <f>10/2</f>
        <v>5</v>
      </c>
      <c r="S47" s="74">
        <v>18</v>
      </c>
      <c r="T47" s="50">
        <f>0.05/2</f>
        <v>2.5000000000000001E-2</v>
      </c>
      <c r="U47" s="74">
        <v>0.22</v>
      </c>
      <c r="V47" s="50">
        <v>1.23</v>
      </c>
      <c r="W47" s="74">
        <v>1.9E-2</v>
      </c>
      <c r="X47" s="50">
        <f>0.03/2</f>
        <v>1.4999999999999999E-2</v>
      </c>
      <c r="Y47" s="50">
        <f>0.03/2</f>
        <v>1.4999999999999999E-2</v>
      </c>
      <c r="Z47" s="164"/>
      <c r="AA47" s="165"/>
      <c r="AB47" s="50"/>
      <c r="AC47" s="74"/>
      <c r="AD47" s="164"/>
      <c r="AE47" s="50">
        <v>1.1399999999999999</v>
      </c>
      <c r="AF47" s="273">
        <f>0.0004/2</f>
        <v>2.0000000000000001E-4</v>
      </c>
      <c r="AG47" s="50">
        <v>0.84</v>
      </c>
      <c r="AH47" s="50">
        <f>50/2</f>
        <v>25</v>
      </c>
      <c r="AI47" s="50"/>
      <c r="AJ47" s="74"/>
      <c r="AK47" s="74"/>
      <c r="AL47" s="74"/>
      <c r="AM47" s="74"/>
      <c r="AN47" s="74"/>
      <c r="AO47" s="74"/>
      <c r="AP47" s="74"/>
      <c r="AQ47" s="74"/>
      <c r="AR47" s="74"/>
      <c r="AS47" s="74"/>
      <c r="AT47" s="74"/>
      <c r="AU47" s="74"/>
    </row>
    <row r="48" spans="1:47" s="28" customFormat="1" ht="14">
      <c r="A48" s="74" t="s">
        <v>279</v>
      </c>
      <c r="B48" s="50" t="s">
        <v>1169</v>
      </c>
      <c r="C48" s="50" t="s">
        <v>1170</v>
      </c>
      <c r="D48" s="48" t="s">
        <v>372</v>
      </c>
      <c r="E48" s="50" t="s">
        <v>487</v>
      </c>
      <c r="F48" s="50"/>
      <c r="G48" s="76" t="s">
        <v>488</v>
      </c>
      <c r="H48" s="50">
        <v>5015</v>
      </c>
      <c r="I48" s="49" t="s">
        <v>1</v>
      </c>
      <c r="J48" s="50" t="s">
        <v>271</v>
      </c>
      <c r="K48" s="51">
        <v>41021</v>
      </c>
      <c r="L48" s="115">
        <v>40996</v>
      </c>
      <c r="M48" s="50">
        <v>25</v>
      </c>
      <c r="N48" s="50" t="s">
        <v>2</v>
      </c>
      <c r="O48" s="74">
        <v>1.1000000000000001</v>
      </c>
      <c r="P48" s="50">
        <v>5.43</v>
      </c>
      <c r="Q48" s="74">
        <v>6.14</v>
      </c>
      <c r="R48" s="50">
        <v>23.1</v>
      </c>
      <c r="S48" s="74">
        <v>16.5</v>
      </c>
      <c r="T48" s="50">
        <v>0.11</v>
      </c>
      <c r="U48" s="74">
        <v>0.82</v>
      </c>
      <c r="V48" s="50">
        <f>0.2/2</f>
        <v>0.1</v>
      </c>
      <c r="W48" s="74">
        <v>0.02</v>
      </c>
      <c r="X48" s="50">
        <v>0.1</v>
      </c>
      <c r="Y48" s="50">
        <v>0.02</v>
      </c>
      <c r="Z48" s="164"/>
      <c r="AA48" s="165"/>
      <c r="AB48" s="50"/>
      <c r="AC48" s="74"/>
      <c r="AD48" s="164"/>
      <c r="AE48" s="50">
        <v>1.23</v>
      </c>
      <c r="AF48" s="273">
        <f>0.0002/2</f>
        <v>1E-4</v>
      </c>
      <c r="AG48" s="50">
        <v>0.78</v>
      </c>
      <c r="AH48" s="50">
        <f>10/2</f>
        <v>5</v>
      </c>
      <c r="AI48" s="50"/>
      <c r="AJ48" s="74"/>
      <c r="AK48" s="74"/>
      <c r="AL48" s="74"/>
      <c r="AM48" s="74"/>
      <c r="AN48" s="74"/>
      <c r="AO48" s="74"/>
      <c r="AP48" s="74"/>
      <c r="AQ48" s="74"/>
      <c r="AR48" s="74"/>
      <c r="AS48" s="74"/>
      <c r="AT48" s="74"/>
      <c r="AU48" s="74"/>
    </row>
    <row r="49" spans="1:47" s="28" customFormat="1" ht="14">
      <c r="A49" s="74" t="s">
        <v>279</v>
      </c>
      <c r="B49" s="50" t="s">
        <v>1169</v>
      </c>
      <c r="C49" s="50" t="s">
        <v>1170</v>
      </c>
      <c r="D49" s="48" t="s">
        <v>372</v>
      </c>
      <c r="E49" s="50" t="s">
        <v>487</v>
      </c>
      <c r="F49" s="50"/>
      <c r="G49" s="76" t="s">
        <v>488</v>
      </c>
      <c r="H49" s="50">
        <v>5015</v>
      </c>
      <c r="I49" s="49" t="s">
        <v>1</v>
      </c>
      <c r="J49" s="50" t="s">
        <v>271</v>
      </c>
      <c r="K49" s="51">
        <v>41108</v>
      </c>
      <c r="L49" s="115">
        <v>41105</v>
      </c>
      <c r="M49" s="50">
        <v>3</v>
      </c>
      <c r="N49" s="50" t="s">
        <v>2</v>
      </c>
      <c r="O49" s="74"/>
      <c r="P49" s="50"/>
      <c r="Q49" s="74"/>
      <c r="R49" s="50"/>
      <c r="S49" s="74"/>
      <c r="T49" s="50"/>
      <c r="U49" s="74"/>
      <c r="V49" s="50"/>
      <c r="W49" s="74"/>
      <c r="X49" s="50"/>
      <c r="Y49" s="50"/>
      <c r="Z49" s="164"/>
      <c r="AA49" s="165"/>
      <c r="AB49" s="50"/>
      <c r="AC49" s="74"/>
      <c r="AD49" s="164"/>
      <c r="AE49" s="50">
        <v>15.71</v>
      </c>
      <c r="AF49" s="273">
        <v>2.0000000000000001E-4</v>
      </c>
      <c r="AG49" s="50">
        <v>8.7799999999999994</v>
      </c>
      <c r="AH49" s="50"/>
      <c r="AI49" s="50"/>
      <c r="AJ49" s="74"/>
      <c r="AK49" s="74"/>
      <c r="AL49" s="74"/>
      <c r="AM49" s="74"/>
      <c r="AN49" s="74"/>
      <c r="AO49" s="74"/>
      <c r="AP49" s="74"/>
      <c r="AQ49" s="74"/>
      <c r="AR49" s="74"/>
      <c r="AS49" s="74"/>
      <c r="AT49" s="74"/>
      <c r="AU49" s="74"/>
    </row>
    <row r="50" spans="1:47" s="28" customFormat="1" ht="14">
      <c r="A50" s="74" t="s">
        <v>279</v>
      </c>
      <c r="B50" s="50" t="s">
        <v>655</v>
      </c>
      <c r="C50" s="50" t="s">
        <v>655</v>
      </c>
      <c r="D50" s="48" t="s">
        <v>379</v>
      </c>
      <c r="E50" s="50" t="s">
        <v>1151</v>
      </c>
      <c r="F50" s="50"/>
      <c r="G50" s="76" t="s">
        <v>656</v>
      </c>
      <c r="H50" s="50">
        <v>5015</v>
      </c>
      <c r="I50" s="49" t="s">
        <v>1</v>
      </c>
      <c r="J50" s="50" t="s">
        <v>271</v>
      </c>
      <c r="K50" s="51">
        <v>40920</v>
      </c>
      <c r="L50" s="115"/>
      <c r="M50" s="50"/>
      <c r="N50" s="50"/>
      <c r="O50" s="74"/>
      <c r="P50" s="50"/>
      <c r="Q50" s="74"/>
      <c r="R50" s="50"/>
      <c r="S50" s="74"/>
      <c r="T50" s="50"/>
      <c r="U50" s="74"/>
      <c r="V50" s="50"/>
      <c r="W50" s="74"/>
      <c r="X50" s="50"/>
      <c r="Y50" s="50"/>
      <c r="Z50" s="164"/>
      <c r="AA50" s="165"/>
      <c r="AB50" s="50"/>
      <c r="AC50" s="74"/>
      <c r="AD50" s="164"/>
      <c r="AE50" s="50">
        <v>0.55700000000000005</v>
      </c>
      <c r="AF50" s="273">
        <f>0.0002/2</f>
        <v>1E-4</v>
      </c>
      <c r="AG50" s="50">
        <v>0.53</v>
      </c>
      <c r="AH50" s="50"/>
      <c r="AI50" s="50"/>
      <c r="AJ50" s="74"/>
      <c r="AK50" s="74"/>
      <c r="AL50" s="74"/>
      <c r="AM50" s="74"/>
      <c r="AN50" s="74"/>
      <c r="AO50" s="74"/>
      <c r="AP50" s="74"/>
      <c r="AQ50" s="74"/>
      <c r="AR50" s="74"/>
      <c r="AS50" s="74"/>
      <c r="AT50" s="74"/>
      <c r="AU50" s="74"/>
    </row>
    <row r="51" spans="1:47" s="28" customFormat="1" ht="14">
      <c r="A51" s="74" t="s">
        <v>279</v>
      </c>
      <c r="B51" s="50" t="s">
        <v>655</v>
      </c>
      <c r="C51" s="50" t="s">
        <v>655</v>
      </c>
      <c r="D51" s="48" t="s">
        <v>379</v>
      </c>
      <c r="E51" s="50" t="s">
        <v>1151</v>
      </c>
      <c r="F51" s="50"/>
      <c r="G51" s="76" t="s">
        <v>656</v>
      </c>
      <c r="H51" s="50">
        <v>5015</v>
      </c>
      <c r="I51" s="49" t="s">
        <v>1</v>
      </c>
      <c r="J51" s="50" t="s">
        <v>271</v>
      </c>
      <c r="K51" s="51">
        <v>41021</v>
      </c>
      <c r="L51" s="115">
        <v>41012</v>
      </c>
      <c r="M51" s="50">
        <v>9</v>
      </c>
      <c r="N51" s="50" t="s">
        <v>2</v>
      </c>
      <c r="O51" s="74">
        <f>2.3/2</f>
        <v>1.1499999999999999</v>
      </c>
      <c r="P51" s="50">
        <v>6.7</v>
      </c>
      <c r="Q51" s="74">
        <v>6.4</v>
      </c>
      <c r="R51" s="50">
        <v>46</v>
      </c>
      <c r="S51" s="74">
        <v>81.2</v>
      </c>
      <c r="T51" s="50">
        <v>0.155</v>
      </c>
      <c r="U51" s="74">
        <v>1.3</v>
      </c>
      <c r="V51" s="50">
        <v>1.07</v>
      </c>
      <c r="W51" s="74">
        <v>2.5999999999999999E-2</v>
      </c>
      <c r="X51" s="50">
        <v>1.4999999999999999E-2</v>
      </c>
      <c r="Y51" s="50">
        <v>9.7000000000000003E-2</v>
      </c>
      <c r="Z51" s="164"/>
      <c r="AA51" s="165"/>
      <c r="AB51" s="50"/>
      <c r="AC51" s="74"/>
      <c r="AD51" s="164"/>
      <c r="AE51" s="50">
        <v>10.8</v>
      </c>
      <c r="AF51" s="273">
        <f>0.0002/2</f>
        <v>1E-4</v>
      </c>
      <c r="AG51" s="50">
        <v>10.7</v>
      </c>
      <c r="AH51" s="50">
        <v>1.3</v>
      </c>
      <c r="AI51" s="50"/>
      <c r="AJ51" s="74"/>
      <c r="AK51" s="74"/>
      <c r="AL51" s="74"/>
      <c r="AM51" s="74"/>
      <c r="AN51" s="74"/>
      <c r="AO51" s="74"/>
      <c r="AP51" s="74"/>
      <c r="AQ51" s="74"/>
      <c r="AR51" s="74"/>
      <c r="AS51" s="74"/>
      <c r="AT51" s="74"/>
      <c r="AU51" s="74"/>
    </row>
    <row r="52" spans="1:47" s="28" customFormat="1" ht="14">
      <c r="A52" s="74" t="s">
        <v>279</v>
      </c>
      <c r="B52" s="50" t="s">
        <v>655</v>
      </c>
      <c r="C52" s="50" t="s">
        <v>655</v>
      </c>
      <c r="D52" s="48" t="s">
        <v>379</v>
      </c>
      <c r="E52" s="50" t="s">
        <v>1151</v>
      </c>
      <c r="F52" s="50"/>
      <c r="G52" s="76" t="s">
        <v>656</v>
      </c>
      <c r="H52" s="50">
        <v>5015</v>
      </c>
      <c r="I52" s="49" t="s">
        <v>1</v>
      </c>
      <c r="J52" s="50" t="s">
        <v>271</v>
      </c>
      <c r="K52" s="51">
        <v>41108</v>
      </c>
      <c r="L52" s="115">
        <v>41105</v>
      </c>
      <c r="M52" s="50">
        <v>3</v>
      </c>
      <c r="N52" s="50" t="s">
        <v>2</v>
      </c>
      <c r="O52" s="74"/>
      <c r="P52" s="50"/>
      <c r="Q52" s="74"/>
      <c r="R52" s="50"/>
      <c r="S52" s="74"/>
      <c r="T52" s="50"/>
      <c r="U52" s="74"/>
      <c r="V52" s="50"/>
      <c r="W52" s="74"/>
      <c r="X52" s="50"/>
      <c r="Y52" s="50"/>
      <c r="Z52" s="164"/>
      <c r="AA52" s="165"/>
      <c r="AB52" s="50"/>
      <c r="AC52" s="74"/>
      <c r="AD52" s="164"/>
      <c r="AE52" s="50">
        <v>0.28799999999999998</v>
      </c>
      <c r="AF52" s="273">
        <f>0.0002/2</f>
        <v>1E-4</v>
      </c>
      <c r="AG52" s="50">
        <v>0.28999999999999998</v>
      </c>
      <c r="AH52" s="50"/>
      <c r="AI52" s="50"/>
      <c r="AJ52" s="74"/>
      <c r="AK52" s="74"/>
      <c r="AL52" s="74"/>
      <c r="AM52" s="74"/>
      <c r="AN52" s="74"/>
      <c r="AO52" s="74"/>
      <c r="AP52" s="74"/>
      <c r="AQ52" s="74"/>
      <c r="AR52" s="74"/>
      <c r="AS52" s="74"/>
      <c r="AT52" s="74"/>
      <c r="AU52" s="74"/>
    </row>
    <row r="53" spans="1:47" s="28" customFormat="1" ht="14">
      <c r="A53" s="74" t="s">
        <v>279</v>
      </c>
      <c r="B53" s="50" t="s">
        <v>704</v>
      </c>
      <c r="C53" s="50" t="s">
        <v>704</v>
      </c>
      <c r="D53" s="48" t="s">
        <v>56</v>
      </c>
      <c r="E53" s="50" t="s">
        <v>705</v>
      </c>
      <c r="F53" s="50"/>
      <c r="G53" s="76" t="s">
        <v>706</v>
      </c>
      <c r="H53" s="50">
        <v>5015</v>
      </c>
      <c r="I53" s="49" t="s">
        <v>2</v>
      </c>
      <c r="J53" s="50" t="s">
        <v>271</v>
      </c>
      <c r="K53" s="51">
        <v>41030</v>
      </c>
      <c r="L53" s="115">
        <v>41022</v>
      </c>
      <c r="M53" s="50">
        <v>9</v>
      </c>
      <c r="N53" s="50" t="s">
        <v>2</v>
      </c>
      <c r="O53" s="74">
        <f>2/2</f>
        <v>1</v>
      </c>
      <c r="P53" s="50">
        <v>6.5</v>
      </c>
      <c r="Q53" s="74">
        <v>5.8</v>
      </c>
      <c r="R53" s="50">
        <v>10</v>
      </c>
      <c r="S53" s="74">
        <v>11</v>
      </c>
      <c r="T53" s="50">
        <f>0.05/2</f>
        <v>2.5000000000000001E-2</v>
      </c>
      <c r="U53" s="74">
        <v>0.34</v>
      </c>
      <c r="V53" s="50">
        <v>0.13</v>
      </c>
      <c r="W53" s="74">
        <v>1.2999999999999999E-2</v>
      </c>
      <c r="X53" s="50">
        <v>3.5000000000000003E-2</v>
      </c>
      <c r="Y53" s="50">
        <f>0.03/2</f>
        <v>1.4999999999999999E-2</v>
      </c>
      <c r="Z53" s="164"/>
      <c r="AA53" s="165"/>
      <c r="AB53" s="50"/>
      <c r="AC53" s="74"/>
      <c r="AD53" s="164"/>
      <c r="AE53" s="50">
        <v>0.96</v>
      </c>
      <c r="AF53" s="273">
        <f>0.0004/2</f>
        <v>2.0000000000000001E-4</v>
      </c>
      <c r="AG53" s="50">
        <v>0.24</v>
      </c>
      <c r="AH53" s="50">
        <f>50/2</f>
        <v>25</v>
      </c>
      <c r="AI53" s="50"/>
      <c r="AJ53" s="74"/>
      <c r="AK53" s="74"/>
      <c r="AL53" s="74"/>
      <c r="AM53" s="74"/>
      <c r="AN53" s="74"/>
      <c r="AO53" s="74"/>
      <c r="AP53" s="74"/>
      <c r="AQ53" s="74"/>
      <c r="AR53" s="74"/>
      <c r="AS53" s="74"/>
      <c r="AT53" s="74"/>
      <c r="AU53" s="74"/>
    </row>
    <row r="54" spans="1:47" s="28" customFormat="1" ht="14">
      <c r="A54" s="74" t="s">
        <v>279</v>
      </c>
      <c r="B54" s="50" t="s">
        <v>704</v>
      </c>
      <c r="C54" s="50" t="s">
        <v>704</v>
      </c>
      <c r="D54" s="48" t="s">
        <v>56</v>
      </c>
      <c r="E54" s="50" t="s">
        <v>705</v>
      </c>
      <c r="F54" s="50"/>
      <c r="G54" s="76" t="s">
        <v>706</v>
      </c>
      <c r="H54" s="50">
        <v>5015</v>
      </c>
      <c r="I54" s="49" t="s">
        <v>2</v>
      </c>
      <c r="J54" s="50" t="s">
        <v>271</v>
      </c>
      <c r="K54" s="51">
        <v>41136</v>
      </c>
      <c r="L54" s="115">
        <v>41132</v>
      </c>
      <c r="M54" s="50">
        <v>4</v>
      </c>
      <c r="N54" s="50" t="s">
        <v>2</v>
      </c>
      <c r="O54" s="74"/>
      <c r="P54" s="50"/>
      <c r="Q54" s="74"/>
      <c r="R54" s="50"/>
      <c r="S54" s="74"/>
      <c r="T54" s="50"/>
      <c r="U54" s="74"/>
      <c r="V54" s="50"/>
      <c r="W54" s="74"/>
      <c r="X54" s="50"/>
      <c r="Y54" s="50"/>
      <c r="Z54" s="164"/>
      <c r="AA54" s="165"/>
      <c r="AB54" s="50"/>
      <c r="AC54" s="74"/>
      <c r="AD54" s="164"/>
      <c r="AE54" s="50">
        <v>0.19</v>
      </c>
      <c r="AF54" s="273">
        <f>0.0004/2</f>
        <v>2.0000000000000001E-4</v>
      </c>
      <c r="AG54" s="50">
        <f>0.1/2</f>
        <v>0.05</v>
      </c>
      <c r="AH54" s="50"/>
      <c r="AI54" s="50"/>
      <c r="AJ54" s="74"/>
      <c r="AK54" s="74"/>
      <c r="AL54" s="74"/>
      <c r="AM54" s="74"/>
      <c r="AN54" s="74"/>
      <c r="AO54" s="74"/>
      <c r="AP54" s="74"/>
      <c r="AQ54" s="74"/>
      <c r="AR54" s="74"/>
      <c r="AS54" s="74"/>
      <c r="AT54" s="74"/>
      <c r="AU54" s="74"/>
    </row>
    <row r="55" spans="1:47" s="28" customFormat="1" ht="14">
      <c r="A55" s="74" t="s">
        <v>279</v>
      </c>
      <c r="B55" s="50" t="s">
        <v>1171</v>
      </c>
      <c r="C55" s="50" t="s">
        <v>1171</v>
      </c>
      <c r="D55" s="48" t="s">
        <v>516</v>
      </c>
      <c r="E55" s="50" t="s">
        <v>1172</v>
      </c>
      <c r="F55" s="50"/>
      <c r="G55" s="76" t="s">
        <v>1173</v>
      </c>
      <c r="H55" s="50">
        <v>5015</v>
      </c>
      <c r="I55" s="49" t="s">
        <v>1</v>
      </c>
      <c r="J55" s="50" t="s">
        <v>271</v>
      </c>
      <c r="K55" s="51">
        <v>40857</v>
      </c>
      <c r="L55" s="115">
        <v>40846</v>
      </c>
      <c r="M55" s="50">
        <v>11</v>
      </c>
      <c r="N55" s="50" t="s">
        <v>2</v>
      </c>
      <c r="O55" s="74">
        <v>8.3000000000000007</v>
      </c>
      <c r="P55" s="50">
        <v>6.89</v>
      </c>
      <c r="Q55" s="74">
        <v>6.57</v>
      </c>
      <c r="R55" s="50">
        <v>360</v>
      </c>
      <c r="S55" s="74">
        <v>480</v>
      </c>
      <c r="T55" s="50">
        <v>1.05</v>
      </c>
      <c r="U55" s="74">
        <v>33</v>
      </c>
      <c r="V55" s="50">
        <v>0.23</v>
      </c>
      <c r="W55" s="74">
        <v>0.26700000000000002</v>
      </c>
      <c r="X55" s="50">
        <v>0.60799999999999998</v>
      </c>
      <c r="Y55" s="50">
        <v>0.80400000000000005</v>
      </c>
      <c r="Z55" s="164">
        <v>1</v>
      </c>
      <c r="AA55" s="165">
        <v>1</v>
      </c>
      <c r="AB55" s="50">
        <v>20</v>
      </c>
      <c r="AC55" s="74">
        <v>70</v>
      </c>
      <c r="AD55" s="164">
        <v>1</v>
      </c>
      <c r="AE55" s="50">
        <v>29.5</v>
      </c>
      <c r="AF55" s="273">
        <f t="shared" ref="AF55:AF61" si="2">0.0002/2</f>
        <v>1E-4</v>
      </c>
      <c r="AG55" s="50">
        <v>21.6</v>
      </c>
      <c r="AH55" s="77">
        <f>10/2</f>
        <v>5</v>
      </c>
      <c r="AI55" s="50"/>
      <c r="AJ55" s="74"/>
      <c r="AK55" s="74"/>
      <c r="AL55" s="74"/>
      <c r="AM55" s="74"/>
      <c r="AN55" s="74"/>
      <c r="AO55" s="74"/>
      <c r="AP55" s="74"/>
      <c r="AQ55" s="74"/>
      <c r="AR55" s="74"/>
      <c r="AS55" s="74"/>
      <c r="AT55" s="74"/>
      <c r="AU55" s="74"/>
    </row>
    <row r="56" spans="1:47" s="28" customFormat="1" ht="14">
      <c r="A56" s="74" t="s">
        <v>279</v>
      </c>
      <c r="B56" s="50" t="s">
        <v>1171</v>
      </c>
      <c r="C56" s="50" t="s">
        <v>1171</v>
      </c>
      <c r="D56" s="48" t="s">
        <v>516</v>
      </c>
      <c r="E56" s="50" t="s">
        <v>1172</v>
      </c>
      <c r="F56" s="50"/>
      <c r="G56" s="76" t="s">
        <v>1173</v>
      </c>
      <c r="H56" s="50">
        <v>5015</v>
      </c>
      <c r="I56" s="49" t="s">
        <v>1</v>
      </c>
      <c r="J56" s="50" t="s">
        <v>271</v>
      </c>
      <c r="K56" s="51">
        <v>40999</v>
      </c>
      <c r="L56" s="115">
        <v>40988</v>
      </c>
      <c r="M56" s="50">
        <v>11</v>
      </c>
      <c r="N56" s="50" t="s">
        <v>2</v>
      </c>
      <c r="O56" s="74"/>
      <c r="P56" s="50"/>
      <c r="Q56" s="74"/>
      <c r="R56" s="50"/>
      <c r="S56" s="74"/>
      <c r="T56" s="50"/>
      <c r="U56" s="74"/>
      <c r="V56" s="50"/>
      <c r="W56" s="74"/>
      <c r="X56" s="50"/>
      <c r="Y56" s="50"/>
      <c r="Z56" s="164"/>
      <c r="AA56" s="165"/>
      <c r="AB56" s="50"/>
      <c r="AC56" s="74"/>
      <c r="AD56" s="164"/>
      <c r="AE56" s="50">
        <v>0.80800000000000005</v>
      </c>
      <c r="AF56" s="273">
        <f t="shared" si="2"/>
        <v>1E-4</v>
      </c>
      <c r="AG56" s="50">
        <v>0.5</v>
      </c>
      <c r="AH56" s="50"/>
      <c r="AI56" s="50"/>
      <c r="AJ56" s="74"/>
      <c r="AK56" s="74"/>
      <c r="AL56" s="74"/>
      <c r="AM56" s="74"/>
      <c r="AN56" s="74"/>
      <c r="AO56" s="74"/>
      <c r="AP56" s="74"/>
      <c r="AQ56" s="74"/>
      <c r="AR56" s="74"/>
      <c r="AS56" s="74"/>
      <c r="AT56" s="74"/>
      <c r="AU56" s="74"/>
    </row>
    <row r="57" spans="1:47" s="28" customFormat="1" ht="14">
      <c r="A57" s="74" t="s">
        <v>279</v>
      </c>
      <c r="B57" s="50" t="s">
        <v>1171</v>
      </c>
      <c r="C57" s="50" t="s">
        <v>1171</v>
      </c>
      <c r="D57" s="48" t="s">
        <v>516</v>
      </c>
      <c r="E57" s="50" t="s">
        <v>1172</v>
      </c>
      <c r="F57" s="50"/>
      <c r="G57" s="76" t="s">
        <v>1173</v>
      </c>
      <c r="H57" s="50">
        <v>5015</v>
      </c>
      <c r="I57" s="49" t="s">
        <v>1</v>
      </c>
      <c r="J57" s="50" t="s">
        <v>271</v>
      </c>
      <c r="K57" s="51">
        <v>41108</v>
      </c>
      <c r="L57" s="115">
        <v>41105</v>
      </c>
      <c r="M57" s="50">
        <v>3</v>
      </c>
      <c r="N57" s="50" t="s">
        <v>2</v>
      </c>
      <c r="O57" s="74">
        <v>9.8000000000000007</v>
      </c>
      <c r="P57" s="50">
        <v>6.36</v>
      </c>
      <c r="Q57" s="74">
        <v>6.77</v>
      </c>
      <c r="R57" s="50">
        <v>83</v>
      </c>
      <c r="S57" s="74">
        <v>1600</v>
      </c>
      <c r="T57" s="50">
        <v>1.48</v>
      </c>
      <c r="U57" s="74">
        <v>5.05</v>
      </c>
      <c r="V57" s="50">
        <v>1.05</v>
      </c>
      <c r="W57" s="74">
        <v>0.39900000000000002</v>
      </c>
      <c r="X57" s="50">
        <v>0.91400000000000003</v>
      </c>
      <c r="Y57" s="50">
        <v>1.1000000000000001</v>
      </c>
      <c r="Z57" s="164"/>
      <c r="AA57" s="165"/>
      <c r="AB57" s="50"/>
      <c r="AC57" s="74"/>
      <c r="AD57" s="164"/>
      <c r="AE57" s="50">
        <v>46</v>
      </c>
      <c r="AF57" s="273">
        <f t="shared" si="2"/>
        <v>1E-4</v>
      </c>
      <c r="AG57" s="50">
        <v>30.5</v>
      </c>
      <c r="AH57" s="77">
        <f>10/2</f>
        <v>5</v>
      </c>
      <c r="AI57" s="50"/>
      <c r="AJ57" s="74"/>
      <c r="AK57" s="74"/>
      <c r="AL57" s="74"/>
      <c r="AM57" s="74"/>
      <c r="AN57" s="74"/>
      <c r="AO57" s="74"/>
      <c r="AP57" s="74"/>
      <c r="AQ57" s="74"/>
      <c r="AR57" s="74"/>
      <c r="AS57" s="74"/>
      <c r="AT57" s="74"/>
      <c r="AU57" s="74"/>
    </row>
    <row r="58" spans="1:47" s="28" customFormat="1" ht="14">
      <c r="A58" s="74" t="s">
        <v>279</v>
      </c>
      <c r="B58" s="50" t="s">
        <v>1174</v>
      </c>
      <c r="C58" s="50" t="s">
        <v>1174</v>
      </c>
      <c r="D58" s="48" t="s">
        <v>1175</v>
      </c>
      <c r="E58" s="50" t="s">
        <v>1176</v>
      </c>
      <c r="F58" s="50"/>
      <c r="G58" s="76" t="s">
        <v>1177</v>
      </c>
      <c r="H58" s="50">
        <v>5015</v>
      </c>
      <c r="I58" s="49" t="s">
        <v>1</v>
      </c>
      <c r="J58" s="50" t="s">
        <v>271</v>
      </c>
      <c r="K58" s="51">
        <v>40884</v>
      </c>
      <c r="L58" s="115">
        <v>40877</v>
      </c>
      <c r="M58" s="50">
        <v>7</v>
      </c>
      <c r="N58" s="50" t="s">
        <v>2</v>
      </c>
      <c r="O58" s="74">
        <f>1.5/2</f>
        <v>0.75</v>
      </c>
      <c r="P58" s="50">
        <v>5.0199999999999996</v>
      </c>
      <c r="Q58" s="74">
        <v>6.93</v>
      </c>
      <c r="R58" s="50">
        <v>64</v>
      </c>
      <c r="S58" s="74">
        <v>120</v>
      </c>
      <c r="T58" s="50">
        <v>0.04</v>
      </c>
      <c r="U58" s="74">
        <v>0.37</v>
      </c>
      <c r="V58" s="50">
        <v>0.35</v>
      </c>
      <c r="W58" s="74">
        <v>8.4000000000000005E-2</v>
      </c>
      <c r="X58" s="50">
        <v>0.36499999999999999</v>
      </c>
      <c r="Y58" s="50">
        <v>0.115</v>
      </c>
      <c r="Z58" s="164">
        <v>1</v>
      </c>
      <c r="AA58" s="165">
        <v>1</v>
      </c>
      <c r="AB58" s="50">
        <v>22</v>
      </c>
      <c r="AC58" s="74">
        <v>113</v>
      </c>
      <c r="AD58" s="164">
        <v>1</v>
      </c>
      <c r="AE58" s="50">
        <v>30.6</v>
      </c>
      <c r="AF58" s="273">
        <f t="shared" si="2"/>
        <v>1E-4</v>
      </c>
      <c r="AG58" s="50">
        <v>16.5</v>
      </c>
      <c r="AH58" s="77">
        <f>50/2</f>
        <v>25</v>
      </c>
      <c r="AI58" s="50">
        <v>210</v>
      </c>
      <c r="AJ58" s="74"/>
      <c r="AK58" s="74"/>
      <c r="AL58" s="74"/>
      <c r="AM58" s="74"/>
      <c r="AN58" s="74"/>
      <c r="AO58" s="74"/>
      <c r="AP58" s="74"/>
      <c r="AQ58" s="74"/>
      <c r="AR58" s="74"/>
      <c r="AS58" s="74"/>
      <c r="AT58" s="74"/>
      <c r="AU58" s="74"/>
    </row>
    <row r="59" spans="1:47" s="28" customFormat="1" ht="14">
      <c r="A59" s="74" t="s">
        <v>279</v>
      </c>
      <c r="B59" s="50" t="s">
        <v>1174</v>
      </c>
      <c r="C59" s="50" t="s">
        <v>1174</v>
      </c>
      <c r="D59" s="48" t="s">
        <v>1175</v>
      </c>
      <c r="E59" s="50" t="s">
        <v>1176</v>
      </c>
      <c r="F59" s="50"/>
      <c r="G59" s="76" t="s">
        <v>1177</v>
      </c>
      <c r="H59" s="50">
        <v>5015</v>
      </c>
      <c r="I59" s="49" t="s">
        <v>1</v>
      </c>
      <c r="J59" s="50" t="s">
        <v>271</v>
      </c>
      <c r="K59" s="51">
        <v>41021</v>
      </c>
      <c r="L59" s="115">
        <v>41011</v>
      </c>
      <c r="M59" s="50">
        <v>10</v>
      </c>
      <c r="N59" s="50" t="s">
        <v>2</v>
      </c>
      <c r="O59" s="74">
        <v>1.4</v>
      </c>
      <c r="P59" s="50">
        <v>6.43</v>
      </c>
      <c r="Q59" s="74">
        <v>6.17</v>
      </c>
      <c r="R59" s="50">
        <v>60</v>
      </c>
      <c r="S59" s="74">
        <v>1200</v>
      </c>
      <c r="T59" s="50">
        <v>0.78</v>
      </c>
      <c r="U59" s="74">
        <v>2.77</v>
      </c>
      <c r="V59" s="50">
        <v>0.14000000000000001</v>
      </c>
      <c r="W59" s="74">
        <v>8.4000000000000005E-2</v>
      </c>
      <c r="X59" s="50">
        <v>0.14499999999999999</v>
      </c>
      <c r="Y59" s="50">
        <v>0.13100000000000001</v>
      </c>
      <c r="Z59" s="164"/>
      <c r="AA59" s="165"/>
      <c r="AB59" s="50"/>
      <c r="AC59" s="74"/>
      <c r="AD59" s="164"/>
      <c r="AE59" s="50">
        <v>22.8</v>
      </c>
      <c r="AF59" s="273">
        <f t="shared" si="2"/>
        <v>1E-4</v>
      </c>
      <c r="AG59" s="50">
        <v>13.3</v>
      </c>
      <c r="AH59" s="50">
        <f>10/2</f>
        <v>5</v>
      </c>
      <c r="AI59" s="50"/>
      <c r="AJ59" s="74"/>
      <c r="AK59" s="74"/>
      <c r="AL59" s="74"/>
      <c r="AM59" s="74"/>
      <c r="AN59" s="74"/>
      <c r="AO59" s="74"/>
      <c r="AP59" s="74"/>
      <c r="AQ59" s="74"/>
      <c r="AR59" s="74"/>
      <c r="AS59" s="74"/>
      <c r="AT59" s="74"/>
      <c r="AU59" s="74"/>
    </row>
    <row r="60" spans="1:47" s="28" customFormat="1" ht="14">
      <c r="A60" s="74" t="s">
        <v>279</v>
      </c>
      <c r="B60" s="50" t="s">
        <v>1174</v>
      </c>
      <c r="C60" s="50" t="s">
        <v>1174</v>
      </c>
      <c r="D60" s="48" t="s">
        <v>1175</v>
      </c>
      <c r="E60" s="50" t="s">
        <v>1176</v>
      </c>
      <c r="F60" s="50"/>
      <c r="G60" s="76" t="s">
        <v>1177</v>
      </c>
      <c r="H60" s="50">
        <v>5015</v>
      </c>
      <c r="I60" s="49" t="s">
        <v>1</v>
      </c>
      <c r="J60" s="50" t="s">
        <v>271</v>
      </c>
      <c r="K60" s="51">
        <v>41119</v>
      </c>
      <c r="L60" s="115">
        <v>41113</v>
      </c>
      <c r="M60" s="50">
        <v>6</v>
      </c>
      <c r="N60" s="50" t="s">
        <v>2</v>
      </c>
      <c r="O60" s="74"/>
      <c r="P60" s="50"/>
      <c r="Q60" s="74"/>
      <c r="R60" s="50"/>
      <c r="S60" s="74"/>
      <c r="T60" s="50"/>
      <c r="U60" s="74"/>
      <c r="V60" s="50"/>
      <c r="W60" s="74"/>
      <c r="X60" s="50"/>
      <c r="Y60" s="50"/>
      <c r="Z60" s="164"/>
      <c r="AA60" s="165"/>
      <c r="AB60" s="50"/>
      <c r="AC60" s="74"/>
      <c r="AD60" s="164"/>
      <c r="AE60" s="50">
        <v>84</v>
      </c>
      <c r="AF60" s="273">
        <f t="shared" si="2"/>
        <v>1E-4</v>
      </c>
      <c r="AG60" s="50">
        <v>48.2</v>
      </c>
      <c r="AH60" s="50"/>
      <c r="AI60" s="50"/>
      <c r="AJ60" s="74"/>
      <c r="AK60" s="74"/>
      <c r="AL60" s="74"/>
      <c r="AM60" s="74"/>
      <c r="AN60" s="74"/>
      <c r="AO60" s="74"/>
      <c r="AP60" s="74"/>
      <c r="AQ60" s="74"/>
      <c r="AR60" s="74"/>
      <c r="AS60" s="74"/>
      <c r="AT60" s="74"/>
      <c r="AU60" s="74"/>
    </row>
    <row r="61" spans="1:47" s="28" customFormat="1" ht="14">
      <c r="A61" s="74" t="s">
        <v>279</v>
      </c>
      <c r="B61" s="50" t="s">
        <v>1178</v>
      </c>
      <c r="C61" s="50" t="s">
        <v>1178</v>
      </c>
      <c r="D61" s="48" t="s">
        <v>262</v>
      </c>
      <c r="E61" s="50" t="s">
        <v>1179</v>
      </c>
      <c r="F61" s="50"/>
      <c r="G61" s="76" t="s">
        <v>1180</v>
      </c>
      <c r="H61" s="50">
        <v>5015</v>
      </c>
      <c r="I61" s="49" t="s">
        <v>1</v>
      </c>
      <c r="J61" s="50" t="s">
        <v>271</v>
      </c>
      <c r="K61" s="51">
        <v>41082</v>
      </c>
      <c r="L61" s="115">
        <v>41073</v>
      </c>
      <c r="M61" s="50">
        <v>9</v>
      </c>
      <c r="N61" s="50" t="s">
        <v>2</v>
      </c>
      <c r="O61" s="74">
        <v>4.7</v>
      </c>
      <c r="P61" s="50">
        <v>4.28</v>
      </c>
      <c r="Q61" s="74">
        <v>5.69</v>
      </c>
      <c r="R61" s="50">
        <v>126</v>
      </c>
      <c r="S61" s="74">
        <v>55</v>
      </c>
      <c r="T61" s="50">
        <v>0.22500000000000001</v>
      </c>
      <c r="U61" s="74">
        <v>4.0599999999999996</v>
      </c>
      <c r="V61" s="50">
        <v>0.57999999999999996</v>
      </c>
      <c r="W61" s="74">
        <v>9.1600000000000001E-2</v>
      </c>
      <c r="X61" s="50">
        <v>0.34499999999999997</v>
      </c>
      <c r="Y61" s="50">
        <v>0.11799999999999999</v>
      </c>
      <c r="Z61" s="164"/>
      <c r="AA61" s="165"/>
      <c r="AB61" s="50"/>
      <c r="AC61" s="74"/>
      <c r="AD61" s="164"/>
      <c r="AE61" s="50">
        <v>2.44</v>
      </c>
      <c r="AF61" s="273">
        <f t="shared" si="2"/>
        <v>1E-4</v>
      </c>
      <c r="AG61" s="50">
        <v>1.24</v>
      </c>
      <c r="AH61" s="50">
        <f>5/2</f>
        <v>2.5</v>
      </c>
      <c r="AI61" s="50"/>
      <c r="AJ61" s="74"/>
      <c r="AK61" s="74"/>
      <c r="AL61" s="74"/>
      <c r="AM61" s="74"/>
      <c r="AN61" s="74"/>
      <c r="AO61" s="74"/>
      <c r="AP61" s="74"/>
      <c r="AQ61" s="74"/>
      <c r="AR61" s="74"/>
      <c r="AS61" s="74"/>
      <c r="AT61" s="74"/>
      <c r="AU61" s="74"/>
    </row>
    <row r="62" spans="1:47" s="29" customFormat="1" ht="14">
      <c r="A62" s="74" t="s">
        <v>279</v>
      </c>
      <c r="B62" s="52" t="s">
        <v>1216</v>
      </c>
      <c r="C62" s="52" t="s">
        <v>1216</v>
      </c>
      <c r="D62" s="259" t="s">
        <v>1217</v>
      </c>
      <c r="E62" s="52" t="s">
        <v>1218</v>
      </c>
      <c r="F62" s="52"/>
      <c r="G62" s="260" t="s">
        <v>1219</v>
      </c>
      <c r="H62" s="52">
        <v>5015</v>
      </c>
      <c r="I62" s="75" t="s">
        <v>2</v>
      </c>
      <c r="J62" s="52" t="s">
        <v>271</v>
      </c>
      <c r="K62" s="261">
        <v>41092</v>
      </c>
      <c r="L62" s="262">
        <v>41086</v>
      </c>
      <c r="M62" s="52">
        <v>6</v>
      </c>
      <c r="N62" s="52" t="s">
        <v>2</v>
      </c>
      <c r="O62" s="41">
        <f>1.4/2</f>
        <v>0.7</v>
      </c>
      <c r="P62" s="52">
        <v>6.1</v>
      </c>
      <c r="Q62" s="41">
        <v>6.55</v>
      </c>
      <c r="R62" s="52">
        <v>31</v>
      </c>
      <c r="S62" s="41">
        <v>29</v>
      </c>
      <c r="T62" s="52">
        <v>0.21</v>
      </c>
      <c r="U62" s="41">
        <v>1.61</v>
      </c>
      <c r="V62" s="52">
        <v>0.19</v>
      </c>
      <c r="W62" s="41">
        <v>0.02</v>
      </c>
      <c r="X62" s="52">
        <v>0.104</v>
      </c>
      <c r="Y62" s="52">
        <v>4.0000000000000001E-3</v>
      </c>
      <c r="Z62" s="283"/>
      <c r="AA62" s="284"/>
      <c r="AB62" s="50"/>
      <c r="AC62" s="52"/>
      <c r="AD62" s="41"/>
      <c r="AE62" s="50">
        <v>1.37E-2</v>
      </c>
      <c r="AF62" s="52">
        <f>0.0002/2</f>
        <v>1E-4</v>
      </c>
      <c r="AG62" s="285">
        <v>0.83699999999999997</v>
      </c>
      <c r="AH62" s="52"/>
      <c r="AI62" s="52"/>
      <c r="AJ62" s="41"/>
      <c r="AK62" s="41"/>
      <c r="AL62" s="41"/>
      <c r="AM62" s="41"/>
      <c r="AN62" s="41"/>
      <c r="AO62" s="41"/>
      <c r="AP62" s="41"/>
      <c r="AQ62" s="41"/>
      <c r="AR62" s="41"/>
      <c r="AS62" s="41"/>
      <c r="AT62" s="41"/>
      <c r="AU62" s="41"/>
    </row>
    <row r="63" spans="1:47" ht="14">
      <c r="A63" s="74" t="s">
        <v>279</v>
      </c>
      <c r="B63" s="50" t="s">
        <v>1171</v>
      </c>
      <c r="C63" s="50" t="s">
        <v>1171</v>
      </c>
      <c r="D63" s="48" t="s">
        <v>516</v>
      </c>
      <c r="E63" s="50" t="s">
        <v>1172</v>
      </c>
      <c r="G63" s="76" t="s">
        <v>1173</v>
      </c>
      <c r="H63" s="50">
        <v>5015</v>
      </c>
      <c r="I63" s="49" t="s">
        <v>1</v>
      </c>
      <c r="J63" s="50" t="s">
        <v>271</v>
      </c>
      <c r="K63" s="261">
        <v>41175</v>
      </c>
      <c r="L63" s="262">
        <v>41161</v>
      </c>
      <c r="M63" s="52">
        <v>14</v>
      </c>
      <c r="N63" s="50" t="s">
        <v>2</v>
      </c>
      <c r="AE63" s="50">
        <v>15.6</v>
      </c>
      <c r="AF63" s="273">
        <f>0.0002/2</f>
        <v>1E-4</v>
      </c>
      <c r="AG63" s="50">
        <v>9.93</v>
      </c>
    </row>
    <row r="64" spans="1:47" ht="14">
      <c r="A64" s="41" t="s">
        <v>279</v>
      </c>
      <c r="B64" s="52" t="s">
        <v>905</v>
      </c>
      <c r="C64" s="52" t="s">
        <v>905</v>
      </c>
      <c r="D64" s="259" t="s">
        <v>372</v>
      </c>
      <c r="E64" s="52" t="s">
        <v>906</v>
      </c>
      <c r="F64" s="52"/>
      <c r="G64" s="260" t="s">
        <v>907</v>
      </c>
      <c r="H64" s="52">
        <v>5015</v>
      </c>
      <c r="I64" s="75" t="s">
        <v>2</v>
      </c>
      <c r="J64" s="52" t="s">
        <v>271</v>
      </c>
      <c r="K64" s="261">
        <v>41180</v>
      </c>
      <c r="L64" s="262">
        <v>41174</v>
      </c>
      <c r="M64" s="52">
        <v>6</v>
      </c>
      <c r="N64" s="52" t="s">
        <v>2</v>
      </c>
      <c r="O64" s="41"/>
      <c r="P64" s="52"/>
      <c r="Q64" s="41"/>
      <c r="R64" s="52"/>
      <c r="S64" s="41"/>
      <c r="T64" s="52"/>
      <c r="U64" s="41"/>
      <c r="V64" s="52"/>
      <c r="W64" s="41"/>
      <c r="X64" s="52"/>
      <c r="Y64" s="52"/>
      <c r="Z64" s="283"/>
      <c r="AA64" s="284"/>
      <c r="AC64" s="52"/>
      <c r="AD64" s="41"/>
      <c r="AE64" s="52">
        <v>8.26</v>
      </c>
      <c r="AF64" s="285">
        <f>0.0004/2</f>
        <v>2.0000000000000001E-4</v>
      </c>
      <c r="AG64" s="52">
        <v>3.74</v>
      </c>
      <c r="AH64" s="52"/>
      <c r="AI64" s="52"/>
      <c r="AJ64" s="41"/>
    </row>
    <row r="65" spans="1:36" ht="14">
      <c r="A65" s="41" t="s">
        <v>279</v>
      </c>
      <c r="B65" s="52" t="s">
        <v>1166</v>
      </c>
      <c r="C65" s="52" t="s">
        <v>1166</v>
      </c>
      <c r="D65" s="259" t="s">
        <v>347</v>
      </c>
      <c r="E65" s="52" t="s">
        <v>1167</v>
      </c>
      <c r="F65" s="52"/>
      <c r="G65" s="260" t="s">
        <v>1168</v>
      </c>
      <c r="H65" s="52">
        <v>5015</v>
      </c>
      <c r="I65" s="75" t="s">
        <v>1</v>
      </c>
      <c r="J65" s="52" t="s">
        <v>271</v>
      </c>
      <c r="K65" s="261">
        <v>41170</v>
      </c>
      <c r="L65" s="262">
        <v>41161</v>
      </c>
      <c r="M65" s="52">
        <v>9</v>
      </c>
      <c r="N65" s="52" t="s">
        <v>2</v>
      </c>
      <c r="O65" s="41"/>
      <c r="P65" s="52"/>
      <c r="Q65" s="41"/>
      <c r="R65" s="52"/>
      <c r="S65" s="41"/>
      <c r="T65" s="52"/>
      <c r="U65" s="41"/>
      <c r="V65" s="52"/>
      <c r="W65" s="41"/>
      <c r="X65" s="52"/>
      <c r="Y65" s="52"/>
      <c r="Z65" s="283"/>
      <c r="AA65" s="284"/>
      <c r="AB65" s="263"/>
      <c r="AC65" s="41"/>
      <c r="AD65" s="52"/>
      <c r="AE65" s="52">
        <v>0.56999999999999995</v>
      </c>
      <c r="AF65" s="285">
        <f>0.0004/2</f>
        <v>2.0000000000000001E-4</v>
      </c>
      <c r="AG65" s="52">
        <v>0.48</v>
      </c>
      <c r="AH65" s="52"/>
      <c r="AI65" s="52"/>
      <c r="AJ65" s="41"/>
    </row>
    <row r="66" spans="1:36" ht="14">
      <c r="A66" s="74" t="s">
        <v>279</v>
      </c>
      <c r="B66" s="50" t="s">
        <v>527</v>
      </c>
      <c r="C66" s="50" t="s">
        <v>527</v>
      </c>
      <c r="D66" s="48" t="s">
        <v>1484</v>
      </c>
      <c r="E66" s="50" t="s">
        <v>487</v>
      </c>
      <c r="G66" s="50" t="s">
        <v>528</v>
      </c>
      <c r="H66" s="49">
        <v>5015</v>
      </c>
      <c r="I66" s="50" t="s">
        <v>1</v>
      </c>
      <c r="J66" s="51" t="s">
        <v>271</v>
      </c>
      <c r="K66" s="261">
        <v>41157</v>
      </c>
      <c r="L66" s="262">
        <v>41155</v>
      </c>
      <c r="M66" s="52">
        <v>2</v>
      </c>
      <c r="N66" s="52" t="s">
        <v>2</v>
      </c>
      <c r="AE66" s="50">
        <v>0.39</v>
      </c>
      <c r="AF66" s="273">
        <f>0.0002/2</f>
        <v>1E-4</v>
      </c>
      <c r="AG66" s="50">
        <v>0.3</v>
      </c>
      <c r="AH66" s="50">
        <v>10</v>
      </c>
    </row>
    <row r="67" spans="1:36" ht="14">
      <c r="A67" s="74" t="s">
        <v>279</v>
      </c>
      <c r="B67" s="50" t="s">
        <v>1152</v>
      </c>
      <c r="C67" s="50" t="s">
        <v>1152</v>
      </c>
      <c r="D67" s="48" t="s">
        <v>379</v>
      </c>
      <c r="E67" s="50" t="s">
        <v>1151</v>
      </c>
      <c r="G67" s="50" t="s">
        <v>1154</v>
      </c>
      <c r="H67" s="49">
        <v>5015</v>
      </c>
      <c r="I67" s="50" t="s">
        <v>1</v>
      </c>
      <c r="J67" s="51" t="s">
        <v>271</v>
      </c>
      <c r="K67" s="261">
        <v>41180</v>
      </c>
      <c r="L67" s="262">
        <v>41174</v>
      </c>
      <c r="M67" s="52">
        <v>6</v>
      </c>
      <c r="N67" s="52" t="s">
        <v>2</v>
      </c>
      <c r="AE67" s="50">
        <v>8.01</v>
      </c>
      <c r="AF67" s="273">
        <f>0.0002/2</f>
        <v>1E-4</v>
      </c>
      <c r="AG67" s="50">
        <v>4.74</v>
      </c>
    </row>
    <row r="68" spans="1:36" ht="14">
      <c r="A68" s="74" t="s">
        <v>279</v>
      </c>
      <c r="B68" s="50" t="s">
        <v>1158</v>
      </c>
      <c r="C68" s="50" t="s">
        <v>1159</v>
      </c>
      <c r="D68" s="48" t="s">
        <v>1160</v>
      </c>
      <c r="E68" s="50" t="s">
        <v>1161</v>
      </c>
      <c r="G68" s="50" t="s">
        <v>1162</v>
      </c>
      <c r="H68" s="49">
        <v>5015</v>
      </c>
      <c r="I68" s="50" t="s">
        <v>2</v>
      </c>
      <c r="J68" s="51" t="s">
        <v>271</v>
      </c>
      <c r="K68" s="261">
        <v>41156</v>
      </c>
      <c r="L68" s="262">
        <v>41150</v>
      </c>
      <c r="M68" s="52">
        <v>6</v>
      </c>
      <c r="N68" s="52" t="s">
        <v>2</v>
      </c>
      <c r="AE68" s="50">
        <v>1.3</v>
      </c>
      <c r="AF68" s="273">
        <f>0.0002/2</f>
        <v>1E-4</v>
      </c>
      <c r="AG68" s="74">
        <v>0.65</v>
      </c>
    </row>
    <row r="69" spans="1:36" ht="14">
      <c r="A69" s="74" t="s">
        <v>279</v>
      </c>
      <c r="B69" s="50" t="s">
        <v>1134</v>
      </c>
      <c r="C69" s="50" t="s">
        <v>1134</v>
      </c>
      <c r="D69" s="48" t="s">
        <v>1135</v>
      </c>
      <c r="E69" s="50" t="s">
        <v>487</v>
      </c>
      <c r="G69" s="50" t="s">
        <v>1136</v>
      </c>
      <c r="H69" s="49">
        <v>5015</v>
      </c>
      <c r="I69" s="50" t="s">
        <v>1</v>
      </c>
      <c r="J69" s="51" t="s">
        <v>271</v>
      </c>
      <c r="K69" s="261">
        <v>41170</v>
      </c>
      <c r="L69" s="262">
        <v>41160</v>
      </c>
      <c r="M69" s="52">
        <v>10</v>
      </c>
      <c r="N69" s="52" t="s">
        <v>2</v>
      </c>
      <c r="AE69" s="50">
        <v>19.7</v>
      </c>
      <c r="AF69" s="273">
        <f>0.0002/2</f>
        <v>1E-4</v>
      </c>
      <c r="AG69" s="50">
        <v>9.06</v>
      </c>
    </row>
    <row r="70" spans="1:36" ht="14">
      <c r="A70" s="74" t="s">
        <v>279</v>
      </c>
      <c r="B70" s="52" t="s">
        <v>1216</v>
      </c>
      <c r="C70" s="52" t="s">
        <v>1216</v>
      </c>
      <c r="D70" s="259" t="s">
        <v>1903</v>
      </c>
      <c r="E70" s="52" t="s">
        <v>1218</v>
      </c>
      <c r="F70" s="52"/>
      <c r="G70" s="260" t="s">
        <v>1219</v>
      </c>
      <c r="H70" s="52">
        <v>5015</v>
      </c>
      <c r="I70" s="75" t="s">
        <v>2</v>
      </c>
      <c r="J70" s="52" t="s">
        <v>271</v>
      </c>
      <c r="K70" s="261">
        <v>40835</v>
      </c>
      <c r="L70" s="262">
        <v>40831</v>
      </c>
      <c r="M70" s="52">
        <v>4</v>
      </c>
      <c r="N70" s="52" t="s">
        <v>2</v>
      </c>
      <c r="O70" s="41">
        <v>1.9</v>
      </c>
      <c r="P70" s="52">
        <v>7.49</v>
      </c>
      <c r="Q70" s="41">
        <v>7.19</v>
      </c>
      <c r="R70" s="52">
        <v>170</v>
      </c>
      <c r="S70" s="41">
        <v>300</v>
      </c>
      <c r="T70" s="52">
        <v>0.49</v>
      </c>
      <c r="U70" s="41">
        <v>2.2000000000000002</v>
      </c>
      <c r="V70" s="52">
        <v>0.92</v>
      </c>
      <c r="W70" s="41">
        <v>6.8000000000000005E-2</v>
      </c>
      <c r="X70" s="52">
        <v>0.28000000000000003</v>
      </c>
      <c r="Y70" s="52">
        <v>0.109</v>
      </c>
      <c r="Z70" s="283">
        <v>1</v>
      </c>
      <c r="AA70" s="286">
        <v>1</v>
      </c>
      <c r="AB70" s="50">
        <v>38</v>
      </c>
      <c r="AC70" s="52">
        <v>97</v>
      </c>
      <c r="AD70" s="164">
        <v>1</v>
      </c>
      <c r="AE70" s="50">
        <v>1.83E-2</v>
      </c>
      <c r="AF70" s="52">
        <f>0.0002/2</f>
        <v>1E-4</v>
      </c>
      <c r="AG70" s="285">
        <v>1.1599999999999999</v>
      </c>
      <c r="AH70" s="52"/>
      <c r="AI70" s="52"/>
    </row>
    <row r="71" spans="1:36" ht="14">
      <c r="A71" s="74" t="s">
        <v>279</v>
      </c>
      <c r="B71" s="50" t="s">
        <v>1138</v>
      </c>
      <c r="C71" s="50" t="s">
        <v>1138</v>
      </c>
      <c r="D71" s="48" t="s">
        <v>548</v>
      </c>
      <c r="E71" s="50" t="s">
        <v>1139</v>
      </c>
      <c r="G71" s="50" t="s">
        <v>1140</v>
      </c>
      <c r="H71" s="49">
        <v>5015</v>
      </c>
      <c r="I71" s="50" t="s">
        <v>2</v>
      </c>
      <c r="J71" s="51" t="s">
        <v>271</v>
      </c>
      <c r="K71" s="261">
        <v>41170</v>
      </c>
      <c r="L71" s="262">
        <v>41160</v>
      </c>
      <c r="M71" s="52">
        <v>10</v>
      </c>
      <c r="N71" s="52" t="s">
        <v>2</v>
      </c>
      <c r="O71" s="74">
        <v>2.9</v>
      </c>
      <c r="P71" s="50">
        <v>6</v>
      </c>
      <c r="Q71" s="74">
        <v>6.61</v>
      </c>
      <c r="R71" s="50">
        <v>118.5</v>
      </c>
      <c r="S71" s="74">
        <v>79</v>
      </c>
      <c r="T71" s="50">
        <v>0.23</v>
      </c>
      <c r="U71" s="74">
        <v>1.36</v>
      </c>
      <c r="V71" s="50">
        <v>0.23</v>
      </c>
      <c r="W71" s="74">
        <v>0.13</v>
      </c>
      <c r="X71" s="50">
        <v>0.61</v>
      </c>
      <c r="Y71" s="50">
        <v>0.14000000000000001</v>
      </c>
      <c r="AE71" s="50">
        <v>16.2</v>
      </c>
      <c r="AF71" s="273">
        <v>2.0000000000000001E-4</v>
      </c>
      <c r="AG71" s="50">
        <v>5.36</v>
      </c>
      <c r="AH71" s="50">
        <v>10</v>
      </c>
    </row>
    <row r="72" spans="1:36" ht="14">
      <c r="A72" s="74" t="s">
        <v>279</v>
      </c>
      <c r="B72" s="50" t="s">
        <v>2478</v>
      </c>
      <c r="D72" s="48" t="s">
        <v>257</v>
      </c>
      <c r="E72" s="50" t="s">
        <v>823</v>
      </c>
      <c r="F72" s="50" t="s">
        <v>2479</v>
      </c>
      <c r="G72" s="50" t="s">
        <v>2480</v>
      </c>
      <c r="H72" s="49">
        <v>5015</v>
      </c>
      <c r="I72" s="50" t="s">
        <v>1</v>
      </c>
      <c r="J72" s="51" t="s">
        <v>271</v>
      </c>
      <c r="K72" s="261">
        <v>41274</v>
      </c>
      <c r="L72" s="262">
        <v>41270</v>
      </c>
      <c r="M72" s="52">
        <f>K72-L72</f>
        <v>4</v>
      </c>
      <c r="N72" s="52" t="s">
        <v>1</v>
      </c>
      <c r="O72" s="74">
        <f>2/2</f>
        <v>1</v>
      </c>
      <c r="P72" s="50">
        <v>6.2</v>
      </c>
      <c r="Q72" s="74">
        <v>3.9</v>
      </c>
      <c r="R72" s="50">
        <v>15</v>
      </c>
      <c r="S72" s="74">
        <v>4</v>
      </c>
      <c r="T72" s="50">
        <f>0.05/2</f>
        <v>2.5000000000000001E-2</v>
      </c>
      <c r="U72" s="74">
        <v>0.13</v>
      </c>
      <c r="V72" s="50">
        <v>1.7999999999999999E-2</v>
      </c>
      <c r="W72" s="74">
        <f>0.01/2</f>
        <v>5.0000000000000001E-3</v>
      </c>
      <c r="X72" s="50">
        <v>4.2999999999999997E-2</v>
      </c>
      <c r="Y72" s="50">
        <f>0.03/2</f>
        <v>1.4999999999999999E-2</v>
      </c>
      <c r="AE72" s="50">
        <v>0.4</v>
      </c>
      <c r="AF72" s="273">
        <f>0.0004/2</f>
        <v>2.0000000000000001E-4</v>
      </c>
      <c r="AG72" s="50">
        <f>0.13</f>
        <v>0.13</v>
      </c>
      <c r="AH72" s="50">
        <f>500/2</f>
        <v>250</v>
      </c>
    </row>
    <row r="73" spans="1:36" ht="14">
      <c r="A73" s="74" t="s">
        <v>279</v>
      </c>
      <c r="B73" s="50" t="s">
        <v>2486</v>
      </c>
      <c r="D73" s="48" t="s">
        <v>372</v>
      </c>
      <c r="E73" s="50" t="s">
        <v>235</v>
      </c>
      <c r="G73" s="50" t="s">
        <v>2487</v>
      </c>
      <c r="H73" s="49">
        <v>5015</v>
      </c>
      <c r="I73" s="50" t="s">
        <v>1</v>
      </c>
      <c r="J73" s="51" t="s">
        <v>271</v>
      </c>
      <c r="K73" s="261">
        <v>41184</v>
      </c>
      <c r="L73" s="262">
        <v>41162</v>
      </c>
      <c r="M73" s="52">
        <f>K73-L73</f>
        <v>22</v>
      </c>
      <c r="N73" s="52" t="s">
        <v>2</v>
      </c>
      <c r="AE73" s="50">
        <v>0.1</v>
      </c>
      <c r="AF73" s="273">
        <f>0.0002/2</f>
        <v>1E-4</v>
      </c>
      <c r="AG73" s="50">
        <v>7.0000000000000007E-2</v>
      </c>
    </row>
    <row r="74" spans="1:36" ht="14">
      <c r="A74" s="74" t="s">
        <v>279</v>
      </c>
      <c r="B74" s="50" t="s">
        <v>2486</v>
      </c>
      <c r="D74" s="48" t="s">
        <v>372</v>
      </c>
      <c r="E74" s="50" t="s">
        <v>235</v>
      </c>
      <c r="G74" s="50" t="s">
        <v>2487</v>
      </c>
      <c r="H74" s="49">
        <v>5015</v>
      </c>
      <c r="I74" s="50" t="s">
        <v>1</v>
      </c>
      <c r="J74" s="51" t="s">
        <v>271</v>
      </c>
      <c r="K74" s="261">
        <v>41247</v>
      </c>
      <c r="L74" s="262">
        <v>41241</v>
      </c>
      <c r="M74" s="52">
        <f>K74-L74</f>
        <v>6</v>
      </c>
      <c r="N74" s="52" t="s">
        <v>2</v>
      </c>
      <c r="AE74" s="50">
        <v>2.33</v>
      </c>
      <c r="AF74" s="273">
        <f>0.0002/2</f>
        <v>1E-4</v>
      </c>
      <c r="AG74" s="50">
        <v>1.58</v>
      </c>
    </row>
    <row r="75" spans="1:36" ht="14">
      <c r="A75" s="74" t="s">
        <v>279</v>
      </c>
      <c r="B75" s="50" t="s">
        <v>1145</v>
      </c>
      <c r="C75" s="50" t="s">
        <v>1145</v>
      </c>
      <c r="D75" s="48" t="s">
        <v>133</v>
      </c>
      <c r="E75" s="50" t="s">
        <v>2610</v>
      </c>
      <c r="F75" s="50" t="s">
        <v>2609</v>
      </c>
      <c r="G75" s="50" t="s">
        <v>1146</v>
      </c>
      <c r="H75" s="49">
        <v>5015</v>
      </c>
      <c r="I75" s="50" t="s">
        <v>2</v>
      </c>
      <c r="J75" s="51" t="s">
        <v>1144</v>
      </c>
      <c r="K75" s="261">
        <v>41105</v>
      </c>
      <c r="L75" s="262"/>
      <c r="M75" s="52" t="s">
        <v>1147</v>
      </c>
      <c r="N75" s="52" t="s">
        <v>2</v>
      </c>
      <c r="O75" s="74">
        <f>5/2</f>
        <v>2.5</v>
      </c>
      <c r="P75" s="50">
        <v>6.21</v>
      </c>
      <c r="Q75" s="74">
        <v>6.5</v>
      </c>
      <c r="R75" s="50">
        <v>190</v>
      </c>
      <c r="S75" s="74">
        <v>96</v>
      </c>
      <c r="T75" s="50">
        <f>0.1/2</f>
        <v>0.05</v>
      </c>
      <c r="U75" s="74">
        <v>5.6</v>
      </c>
      <c r="V75" s="50">
        <v>0.64</v>
      </c>
      <c r="W75" s="74">
        <v>0.11</v>
      </c>
      <c r="X75" s="50">
        <v>0.32</v>
      </c>
      <c r="Y75" s="50">
        <v>8.3000000000000004E-2</v>
      </c>
      <c r="AE75" s="50">
        <v>3.2</v>
      </c>
      <c r="AF75" s="273">
        <f>0.0004/2</f>
        <v>2.0000000000000001E-4</v>
      </c>
      <c r="AG75" s="50">
        <v>1.4</v>
      </c>
      <c r="AH75" s="50">
        <f>20/2</f>
        <v>10</v>
      </c>
    </row>
    <row r="76" spans="1:36" ht="14">
      <c r="A76" s="74" t="s">
        <v>279</v>
      </c>
      <c r="B76" s="50" t="s">
        <v>3130</v>
      </c>
      <c r="C76" s="50" t="s">
        <v>3130</v>
      </c>
      <c r="D76" s="48" t="s">
        <v>276</v>
      </c>
      <c r="E76" s="50" t="s">
        <v>1151</v>
      </c>
      <c r="G76" s="50" t="s">
        <v>3131</v>
      </c>
      <c r="H76" s="49">
        <v>5015</v>
      </c>
      <c r="I76" s="50" t="s">
        <v>2</v>
      </c>
      <c r="J76" s="51" t="s">
        <v>271</v>
      </c>
      <c r="K76" s="261">
        <v>41305</v>
      </c>
      <c r="L76" s="262">
        <v>41302</v>
      </c>
      <c r="M76" s="52"/>
      <c r="N76" s="52" t="s">
        <v>2</v>
      </c>
      <c r="AE76" s="50">
        <v>2.82</v>
      </c>
      <c r="AF76" s="273">
        <f>0.0002/2</f>
        <v>1E-4</v>
      </c>
      <c r="AG76" s="50">
        <v>2.15</v>
      </c>
    </row>
    <row r="77" spans="1:36" ht="14">
      <c r="A77" s="74" t="s">
        <v>279</v>
      </c>
      <c r="B77" s="50" t="s">
        <v>3132</v>
      </c>
      <c r="C77" s="50" t="s">
        <v>3132</v>
      </c>
      <c r="D77" s="48" t="s">
        <v>861</v>
      </c>
      <c r="E77" s="50" t="s">
        <v>3133</v>
      </c>
      <c r="G77" s="50" t="s">
        <v>3134</v>
      </c>
      <c r="H77" s="49">
        <v>5015</v>
      </c>
      <c r="I77" s="50" t="s">
        <v>2</v>
      </c>
      <c r="J77" s="51" t="s">
        <v>3135</v>
      </c>
      <c r="K77" s="261">
        <v>41253</v>
      </c>
      <c r="L77" s="262">
        <v>44537</v>
      </c>
      <c r="M77" s="52"/>
      <c r="N77" s="52" t="s">
        <v>2</v>
      </c>
      <c r="O77" s="74">
        <v>4.2</v>
      </c>
      <c r="P77" s="50">
        <v>7.3</v>
      </c>
      <c r="Q77" s="74">
        <v>7.6</v>
      </c>
      <c r="R77" s="50">
        <v>56</v>
      </c>
      <c r="S77" s="74">
        <v>83</v>
      </c>
      <c r="T77" s="50">
        <v>0.36</v>
      </c>
      <c r="U77" s="74">
        <v>0.93</v>
      </c>
      <c r="V77" s="50">
        <f>0.01/2</f>
        <v>5.0000000000000001E-3</v>
      </c>
      <c r="W77" s="74">
        <v>8.1000000000000003E-2</v>
      </c>
      <c r="X77" s="50">
        <v>0.189</v>
      </c>
      <c r="Y77" s="50">
        <v>0.13200000000000001</v>
      </c>
      <c r="Z77" s="164">
        <v>1</v>
      </c>
      <c r="AA77" s="165">
        <v>1</v>
      </c>
      <c r="AB77" s="50">
        <v>40</v>
      </c>
      <c r="AC77" s="74">
        <v>119</v>
      </c>
      <c r="AE77" s="50">
        <v>8.3800000000000008</v>
      </c>
      <c r="AF77" s="273">
        <f>0.0002/2</f>
        <v>1E-4</v>
      </c>
      <c r="AG77" s="50">
        <v>5.88</v>
      </c>
      <c r="AH77" s="50">
        <v>2.4E-2</v>
      </c>
    </row>
    <row r="78" spans="1:36" ht="14">
      <c r="A78" s="74" t="s">
        <v>279</v>
      </c>
      <c r="B78" s="50" t="s">
        <v>3130</v>
      </c>
      <c r="C78" s="50" t="s">
        <v>3130</v>
      </c>
      <c r="D78" s="48" t="s">
        <v>276</v>
      </c>
      <c r="E78" s="50" t="s">
        <v>1151</v>
      </c>
      <c r="G78" s="50" t="s">
        <v>3131</v>
      </c>
      <c r="H78" s="49">
        <v>5015</v>
      </c>
      <c r="I78" s="50" t="s">
        <v>2</v>
      </c>
      <c r="J78" s="51" t="s">
        <v>271</v>
      </c>
      <c r="K78" s="261">
        <v>41376</v>
      </c>
      <c r="L78" s="262">
        <v>41373</v>
      </c>
      <c r="M78" s="52"/>
      <c r="N78" s="52" t="s">
        <v>2</v>
      </c>
      <c r="O78" s="74">
        <v>9.6999999999999993</v>
      </c>
      <c r="P78" s="50">
        <v>5.85</v>
      </c>
      <c r="Q78" s="74">
        <v>6.45</v>
      </c>
      <c r="R78" s="50">
        <v>44.3</v>
      </c>
      <c r="S78" s="74">
        <v>417</v>
      </c>
      <c r="T78" s="50">
        <v>0.4</v>
      </c>
      <c r="U78" s="74">
        <v>3.28</v>
      </c>
      <c r="V78" s="50">
        <v>0.55000000000000004</v>
      </c>
      <c r="W78" s="74">
        <v>0.12</v>
      </c>
      <c r="X78" s="50">
        <v>0.4</v>
      </c>
      <c r="Y78" s="50">
        <v>0.17</v>
      </c>
      <c r="AE78" s="50">
        <v>30.4</v>
      </c>
      <c r="AF78" s="273">
        <v>5.0000000000000001E-4</v>
      </c>
      <c r="AG78" s="50">
        <v>19.899999999999999</v>
      </c>
      <c r="AH78" s="50">
        <f>10/2</f>
        <v>5</v>
      </c>
    </row>
    <row r="79" spans="1:36" ht="14">
      <c r="A79" s="74" t="s">
        <v>279</v>
      </c>
      <c r="B79" s="50" t="s">
        <v>3633</v>
      </c>
      <c r="C79" s="50" t="s">
        <v>3633</v>
      </c>
      <c r="D79" s="48" t="s">
        <v>2378</v>
      </c>
      <c r="E79" s="50" t="s">
        <v>3634</v>
      </c>
      <c r="G79" s="76" t="s">
        <v>3635</v>
      </c>
      <c r="H79" s="50">
        <v>5015</v>
      </c>
      <c r="I79" s="49" t="s">
        <v>2</v>
      </c>
      <c r="J79" s="50" t="s">
        <v>272</v>
      </c>
      <c r="K79" s="51">
        <v>41324</v>
      </c>
      <c r="L79" s="115">
        <v>41316</v>
      </c>
      <c r="AE79" s="50">
        <v>3.23</v>
      </c>
      <c r="AF79" s="273">
        <f>0.0004/2</f>
        <v>2.0000000000000001E-4</v>
      </c>
      <c r="AG79" s="50">
        <v>2.0499999999999998</v>
      </c>
    </row>
    <row r="80" spans="1:36" ht="14">
      <c r="A80" s="74" t="s">
        <v>279</v>
      </c>
      <c r="B80" s="50" t="s">
        <v>1148</v>
      </c>
      <c r="C80" s="50" t="s">
        <v>1148</v>
      </c>
      <c r="D80" s="48" t="s">
        <v>735</v>
      </c>
      <c r="E80" s="50" t="s">
        <v>1149</v>
      </c>
      <c r="G80" s="76" t="s">
        <v>1150</v>
      </c>
      <c r="H80" s="50">
        <v>5015</v>
      </c>
      <c r="I80" s="49" t="s">
        <v>2</v>
      </c>
      <c r="J80" s="50" t="s">
        <v>271</v>
      </c>
      <c r="K80" s="51">
        <v>41264</v>
      </c>
      <c r="L80" s="115">
        <v>41617</v>
      </c>
      <c r="N80" s="50" t="s">
        <v>1</v>
      </c>
      <c r="O80" s="74">
        <v>83</v>
      </c>
      <c r="P80" s="50">
        <v>5.5</v>
      </c>
      <c r="Q80" s="74">
        <v>7.8</v>
      </c>
      <c r="R80" s="50">
        <v>360</v>
      </c>
      <c r="S80" s="74">
        <v>340</v>
      </c>
      <c r="T80" s="50">
        <v>1.2</v>
      </c>
      <c r="U80" s="74">
        <v>2.6</v>
      </c>
      <c r="V80" s="50">
        <v>0.47</v>
      </c>
      <c r="W80" s="74">
        <v>0.42</v>
      </c>
      <c r="X80" s="50">
        <v>1.2</v>
      </c>
      <c r="Y80" s="50">
        <v>1.3</v>
      </c>
      <c r="Z80" s="164">
        <v>0.33800000000000002</v>
      </c>
      <c r="AA80" s="165">
        <v>0.24399999999999999</v>
      </c>
      <c r="AB80" s="50">
        <v>60</v>
      </c>
      <c r="AC80" s="74">
        <v>185</v>
      </c>
      <c r="AD80" s="164">
        <f>0/20</f>
        <v>0</v>
      </c>
      <c r="AF80" s="273"/>
    </row>
    <row r="81" spans="1:35" ht="14">
      <c r="A81" s="74" t="s">
        <v>279</v>
      </c>
      <c r="B81" s="50" t="s">
        <v>1148</v>
      </c>
      <c r="C81" s="50" t="s">
        <v>1148</v>
      </c>
      <c r="D81" s="48" t="s">
        <v>735</v>
      </c>
      <c r="E81" s="50" t="s">
        <v>1149</v>
      </c>
      <c r="G81" s="76" t="s">
        <v>1150</v>
      </c>
      <c r="H81" s="50">
        <v>5015</v>
      </c>
      <c r="I81" s="49" t="s">
        <v>2</v>
      </c>
      <c r="J81" s="50" t="s">
        <v>272</v>
      </c>
      <c r="K81" s="51">
        <v>41264</v>
      </c>
      <c r="L81" s="115">
        <v>41617</v>
      </c>
      <c r="N81" s="50" t="s">
        <v>1</v>
      </c>
      <c r="O81" s="74">
        <f>6.7/2</f>
        <v>3.35</v>
      </c>
      <c r="P81" s="50">
        <v>5.5</v>
      </c>
      <c r="Q81" s="74">
        <v>5.9</v>
      </c>
      <c r="R81" s="50">
        <v>94</v>
      </c>
      <c r="S81" s="74">
        <v>320</v>
      </c>
      <c r="T81" s="50">
        <v>0.74</v>
      </c>
      <c r="U81" s="74">
        <v>2.4</v>
      </c>
      <c r="V81" s="50">
        <v>0.28999999999999998</v>
      </c>
      <c r="W81" s="74">
        <v>6.8000000000000005E-2</v>
      </c>
      <c r="X81" s="50">
        <v>0.36</v>
      </c>
      <c r="Y81" s="50">
        <v>0.15</v>
      </c>
      <c r="Z81" s="164">
        <v>1</v>
      </c>
      <c r="AA81" s="165">
        <v>1</v>
      </c>
      <c r="AB81" s="50">
        <v>8</v>
      </c>
      <c r="AC81" s="74">
        <v>36</v>
      </c>
      <c r="AD81" s="164">
        <f>20/20</f>
        <v>1</v>
      </c>
      <c r="AF81" s="273"/>
    </row>
    <row r="82" spans="1:35" ht="14">
      <c r="A82" s="74" t="s">
        <v>279</v>
      </c>
      <c r="B82" s="50" t="s">
        <v>1138</v>
      </c>
      <c r="C82" s="50" t="s">
        <v>1138</v>
      </c>
      <c r="D82" s="48" t="s">
        <v>548</v>
      </c>
      <c r="E82" s="50" t="s">
        <v>1139</v>
      </c>
      <c r="G82" s="76" t="s">
        <v>1140</v>
      </c>
      <c r="H82" s="50">
        <v>5015</v>
      </c>
      <c r="I82" s="49" t="s">
        <v>2</v>
      </c>
      <c r="J82" s="50" t="s">
        <v>271</v>
      </c>
      <c r="K82" s="51">
        <v>41376</v>
      </c>
      <c r="L82" s="115">
        <v>41373</v>
      </c>
      <c r="N82" s="50" t="s">
        <v>2</v>
      </c>
      <c r="AE82" s="50">
        <v>0.1</v>
      </c>
      <c r="AF82" s="273">
        <f>0.0002/2</f>
        <v>1E-4</v>
      </c>
      <c r="AG82" s="50">
        <v>0.05</v>
      </c>
    </row>
    <row r="83" spans="1:35" ht="14">
      <c r="A83" s="74" t="s">
        <v>279</v>
      </c>
      <c r="B83" s="50" t="s">
        <v>275</v>
      </c>
      <c r="C83" s="50" t="s">
        <v>275</v>
      </c>
      <c r="D83" s="48" t="s">
        <v>276</v>
      </c>
      <c r="E83" s="50" t="s">
        <v>3636</v>
      </c>
      <c r="G83" s="76" t="s">
        <v>278</v>
      </c>
      <c r="H83" s="50">
        <v>5015</v>
      </c>
      <c r="I83" s="49" t="s">
        <v>2</v>
      </c>
      <c r="J83" s="50" t="s">
        <v>272</v>
      </c>
      <c r="K83" s="51">
        <v>41376</v>
      </c>
      <c r="L83" s="115">
        <v>41373</v>
      </c>
      <c r="N83" s="50" t="s">
        <v>2</v>
      </c>
      <c r="O83" s="74">
        <v>1.6</v>
      </c>
      <c r="P83" s="50">
        <v>6.19</v>
      </c>
      <c r="Q83" s="74">
        <v>6.56</v>
      </c>
      <c r="R83" s="50">
        <v>17.2</v>
      </c>
      <c r="S83" s="74">
        <v>12.5</v>
      </c>
      <c r="T83" s="50">
        <f>0.05/2</f>
        <v>2.5000000000000001E-2</v>
      </c>
      <c r="U83" s="74">
        <v>1.02</v>
      </c>
      <c r="V83" s="50">
        <v>0.57999999999999996</v>
      </c>
      <c r="W83" s="74">
        <f>0.01/2</f>
        <v>5.0000000000000001E-3</v>
      </c>
      <c r="X83" s="50">
        <f>0.01/2</f>
        <v>5.0000000000000001E-3</v>
      </c>
      <c r="Y83" s="50">
        <f>0.02/2</f>
        <v>0.01</v>
      </c>
      <c r="AE83" s="50">
        <v>0.39</v>
      </c>
      <c r="AF83" s="273">
        <f>0.0002/2</f>
        <v>1E-4</v>
      </c>
      <c r="AG83" s="50">
        <v>0.27</v>
      </c>
      <c r="AH83" s="50">
        <f>10/2</f>
        <v>5</v>
      </c>
    </row>
    <row r="84" spans="1:35" ht="14">
      <c r="A84" s="74" t="s">
        <v>279</v>
      </c>
      <c r="B84" s="50" t="s">
        <v>486</v>
      </c>
      <c r="C84" s="50" t="s">
        <v>486</v>
      </c>
      <c r="D84" s="48" t="s">
        <v>372</v>
      </c>
      <c r="E84" s="50" t="s">
        <v>487</v>
      </c>
      <c r="G84" s="76" t="s">
        <v>488</v>
      </c>
      <c r="H84" s="50">
        <v>5015</v>
      </c>
      <c r="I84" s="49" t="s">
        <v>1</v>
      </c>
      <c r="J84" s="50" t="s">
        <v>271</v>
      </c>
      <c r="K84" s="51">
        <v>41345</v>
      </c>
      <c r="L84" s="115">
        <v>41341</v>
      </c>
      <c r="N84" s="50" t="s">
        <v>1</v>
      </c>
      <c r="AE84" s="50">
        <v>6.9</v>
      </c>
      <c r="AF84" s="273"/>
      <c r="AG84" s="50">
        <v>3.71</v>
      </c>
      <c r="AI84" s="50">
        <v>70</v>
      </c>
    </row>
    <row r="85" spans="1:35" ht="14">
      <c r="A85" s="74" t="s">
        <v>279</v>
      </c>
      <c r="B85" s="50" t="s">
        <v>3637</v>
      </c>
      <c r="C85" s="50" t="s">
        <v>3638</v>
      </c>
      <c r="D85" s="48" t="s">
        <v>234</v>
      </c>
      <c r="E85" s="50" t="s">
        <v>3639</v>
      </c>
      <c r="G85" s="76" t="s">
        <v>3640</v>
      </c>
      <c r="H85" s="50">
        <v>5015</v>
      </c>
      <c r="I85" s="49" t="s">
        <v>2</v>
      </c>
      <c r="J85" s="50" t="s">
        <v>272</v>
      </c>
      <c r="K85" s="51">
        <v>41345</v>
      </c>
      <c r="L85" s="115">
        <v>41341</v>
      </c>
      <c r="N85" s="50" t="s">
        <v>2</v>
      </c>
      <c r="O85" s="74">
        <f>1.9/2</f>
        <v>0.95</v>
      </c>
      <c r="P85" s="50">
        <v>7.7</v>
      </c>
      <c r="Q85" s="74">
        <v>7.2</v>
      </c>
      <c r="R85" s="50">
        <v>25</v>
      </c>
      <c r="S85" s="74">
        <v>27.7</v>
      </c>
      <c r="T85" s="50">
        <v>8.3000000000000004E-2</v>
      </c>
      <c r="U85" s="74">
        <v>1.7</v>
      </c>
      <c r="V85" s="50">
        <v>0.74</v>
      </c>
      <c r="W85" s="74">
        <v>2.7E-2</v>
      </c>
      <c r="X85" s="50">
        <v>0.154</v>
      </c>
      <c r="Y85" s="50">
        <v>4.02E-2</v>
      </c>
      <c r="AE85" s="50">
        <v>3.1</v>
      </c>
      <c r="AF85" s="273">
        <f>0.0002/2</f>
        <v>1E-4</v>
      </c>
      <c r="AG85" s="50">
        <v>1.64</v>
      </c>
    </row>
    <row r="86" spans="1:35" ht="14">
      <c r="A86" s="74" t="s">
        <v>279</v>
      </c>
      <c r="B86" s="50" t="s">
        <v>1216</v>
      </c>
      <c r="C86" s="50" t="s">
        <v>1216</v>
      </c>
      <c r="D86" s="48" t="s">
        <v>1217</v>
      </c>
      <c r="E86" s="50" t="s">
        <v>1218</v>
      </c>
      <c r="G86" s="76" t="s">
        <v>1219</v>
      </c>
      <c r="H86" s="50">
        <v>5015</v>
      </c>
      <c r="I86" s="49" t="s">
        <v>2</v>
      </c>
      <c r="J86" s="50" t="s">
        <v>271</v>
      </c>
      <c r="K86" s="51">
        <v>41264</v>
      </c>
      <c r="L86" s="115">
        <v>41252</v>
      </c>
      <c r="N86" s="50" t="s">
        <v>2</v>
      </c>
      <c r="O86" s="74">
        <f>1.4/2</f>
        <v>0.7</v>
      </c>
      <c r="P86" s="50">
        <v>7.02</v>
      </c>
      <c r="Q86" s="74">
        <v>7.01</v>
      </c>
      <c r="R86" s="50">
        <v>43</v>
      </c>
      <c r="S86" s="74">
        <v>130</v>
      </c>
      <c r="T86" s="50">
        <v>0.28000000000000003</v>
      </c>
      <c r="U86" s="74">
        <v>1.65</v>
      </c>
      <c r="V86" s="50">
        <f>0.05/2</f>
        <v>2.5000000000000001E-2</v>
      </c>
      <c r="W86" s="74">
        <v>1.7999999999999999E-2</v>
      </c>
      <c r="X86" s="50">
        <v>0.109</v>
      </c>
      <c r="Y86" s="50">
        <v>1.7999999999999999E-2</v>
      </c>
      <c r="Z86" s="164">
        <v>1</v>
      </c>
      <c r="AA86" s="165">
        <v>1</v>
      </c>
      <c r="AB86" s="50">
        <v>10</v>
      </c>
      <c r="AC86" s="74">
        <v>25</v>
      </c>
      <c r="AD86" s="164">
        <f>20/20</f>
        <v>1</v>
      </c>
      <c r="AE86" s="50">
        <v>10.6</v>
      </c>
      <c r="AF86" s="273">
        <f>0.0002/2</f>
        <v>1E-4</v>
      </c>
      <c r="AG86" s="50">
        <v>5.36</v>
      </c>
      <c r="AH86" s="50">
        <f>10/2</f>
        <v>5</v>
      </c>
    </row>
    <row r="87" spans="1:35" ht="14">
      <c r="A87" s="74" t="s">
        <v>279</v>
      </c>
      <c r="B87" s="50" t="s">
        <v>1155</v>
      </c>
      <c r="C87" s="50" t="s">
        <v>1155</v>
      </c>
      <c r="D87" s="48" t="s">
        <v>350</v>
      </c>
      <c r="E87" s="50" t="s">
        <v>1156</v>
      </c>
      <c r="G87" s="76" t="s">
        <v>1157</v>
      </c>
      <c r="H87" s="50">
        <v>5015</v>
      </c>
      <c r="I87" s="49" t="s">
        <v>1</v>
      </c>
      <c r="J87" s="50" t="s">
        <v>271</v>
      </c>
      <c r="K87" s="51">
        <v>41345</v>
      </c>
      <c r="L87" s="115">
        <v>41341</v>
      </c>
      <c r="N87" s="50" t="s">
        <v>2</v>
      </c>
      <c r="AE87" s="50">
        <v>7.82</v>
      </c>
      <c r="AF87" s="273"/>
      <c r="AG87" s="50">
        <v>6.04</v>
      </c>
    </row>
    <row r="88" spans="1:35" ht="14">
      <c r="A88" s="74" t="s">
        <v>279</v>
      </c>
      <c r="B88" s="50" t="s">
        <v>3642</v>
      </c>
      <c r="C88" s="50" t="s">
        <v>1138</v>
      </c>
      <c r="D88" s="48" t="s">
        <v>548</v>
      </c>
      <c r="E88" s="50" t="s">
        <v>1139</v>
      </c>
      <c r="G88" s="76" t="s">
        <v>1140</v>
      </c>
      <c r="H88" s="50">
        <v>5015</v>
      </c>
      <c r="I88" s="49" t="s">
        <v>2</v>
      </c>
      <c r="J88" s="50" t="s">
        <v>271</v>
      </c>
      <c r="K88" s="51">
        <v>41305</v>
      </c>
      <c r="L88" s="115">
        <v>41301</v>
      </c>
      <c r="N88" s="50" t="s">
        <v>1</v>
      </c>
      <c r="O88" s="74">
        <v>1.8</v>
      </c>
      <c r="P88" s="50">
        <v>6.66</v>
      </c>
      <c r="Q88" s="74">
        <v>6.54</v>
      </c>
      <c r="R88" s="50">
        <v>62.1</v>
      </c>
      <c r="S88" s="74">
        <v>115</v>
      </c>
      <c r="T88" s="50">
        <v>0.21</v>
      </c>
      <c r="U88" s="74">
        <v>1.6</v>
      </c>
      <c r="V88" s="50">
        <f>0.2/2</f>
        <v>0.1</v>
      </c>
      <c r="W88" s="74">
        <v>0.11</v>
      </c>
      <c r="X88" s="50">
        <v>0.39</v>
      </c>
      <c r="Y88" s="50">
        <v>0.09</v>
      </c>
      <c r="Z88" s="164">
        <v>1</v>
      </c>
      <c r="AA88" s="165">
        <v>1</v>
      </c>
      <c r="AB88" s="50">
        <v>13</v>
      </c>
      <c r="AC88" s="74">
        <v>44.3</v>
      </c>
      <c r="AD88" s="164">
        <f>20/20</f>
        <v>1</v>
      </c>
      <c r="AE88" s="50">
        <v>10.4</v>
      </c>
      <c r="AF88" s="273">
        <f>0.0002/2</f>
        <v>1E-4</v>
      </c>
      <c r="AG88" s="50">
        <v>3.62</v>
      </c>
      <c r="AH88" s="50">
        <f>10/2</f>
        <v>5</v>
      </c>
    </row>
    <row r="89" spans="1:35" ht="14">
      <c r="A89" s="74" t="s">
        <v>279</v>
      </c>
      <c r="B89" s="50" t="s">
        <v>1174</v>
      </c>
      <c r="C89" s="50" t="s">
        <v>1174</v>
      </c>
      <c r="D89" s="48" t="s">
        <v>1175</v>
      </c>
      <c r="E89" s="50" t="s">
        <v>1176</v>
      </c>
      <c r="G89" s="76" t="s">
        <v>1177</v>
      </c>
      <c r="H89" s="50">
        <v>5015</v>
      </c>
      <c r="I89" s="49" t="s">
        <v>1</v>
      </c>
      <c r="J89" s="50" t="s">
        <v>271</v>
      </c>
      <c r="K89" s="51">
        <v>41345</v>
      </c>
      <c r="L89" s="115">
        <v>41341</v>
      </c>
      <c r="N89" s="50" t="s">
        <v>1</v>
      </c>
      <c r="AE89" s="50">
        <v>9.82</v>
      </c>
      <c r="AF89" s="273"/>
      <c r="AG89" s="50">
        <v>5.79</v>
      </c>
      <c r="AI89" s="50">
        <v>60</v>
      </c>
    </row>
    <row r="90" spans="1:35" ht="14">
      <c r="A90" s="74" t="s">
        <v>279</v>
      </c>
      <c r="B90" s="50" t="s">
        <v>1141</v>
      </c>
      <c r="C90" s="50" t="s">
        <v>1142</v>
      </c>
      <c r="D90" s="48" t="s">
        <v>397</v>
      </c>
      <c r="G90" s="76" t="s">
        <v>1143</v>
      </c>
      <c r="H90" s="50">
        <v>5015</v>
      </c>
      <c r="J90" s="50" t="s">
        <v>74</v>
      </c>
      <c r="K90" s="51">
        <v>41332</v>
      </c>
      <c r="L90" s="115"/>
      <c r="N90" s="50" t="s">
        <v>1</v>
      </c>
      <c r="O90" s="74">
        <f>1.4/2</f>
        <v>0.7</v>
      </c>
      <c r="P90" s="50">
        <v>6.64</v>
      </c>
      <c r="Q90" s="74">
        <v>6.62</v>
      </c>
      <c r="R90" s="50">
        <v>19</v>
      </c>
      <c r="S90" s="74">
        <v>74</v>
      </c>
      <c r="T90" s="50">
        <v>0.1</v>
      </c>
      <c r="U90" s="74">
        <v>0.32</v>
      </c>
      <c r="V90" s="50">
        <v>0.05</v>
      </c>
      <c r="W90" s="74">
        <v>1.7000000000000001E-2</v>
      </c>
      <c r="X90" s="50">
        <v>0.05</v>
      </c>
      <c r="Y90" s="50">
        <v>6.9000000000000006E-2</v>
      </c>
      <c r="Z90" s="164">
        <v>1</v>
      </c>
      <c r="AA90" s="165">
        <v>1</v>
      </c>
      <c r="AB90" s="50">
        <v>10</v>
      </c>
      <c r="AC90" s="74">
        <v>40</v>
      </c>
      <c r="AD90" s="164">
        <f>20/20</f>
        <v>1</v>
      </c>
      <c r="AE90" s="50">
        <v>3.28</v>
      </c>
      <c r="AF90" s="273">
        <f>0.0002/2</f>
        <v>1E-4</v>
      </c>
      <c r="AG90" s="50">
        <v>2.52</v>
      </c>
    </row>
    <row r="91" spans="1:35" ht="14">
      <c r="A91" s="74" t="s">
        <v>279</v>
      </c>
      <c r="B91" s="50" t="s">
        <v>1166</v>
      </c>
      <c r="C91" s="50" t="s">
        <v>1166</v>
      </c>
      <c r="D91" s="48" t="s">
        <v>347</v>
      </c>
      <c r="E91" s="50" t="s">
        <v>1167</v>
      </c>
      <c r="G91" s="76" t="s">
        <v>1168</v>
      </c>
      <c r="H91" s="50">
        <v>5015</v>
      </c>
      <c r="I91" s="49" t="s">
        <v>1</v>
      </c>
      <c r="J91" s="50" t="s">
        <v>271</v>
      </c>
      <c r="K91" s="51">
        <v>41345</v>
      </c>
      <c r="L91" s="115">
        <v>41341</v>
      </c>
      <c r="M91" s="50">
        <f>K91-L91</f>
        <v>4</v>
      </c>
      <c r="N91" s="50" t="s">
        <v>2</v>
      </c>
      <c r="AE91" s="50">
        <v>2.57</v>
      </c>
      <c r="AF91" s="273"/>
      <c r="AG91" s="50">
        <v>1.84</v>
      </c>
    </row>
    <row r="92" spans="1:35" ht="14">
      <c r="A92" s="74" t="s">
        <v>279</v>
      </c>
      <c r="B92" s="50" t="s">
        <v>3643</v>
      </c>
      <c r="C92" s="50" t="s">
        <v>3644</v>
      </c>
      <c r="D92" s="48" t="s">
        <v>1135</v>
      </c>
      <c r="E92" s="50" t="s">
        <v>3645</v>
      </c>
      <c r="G92" s="76" t="s">
        <v>3646</v>
      </c>
      <c r="H92" s="50">
        <v>5015</v>
      </c>
      <c r="I92" s="49" t="s">
        <v>2</v>
      </c>
      <c r="J92" s="50" t="s">
        <v>3647</v>
      </c>
      <c r="K92" s="51">
        <v>41345</v>
      </c>
      <c r="L92" s="115">
        <v>41341</v>
      </c>
      <c r="N92" s="50" t="s">
        <v>2</v>
      </c>
      <c r="O92" s="74">
        <v>9.8000000000000007</v>
      </c>
      <c r="P92" s="50">
        <v>6.5</v>
      </c>
      <c r="Q92" s="74">
        <v>6.6</v>
      </c>
      <c r="R92" s="50">
        <v>156</v>
      </c>
      <c r="S92" s="74">
        <v>230</v>
      </c>
      <c r="T92" s="50">
        <v>0.55000000000000004</v>
      </c>
      <c r="U92" s="74">
        <v>1.4</v>
      </c>
      <c r="V92" s="50">
        <v>0.11</v>
      </c>
      <c r="W92" s="74">
        <v>0.10100000000000001</v>
      </c>
      <c r="X92" s="50">
        <v>0.32500000000000001</v>
      </c>
      <c r="Y92" s="50">
        <v>0.11600000000000001</v>
      </c>
      <c r="Z92" s="164">
        <v>1</v>
      </c>
      <c r="AA92" s="165">
        <v>1</v>
      </c>
      <c r="AB92" s="50">
        <v>10</v>
      </c>
      <c r="AC92" s="74">
        <v>72</v>
      </c>
      <c r="AD92" s="164">
        <f>20/20</f>
        <v>1</v>
      </c>
      <c r="AE92" s="50">
        <v>22.3</v>
      </c>
      <c r="AF92" s="273">
        <f>0.0002/2</f>
        <v>1E-4</v>
      </c>
      <c r="AG92" s="50">
        <v>14.3</v>
      </c>
      <c r="AH92" s="50" t="s">
        <v>955</v>
      </c>
    </row>
    <row r="93" spans="1:35" ht="14">
      <c r="A93" s="74" t="s">
        <v>279</v>
      </c>
      <c r="B93" s="50" t="s">
        <v>3643</v>
      </c>
      <c r="C93" s="50" t="s">
        <v>3644</v>
      </c>
      <c r="D93" s="48" t="s">
        <v>1135</v>
      </c>
      <c r="E93" s="50" t="s">
        <v>3645</v>
      </c>
      <c r="G93" s="76" t="s">
        <v>3646</v>
      </c>
      <c r="H93" s="50">
        <v>5015</v>
      </c>
      <c r="I93" s="49" t="s">
        <v>2</v>
      </c>
      <c r="J93" s="50" t="s">
        <v>3648</v>
      </c>
      <c r="K93" s="51">
        <v>41345</v>
      </c>
      <c r="L93" s="115">
        <v>41341</v>
      </c>
      <c r="N93" s="50" t="s">
        <v>2</v>
      </c>
      <c r="O93" s="74">
        <v>3.3</v>
      </c>
      <c r="P93" s="50">
        <v>6.5</v>
      </c>
      <c r="Q93" s="74">
        <v>7.1</v>
      </c>
      <c r="R93" s="50">
        <v>134</v>
      </c>
      <c r="S93" s="74">
        <v>310</v>
      </c>
      <c r="T93" s="50">
        <v>0.62</v>
      </c>
      <c r="U93" s="74">
        <v>1.68</v>
      </c>
      <c r="V93" s="50">
        <v>0.06</v>
      </c>
      <c r="W93" s="74">
        <v>0.04</v>
      </c>
      <c r="X93" s="50">
        <v>0.152</v>
      </c>
      <c r="Y93" s="50">
        <v>6.0999999999999999E-2</v>
      </c>
      <c r="Z93" s="164">
        <v>1</v>
      </c>
      <c r="AA93" s="165">
        <v>1</v>
      </c>
      <c r="AB93" s="50">
        <f>2/2</f>
        <v>1</v>
      </c>
      <c r="AC93" s="74">
        <v>61</v>
      </c>
      <c r="AD93" s="164">
        <f>20/20</f>
        <v>1</v>
      </c>
      <c r="AE93" s="50">
        <v>9.7200000000000006</v>
      </c>
      <c r="AF93" s="273">
        <f>0.0002/2</f>
        <v>1E-4</v>
      </c>
      <c r="AG93" s="50">
        <v>6.4</v>
      </c>
      <c r="AH93" s="50" t="s">
        <v>955</v>
      </c>
    </row>
    <row r="94" spans="1:35" ht="14">
      <c r="A94" s="74" t="s">
        <v>279</v>
      </c>
      <c r="B94" s="50" t="s">
        <v>2478</v>
      </c>
      <c r="C94" s="50" t="s">
        <v>2478</v>
      </c>
      <c r="D94" s="48" t="s">
        <v>257</v>
      </c>
      <c r="E94" s="50" t="s">
        <v>3649</v>
      </c>
      <c r="G94" s="76" t="s">
        <v>2480</v>
      </c>
      <c r="H94" s="50">
        <v>5015</v>
      </c>
      <c r="I94" s="49" t="s">
        <v>1</v>
      </c>
      <c r="J94" s="50" t="s">
        <v>271</v>
      </c>
      <c r="K94" s="51">
        <v>41346</v>
      </c>
      <c r="L94" s="115">
        <v>41341</v>
      </c>
      <c r="N94" s="50" t="s">
        <v>1</v>
      </c>
      <c r="AE94" s="50">
        <v>1.38</v>
      </c>
      <c r="AF94" s="273">
        <f>0.0004/2</f>
        <v>2.0000000000000001E-4</v>
      </c>
      <c r="AG94" s="50">
        <v>0.8</v>
      </c>
    </row>
    <row r="95" spans="1:35" ht="14">
      <c r="A95" s="74" t="s">
        <v>279</v>
      </c>
      <c r="B95" s="50" t="s">
        <v>1127</v>
      </c>
      <c r="C95" s="50" t="s">
        <v>1128</v>
      </c>
      <c r="D95" s="48" t="s">
        <v>1129</v>
      </c>
      <c r="G95" s="76" t="s">
        <v>1131</v>
      </c>
      <c r="J95" s="50" t="s">
        <v>1132</v>
      </c>
      <c r="K95" s="51">
        <v>41085</v>
      </c>
      <c r="L95" s="115"/>
      <c r="N95" s="50" t="s">
        <v>2</v>
      </c>
      <c r="AE95" s="50">
        <v>1.07</v>
      </c>
      <c r="AF95" s="273">
        <f>0.0002/2</f>
        <v>1E-4</v>
      </c>
      <c r="AG95" s="50">
        <v>1.4</v>
      </c>
    </row>
    <row r="96" spans="1:35" ht="14">
      <c r="A96" s="74" t="s">
        <v>279</v>
      </c>
      <c r="B96" s="50" t="s">
        <v>655</v>
      </c>
      <c r="C96" s="50" t="s">
        <v>655</v>
      </c>
      <c r="D96" s="48" t="s">
        <v>379</v>
      </c>
      <c r="G96" s="76" t="s">
        <v>656</v>
      </c>
      <c r="H96" s="50">
        <v>5015</v>
      </c>
      <c r="I96" s="49" t="s">
        <v>1</v>
      </c>
      <c r="J96" s="50" t="s">
        <v>271</v>
      </c>
      <c r="K96" s="51">
        <v>41332</v>
      </c>
      <c r="L96" s="115">
        <v>41328</v>
      </c>
      <c r="M96" s="50">
        <f>K96-L96</f>
        <v>4</v>
      </c>
      <c r="N96" s="50" t="s">
        <v>1</v>
      </c>
      <c r="AE96" s="50">
        <v>0.41299999999999998</v>
      </c>
      <c r="AF96" s="273"/>
      <c r="AG96" s="50">
        <v>0.39700000000000002</v>
      </c>
    </row>
    <row r="97" spans="1:34" ht="14">
      <c r="A97" s="74" t="s">
        <v>279</v>
      </c>
      <c r="B97" s="50" t="s">
        <v>1127</v>
      </c>
      <c r="C97" s="50" t="s">
        <v>1128</v>
      </c>
      <c r="D97" s="48" t="s">
        <v>1129</v>
      </c>
      <c r="G97" s="76" t="s">
        <v>1131</v>
      </c>
      <c r="J97" s="50" t="s">
        <v>1132</v>
      </c>
      <c r="K97" s="51">
        <v>41264</v>
      </c>
      <c r="L97" s="115"/>
      <c r="N97" s="50" t="s">
        <v>2</v>
      </c>
      <c r="O97" s="74">
        <f>1.5/2</f>
        <v>0.75</v>
      </c>
      <c r="P97" s="50">
        <v>6.91</v>
      </c>
      <c r="Q97" s="74">
        <v>6.52</v>
      </c>
      <c r="R97" s="50">
        <v>17</v>
      </c>
      <c r="S97" s="74">
        <v>92</v>
      </c>
      <c r="T97" s="50">
        <v>0.1</v>
      </c>
      <c r="U97" s="74">
        <v>2.21</v>
      </c>
      <c r="V97" s="50">
        <v>0.24</v>
      </c>
      <c r="W97" s="74">
        <v>0.13100000000000001</v>
      </c>
      <c r="X97" s="50">
        <v>0.99399999999999999</v>
      </c>
      <c r="Y97" s="50">
        <v>0.27600000000000002</v>
      </c>
      <c r="AE97" s="50">
        <v>6.93</v>
      </c>
      <c r="AF97" s="273">
        <f>0.0002</f>
        <v>2.0000000000000001E-4</v>
      </c>
      <c r="AG97" s="50">
        <v>5.08</v>
      </c>
    </row>
    <row r="98" spans="1:34" ht="14">
      <c r="A98" s="74" t="s">
        <v>279</v>
      </c>
      <c r="B98" s="50" t="s">
        <v>1133</v>
      </c>
      <c r="C98" s="50" t="s">
        <v>1133</v>
      </c>
      <c r="D98" s="48" t="s">
        <v>314</v>
      </c>
      <c r="E98" s="50" t="s">
        <v>649</v>
      </c>
      <c r="G98" s="76" t="s">
        <v>650</v>
      </c>
      <c r="H98" s="50">
        <v>5015</v>
      </c>
      <c r="I98" s="49" t="s">
        <v>2</v>
      </c>
      <c r="J98" s="50" t="s">
        <v>271</v>
      </c>
      <c r="K98" s="51">
        <v>41332</v>
      </c>
      <c r="L98" s="115">
        <v>41328</v>
      </c>
      <c r="N98" s="50" t="s">
        <v>1</v>
      </c>
      <c r="AE98" s="50">
        <v>4.07</v>
      </c>
      <c r="AF98" s="273"/>
      <c r="AG98" s="50">
        <v>3.26</v>
      </c>
      <c r="AH98" s="50">
        <f>10/2</f>
        <v>5</v>
      </c>
    </row>
    <row r="99" spans="1:34" ht="14">
      <c r="A99" s="74" t="s">
        <v>279</v>
      </c>
      <c r="B99" s="50" t="s">
        <v>651</v>
      </c>
      <c r="C99" s="50" t="s">
        <v>652</v>
      </c>
      <c r="D99" s="48" t="s">
        <v>462</v>
      </c>
      <c r="E99" s="50" t="s">
        <v>653</v>
      </c>
      <c r="G99" s="76" t="s">
        <v>654</v>
      </c>
      <c r="H99" s="50">
        <v>5015</v>
      </c>
      <c r="I99" s="49" t="s">
        <v>2</v>
      </c>
      <c r="J99" s="50" t="s">
        <v>271</v>
      </c>
      <c r="K99" s="51">
        <v>41332</v>
      </c>
      <c r="L99" s="115">
        <v>41328</v>
      </c>
      <c r="N99" s="50" t="s">
        <v>2</v>
      </c>
      <c r="AE99" s="50">
        <v>2.12</v>
      </c>
      <c r="AF99" s="273"/>
      <c r="AG99" s="50">
        <v>1.37</v>
      </c>
    </row>
    <row r="100" spans="1:34" ht="14">
      <c r="A100" s="74" t="s">
        <v>279</v>
      </c>
      <c r="B100" s="50" t="s">
        <v>1152</v>
      </c>
      <c r="C100" s="50" t="s">
        <v>1152</v>
      </c>
      <c r="D100" s="48" t="s">
        <v>379</v>
      </c>
      <c r="E100" s="50" t="s">
        <v>1151</v>
      </c>
      <c r="G100" s="76" t="s">
        <v>1154</v>
      </c>
      <c r="H100" s="50">
        <v>5015</v>
      </c>
      <c r="I100" s="49" t="s">
        <v>1</v>
      </c>
      <c r="J100" s="50" t="s">
        <v>271</v>
      </c>
      <c r="K100" s="51">
        <v>41332</v>
      </c>
      <c r="L100" s="115">
        <v>41328</v>
      </c>
      <c r="N100" s="50" t="s">
        <v>2</v>
      </c>
      <c r="AE100" s="50">
        <v>5.42</v>
      </c>
      <c r="AF100" s="273">
        <f>0.0002/2</f>
        <v>1E-4</v>
      </c>
      <c r="AG100" s="50">
        <v>3.88</v>
      </c>
    </row>
    <row r="101" spans="1:34" ht="14">
      <c r="A101" s="74" t="s">
        <v>279</v>
      </c>
      <c r="B101" s="50" t="s">
        <v>1155</v>
      </c>
      <c r="C101" s="50" t="s">
        <v>1155</v>
      </c>
      <c r="D101" s="48" t="s">
        <v>350</v>
      </c>
      <c r="E101" s="50" t="s">
        <v>1156</v>
      </c>
      <c r="G101" s="76" t="s">
        <v>1157</v>
      </c>
      <c r="H101" s="50">
        <v>5015</v>
      </c>
      <c r="I101" s="49" t="s">
        <v>1</v>
      </c>
      <c r="J101" s="50" t="s">
        <v>271</v>
      </c>
      <c r="K101" s="51">
        <v>41192</v>
      </c>
      <c r="L101" s="115">
        <v>41189</v>
      </c>
      <c r="N101" s="50" t="s">
        <v>2</v>
      </c>
      <c r="AE101" s="50">
        <v>0.52500000000000002</v>
      </c>
      <c r="AF101" s="273">
        <f>0.0002/2</f>
        <v>1E-4</v>
      </c>
      <c r="AG101" s="50">
        <v>0.72899999999999998</v>
      </c>
    </row>
    <row r="102" spans="1:34" ht="14">
      <c r="A102" s="74" t="s">
        <v>279</v>
      </c>
      <c r="B102" s="50" t="s">
        <v>655</v>
      </c>
      <c r="C102" s="50" t="s">
        <v>655</v>
      </c>
      <c r="D102" s="48" t="s">
        <v>379</v>
      </c>
      <c r="E102" s="50" t="s">
        <v>1151</v>
      </c>
      <c r="G102" s="76" t="s">
        <v>656</v>
      </c>
      <c r="H102" s="50">
        <v>5015</v>
      </c>
      <c r="I102" s="49" t="s">
        <v>1</v>
      </c>
      <c r="J102" s="50" t="s">
        <v>271</v>
      </c>
      <c r="K102" s="51">
        <v>41192</v>
      </c>
      <c r="L102" s="115">
        <v>41187</v>
      </c>
      <c r="M102" s="50">
        <f>K102-L102</f>
        <v>5</v>
      </c>
      <c r="N102" s="50" t="s">
        <v>2</v>
      </c>
      <c r="O102" s="74">
        <f>2.2/2</f>
        <v>1.1000000000000001</v>
      </c>
      <c r="P102" s="50">
        <v>6.9</v>
      </c>
      <c r="Q102" s="74">
        <v>7.4</v>
      </c>
      <c r="R102" s="50">
        <v>75</v>
      </c>
      <c r="S102" s="74">
        <v>352</v>
      </c>
      <c r="T102" s="50">
        <v>0.69399999999999995</v>
      </c>
      <c r="U102" s="74">
        <v>2.5</v>
      </c>
      <c r="V102" s="50">
        <f>0.046/2</f>
        <v>2.3E-2</v>
      </c>
      <c r="W102" s="74">
        <v>1.4999999999999999E-2</v>
      </c>
      <c r="X102" s="50">
        <v>0.05</v>
      </c>
      <c r="Y102" s="50">
        <v>1.44E-2</v>
      </c>
      <c r="Z102" s="164">
        <v>1</v>
      </c>
      <c r="AA102" s="165">
        <v>1</v>
      </c>
      <c r="AB102" s="50">
        <v>16</v>
      </c>
      <c r="AC102" s="74">
        <v>65</v>
      </c>
      <c r="AD102" s="164">
        <f>20/20</f>
        <v>1</v>
      </c>
      <c r="AE102" s="50">
        <v>5.89</v>
      </c>
      <c r="AF102" s="273">
        <f>0.0002/2</f>
        <v>1E-4</v>
      </c>
      <c r="AG102" s="50">
        <v>6.28</v>
      </c>
      <c r="AH102" s="50">
        <v>27</v>
      </c>
    </row>
    <row r="103" spans="1:34" ht="14">
      <c r="A103" s="74" t="s">
        <v>279</v>
      </c>
      <c r="B103" s="50" t="s">
        <v>905</v>
      </c>
      <c r="C103" s="50" t="s">
        <v>905</v>
      </c>
      <c r="D103" s="48" t="s">
        <v>372</v>
      </c>
      <c r="E103" s="50" t="s">
        <v>906</v>
      </c>
      <c r="G103" s="76" t="s">
        <v>907</v>
      </c>
      <c r="H103" s="50">
        <v>5015</v>
      </c>
      <c r="I103" s="49" t="s">
        <v>2</v>
      </c>
      <c r="J103" s="50" t="s">
        <v>271</v>
      </c>
      <c r="K103" s="51">
        <v>41201</v>
      </c>
      <c r="L103" s="115">
        <v>41197</v>
      </c>
      <c r="N103" s="50" t="s">
        <v>2</v>
      </c>
      <c r="AE103" s="50">
        <v>2.73</v>
      </c>
      <c r="AF103" s="273">
        <f>0.0004/2</f>
        <v>2.0000000000000001E-4</v>
      </c>
      <c r="AG103" s="50">
        <v>1.1499999999999999</v>
      </c>
    </row>
    <row r="104" spans="1:34" ht="14">
      <c r="A104" s="74" t="s">
        <v>279</v>
      </c>
      <c r="B104" s="50" t="s">
        <v>3792</v>
      </c>
      <c r="D104" s="48" t="s">
        <v>1537</v>
      </c>
      <c r="F104" s="50" t="s">
        <v>3653</v>
      </c>
      <c r="G104" s="76" t="s">
        <v>3654</v>
      </c>
      <c r="H104" s="50">
        <v>5093</v>
      </c>
      <c r="I104" s="49" t="s">
        <v>1</v>
      </c>
      <c r="J104" s="50" t="s">
        <v>3655</v>
      </c>
      <c r="K104" s="51">
        <v>41113</v>
      </c>
      <c r="L104" s="115">
        <v>41106</v>
      </c>
      <c r="N104" s="50" t="s">
        <v>2</v>
      </c>
      <c r="O104" s="74">
        <v>18</v>
      </c>
      <c r="P104" s="50">
        <v>6.4</v>
      </c>
      <c r="Q104" s="74">
        <v>6.6</v>
      </c>
      <c r="R104" s="50">
        <v>90</v>
      </c>
      <c r="S104" s="74">
        <v>450</v>
      </c>
      <c r="T104" s="50">
        <f>1/2</f>
        <v>0.5</v>
      </c>
      <c r="U104" s="74">
        <v>1.1000000000000001</v>
      </c>
      <c r="V104" s="50">
        <v>0.27</v>
      </c>
      <c r="W104" s="74">
        <v>0.7</v>
      </c>
      <c r="X104" s="50">
        <v>1.4</v>
      </c>
      <c r="Y104" s="50">
        <v>0.59</v>
      </c>
      <c r="Z104" s="164">
        <v>0.45</v>
      </c>
      <c r="AA104" s="165">
        <v>0.33</v>
      </c>
      <c r="AB104" s="50">
        <v>26</v>
      </c>
      <c r="AC104" s="74">
        <v>57</v>
      </c>
      <c r="AD104" s="164">
        <f>0/20</f>
        <v>0</v>
      </c>
      <c r="AE104" s="50">
        <v>12</v>
      </c>
      <c r="AF104" s="273">
        <f>0.0004/2</f>
        <v>2.0000000000000001E-4</v>
      </c>
      <c r="AG104" s="50">
        <v>3.5</v>
      </c>
      <c r="AH104" s="50">
        <f>1+1.9+2.3+1.5+33+1.1+0.34+0.83</f>
        <v>41.970000000000006</v>
      </c>
    </row>
    <row r="105" spans="1:34" ht="14">
      <c r="A105" s="74" t="s">
        <v>279</v>
      </c>
      <c r="B105" s="50" t="s">
        <v>275</v>
      </c>
      <c r="C105" s="50" t="s">
        <v>275</v>
      </c>
      <c r="D105" s="48" t="s">
        <v>276</v>
      </c>
      <c r="E105" s="50" t="s">
        <v>3636</v>
      </c>
      <c r="G105" s="76" t="s">
        <v>278</v>
      </c>
      <c r="H105" s="50">
        <v>5015</v>
      </c>
      <c r="I105" s="49" t="s">
        <v>2</v>
      </c>
      <c r="J105" s="50" t="s">
        <v>272</v>
      </c>
      <c r="K105" s="51">
        <v>41201</v>
      </c>
      <c r="L105" s="115">
        <v>41192</v>
      </c>
      <c r="N105" s="50" t="s">
        <v>2</v>
      </c>
      <c r="O105" s="74">
        <f>1/2</f>
        <v>0.5</v>
      </c>
      <c r="P105" s="50">
        <v>6.51</v>
      </c>
      <c r="Q105" s="74">
        <v>6.56</v>
      </c>
      <c r="R105" s="50">
        <v>23.7</v>
      </c>
      <c r="S105" s="74">
        <v>3</v>
      </c>
      <c r="T105" s="50">
        <v>0.05</v>
      </c>
      <c r="U105" s="74">
        <v>0.67</v>
      </c>
      <c r="V105" s="50">
        <f>0.2/2</f>
        <v>0.1</v>
      </c>
      <c r="W105" s="74">
        <f>0.01/2</f>
        <v>5.0000000000000001E-3</v>
      </c>
      <c r="X105" s="50">
        <v>0.04</v>
      </c>
      <c r="Y105" s="50">
        <f>0.02/2</f>
        <v>0.01</v>
      </c>
      <c r="Z105" s="164">
        <v>1</v>
      </c>
      <c r="AA105" s="165">
        <v>1</v>
      </c>
      <c r="AB105" s="50">
        <v>19.2</v>
      </c>
      <c r="AC105" s="74">
        <v>96.7</v>
      </c>
      <c r="AD105" s="164">
        <f>20/20</f>
        <v>1</v>
      </c>
      <c r="AF105" s="273"/>
      <c r="AH105" s="50">
        <f>10/2</f>
        <v>5</v>
      </c>
    </row>
    <row r="106" spans="1:34" ht="14">
      <c r="A106" s="74" t="s">
        <v>279</v>
      </c>
      <c r="B106" s="50" t="s">
        <v>3130</v>
      </c>
      <c r="C106" s="50" t="s">
        <v>3130</v>
      </c>
      <c r="D106" s="48" t="s">
        <v>276</v>
      </c>
      <c r="E106" s="50" t="s">
        <v>3636</v>
      </c>
      <c r="G106" s="76" t="s">
        <v>3131</v>
      </c>
      <c r="H106" s="50">
        <v>5015</v>
      </c>
      <c r="I106" s="49" t="s">
        <v>2</v>
      </c>
      <c r="J106" s="50" t="s">
        <v>271</v>
      </c>
      <c r="K106" s="51">
        <v>41180</v>
      </c>
      <c r="L106" s="115">
        <v>41175</v>
      </c>
      <c r="N106" s="50" t="s">
        <v>2</v>
      </c>
      <c r="O106" s="74">
        <f>1.7/2</f>
        <v>0.85</v>
      </c>
      <c r="P106" s="50">
        <v>5.8</v>
      </c>
      <c r="Q106" s="74">
        <v>7.1</v>
      </c>
      <c r="R106" s="50">
        <f>20/2</f>
        <v>10</v>
      </c>
      <c r="S106" s="74">
        <v>23.6</v>
      </c>
      <c r="T106" s="50">
        <v>6.5000000000000002E-2</v>
      </c>
      <c r="U106" s="74">
        <v>1.3</v>
      </c>
      <c r="V106" s="50">
        <v>0.74</v>
      </c>
      <c r="W106" s="74">
        <v>8.9999999999999993E-3</v>
      </c>
      <c r="X106" s="50">
        <v>4.4999999999999998E-2</v>
      </c>
      <c r="Y106" s="50">
        <v>1.2200000000000001E-2</v>
      </c>
      <c r="Z106" s="164">
        <v>1</v>
      </c>
      <c r="AA106" s="165">
        <v>1</v>
      </c>
      <c r="AB106" s="50">
        <v>12</v>
      </c>
      <c r="AC106" s="74">
        <v>94</v>
      </c>
      <c r="AD106" s="164">
        <f>20/20</f>
        <v>1</v>
      </c>
      <c r="AE106" s="50">
        <v>1.02</v>
      </c>
      <c r="AF106" s="273">
        <f>0.0002/2</f>
        <v>1E-4</v>
      </c>
      <c r="AG106" s="50">
        <v>0.7</v>
      </c>
      <c r="AH106" s="50">
        <f>1.1/2</f>
        <v>0.55000000000000004</v>
      </c>
    </row>
    <row r="107" spans="1:34" ht="14">
      <c r="A107" s="74" t="s">
        <v>279</v>
      </c>
      <c r="B107" s="50" t="s">
        <v>3656</v>
      </c>
      <c r="C107" s="50" t="s">
        <v>3657</v>
      </c>
      <c r="D107" s="48" t="s">
        <v>2591</v>
      </c>
      <c r="E107" s="50" t="s">
        <v>3658</v>
      </c>
      <c r="F107" s="50" t="s">
        <v>3659</v>
      </c>
      <c r="G107" s="76" t="s">
        <v>3660</v>
      </c>
      <c r="H107" s="50">
        <v>5015</v>
      </c>
      <c r="I107" s="49" t="s">
        <v>2</v>
      </c>
      <c r="J107" s="50" t="s">
        <v>3661</v>
      </c>
      <c r="K107" s="51">
        <v>41201</v>
      </c>
      <c r="L107" s="115" t="s">
        <v>3434</v>
      </c>
      <c r="N107" s="50" t="s">
        <v>2</v>
      </c>
      <c r="O107" s="74">
        <f>0.5/2</f>
        <v>0.25</v>
      </c>
      <c r="P107" s="50">
        <v>6.89</v>
      </c>
      <c r="Q107" s="74">
        <v>7.28</v>
      </c>
      <c r="R107" s="50">
        <v>5.46</v>
      </c>
      <c r="S107" s="74">
        <f>5/2</f>
        <v>2.5</v>
      </c>
      <c r="T107" s="50">
        <f>0.5/2</f>
        <v>0.25</v>
      </c>
      <c r="U107" s="74">
        <v>0.74</v>
      </c>
      <c r="V107" s="50">
        <v>0.95</v>
      </c>
      <c r="W107" s="74">
        <v>0.08</v>
      </c>
      <c r="X107" s="50">
        <v>0.02</v>
      </c>
      <c r="Y107" s="50">
        <f>0.004/2</f>
        <v>2E-3</v>
      </c>
      <c r="Z107" s="164">
        <v>1</v>
      </c>
      <c r="AA107" s="165">
        <v>1</v>
      </c>
      <c r="AB107" s="50">
        <v>38</v>
      </c>
      <c r="AC107" s="74">
        <v>88</v>
      </c>
      <c r="AD107" s="164">
        <f>20/20</f>
        <v>1</v>
      </c>
      <c r="AF107" s="273"/>
    </row>
    <row r="108" spans="1:34" ht="14">
      <c r="A108" s="74" t="s">
        <v>279</v>
      </c>
      <c r="B108" s="50" t="s">
        <v>3656</v>
      </c>
      <c r="C108" s="50" t="s">
        <v>3657</v>
      </c>
      <c r="D108" s="48" t="s">
        <v>2591</v>
      </c>
      <c r="E108" s="50" t="s">
        <v>3658</v>
      </c>
      <c r="F108" s="50" t="s">
        <v>3659</v>
      </c>
      <c r="G108" s="76" t="s">
        <v>3660</v>
      </c>
      <c r="H108" s="50">
        <v>5015</v>
      </c>
      <c r="I108" s="49" t="s">
        <v>2</v>
      </c>
      <c r="J108" s="50" t="s">
        <v>3662</v>
      </c>
      <c r="K108" s="51">
        <v>41201</v>
      </c>
      <c r="L108" s="115" t="s">
        <v>3434</v>
      </c>
      <c r="N108" s="50" t="s">
        <v>2</v>
      </c>
      <c r="O108" s="74">
        <f>0.5/2</f>
        <v>0.25</v>
      </c>
      <c r="P108" s="50">
        <v>6.89</v>
      </c>
      <c r="Q108" s="74">
        <v>7.13</v>
      </c>
      <c r="R108" s="50">
        <v>10.8</v>
      </c>
      <c r="S108" s="74">
        <f>5/2</f>
        <v>2.5</v>
      </c>
      <c r="T108" s="50">
        <v>0.1</v>
      </c>
      <c r="U108" s="74">
        <v>0.68</v>
      </c>
      <c r="V108" s="50">
        <v>0.26</v>
      </c>
      <c r="W108" s="74">
        <v>0.02</v>
      </c>
      <c r="X108" s="50">
        <v>0.17</v>
      </c>
      <c r="Y108" s="50">
        <f>0.004/2</f>
        <v>2E-3</v>
      </c>
      <c r="Z108" s="164">
        <v>1</v>
      </c>
      <c r="AA108" s="165">
        <v>1</v>
      </c>
      <c r="AB108" s="50">
        <v>10</v>
      </c>
      <c r="AC108" s="74">
        <v>30.2</v>
      </c>
      <c r="AD108" s="164">
        <f>15/20</f>
        <v>0.75</v>
      </c>
      <c r="AF108" s="273"/>
    </row>
    <row r="109" spans="1:34" ht="14">
      <c r="A109" s="74" t="s">
        <v>279</v>
      </c>
      <c r="B109" s="50" t="s">
        <v>1138</v>
      </c>
      <c r="C109" s="50" t="s">
        <v>1138</v>
      </c>
      <c r="D109" s="48" t="s">
        <v>548</v>
      </c>
      <c r="E109" s="50" t="s">
        <v>1139</v>
      </c>
      <c r="G109" s="76" t="s">
        <v>1140</v>
      </c>
      <c r="H109" s="50">
        <v>5015</v>
      </c>
      <c r="I109" s="49" t="s">
        <v>2</v>
      </c>
      <c r="J109" s="50" t="s">
        <v>271</v>
      </c>
      <c r="K109" s="51">
        <v>41261</v>
      </c>
      <c r="L109" s="115">
        <v>41252</v>
      </c>
      <c r="N109" s="50" t="s">
        <v>2</v>
      </c>
      <c r="AE109" s="50">
        <v>6.92</v>
      </c>
      <c r="AF109" s="273">
        <v>2.0000000000000001E-4</v>
      </c>
      <c r="AG109" s="50">
        <v>2.12</v>
      </c>
    </row>
    <row r="110" spans="1:34" ht="14">
      <c r="A110" s="74" t="s">
        <v>279</v>
      </c>
      <c r="B110" s="50" t="s">
        <v>3130</v>
      </c>
      <c r="C110" s="50" t="s">
        <v>3130</v>
      </c>
      <c r="D110" s="48" t="s">
        <v>276</v>
      </c>
      <c r="E110" s="50" t="s">
        <v>1151</v>
      </c>
      <c r="G110" s="76" t="s">
        <v>3131</v>
      </c>
      <c r="H110" s="50">
        <v>5015</v>
      </c>
      <c r="I110" s="49" t="s">
        <v>2</v>
      </c>
      <c r="J110" s="50" t="s">
        <v>271</v>
      </c>
      <c r="K110" s="51">
        <v>41260</v>
      </c>
      <c r="L110" s="115">
        <v>41252</v>
      </c>
      <c r="N110" s="50" t="s">
        <v>2</v>
      </c>
      <c r="O110" s="74">
        <v>1.9</v>
      </c>
      <c r="P110" s="50">
        <v>4.5</v>
      </c>
      <c r="Q110" s="74">
        <v>7.2</v>
      </c>
      <c r="R110" s="50">
        <v>58</v>
      </c>
      <c r="S110" s="74">
        <v>80</v>
      </c>
      <c r="T110" s="50">
        <v>0.17</v>
      </c>
      <c r="U110" s="74">
        <v>1.5</v>
      </c>
      <c r="V110" s="50">
        <f>0.46/2</f>
        <v>0.23</v>
      </c>
      <c r="W110" s="74">
        <v>3.2000000000000001E-2</v>
      </c>
      <c r="X110" s="50">
        <v>0.13400000000000001</v>
      </c>
      <c r="Y110" s="50">
        <v>4.2999999999999997E-2</v>
      </c>
      <c r="AE110" s="50">
        <v>5.1100000000000003</v>
      </c>
      <c r="AF110" s="273">
        <f>0.0002/2</f>
        <v>1E-4</v>
      </c>
      <c r="AG110" s="50">
        <v>3.56</v>
      </c>
      <c r="AH110" s="50">
        <v>6.9000000000000006E-2</v>
      </c>
    </row>
    <row r="111" spans="1:34" ht="14">
      <c r="A111" s="74" t="s">
        <v>279</v>
      </c>
      <c r="B111" s="50" t="s">
        <v>3637</v>
      </c>
      <c r="C111" s="50" t="s">
        <v>3638</v>
      </c>
      <c r="D111" s="48" t="s">
        <v>234</v>
      </c>
      <c r="E111" s="50" t="s">
        <v>3639</v>
      </c>
      <c r="G111" s="76" t="s">
        <v>3640</v>
      </c>
      <c r="H111" s="50">
        <v>5015</v>
      </c>
      <c r="I111" s="49" t="s">
        <v>2</v>
      </c>
      <c r="J111" s="50" t="s">
        <v>271</v>
      </c>
      <c r="K111" s="51">
        <v>41260</v>
      </c>
      <c r="L111" s="115">
        <v>41252</v>
      </c>
      <c r="N111" s="50" t="s">
        <v>2</v>
      </c>
      <c r="AE111" s="50">
        <v>0.91900000000000004</v>
      </c>
      <c r="AF111" s="273">
        <f>0.0002/2</f>
        <v>1E-4</v>
      </c>
      <c r="AG111" s="50">
        <v>0.61</v>
      </c>
    </row>
    <row r="112" spans="1:34" ht="14">
      <c r="A112" s="74" t="s">
        <v>279</v>
      </c>
      <c r="B112" s="50" t="s">
        <v>1171</v>
      </c>
      <c r="C112" s="50" t="s">
        <v>1171</v>
      </c>
      <c r="D112" s="48" t="s">
        <v>516</v>
      </c>
      <c r="E112" s="50" t="s">
        <v>1172</v>
      </c>
      <c r="G112" s="76" t="s">
        <v>1173</v>
      </c>
      <c r="H112" s="50">
        <v>5015</v>
      </c>
      <c r="I112" s="49" t="s">
        <v>1</v>
      </c>
      <c r="J112" s="50" t="s">
        <v>271</v>
      </c>
      <c r="K112" s="51">
        <v>41270</v>
      </c>
      <c r="L112" s="115">
        <v>41264</v>
      </c>
      <c r="N112" s="50" t="s">
        <v>2</v>
      </c>
      <c r="AE112" s="50">
        <v>34.5</v>
      </c>
      <c r="AF112" s="273"/>
      <c r="AG112" s="50">
        <v>27.8</v>
      </c>
      <c r="AH112" s="50">
        <f>5/2</f>
        <v>2.5</v>
      </c>
    </row>
    <row r="113" spans="1:34" ht="14">
      <c r="A113" s="74" t="s">
        <v>279</v>
      </c>
      <c r="B113" s="50" t="s">
        <v>704</v>
      </c>
      <c r="C113" s="50" t="s">
        <v>704</v>
      </c>
      <c r="D113" s="48" t="s">
        <v>56</v>
      </c>
      <c r="E113" s="50" t="s">
        <v>705</v>
      </c>
      <c r="G113" s="76" t="s">
        <v>706</v>
      </c>
      <c r="H113" s="50">
        <v>5015</v>
      </c>
      <c r="I113" s="49" t="s">
        <v>2</v>
      </c>
      <c r="J113" s="50" t="s">
        <v>271</v>
      </c>
      <c r="K113" s="51">
        <v>41253</v>
      </c>
      <c r="L113" s="115">
        <v>41250</v>
      </c>
      <c r="N113" s="50" t="s">
        <v>2</v>
      </c>
      <c r="O113" s="74">
        <v>3.4</v>
      </c>
      <c r="P113" s="50">
        <v>5.5</v>
      </c>
      <c r="Q113" s="74">
        <v>6.7</v>
      </c>
      <c r="R113" s="50">
        <v>18</v>
      </c>
      <c r="S113" s="74">
        <v>29</v>
      </c>
      <c r="T113" s="50">
        <v>0.05</v>
      </c>
      <c r="U113" s="74">
        <v>0.98</v>
      </c>
      <c r="V113" s="50">
        <v>0.64</v>
      </c>
      <c r="W113" s="74">
        <v>3.3000000000000002E-2</v>
      </c>
      <c r="X113" s="50">
        <v>0.44700000000000001</v>
      </c>
      <c r="Y113" s="50">
        <f>0.03/2</f>
        <v>1.4999999999999999E-2</v>
      </c>
      <c r="Z113" s="164">
        <v>1</v>
      </c>
      <c r="AA113" s="165">
        <v>0.74299999999999999</v>
      </c>
      <c r="AB113" s="50">
        <v>10</v>
      </c>
      <c r="AC113" s="74">
        <v>64</v>
      </c>
      <c r="AD113" s="164">
        <f>4/20</f>
        <v>0.2</v>
      </c>
      <c r="AF113" s="273"/>
      <c r="AH113" s="50">
        <f>100/2</f>
        <v>50</v>
      </c>
    </row>
    <row r="114" spans="1:34" ht="14">
      <c r="A114" s="74" t="s">
        <v>279</v>
      </c>
      <c r="B114" s="50" t="s">
        <v>1166</v>
      </c>
      <c r="C114" s="50" t="s">
        <v>1166</v>
      </c>
      <c r="D114" s="48" t="s">
        <v>347</v>
      </c>
      <c r="E114" s="50" t="s">
        <v>1167</v>
      </c>
      <c r="G114" s="76" t="s">
        <v>1168</v>
      </c>
      <c r="H114" s="50">
        <v>5015</v>
      </c>
      <c r="I114" s="49" t="s">
        <v>1</v>
      </c>
      <c r="J114" s="50" t="s">
        <v>271</v>
      </c>
      <c r="K114" s="51">
        <v>41260</v>
      </c>
      <c r="L114" s="115">
        <v>41252</v>
      </c>
      <c r="M114" s="50">
        <f>K114-L114</f>
        <v>8</v>
      </c>
      <c r="N114" s="50" t="s">
        <v>2</v>
      </c>
      <c r="O114" s="74">
        <f>2/2</f>
        <v>1</v>
      </c>
      <c r="P114" s="50">
        <v>6.6</v>
      </c>
      <c r="Q114" s="74">
        <v>6.5</v>
      </c>
      <c r="R114" s="50">
        <f>10/2</f>
        <v>5</v>
      </c>
      <c r="S114" s="74">
        <v>6</v>
      </c>
      <c r="T114" s="50">
        <f>0.05/2</f>
        <v>2.5000000000000001E-2</v>
      </c>
      <c r="U114" s="74">
        <v>0.2</v>
      </c>
      <c r="V114" s="50">
        <v>0.19</v>
      </c>
      <c r="W114" s="74">
        <f>0.01/2</f>
        <v>5.0000000000000001E-3</v>
      </c>
      <c r="X114" s="50">
        <f>0.03/2</f>
        <v>1.4999999999999999E-2</v>
      </c>
      <c r="Y114" s="50">
        <f>0.03/2</f>
        <v>1.4999999999999999E-2</v>
      </c>
      <c r="Z114" s="164">
        <v>1</v>
      </c>
      <c r="AA114" s="165">
        <v>1</v>
      </c>
      <c r="AB114" s="50">
        <v>16</v>
      </c>
      <c r="AC114" s="74">
        <v>55</v>
      </c>
      <c r="AD114" s="164">
        <f>19/20</f>
        <v>0.95</v>
      </c>
      <c r="AE114" s="50">
        <v>0.43</v>
      </c>
      <c r="AF114" s="273"/>
      <c r="AG114" s="50">
        <v>0.28999999999999998</v>
      </c>
      <c r="AH114" s="50">
        <f>100/2</f>
        <v>50</v>
      </c>
    </row>
    <row r="115" spans="1:34" ht="14">
      <c r="A115" s="74" t="s">
        <v>279</v>
      </c>
      <c r="B115" s="50" t="s">
        <v>1155</v>
      </c>
      <c r="C115" s="50" t="s">
        <v>1155</v>
      </c>
      <c r="D115" s="48" t="s">
        <v>350</v>
      </c>
      <c r="E115" s="50" t="s">
        <v>1156</v>
      </c>
      <c r="G115" s="76" t="s">
        <v>1157</v>
      </c>
      <c r="H115" s="50">
        <v>5015</v>
      </c>
      <c r="I115" s="49" t="s">
        <v>1</v>
      </c>
      <c r="J115" s="50" t="s">
        <v>271</v>
      </c>
      <c r="K115" s="51">
        <v>41226</v>
      </c>
      <c r="L115" s="115">
        <v>41220</v>
      </c>
      <c r="N115" s="50" t="s">
        <v>2</v>
      </c>
      <c r="O115" s="74">
        <f>1.4/2</f>
        <v>0.7</v>
      </c>
      <c r="P115" s="50">
        <v>6.54</v>
      </c>
      <c r="Q115" s="74">
        <v>6.81</v>
      </c>
      <c r="R115" s="50">
        <v>21</v>
      </c>
      <c r="S115" s="74">
        <v>49</v>
      </c>
      <c r="T115" s="50">
        <v>0.23</v>
      </c>
      <c r="U115" s="74">
        <v>0.85</v>
      </c>
      <c r="V115" s="50">
        <f>0.05/2</f>
        <v>2.5000000000000001E-2</v>
      </c>
      <c r="W115" s="74">
        <v>0.02</v>
      </c>
      <c r="X115" s="50">
        <v>8.6999999999999994E-2</v>
      </c>
      <c r="Y115" s="50">
        <v>9.8000000000000004E-2</v>
      </c>
      <c r="Z115" s="164">
        <v>1</v>
      </c>
      <c r="AA115" s="165">
        <v>1</v>
      </c>
      <c r="AB115" s="50">
        <v>8</v>
      </c>
      <c r="AC115" s="74">
        <v>26</v>
      </c>
      <c r="AD115" s="164">
        <f>19/20</f>
        <v>0.95</v>
      </c>
      <c r="AE115" s="50">
        <v>3</v>
      </c>
      <c r="AF115" s="273">
        <f>0.0002/2</f>
        <v>1E-4</v>
      </c>
      <c r="AG115" s="50">
        <v>2.4500000000000002</v>
      </c>
      <c r="AH115" s="50">
        <v>0.04</v>
      </c>
    </row>
    <row r="116" spans="1:34" ht="14">
      <c r="A116" s="74" t="s">
        <v>279</v>
      </c>
      <c r="B116" s="50" t="s">
        <v>3663</v>
      </c>
      <c r="C116" s="50" t="s">
        <v>1170</v>
      </c>
      <c r="D116" s="48" t="s">
        <v>372</v>
      </c>
      <c r="E116" s="50" t="s">
        <v>487</v>
      </c>
      <c r="G116" s="76" t="s">
        <v>488</v>
      </c>
      <c r="H116" s="50">
        <v>5015</v>
      </c>
      <c r="I116" s="49" t="s">
        <v>1</v>
      </c>
      <c r="J116" s="50" t="s">
        <v>271</v>
      </c>
      <c r="K116" s="51">
        <v>41264</v>
      </c>
      <c r="L116" s="115">
        <v>41253</v>
      </c>
      <c r="N116" s="50" t="s">
        <v>2</v>
      </c>
      <c r="O116" s="74">
        <v>8.6</v>
      </c>
      <c r="P116" s="50">
        <v>5.0199999999999996</v>
      </c>
      <c r="Q116" s="74">
        <v>6.71</v>
      </c>
      <c r="R116" s="50">
        <v>62.1</v>
      </c>
      <c r="S116" s="74">
        <v>160</v>
      </c>
      <c r="T116" s="50">
        <v>0.34</v>
      </c>
      <c r="U116" s="74">
        <v>1.07</v>
      </c>
      <c r="V116" s="50">
        <f>0.2/2</f>
        <v>0.1</v>
      </c>
      <c r="W116" s="74">
        <v>0.09</v>
      </c>
      <c r="X116" s="50">
        <v>0.2</v>
      </c>
      <c r="Y116" s="50">
        <v>0.11</v>
      </c>
      <c r="AE116" s="50">
        <v>9.1</v>
      </c>
      <c r="AF116" s="273">
        <f>0.0002/2</f>
        <v>1E-4</v>
      </c>
      <c r="AG116" s="50">
        <v>5.0199999999999996</v>
      </c>
      <c r="AH116" s="50">
        <f>10/2</f>
        <v>5</v>
      </c>
    </row>
    <row r="117" spans="1:34" ht="14">
      <c r="A117" s="74" t="s">
        <v>279</v>
      </c>
      <c r="B117" s="50" t="s">
        <v>651</v>
      </c>
      <c r="C117" s="50" t="s">
        <v>652</v>
      </c>
      <c r="D117" s="48" t="s">
        <v>462</v>
      </c>
      <c r="E117" s="50" t="s">
        <v>653</v>
      </c>
      <c r="G117" s="76" t="s">
        <v>654</v>
      </c>
      <c r="H117" s="50">
        <v>5015</v>
      </c>
      <c r="I117" s="49" t="s">
        <v>2</v>
      </c>
      <c r="J117" s="50" t="s">
        <v>271</v>
      </c>
      <c r="K117" s="51">
        <v>41260</v>
      </c>
      <c r="L117" s="115">
        <v>41252</v>
      </c>
      <c r="N117" s="50" t="s">
        <v>2</v>
      </c>
      <c r="O117" s="74">
        <v>1.4</v>
      </c>
      <c r="P117" s="50">
        <v>6.43</v>
      </c>
      <c r="Q117" s="74">
        <v>6.95</v>
      </c>
      <c r="R117" s="50">
        <v>17</v>
      </c>
      <c r="S117" s="74">
        <v>20</v>
      </c>
      <c r="T117" s="50">
        <v>0.1</v>
      </c>
      <c r="U117" s="74">
        <v>0.65</v>
      </c>
      <c r="V117" s="50">
        <v>0.14000000000000001</v>
      </c>
      <c r="W117" s="74">
        <v>2.9000000000000001E-2</v>
      </c>
      <c r="X117" s="50">
        <v>8.5000000000000006E-2</v>
      </c>
      <c r="Y117" s="50">
        <v>5.0000000000000001E-3</v>
      </c>
      <c r="Z117" s="164">
        <v>1</v>
      </c>
      <c r="AA117" s="165">
        <v>0.752</v>
      </c>
      <c r="AB117" s="50">
        <v>6</v>
      </c>
      <c r="AC117" s="74">
        <v>27</v>
      </c>
      <c r="AD117" s="164">
        <f>3/20</f>
        <v>0.15</v>
      </c>
      <c r="AE117" s="50">
        <v>1.35</v>
      </c>
      <c r="AF117" s="273"/>
      <c r="AG117" s="50">
        <v>0.56899999999999995</v>
      </c>
      <c r="AH117" s="50">
        <f>10/2</f>
        <v>5</v>
      </c>
    </row>
    <row r="118" spans="1:34" ht="14">
      <c r="A118" s="74" t="s">
        <v>279</v>
      </c>
      <c r="B118" s="50" t="s">
        <v>527</v>
      </c>
      <c r="C118" s="50" t="s">
        <v>527</v>
      </c>
      <c r="D118" s="48" t="s">
        <v>372</v>
      </c>
      <c r="E118" s="50" t="s">
        <v>487</v>
      </c>
      <c r="G118" s="76" t="s">
        <v>528</v>
      </c>
      <c r="H118" s="50">
        <v>5015</v>
      </c>
      <c r="I118" s="49" t="s">
        <v>1</v>
      </c>
      <c r="J118" s="50" t="s">
        <v>271</v>
      </c>
      <c r="K118" s="51">
        <v>41247</v>
      </c>
      <c r="L118" s="115">
        <v>41240</v>
      </c>
      <c r="N118" s="50" t="s">
        <v>2</v>
      </c>
      <c r="O118" s="74">
        <v>2.2999999999999998</v>
      </c>
      <c r="P118" s="50">
        <v>5.53</v>
      </c>
      <c r="Q118" s="74">
        <v>5.88</v>
      </c>
      <c r="R118" s="50">
        <v>10.3</v>
      </c>
      <c r="S118" s="74">
        <v>14</v>
      </c>
      <c r="T118" s="50">
        <f>0.05/2</f>
        <v>2.5000000000000001E-2</v>
      </c>
      <c r="U118" s="74">
        <v>1.026</v>
      </c>
      <c r="V118" s="50">
        <v>0.46</v>
      </c>
      <c r="W118" s="74">
        <v>0.01</v>
      </c>
      <c r="X118" s="50">
        <v>0.06</v>
      </c>
      <c r="Y118" s="50">
        <f>0.02/2</f>
        <v>0.01</v>
      </c>
      <c r="Z118" s="164">
        <v>1</v>
      </c>
      <c r="AA118" s="165">
        <v>1</v>
      </c>
      <c r="AB118" s="50">
        <v>7.27</v>
      </c>
      <c r="AC118" s="74">
        <v>27.2</v>
      </c>
      <c r="AD118" s="164">
        <f>20/20</f>
        <v>1</v>
      </c>
      <c r="AE118" s="50">
        <v>0.33</v>
      </c>
      <c r="AF118" s="273">
        <f>0.0002/2</f>
        <v>1E-4</v>
      </c>
      <c r="AG118" s="50">
        <v>0.23</v>
      </c>
      <c r="AH118" s="50">
        <f>10/2</f>
        <v>5</v>
      </c>
    </row>
    <row r="119" spans="1:34" ht="14">
      <c r="A119" s="74" t="s">
        <v>279</v>
      </c>
      <c r="B119" s="50" t="s">
        <v>3792</v>
      </c>
      <c r="D119" s="48" t="s">
        <v>1537</v>
      </c>
      <c r="F119" s="50" t="s">
        <v>3653</v>
      </c>
      <c r="G119" s="76" t="s">
        <v>3654</v>
      </c>
      <c r="H119" s="50">
        <v>5093</v>
      </c>
      <c r="I119" s="49" t="s">
        <v>1</v>
      </c>
      <c r="J119" s="50" t="s">
        <v>3655</v>
      </c>
      <c r="K119" s="51">
        <v>41264</v>
      </c>
      <c r="L119" s="115">
        <v>41257</v>
      </c>
      <c r="N119" s="50" t="s">
        <v>2</v>
      </c>
      <c r="AE119" s="50">
        <v>4.5</v>
      </c>
      <c r="AF119" s="273">
        <f>0.0004/2</f>
        <v>2.0000000000000001E-4</v>
      </c>
      <c r="AG119" s="50">
        <v>1.3</v>
      </c>
    </row>
    <row r="120" spans="1:34" ht="14">
      <c r="A120" s="74" t="s">
        <v>279</v>
      </c>
      <c r="B120" s="50" t="s">
        <v>1174</v>
      </c>
      <c r="C120" s="50" t="s">
        <v>1174</v>
      </c>
      <c r="D120" s="48" t="s">
        <v>1175</v>
      </c>
      <c r="E120" s="50" t="s">
        <v>1176</v>
      </c>
      <c r="G120" s="76" t="s">
        <v>1177</v>
      </c>
      <c r="H120" s="50">
        <v>5015</v>
      </c>
      <c r="I120" s="49" t="s">
        <v>1</v>
      </c>
      <c r="J120" s="50" t="s">
        <v>271</v>
      </c>
      <c r="K120" s="51">
        <v>41264</v>
      </c>
      <c r="L120" s="115">
        <v>41260</v>
      </c>
      <c r="N120" s="50" t="s">
        <v>2</v>
      </c>
      <c r="O120" s="74">
        <f>2.8/2</f>
        <v>1.4</v>
      </c>
      <c r="P120" s="50">
        <v>4.43</v>
      </c>
      <c r="Q120" s="74">
        <v>6.33</v>
      </c>
      <c r="R120" s="50">
        <v>23</v>
      </c>
      <c r="S120" s="74">
        <v>310</v>
      </c>
      <c r="T120" s="50">
        <v>0.53</v>
      </c>
      <c r="U120" s="74">
        <v>0.94</v>
      </c>
      <c r="V120" s="50">
        <f>0.05/2</f>
        <v>2.5000000000000001E-2</v>
      </c>
      <c r="W120" s="74">
        <v>2.7E-2</v>
      </c>
      <c r="X120" s="50">
        <v>0.104</v>
      </c>
      <c r="Y120" s="287">
        <v>2.4E-2</v>
      </c>
      <c r="Z120" s="164">
        <v>1</v>
      </c>
      <c r="AA120" s="165">
        <v>1</v>
      </c>
      <c r="AB120" s="50">
        <v>10</v>
      </c>
      <c r="AC120" s="74">
        <v>35</v>
      </c>
      <c r="AD120" s="164">
        <f>20/20</f>
        <v>1</v>
      </c>
      <c r="AE120" s="50">
        <v>7.49</v>
      </c>
      <c r="AF120" s="273">
        <f t="shared" ref="AF120:AF125" si="3">0.0002/2</f>
        <v>1E-4</v>
      </c>
      <c r="AG120" s="50">
        <v>5.7</v>
      </c>
      <c r="AH120" s="50">
        <f>0.4/2</f>
        <v>0.2</v>
      </c>
    </row>
    <row r="121" spans="1:34" ht="14">
      <c r="A121" s="74" t="s">
        <v>279</v>
      </c>
      <c r="B121" s="50" t="s">
        <v>1178</v>
      </c>
      <c r="C121" s="50" t="s">
        <v>1178</v>
      </c>
      <c r="D121" s="48" t="s">
        <v>262</v>
      </c>
      <c r="E121" s="50" t="s">
        <v>1179</v>
      </c>
      <c r="G121" s="76" t="s">
        <v>1180</v>
      </c>
      <c r="H121" s="50">
        <v>5015</v>
      </c>
      <c r="I121" s="49" t="s">
        <v>1</v>
      </c>
      <c r="J121" s="50" t="s">
        <v>271</v>
      </c>
      <c r="K121" s="51">
        <v>41261</v>
      </c>
      <c r="L121" s="115">
        <v>41252</v>
      </c>
      <c r="N121" s="50" t="s">
        <v>2</v>
      </c>
      <c r="AE121" s="50">
        <v>1.52</v>
      </c>
      <c r="AF121" s="273">
        <f t="shared" si="3"/>
        <v>1E-4</v>
      </c>
      <c r="AG121" s="50">
        <v>0.90700000000000003</v>
      </c>
    </row>
    <row r="122" spans="1:34" ht="14">
      <c r="A122" s="74" t="s">
        <v>279</v>
      </c>
      <c r="B122" s="50" t="s">
        <v>1178</v>
      </c>
      <c r="C122" s="50" t="s">
        <v>1178</v>
      </c>
      <c r="D122" s="48" t="s">
        <v>262</v>
      </c>
      <c r="E122" s="50" t="s">
        <v>1179</v>
      </c>
      <c r="G122" s="76" t="s">
        <v>1180</v>
      </c>
      <c r="H122" s="50">
        <v>5015</v>
      </c>
      <c r="I122" s="49" t="s">
        <v>1</v>
      </c>
      <c r="J122" s="50" t="s">
        <v>271</v>
      </c>
      <c r="K122" s="51">
        <v>41170</v>
      </c>
      <c r="L122" s="115">
        <v>41162</v>
      </c>
      <c r="N122" s="50" t="s">
        <v>2</v>
      </c>
      <c r="O122" s="74">
        <v>2.1</v>
      </c>
      <c r="P122" s="50">
        <v>6.29</v>
      </c>
      <c r="Q122" s="74">
        <v>7.08</v>
      </c>
      <c r="R122" s="50">
        <v>36.700000000000003</v>
      </c>
      <c r="S122" s="74">
        <v>10</v>
      </c>
      <c r="T122" s="50">
        <v>8.72E-2</v>
      </c>
      <c r="U122" s="74">
        <v>0.49</v>
      </c>
      <c r="V122" s="50">
        <v>1.2999999999999999E-2</v>
      </c>
      <c r="W122" s="74">
        <v>2.5999999999999999E-2</v>
      </c>
      <c r="X122" s="50">
        <v>0.1</v>
      </c>
      <c r="Y122" s="50">
        <v>0.26</v>
      </c>
      <c r="Z122" s="164">
        <v>1</v>
      </c>
      <c r="AA122" s="165">
        <v>1</v>
      </c>
      <c r="AB122" s="50">
        <v>14</v>
      </c>
      <c r="AC122" s="74">
        <v>75</v>
      </c>
      <c r="AD122" s="164">
        <f>20/20</f>
        <v>1</v>
      </c>
      <c r="AE122" s="50">
        <v>0.49</v>
      </c>
      <c r="AF122" s="273">
        <f t="shared" si="3"/>
        <v>1E-4</v>
      </c>
      <c r="AG122" s="50">
        <v>0.313</v>
      </c>
      <c r="AH122" s="50">
        <f>5/2</f>
        <v>2.5</v>
      </c>
    </row>
    <row r="123" spans="1:34" ht="14">
      <c r="A123" s="74" t="s">
        <v>279</v>
      </c>
      <c r="B123" s="50" t="s">
        <v>1133</v>
      </c>
      <c r="C123" s="50" t="s">
        <v>1133</v>
      </c>
      <c r="D123" s="48" t="s">
        <v>314</v>
      </c>
      <c r="E123" s="50" t="s">
        <v>649</v>
      </c>
      <c r="G123" s="76" t="s">
        <v>650</v>
      </c>
      <c r="H123" s="50">
        <v>5015</v>
      </c>
      <c r="I123" s="49" t="s">
        <v>2</v>
      </c>
      <c r="J123" s="50" t="s">
        <v>271</v>
      </c>
      <c r="K123" s="51">
        <v>41253</v>
      </c>
      <c r="L123" s="115">
        <v>41250</v>
      </c>
      <c r="N123" s="50" t="s">
        <v>2</v>
      </c>
      <c r="O123" s="74">
        <f>1.5/2</f>
        <v>0.75</v>
      </c>
      <c r="P123" s="50">
        <v>7.07</v>
      </c>
      <c r="Q123" s="74">
        <v>7.09</v>
      </c>
      <c r="R123" s="50">
        <v>36</v>
      </c>
      <c r="S123" s="74">
        <v>42</v>
      </c>
      <c r="T123" s="50">
        <v>0.28000000000000003</v>
      </c>
      <c r="U123" s="74">
        <v>0.89</v>
      </c>
      <c r="V123" s="50">
        <v>0.09</v>
      </c>
      <c r="W123" s="74">
        <v>3.3000000000000002E-2</v>
      </c>
      <c r="X123" s="50">
        <v>9.6000000000000002E-2</v>
      </c>
      <c r="Y123" s="50">
        <v>6.4000000000000001E-2</v>
      </c>
      <c r="Z123" s="164">
        <v>1</v>
      </c>
      <c r="AA123" s="165">
        <v>1</v>
      </c>
      <c r="AB123" s="50">
        <v>8</v>
      </c>
      <c r="AC123" s="74">
        <v>32</v>
      </c>
      <c r="AD123" s="164">
        <f>20/20</f>
        <v>1</v>
      </c>
      <c r="AE123" s="50">
        <v>2.4700000000000002</v>
      </c>
      <c r="AF123" s="273">
        <f t="shared" si="3"/>
        <v>1E-4</v>
      </c>
      <c r="AG123" s="50">
        <v>2.73</v>
      </c>
    </row>
    <row r="124" spans="1:34" ht="14">
      <c r="A124" s="74" t="s">
        <v>279</v>
      </c>
      <c r="B124" s="50" t="s">
        <v>1158</v>
      </c>
      <c r="C124" s="50" t="s">
        <v>3650</v>
      </c>
      <c r="D124" s="48" t="s">
        <v>1160</v>
      </c>
      <c r="E124" s="50" t="s">
        <v>3651</v>
      </c>
      <c r="G124" s="76" t="s">
        <v>3652</v>
      </c>
      <c r="H124" s="50">
        <v>5015</v>
      </c>
      <c r="I124" s="49" t="s">
        <v>2</v>
      </c>
      <c r="J124" s="50" t="s">
        <v>271</v>
      </c>
      <c r="K124" s="51">
        <v>41264</v>
      </c>
      <c r="L124" s="115">
        <v>41260</v>
      </c>
      <c r="N124" s="50" t="s">
        <v>2</v>
      </c>
      <c r="O124" s="74">
        <f>1.7/2</f>
        <v>0.85</v>
      </c>
      <c r="P124" s="50">
        <v>7.1</v>
      </c>
      <c r="Q124" s="74">
        <v>6.6</v>
      </c>
      <c r="R124" s="50">
        <v>220</v>
      </c>
      <c r="S124" s="74">
        <v>1380</v>
      </c>
      <c r="T124" s="50">
        <v>2.4300000000000002</v>
      </c>
      <c r="U124" s="74">
        <v>4.3</v>
      </c>
      <c r="V124" s="50">
        <f>0.23/2</f>
        <v>0.115</v>
      </c>
      <c r="W124" s="74">
        <v>0.11899999999999999</v>
      </c>
      <c r="X124" s="50">
        <v>0.21199999999999999</v>
      </c>
      <c r="Y124" s="50">
        <v>0.09</v>
      </c>
      <c r="Z124" s="164">
        <f>100%</f>
        <v>1</v>
      </c>
      <c r="AA124" s="165">
        <v>1</v>
      </c>
      <c r="AB124" s="50">
        <v>18</v>
      </c>
      <c r="AC124" s="74">
        <v>49</v>
      </c>
      <c r="AD124" s="164">
        <f>20/20</f>
        <v>1</v>
      </c>
      <c r="AE124" s="50">
        <v>79.7</v>
      </c>
      <c r="AF124" s="273">
        <f t="shared" si="3"/>
        <v>1E-4</v>
      </c>
      <c r="AG124" s="50">
        <v>67.400000000000006</v>
      </c>
      <c r="AH124" s="50">
        <f>2.1/2</f>
        <v>1.05</v>
      </c>
    </row>
    <row r="125" spans="1:34" ht="14">
      <c r="A125" s="74" t="s">
        <v>279</v>
      </c>
      <c r="B125" s="50" t="s">
        <v>1158</v>
      </c>
      <c r="C125" s="50" t="s">
        <v>1159</v>
      </c>
      <c r="D125" s="48" t="s">
        <v>1160</v>
      </c>
      <c r="E125" s="50" t="s">
        <v>1161</v>
      </c>
      <c r="G125" s="76" t="s">
        <v>1162</v>
      </c>
      <c r="H125" s="50">
        <v>5015</v>
      </c>
      <c r="I125" s="49" t="s">
        <v>2</v>
      </c>
      <c r="J125" s="50" t="s">
        <v>271</v>
      </c>
      <c r="K125" s="51">
        <v>41264</v>
      </c>
      <c r="L125" s="115">
        <v>41260</v>
      </c>
      <c r="N125" s="50" t="s">
        <v>2</v>
      </c>
      <c r="O125" s="74">
        <v>3.8</v>
      </c>
      <c r="P125" s="50">
        <v>7.1</v>
      </c>
      <c r="Q125" s="74">
        <v>6.9</v>
      </c>
      <c r="R125" s="50">
        <v>150</v>
      </c>
      <c r="S125" s="74">
        <v>266</v>
      </c>
      <c r="T125" s="50">
        <v>0.26400000000000001</v>
      </c>
      <c r="U125" s="74">
        <v>2.6</v>
      </c>
      <c r="V125" s="50">
        <v>0.28999999999999998</v>
      </c>
      <c r="W125" s="74">
        <v>0.28799999999999998</v>
      </c>
      <c r="X125" s="50">
        <v>0.35699999999999998</v>
      </c>
      <c r="Y125" s="50">
        <v>0.187</v>
      </c>
      <c r="Z125" s="164">
        <v>0.70699999999999996</v>
      </c>
      <c r="AA125" s="165">
        <v>0.66</v>
      </c>
      <c r="AB125" s="50">
        <v>10</v>
      </c>
      <c r="AC125" s="74">
        <v>63</v>
      </c>
      <c r="AD125" s="164">
        <f>0/20</f>
        <v>0</v>
      </c>
      <c r="AE125" s="50">
        <v>15.2</v>
      </c>
      <c r="AF125" s="273">
        <f t="shared" si="3"/>
        <v>1E-4</v>
      </c>
      <c r="AG125" s="50">
        <v>10.199999999999999</v>
      </c>
      <c r="AH125" s="50">
        <f>4.3/2</f>
        <v>2.15</v>
      </c>
    </row>
    <row r="126" spans="1:34" ht="14">
      <c r="A126" s="74" t="s">
        <v>279</v>
      </c>
      <c r="B126" s="50" t="s">
        <v>1134</v>
      </c>
      <c r="C126" s="50" t="s">
        <v>1134</v>
      </c>
      <c r="D126" s="48" t="s">
        <v>1135</v>
      </c>
      <c r="E126" s="50" t="s">
        <v>3641</v>
      </c>
      <c r="G126" s="76" t="s">
        <v>1136</v>
      </c>
      <c r="H126" s="50">
        <v>5015</v>
      </c>
      <c r="I126" s="49" t="s">
        <v>1</v>
      </c>
      <c r="J126" s="50" t="s">
        <v>1134</v>
      </c>
      <c r="K126" s="51">
        <v>41364</v>
      </c>
      <c r="L126" s="115">
        <v>41354</v>
      </c>
      <c r="N126" s="50" t="s">
        <v>2</v>
      </c>
      <c r="AE126" s="50">
        <v>1.36</v>
      </c>
      <c r="AF126" s="273"/>
      <c r="AG126" s="50">
        <v>0.73699999999999999</v>
      </c>
    </row>
    <row r="127" spans="1:34" ht="14">
      <c r="A127" s="74" t="s">
        <v>279</v>
      </c>
      <c r="B127" s="50" t="s">
        <v>905</v>
      </c>
      <c r="C127" s="50" t="s">
        <v>905</v>
      </c>
      <c r="D127" s="48" t="s">
        <v>372</v>
      </c>
      <c r="E127" s="50" t="s">
        <v>906</v>
      </c>
      <c r="G127" s="76" t="s">
        <v>907</v>
      </c>
      <c r="H127" s="50">
        <v>5015</v>
      </c>
      <c r="I127" s="49" t="s">
        <v>2</v>
      </c>
      <c r="J127" s="50" t="s">
        <v>271</v>
      </c>
      <c r="K127" s="51">
        <v>41345</v>
      </c>
      <c r="L127" s="115">
        <v>41341</v>
      </c>
      <c r="N127" s="50" t="s">
        <v>1</v>
      </c>
      <c r="O127" s="74">
        <f>2/2</f>
        <v>1</v>
      </c>
      <c r="P127" s="50">
        <v>6.4</v>
      </c>
      <c r="Q127" s="74">
        <v>7.4</v>
      </c>
      <c r="R127" s="50">
        <v>18</v>
      </c>
      <c r="S127" s="74">
        <v>69</v>
      </c>
      <c r="T127" s="50">
        <v>0.11</v>
      </c>
      <c r="U127" s="74">
        <v>0.76</v>
      </c>
      <c r="V127" s="50">
        <f>0.1/2</f>
        <v>0.05</v>
      </c>
      <c r="W127" s="74">
        <v>5.0999999999999997E-2</v>
      </c>
      <c r="X127" s="50">
        <v>0.17599999999999999</v>
      </c>
      <c r="Y127" s="50">
        <v>3.9E-2</v>
      </c>
      <c r="Z127" s="164">
        <v>1</v>
      </c>
      <c r="AA127" s="165">
        <v>1</v>
      </c>
      <c r="AB127" s="50">
        <v>29</v>
      </c>
      <c r="AC127" s="74">
        <v>99</v>
      </c>
      <c r="AD127" s="164">
        <f>20/20</f>
        <v>1</v>
      </c>
      <c r="AE127" s="50">
        <v>4.3499999999999996</v>
      </c>
      <c r="AF127" s="273">
        <f>0.0004/2</f>
        <v>2.0000000000000001E-4</v>
      </c>
      <c r="AG127" s="50">
        <v>1.75</v>
      </c>
      <c r="AH127" s="50">
        <f>500/2</f>
        <v>250</v>
      </c>
    </row>
    <row r="128" spans="1:34" ht="14">
      <c r="A128" s="74" t="s">
        <v>279</v>
      </c>
      <c r="B128" s="50" t="s">
        <v>527</v>
      </c>
      <c r="C128" s="50" t="s">
        <v>527</v>
      </c>
      <c r="D128" s="48" t="s">
        <v>372</v>
      </c>
      <c r="E128" s="50" t="s">
        <v>487</v>
      </c>
      <c r="G128" s="76" t="s">
        <v>528</v>
      </c>
      <c r="H128" s="50">
        <v>5015</v>
      </c>
      <c r="I128" s="49" t="s">
        <v>1</v>
      </c>
      <c r="J128" s="50" t="s">
        <v>271</v>
      </c>
      <c r="K128" s="51">
        <v>41432</v>
      </c>
      <c r="L128" s="115">
        <v>41428</v>
      </c>
      <c r="N128" s="50" t="s">
        <v>2</v>
      </c>
      <c r="O128" s="74">
        <f>1/2</f>
        <v>0.5</v>
      </c>
      <c r="P128" s="50">
        <v>5.65</v>
      </c>
      <c r="Q128" s="74">
        <v>5.73</v>
      </c>
      <c r="R128" s="50">
        <f>2/2</f>
        <v>1</v>
      </c>
      <c r="S128" s="74">
        <f>1/2</f>
        <v>0.5</v>
      </c>
      <c r="T128" s="50">
        <f>0.05/2</f>
        <v>2.5000000000000001E-2</v>
      </c>
      <c r="U128" s="74">
        <v>0.5</v>
      </c>
      <c r="V128" s="50">
        <f>0.2/2</f>
        <v>0.1</v>
      </c>
      <c r="W128" s="74">
        <f>0.01/2</f>
        <v>5.0000000000000001E-3</v>
      </c>
      <c r="X128" s="50">
        <f>0.01/2</f>
        <v>5.0000000000000001E-3</v>
      </c>
      <c r="Y128" s="50">
        <f>0.02/2</f>
        <v>0.01</v>
      </c>
      <c r="AF128" s="273"/>
      <c r="AH128" s="50">
        <f>5/2</f>
        <v>2.5</v>
      </c>
    </row>
    <row r="129" spans="1:35" ht="14">
      <c r="A129" s="74" t="s">
        <v>279</v>
      </c>
      <c r="B129" s="50" t="s">
        <v>1148</v>
      </c>
      <c r="C129" s="50" t="s">
        <v>1148</v>
      </c>
      <c r="D129" s="48" t="s">
        <v>735</v>
      </c>
      <c r="E129" s="50" t="s">
        <v>1149</v>
      </c>
      <c r="G129" s="76" t="s">
        <v>1150</v>
      </c>
      <c r="H129" s="50">
        <v>5015</v>
      </c>
      <c r="I129" s="49" t="s">
        <v>2</v>
      </c>
      <c r="J129" s="50" t="s">
        <v>271</v>
      </c>
      <c r="K129" s="51">
        <v>41376</v>
      </c>
      <c r="L129" s="115">
        <v>41373</v>
      </c>
      <c r="N129" s="50" t="s">
        <v>2</v>
      </c>
      <c r="O129" s="74">
        <v>30</v>
      </c>
      <c r="P129" s="50">
        <v>5.65</v>
      </c>
      <c r="Q129" s="74">
        <v>6.15</v>
      </c>
      <c r="R129" s="50">
        <v>1100</v>
      </c>
      <c r="S129" s="74">
        <v>140</v>
      </c>
      <c r="T129" s="50">
        <v>0.13</v>
      </c>
      <c r="U129" s="74">
        <v>3.75</v>
      </c>
      <c r="V129" s="50">
        <v>0.03</v>
      </c>
      <c r="W129" s="74">
        <v>0.25700000000000001</v>
      </c>
      <c r="X129" s="50">
        <v>0.72</v>
      </c>
      <c r="Y129" s="50">
        <v>0.14899999999999999</v>
      </c>
      <c r="Z129" s="164">
        <v>1</v>
      </c>
      <c r="AA129" s="165">
        <v>0.153</v>
      </c>
      <c r="AB129" s="50">
        <v>400</v>
      </c>
      <c r="AC129" s="74">
        <v>324</v>
      </c>
      <c r="AD129" s="164">
        <v>0</v>
      </c>
      <c r="AE129" s="50">
        <v>15.8</v>
      </c>
      <c r="AF129" s="273">
        <v>1E-4</v>
      </c>
      <c r="AG129" s="50">
        <v>5.82</v>
      </c>
      <c r="AH129" s="50">
        <v>500</v>
      </c>
    </row>
    <row r="130" spans="1:35" ht="14">
      <c r="A130" s="74" t="s">
        <v>279</v>
      </c>
      <c r="B130" s="50" t="s">
        <v>1148</v>
      </c>
      <c r="C130" s="50" t="s">
        <v>1148</v>
      </c>
      <c r="D130" s="48" t="s">
        <v>735</v>
      </c>
      <c r="E130" s="50" t="s">
        <v>1149</v>
      </c>
      <c r="G130" s="76" t="s">
        <v>1150</v>
      </c>
      <c r="H130" s="50">
        <v>5015</v>
      </c>
      <c r="I130" s="49" t="s">
        <v>2</v>
      </c>
      <c r="J130" s="50" t="s">
        <v>272</v>
      </c>
      <c r="K130" s="51">
        <v>41376</v>
      </c>
      <c r="L130" s="115">
        <v>41373</v>
      </c>
      <c r="N130" s="50" t="s">
        <v>2</v>
      </c>
      <c r="O130" s="74">
        <v>2.5</v>
      </c>
      <c r="P130" s="50">
        <v>5.65</v>
      </c>
      <c r="Q130" s="74">
        <v>6.34</v>
      </c>
      <c r="R130" s="50">
        <v>15</v>
      </c>
      <c r="S130" s="74">
        <v>2200</v>
      </c>
      <c r="T130" s="50">
        <v>0.06</v>
      </c>
      <c r="U130" s="74">
        <v>6.54</v>
      </c>
      <c r="V130" s="50">
        <v>0.02</v>
      </c>
      <c r="W130" s="74">
        <v>0.64700000000000002</v>
      </c>
      <c r="X130" s="50">
        <v>3.22</v>
      </c>
      <c r="Y130" s="50">
        <v>1.49</v>
      </c>
      <c r="Z130" s="164">
        <v>1</v>
      </c>
      <c r="AA130" s="165">
        <v>1</v>
      </c>
      <c r="AB130" s="50">
        <v>20</v>
      </c>
      <c r="AC130" s="74">
        <v>69</v>
      </c>
      <c r="AD130" s="164">
        <v>0.95</v>
      </c>
      <c r="AE130" s="50">
        <v>272</v>
      </c>
      <c r="AF130" s="273">
        <v>1E-4</v>
      </c>
      <c r="AG130" s="50">
        <v>136</v>
      </c>
      <c r="AH130" s="50">
        <v>20</v>
      </c>
    </row>
    <row r="131" spans="1:35" ht="14">
      <c r="A131" s="74" t="s">
        <v>279</v>
      </c>
      <c r="B131" s="50" t="s">
        <v>1134</v>
      </c>
      <c r="C131" s="50" t="s">
        <v>1134</v>
      </c>
      <c r="D131" s="48" t="s">
        <v>1135</v>
      </c>
      <c r="E131" s="50" t="s">
        <v>3641</v>
      </c>
      <c r="G131" s="76" t="s">
        <v>1136</v>
      </c>
      <c r="H131" s="50">
        <v>5015</v>
      </c>
      <c r="I131" s="49" t="s">
        <v>1</v>
      </c>
      <c r="J131" s="50" t="s">
        <v>1134</v>
      </c>
      <c r="K131" s="51">
        <v>41201</v>
      </c>
      <c r="L131" s="115">
        <v>41197</v>
      </c>
      <c r="N131" s="50" t="s">
        <v>2</v>
      </c>
      <c r="O131" s="74">
        <v>0.8</v>
      </c>
      <c r="P131" s="50">
        <v>7.1</v>
      </c>
      <c r="Q131" s="74">
        <v>7.28</v>
      </c>
      <c r="R131" s="50">
        <v>52</v>
      </c>
      <c r="S131" s="74">
        <v>32</v>
      </c>
      <c r="T131" s="50">
        <v>0.12</v>
      </c>
      <c r="U131" s="74">
        <v>0.8</v>
      </c>
      <c r="V131" s="50">
        <v>0.18</v>
      </c>
      <c r="W131" s="74">
        <v>4.2999999999999997E-2</v>
      </c>
      <c r="X131" s="50">
        <v>0.13400000000000001</v>
      </c>
      <c r="Y131" s="50">
        <v>8.8999999999999996E-2</v>
      </c>
      <c r="Z131" s="164">
        <v>1</v>
      </c>
      <c r="AA131" s="165">
        <v>1</v>
      </c>
      <c r="AB131" s="50">
        <v>14</v>
      </c>
      <c r="AC131" s="74">
        <v>75</v>
      </c>
      <c r="AD131" s="164">
        <v>1</v>
      </c>
      <c r="AE131" s="50">
        <v>3.1</v>
      </c>
      <c r="AF131" s="273"/>
      <c r="AG131" s="50">
        <v>1.52</v>
      </c>
      <c r="AH131" s="50">
        <v>0.26</v>
      </c>
    </row>
    <row r="132" spans="1:35" ht="14">
      <c r="A132" s="74" t="s">
        <v>279</v>
      </c>
      <c r="B132" s="50" t="s">
        <v>1171</v>
      </c>
      <c r="C132" s="50" t="s">
        <v>1171</v>
      </c>
      <c r="D132" s="48" t="s">
        <v>516</v>
      </c>
      <c r="E132" s="50" t="s">
        <v>1172</v>
      </c>
      <c r="G132" s="76" t="s">
        <v>1173</v>
      </c>
      <c r="H132" s="50">
        <v>5015</v>
      </c>
      <c r="I132" s="49" t="s">
        <v>1</v>
      </c>
      <c r="J132" s="50" t="s">
        <v>271</v>
      </c>
      <c r="K132" s="51">
        <v>41332</v>
      </c>
      <c r="L132" s="115">
        <v>41329</v>
      </c>
      <c r="N132" s="50" t="s">
        <v>1</v>
      </c>
      <c r="O132" s="74">
        <v>8.9</v>
      </c>
      <c r="P132" s="50">
        <v>7.05</v>
      </c>
      <c r="Q132" s="74">
        <v>6.81</v>
      </c>
      <c r="R132" s="50">
        <v>146</v>
      </c>
      <c r="S132" s="74">
        <v>190</v>
      </c>
      <c r="T132" s="50">
        <v>0.8</v>
      </c>
      <c r="U132" s="74">
        <v>2.2400000000000002</v>
      </c>
      <c r="V132" s="50">
        <v>5.0000000000000001E-3</v>
      </c>
      <c r="W132" s="74">
        <v>0.107</v>
      </c>
      <c r="X132" s="50">
        <v>0.25900000000000001</v>
      </c>
      <c r="Y132" s="50">
        <v>0.222</v>
      </c>
      <c r="Z132" s="164">
        <v>1</v>
      </c>
      <c r="AA132" s="165">
        <v>1</v>
      </c>
      <c r="AB132" s="50">
        <v>20</v>
      </c>
      <c r="AC132" s="74">
        <v>60</v>
      </c>
      <c r="AD132" s="164">
        <v>1</v>
      </c>
      <c r="AE132" s="50">
        <v>13</v>
      </c>
      <c r="AF132" s="273"/>
      <c r="AG132" s="50">
        <v>9.2899999999999991</v>
      </c>
      <c r="AH132" s="50">
        <v>0.78</v>
      </c>
      <c r="AI132" s="50">
        <v>230</v>
      </c>
    </row>
    <row r="133" spans="1:35" ht="14">
      <c r="A133" s="74" t="s">
        <v>279</v>
      </c>
      <c r="B133" s="50" t="s">
        <v>1216</v>
      </c>
      <c r="C133" s="50" t="s">
        <v>1216</v>
      </c>
      <c r="D133" s="48" t="s">
        <v>1217</v>
      </c>
      <c r="E133" s="50" t="s">
        <v>1218</v>
      </c>
      <c r="G133" s="76" t="s">
        <v>1219</v>
      </c>
      <c r="H133" s="50">
        <v>5015</v>
      </c>
      <c r="I133" s="49" t="s">
        <v>2</v>
      </c>
      <c r="J133" s="50" t="s">
        <v>271</v>
      </c>
      <c r="K133" s="51">
        <v>41376</v>
      </c>
      <c r="L133" s="115">
        <v>41373</v>
      </c>
      <c r="N133" s="50" t="s">
        <v>2</v>
      </c>
      <c r="AE133" s="50">
        <v>5.38</v>
      </c>
      <c r="AF133" s="273">
        <v>1E-4</v>
      </c>
      <c r="AG133" s="50">
        <v>3.11</v>
      </c>
      <c r="AH133" s="50">
        <v>5</v>
      </c>
    </row>
    <row r="134" spans="1:35" ht="14">
      <c r="A134" s="74" t="s">
        <v>279</v>
      </c>
      <c r="B134" s="50" t="s">
        <v>3792</v>
      </c>
      <c r="D134" s="48" t="s">
        <v>1537</v>
      </c>
      <c r="F134" s="50" t="s">
        <v>3653</v>
      </c>
      <c r="G134" s="76" t="s">
        <v>3654</v>
      </c>
      <c r="H134" s="50">
        <v>5093</v>
      </c>
      <c r="I134" s="49" t="s">
        <v>1</v>
      </c>
      <c r="J134" s="50" t="s">
        <v>3655</v>
      </c>
      <c r="K134" s="51">
        <v>41376</v>
      </c>
      <c r="L134" s="115">
        <v>41364</v>
      </c>
      <c r="N134" s="50" t="s">
        <v>2</v>
      </c>
      <c r="O134" s="74">
        <v>14</v>
      </c>
      <c r="P134" s="50">
        <v>6.57</v>
      </c>
      <c r="Q134" s="74">
        <v>6.54</v>
      </c>
      <c r="R134" s="50">
        <v>140</v>
      </c>
      <c r="S134" s="74">
        <v>150</v>
      </c>
      <c r="T134" s="50">
        <v>0.22</v>
      </c>
      <c r="U134" s="74">
        <v>0.5</v>
      </c>
      <c r="V134" s="50">
        <v>0.13</v>
      </c>
      <c r="W134" s="74">
        <v>0.87</v>
      </c>
      <c r="X134" s="50">
        <v>0.95</v>
      </c>
      <c r="Y134" s="50">
        <v>1.5</v>
      </c>
      <c r="Z134" s="164">
        <v>0.25</v>
      </c>
      <c r="AA134" s="165">
        <v>6.54E-2</v>
      </c>
      <c r="AB134" s="50">
        <v>19</v>
      </c>
      <c r="AC134" s="74">
        <v>261</v>
      </c>
      <c r="AD134" s="164">
        <v>0</v>
      </c>
      <c r="AE134" s="50">
        <v>6.8</v>
      </c>
      <c r="AF134" s="273">
        <v>5.4000000000000001E-4</v>
      </c>
      <c r="AG134" s="50">
        <v>2.4</v>
      </c>
      <c r="AH134" s="50">
        <f>1.4+1.9+1.7+0.63+1.2+28+1.1+0.38+0.45+0.67</f>
        <v>37.430000000000007</v>
      </c>
    </row>
    <row r="135" spans="1:35" ht="14">
      <c r="A135" s="74" t="s">
        <v>279</v>
      </c>
      <c r="B135" s="50" t="s">
        <v>1134</v>
      </c>
      <c r="C135" s="50" t="s">
        <v>1134</v>
      </c>
      <c r="D135" s="48" t="s">
        <v>1135</v>
      </c>
      <c r="E135" s="50" t="s">
        <v>3641</v>
      </c>
      <c r="G135" s="76" t="s">
        <v>1136</v>
      </c>
      <c r="H135" s="50">
        <v>5015</v>
      </c>
      <c r="I135" s="49" t="s">
        <v>1</v>
      </c>
      <c r="J135" s="50" t="s">
        <v>271</v>
      </c>
      <c r="K135" s="51">
        <v>41402</v>
      </c>
      <c r="L135" s="115">
        <v>41384</v>
      </c>
      <c r="N135" s="50" t="s">
        <v>2</v>
      </c>
      <c r="O135" s="74">
        <v>4.2</v>
      </c>
      <c r="P135" s="50">
        <v>6.7</v>
      </c>
      <c r="Q135" s="74">
        <v>6.67</v>
      </c>
      <c r="R135" s="50">
        <v>73</v>
      </c>
      <c r="S135" s="74">
        <v>340</v>
      </c>
      <c r="T135" s="50">
        <v>0.6</v>
      </c>
      <c r="U135" s="74">
        <v>2.33</v>
      </c>
      <c r="V135" s="50">
        <v>7.0000000000000007E-2</v>
      </c>
      <c r="W135" s="74">
        <v>0.30399999999999999</v>
      </c>
      <c r="X135" s="50">
        <v>1.1399999999999999</v>
      </c>
      <c r="Y135" s="50">
        <v>0.871</v>
      </c>
      <c r="AE135" s="50">
        <v>46.2</v>
      </c>
      <c r="AF135" s="273">
        <v>1E-4</v>
      </c>
      <c r="AG135" s="50">
        <v>17.899999999999999</v>
      </c>
      <c r="AH135" s="50">
        <v>6.2</v>
      </c>
      <c r="AI135" s="50">
        <v>110</v>
      </c>
    </row>
    <row r="136" spans="1:35" ht="14">
      <c r="A136" s="74" t="s">
        <v>279</v>
      </c>
      <c r="B136" s="50" t="s">
        <v>1158</v>
      </c>
      <c r="C136" s="50" t="s">
        <v>1159</v>
      </c>
      <c r="D136" s="48" t="s">
        <v>1160</v>
      </c>
      <c r="E136" s="50" t="s">
        <v>1161</v>
      </c>
      <c r="G136" s="76" t="s">
        <v>1162</v>
      </c>
      <c r="H136" s="50">
        <v>5015</v>
      </c>
      <c r="I136" s="49" t="s">
        <v>2</v>
      </c>
      <c r="J136" s="50" t="s">
        <v>271</v>
      </c>
      <c r="K136" s="51">
        <v>41402</v>
      </c>
      <c r="L136" s="115">
        <v>41383</v>
      </c>
      <c r="N136" s="50" t="s">
        <v>2</v>
      </c>
      <c r="AE136" s="50">
        <v>21.9</v>
      </c>
      <c r="AF136" s="273">
        <v>1E-4</v>
      </c>
      <c r="AG136" s="50">
        <v>15.6</v>
      </c>
    </row>
    <row r="137" spans="1:35" ht="14">
      <c r="A137" s="74" t="s">
        <v>279</v>
      </c>
      <c r="B137" s="50" t="s">
        <v>1158</v>
      </c>
      <c r="C137" s="50" t="s">
        <v>3650</v>
      </c>
      <c r="D137" s="48" t="s">
        <v>1160</v>
      </c>
      <c r="E137" s="50" t="s">
        <v>3651</v>
      </c>
      <c r="G137" s="76" t="s">
        <v>3652</v>
      </c>
      <c r="H137" s="50">
        <v>5015</v>
      </c>
      <c r="I137" s="49" t="s">
        <v>2</v>
      </c>
      <c r="J137" s="50" t="s">
        <v>271</v>
      </c>
      <c r="K137" s="51">
        <v>41402</v>
      </c>
      <c r="L137" s="115">
        <v>41383</v>
      </c>
      <c r="N137" s="50" t="s">
        <v>2</v>
      </c>
      <c r="AE137" s="50">
        <v>1.71</v>
      </c>
      <c r="AF137" s="273">
        <v>1E-4</v>
      </c>
      <c r="AG137" s="50">
        <v>10.199999999999999</v>
      </c>
    </row>
    <row r="138" spans="1:35" ht="14">
      <c r="A138" s="74" t="s">
        <v>279</v>
      </c>
      <c r="B138" s="50" t="s">
        <v>3643</v>
      </c>
      <c r="D138" s="48" t="s">
        <v>1135</v>
      </c>
      <c r="E138" s="50" t="s">
        <v>3645</v>
      </c>
      <c r="G138" s="76" t="s">
        <v>3937</v>
      </c>
      <c r="H138" s="50">
        <v>5015</v>
      </c>
      <c r="I138" s="49" t="s">
        <v>2</v>
      </c>
      <c r="J138" s="50" t="s">
        <v>3938</v>
      </c>
      <c r="K138" s="51">
        <v>41345</v>
      </c>
      <c r="L138" s="115">
        <v>41341</v>
      </c>
      <c r="N138" s="50" t="s">
        <v>2</v>
      </c>
      <c r="O138" s="74">
        <v>0.7</v>
      </c>
      <c r="P138" s="50">
        <v>6.5</v>
      </c>
      <c r="Q138" s="74">
        <v>6.9</v>
      </c>
      <c r="R138" s="50">
        <v>56</v>
      </c>
      <c r="S138" s="74">
        <v>980</v>
      </c>
      <c r="T138" s="50">
        <v>1.98</v>
      </c>
      <c r="U138" s="74">
        <v>0.98</v>
      </c>
      <c r="V138" s="50">
        <v>7.0000000000000007E-2</v>
      </c>
      <c r="W138" s="74">
        <v>8.5999999999999993E-2</v>
      </c>
      <c r="X138" s="50">
        <v>0.41299999999999998</v>
      </c>
      <c r="Y138" s="50">
        <v>0.109</v>
      </c>
      <c r="Z138" s="164">
        <v>1</v>
      </c>
      <c r="AA138" s="165">
        <v>1</v>
      </c>
      <c r="AB138" s="50">
        <v>2</v>
      </c>
      <c r="AC138" s="74">
        <v>23</v>
      </c>
      <c r="AD138" s="164">
        <v>0.95</v>
      </c>
      <c r="AE138" s="50">
        <v>55.4</v>
      </c>
      <c r="AF138" s="273">
        <v>1E-4</v>
      </c>
      <c r="AG138" s="50">
        <v>55.5</v>
      </c>
      <c r="AH138" s="50" t="s">
        <v>955</v>
      </c>
    </row>
    <row r="139" spans="1:35" ht="14">
      <c r="A139" s="74" t="s">
        <v>279</v>
      </c>
      <c r="B139" s="50" t="s">
        <v>3130</v>
      </c>
      <c r="C139" s="50" t="s">
        <v>3130</v>
      </c>
      <c r="D139" s="48" t="s">
        <v>276</v>
      </c>
      <c r="E139" s="50" t="s">
        <v>1151</v>
      </c>
      <c r="G139" s="76" t="s">
        <v>3131</v>
      </c>
      <c r="H139" s="50">
        <v>5015</v>
      </c>
      <c r="I139" s="49" t="s">
        <v>2</v>
      </c>
      <c r="J139" s="50" t="s">
        <v>271</v>
      </c>
      <c r="K139" s="51">
        <v>41495</v>
      </c>
      <c r="L139" s="115">
        <v>41487</v>
      </c>
      <c r="N139" s="50" t="s">
        <v>2</v>
      </c>
      <c r="AE139" s="50">
        <v>0.56000000000000005</v>
      </c>
      <c r="AF139" s="273"/>
      <c r="AG139" s="50">
        <v>0.33</v>
      </c>
    </row>
    <row r="140" spans="1:35" ht="14">
      <c r="A140" s="74" t="s">
        <v>279</v>
      </c>
      <c r="B140" s="50" t="s">
        <v>3130</v>
      </c>
      <c r="C140" s="50" t="s">
        <v>3130</v>
      </c>
      <c r="D140" s="48" t="s">
        <v>276</v>
      </c>
      <c r="E140" s="50" t="s">
        <v>1151</v>
      </c>
      <c r="G140" s="76" t="s">
        <v>3131</v>
      </c>
      <c r="H140" s="50">
        <v>5015</v>
      </c>
      <c r="I140" s="49" t="s">
        <v>2</v>
      </c>
      <c r="J140" s="50" t="s">
        <v>271</v>
      </c>
      <c r="K140" s="51">
        <v>41428</v>
      </c>
      <c r="L140" s="115">
        <v>41417</v>
      </c>
      <c r="N140" s="50" t="s">
        <v>2</v>
      </c>
      <c r="O140" s="74">
        <v>3.8</v>
      </c>
      <c r="P140" s="50">
        <v>4.9000000000000004</v>
      </c>
      <c r="Q140" s="74">
        <v>6.78</v>
      </c>
      <c r="R140" s="50">
        <v>23.7</v>
      </c>
      <c r="S140" s="74">
        <v>47</v>
      </c>
      <c r="T140" s="50">
        <v>0.12</v>
      </c>
      <c r="U140" s="74">
        <v>0.97</v>
      </c>
      <c r="V140" s="50">
        <f>0.2/2</f>
        <v>0.1</v>
      </c>
      <c r="W140" s="74">
        <v>0.02</v>
      </c>
      <c r="X140" s="50">
        <v>7.0000000000000007E-2</v>
      </c>
      <c r="Y140" s="50">
        <f>0.02/2</f>
        <v>0.01</v>
      </c>
      <c r="Z140" s="164">
        <v>1</v>
      </c>
      <c r="AA140" s="165">
        <v>1</v>
      </c>
      <c r="AB140" s="50">
        <v>12.5</v>
      </c>
      <c r="AC140" s="74">
        <v>32.299999999999997</v>
      </c>
      <c r="AD140" s="164">
        <v>0.9</v>
      </c>
      <c r="AE140" s="50">
        <v>4</v>
      </c>
      <c r="AF140" s="273">
        <f>0.0002/2</f>
        <v>1E-4</v>
      </c>
      <c r="AG140" s="50">
        <v>2.33</v>
      </c>
    </row>
    <row r="141" spans="1:35" ht="14">
      <c r="A141" s="74" t="s">
        <v>279</v>
      </c>
      <c r="B141" s="7" t="s">
        <v>4188</v>
      </c>
      <c r="C141" s="7" t="s">
        <v>1128</v>
      </c>
      <c r="D141" s="14" t="s">
        <v>1129</v>
      </c>
      <c r="E141" s="7" t="s">
        <v>4189</v>
      </c>
      <c r="F141" s="7"/>
      <c r="G141" s="15" t="s">
        <v>1131</v>
      </c>
      <c r="H141" s="7"/>
      <c r="I141" s="19"/>
      <c r="J141" s="7" t="s">
        <v>1132</v>
      </c>
      <c r="K141" s="16">
        <v>41352</v>
      </c>
      <c r="L141" s="17"/>
      <c r="M141" s="7"/>
      <c r="N141" s="7" t="s">
        <v>2</v>
      </c>
      <c r="O141" s="6"/>
      <c r="P141" s="7"/>
      <c r="Q141" s="6"/>
      <c r="R141" s="7"/>
      <c r="S141" s="6"/>
      <c r="T141" s="7"/>
      <c r="U141" s="6"/>
      <c r="V141" s="7"/>
      <c r="W141" s="6"/>
      <c r="X141" s="7"/>
      <c r="Y141" s="7"/>
      <c r="Z141" s="12"/>
      <c r="AA141" s="13"/>
      <c r="AB141" s="7"/>
      <c r="AC141" s="6"/>
      <c r="AD141" s="12"/>
      <c r="AE141" s="7">
        <v>0.28999999999999998</v>
      </c>
      <c r="AF141" s="21">
        <v>1E-4</v>
      </c>
      <c r="AG141" s="7">
        <v>0.21</v>
      </c>
      <c r="AH141" s="7"/>
      <c r="AI141" s="5"/>
    </row>
    <row r="142" spans="1:35" ht="14">
      <c r="A142" s="74" t="s">
        <v>279</v>
      </c>
      <c r="B142" s="7" t="s">
        <v>905</v>
      </c>
      <c r="C142" s="7" t="s">
        <v>905</v>
      </c>
      <c r="D142" s="14" t="s">
        <v>372</v>
      </c>
      <c r="E142" s="7" t="s">
        <v>906</v>
      </c>
      <c r="F142" s="7"/>
      <c r="G142" s="15" t="s">
        <v>907</v>
      </c>
      <c r="H142" s="7">
        <v>5015</v>
      </c>
      <c r="I142" s="19" t="s">
        <v>2</v>
      </c>
      <c r="J142" s="7" t="s">
        <v>271</v>
      </c>
      <c r="K142" s="16">
        <v>41428</v>
      </c>
      <c r="L142" s="17">
        <v>41425</v>
      </c>
      <c r="M142" s="7"/>
      <c r="N142" s="7" t="s">
        <v>2</v>
      </c>
      <c r="O142" s="6">
        <v>3.7</v>
      </c>
      <c r="P142" s="7">
        <v>6.5</v>
      </c>
      <c r="Q142" s="6">
        <v>7.2</v>
      </c>
      <c r="R142" s="7">
        <v>36</v>
      </c>
      <c r="S142" s="6">
        <v>85</v>
      </c>
      <c r="T142" s="7">
        <v>0.19</v>
      </c>
      <c r="U142" s="6">
        <v>1.17</v>
      </c>
      <c r="V142" s="7">
        <v>0.13</v>
      </c>
      <c r="W142" s="6">
        <v>6.0999999999999999E-2</v>
      </c>
      <c r="X142" s="7">
        <v>0.28499999999999998</v>
      </c>
      <c r="Y142" s="7">
        <v>6.0999999999999999E-2</v>
      </c>
      <c r="Z142" s="12"/>
      <c r="AA142" s="13"/>
      <c r="AB142" s="7"/>
      <c r="AC142" s="6"/>
      <c r="AD142" s="12"/>
      <c r="AE142" s="7">
        <v>5.78</v>
      </c>
      <c r="AF142" s="21">
        <v>2.0000000000000001E-4</v>
      </c>
      <c r="AG142" s="7">
        <v>2.86</v>
      </c>
      <c r="AH142" s="7">
        <v>250</v>
      </c>
      <c r="AI142" s="5"/>
    </row>
    <row r="143" spans="1:35" ht="14">
      <c r="A143" s="74" t="s">
        <v>279</v>
      </c>
      <c r="B143" s="7" t="s">
        <v>486</v>
      </c>
      <c r="C143" s="7" t="s">
        <v>486</v>
      </c>
      <c r="D143" s="14" t="s">
        <v>372</v>
      </c>
      <c r="E143" s="7" t="s">
        <v>487</v>
      </c>
      <c r="F143" s="7"/>
      <c r="G143" s="15" t="s">
        <v>488</v>
      </c>
      <c r="H143" s="7">
        <v>5015</v>
      </c>
      <c r="I143" s="19" t="s">
        <v>1</v>
      </c>
      <c r="J143" s="7" t="s">
        <v>271</v>
      </c>
      <c r="K143" s="16">
        <v>41432</v>
      </c>
      <c r="L143" s="17">
        <v>41428</v>
      </c>
      <c r="M143" s="7"/>
      <c r="N143" s="7" t="s">
        <v>2</v>
      </c>
      <c r="O143" s="6">
        <v>0.5</v>
      </c>
      <c r="P143" s="7">
        <v>4.9400000000000004</v>
      </c>
      <c r="Q143" s="6">
        <v>7.02</v>
      </c>
      <c r="R143" s="7">
        <v>38.799999999999997</v>
      </c>
      <c r="S143" s="6">
        <v>14.5</v>
      </c>
      <c r="T143" s="7">
        <v>0.12</v>
      </c>
      <c r="U143" s="6">
        <v>1.44</v>
      </c>
      <c r="V143" s="7">
        <v>0.7</v>
      </c>
      <c r="W143" s="6">
        <v>0.04</v>
      </c>
      <c r="X143" s="7">
        <v>5.0000000000000001E-3</v>
      </c>
      <c r="Y143" s="7">
        <v>0.02</v>
      </c>
      <c r="Z143" s="12">
        <v>0.5</v>
      </c>
      <c r="AA143" s="13">
        <v>0.5</v>
      </c>
      <c r="AB143" s="7">
        <v>4.5999999999999996</v>
      </c>
      <c r="AC143" s="6">
        <v>71.3</v>
      </c>
      <c r="AD143" s="12">
        <v>0.55000000000000004</v>
      </c>
      <c r="AE143" s="7">
        <v>1.61</v>
      </c>
      <c r="AF143" s="21"/>
      <c r="AG143" s="7">
        <v>0.79</v>
      </c>
      <c r="AH143" s="7">
        <v>2.5</v>
      </c>
      <c r="AI143" s="5"/>
    </row>
    <row r="144" spans="1:35" ht="14">
      <c r="A144" s="74" t="s">
        <v>279</v>
      </c>
      <c r="B144" s="7" t="s">
        <v>655</v>
      </c>
      <c r="C144" s="7" t="s">
        <v>655</v>
      </c>
      <c r="D144" s="14" t="s">
        <v>379</v>
      </c>
      <c r="E144" s="7" t="s">
        <v>1151</v>
      </c>
      <c r="F144" s="7"/>
      <c r="G144" s="15" t="s">
        <v>656</v>
      </c>
      <c r="H144" s="7">
        <v>5015</v>
      </c>
      <c r="I144" s="19" t="s">
        <v>1</v>
      </c>
      <c r="J144" s="7" t="s">
        <v>271</v>
      </c>
      <c r="K144" s="16">
        <v>41402</v>
      </c>
      <c r="L144" s="17">
        <v>41381</v>
      </c>
      <c r="M144" s="50">
        <f>K144-L144</f>
        <v>21</v>
      </c>
      <c r="N144" s="7" t="s">
        <v>2</v>
      </c>
      <c r="O144" s="6">
        <v>0.9</v>
      </c>
      <c r="P144" s="7">
        <v>5.9</v>
      </c>
      <c r="Q144" s="6">
        <v>6.6</v>
      </c>
      <c r="R144" s="7">
        <v>70</v>
      </c>
      <c r="S144" s="6">
        <v>42.5</v>
      </c>
      <c r="T144" s="7">
        <v>0.22800000000000001</v>
      </c>
      <c r="U144" s="6">
        <v>2.9</v>
      </c>
      <c r="V144" s="7">
        <v>0.23</v>
      </c>
      <c r="W144" s="6">
        <v>3.9E-2</v>
      </c>
      <c r="X144" s="7">
        <v>1.9E-2</v>
      </c>
      <c r="Y144" s="7">
        <v>2.5000000000000001E-3</v>
      </c>
      <c r="Z144" s="12"/>
      <c r="AA144" s="13"/>
      <c r="AB144" s="7"/>
      <c r="AC144" s="6"/>
      <c r="AD144" s="12"/>
      <c r="AE144" s="7">
        <v>0.43099999999999999</v>
      </c>
      <c r="AF144" s="21">
        <v>1E-4</v>
      </c>
      <c r="AG144" s="7">
        <v>0.45</v>
      </c>
      <c r="AH144" s="7">
        <v>0.55000000000000004</v>
      </c>
      <c r="AI144" s="5"/>
    </row>
    <row r="145" spans="1:36" ht="14">
      <c r="A145" s="74" t="s">
        <v>279</v>
      </c>
      <c r="B145" s="7" t="s">
        <v>3643</v>
      </c>
      <c r="C145" s="7"/>
      <c r="D145" s="14" t="s">
        <v>1135</v>
      </c>
      <c r="E145" s="7" t="s">
        <v>3645</v>
      </c>
      <c r="F145" s="7"/>
      <c r="G145" s="15" t="s">
        <v>3937</v>
      </c>
      <c r="H145" s="7">
        <v>5015</v>
      </c>
      <c r="I145" s="19" t="s">
        <v>2</v>
      </c>
      <c r="J145" s="7" t="s">
        <v>4190</v>
      </c>
      <c r="K145" s="16">
        <v>41428</v>
      </c>
      <c r="L145" s="17">
        <v>41423</v>
      </c>
      <c r="M145" s="7"/>
      <c r="N145" s="7" t="s">
        <v>2</v>
      </c>
      <c r="O145" s="6"/>
      <c r="P145" s="7"/>
      <c r="Q145" s="6"/>
      <c r="R145" s="7"/>
      <c r="S145" s="6"/>
      <c r="T145" s="7"/>
      <c r="U145" s="6"/>
      <c r="V145" s="7"/>
      <c r="W145" s="6"/>
      <c r="X145" s="7"/>
      <c r="Y145" s="7"/>
      <c r="Z145" s="12"/>
      <c r="AA145" s="13"/>
      <c r="AB145" s="7"/>
      <c r="AC145" s="6"/>
      <c r="AD145" s="12"/>
      <c r="AE145" s="7">
        <v>3.91</v>
      </c>
      <c r="AF145" s="21">
        <v>1E-4</v>
      </c>
      <c r="AG145" s="7">
        <v>2.66</v>
      </c>
      <c r="AH145" s="7"/>
      <c r="AI145" s="5"/>
    </row>
    <row r="146" spans="1:36" ht="14">
      <c r="A146" s="74" t="s">
        <v>279</v>
      </c>
      <c r="B146" s="7" t="s">
        <v>3643</v>
      </c>
      <c r="C146" s="7"/>
      <c r="D146" s="14" t="s">
        <v>1135</v>
      </c>
      <c r="E146" s="7" t="s">
        <v>3645</v>
      </c>
      <c r="F146" s="7"/>
      <c r="G146" s="15" t="s">
        <v>3937</v>
      </c>
      <c r="H146" s="7">
        <v>5015</v>
      </c>
      <c r="I146" s="19" t="s">
        <v>2</v>
      </c>
      <c r="J146" s="7" t="s">
        <v>3938</v>
      </c>
      <c r="K146" s="16">
        <v>41428</v>
      </c>
      <c r="L146" s="17">
        <v>41423</v>
      </c>
      <c r="M146" s="7"/>
      <c r="N146" s="7" t="s">
        <v>2</v>
      </c>
      <c r="O146" s="6"/>
      <c r="P146" s="7"/>
      <c r="Q146" s="6"/>
      <c r="R146" s="7"/>
      <c r="S146" s="6"/>
      <c r="T146" s="7"/>
      <c r="U146" s="6"/>
      <c r="V146" s="7"/>
      <c r="W146" s="6"/>
      <c r="X146" s="7"/>
      <c r="Y146" s="7"/>
      <c r="Z146" s="12"/>
      <c r="AA146" s="13"/>
      <c r="AB146" s="7"/>
      <c r="AC146" s="6"/>
      <c r="AD146" s="12"/>
      <c r="AE146" s="7">
        <v>5.75</v>
      </c>
      <c r="AF146" s="21">
        <v>1E-4</v>
      </c>
      <c r="AG146" s="7">
        <v>5.49</v>
      </c>
      <c r="AH146" s="7"/>
      <c r="AI146" s="5"/>
    </row>
    <row r="147" spans="1:36" ht="14">
      <c r="A147" s="74" t="s">
        <v>279</v>
      </c>
      <c r="B147" s="7" t="s">
        <v>3643</v>
      </c>
      <c r="C147" s="7"/>
      <c r="D147" s="14" t="s">
        <v>1135</v>
      </c>
      <c r="E147" s="7" t="s">
        <v>3645</v>
      </c>
      <c r="F147" s="7"/>
      <c r="G147" s="15" t="s">
        <v>3646</v>
      </c>
      <c r="H147" s="7">
        <v>5015</v>
      </c>
      <c r="I147" s="19" t="s">
        <v>2</v>
      </c>
      <c r="J147" s="7" t="s">
        <v>3648</v>
      </c>
      <c r="K147" s="16">
        <v>41428</v>
      </c>
      <c r="L147" s="17">
        <v>41423</v>
      </c>
      <c r="M147" s="7"/>
      <c r="N147" s="7" t="s">
        <v>2</v>
      </c>
      <c r="O147" s="6"/>
      <c r="P147" s="7"/>
      <c r="Q147" s="6"/>
      <c r="R147" s="7"/>
      <c r="S147" s="6"/>
      <c r="T147" s="7"/>
      <c r="U147" s="6"/>
      <c r="V147" s="7"/>
      <c r="W147" s="6"/>
      <c r="X147" s="7"/>
      <c r="Y147" s="7"/>
      <c r="Z147" s="12"/>
      <c r="AA147" s="13"/>
      <c r="AB147" s="7"/>
      <c r="AC147" s="6"/>
      <c r="AD147" s="12"/>
      <c r="AE147" s="7">
        <v>11.9</v>
      </c>
      <c r="AF147" s="21">
        <v>1E-4</v>
      </c>
      <c r="AG147" s="7">
        <v>8.08</v>
      </c>
      <c r="AH147" s="7"/>
      <c r="AI147" s="5"/>
    </row>
    <row r="148" spans="1:36" ht="14">
      <c r="A148" s="74" t="s">
        <v>279</v>
      </c>
      <c r="B148" s="7" t="s">
        <v>3643</v>
      </c>
      <c r="C148" s="7"/>
      <c r="D148" s="14" t="s">
        <v>1135</v>
      </c>
      <c r="E148" s="7" t="s">
        <v>3645</v>
      </c>
      <c r="F148" s="7"/>
      <c r="G148" s="15" t="s">
        <v>3646</v>
      </c>
      <c r="H148" s="7">
        <v>5015</v>
      </c>
      <c r="I148" s="19" t="s">
        <v>2</v>
      </c>
      <c r="J148" s="7" t="s">
        <v>4191</v>
      </c>
      <c r="K148" s="16">
        <v>41428</v>
      </c>
      <c r="L148" s="17">
        <v>41423</v>
      </c>
      <c r="M148" s="7"/>
      <c r="N148" s="7" t="s">
        <v>2</v>
      </c>
      <c r="O148" s="6"/>
      <c r="P148" s="7"/>
      <c r="Q148" s="6"/>
      <c r="R148" s="7"/>
      <c r="S148" s="6"/>
      <c r="T148" s="7"/>
      <c r="U148" s="6"/>
      <c r="V148" s="7"/>
      <c r="W148" s="6"/>
      <c r="X148" s="7"/>
      <c r="Y148" s="7"/>
      <c r="Z148" s="12"/>
      <c r="AA148" s="13"/>
      <c r="AB148" s="7"/>
      <c r="AC148" s="6"/>
      <c r="AD148" s="12"/>
      <c r="AE148" s="7">
        <v>16</v>
      </c>
      <c r="AF148" s="21">
        <v>1E-4</v>
      </c>
      <c r="AG148" s="7">
        <v>9.7899999999999991</v>
      </c>
      <c r="AH148" s="7"/>
      <c r="AI148" s="5"/>
    </row>
    <row r="149" spans="1:36" ht="14">
      <c r="A149" s="74" t="s">
        <v>279</v>
      </c>
      <c r="B149" s="7" t="s">
        <v>1152</v>
      </c>
      <c r="C149" s="7" t="s">
        <v>1152</v>
      </c>
      <c r="D149" s="14" t="s">
        <v>379</v>
      </c>
      <c r="E149" s="7" t="s">
        <v>1151</v>
      </c>
      <c r="F149" s="7"/>
      <c r="G149" s="15" t="s">
        <v>1154</v>
      </c>
      <c r="H149" s="7">
        <v>5015</v>
      </c>
      <c r="I149" s="19" t="s">
        <v>1</v>
      </c>
      <c r="J149" s="7" t="s">
        <v>271</v>
      </c>
      <c r="K149" s="16">
        <v>41428</v>
      </c>
      <c r="L149" s="17">
        <v>41419</v>
      </c>
      <c r="M149" s="7"/>
      <c r="N149" s="7" t="s">
        <v>2</v>
      </c>
      <c r="O149" s="6">
        <v>4.8</v>
      </c>
      <c r="P149" s="7">
        <v>6.43</v>
      </c>
      <c r="Q149" s="6">
        <v>7.19</v>
      </c>
      <c r="R149" s="7">
        <v>52.3</v>
      </c>
      <c r="S149" s="6">
        <v>1170</v>
      </c>
      <c r="T149" s="7">
        <v>0.68</v>
      </c>
      <c r="U149" s="6">
        <v>3.3</v>
      </c>
      <c r="V149" s="7">
        <v>0.22</v>
      </c>
      <c r="W149" s="6">
        <v>0.62</v>
      </c>
      <c r="X149" s="7">
        <v>4.47</v>
      </c>
      <c r="Y149" s="7">
        <v>1.84</v>
      </c>
      <c r="Z149" s="12">
        <v>1</v>
      </c>
      <c r="AA149" s="13">
        <v>1</v>
      </c>
      <c r="AB149" s="7">
        <v>116</v>
      </c>
      <c r="AC149" s="6">
        <v>81</v>
      </c>
      <c r="AD149" s="12">
        <v>0.95</v>
      </c>
      <c r="AE149" s="7">
        <v>97.2</v>
      </c>
      <c r="AF149" s="21"/>
      <c r="AG149" s="7">
        <v>59.4</v>
      </c>
      <c r="AH149" s="7">
        <v>2.5</v>
      </c>
      <c r="AI149" s="5">
        <v>325</v>
      </c>
    </row>
    <row r="150" spans="1:36" ht="14">
      <c r="A150" s="74" t="s">
        <v>279</v>
      </c>
      <c r="B150" s="7" t="s">
        <v>1138</v>
      </c>
      <c r="C150" s="7" t="s">
        <v>1138</v>
      </c>
      <c r="D150" s="14" t="s">
        <v>548</v>
      </c>
      <c r="E150" s="7" t="s">
        <v>1139</v>
      </c>
      <c r="F150" s="7"/>
      <c r="G150" s="15" t="s">
        <v>1140</v>
      </c>
      <c r="H150" s="7">
        <v>5015</v>
      </c>
      <c r="I150" s="19" t="s">
        <v>2</v>
      </c>
      <c r="J150" s="7" t="s">
        <v>271</v>
      </c>
      <c r="K150" s="16">
        <v>41427</v>
      </c>
      <c r="L150" s="17">
        <v>41419</v>
      </c>
      <c r="M150" s="7"/>
      <c r="N150" s="7" t="s">
        <v>1</v>
      </c>
      <c r="O150" s="6">
        <v>0.5</v>
      </c>
      <c r="P150" s="7">
        <v>6.05</v>
      </c>
      <c r="Q150" s="6">
        <v>6.7</v>
      </c>
      <c r="R150" s="7">
        <v>13.8</v>
      </c>
      <c r="S150" s="6">
        <v>10</v>
      </c>
      <c r="T150" s="7">
        <v>2.5000000000000001E-2</v>
      </c>
      <c r="U150" s="6">
        <v>1</v>
      </c>
      <c r="V150" s="7">
        <v>0.1</v>
      </c>
      <c r="W150" s="6">
        <v>0.02</v>
      </c>
      <c r="X150" s="7">
        <v>0.39</v>
      </c>
      <c r="Y150" s="7">
        <v>0.01</v>
      </c>
      <c r="Z150" s="12"/>
      <c r="AA150" s="13"/>
      <c r="AB150" s="7"/>
      <c r="AC150" s="6"/>
      <c r="AD150" s="12"/>
      <c r="AE150" s="7">
        <v>0.92</v>
      </c>
      <c r="AF150" s="21"/>
      <c r="AG150" s="7">
        <v>0.51</v>
      </c>
      <c r="AH150" s="7">
        <v>2.5</v>
      </c>
      <c r="AI150" s="5"/>
    </row>
    <row r="151" spans="1:36" ht="14">
      <c r="A151" s="74" t="s">
        <v>279</v>
      </c>
      <c r="B151" s="7" t="s">
        <v>1178</v>
      </c>
      <c r="C151" s="7" t="s">
        <v>1178</v>
      </c>
      <c r="D151" s="14" t="s">
        <v>262</v>
      </c>
      <c r="E151" s="7" t="s">
        <v>1179</v>
      </c>
      <c r="F151" s="7"/>
      <c r="G151" s="15" t="s">
        <v>1180</v>
      </c>
      <c r="H151" s="7">
        <v>5015</v>
      </c>
      <c r="I151" s="19" t="s">
        <v>1</v>
      </c>
      <c r="J151" s="7" t="s">
        <v>271</v>
      </c>
      <c r="K151" s="16">
        <v>41402</v>
      </c>
      <c r="L151" s="17">
        <v>41381</v>
      </c>
      <c r="M151" s="7"/>
      <c r="N151" s="7" t="s">
        <v>2</v>
      </c>
      <c r="O151" s="6"/>
      <c r="P151" s="7"/>
      <c r="Q151" s="6"/>
      <c r="R151" s="7"/>
      <c r="S151" s="6"/>
      <c r="T151" s="7"/>
      <c r="U151" s="6"/>
      <c r="V151" s="7"/>
      <c r="W151" s="6"/>
      <c r="X151" s="7"/>
      <c r="Y151" s="7"/>
      <c r="Z151" s="12"/>
      <c r="AA151" s="13"/>
      <c r="AB151" s="7"/>
      <c r="AC151" s="6"/>
      <c r="AD151" s="12"/>
      <c r="AE151" s="7">
        <v>0.752</v>
      </c>
      <c r="AF151" s="21">
        <v>1E-4</v>
      </c>
      <c r="AG151" s="7">
        <v>0.49199999999999999</v>
      </c>
      <c r="AH151" s="7"/>
      <c r="AI151" s="5"/>
    </row>
    <row r="152" spans="1:36" ht="14">
      <c r="A152" s="74" t="s">
        <v>279</v>
      </c>
      <c r="B152" s="7" t="s">
        <v>1178</v>
      </c>
      <c r="C152" s="7" t="s">
        <v>1178</v>
      </c>
      <c r="D152" s="14" t="s">
        <v>262</v>
      </c>
      <c r="E152" s="7" t="s">
        <v>1179</v>
      </c>
      <c r="F152" s="7"/>
      <c r="G152" s="15" t="s">
        <v>1180</v>
      </c>
      <c r="H152" s="7">
        <v>5015</v>
      </c>
      <c r="I152" s="19" t="s">
        <v>1</v>
      </c>
      <c r="J152" s="7" t="s">
        <v>271</v>
      </c>
      <c r="K152" s="16">
        <v>41432</v>
      </c>
      <c r="L152" s="17">
        <v>41428</v>
      </c>
      <c r="M152" s="7"/>
      <c r="N152" s="7" t="s">
        <v>2</v>
      </c>
      <c r="O152" s="6"/>
      <c r="P152" s="7"/>
      <c r="Q152" s="6"/>
      <c r="R152" s="7"/>
      <c r="S152" s="6"/>
      <c r="T152" s="7"/>
      <c r="U152" s="6"/>
      <c r="V152" s="7"/>
      <c r="W152" s="6"/>
      <c r="X152" s="7"/>
      <c r="Y152" s="7"/>
      <c r="Z152" s="12"/>
      <c r="AA152" s="13"/>
      <c r="AB152" s="7"/>
      <c r="AC152" s="6"/>
      <c r="AD152" s="12"/>
      <c r="AE152" s="7">
        <v>0.107</v>
      </c>
      <c r="AF152" s="21">
        <v>1E-4</v>
      </c>
      <c r="AG152" s="7">
        <v>0.114</v>
      </c>
      <c r="AH152" s="7"/>
      <c r="AI152" s="5"/>
    </row>
    <row r="153" spans="1:36" ht="14">
      <c r="A153" s="74" t="s">
        <v>279</v>
      </c>
      <c r="B153" s="7" t="s">
        <v>3792</v>
      </c>
      <c r="C153" s="7"/>
      <c r="D153" s="14" t="s">
        <v>1537</v>
      </c>
      <c r="E153" s="7"/>
      <c r="F153" s="7" t="s">
        <v>3653</v>
      </c>
      <c r="G153" s="15" t="s">
        <v>3654</v>
      </c>
      <c r="H153" s="7">
        <v>5093</v>
      </c>
      <c r="I153" s="19" t="s">
        <v>1</v>
      </c>
      <c r="J153" s="7" t="s">
        <v>3655</v>
      </c>
      <c r="K153" s="16">
        <v>41432</v>
      </c>
      <c r="L153" s="17">
        <v>41428</v>
      </c>
      <c r="M153" s="7"/>
      <c r="N153" s="7" t="s">
        <v>2</v>
      </c>
      <c r="O153" s="6"/>
      <c r="P153" s="7"/>
      <c r="Q153" s="6"/>
      <c r="R153" s="7"/>
      <c r="S153" s="6"/>
      <c r="T153" s="7"/>
      <c r="U153" s="6"/>
      <c r="V153" s="7"/>
      <c r="W153" s="6"/>
      <c r="X153" s="7"/>
      <c r="Y153" s="7"/>
      <c r="Z153" s="12"/>
      <c r="AA153" s="13"/>
      <c r="AB153" s="7"/>
      <c r="AC153" s="6"/>
      <c r="AD153" s="12"/>
      <c r="AE153" s="7">
        <v>1.4</v>
      </c>
      <c r="AF153" s="21">
        <v>2.0000000000000001E-4</v>
      </c>
      <c r="AG153" s="7">
        <v>0.62</v>
      </c>
      <c r="AH153" s="7"/>
      <c r="AI153" s="5"/>
    </row>
    <row r="154" spans="1:36" ht="14">
      <c r="A154" s="74" t="s">
        <v>279</v>
      </c>
      <c r="B154" s="7" t="s">
        <v>1171</v>
      </c>
      <c r="C154" s="7" t="s">
        <v>1171</v>
      </c>
      <c r="D154" s="14" t="s">
        <v>516</v>
      </c>
      <c r="E154" s="7" t="s">
        <v>4192</v>
      </c>
      <c r="F154" s="7"/>
      <c r="G154" s="15" t="s">
        <v>1173</v>
      </c>
      <c r="H154" s="7">
        <v>5015</v>
      </c>
      <c r="I154" s="19" t="s">
        <v>1</v>
      </c>
      <c r="J154" s="7" t="s">
        <v>271</v>
      </c>
      <c r="K154" s="16">
        <v>41466</v>
      </c>
      <c r="L154" s="17">
        <v>41452</v>
      </c>
      <c r="M154" s="7"/>
      <c r="N154" s="7" t="s">
        <v>2</v>
      </c>
      <c r="O154" s="6">
        <v>2.8</v>
      </c>
      <c r="P154" s="7">
        <v>4.8499999999999996</v>
      </c>
      <c r="Q154" s="6">
        <v>7.05</v>
      </c>
      <c r="R154" s="7">
        <v>98</v>
      </c>
      <c r="S154" s="6">
        <v>200</v>
      </c>
      <c r="T154" s="7">
        <v>0.35</v>
      </c>
      <c r="U154" s="6">
        <v>1.89</v>
      </c>
      <c r="V154" s="7">
        <v>1.48</v>
      </c>
      <c r="W154" s="6">
        <v>9.7000000000000003E-2</v>
      </c>
      <c r="X154" s="7">
        <v>0.25800000000000001</v>
      </c>
      <c r="Y154" s="7">
        <v>0.20200000000000001</v>
      </c>
      <c r="Z154" s="12"/>
      <c r="AA154" s="13"/>
      <c r="AB154" s="7"/>
      <c r="AC154" s="6"/>
      <c r="AD154" s="12"/>
      <c r="AE154" s="7">
        <v>15</v>
      </c>
      <c r="AF154" s="21"/>
      <c r="AG154" s="7">
        <v>8.5500000000000007</v>
      </c>
      <c r="AH154" s="7"/>
      <c r="AI154" s="5"/>
    </row>
    <row r="155" spans="1:36" ht="14">
      <c r="A155" s="74" t="s">
        <v>279</v>
      </c>
      <c r="B155" s="7" t="s">
        <v>1155</v>
      </c>
      <c r="C155" s="7" t="s">
        <v>1155</v>
      </c>
      <c r="D155" s="14" t="s">
        <v>350</v>
      </c>
      <c r="E155" s="7" t="s">
        <v>1156</v>
      </c>
      <c r="F155" s="7"/>
      <c r="G155" s="15" t="s">
        <v>1157</v>
      </c>
      <c r="H155" s="7">
        <v>5015</v>
      </c>
      <c r="I155" s="19" t="s">
        <v>1</v>
      </c>
      <c r="J155" s="7" t="s">
        <v>271</v>
      </c>
      <c r="K155" s="16">
        <v>41415</v>
      </c>
      <c r="L155" s="17">
        <v>41403</v>
      </c>
      <c r="M155" s="7"/>
      <c r="N155" s="7" t="s">
        <v>2</v>
      </c>
      <c r="O155" s="6">
        <v>0.7</v>
      </c>
      <c r="P155" s="7">
        <v>5.5</v>
      </c>
      <c r="Q155" s="6">
        <v>6.87</v>
      </c>
      <c r="R155" s="7">
        <v>75</v>
      </c>
      <c r="S155" s="6">
        <v>430</v>
      </c>
      <c r="T155" s="7">
        <v>0.94</v>
      </c>
      <c r="U155" s="6">
        <v>1.39</v>
      </c>
      <c r="V155" s="7">
        <v>0.66</v>
      </c>
      <c r="W155" s="6">
        <v>9.1999999999999998E-2</v>
      </c>
      <c r="X155" s="7">
        <v>0.39</v>
      </c>
      <c r="Y155" s="7">
        <v>0.496</v>
      </c>
      <c r="Z155" s="12"/>
      <c r="AA155" s="13"/>
      <c r="AB155" s="7"/>
      <c r="AC155" s="6"/>
      <c r="AD155" s="12"/>
      <c r="AE155" s="7">
        <v>25.2</v>
      </c>
      <c r="AF155" s="21"/>
      <c r="AG155" s="7">
        <v>19.100000000000001</v>
      </c>
      <c r="AH155" s="7">
        <v>0.15</v>
      </c>
      <c r="AI155" s="5"/>
    </row>
    <row r="156" spans="1:36" ht="14">
      <c r="A156" s="74" t="s">
        <v>279</v>
      </c>
      <c r="B156" s="7" t="s">
        <v>655</v>
      </c>
      <c r="C156" s="7" t="s">
        <v>655</v>
      </c>
      <c r="D156" s="14" t="s">
        <v>379</v>
      </c>
      <c r="E156" s="7"/>
      <c r="F156" s="7"/>
      <c r="G156" s="15" t="s">
        <v>656</v>
      </c>
      <c r="H156" s="7">
        <v>5015</v>
      </c>
      <c r="I156" s="19" t="s">
        <v>1</v>
      </c>
      <c r="J156" s="7" t="s">
        <v>271</v>
      </c>
      <c r="K156" s="16">
        <v>41464</v>
      </c>
      <c r="L156" s="17">
        <v>41456</v>
      </c>
      <c r="M156" s="50">
        <f>K156-L156</f>
        <v>8</v>
      </c>
      <c r="N156" s="7" t="s">
        <v>2</v>
      </c>
      <c r="O156" s="6"/>
      <c r="P156" s="7"/>
      <c r="Q156" s="6"/>
      <c r="R156" s="7"/>
      <c r="S156" s="6"/>
      <c r="T156" s="7"/>
      <c r="U156" s="6"/>
      <c r="V156" s="7"/>
      <c r="W156" s="6"/>
      <c r="X156" s="7"/>
      <c r="Y156" s="7"/>
      <c r="Z156" s="12"/>
      <c r="AA156" s="13"/>
      <c r="AB156" s="7"/>
      <c r="AC156" s="6"/>
      <c r="AD156" s="12"/>
      <c r="AE156" s="7">
        <v>2.8000000000000001E-2</v>
      </c>
      <c r="AF156" s="21"/>
      <c r="AG156" s="7">
        <v>0.05</v>
      </c>
      <c r="AH156" s="7"/>
      <c r="AI156" s="5"/>
    </row>
    <row r="157" spans="1:36" ht="14">
      <c r="A157" s="74" t="s">
        <v>279</v>
      </c>
      <c r="B157" s="7" t="s">
        <v>704</v>
      </c>
      <c r="C157" s="7" t="s">
        <v>704</v>
      </c>
      <c r="D157" s="14" t="s">
        <v>56</v>
      </c>
      <c r="E157" s="7" t="s">
        <v>705</v>
      </c>
      <c r="F157" s="7"/>
      <c r="G157" s="15" t="s">
        <v>706</v>
      </c>
      <c r="H157" s="7"/>
      <c r="I157" s="19" t="s">
        <v>2</v>
      </c>
      <c r="J157" s="7" t="s">
        <v>271</v>
      </c>
      <c r="K157" s="16">
        <v>41432</v>
      </c>
      <c r="L157" s="17">
        <v>41428</v>
      </c>
      <c r="M157" s="7"/>
      <c r="N157" s="7" t="s">
        <v>2</v>
      </c>
      <c r="O157" s="6">
        <v>1</v>
      </c>
      <c r="P157" s="7">
        <v>6.3</v>
      </c>
      <c r="Q157" s="6">
        <v>7.7</v>
      </c>
      <c r="R157" s="7">
        <v>5</v>
      </c>
      <c r="S157" s="6">
        <v>10</v>
      </c>
      <c r="T157" s="7">
        <v>0.05</v>
      </c>
      <c r="U157" s="6">
        <v>0.45</v>
      </c>
      <c r="V157" s="7">
        <v>0.16</v>
      </c>
      <c r="W157" s="6">
        <v>0.02</v>
      </c>
      <c r="X157" s="7">
        <v>4.4999999999999998E-2</v>
      </c>
      <c r="Y157" s="7">
        <v>1.4999999999999999E-2</v>
      </c>
      <c r="Z157" s="12"/>
      <c r="AA157" s="13"/>
      <c r="AB157" s="7"/>
      <c r="AC157" s="6"/>
      <c r="AD157" s="12"/>
      <c r="AE157" s="7"/>
      <c r="AF157" s="21"/>
      <c r="AG157" s="7"/>
      <c r="AH157" s="7">
        <v>50</v>
      </c>
      <c r="AI157" s="5"/>
    </row>
    <row r="158" spans="1:36" ht="14">
      <c r="A158" s="25" t="s">
        <v>6626</v>
      </c>
      <c r="B158" s="7" t="s">
        <v>4174</v>
      </c>
      <c r="C158" s="7" t="s">
        <v>4174</v>
      </c>
      <c r="D158" s="14" t="s">
        <v>861</v>
      </c>
      <c r="E158" s="7" t="s">
        <v>4175</v>
      </c>
      <c r="F158" s="7"/>
      <c r="G158" s="15" t="s">
        <v>3134</v>
      </c>
      <c r="H158" s="7">
        <v>5015</v>
      </c>
      <c r="I158" s="19" t="s">
        <v>2</v>
      </c>
      <c r="J158" s="7" t="s">
        <v>3135</v>
      </c>
      <c r="K158" s="16">
        <v>41428</v>
      </c>
      <c r="L158" s="17">
        <v>41421</v>
      </c>
      <c r="M158" s="7"/>
      <c r="N158" s="7" t="s">
        <v>2</v>
      </c>
      <c r="O158" s="6">
        <v>0.7</v>
      </c>
      <c r="P158" s="9">
        <v>7.12</v>
      </c>
      <c r="Q158" s="8">
        <v>7.15</v>
      </c>
      <c r="R158" s="7">
        <v>53</v>
      </c>
      <c r="S158" s="6">
        <v>69</v>
      </c>
      <c r="T158" s="7">
        <v>0.22</v>
      </c>
      <c r="U158" s="6">
        <v>1.1499999999999999</v>
      </c>
      <c r="V158" s="7">
        <v>0.12</v>
      </c>
      <c r="W158" s="11">
        <v>3.5000000000000003E-2</v>
      </c>
      <c r="X158" s="10">
        <v>7.1999999999999995E-2</v>
      </c>
      <c r="Y158" s="10">
        <v>3.2000000000000001E-2</v>
      </c>
      <c r="Z158" s="12"/>
      <c r="AA158" s="13"/>
      <c r="AB158" s="7"/>
      <c r="AC158" s="6"/>
      <c r="AD158" s="12"/>
      <c r="AE158" s="7">
        <v>6.57</v>
      </c>
      <c r="AF158" s="21">
        <v>1E-4</v>
      </c>
      <c r="AG158" s="7">
        <v>4.82</v>
      </c>
      <c r="AH158" s="7">
        <v>2.0099999999999998</v>
      </c>
      <c r="AI158" s="7"/>
      <c r="AJ158"/>
    </row>
    <row r="159" spans="1:36" ht="14">
      <c r="A159" s="74" t="s">
        <v>4282</v>
      </c>
      <c r="B159" s="50" t="s">
        <v>1178</v>
      </c>
      <c r="C159" s="50" t="s">
        <v>1178</v>
      </c>
      <c r="D159" s="48" t="s">
        <v>262</v>
      </c>
      <c r="E159" s="50" t="s">
        <v>1179</v>
      </c>
      <c r="G159" s="76" t="s">
        <v>1180</v>
      </c>
      <c r="H159" s="50">
        <v>5015</v>
      </c>
      <c r="I159" s="49" t="s">
        <v>1</v>
      </c>
      <c r="J159" s="50" t="s">
        <v>271</v>
      </c>
      <c r="K159" s="51">
        <v>41305</v>
      </c>
      <c r="L159" s="115">
        <v>41302</v>
      </c>
      <c r="N159" s="50" t="s">
        <v>2</v>
      </c>
      <c r="O159" s="74">
        <v>3.7</v>
      </c>
      <c r="P159" s="50">
        <v>5.3</v>
      </c>
      <c r="Q159" s="74">
        <v>5.77</v>
      </c>
      <c r="R159" s="50">
        <v>86.1</v>
      </c>
      <c r="S159" s="74">
        <f>5/2</f>
        <v>2.5</v>
      </c>
      <c r="T159" s="50">
        <v>7.0000000000000007E-2</v>
      </c>
      <c r="U159" s="74">
        <v>1.4</v>
      </c>
      <c r="V159" s="50">
        <v>0.15</v>
      </c>
      <c r="W159" s="74">
        <v>8.6999999999999994E-3</v>
      </c>
      <c r="X159" s="50">
        <v>3.0200000000000001E-2</v>
      </c>
      <c r="Y159" s="50">
        <f>0.0075/2</f>
        <v>3.7499999999999999E-3</v>
      </c>
      <c r="Z159" s="164">
        <v>0.84899999999999998</v>
      </c>
      <c r="AA159" s="165">
        <v>0.79</v>
      </c>
      <c r="AB159" s="50">
        <v>14</v>
      </c>
      <c r="AC159" s="74">
        <v>102</v>
      </c>
      <c r="AD159" s="164">
        <v>0.25</v>
      </c>
      <c r="AE159" s="50">
        <v>5.0999999999999997E-2</v>
      </c>
      <c r="AF159" s="273">
        <f>0.002/2</f>
        <v>1E-3</v>
      </c>
      <c r="AG159" s="50">
        <v>4.0500000000000001E-2</v>
      </c>
      <c r="AH159" s="50">
        <f>11.4/2</f>
        <v>5.7</v>
      </c>
    </row>
    <row r="160" spans="1:36" ht="14">
      <c r="A160" s="25" t="s">
        <v>4282</v>
      </c>
      <c r="B160" s="7" t="s">
        <v>1178</v>
      </c>
      <c r="C160" s="7" t="s">
        <v>1178</v>
      </c>
      <c r="D160" s="14" t="s">
        <v>262</v>
      </c>
      <c r="E160" s="7" t="s">
        <v>1179</v>
      </c>
      <c r="F160" s="7"/>
      <c r="G160" s="15" t="s">
        <v>1180</v>
      </c>
      <c r="H160" s="7">
        <v>5015</v>
      </c>
      <c r="I160" s="19" t="s">
        <v>1</v>
      </c>
      <c r="J160" s="7" t="s">
        <v>271</v>
      </c>
      <c r="K160" s="51">
        <v>41487</v>
      </c>
      <c r="L160" s="115">
        <v>41480</v>
      </c>
      <c r="N160" s="50" t="s">
        <v>2</v>
      </c>
      <c r="O160" s="74">
        <v>4.2</v>
      </c>
      <c r="P160" s="50">
        <v>5.3</v>
      </c>
      <c r="Q160" s="74">
        <v>6.01</v>
      </c>
      <c r="R160" s="50">
        <v>42.6</v>
      </c>
      <c r="S160" s="74">
        <v>9</v>
      </c>
      <c r="T160" s="50">
        <v>6.2300000000000001E-2</v>
      </c>
      <c r="U160" s="74">
        <v>0.77</v>
      </c>
      <c r="V160" s="50">
        <v>0.22600000000000001</v>
      </c>
      <c r="W160" s="74">
        <v>1.1599999999999999E-2</v>
      </c>
      <c r="X160" s="50">
        <v>7.2900000000000006E-2</v>
      </c>
      <c r="Y160" s="50">
        <f>0.015/2</f>
        <v>7.4999999999999997E-3</v>
      </c>
      <c r="AF160" s="273"/>
      <c r="AH160" s="50">
        <f>5/2</f>
        <v>2.5</v>
      </c>
    </row>
    <row r="161" spans="1:35" ht="14">
      <c r="A161" s="74" t="s">
        <v>279</v>
      </c>
      <c r="B161" s="50" t="s">
        <v>1155</v>
      </c>
      <c r="C161" s="50" t="s">
        <v>1155</v>
      </c>
      <c r="D161" s="48" t="s">
        <v>350</v>
      </c>
      <c r="E161" s="50" t="s">
        <v>1156</v>
      </c>
      <c r="G161" s="76" t="s">
        <v>1157</v>
      </c>
      <c r="H161" s="50">
        <v>5015</v>
      </c>
      <c r="I161" s="49" t="s">
        <v>1</v>
      </c>
      <c r="J161" s="50" t="s">
        <v>271</v>
      </c>
      <c r="K161" s="51">
        <v>41496</v>
      </c>
      <c r="L161" s="115">
        <v>41489</v>
      </c>
      <c r="N161" s="50" t="s">
        <v>2</v>
      </c>
      <c r="AE161" s="50">
        <v>2.38</v>
      </c>
      <c r="AF161" s="273"/>
      <c r="AG161" s="50">
        <v>1.93</v>
      </c>
    </row>
    <row r="162" spans="1:35" ht="14">
      <c r="A162" s="404" t="s">
        <v>279</v>
      </c>
      <c r="B162" s="50" t="s">
        <v>486</v>
      </c>
      <c r="C162" s="50" t="s">
        <v>486</v>
      </c>
      <c r="D162" s="48" t="s">
        <v>372</v>
      </c>
      <c r="E162" s="50" t="s">
        <v>487</v>
      </c>
      <c r="G162" s="76" t="s">
        <v>488</v>
      </c>
      <c r="H162" s="50">
        <v>5015</v>
      </c>
      <c r="I162" s="49" t="s">
        <v>1</v>
      </c>
      <c r="J162" s="50" t="s">
        <v>271</v>
      </c>
      <c r="K162" s="51">
        <v>41495</v>
      </c>
      <c r="L162" s="115">
        <v>41481</v>
      </c>
      <c r="N162" s="50" t="s">
        <v>2</v>
      </c>
      <c r="AE162" s="50">
        <v>3.23</v>
      </c>
      <c r="AF162" s="273"/>
      <c r="AG162" s="50">
        <v>1.54</v>
      </c>
    </row>
    <row r="163" spans="1:35" ht="14">
      <c r="A163" s="404" t="s">
        <v>279</v>
      </c>
      <c r="B163" s="50" t="s">
        <v>1134</v>
      </c>
      <c r="C163" s="50" t="s">
        <v>1134</v>
      </c>
      <c r="D163" s="48" t="s">
        <v>1135</v>
      </c>
      <c r="E163" s="50" t="s">
        <v>487</v>
      </c>
      <c r="G163" s="76" t="s">
        <v>1136</v>
      </c>
      <c r="H163" s="50">
        <v>5015</v>
      </c>
      <c r="I163" s="49" t="s">
        <v>1</v>
      </c>
      <c r="J163" s="50" t="s">
        <v>271</v>
      </c>
      <c r="K163" s="51">
        <v>41499</v>
      </c>
      <c r="L163" s="115">
        <v>41495</v>
      </c>
      <c r="N163" s="50" t="s">
        <v>2</v>
      </c>
      <c r="AE163" s="50">
        <v>5.55</v>
      </c>
      <c r="AF163" s="273"/>
      <c r="AG163" s="50">
        <v>2.5099999999999998</v>
      </c>
    </row>
    <row r="164" spans="1:35" ht="14">
      <c r="A164" s="404" t="s">
        <v>279</v>
      </c>
      <c r="B164" s="50" t="s">
        <v>4808</v>
      </c>
      <c r="C164" s="50" t="s">
        <v>4808</v>
      </c>
      <c r="D164" s="48" t="s">
        <v>257</v>
      </c>
      <c r="E164" s="50" t="s">
        <v>3649</v>
      </c>
      <c r="G164" s="76" t="s">
        <v>2480</v>
      </c>
      <c r="H164" s="50">
        <v>5015</v>
      </c>
      <c r="I164" s="49" t="s">
        <v>1</v>
      </c>
      <c r="J164" s="50" t="s">
        <v>271</v>
      </c>
      <c r="K164" s="51">
        <v>41458</v>
      </c>
      <c r="L164" s="115">
        <v>41453</v>
      </c>
      <c r="N164" s="50" t="s">
        <v>2</v>
      </c>
      <c r="AE164" s="50">
        <v>0.05</v>
      </c>
      <c r="AF164" s="273">
        <f>0.0004/2</f>
        <v>2.0000000000000001E-4</v>
      </c>
      <c r="AG164" s="50">
        <f>0.1/2</f>
        <v>0.05</v>
      </c>
    </row>
    <row r="165" spans="1:35" ht="14">
      <c r="A165" s="404" t="s">
        <v>279</v>
      </c>
      <c r="B165" s="50" t="s">
        <v>4809</v>
      </c>
      <c r="C165" s="50" t="s">
        <v>4809</v>
      </c>
      <c r="D165" s="48" t="s">
        <v>347</v>
      </c>
      <c r="E165" s="50" t="s">
        <v>4810</v>
      </c>
      <c r="G165" s="76" t="s">
        <v>1168</v>
      </c>
      <c r="H165" s="50">
        <v>5015</v>
      </c>
      <c r="I165" s="49" t="s">
        <v>1</v>
      </c>
      <c r="J165" s="50" t="s">
        <v>4811</v>
      </c>
      <c r="K165" s="51">
        <v>41453</v>
      </c>
      <c r="L165" s="115">
        <v>41449</v>
      </c>
      <c r="M165" s="50">
        <f>K165-L165</f>
        <v>4</v>
      </c>
      <c r="N165" s="50" t="s">
        <v>2</v>
      </c>
      <c r="O165" s="74">
        <f>2/2</f>
        <v>1</v>
      </c>
      <c r="P165" s="50">
        <v>7</v>
      </c>
      <c r="Q165" s="74">
        <v>7.8</v>
      </c>
      <c r="R165" s="50">
        <v>13</v>
      </c>
      <c r="S165" s="74">
        <v>6</v>
      </c>
      <c r="T165" s="50">
        <f>0.05/2</f>
        <v>2.5000000000000001E-2</v>
      </c>
      <c r="U165" s="74">
        <v>0.41</v>
      </c>
      <c r="V165" s="50">
        <v>0.21</v>
      </c>
      <c r="W165" s="74">
        <f>0.01/2</f>
        <v>5.0000000000000001E-3</v>
      </c>
      <c r="X165" s="50">
        <f>0.03/2</f>
        <v>1.4999999999999999E-2</v>
      </c>
      <c r="Y165" s="50">
        <f>0.03/2</f>
        <v>1.4999999999999999E-2</v>
      </c>
      <c r="AE165" s="50">
        <v>0.74</v>
      </c>
      <c r="AF165" s="273"/>
      <c r="AG165" s="50">
        <v>0.57999999999999996</v>
      </c>
      <c r="AH165" s="50">
        <f>100/2</f>
        <v>50</v>
      </c>
    </row>
    <row r="166" spans="1:35" ht="14">
      <c r="A166" s="404" t="s">
        <v>279</v>
      </c>
      <c r="B166" s="50" t="s">
        <v>905</v>
      </c>
      <c r="C166" s="50" t="s">
        <v>905</v>
      </c>
      <c r="D166" s="48" t="s">
        <v>372</v>
      </c>
      <c r="E166" s="50" t="s">
        <v>906</v>
      </c>
      <c r="G166" s="76" t="s">
        <v>907</v>
      </c>
      <c r="H166" s="50">
        <v>5015</v>
      </c>
      <c r="I166" s="49" t="s">
        <v>2</v>
      </c>
      <c r="J166" s="50" t="s">
        <v>271</v>
      </c>
      <c r="K166" s="51">
        <v>41495</v>
      </c>
      <c r="L166" s="115">
        <v>41487</v>
      </c>
      <c r="N166" s="50" t="s">
        <v>2</v>
      </c>
      <c r="AE166" s="50">
        <v>2.06</v>
      </c>
      <c r="AF166" s="273"/>
      <c r="AG166" s="50">
        <v>0.93</v>
      </c>
    </row>
    <row r="167" spans="1:35" ht="14">
      <c r="A167" s="404" t="s">
        <v>279</v>
      </c>
      <c r="B167" s="50" t="s">
        <v>1174</v>
      </c>
      <c r="C167" s="50" t="s">
        <v>1174</v>
      </c>
      <c r="D167" s="48" t="s">
        <v>516</v>
      </c>
      <c r="E167" s="50" t="s">
        <v>1176</v>
      </c>
      <c r="G167" s="76" t="s">
        <v>1177</v>
      </c>
      <c r="H167" s="50">
        <v>5015</v>
      </c>
      <c r="I167" s="49" t="s">
        <v>1</v>
      </c>
      <c r="J167" s="50" t="s">
        <v>271</v>
      </c>
      <c r="K167" s="51">
        <v>41466</v>
      </c>
      <c r="L167" s="115">
        <v>41462</v>
      </c>
      <c r="N167" s="50" t="s">
        <v>2</v>
      </c>
      <c r="AE167" s="50">
        <v>19.3</v>
      </c>
      <c r="AF167" s="273"/>
      <c r="AG167" s="50">
        <v>10</v>
      </c>
    </row>
    <row r="168" spans="1:35" ht="14">
      <c r="A168" s="404" t="s">
        <v>279</v>
      </c>
      <c r="B168" s="50" t="s">
        <v>4812</v>
      </c>
      <c r="C168" s="50" t="s">
        <v>4812</v>
      </c>
      <c r="D168" s="48" t="s">
        <v>2848</v>
      </c>
      <c r="F168" s="50" t="s">
        <v>4813</v>
      </c>
      <c r="G168" s="76" t="s">
        <v>4814</v>
      </c>
      <c r="H168" s="50">
        <v>5015</v>
      </c>
      <c r="I168" s="49" t="s">
        <v>2</v>
      </c>
      <c r="J168" s="50" t="s">
        <v>5126</v>
      </c>
      <c r="K168" s="51">
        <v>41457</v>
      </c>
      <c r="L168" s="115">
        <v>41455</v>
      </c>
      <c r="N168" s="50" t="s">
        <v>2</v>
      </c>
      <c r="AE168" s="50">
        <v>0.18</v>
      </c>
      <c r="AF168" s="273">
        <f>0.0004/2</f>
        <v>2.0000000000000001E-4</v>
      </c>
      <c r="AG168" s="50">
        <f>0.1/2</f>
        <v>0.05</v>
      </c>
      <c r="AH168" s="50">
        <f>100/2</f>
        <v>50</v>
      </c>
    </row>
    <row r="169" spans="1:35" ht="14">
      <c r="A169" s="404" t="s">
        <v>279</v>
      </c>
      <c r="B169" s="50" t="s">
        <v>4812</v>
      </c>
      <c r="C169" s="50" t="s">
        <v>4812</v>
      </c>
      <c r="D169" s="48" t="s">
        <v>2848</v>
      </c>
      <c r="F169" s="50" t="s">
        <v>4813</v>
      </c>
      <c r="G169" s="76" t="s">
        <v>4814</v>
      </c>
      <c r="H169" s="50">
        <v>5015</v>
      </c>
      <c r="I169" s="49" t="s">
        <v>2</v>
      </c>
      <c r="J169" s="50" t="s">
        <v>4840</v>
      </c>
      <c r="K169" s="51">
        <v>41407</v>
      </c>
      <c r="L169" s="115">
        <v>41404</v>
      </c>
      <c r="N169" s="50" t="s">
        <v>2</v>
      </c>
      <c r="O169" s="74">
        <f>5/2</f>
        <v>2.5</v>
      </c>
      <c r="P169" s="50">
        <v>5.9</v>
      </c>
      <c r="Q169" s="74">
        <v>6.53</v>
      </c>
      <c r="R169" s="50">
        <v>38</v>
      </c>
      <c r="S169" s="74">
        <v>9</v>
      </c>
      <c r="T169" s="50">
        <v>0.12</v>
      </c>
      <c r="U169" s="74">
        <f>1/2</f>
        <v>0.5</v>
      </c>
      <c r="V169" s="50">
        <f>0.1/2</f>
        <v>0.05</v>
      </c>
      <c r="W169" s="74">
        <f>0.04/2</f>
        <v>0.02</v>
      </c>
      <c r="X169" s="50">
        <v>5.8999999999999997E-2</v>
      </c>
      <c r="Y169" s="50">
        <f>0.013/2</f>
        <v>6.4999999999999997E-3</v>
      </c>
      <c r="Z169" s="164">
        <v>1</v>
      </c>
      <c r="AA169" s="165">
        <v>1</v>
      </c>
      <c r="AB169" s="50">
        <v>25</v>
      </c>
      <c r="AC169" s="74">
        <v>140</v>
      </c>
      <c r="AD169" s="164">
        <v>0.9</v>
      </c>
      <c r="AE169" s="50">
        <f>0.1/2</f>
        <v>0.05</v>
      </c>
      <c r="AF169" s="273">
        <f>0.0014/2</f>
        <v>6.9999999999999999E-4</v>
      </c>
      <c r="AG169" s="50">
        <f>0.1/2</f>
        <v>0.05</v>
      </c>
      <c r="AH169" s="50">
        <f>100/2</f>
        <v>50</v>
      </c>
    </row>
    <row r="170" spans="1:35" ht="14">
      <c r="A170" s="404" t="s">
        <v>279</v>
      </c>
      <c r="B170" s="50" t="s">
        <v>4812</v>
      </c>
      <c r="C170" s="50" t="s">
        <v>4812</v>
      </c>
      <c r="D170" s="48" t="s">
        <v>2848</v>
      </c>
      <c r="F170" s="50" t="s">
        <v>4813</v>
      </c>
      <c r="G170" s="76" t="s">
        <v>4814</v>
      </c>
      <c r="H170" s="77">
        <v>5015</v>
      </c>
      <c r="I170" s="49" t="s">
        <v>2</v>
      </c>
      <c r="J170" s="50" t="s">
        <v>4841</v>
      </c>
      <c r="K170" s="51">
        <v>41407</v>
      </c>
      <c r="L170" s="115">
        <v>41404</v>
      </c>
      <c r="N170" s="50" t="s">
        <v>2</v>
      </c>
      <c r="O170" s="74">
        <f>5/2</f>
        <v>2.5</v>
      </c>
      <c r="P170" s="50">
        <v>5.8</v>
      </c>
      <c r="Q170" s="74">
        <v>6.76</v>
      </c>
      <c r="R170" s="50">
        <v>23</v>
      </c>
      <c r="S170" s="74">
        <f>5/2</f>
        <v>2.5</v>
      </c>
      <c r="T170" s="50">
        <f>0.1/2</f>
        <v>0.05</v>
      </c>
      <c r="U170" s="74">
        <f>1/2</f>
        <v>0.5</v>
      </c>
      <c r="V170" s="50">
        <f>0.1/2</f>
        <v>0.05</v>
      </c>
      <c r="W170" s="74">
        <f>0.04/2</f>
        <v>0.02</v>
      </c>
      <c r="X170" s="50">
        <v>6.6000000000000003E-2</v>
      </c>
      <c r="Y170" s="50">
        <f>0.013/2</f>
        <v>6.4999999999999997E-3</v>
      </c>
      <c r="Z170" s="164">
        <v>1</v>
      </c>
      <c r="AA170" s="165">
        <v>1</v>
      </c>
      <c r="AB170" s="50">
        <v>29</v>
      </c>
      <c r="AC170" s="74">
        <v>153</v>
      </c>
      <c r="AD170" s="164">
        <v>1</v>
      </c>
      <c r="AE170" s="50">
        <f>0.1/2</f>
        <v>0.05</v>
      </c>
      <c r="AF170" s="273">
        <f>0.0014/2</f>
        <v>6.9999999999999999E-4</v>
      </c>
      <c r="AG170" s="50">
        <f>0.1/2</f>
        <v>0.05</v>
      </c>
      <c r="AH170" s="50">
        <f>100/2</f>
        <v>50</v>
      </c>
    </row>
    <row r="171" spans="1:35" ht="14">
      <c r="A171" s="74" t="s">
        <v>4282</v>
      </c>
      <c r="B171" s="50" t="s">
        <v>4812</v>
      </c>
      <c r="C171" s="50" t="s">
        <v>4812</v>
      </c>
      <c r="D171" s="48" t="s">
        <v>2848</v>
      </c>
      <c r="F171" s="50" t="s">
        <v>4813</v>
      </c>
      <c r="G171" s="76" t="s">
        <v>4814</v>
      </c>
      <c r="H171" s="77">
        <v>5015</v>
      </c>
      <c r="I171" s="49" t="s">
        <v>2</v>
      </c>
      <c r="J171" s="50" t="s">
        <v>4841</v>
      </c>
      <c r="K171" s="51">
        <v>41570</v>
      </c>
      <c r="L171" s="115">
        <v>41561</v>
      </c>
      <c r="N171" s="50" t="s">
        <v>2</v>
      </c>
      <c r="O171" s="74">
        <f>5/2</f>
        <v>2.5</v>
      </c>
      <c r="P171" s="50">
        <v>5.3</v>
      </c>
      <c r="Q171" s="74">
        <v>5.7</v>
      </c>
      <c r="R171" s="50">
        <v>7.9</v>
      </c>
      <c r="S171" s="74">
        <v>5</v>
      </c>
      <c r="T171" s="50">
        <f>0.05/2</f>
        <v>2.5000000000000001E-2</v>
      </c>
      <c r="U171" s="74">
        <f>0.1/2</f>
        <v>0.05</v>
      </c>
      <c r="V171" s="50">
        <v>6.2</v>
      </c>
      <c r="W171" s="74">
        <v>1.3</v>
      </c>
      <c r="X171" s="50">
        <v>1.3</v>
      </c>
      <c r="Y171" s="50">
        <f>0.013/2</f>
        <v>6.4999999999999997E-3</v>
      </c>
      <c r="Z171" s="164">
        <v>6.25E-2</v>
      </c>
      <c r="AA171" s="165">
        <v>6.25E-2</v>
      </c>
      <c r="AB171" s="50">
        <v>2.8</v>
      </c>
      <c r="AC171" s="74">
        <v>558</v>
      </c>
      <c r="AD171" s="164">
        <v>0</v>
      </c>
      <c r="AE171" s="50">
        <v>0.25</v>
      </c>
      <c r="AF171" s="273">
        <f>0.0002/2</f>
        <v>1E-4</v>
      </c>
      <c r="AG171" s="50">
        <v>0.36</v>
      </c>
    </row>
    <row r="172" spans="1:35" ht="14">
      <c r="A172" s="404" t="s">
        <v>279</v>
      </c>
      <c r="B172" s="50" t="s">
        <v>1134</v>
      </c>
      <c r="C172" s="50" t="s">
        <v>1134</v>
      </c>
      <c r="D172" s="48" t="s">
        <v>1135</v>
      </c>
      <c r="E172" s="50" t="s">
        <v>487</v>
      </c>
      <c r="G172" s="76" t="s">
        <v>1136</v>
      </c>
      <c r="H172" s="50">
        <v>5015</v>
      </c>
      <c r="I172" s="49" t="s">
        <v>1</v>
      </c>
      <c r="J172" s="50" t="s">
        <v>1134</v>
      </c>
      <c r="K172" s="51">
        <v>41566</v>
      </c>
      <c r="L172" s="115">
        <v>41562</v>
      </c>
      <c r="N172" s="50" t="s">
        <v>2</v>
      </c>
      <c r="O172" s="74">
        <f>1.6/2</f>
        <v>0.8</v>
      </c>
      <c r="P172" s="50">
        <v>7.1</v>
      </c>
      <c r="Q172" s="74">
        <v>7.28</v>
      </c>
      <c r="R172" s="50">
        <v>52</v>
      </c>
      <c r="S172" s="74">
        <v>32</v>
      </c>
      <c r="T172" s="50">
        <v>0.12</v>
      </c>
      <c r="U172" s="74">
        <v>0.8</v>
      </c>
      <c r="V172" s="50">
        <v>0.18</v>
      </c>
      <c r="W172" s="74">
        <v>4.2999999999999997E-2</v>
      </c>
      <c r="X172" s="50">
        <v>0.13400000000000001</v>
      </c>
      <c r="Y172" s="50">
        <v>8.8999999999999996E-2</v>
      </c>
      <c r="Z172" s="164">
        <v>1</v>
      </c>
      <c r="AA172" s="165">
        <v>1</v>
      </c>
      <c r="AB172" s="50">
        <v>14</v>
      </c>
      <c r="AC172" s="74">
        <v>75</v>
      </c>
      <c r="AD172" s="164">
        <v>1</v>
      </c>
      <c r="AE172" s="50">
        <v>3.1</v>
      </c>
      <c r="AF172" s="273"/>
      <c r="AG172" s="50">
        <v>1.52</v>
      </c>
      <c r="AH172" s="50">
        <v>0.26</v>
      </c>
    </row>
    <row r="173" spans="1:35" ht="14">
      <c r="A173" s="74" t="s">
        <v>279</v>
      </c>
      <c r="B173" s="50" t="s">
        <v>4174</v>
      </c>
      <c r="C173" s="50" t="s">
        <v>4174</v>
      </c>
      <c r="D173" s="48" t="s">
        <v>861</v>
      </c>
      <c r="E173" s="50" t="s">
        <v>4175</v>
      </c>
      <c r="G173" s="76" t="s">
        <v>3134</v>
      </c>
      <c r="H173" s="50">
        <v>5015</v>
      </c>
      <c r="I173" s="49" t="s">
        <v>2</v>
      </c>
      <c r="J173" s="50" t="s">
        <v>3135</v>
      </c>
      <c r="K173" s="51">
        <v>41529</v>
      </c>
      <c r="L173" s="115"/>
      <c r="N173" s="50" t="s">
        <v>2</v>
      </c>
      <c r="P173" s="50">
        <v>5.93</v>
      </c>
      <c r="AE173" s="50">
        <v>15.1</v>
      </c>
      <c r="AF173" s="273">
        <f>0.0002/2</f>
        <v>1E-4</v>
      </c>
      <c r="AG173" s="50">
        <v>9.59</v>
      </c>
    </row>
    <row r="174" spans="1:35" ht="14">
      <c r="A174" s="74" t="s">
        <v>279</v>
      </c>
      <c r="B174" s="50" t="s">
        <v>4174</v>
      </c>
      <c r="C174" s="50" t="s">
        <v>4174</v>
      </c>
      <c r="D174" s="48" t="s">
        <v>861</v>
      </c>
      <c r="E174" s="50" t="s">
        <v>4175</v>
      </c>
      <c r="G174" s="76" t="s">
        <v>3134</v>
      </c>
      <c r="H174" s="50">
        <v>5015</v>
      </c>
      <c r="I174" s="49" t="s">
        <v>2</v>
      </c>
      <c r="J174" s="50" t="s">
        <v>3135</v>
      </c>
      <c r="K174" s="51">
        <v>41596</v>
      </c>
      <c r="L174" s="115"/>
      <c r="N174" s="50" t="s">
        <v>2</v>
      </c>
      <c r="O174" s="74">
        <f>1.4/2</f>
        <v>0.7</v>
      </c>
      <c r="P174" s="50">
        <v>5.86</v>
      </c>
      <c r="Q174" s="74">
        <v>7.25</v>
      </c>
      <c r="R174" s="50">
        <f>10/2</f>
        <v>5</v>
      </c>
      <c r="S174" s="74">
        <v>7</v>
      </c>
      <c r="T174" s="50">
        <v>0.04</v>
      </c>
      <c r="U174" s="74">
        <v>0.36</v>
      </c>
      <c r="V174" s="50">
        <v>0.82</v>
      </c>
      <c r="W174" s="74">
        <f>0.005/2</f>
        <v>2.5000000000000001E-3</v>
      </c>
      <c r="X174" s="50">
        <v>8.0000000000000002E-3</v>
      </c>
      <c r="Y174" s="50">
        <f>0.002/2</f>
        <v>1E-3</v>
      </c>
      <c r="Z174" s="164">
        <v>1</v>
      </c>
      <c r="AA174" s="165">
        <v>1</v>
      </c>
      <c r="AB174" s="50">
        <v>66</v>
      </c>
      <c r="AC174" s="74">
        <v>276</v>
      </c>
      <c r="AD174" s="164">
        <v>0.95</v>
      </c>
      <c r="AE174" s="50">
        <v>0.26700000000000002</v>
      </c>
      <c r="AF174" s="273">
        <f>0.002/2</f>
        <v>1E-3</v>
      </c>
      <c r="AG174" s="50">
        <v>1.47</v>
      </c>
    </row>
    <row r="175" spans="1:35" ht="14">
      <c r="A175" s="74" t="s">
        <v>279</v>
      </c>
      <c r="B175" s="50" t="s">
        <v>1174</v>
      </c>
      <c r="C175" s="50" t="s">
        <v>1174</v>
      </c>
      <c r="D175" s="48" t="s">
        <v>516</v>
      </c>
      <c r="E175" s="50" t="s">
        <v>1176</v>
      </c>
      <c r="G175" s="76" t="s">
        <v>1177</v>
      </c>
      <c r="H175" s="50">
        <v>5015</v>
      </c>
      <c r="I175" s="49" t="s">
        <v>1</v>
      </c>
      <c r="J175" s="50" t="s">
        <v>271</v>
      </c>
      <c r="K175" s="51">
        <v>41585</v>
      </c>
      <c r="L175" s="115">
        <v>41581</v>
      </c>
      <c r="N175" s="50" t="s">
        <v>2</v>
      </c>
      <c r="S175" s="74">
        <v>2200</v>
      </c>
      <c r="T175" s="50">
        <v>0.87</v>
      </c>
      <c r="W175" s="74">
        <v>0.28999999999999998</v>
      </c>
      <c r="X175" s="50">
        <v>0.72399999999999998</v>
      </c>
      <c r="AE175" s="50">
        <v>108</v>
      </c>
      <c r="AF175" s="273"/>
      <c r="AG175" s="50">
        <v>71.400000000000006</v>
      </c>
      <c r="AI175" s="50">
        <f>10/2</f>
        <v>5</v>
      </c>
    </row>
    <row r="176" spans="1:35" ht="14">
      <c r="A176" s="74" t="s">
        <v>279</v>
      </c>
      <c r="B176" s="50" t="s">
        <v>3637</v>
      </c>
      <c r="C176" s="50" t="s">
        <v>3638</v>
      </c>
      <c r="D176" s="48" t="s">
        <v>234</v>
      </c>
      <c r="E176" s="50" t="s">
        <v>3639</v>
      </c>
      <c r="G176" s="76" t="s">
        <v>3640</v>
      </c>
      <c r="H176" s="50">
        <v>5015</v>
      </c>
      <c r="I176" s="49" t="s">
        <v>2</v>
      </c>
      <c r="J176" s="50" t="s">
        <v>271</v>
      </c>
      <c r="K176" s="51">
        <v>41565</v>
      </c>
      <c r="L176" s="115">
        <v>41553</v>
      </c>
      <c r="N176" s="50" t="s">
        <v>2</v>
      </c>
      <c r="O176" s="74">
        <f>1.9/2</f>
        <v>0.95</v>
      </c>
      <c r="P176" s="50">
        <v>5.6</v>
      </c>
      <c r="Q176" s="74">
        <v>7.3</v>
      </c>
      <c r="R176" s="50">
        <v>2300</v>
      </c>
      <c r="S176" s="74">
        <v>90</v>
      </c>
      <c r="T176" s="50">
        <v>0.17499999999999999</v>
      </c>
      <c r="U176" s="74">
        <v>1.9</v>
      </c>
      <c r="V176" s="50">
        <f>0.46/2</f>
        <v>0.23</v>
      </c>
      <c r="W176" s="74">
        <v>7.8E-2</v>
      </c>
      <c r="X176" s="50">
        <v>0.31900000000000001</v>
      </c>
      <c r="Y176" s="50">
        <v>9.5600000000000004E-2</v>
      </c>
      <c r="AE176" s="50">
        <v>7.42</v>
      </c>
      <c r="AF176" s="273">
        <f>0.0004/2</f>
        <v>2.0000000000000001E-4</v>
      </c>
      <c r="AG176" s="50">
        <v>3.64</v>
      </c>
      <c r="AH176" s="50">
        <f>1.1/2</f>
        <v>0.55000000000000004</v>
      </c>
    </row>
    <row r="177" spans="1:34" ht="14">
      <c r="A177" s="25" t="s">
        <v>4282</v>
      </c>
      <c r="B177" s="7" t="s">
        <v>1178</v>
      </c>
      <c r="C177" s="7" t="s">
        <v>1178</v>
      </c>
      <c r="D177" s="14" t="s">
        <v>262</v>
      </c>
      <c r="E177" s="7" t="s">
        <v>1179</v>
      </c>
      <c r="F177" s="7"/>
      <c r="G177" s="15" t="s">
        <v>1180</v>
      </c>
      <c r="H177" s="7">
        <v>5015</v>
      </c>
      <c r="I177" s="19" t="s">
        <v>1</v>
      </c>
      <c r="J177" s="7" t="s">
        <v>271</v>
      </c>
      <c r="K177" s="51">
        <v>41605</v>
      </c>
      <c r="L177" s="115">
        <v>41601</v>
      </c>
      <c r="N177" s="50" t="s">
        <v>2</v>
      </c>
      <c r="Y177" s="50">
        <v>7.0000000000000001E-3</v>
      </c>
      <c r="AF177" s="273"/>
    </row>
    <row r="178" spans="1:34" ht="14">
      <c r="A178" s="404" t="s">
        <v>279</v>
      </c>
      <c r="B178" s="50" t="s">
        <v>5210</v>
      </c>
      <c r="C178" s="50" t="s">
        <v>5211</v>
      </c>
      <c r="D178" s="48" t="s">
        <v>262</v>
      </c>
      <c r="E178" s="50" t="s">
        <v>5212</v>
      </c>
      <c r="G178" s="76" t="s">
        <v>5213</v>
      </c>
      <c r="I178" s="49" t="s">
        <v>2</v>
      </c>
      <c r="J178" s="50" t="s">
        <v>5214</v>
      </c>
      <c r="K178" s="51">
        <v>41527</v>
      </c>
      <c r="L178" s="115"/>
      <c r="N178" s="50" t="s">
        <v>2</v>
      </c>
      <c r="O178" s="74">
        <f>5/2</f>
        <v>2.5</v>
      </c>
      <c r="P178" s="50">
        <v>7.01</v>
      </c>
      <c r="Q178" s="74">
        <v>6.94</v>
      </c>
      <c r="R178" s="50">
        <v>170</v>
      </c>
      <c r="S178" s="74">
        <v>18</v>
      </c>
      <c r="T178" s="50">
        <v>0.32</v>
      </c>
      <c r="U178" s="74">
        <v>2.5</v>
      </c>
      <c r="V178" s="50">
        <v>0.62</v>
      </c>
      <c r="W178" s="74">
        <v>7.3999999999999996E-2</v>
      </c>
      <c r="X178" s="50">
        <v>0.1</v>
      </c>
      <c r="Y178" s="50">
        <v>0.02</v>
      </c>
      <c r="Z178" s="164">
        <v>1</v>
      </c>
      <c r="AA178" s="165">
        <v>1</v>
      </c>
      <c r="AB178" s="50">
        <v>46</v>
      </c>
      <c r="AC178" s="74">
        <v>184</v>
      </c>
      <c r="AD178" s="164">
        <v>1</v>
      </c>
      <c r="AF178" s="273"/>
    </row>
    <row r="179" spans="1:34" ht="14">
      <c r="A179" s="404" t="s">
        <v>279</v>
      </c>
      <c r="B179" s="50" t="s">
        <v>1148</v>
      </c>
      <c r="C179" s="50" t="s">
        <v>1148</v>
      </c>
      <c r="D179" s="48" t="s">
        <v>735</v>
      </c>
      <c r="E179" s="50" t="s">
        <v>1149</v>
      </c>
      <c r="G179" s="76" t="s">
        <v>1150</v>
      </c>
      <c r="H179" s="50">
        <v>5015</v>
      </c>
      <c r="I179" s="49" t="s">
        <v>2</v>
      </c>
      <c r="J179" s="50" t="s">
        <v>271</v>
      </c>
      <c r="K179" s="51">
        <v>41508</v>
      </c>
      <c r="L179" s="115">
        <v>41499</v>
      </c>
      <c r="N179" s="50" t="s">
        <v>2</v>
      </c>
      <c r="AE179" s="50">
        <v>17</v>
      </c>
      <c r="AF179" s="273">
        <f>0.0002/2</f>
        <v>1E-4</v>
      </c>
      <c r="AG179" s="50">
        <v>1.8</v>
      </c>
    </row>
    <row r="180" spans="1:34" ht="14">
      <c r="A180" s="404" t="s">
        <v>279</v>
      </c>
      <c r="B180" s="50" t="s">
        <v>1148</v>
      </c>
      <c r="C180" s="50" t="s">
        <v>1148</v>
      </c>
      <c r="D180" s="48" t="s">
        <v>735</v>
      </c>
      <c r="E180" s="50" t="s">
        <v>1149</v>
      </c>
      <c r="G180" s="76" t="s">
        <v>2947</v>
      </c>
      <c r="H180" s="50">
        <v>5016</v>
      </c>
      <c r="I180" s="49" t="s">
        <v>2</v>
      </c>
      <c r="J180" s="50" t="s">
        <v>272</v>
      </c>
      <c r="K180" s="51">
        <v>41508</v>
      </c>
      <c r="L180" s="115">
        <v>41499</v>
      </c>
      <c r="N180" s="50" t="s">
        <v>2</v>
      </c>
      <c r="AE180" s="50">
        <v>9.6999999999999993</v>
      </c>
      <c r="AF180" s="273">
        <f>0.0002/2</f>
        <v>1E-4</v>
      </c>
      <c r="AG180" s="50">
        <v>0.18</v>
      </c>
    </row>
    <row r="181" spans="1:34" ht="14">
      <c r="A181" s="74" t="s">
        <v>279</v>
      </c>
      <c r="B181" s="50" t="s">
        <v>3637</v>
      </c>
      <c r="C181" s="50" t="s">
        <v>3638</v>
      </c>
      <c r="D181" s="48" t="s">
        <v>234</v>
      </c>
      <c r="E181" s="50" t="s">
        <v>3639</v>
      </c>
      <c r="G181" s="76" t="s">
        <v>3640</v>
      </c>
      <c r="H181" s="50">
        <v>5015</v>
      </c>
      <c r="I181" s="49" t="s">
        <v>2</v>
      </c>
      <c r="J181" s="50" t="s">
        <v>271</v>
      </c>
      <c r="K181" s="51">
        <v>41617</v>
      </c>
      <c r="L181" s="115">
        <v>41614</v>
      </c>
      <c r="N181" s="50" t="s">
        <v>1</v>
      </c>
      <c r="AE181" s="50">
        <v>1.06</v>
      </c>
      <c r="AF181" s="273"/>
      <c r="AG181" s="50">
        <v>0.46</v>
      </c>
      <c r="AH181" s="50">
        <f>0.0021/2</f>
        <v>1.0499999999999999E-3</v>
      </c>
    </row>
    <row r="182" spans="1:34" ht="14">
      <c r="A182" s="74" t="s">
        <v>279</v>
      </c>
      <c r="B182" s="50" t="s">
        <v>3637</v>
      </c>
      <c r="C182" s="50" t="s">
        <v>3638</v>
      </c>
      <c r="D182" s="48" t="s">
        <v>234</v>
      </c>
      <c r="E182" s="50" t="s">
        <v>3639</v>
      </c>
      <c r="G182" s="76" t="s">
        <v>3640</v>
      </c>
      <c r="H182" s="50">
        <v>5015</v>
      </c>
      <c r="I182" s="49" t="s">
        <v>2</v>
      </c>
      <c r="J182" s="50" t="s">
        <v>271</v>
      </c>
      <c r="K182" s="51">
        <v>41443</v>
      </c>
      <c r="L182" s="115">
        <v>41438</v>
      </c>
      <c r="N182" s="50" t="s">
        <v>2</v>
      </c>
      <c r="Z182" s="164">
        <v>1</v>
      </c>
      <c r="AA182" s="165">
        <v>1</v>
      </c>
      <c r="AB182" s="50">
        <v>56</v>
      </c>
      <c r="AC182" s="74">
        <v>186</v>
      </c>
      <c r="AD182" s="164">
        <v>1</v>
      </c>
      <c r="AE182" s="50">
        <v>4.4729999999999999</v>
      </c>
      <c r="AF182" s="273">
        <f>0.0002/2</f>
        <v>1E-4</v>
      </c>
      <c r="AG182" s="50">
        <v>2.0259999999999998</v>
      </c>
    </row>
    <row r="183" spans="1:34" ht="14">
      <c r="A183" s="74" t="s">
        <v>279</v>
      </c>
      <c r="B183" s="50" t="s">
        <v>3637</v>
      </c>
      <c r="C183" s="50" t="s">
        <v>3638</v>
      </c>
      <c r="D183" s="48" t="s">
        <v>234</v>
      </c>
      <c r="E183" s="50" t="s">
        <v>3639</v>
      </c>
      <c r="G183" s="76" t="s">
        <v>3640</v>
      </c>
      <c r="H183" s="50">
        <v>5015</v>
      </c>
      <c r="I183" s="49" t="s">
        <v>2</v>
      </c>
      <c r="J183" s="50" t="s">
        <v>271</v>
      </c>
      <c r="K183" s="51">
        <v>41710</v>
      </c>
      <c r="L183" s="115">
        <v>41707</v>
      </c>
      <c r="N183" s="50" t="s">
        <v>1</v>
      </c>
      <c r="O183" s="74">
        <f>2.1/2</f>
        <v>1.05</v>
      </c>
      <c r="P183" s="50">
        <v>6.6</v>
      </c>
      <c r="Q183" s="74">
        <v>6.8</v>
      </c>
      <c r="R183" s="50">
        <v>140</v>
      </c>
      <c r="S183" s="74">
        <v>27.7</v>
      </c>
      <c r="T183" s="50">
        <v>5.8000000000000003E-2</v>
      </c>
      <c r="U183" s="74">
        <f>1.6/2</f>
        <v>0.8</v>
      </c>
      <c r="V183" s="50">
        <f>0.046/2</f>
        <v>2.3E-2</v>
      </c>
      <c r="W183" s="74">
        <v>1.4999999999999999E-2</v>
      </c>
      <c r="X183" s="50">
        <v>7.1999999999999995E-2</v>
      </c>
      <c r="Y183" s="50">
        <v>1.8700000000000001E-2</v>
      </c>
      <c r="AE183" s="50">
        <v>2.0299999999999998</v>
      </c>
      <c r="AF183" s="273"/>
      <c r="AG183" s="50">
        <v>1.1499999999999999</v>
      </c>
    </row>
    <row r="184" spans="1:34" ht="14">
      <c r="A184" s="74" t="s">
        <v>279</v>
      </c>
      <c r="B184" s="50" t="s">
        <v>1141</v>
      </c>
      <c r="C184" s="50" t="s">
        <v>1142</v>
      </c>
      <c r="D184" s="48" t="s">
        <v>397</v>
      </c>
      <c r="G184" s="76" t="s">
        <v>1143</v>
      </c>
      <c r="H184" s="50">
        <v>5015</v>
      </c>
      <c r="J184" s="50" t="s">
        <v>74</v>
      </c>
      <c r="K184" s="51">
        <v>41653</v>
      </c>
      <c r="L184" s="115">
        <v>41649</v>
      </c>
      <c r="M184" s="52">
        <f t="shared" ref="M184:M232" si="4">K184-L184</f>
        <v>4</v>
      </c>
      <c r="N184" s="50" t="s">
        <v>2</v>
      </c>
      <c r="O184" s="74">
        <f>1.4/2</f>
        <v>0.7</v>
      </c>
      <c r="Q184" s="74">
        <v>6.54</v>
      </c>
      <c r="R184" s="50">
        <v>12</v>
      </c>
      <c r="S184" s="74">
        <v>89</v>
      </c>
      <c r="T184" s="50">
        <v>0.22</v>
      </c>
      <c r="U184" s="74">
        <v>0.97</v>
      </c>
      <c r="V184" s="50">
        <v>0.27</v>
      </c>
      <c r="W184" s="74">
        <v>0.11899999999999999</v>
      </c>
      <c r="X184" s="50">
        <v>0.35299999999999998</v>
      </c>
      <c r="Y184" s="50">
        <v>0.50600000000000001</v>
      </c>
      <c r="Z184" s="164">
        <v>0.752</v>
      </c>
      <c r="AA184" s="165">
        <v>0.71399999999999997</v>
      </c>
      <c r="AB184" s="50">
        <v>22</v>
      </c>
      <c r="AC184" s="74">
        <v>96</v>
      </c>
      <c r="AD184" s="164">
        <v>0.05</v>
      </c>
      <c r="AF184" s="273"/>
    </row>
    <row r="185" spans="1:34" ht="14">
      <c r="A185" s="404" t="s">
        <v>279</v>
      </c>
      <c r="B185" s="50" t="s">
        <v>3132</v>
      </c>
      <c r="C185" s="50" t="s">
        <v>3132</v>
      </c>
      <c r="D185" s="48" t="s">
        <v>861</v>
      </c>
      <c r="E185" s="50" t="s">
        <v>4175</v>
      </c>
      <c r="G185" s="76" t="s">
        <v>3134</v>
      </c>
      <c r="H185" s="50">
        <v>5015</v>
      </c>
      <c r="I185" s="49" t="s">
        <v>2</v>
      </c>
      <c r="J185" s="50" t="s">
        <v>3135</v>
      </c>
      <c r="K185" s="51">
        <v>41718</v>
      </c>
      <c r="L185" s="115"/>
      <c r="M185" s="52" t="s">
        <v>6025</v>
      </c>
      <c r="N185" s="50" t="s">
        <v>2</v>
      </c>
      <c r="P185" s="50">
        <v>7.63</v>
      </c>
      <c r="AE185" s="50">
        <v>2.2000000000000002</v>
      </c>
      <c r="AF185" s="273">
        <f>0.0002/2</f>
        <v>1E-4</v>
      </c>
      <c r="AG185" s="50">
        <v>1.66</v>
      </c>
    </row>
    <row r="186" spans="1:34" ht="14">
      <c r="A186" s="404" t="s">
        <v>279</v>
      </c>
      <c r="B186" s="50" t="s">
        <v>3130</v>
      </c>
      <c r="C186" s="50" t="s">
        <v>3130</v>
      </c>
      <c r="D186" s="48" t="s">
        <v>276</v>
      </c>
      <c r="E186" s="50" t="s">
        <v>1151</v>
      </c>
      <c r="G186" s="76" t="s">
        <v>3131</v>
      </c>
      <c r="H186" s="50">
        <v>5015</v>
      </c>
      <c r="I186" s="49" t="s">
        <v>2</v>
      </c>
      <c r="J186" s="50" t="s">
        <v>271</v>
      </c>
      <c r="K186" s="51">
        <v>41743</v>
      </c>
      <c r="L186" s="115">
        <v>41736</v>
      </c>
      <c r="M186" s="52">
        <f t="shared" si="4"/>
        <v>7</v>
      </c>
      <c r="N186" s="50" t="s">
        <v>2</v>
      </c>
      <c r="AE186" s="50">
        <v>5.55</v>
      </c>
      <c r="AF186" s="273"/>
      <c r="AG186" s="50">
        <v>3.59</v>
      </c>
    </row>
    <row r="187" spans="1:34" ht="14">
      <c r="A187" s="404" t="s">
        <v>279</v>
      </c>
      <c r="B187" s="50" t="s">
        <v>1178</v>
      </c>
      <c r="C187" s="50" t="s">
        <v>1178</v>
      </c>
      <c r="D187" s="48" t="s">
        <v>262</v>
      </c>
      <c r="E187" s="7" t="s">
        <v>1179</v>
      </c>
      <c r="G187" s="76" t="s">
        <v>1180</v>
      </c>
      <c r="H187" s="50">
        <v>5015</v>
      </c>
      <c r="I187" s="49" t="s">
        <v>1</v>
      </c>
      <c r="J187" s="50" t="s">
        <v>271</v>
      </c>
      <c r="K187" s="51">
        <v>41737</v>
      </c>
      <c r="L187" s="115">
        <v>41733</v>
      </c>
      <c r="M187" s="52">
        <f t="shared" si="4"/>
        <v>4</v>
      </c>
      <c r="N187" s="50" t="s">
        <v>2</v>
      </c>
      <c r="AF187" s="273"/>
      <c r="AH187" s="50">
        <f>1/2</f>
        <v>0.5</v>
      </c>
    </row>
    <row r="188" spans="1:34" ht="14">
      <c r="A188" s="404" t="s">
        <v>279</v>
      </c>
      <c r="B188" s="50" t="s">
        <v>1178</v>
      </c>
      <c r="C188" s="50" t="s">
        <v>1178</v>
      </c>
      <c r="D188" s="48" t="s">
        <v>262</v>
      </c>
      <c r="E188" s="7" t="s">
        <v>1179</v>
      </c>
      <c r="G188" s="76" t="s">
        <v>1180</v>
      </c>
      <c r="H188" s="50">
        <v>5015</v>
      </c>
      <c r="I188" s="49" t="s">
        <v>1</v>
      </c>
      <c r="J188" s="50" t="s">
        <v>271</v>
      </c>
      <c r="K188" s="51">
        <v>41737</v>
      </c>
      <c r="L188" s="115">
        <v>41733</v>
      </c>
      <c r="M188" s="50">
        <f t="shared" si="4"/>
        <v>4</v>
      </c>
      <c r="N188" s="50" t="s">
        <v>2</v>
      </c>
      <c r="AE188" s="50">
        <v>0.114</v>
      </c>
      <c r="AF188" s="273">
        <f>0.0002/2</f>
        <v>1E-4</v>
      </c>
      <c r="AG188" s="50">
        <v>0.155</v>
      </c>
    </row>
    <row r="189" spans="1:34" ht="14">
      <c r="A189" s="404" t="s">
        <v>279</v>
      </c>
      <c r="B189" s="50" t="s">
        <v>527</v>
      </c>
      <c r="C189" s="50" t="s">
        <v>527</v>
      </c>
      <c r="D189" s="48" t="s">
        <v>372</v>
      </c>
      <c r="E189" s="50" t="s">
        <v>487</v>
      </c>
      <c r="G189" s="76" t="s">
        <v>528</v>
      </c>
      <c r="H189" s="50">
        <v>5015</v>
      </c>
      <c r="I189" s="49" t="s">
        <v>1</v>
      </c>
      <c r="J189" s="50" t="s">
        <v>271</v>
      </c>
      <c r="K189" s="51">
        <v>41726</v>
      </c>
      <c r="L189" s="115">
        <v>41717</v>
      </c>
      <c r="M189" s="50">
        <f t="shared" si="4"/>
        <v>9</v>
      </c>
      <c r="N189" s="50" t="s">
        <v>2</v>
      </c>
      <c r="X189" s="50">
        <v>0.11</v>
      </c>
      <c r="AF189" s="273"/>
      <c r="AH189" s="50">
        <f>10/2</f>
        <v>5</v>
      </c>
    </row>
    <row r="190" spans="1:34" ht="14">
      <c r="A190" s="404" t="s">
        <v>279</v>
      </c>
      <c r="B190" s="50" t="s">
        <v>1174</v>
      </c>
      <c r="C190" s="50" t="s">
        <v>1174</v>
      </c>
      <c r="D190" s="48" t="s">
        <v>1175</v>
      </c>
      <c r="E190" s="50" t="s">
        <v>1176</v>
      </c>
      <c r="G190" s="76" t="s">
        <v>1177</v>
      </c>
      <c r="H190" s="50">
        <v>5015</v>
      </c>
      <c r="I190" s="49" t="s">
        <v>1</v>
      </c>
      <c r="J190" s="50" t="s">
        <v>271</v>
      </c>
      <c r="K190" s="51">
        <v>41737</v>
      </c>
      <c r="L190" s="115">
        <v>41733</v>
      </c>
      <c r="M190" s="50">
        <f t="shared" si="4"/>
        <v>4</v>
      </c>
      <c r="N190" s="50" t="s">
        <v>2</v>
      </c>
      <c r="S190" s="74">
        <v>820</v>
      </c>
      <c r="T190" s="50">
        <v>0.92</v>
      </c>
      <c r="W190" s="74">
        <v>6.0999999999999999E-2</v>
      </c>
      <c r="X190" s="50">
        <v>0.251</v>
      </c>
      <c r="AE190" s="50">
        <v>42.6</v>
      </c>
      <c r="AF190" s="273"/>
      <c r="AG190" s="50">
        <v>27.1</v>
      </c>
      <c r="AH190" s="50">
        <f>50/2</f>
        <v>25</v>
      </c>
    </row>
    <row r="191" spans="1:34" ht="14">
      <c r="A191" s="404" t="s">
        <v>279</v>
      </c>
      <c r="B191" s="50" t="s">
        <v>1171</v>
      </c>
      <c r="C191" s="50" t="s">
        <v>1171</v>
      </c>
      <c r="D191" s="48" t="s">
        <v>516</v>
      </c>
      <c r="E191" s="7" t="s">
        <v>4192</v>
      </c>
      <c r="G191" s="76" t="s">
        <v>1173</v>
      </c>
      <c r="H191" s="50">
        <v>5015</v>
      </c>
      <c r="I191" s="49" t="s">
        <v>1</v>
      </c>
      <c r="J191" s="50" t="s">
        <v>271</v>
      </c>
      <c r="K191" s="51">
        <v>41744</v>
      </c>
      <c r="L191" s="115">
        <v>41736</v>
      </c>
      <c r="M191" s="50">
        <f t="shared" si="4"/>
        <v>8</v>
      </c>
      <c r="N191" s="50" t="s">
        <v>2</v>
      </c>
      <c r="AE191" s="50">
        <v>82.9</v>
      </c>
      <c r="AF191" s="273"/>
      <c r="AG191" s="50">
        <v>66.599999999999994</v>
      </c>
      <c r="AH191" s="50">
        <f>0.93/2</f>
        <v>0.46500000000000002</v>
      </c>
    </row>
    <row r="192" spans="1:34" ht="14">
      <c r="A192" s="404" t="s">
        <v>279</v>
      </c>
      <c r="B192" s="50" t="s">
        <v>651</v>
      </c>
      <c r="C192" s="50" t="s">
        <v>652</v>
      </c>
      <c r="D192" s="48" t="s">
        <v>462</v>
      </c>
      <c r="E192" s="7" t="s">
        <v>653</v>
      </c>
      <c r="G192" s="76" t="s">
        <v>654</v>
      </c>
      <c r="H192" s="50">
        <v>5015</v>
      </c>
      <c r="I192" s="49" t="s">
        <v>2</v>
      </c>
      <c r="J192" s="50" t="s">
        <v>271</v>
      </c>
      <c r="K192" s="51">
        <v>41759</v>
      </c>
      <c r="L192" s="115">
        <v>41755</v>
      </c>
      <c r="M192" s="50">
        <f t="shared" si="4"/>
        <v>4</v>
      </c>
      <c r="N192" s="50" t="s">
        <v>2</v>
      </c>
      <c r="V192" s="50">
        <v>0.06</v>
      </c>
      <c r="AF192" s="273"/>
      <c r="AH192" s="50">
        <f>0.22/2</f>
        <v>0.11</v>
      </c>
    </row>
    <row r="193" spans="1:35" ht="14">
      <c r="A193" s="404" t="s">
        <v>279</v>
      </c>
      <c r="B193" s="50" t="s">
        <v>1138</v>
      </c>
      <c r="C193" s="50" t="s">
        <v>1138</v>
      </c>
      <c r="D193" s="48" t="s">
        <v>548</v>
      </c>
      <c r="E193" s="7" t="s">
        <v>1139</v>
      </c>
      <c r="G193" s="76" t="s">
        <v>1140</v>
      </c>
      <c r="H193" s="50">
        <v>5015</v>
      </c>
      <c r="I193" s="49" t="s">
        <v>2</v>
      </c>
      <c r="J193" s="50" t="s">
        <v>271</v>
      </c>
      <c r="K193" s="51">
        <v>41729</v>
      </c>
      <c r="L193" s="115">
        <v>41717</v>
      </c>
      <c r="M193" s="50">
        <f t="shared" si="4"/>
        <v>12</v>
      </c>
      <c r="N193" s="50" t="s">
        <v>2</v>
      </c>
      <c r="W193" s="74">
        <f>0.01/2</f>
        <v>5.0000000000000001E-3</v>
      </c>
      <c r="X193" s="50">
        <v>0.04</v>
      </c>
      <c r="AE193" s="50">
        <v>0.13</v>
      </c>
      <c r="AF193" s="273"/>
      <c r="AG193" s="50">
        <v>0.13</v>
      </c>
      <c r="AH193" s="50">
        <f>10/2</f>
        <v>5</v>
      </c>
    </row>
    <row r="194" spans="1:35" ht="14">
      <c r="A194" s="404" t="s">
        <v>279</v>
      </c>
      <c r="B194" s="50" t="s">
        <v>1166</v>
      </c>
      <c r="C194" s="50" t="s">
        <v>1166</v>
      </c>
      <c r="D194" s="48" t="s">
        <v>347</v>
      </c>
      <c r="E194" s="50" t="s">
        <v>4810</v>
      </c>
      <c r="G194" s="76" t="s">
        <v>1168</v>
      </c>
      <c r="H194" s="50">
        <v>5015</v>
      </c>
      <c r="I194" s="49" t="s">
        <v>1</v>
      </c>
      <c r="J194" s="50" t="s">
        <v>271</v>
      </c>
      <c r="K194" s="51">
        <v>41710</v>
      </c>
      <c r="L194" s="115">
        <v>41707</v>
      </c>
      <c r="M194" s="50">
        <f t="shared" si="4"/>
        <v>3</v>
      </c>
      <c r="N194" s="50" t="s">
        <v>2</v>
      </c>
      <c r="AE194" s="50">
        <v>0.39</v>
      </c>
      <c r="AF194" s="273"/>
      <c r="AG194" s="50">
        <v>0.41</v>
      </c>
      <c r="AH194" s="50">
        <f>100/2</f>
        <v>50</v>
      </c>
    </row>
    <row r="195" spans="1:35" ht="14">
      <c r="A195" s="404" t="s">
        <v>279</v>
      </c>
      <c r="B195" s="50" t="s">
        <v>4812</v>
      </c>
      <c r="C195" s="50" t="s">
        <v>4812</v>
      </c>
      <c r="D195" s="48" t="s">
        <v>2848</v>
      </c>
      <c r="F195" s="50" t="s">
        <v>4813</v>
      </c>
      <c r="G195" s="76" t="s">
        <v>4814</v>
      </c>
      <c r="H195" s="50">
        <v>5015</v>
      </c>
      <c r="I195" s="49" t="s">
        <v>2</v>
      </c>
      <c r="J195" s="50" t="s">
        <v>4841</v>
      </c>
      <c r="K195" s="51">
        <v>41717</v>
      </c>
      <c r="L195" s="115">
        <v>41710</v>
      </c>
      <c r="M195" s="50">
        <f t="shared" si="4"/>
        <v>7</v>
      </c>
      <c r="N195" s="50" t="s">
        <v>2</v>
      </c>
      <c r="AE195" s="50">
        <v>0.22</v>
      </c>
      <c r="AF195" s="273">
        <f>0.0002/2</f>
        <v>1E-4</v>
      </c>
      <c r="AG195" s="50">
        <v>0.34</v>
      </c>
    </row>
    <row r="196" spans="1:35" ht="14">
      <c r="A196" s="404" t="s">
        <v>279</v>
      </c>
      <c r="B196" s="50" t="s">
        <v>1134</v>
      </c>
      <c r="C196" s="50" t="s">
        <v>1134</v>
      </c>
      <c r="D196" s="48" t="s">
        <v>1135</v>
      </c>
      <c r="E196" s="50" t="s">
        <v>487</v>
      </c>
      <c r="G196" s="76" t="s">
        <v>1136</v>
      </c>
      <c r="H196" s="50">
        <v>5015</v>
      </c>
      <c r="I196" s="49" t="s">
        <v>1</v>
      </c>
      <c r="J196" s="50" t="s">
        <v>271</v>
      </c>
      <c r="K196" s="51">
        <v>41717</v>
      </c>
      <c r="L196" s="115">
        <v>41710</v>
      </c>
      <c r="M196" s="50">
        <f t="shared" si="4"/>
        <v>7</v>
      </c>
      <c r="N196" s="50" t="s">
        <v>1</v>
      </c>
      <c r="AE196" s="50">
        <v>73.099999999999994</v>
      </c>
      <c r="AF196" s="273"/>
      <c r="AG196" s="50">
        <v>0.75</v>
      </c>
    </row>
    <row r="197" spans="1:35" ht="14">
      <c r="A197" s="404" t="s">
        <v>279</v>
      </c>
      <c r="B197" s="50" t="s">
        <v>486</v>
      </c>
      <c r="C197" s="50" t="s">
        <v>486</v>
      </c>
      <c r="D197" s="48" t="s">
        <v>372</v>
      </c>
      <c r="E197" s="50" t="s">
        <v>487</v>
      </c>
      <c r="G197" s="76" t="s">
        <v>488</v>
      </c>
      <c r="H197" s="50">
        <v>5015</v>
      </c>
      <c r="I197" s="49" t="s">
        <v>1</v>
      </c>
      <c r="J197" s="50" t="s">
        <v>271</v>
      </c>
      <c r="K197" s="51">
        <v>41710</v>
      </c>
      <c r="L197" s="115">
        <v>41707</v>
      </c>
      <c r="M197" s="50">
        <f t="shared" si="4"/>
        <v>3</v>
      </c>
      <c r="N197" s="50" t="s">
        <v>1</v>
      </c>
      <c r="AE197" s="50">
        <v>28.6</v>
      </c>
      <c r="AF197" s="273"/>
      <c r="AG197" s="50">
        <v>16.2</v>
      </c>
      <c r="AI197" s="50">
        <v>100</v>
      </c>
    </row>
    <row r="198" spans="1:35" ht="14">
      <c r="A198" s="404" t="s">
        <v>279</v>
      </c>
      <c r="B198" s="50" t="s">
        <v>1133</v>
      </c>
      <c r="C198" s="50" t="s">
        <v>1133</v>
      </c>
      <c r="D198" s="48" t="s">
        <v>314</v>
      </c>
      <c r="E198" s="50" t="s">
        <v>649</v>
      </c>
      <c r="G198" s="76" t="s">
        <v>650</v>
      </c>
      <c r="H198" s="50">
        <v>5015</v>
      </c>
      <c r="I198" s="49" t="s">
        <v>2</v>
      </c>
      <c r="J198" s="50" t="s">
        <v>271</v>
      </c>
      <c r="K198" s="51">
        <v>41718</v>
      </c>
      <c r="L198" s="115">
        <v>41710</v>
      </c>
      <c r="M198" s="50">
        <f t="shared" si="4"/>
        <v>8</v>
      </c>
      <c r="N198" s="50" t="s">
        <v>2</v>
      </c>
      <c r="AE198" s="50">
        <v>1.7</v>
      </c>
      <c r="AF198" s="273"/>
      <c r="AG198" s="50">
        <v>1.91</v>
      </c>
    </row>
    <row r="199" spans="1:35" ht="14">
      <c r="A199" s="404" t="s">
        <v>279</v>
      </c>
      <c r="B199" s="50" t="s">
        <v>1178</v>
      </c>
      <c r="C199" s="50" t="s">
        <v>1178</v>
      </c>
      <c r="D199" s="48" t="s">
        <v>262</v>
      </c>
      <c r="E199" s="50" t="s">
        <v>1179</v>
      </c>
      <c r="G199" s="76" t="s">
        <v>1180</v>
      </c>
      <c r="H199" s="50">
        <v>5015</v>
      </c>
      <c r="I199" s="49" t="s">
        <v>1</v>
      </c>
      <c r="J199" s="50" t="s">
        <v>271</v>
      </c>
      <c r="K199" s="51">
        <v>41676</v>
      </c>
      <c r="L199" s="115">
        <v>41673</v>
      </c>
      <c r="M199" s="50">
        <f t="shared" si="4"/>
        <v>3</v>
      </c>
      <c r="N199" s="50" t="s">
        <v>2</v>
      </c>
      <c r="AF199" s="273"/>
      <c r="AH199" s="50">
        <f>0.1/2</f>
        <v>0.05</v>
      </c>
    </row>
    <row r="200" spans="1:35" ht="14">
      <c r="A200" s="404" t="s">
        <v>279</v>
      </c>
      <c r="B200" s="50" t="s">
        <v>905</v>
      </c>
      <c r="C200" s="50" t="s">
        <v>905</v>
      </c>
      <c r="D200" s="48" t="s">
        <v>372</v>
      </c>
      <c r="E200" s="50" t="s">
        <v>906</v>
      </c>
      <c r="G200" s="76" t="s">
        <v>907</v>
      </c>
      <c r="H200" s="50">
        <v>5015</v>
      </c>
      <c r="I200" s="49" t="s">
        <v>2</v>
      </c>
      <c r="J200" s="50" t="s">
        <v>271</v>
      </c>
      <c r="K200" s="51">
        <v>41729</v>
      </c>
      <c r="L200" s="115">
        <v>41717</v>
      </c>
      <c r="M200" s="50">
        <f t="shared" si="4"/>
        <v>12</v>
      </c>
      <c r="N200" s="50" t="s">
        <v>2</v>
      </c>
      <c r="AE200" s="50">
        <v>1.72</v>
      </c>
      <c r="AF200" s="273"/>
      <c r="AG200" s="50">
        <v>0.68</v>
      </c>
    </row>
    <row r="201" spans="1:35" ht="14">
      <c r="A201" s="404" t="s">
        <v>279</v>
      </c>
      <c r="B201" s="50" t="s">
        <v>3130</v>
      </c>
      <c r="C201" s="50" t="s">
        <v>3130</v>
      </c>
      <c r="D201" s="48" t="s">
        <v>276</v>
      </c>
      <c r="E201" s="50" t="s">
        <v>1151</v>
      </c>
      <c r="G201" s="76" t="s">
        <v>3131</v>
      </c>
      <c r="H201" s="50">
        <v>5015</v>
      </c>
      <c r="I201" s="49" t="s">
        <v>2</v>
      </c>
      <c r="J201" s="50" t="s">
        <v>271</v>
      </c>
      <c r="K201" s="51">
        <v>41645</v>
      </c>
      <c r="L201" s="115">
        <v>41641</v>
      </c>
      <c r="M201" s="50">
        <f t="shared" si="4"/>
        <v>4</v>
      </c>
      <c r="N201" s="50" t="s">
        <v>2</v>
      </c>
      <c r="AE201" s="50">
        <v>2.1800000000000002</v>
      </c>
      <c r="AF201" s="273">
        <f>0.0002/2</f>
        <v>1E-4</v>
      </c>
      <c r="AG201" s="50">
        <v>1.25</v>
      </c>
    </row>
    <row r="202" spans="1:35" ht="14">
      <c r="A202" s="404" t="s">
        <v>279</v>
      </c>
      <c r="B202" s="50" t="s">
        <v>1152</v>
      </c>
      <c r="C202" s="50" t="s">
        <v>1152</v>
      </c>
      <c r="D202" s="48" t="s">
        <v>379</v>
      </c>
      <c r="E202" s="7" t="s">
        <v>1151</v>
      </c>
      <c r="G202" s="76" t="s">
        <v>1154</v>
      </c>
      <c r="H202" s="50">
        <v>5015</v>
      </c>
      <c r="I202" s="49" t="s">
        <v>1</v>
      </c>
      <c r="J202" s="50" t="s">
        <v>271</v>
      </c>
      <c r="K202" s="51">
        <v>41729</v>
      </c>
      <c r="L202" s="115">
        <v>41717</v>
      </c>
      <c r="M202" s="50">
        <f t="shared" si="4"/>
        <v>12</v>
      </c>
      <c r="N202" s="50" t="s">
        <v>1</v>
      </c>
      <c r="AE202" s="50">
        <v>18.8</v>
      </c>
      <c r="AF202" s="273"/>
      <c r="AG202" s="50">
        <v>9.31</v>
      </c>
    </row>
    <row r="203" spans="1:35" ht="14">
      <c r="A203" s="404" t="s">
        <v>279</v>
      </c>
      <c r="B203" s="50" t="s">
        <v>5433</v>
      </c>
      <c r="C203" s="50" t="s">
        <v>5433</v>
      </c>
      <c r="D203" s="48" t="s">
        <v>3090</v>
      </c>
      <c r="G203" s="76" t="s">
        <v>5434</v>
      </c>
      <c r="H203" s="50">
        <v>5015</v>
      </c>
      <c r="I203" s="49" t="s">
        <v>2</v>
      </c>
      <c r="J203" s="50" t="s">
        <v>74</v>
      </c>
      <c r="K203" s="51">
        <v>41585</v>
      </c>
      <c r="L203" s="115">
        <v>41580</v>
      </c>
      <c r="M203" s="50">
        <f t="shared" si="4"/>
        <v>5</v>
      </c>
      <c r="N203" s="50" t="s">
        <v>2</v>
      </c>
      <c r="O203" s="74">
        <v>1.3</v>
      </c>
      <c r="P203" s="50">
        <v>6</v>
      </c>
      <c r="Q203" s="74">
        <v>6.7</v>
      </c>
      <c r="R203" s="50">
        <v>21</v>
      </c>
      <c r="S203" s="74">
        <v>20</v>
      </c>
      <c r="T203" s="50">
        <v>2.8000000000000001E-2</v>
      </c>
      <c r="U203" s="74">
        <v>0.59</v>
      </c>
      <c r="V203" s="50">
        <v>3</v>
      </c>
      <c r="W203" s="74">
        <f>0.002/2</f>
        <v>1E-3</v>
      </c>
      <c r="X203" s="50">
        <v>4.8000000000000001E-2</v>
      </c>
      <c r="Y203" s="50">
        <f>0.002/2</f>
        <v>1E-3</v>
      </c>
      <c r="Z203" s="164">
        <v>1</v>
      </c>
      <c r="AA203" s="165">
        <v>1</v>
      </c>
      <c r="AB203" s="50">
        <v>186</v>
      </c>
      <c r="AC203" s="74">
        <v>810</v>
      </c>
      <c r="AD203" s="164">
        <v>1</v>
      </c>
      <c r="AF203" s="273"/>
    </row>
    <row r="204" spans="1:35" ht="14">
      <c r="A204" s="404" t="s">
        <v>279</v>
      </c>
      <c r="B204" s="50" t="s">
        <v>1174</v>
      </c>
      <c r="C204" s="50" t="s">
        <v>1174</v>
      </c>
      <c r="D204" s="48" t="s">
        <v>1175</v>
      </c>
      <c r="E204" s="50" t="s">
        <v>1176</v>
      </c>
      <c r="G204" s="76" t="s">
        <v>1177</v>
      </c>
      <c r="H204" s="50">
        <v>5015</v>
      </c>
      <c r="I204" s="49" t="s">
        <v>1</v>
      </c>
      <c r="J204" s="50" t="s">
        <v>271</v>
      </c>
      <c r="K204" s="51">
        <v>41650</v>
      </c>
      <c r="L204" s="115">
        <v>41645</v>
      </c>
      <c r="M204" s="50">
        <f t="shared" si="4"/>
        <v>5</v>
      </c>
      <c r="N204" s="50" t="s">
        <v>1</v>
      </c>
      <c r="AE204" s="50">
        <v>52.5</v>
      </c>
      <c r="AF204" s="273"/>
      <c r="AG204" s="50">
        <v>29.4</v>
      </c>
    </row>
    <row r="205" spans="1:35" ht="14">
      <c r="A205" s="404" t="s">
        <v>279</v>
      </c>
      <c r="B205" s="50" t="s">
        <v>5435</v>
      </c>
      <c r="C205" s="50" t="s">
        <v>5436</v>
      </c>
      <c r="D205" s="48" t="s">
        <v>2741</v>
      </c>
      <c r="E205" s="50" t="s">
        <v>382</v>
      </c>
      <c r="F205" s="48" t="s">
        <v>5437</v>
      </c>
      <c r="G205" s="76" t="s">
        <v>5438</v>
      </c>
      <c r="H205" s="50">
        <v>5015</v>
      </c>
      <c r="I205" s="49" t="s">
        <v>1</v>
      </c>
      <c r="J205" s="50" t="s">
        <v>5439</v>
      </c>
      <c r="K205" s="51">
        <v>41605</v>
      </c>
      <c r="L205" s="115">
        <v>41604</v>
      </c>
      <c r="M205" s="50">
        <f t="shared" si="4"/>
        <v>1</v>
      </c>
      <c r="N205" s="50" t="s">
        <v>2</v>
      </c>
      <c r="O205" s="74">
        <f>2/2</f>
        <v>1</v>
      </c>
      <c r="P205" s="50">
        <v>6.4</v>
      </c>
      <c r="Q205" s="74">
        <v>5.5</v>
      </c>
      <c r="R205" s="50">
        <v>39</v>
      </c>
      <c r="S205" s="74">
        <v>11</v>
      </c>
      <c r="T205" s="50">
        <f>0.05/2</f>
        <v>2.5000000000000001E-2</v>
      </c>
      <c r="U205" s="74">
        <v>1.07</v>
      </c>
      <c r="V205" s="50">
        <v>0.71</v>
      </c>
      <c r="W205" s="74">
        <v>0.04</v>
      </c>
      <c r="X205" s="50">
        <v>0.111</v>
      </c>
      <c r="Y205" s="50">
        <f>0.03/2</f>
        <v>1.4999999999999999E-2</v>
      </c>
      <c r="Z205" s="164">
        <v>0.70699999999999996</v>
      </c>
      <c r="AA205" s="165">
        <v>0.70699999999999996</v>
      </c>
      <c r="AB205" s="50">
        <v>5</v>
      </c>
      <c r="AC205" s="74">
        <v>32</v>
      </c>
      <c r="AD205" s="164">
        <v>0</v>
      </c>
      <c r="AE205" s="50">
        <v>1.74</v>
      </c>
      <c r="AF205" s="273">
        <f>0.0004/2</f>
        <v>2.0000000000000001E-4</v>
      </c>
      <c r="AG205" s="50">
        <v>0.21</v>
      </c>
      <c r="AH205" s="50">
        <f>0.5/2</f>
        <v>0.25</v>
      </c>
    </row>
    <row r="206" spans="1:35" ht="14">
      <c r="A206" s="404" t="s">
        <v>279</v>
      </c>
      <c r="B206" s="50" t="s">
        <v>1158</v>
      </c>
      <c r="C206" s="50" t="s">
        <v>3650</v>
      </c>
      <c r="D206" s="48" t="s">
        <v>1160</v>
      </c>
      <c r="E206" s="50" t="s">
        <v>3651</v>
      </c>
      <c r="G206" s="76" t="s">
        <v>3652</v>
      </c>
      <c r="H206" s="50">
        <v>5015</v>
      </c>
      <c r="I206" s="49" t="s">
        <v>2</v>
      </c>
      <c r="J206" s="50" t="s">
        <v>271</v>
      </c>
      <c r="K206" s="51">
        <v>41645</v>
      </c>
      <c r="L206" s="115">
        <v>41641</v>
      </c>
      <c r="M206" s="50">
        <f t="shared" si="4"/>
        <v>4</v>
      </c>
      <c r="N206" s="50" t="s">
        <v>2</v>
      </c>
      <c r="AE206" s="50">
        <v>7.41</v>
      </c>
      <c r="AF206" s="273">
        <f>0.0004/2</f>
        <v>2.0000000000000001E-4</v>
      </c>
      <c r="AG206" s="50">
        <v>7.52</v>
      </c>
    </row>
    <row r="207" spans="1:35" ht="14">
      <c r="A207" s="404" t="s">
        <v>279</v>
      </c>
      <c r="B207" s="50" t="s">
        <v>1158</v>
      </c>
      <c r="C207" s="50" t="s">
        <v>1159</v>
      </c>
      <c r="D207" s="48" t="s">
        <v>1160</v>
      </c>
      <c r="E207" s="50" t="s">
        <v>1161</v>
      </c>
      <c r="G207" s="76" t="s">
        <v>1162</v>
      </c>
      <c r="H207" s="50">
        <v>5015</v>
      </c>
      <c r="I207" s="49" t="s">
        <v>2</v>
      </c>
      <c r="J207" s="50" t="s">
        <v>271</v>
      </c>
      <c r="K207" s="51">
        <v>41645</v>
      </c>
      <c r="L207" s="115">
        <v>41641</v>
      </c>
      <c r="M207" s="50">
        <f t="shared" si="4"/>
        <v>4</v>
      </c>
      <c r="AE207" s="50">
        <v>2.6</v>
      </c>
      <c r="AF207" s="273"/>
      <c r="AG207" s="50">
        <v>2.0699999999999998</v>
      </c>
    </row>
    <row r="208" spans="1:35" ht="14">
      <c r="A208" s="404" t="s">
        <v>279</v>
      </c>
      <c r="B208" s="50" t="s">
        <v>1148</v>
      </c>
      <c r="C208" s="50" t="s">
        <v>1148</v>
      </c>
      <c r="D208" s="48" t="s">
        <v>735</v>
      </c>
      <c r="E208" s="50" t="s">
        <v>1149</v>
      </c>
      <c r="G208" s="76" t="s">
        <v>1150</v>
      </c>
      <c r="H208" s="50">
        <v>5015</v>
      </c>
      <c r="I208" s="49" t="s">
        <v>2</v>
      </c>
      <c r="J208" s="50" t="s">
        <v>271</v>
      </c>
      <c r="K208" s="51">
        <v>41631</v>
      </c>
      <c r="L208" s="115">
        <v>41627</v>
      </c>
      <c r="M208" s="50">
        <f t="shared" si="4"/>
        <v>4</v>
      </c>
      <c r="N208" s="50" t="s">
        <v>1</v>
      </c>
      <c r="O208" s="74">
        <f>1/2</f>
        <v>0.5</v>
      </c>
      <c r="P208" s="50">
        <v>5.91</v>
      </c>
      <c r="Q208" s="74">
        <v>5.25</v>
      </c>
      <c r="R208" s="50">
        <v>2800</v>
      </c>
      <c r="S208" s="74">
        <v>74</v>
      </c>
      <c r="T208" s="50">
        <f>0.01/2</f>
        <v>5.0000000000000001E-3</v>
      </c>
      <c r="U208" s="74">
        <v>1.95</v>
      </c>
      <c r="V208" s="50">
        <f>0.01/2</f>
        <v>5.0000000000000001E-3</v>
      </c>
      <c r="W208" s="74">
        <v>0.04</v>
      </c>
      <c r="X208" s="50">
        <f>0.01/2</f>
        <v>5.0000000000000001E-3</v>
      </c>
      <c r="Y208" s="50">
        <f>0.01/2</f>
        <v>5.0000000000000001E-3</v>
      </c>
      <c r="AE208" s="50">
        <v>21.8</v>
      </c>
      <c r="AF208" s="273"/>
      <c r="AG208" s="50">
        <f>0.1/2</f>
        <v>0.05</v>
      </c>
      <c r="AH208" s="50">
        <f>10/2</f>
        <v>5</v>
      </c>
    </row>
    <row r="209" spans="1:34" ht="14">
      <c r="A209" s="404" t="s">
        <v>279</v>
      </c>
      <c r="B209" s="50" t="s">
        <v>655</v>
      </c>
      <c r="C209" s="50" t="s">
        <v>655</v>
      </c>
      <c r="D209" s="48" t="s">
        <v>379</v>
      </c>
      <c r="E209" s="7" t="s">
        <v>1151</v>
      </c>
      <c r="G209" s="76" t="s">
        <v>656</v>
      </c>
      <c r="H209" s="50">
        <v>5015</v>
      </c>
      <c r="I209" s="49" t="s">
        <v>1</v>
      </c>
      <c r="J209" s="50" t="s">
        <v>271</v>
      </c>
      <c r="K209" s="51">
        <v>41553</v>
      </c>
      <c r="L209" s="115">
        <v>41539</v>
      </c>
      <c r="M209" s="50">
        <f t="shared" si="4"/>
        <v>14</v>
      </c>
      <c r="N209" s="50" t="s">
        <v>2</v>
      </c>
      <c r="S209" s="74">
        <v>29.4</v>
      </c>
      <c r="AE209" s="50">
        <v>0.309</v>
      </c>
      <c r="AF209" s="273"/>
      <c r="AG209" s="50">
        <v>0.25</v>
      </c>
      <c r="AH209" s="50">
        <f>1.3/2</f>
        <v>0.65</v>
      </c>
    </row>
    <row r="210" spans="1:34" ht="14">
      <c r="A210" s="404" t="s">
        <v>279</v>
      </c>
      <c r="B210" s="50" t="s">
        <v>275</v>
      </c>
      <c r="C210" s="50" t="s">
        <v>275</v>
      </c>
      <c r="D210" s="48" t="s">
        <v>276</v>
      </c>
      <c r="E210" s="50" t="s">
        <v>3636</v>
      </c>
      <c r="G210" s="76" t="s">
        <v>278</v>
      </c>
      <c r="H210" s="50">
        <v>5015</v>
      </c>
      <c r="I210" s="49" t="s">
        <v>2</v>
      </c>
      <c r="J210" s="50" t="s">
        <v>271</v>
      </c>
      <c r="K210" s="51">
        <v>41578</v>
      </c>
      <c r="L210" s="115">
        <v>41553</v>
      </c>
      <c r="M210" s="50">
        <f t="shared" si="4"/>
        <v>25</v>
      </c>
      <c r="N210" s="50" t="s">
        <v>2</v>
      </c>
      <c r="AF210" s="273"/>
      <c r="AH210" s="50">
        <f>5/2</f>
        <v>2.5</v>
      </c>
    </row>
    <row r="211" spans="1:34" ht="14">
      <c r="A211" s="404" t="s">
        <v>279</v>
      </c>
      <c r="B211" s="50" t="s">
        <v>1166</v>
      </c>
      <c r="C211" s="50" t="s">
        <v>1166</v>
      </c>
      <c r="D211" s="48" t="s">
        <v>347</v>
      </c>
      <c r="E211" s="50" t="s">
        <v>4810</v>
      </c>
      <c r="G211" s="76" t="s">
        <v>1168</v>
      </c>
      <c r="H211" s="50">
        <v>5015</v>
      </c>
      <c r="I211" s="49" t="s">
        <v>1</v>
      </c>
      <c r="J211" s="50" t="s">
        <v>271</v>
      </c>
      <c r="K211" s="51">
        <v>41605</v>
      </c>
      <c r="L211" s="115">
        <v>41595</v>
      </c>
      <c r="M211" s="50">
        <f t="shared" si="4"/>
        <v>10</v>
      </c>
      <c r="N211" s="50" t="s">
        <v>2</v>
      </c>
      <c r="AE211" s="50">
        <v>1.18</v>
      </c>
      <c r="AF211" s="273"/>
      <c r="AG211" s="50">
        <v>0.8</v>
      </c>
    </row>
    <row r="212" spans="1:34" ht="14">
      <c r="A212" s="74" t="s">
        <v>279</v>
      </c>
      <c r="B212" s="50" t="s">
        <v>1141</v>
      </c>
      <c r="C212" s="50" t="s">
        <v>1142</v>
      </c>
      <c r="D212" s="48" t="s">
        <v>397</v>
      </c>
      <c r="G212" s="76" t="s">
        <v>1143</v>
      </c>
      <c r="H212" s="50">
        <v>5015</v>
      </c>
      <c r="J212" s="50" t="s">
        <v>74</v>
      </c>
      <c r="K212" s="51">
        <v>41579</v>
      </c>
      <c r="L212" s="115"/>
      <c r="N212" s="50" t="s">
        <v>2</v>
      </c>
      <c r="O212" s="74">
        <v>2</v>
      </c>
      <c r="Q212" s="74">
        <v>8.31</v>
      </c>
      <c r="R212" s="50">
        <v>110</v>
      </c>
      <c r="S212" s="74">
        <v>140</v>
      </c>
      <c r="T212" s="50">
        <v>0.25</v>
      </c>
      <c r="U212" s="74">
        <v>0.87</v>
      </c>
      <c r="V212" s="50">
        <v>0.04</v>
      </c>
      <c r="W212" s="74">
        <v>6.9000000000000006E-2</v>
      </c>
      <c r="X212" s="50">
        <v>0.24299999999999999</v>
      </c>
      <c r="Y212" s="50">
        <v>0.27500000000000002</v>
      </c>
      <c r="Z212" s="164">
        <v>1</v>
      </c>
      <c r="AA212" s="165">
        <v>1</v>
      </c>
      <c r="AB212" s="50">
        <v>22</v>
      </c>
      <c r="AC212" s="74">
        <v>104</v>
      </c>
      <c r="AD212" s="164">
        <v>1</v>
      </c>
      <c r="AF212" s="273"/>
    </row>
    <row r="213" spans="1:34" ht="14">
      <c r="A213" s="404" t="s">
        <v>279</v>
      </c>
      <c r="B213" s="50" t="s">
        <v>1133</v>
      </c>
      <c r="C213" s="50" t="s">
        <v>1133</v>
      </c>
      <c r="D213" s="48" t="s">
        <v>314</v>
      </c>
      <c r="E213" s="50" t="s">
        <v>649</v>
      </c>
      <c r="G213" s="76" t="s">
        <v>650</v>
      </c>
      <c r="H213" s="50">
        <v>5015</v>
      </c>
      <c r="I213" s="49" t="s">
        <v>2</v>
      </c>
      <c r="J213" s="50" t="s">
        <v>271</v>
      </c>
      <c r="K213" s="51">
        <v>41617</v>
      </c>
      <c r="L213" s="115">
        <v>41614</v>
      </c>
      <c r="M213" s="50">
        <f t="shared" si="4"/>
        <v>3</v>
      </c>
      <c r="N213" s="50" t="s">
        <v>2</v>
      </c>
      <c r="AE213" s="50">
        <v>1.37</v>
      </c>
      <c r="AF213" s="273"/>
      <c r="AG213" s="50">
        <v>1.35</v>
      </c>
      <c r="AH213" s="50">
        <f>0.28/2</f>
        <v>0.14000000000000001</v>
      </c>
    </row>
    <row r="214" spans="1:34" ht="14">
      <c r="A214" s="404" t="s">
        <v>279</v>
      </c>
      <c r="B214" s="50" t="s">
        <v>1158</v>
      </c>
      <c r="C214" s="50" t="s">
        <v>1159</v>
      </c>
      <c r="D214" s="48" t="s">
        <v>1160</v>
      </c>
      <c r="E214" s="50" t="s">
        <v>1161</v>
      </c>
      <c r="G214" s="76" t="s">
        <v>1162</v>
      </c>
      <c r="H214" s="50">
        <v>5015</v>
      </c>
      <c r="I214" s="49" t="s">
        <v>2</v>
      </c>
      <c r="J214" s="50" t="s">
        <v>271</v>
      </c>
      <c r="K214" s="51">
        <v>41585</v>
      </c>
      <c r="L214" s="115">
        <v>41581</v>
      </c>
      <c r="M214" s="50">
        <f t="shared" si="4"/>
        <v>4</v>
      </c>
      <c r="N214" s="50" t="s">
        <v>2</v>
      </c>
      <c r="O214" s="74">
        <f>1.9/2</f>
        <v>0.95</v>
      </c>
      <c r="P214" s="50">
        <v>5.8</v>
      </c>
      <c r="Q214" s="74">
        <v>6.6</v>
      </c>
      <c r="R214" s="50">
        <v>100</v>
      </c>
      <c r="S214" s="74">
        <v>38</v>
      </c>
      <c r="T214" s="50">
        <v>0.29299999999999998</v>
      </c>
      <c r="U214" s="74">
        <v>1.4</v>
      </c>
      <c r="V214" s="50">
        <f>0.46/2</f>
        <v>0.23</v>
      </c>
      <c r="W214" s="74">
        <v>3.5999999999999997E-2</v>
      </c>
      <c r="X214" s="50">
        <v>0.124</v>
      </c>
      <c r="Y214" s="50">
        <v>5.3600000000000002E-2</v>
      </c>
      <c r="AE214" s="50">
        <v>2.44</v>
      </c>
      <c r="AF214" s="273"/>
      <c r="AG214" s="50">
        <v>1.57</v>
      </c>
      <c r="AH214" s="50">
        <f>1.1/2</f>
        <v>0.55000000000000004</v>
      </c>
    </row>
    <row r="215" spans="1:34" ht="14">
      <c r="A215" s="404" t="s">
        <v>279</v>
      </c>
      <c r="B215" s="50" t="s">
        <v>3792</v>
      </c>
      <c r="D215" s="48" t="s">
        <v>1537</v>
      </c>
      <c r="F215" s="7" t="s">
        <v>3653</v>
      </c>
      <c r="G215" s="15" t="s">
        <v>3654</v>
      </c>
      <c r="H215" s="7">
        <v>5093</v>
      </c>
      <c r="I215" s="49" t="s">
        <v>1</v>
      </c>
      <c r="J215" s="50" t="s">
        <v>3655</v>
      </c>
      <c r="K215" s="51">
        <v>41579</v>
      </c>
      <c r="L215" s="115"/>
      <c r="M215" s="115" t="s">
        <v>5440</v>
      </c>
      <c r="N215" s="50" t="s">
        <v>2</v>
      </c>
      <c r="O215" s="74">
        <v>25</v>
      </c>
      <c r="P215" s="50">
        <v>6.9</v>
      </c>
      <c r="Q215" s="74">
        <v>6.57</v>
      </c>
      <c r="R215" s="50">
        <v>240</v>
      </c>
      <c r="S215" s="74">
        <v>140</v>
      </c>
      <c r="T215" s="50">
        <v>0.27</v>
      </c>
      <c r="U215" s="74">
        <v>1.9</v>
      </c>
      <c r="V215" s="50">
        <v>0.43</v>
      </c>
      <c r="W215" s="74">
        <v>1.1000000000000001</v>
      </c>
      <c r="X215" s="50">
        <v>1.9</v>
      </c>
      <c r="Y215" s="50">
        <v>1.7</v>
      </c>
      <c r="Z215" s="164">
        <v>0.70699999999999996</v>
      </c>
      <c r="AA215" s="165">
        <v>0.46</v>
      </c>
      <c r="AB215" s="50">
        <v>69</v>
      </c>
      <c r="AC215" s="74">
        <v>173</v>
      </c>
      <c r="AD215" s="164">
        <v>0</v>
      </c>
      <c r="AE215" s="50">
        <v>15</v>
      </c>
      <c r="AF215" s="273">
        <v>1.2999999999999999E-3</v>
      </c>
      <c r="AG215" s="50">
        <v>4.8</v>
      </c>
      <c r="AH215" s="50">
        <f>100/2</f>
        <v>50</v>
      </c>
    </row>
    <row r="216" spans="1:34" ht="14">
      <c r="A216" s="404" t="s">
        <v>279</v>
      </c>
      <c r="B216" s="50" t="s">
        <v>5441</v>
      </c>
      <c r="C216" s="50" t="s">
        <v>5441</v>
      </c>
      <c r="D216" s="48" t="s">
        <v>372</v>
      </c>
      <c r="E216" s="50" t="s">
        <v>5442</v>
      </c>
      <c r="G216" s="76" t="s">
        <v>5443</v>
      </c>
      <c r="H216" s="50">
        <v>162552</v>
      </c>
      <c r="J216" s="50" t="s">
        <v>5444</v>
      </c>
      <c r="K216" s="51">
        <v>41345</v>
      </c>
      <c r="L216" s="115">
        <v>41341</v>
      </c>
      <c r="M216" s="50">
        <f t="shared" si="4"/>
        <v>4</v>
      </c>
      <c r="N216" s="50" t="s">
        <v>2</v>
      </c>
      <c r="O216" s="74">
        <v>1.2</v>
      </c>
      <c r="P216" s="50">
        <v>6.06</v>
      </c>
      <c r="Q216" s="74">
        <v>6.84</v>
      </c>
      <c r="R216" s="50">
        <v>6.8</v>
      </c>
      <c r="S216" s="74">
        <v>11.5</v>
      </c>
      <c r="T216" s="50">
        <f>0.05/2</f>
        <v>2.5000000000000001E-2</v>
      </c>
      <c r="U216" s="74">
        <v>0.47</v>
      </c>
      <c r="V216" s="50">
        <v>0.39</v>
      </c>
      <c r="W216" s="74">
        <v>0.03</v>
      </c>
      <c r="X216" s="50">
        <v>0.42</v>
      </c>
      <c r="Y216" s="50">
        <f>0.02/2</f>
        <v>0.01</v>
      </c>
      <c r="Z216" s="164">
        <v>1</v>
      </c>
      <c r="AA216" s="165">
        <v>0.95</v>
      </c>
      <c r="AB216" s="50">
        <v>40.299999999999997</v>
      </c>
      <c r="AC216" s="74">
        <v>167</v>
      </c>
      <c r="AD216" s="164">
        <v>0.45</v>
      </c>
      <c r="AE216" s="50">
        <v>0.17</v>
      </c>
      <c r="AF216" s="273">
        <f>0.0002/2</f>
        <v>1E-4</v>
      </c>
      <c r="AG216" s="50">
        <v>0.09</v>
      </c>
    </row>
    <row r="217" spans="1:34" ht="14">
      <c r="A217" s="404" t="s">
        <v>279</v>
      </c>
      <c r="B217" s="50" t="s">
        <v>5441</v>
      </c>
      <c r="C217" s="50" t="s">
        <v>5441</v>
      </c>
      <c r="D217" s="48" t="s">
        <v>372</v>
      </c>
      <c r="E217" s="50" t="s">
        <v>5442</v>
      </c>
      <c r="G217" s="76" t="s">
        <v>5443</v>
      </c>
      <c r="H217" s="50">
        <v>162552</v>
      </c>
      <c r="J217" s="50" t="s">
        <v>5444</v>
      </c>
      <c r="K217" s="51">
        <v>41270</v>
      </c>
      <c r="L217" s="115">
        <v>41266</v>
      </c>
      <c r="M217" s="50">
        <f t="shared" si="4"/>
        <v>4</v>
      </c>
      <c r="N217" s="50" t="s">
        <v>2</v>
      </c>
      <c r="AE217" s="50">
        <v>1.3</v>
      </c>
      <c r="AF217" s="273">
        <f>0.0002/2</f>
        <v>1E-4</v>
      </c>
      <c r="AG217" s="50">
        <f>0.01/2</f>
        <v>5.0000000000000001E-3</v>
      </c>
    </row>
    <row r="218" spans="1:34" ht="14">
      <c r="A218" s="404" t="s">
        <v>279</v>
      </c>
      <c r="B218" s="50" t="s">
        <v>3130</v>
      </c>
      <c r="C218" s="50" t="s">
        <v>3130</v>
      </c>
      <c r="D218" s="48" t="s">
        <v>276</v>
      </c>
      <c r="E218" s="50" t="s">
        <v>1151</v>
      </c>
      <c r="G218" s="76" t="s">
        <v>3131</v>
      </c>
      <c r="H218" s="50">
        <v>5015</v>
      </c>
      <c r="I218" s="49" t="s">
        <v>2</v>
      </c>
      <c r="J218" s="50" t="s">
        <v>271</v>
      </c>
      <c r="K218" s="51">
        <v>41553</v>
      </c>
      <c r="L218" s="115">
        <v>41538</v>
      </c>
      <c r="M218" s="50">
        <f t="shared" si="4"/>
        <v>15</v>
      </c>
      <c r="N218" s="50" t="s">
        <v>2</v>
      </c>
      <c r="S218" s="74">
        <v>130</v>
      </c>
      <c r="X218" s="50">
        <v>0.1</v>
      </c>
      <c r="AE218" s="50">
        <v>4.47</v>
      </c>
      <c r="AF218" s="273"/>
      <c r="AG218" s="50">
        <v>3.16</v>
      </c>
      <c r="AH218" s="50">
        <f>3.6/2</f>
        <v>1.8</v>
      </c>
    </row>
    <row r="219" spans="1:34" ht="14">
      <c r="A219" s="404" t="s">
        <v>279</v>
      </c>
      <c r="B219" s="50" t="s">
        <v>1133</v>
      </c>
      <c r="C219" s="50" t="s">
        <v>1133</v>
      </c>
      <c r="D219" s="48" t="s">
        <v>314</v>
      </c>
      <c r="E219" s="50" t="s">
        <v>649</v>
      </c>
      <c r="G219" s="76" t="s">
        <v>650</v>
      </c>
      <c r="H219" s="50">
        <v>5015</v>
      </c>
      <c r="I219" s="49" t="s">
        <v>2</v>
      </c>
      <c r="J219" s="50" t="s">
        <v>271</v>
      </c>
      <c r="K219" s="51">
        <v>41579</v>
      </c>
      <c r="L219" s="115">
        <v>41554</v>
      </c>
      <c r="M219" s="50">
        <f t="shared" si="4"/>
        <v>25</v>
      </c>
      <c r="N219" s="50" t="s">
        <v>2</v>
      </c>
      <c r="AE219" s="50">
        <v>11.2</v>
      </c>
      <c r="AF219" s="273"/>
      <c r="AG219" s="50">
        <v>6.92</v>
      </c>
    </row>
    <row r="220" spans="1:34" ht="14">
      <c r="A220" s="404" t="s">
        <v>279</v>
      </c>
      <c r="B220" s="50" t="s">
        <v>1216</v>
      </c>
      <c r="C220" s="50" t="s">
        <v>1216</v>
      </c>
      <c r="D220" s="48" t="s">
        <v>1217</v>
      </c>
      <c r="E220" s="50" t="s">
        <v>1218</v>
      </c>
      <c r="G220" s="76" t="s">
        <v>1219</v>
      </c>
      <c r="H220" s="50">
        <v>5015</v>
      </c>
      <c r="I220" s="49" t="s">
        <v>2</v>
      </c>
      <c r="J220" s="50" t="s">
        <v>271</v>
      </c>
      <c r="K220" s="51">
        <v>41478</v>
      </c>
      <c r="L220" s="115">
        <v>41467</v>
      </c>
      <c r="M220" s="50">
        <f t="shared" si="4"/>
        <v>11</v>
      </c>
      <c r="N220" s="50" t="s">
        <v>2</v>
      </c>
      <c r="O220" s="74">
        <v>2.9</v>
      </c>
      <c r="P220" s="50">
        <v>6.52</v>
      </c>
      <c r="Q220" s="74">
        <v>6.38</v>
      </c>
      <c r="R220" s="50">
        <v>76</v>
      </c>
      <c r="S220" s="74">
        <v>37</v>
      </c>
      <c r="T220" s="50">
        <v>0.51</v>
      </c>
      <c r="U220" s="74">
        <v>2.4</v>
      </c>
      <c r="V220" s="50">
        <f>0.05/2</f>
        <v>2.5000000000000001E-2</v>
      </c>
      <c r="W220" s="74">
        <v>1.4E-2</v>
      </c>
      <c r="X220" s="50">
        <v>9.5000000000000001E-2</v>
      </c>
      <c r="Y220" s="50">
        <v>7.0000000000000001E-3</v>
      </c>
      <c r="AE220" s="50">
        <v>1.61</v>
      </c>
      <c r="AF220" s="273"/>
      <c r="AG220" s="50">
        <v>0.96699999999999997</v>
      </c>
      <c r="AH220" s="50">
        <f>0.06/2</f>
        <v>0.03</v>
      </c>
    </row>
    <row r="221" spans="1:34" ht="14">
      <c r="A221" s="404" t="s">
        <v>279</v>
      </c>
      <c r="B221" s="50" t="s">
        <v>1216</v>
      </c>
      <c r="C221" s="50" t="s">
        <v>1216</v>
      </c>
      <c r="D221" s="48" t="s">
        <v>1217</v>
      </c>
      <c r="E221" s="50" t="s">
        <v>1218</v>
      </c>
      <c r="G221" s="76" t="s">
        <v>1219</v>
      </c>
      <c r="H221" s="50">
        <v>5015</v>
      </c>
      <c r="I221" s="49" t="s">
        <v>2</v>
      </c>
      <c r="J221" s="50" t="s">
        <v>271</v>
      </c>
      <c r="K221" s="51">
        <v>41577</v>
      </c>
      <c r="L221" s="115">
        <v>41553</v>
      </c>
      <c r="M221" s="50">
        <f t="shared" si="4"/>
        <v>24</v>
      </c>
      <c r="N221" s="50" t="s">
        <v>2</v>
      </c>
      <c r="AE221" s="50">
        <v>6.18</v>
      </c>
      <c r="AF221" s="273"/>
      <c r="AG221" s="50">
        <v>3.18</v>
      </c>
    </row>
    <row r="222" spans="1:34" ht="14">
      <c r="A222" s="404" t="s">
        <v>279</v>
      </c>
      <c r="B222" s="50" t="s">
        <v>1152</v>
      </c>
      <c r="C222" s="50" t="s">
        <v>1152</v>
      </c>
      <c r="D222" s="48" t="s">
        <v>379</v>
      </c>
      <c r="E222" s="7" t="s">
        <v>1151</v>
      </c>
      <c r="G222" s="76" t="s">
        <v>1154</v>
      </c>
      <c r="H222" s="50">
        <v>5015</v>
      </c>
      <c r="I222" s="49" t="s">
        <v>1</v>
      </c>
      <c r="J222" s="50" t="s">
        <v>271</v>
      </c>
      <c r="K222" s="51">
        <v>41551</v>
      </c>
      <c r="L222" s="115">
        <v>41538</v>
      </c>
      <c r="M222" s="50">
        <f t="shared" si="4"/>
        <v>13</v>
      </c>
      <c r="N222" s="50" t="s">
        <v>2</v>
      </c>
      <c r="AE222" s="50">
        <v>36.5</v>
      </c>
      <c r="AF222" s="273"/>
      <c r="AG222" s="50">
        <v>23.2</v>
      </c>
    </row>
    <row r="223" spans="1:34" ht="14">
      <c r="A223" s="404" t="s">
        <v>279</v>
      </c>
      <c r="B223" s="50" t="s">
        <v>5448</v>
      </c>
      <c r="C223" s="7" t="s">
        <v>1128</v>
      </c>
      <c r="D223" s="48" t="s">
        <v>1129</v>
      </c>
      <c r="G223" s="76" t="s">
        <v>1131</v>
      </c>
      <c r="H223" s="50" t="s">
        <v>5449</v>
      </c>
      <c r="J223" s="7" t="s">
        <v>1132</v>
      </c>
      <c r="K223" s="51">
        <v>41464</v>
      </c>
      <c r="L223" s="115"/>
      <c r="N223" s="50" t="s">
        <v>2</v>
      </c>
      <c r="O223" s="74">
        <f>1/2</f>
        <v>0.5</v>
      </c>
      <c r="P223" s="50">
        <v>5.94</v>
      </c>
      <c r="Q223" s="74">
        <v>6.42</v>
      </c>
      <c r="R223" s="50">
        <v>32</v>
      </c>
      <c r="S223" s="74">
        <v>538</v>
      </c>
      <c r="T223" s="50">
        <v>0.04</v>
      </c>
      <c r="U223" s="74">
        <v>3.89</v>
      </c>
      <c r="V223" s="50">
        <v>1.77</v>
      </c>
      <c r="W223" s="74">
        <v>0.32</v>
      </c>
      <c r="X223" s="50">
        <v>2</v>
      </c>
      <c r="Y223" s="50">
        <v>0.7</v>
      </c>
      <c r="AE223" s="50">
        <v>9.9</v>
      </c>
      <c r="AF223" s="273">
        <f>0.0002/2</f>
        <v>1E-4</v>
      </c>
      <c r="AG223" s="50">
        <v>11</v>
      </c>
      <c r="AH223" s="50">
        <f>20/2</f>
        <v>10</v>
      </c>
    </row>
    <row r="224" spans="1:34" ht="14">
      <c r="A224" s="404" t="s">
        <v>279</v>
      </c>
      <c r="B224" s="50" t="s">
        <v>3130</v>
      </c>
      <c r="C224" s="50" t="s">
        <v>3130</v>
      </c>
      <c r="D224" s="48" t="s">
        <v>276</v>
      </c>
      <c r="E224" s="50" t="s">
        <v>1151</v>
      </c>
      <c r="G224" s="76" t="s">
        <v>3131</v>
      </c>
      <c r="H224" s="50">
        <v>5015</v>
      </c>
      <c r="I224" s="49" t="s">
        <v>2</v>
      </c>
      <c r="J224" s="50" t="s">
        <v>271</v>
      </c>
      <c r="K224" s="51">
        <v>41596</v>
      </c>
      <c r="L224" s="115">
        <v>41590</v>
      </c>
      <c r="M224" s="50">
        <f t="shared" si="4"/>
        <v>6</v>
      </c>
      <c r="N224" s="50" t="s">
        <v>2</v>
      </c>
      <c r="AF224" s="273">
        <v>4.32</v>
      </c>
      <c r="AG224" s="50">
        <f>0.0002/2</f>
        <v>1E-4</v>
      </c>
      <c r="AH224" s="50">
        <v>2.64</v>
      </c>
    </row>
    <row r="225" spans="1:34" ht="14">
      <c r="A225" s="404" t="s">
        <v>279</v>
      </c>
      <c r="B225" s="50" t="s">
        <v>5450</v>
      </c>
      <c r="C225" s="50" t="s">
        <v>5450</v>
      </c>
      <c r="D225" s="48" t="s">
        <v>338</v>
      </c>
      <c r="E225" s="50" t="s">
        <v>3185</v>
      </c>
      <c r="F225" s="48" t="s">
        <v>5451</v>
      </c>
      <c r="G225" s="76" t="s">
        <v>5452</v>
      </c>
      <c r="H225" s="50">
        <v>5015</v>
      </c>
      <c r="I225" s="49" t="s">
        <v>2</v>
      </c>
      <c r="J225" s="50" t="s">
        <v>840</v>
      </c>
      <c r="K225" s="51">
        <v>41579</v>
      </c>
      <c r="L225" s="115">
        <v>41539</v>
      </c>
      <c r="M225" s="50">
        <f t="shared" si="4"/>
        <v>40</v>
      </c>
      <c r="N225" s="50" t="s">
        <v>2</v>
      </c>
      <c r="O225" s="74">
        <v>26.7</v>
      </c>
      <c r="P225" s="50">
        <v>5.16</v>
      </c>
      <c r="Q225" s="74">
        <v>6.9</v>
      </c>
      <c r="R225" s="50">
        <v>180</v>
      </c>
      <c r="S225" s="74">
        <v>383</v>
      </c>
      <c r="T225" s="50">
        <v>0.38</v>
      </c>
      <c r="U225" s="74">
        <v>2.06</v>
      </c>
      <c r="V225" s="50">
        <v>0.1</v>
      </c>
      <c r="W225" s="74">
        <v>8.4000000000000005E-2</v>
      </c>
      <c r="X225" s="50">
        <v>0.23</v>
      </c>
      <c r="Y225" s="50">
        <v>6.4000000000000001E-2</v>
      </c>
      <c r="Z225" s="164">
        <v>1</v>
      </c>
      <c r="AA225" s="165">
        <v>1</v>
      </c>
      <c r="AB225" s="50">
        <v>21</v>
      </c>
      <c r="AC225" s="74">
        <v>19</v>
      </c>
      <c r="AD225" s="164">
        <v>1</v>
      </c>
      <c r="AE225" s="50">
        <v>8.4</v>
      </c>
      <c r="AF225" s="273">
        <f>0.0004/2</f>
        <v>2.0000000000000001E-4</v>
      </c>
      <c r="AG225" s="50">
        <v>6.04</v>
      </c>
      <c r="AH225" s="50">
        <f>5000/2</f>
        <v>2500</v>
      </c>
    </row>
    <row r="226" spans="1:34" ht="14">
      <c r="A226" s="404" t="s">
        <v>279</v>
      </c>
      <c r="B226" s="50" t="s">
        <v>1171</v>
      </c>
      <c r="C226" s="50" t="s">
        <v>1171</v>
      </c>
      <c r="D226" s="48" t="s">
        <v>516</v>
      </c>
      <c r="E226" s="7" t="s">
        <v>4192</v>
      </c>
      <c r="G226" s="76" t="s">
        <v>1173</v>
      </c>
      <c r="H226" s="50">
        <v>5015</v>
      </c>
      <c r="I226" s="49" t="s">
        <v>1</v>
      </c>
      <c r="J226" s="50" t="s">
        <v>271</v>
      </c>
      <c r="K226" s="51">
        <v>41600</v>
      </c>
      <c r="L226" s="115">
        <v>41595</v>
      </c>
      <c r="M226" s="50">
        <f t="shared" si="4"/>
        <v>5</v>
      </c>
      <c r="N226" s="50" t="s">
        <v>2</v>
      </c>
      <c r="AE226" s="50">
        <v>18.2</v>
      </c>
      <c r="AF226" s="273"/>
      <c r="AG226" s="50">
        <v>13.2</v>
      </c>
    </row>
    <row r="227" spans="1:34" ht="14">
      <c r="A227" s="404" t="s">
        <v>279</v>
      </c>
      <c r="B227" s="50" t="s">
        <v>651</v>
      </c>
      <c r="C227" s="50" t="s">
        <v>652</v>
      </c>
      <c r="D227" s="48" t="s">
        <v>462</v>
      </c>
      <c r="E227" s="7" t="s">
        <v>653</v>
      </c>
      <c r="G227" s="76" t="s">
        <v>654</v>
      </c>
      <c r="H227" s="50">
        <v>5015</v>
      </c>
      <c r="I227" s="49" t="s">
        <v>2</v>
      </c>
      <c r="J227" s="50" t="s">
        <v>271</v>
      </c>
      <c r="K227" s="51">
        <v>41600</v>
      </c>
      <c r="L227" s="115">
        <v>41595</v>
      </c>
      <c r="M227" s="50">
        <f t="shared" si="4"/>
        <v>5</v>
      </c>
      <c r="N227" s="50" t="s">
        <v>2</v>
      </c>
      <c r="AE227" s="50">
        <v>0.879</v>
      </c>
      <c r="AF227" s="273"/>
      <c r="AG227" s="50">
        <v>0.44</v>
      </c>
    </row>
    <row r="228" spans="1:34" ht="14">
      <c r="A228" s="404" t="s">
        <v>279</v>
      </c>
      <c r="B228" s="50" t="s">
        <v>1171</v>
      </c>
      <c r="C228" s="50" t="s">
        <v>1171</v>
      </c>
      <c r="D228" s="48" t="s">
        <v>516</v>
      </c>
      <c r="E228" s="7" t="s">
        <v>4192</v>
      </c>
      <c r="G228" s="76" t="s">
        <v>1173</v>
      </c>
      <c r="H228" s="50">
        <v>5015</v>
      </c>
      <c r="I228" s="49" t="s">
        <v>1</v>
      </c>
      <c r="J228" s="50" t="s">
        <v>271</v>
      </c>
      <c r="K228" s="51">
        <v>41645</v>
      </c>
      <c r="L228" s="115">
        <v>41641</v>
      </c>
      <c r="M228" s="50">
        <f t="shared" si="4"/>
        <v>4</v>
      </c>
      <c r="N228" s="50" t="s">
        <v>2</v>
      </c>
      <c r="O228" s="74">
        <f>1.8/2</f>
        <v>0.9</v>
      </c>
      <c r="R228" s="50">
        <v>36</v>
      </c>
      <c r="S228" s="74">
        <v>120</v>
      </c>
      <c r="T228" s="50">
        <v>0.42</v>
      </c>
      <c r="U228" s="74">
        <v>1.73</v>
      </c>
      <c r="W228" s="74">
        <v>7.2999999999999995E-2</v>
      </c>
      <c r="X228" s="50">
        <v>0.23499999999999999</v>
      </c>
      <c r="Y228" s="50">
        <v>0.13600000000000001</v>
      </c>
      <c r="AE228" s="50">
        <v>4.07</v>
      </c>
      <c r="AF228" s="273"/>
      <c r="AG228" s="50">
        <v>4.66</v>
      </c>
    </row>
    <row r="229" spans="1:34" ht="14">
      <c r="A229" s="404" t="s">
        <v>279</v>
      </c>
      <c r="B229" s="50" t="s">
        <v>1138</v>
      </c>
      <c r="C229" s="50" t="s">
        <v>1138</v>
      </c>
      <c r="D229" s="48" t="s">
        <v>548</v>
      </c>
      <c r="E229" s="7" t="s">
        <v>1139</v>
      </c>
      <c r="G229" s="76" t="s">
        <v>1140</v>
      </c>
      <c r="H229" s="50">
        <v>5015</v>
      </c>
      <c r="I229" s="49" t="s">
        <v>2</v>
      </c>
      <c r="J229" s="50" t="s">
        <v>271</v>
      </c>
      <c r="K229" s="51">
        <v>41605</v>
      </c>
      <c r="L229" s="115">
        <v>41595</v>
      </c>
      <c r="M229" s="50">
        <f t="shared" si="4"/>
        <v>10</v>
      </c>
      <c r="N229" s="50" t="s">
        <v>2</v>
      </c>
      <c r="AE229" s="50">
        <v>0.23</v>
      </c>
      <c r="AF229" s="273"/>
      <c r="AG229" s="50">
        <v>0.19</v>
      </c>
    </row>
    <row r="230" spans="1:34" ht="14">
      <c r="A230" s="404" t="s">
        <v>279</v>
      </c>
      <c r="B230" s="50" t="s">
        <v>1155</v>
      </c>
      <c r="C230" s="50" t="s">
        <v>1155</v>
      </c>
      <c r="D230" s="48" t="s">
        <v>350</v>
      </c>
      <c r="E230" s="50" t="s">
        <v>1156</v>
      </c>
      <c r="F230" s="48"/>
      <c r="G230" s="76" t="s">
        <v>1157</v>
      </c>
      <c r="H230" s="50">
        <v>5015</v>
      </c>
      <c r="I230" s="49" t="s">
        <v>1</v>
      </c>
      <c r="J230" s="50" t="s">
        <v>271</v>
      </c>
      <c r="K230" s="51">
        <v>41605</v>
      </c>
      <c r="L230" s="115">
        <v>41600</v>
      </c>
      <c r="M230" s="50">
        <f t="shared" si="4"/>
        <v>5</v>
      </c>
      <c r="N230" s="50" t="s">
        <v>2</v>
      </c>
      <c r="S230" s="74">
        <v>270</v>
      </c>
      <c r="W230" s="74">
        <v>5.1999999999999998E-2</v>
      </c>
      <c r="X230" s="50">
        <v>0.36499999999999999</v>
      </c>
      <c r="Y230" s="50">
        <v>0.316</v>
      </c>
      <c r="AE230" s="50">
        <v>9.73</v>
      </c>
      <c r="AF230" s="273"/>
      <c r="AG230" s="50">
        <v>7.51</v>
      </c>
      <c r="AH230" s="50">
        <f>0.18/2</f>
        <v>0.09</v>
      </c>
    </row>
    <row r="231" spans="1:34" ht="14">
      <c r="A231" s="404" t="s">
        <v>279</v>
      </c>
      <c r="B231" s="50" t="s">
        <v>651</v>
      </c>
      <c r="C231" s="50" t="s">
        <v>652</v>
      </c>
      <c r="D231" s="48" t="s">
        <v>462</v>
      </c>
      <c r="E231" s="50" t="s">
        <v>653</v>
      </c>
      <c r="G231" s="76" t="s">
        <v>654</v>
      </c>
      <c r="H231" s="50">
        <v>5015</v>
      </c>
      <c r="I231" s="49" t="s">
        <v>2</v>
      </c>
      <c r="J231" s="50" t="s">
        <v>271</v>
      </c>
      <c r="K231" s="51">
        <v>41645</v>
      </c>
      <c r="L231" s="115">
        <v>41641</v>
      </c>
      <c r="M231" s="50">
        <f t="shared" si="4"/>
        <v>4</v>
      </c>
      <c r="N231" s="50" t="s">
        <v>2</v>
      </c>
      <c r="V231" s="50">
        <v>0.06</v>
      </c>
      <c r="AE231" s="50">
        <v>3.5000000000000003E-2</v>
      </c>
      <c r="AF231" s="273"/>
      <c r="AH231" s="50">
        <f>0.1/2</f>
        <v>0.05</v>
      </c>
    </row>
    <row r="232" spans="1:34" ht="14">
      <c r="A232" s="404" t="s">
        <v>279</v>
      </c>
      <c r="B232" s="50" t="s">
        <v>1158</v>
      </c>
      <c r="C232" s="50" t="s">
        <v>3650</v>
      </c>
      <c r="D232" s="48" t="s">
        <v>1160</v>
      </c>
      <c r="E232" s="50" t="s">
        <v>3651</v>
      </c>
      <c r="G232" s="76" t="s">
        <v>3652</v>
      </c>
      <c r="H232" s="50">
        <v>5015</v>
      </c>
      <c r="I232" s="49" t="s">
        <v>2</v>
      </c>
      <c r="J232" s="50" t="s">
        <v>271</v>
      </c>
      <c r="K232" s="51">
        <v>41585</v>
      </c>
      <c r="L232" s="115">
        <v>41581</v>
      </c>
      <c r="M232" s="50">
        <f t="shared" si="4"/>
        <v>4</v>
      </c>
      <c r="N232" s="50" t="s">
        <v>2</v>
      </c>
      <c r="O232" s="74">
        <f>1.9/2</f>
        <v>0.95</v>
      </c>
      <c r="P232" s="50">
        <v>5.8</v>
      </c>
      <c r="Q232" s="74">
        <v>6.3</v>
      </c>
      <c r="R232" s="50">
        <v>56</v>
      </c>
      <c r="S232" s="74">
        <v>195</v>
      </c>
      <c r="T232" s="50">
        <v>0.29299999999999998</v>
      </c>
      <c r="U232" s="74">
        <v>1.3</v>
      </c>
      <c r="V232" s="50">
        <v>0.53</v>
      </c>
      <c r="W232" s="74">
        <v>2.5999999999999999E-2</v>
      </c>
      <c r="X232" s="50">
        <v>5.0999999999999997E-2</v>
      </c>
      <c r="Y232" s="50">
        <v>1.7299999999999999E-2</v>
      </c>
      <c r="AE232" s="50">
        <v>16.2</v>
      </c>
      <c r="AF232" s="273">
        <f>0.0002/2</f>
        <v>1E-4</v>
      </c>
      <c r="AG232" s="50">
        <v>15.3</v>
      </c>
      <c r="AH232" s="50">
        <f>1.2/2</f>
        <v>0.6</v>
      </c>
    </row>
    <row r="233" spans="1:34" ht="14">
      <c r="A233" s="404" t="s">
        <v>279</v>
      </c>
      <c r="B233" s="50" t="s">
        <v>5882</v>
      </c>
      <c r="C233" s="50" t="s">
        <v>5882</v>
      </c>
      <c r="D233" s="48" t="s">
        <v>165</v>
      </c>
      <c r="G233" s="76" t="s">
        <v>5883</v>
      </c>
      <c r="H233" s="50">
        <v>5015</v>
      </c>
      <c r="I233" s="49" t="s">
        <v>2</v>
      </c>
      <c r="J233" s="50" t="s">
        <v>5884</v>
      </c>
      <c r="K233" s="51">
        <v>41585</v>
      </c>
      <c r="L233" s="115"/>
      <c r="N233" s="50" t="s">
        <v>2</v>
      </c>
      <c r="O233" s="74">
        <f>1/2</f>
        <v>0.5</v>
      </c>
      <c r="Q233" s="74">
        <v>6.45</v>
      </c>
      <c r="R233" s="50">
        <v>85</v>
      </c>
      <c r="S233" s="74">
        <v>160</v>
      </c>
      <c r="T233" s="50">
        <v>0.03</v>
      </c>
      <c r="U233" s="74">
        <v>1.53</v>
      </c>
      <c r="V233" s="50">
        <v>0.01</v>
      </c>
      <c r="W233" s="74">
        <v>0.22</v>
      </c>
      <c r="X233" s="50">
        <v>0.2</v>
      </c>
      <c r="Y233" s="50">
        <v>0.19</v>
      </c>
      <c r="Z233" s="164">
        <v>0.78800000000000003</v>
      </c>
      <c r="AA233" s="165">
        <v>0.60199999999999998</v>
      </c>
      <c r="AB233" s="50">
        <v>28</v>
      </c>
      <c r="AC233" s="74">
        <v>118</v>
      </c>
      <c r="AD233" s="164">
        <v>0.15</v>
      </c>
      <c r="AE233" s="50">
        <v>5.39</v>
      </c>
      <c r="AF233" s="273">
        <f>0.0005/2</f>
        <v>2.5000000000000001E-4</v>
      </c>
      <c r="AG233" s="50">
        <v>1.97</v>
      </c>
    </row>
    <row r="234" spans="1:34" ht="14">
      <c r="A234" s="404" t="s">
        <v>279</v>
      </c>
      <c r="B234" s="50" t="s">
        <v>486</v>
      </c>
      <c r="C234" s="50" t="s">
        <v>486</v>
      </c>
      <c r="D234" s="48" t="s">
        <v>372</v>
      </c>
      <c r="E234" s="50" t="s">
        <v>487</v>
      </c>
      <c r="G234" s="76" t="s">
        <v>488</v>
      </c>
      <c r="H234" s="50">
        <v>5015</v>
      </c>
      <c r="I234" s="49" t="s">
        <v>1</v>
      </c>
      <c r="J234" s="50" t="s">
        <v>271</v>
      </c>
      <c r="K234" s="51">
        <v>41631</v>
      </c>
      <c r="L234" s="115">
        <v>41625</v>
      </c>
      <c r="N234" s="50" t="s">
        <v>1</v>
      </c>
      <c r="S234" s="74">
        <v>195.5</v>
      </c>
      <c r="W234" s="74">
        <v>0.28000000000000003</v>
      </c>
      <c r="X234" s="50">
        <v>0.74</v>
      </c>
      <c r="Y234" s="50">
        <v>0.37</v>
      </c>
      <c r="AE234" s="50">
        <v>32.5</v>
      </c>
      <c r="AF234" s="273"/>
      <c r="AG234" s="50">
        <v>17.5</v>
      </c>
      <c r="AH234" s="50">
        <f>10/2</f>
        <v>5</v>
      </c>
    </row>
    <row r="235" spans="1:34" ht="14">
      <c r="A235" s="404" t="s">
        <v>279</v>
      </c>
      <c r="B235" s="50" t="s">
        <v>5441</v>
      </c>
      <c r="C235" s="50" t="s">
        <v>5441</v>
      </c>
      <c r="D235" s="48" t="s">
        <v>372</v>
      </c>
      <c r="E235" s="50" t="s">
        <v>235</v>
      </c>
      <c r="G235" s="76" t="s">
        <v>5443</v>
      </c>
      <c r="H235" s="50">
        <v>162552</v>
      </c>
      <c r="J235" s="50" t="s">
        <v>5444</v>
      </c>
      <c r="K235" s="51">
        <v>41131</v>
      </c>
      <c r="L235" s="115">
        <v>41126</v>
      </c>
      <c r="N235" s="50" t="s">
        <v>2</v>
      </c>
      <c r="O235" s="74">
        <v>5.9</v>
      </c>
      <c r="P235" s="50">
        <v>6.6</v>
      </c>
      <c r="Q235" s="74">
        <v>6.74</v>
      </c>
      <c r="R235" s="50">
        <v>23.7</v>
      </c>
      <c r="S235" s="74">
        <v>29.5</v>
      </c>
      <c r="T235" s="50">
        <v>0.13</v>
      </c>
      <c r="U235" s="74">
        <v>0.9</v>
      </c>
      <c r="V235" s="50">
        <v>0.4</v>
      </c>
      <c r="W235" s="74">
        <v>0.02</v>
      </c>
      <c r="X235" s="50">
        <v>0.09</v>
      </c>
      <c r="Y235" s="50">
        <f>0.02/2</f>
        <v>0.01</v>
      </c>
      <c r="AE235" s="50">
        <v>2.2599999999999998</v>
      </c>
      <c r="AF235" s="273">
        <f>0.0002/2</f>
        <v>1E-4</v>
      </c>
      <c r="AG235" s="50">
        <v>1.72</v>
      </c>
      <c r="AH235" s="50">
        <f>10/2</f>
        <v>5</v>
      </c>
    </row>
    <row r="236" spans="1:34" ht="14">
      <c r="A236" s="74" t="s">
        <v>279</v>
      </c>
      <c r="B236" s="50" t="s">
        <v>5441</v>
      </c>
      <c r="C236" s="50" t="s">
        <v>5441</v>
      </c>
      <c r="D236" s="48" t="s">
        <v>372</v>
      </c>
      <c r="E236" s="50" t="s">
        <v>235</v>
      </c>
      <c r="G236" s="76" t="s">
        <v>5443</v>
      </c>
      <c r="H236" s="50">
        <v>162552</v>
      </c>
      <c r="K236" s="51">
        <v>40996</v>
      </c>
      <c r="L236" s="115">
        <v>40998</v>
      </c>
      <c r="O236" s="74">
        <v>3.2</v>
      </c>
      <c r="Q236" s="74">
        <v>5.55</v>
      </c>
      <c r="R236" s="50">
        <v>63</v>
      </c>
      <c r="S236" s="74">
        <v>377</v>
      </c>
      <c r="T236" s="50">
        <v>0.42</v>
      </c>
      <c r="U236" s="74">
        <v>2.35</v>
      </c>
      <c r="V236" s="50">
        <v>2</v>
      </c>
      <c r="W236" s="74">
        <v>0.08</v>
      </c>
      <c r="X236" s="50">
        <v>0.57999999999999996</v>
      </c>
      <c r="Y236" s="50">
        <v>0.05</v>
      </c>
      <c r="Z236" s="164">
        <v>1</v>
      </c>
      <c r="AA236" s="165">
        <v>1</v>
      </c>
      <c r="AB236" s="50">
        <v>47.4</v>
      </c>
      <c r="AC236" s="74">
        <v>168</v>
      </c>
      <c r="AD236" s="164">
        <v>0.65</v>
      </c>
      <c r="AE236" s="50">
        <v>25.1</v>
      </c>
      <c r="AF236" s="273">
        <f>0.0002/2</f>
        <v>1E-4</v>
      </c>
      <c r="AG236" s="50">
        <v>18.350000000000001</v>
      </c>
    </row>
    <row r="237" spans="1:34" ht="14">
      <c r="A237" s="74" t="s">
        <v>279</v>
      </c>
      <c r="B237" s="50" t="s">
        <v>5441</v>
      </c>
      <c r="C237" s="50" t="s">
        <v>5441</v>
      </c>
      <c r="D237" s="48" t="s">
        <v>372</v>
      </c>
      <c r="E237" s="50" t="s">
        <v>235</v>
      </c>
      <c r="G237" s="76" t="s">
        <v>5443</v>
      </c>
      <c r="H237" s="50">
        <v>162552</v>
      </c>
      <c r="K237" s="51">
        <v>41428</v>
      </c>
      <c r="L237" s="115">
        <v>41419</v>
      </c>
      <c r="N237" s="50" t="s">
        <v>2</v>
      </c>
      <c r="O237" s="74">
        <f>1/2</f>
        <v>0.5</v>
      </c>
      <c r="P237" s="50">
        <v>7.15</v>
      </c>
      <c r="Q237" s="74">
        <v>7.15</v>
      </c>
      <c r="R237" s="50">
        <v>10.3</v>
      </c>
      <c r="S237" s="74">
        <v>16.5</v>
      </c>
      <c r="T237" s="50">
        <f>0.05/2</f>
        <v>2.5000000000000001E-2</v>
      </c>
      <c r="U237" s="74">
        <v>0.85</v>
      </c>
      <c r="V237" s="50">
        <v>0.59</v>
      </c>
      <c r="W237" s="74">
        <v>0.05</v>
      </c>
      <c r="X237" s="50">
        <v>0.18</v>
      </c>
      <c r="Y237" s="50">
        <f>0.02/2</f>
        <v>0.01</v>
      </c>
      <c r="AE237" s="50">
        <v>0.82</v>
      </c>
      <c r="AF237" s="273">
        <f>0.0002/2</f>
        <v>1E-4</v>
      </c>
      <c r="AG237" s="50">
        <v>0.67</v>
      </c>
    </row>
    <row r="238" spans="1:34" ht="14">
      <c r="A238" s="404" t="s">
        <v>279</v>
      </c>
      <c r="B238" s="50" t="s">
        <v>5441</v>
      </c>
      <c r="C238" s="50" t="s">
        <v>5441</v>
      </c>
      <c r="D238" s="48" t="s">
        <v>372</v>
      </c>
      <c r="E238" s="50" t="s">
        <v>235</v>
      </c>
      <c r="G238" s="76" t="s">
        <v>5443</v>
      </c>
      <c r="H238" s="50">
        <v>195885</v>
      </c>
      <c r="J238" s="50" t="s">
        <v>5444</v>
      </c>
      <c r="K238" s="51">
        <v>41631</v>
      </c>
      <c r="L238" s="115">
        <v>41625</v>
      </c>
      <c r="N238" s="50" t="s">
        <v>2</v>
      </c>
      <c r="O238" s="74">
        <v>2.9</v>
      </c>
      <c r="P238" s="50">
        <v>7.32</v>
      </c>
      <c r="Q238" s="74">
        <v>6.62</v>
      </c>
      <c r="R238" s="50">
        <v>41.6</v>
      </c>
      <c r="S238" s="74">
        <v>30.5</v>
      </c>
      <c r="T238" s="50">
        <f>0.05/2</f>
        <v>2.5000000000000001E-2</v>
      </c>
      <c r="U238" s="74">
        <v>0.71</v>
      </c>
      <c r="V238" s="50">
        <v>0.45</v>
      </c>
      <c r="W238" s="74">
        <v>7.0000000000000007E-2</v>
      </c>
      <c r="X238" s="50">
        <v>0.3</v>
      </c>
      <c r="Y238" s="50">
        <v>0.04</v>
      </c>
      <c r="AE238" s="50">
        <v>4.32</v>
      </c>
      <c r="AF238" s="273">
        <f>0.0002</f>
        <v>2.0000000000000001E-4</v>
      </c>
      <c r="AG238" s="50">
        <v>3.18</v>
      </c>
      <c r="AH238" s="50">
        <f>10/2</f>
        <v>5</v>
      </c>
    </row>
    <row r="239" spans="1:34" ht="14">
      <c r="A239" s="404" t="s">
        <v>279</v>
      </c>
      <c r="B239" s="50" t="s">
        <v>1152</v>
      </c>
      <c r="C239" s="50" t="s">
        <v>1152</v>
      </c>
      <c r="D239" s="48" t="s">
        <v>379</v>
      </c>
      <c r="E239" s="50" t="s">
        <v>1151</v>
      </c>
      <c r="G239" s="76" t="s">
        <v>1154</v>
      </c>
      <c r="H239" s="50">
        <v>5015</v>
      </c>
      <c r="I239" s="49" t="s">
        <v>1</v>
      </c>
      <c r="J239" s="50" t="s">
        <v>271</v>
      </c>
      <c r="K239" s="51">
        <v>41631</v>
      </c>
      <c r="L239" s="115">
        <v>41625</v>
      </c>
      <c r="N239" s="50" t="s">
        <v>1</v>
      </c>
      <c r="S239" s="74">
        <v>143</v>
      </c>
      <c r="T239" s="50">
        <v>0.25</v>
      </c>
      <c r="W239" s="74">
        <v>0.13</v>
      </c>
      <c r="X239" s="50">
        <v>1.01</v>
      </c>
      <c r="Y239" s="50">
        <v>0.42</v>
      </c>
      <c r="AE239" s="50">
        <v>32.9</v>
      </c>
      <c r="AF239" s="273"/>
      <c r="AG239" s="50">
        <v>20.6</v>
      </c>
      <c r="AH239" s="50">
        <v>59</v>
      </c>
    </row>
    <row r="240" spans="1:34" ht="14">
      <c r="A240" s="404" t="s">
        <v>279</v>
      </c>
      <c r="B240" s="50" t="s">
        <v>905</v>
      </c>
      <c r="C240" s="50" t="s">
        <v>905</v>
      </c>
      <c r="D240" s="48" t="s">
        <v>372</v>
      </c>
      <c r="E240" s="50" t="s">
        <v>906</v>
      </c>
      <c r="G240" s="76" t="s">
        <v>907</v>
      </c>
      <c r="H240" s="50">
        <v>5015</v>
      </c>
      <c r="I240" s="49" t="s">
        <v>2</v>
      </c>
      <c r="J240" s="50" t="s">
        <v>271</v>
      </c>
      <c r="K240" s="51">
        <v>41631</v>
      </c>
      <c r="L240" s="115">
        <v>41625</v>
      </c>
      <c r="N240" s="50" t="s">
        <v>2</v>
      </c>
      <c r="W240" s="74">
        <v>2.5000000000000001E-2</v>
      </c>
      <c r="X240" s="50">
        <v>6.5000000000000002E-2</v>
      </c>
      <c r="Y240" s="50">
        <f>0.03/2</f>
        <v>1.4999999999999999E-2</v>
      </c>
      <c r="AE240" s="50">
        <v>1.63</v>
      </c>
      <c r="AF240" s="273"/>
      <c r="AG240" s="50">
        <v>0.66</v>
      </c>
      <c r="AH240" s="50">
        <f>5/2</f>
        <v>2.5</v>
      </c>
    </row>
    <row r="241" spans="1:35" ht="14">
      <c r="A241" s="404" t="s">
        <v>279</v>
      </c>
      <c r="B241" s="50" t="s">
        <v>704</v>
      </c>
      <c r="C241" s="50" t="s">
        <v>704</v>
      </c>
      <c r="D241" s="48" t="s">
        <v>56</v>
      </c>
      <c r="E241" s="50" t="s">
        <v>705</v>
      </c>
      <c r="G241" s="76" t="s">
        <v>706</v>
      </c>
      <c r="H241" s="50">
        <v>5015</v>
      </c>
      <c r="I241" s="49" t="s">
        <v>2</v>
      </c>
      <c r="J241" s="50" t="s">
        <v>271</v>
      </c>
      <c r="K241" s="51">
        <v>41605</v>
      </c>
      <c r="L241" s="115">
        <v>41601</v>
      </c>
      <c r="N241" s="50" t="s">
        <v>2</v>
      </c>
      <c r="AF241" s="273"/>
      <c r="AH241" s="50">
        <f>2/2</f>
        <v>1</v>
      </c>
    </row>
    <row r="242" spans="1:35" ht="14">
      <c r="A242" s="404" t="s">
        <v>279</v>
      </c>
      <c r="B242" s="50" t="s">
        <v>1155</v>
      </c>
      <c r="C242" s="50" t="s">
        <v>1155</v>
      </c>
      <c r="D242" s="48" t="s">
        <v>350</v>
      </c>
      <c r="E242" s="50" t="s">
        <v>1156</v>
      </c>
      <c r="G242" s="76" t="s">
        <v>1157</v>
      </c>
      <c r="H242" s="50">
        <v>5015</v>
      </c>
      <c r="I242" s="49" t="s">
        <v>1</v>
      </c>
      <c r="J242" s="50" t="s">
        <v>271</v>
      </c>
      <c r="K242" s="51">
        <v>41645</v>
      </c>
      <c r="L242" s="115">
        <v>41640</v>
      </c>
      <c r="N242" s="50" t="s">
        <v>2</v>
      </c>
      <c r="AE242" s="50">
        <v>0.60799999999999998</v>
      </c>
      <c r="AF242" s="273"/>
      <c r="AG242" s="50">
        <v>0.33700000000000002</v>
      </c>
    </row>
    <row r="243" spans="1:35" ht="14">
      <c r="A243" s="404" t="s">
        <v>279</v>
      </c>
      <c r="B243" s="50" t="s">
        <v>4188</v>
      </c>
      <c r="C243" s="50" t="s">
        <v>1128</v>
      </c>
      <c r="D243" s="48" t="s">
        <v>1129</v>
      </c>
      <c r="E243" s="50" t="s">
        <v>888</v>
      </c>
      <c r="G243" s="76" t="s">
        <v>1131</v>
      </c>
      <c r="H243" s="50" t="s">
        <v>5449</v>
      </c>
      <c r="J243" s="50" t="s">
        <v>1132</v>
      </c>
      <c r="K243" s="51">
        <v>41596</v>
      </c>
      <c r="L243" s="115"/>
      <c r="N243" s="50" t="s">
        <v>2</v>
      </c>
      <c r="AE243" s="50">
        <v>0.26</v>
      </c>
      <c r="AF243" s="273">
        <f>0.002/2</f>
        <v>1E-3</v>
      </c>
      <c r="AG243" s="50">
        <v>0.51</v>
      </c>
    </row>
    <row r="244" spans="1:35" ht="14">
      <c r="A244" s="404" t="s">
        <v>279</v>
      </c>
      <c r="B244" s="50" t="s">
        <v>5448</v>
      </c>
      <c r="C244" s="50" t="s">
        <v>1128</v>
      </c>
      <c r="D244" s="48" t="s">
        <v>1129</v>
      </c>
      <c r="E244" s="50" t="s">
        <v>888</v>
      </c>
      <c r="G244" s="76" t="s">
        <v>1131</v>
      </c>
      <c r="H244" s="50" t="s">
        <v>5449</v>
      </c>
      <c r="J244" s="50" t="s">
        <v>1132</v>
      </c>
      <c r="K244" s="51">
        <v>41638</v>
      </c>
      <c r="L244" s="115"/>
      <c r="N244" s="50" t="s">
        <v>2</v>
      </c>
      <c r="AE244" s="50">
        <v>0.93</v>
      </c>
      <c r="AF244" s="273">
        <f>0.002/2</f>
        <v>1E-3</v>
      </c>
      <c r="AG244" s="50">
        <v>4.04</v>
      </c>
    </row>
    <row r="245" spans="1:35" ht="14">
      <c r="A245" s="404" t="s">
        <v>279</v>
      </c>
      <c r="B245" s="50" t="s">
        <v>3165</v>
      </c>
      <c r="C245" s="50" t="s">
        <v>3165</v>
      </c>
      <c r="D245" s="48" t="s">
        <v>111</v>
      </c>
      <c r="G245" s="76" t="s">
        <v>3166</v>
      </c>
      <c r="J245" s="50" t="s">
        <v>3167</v>
      </c>
      <c r="K245" s="51">
        <v>41465</v>
      </c>
      <c r="L245" s="115"/>
      <c r="N245" s="50" t="s">
        <v>2</v>
      </c>
      <c r="O245" s="74">
        <v>35.6</v>
      </c>
      <c r="P245" s="50">
        <v>6.83</v>
      </c>
      <c r="Q245" s="74">
        <v>7.32</v>
      </c>
      <c r="R245" s="50">
        <v>512</v>
      </c>
      <c r="S245" s="74">
        <v>1020</v>
      </c>
      <c r="T245" s="50">
        <v>0.67</v>
      </c>
      <c r="U245" s="74">
        <v>1.88</v>
      </c>
      <c r="V245" s="50">
        <v>0.56999999999999995</v>
      </c>
      <c r="W245" s="74">
        <v>0.128</v>
      </c>
      <c r="X245" s="50">
        <v>0.56200000000000006</v>
      </c>
      <c r="Y245" s="50">
        <v>0.28899999999999998</v>
      </c>
      <c r="AE245" s="50">
        <v>12.97</v>
      </c>
      <c r="AF245" s="273">
        <f>0.0002/2</f>
        <v>1E-4</v>
      </c>
      <c r="AG245" s="50">
        <v>6.49</v>
      </c>
      <c r="AH245" s="50">
        <v>58.8</v>
      </c>
    </row>
    <row r="246" spans="1:35" ht="14">
      <c r="A246" s="404" t="s">
        <v>279</v>
      </c>
      <c r="B246" s="50" t="s">
        <v>3165</v>
      </c>
      <c r="C246" s="50" t="s">
        <v>3165</v>
      </c>
      <c r="D246" s="48" t="s">
        <v>111</v>
      </c>
      <c r="G246" s="76" t="s">
        <v>3166</v>
      </c>
      <c r="J246" s="50" t="s">
        <v>3167</v>
      </c>
      <c r="K246" s="51">
        <v>41085</v>
      </c>
      <c r="L246" s="115"/>
      <c r="N246" s="50" t="s">
        <v>2</v>
      </c>
      <c r="O246" s="74">
        <f>1/2</f>
        <v>0.5</v>
      </c>
      <c r="P246" s="50">
        <v>7.02</v>
      </c>
      <c r="Q246" s="74">
        <v>8.17</v>
      </c>
      <c r="R246" s="50">
        <v>479</v>
      </c>
      <c r="S246" s="74">
        <v>784</v>
      </c>
      <c r="T246" s="50">
        <v>0.7</v>
      </c>
      <c r="U246" s="74">
        <v>2.2999999999999998</v>
      </c>
      <c r="V246" s="50">
        <f>0.1/2</f>
        <v>0.05</v>
      </c>
      <c r="W246" s="74">
        <v>0.215</v>
      </c>
      <c r="X246" s="50">
        <v>0.91400000000000003</v>
      </c>
      <c r="Y246" s="50">
        <v>0.52900000000000003</v>
      </c>
      <c r="Z246" s="164">
        <v>1</v>
      </c>
      <c r="AA246" s="165">
        <v>1</v>
      </c>
      <c r="AB246" s="50">
        <v>61.96</v>
      </c>
      <c r="AC246" s="74">
        <v>71</v>
      </c>
      <c r="AD246" s="164">
        <v>1</v>
      </c>
      <c r="AE246" s="50">
        <v>10.98</v>
      </c>
      <c r="AF246" s="273"/>
      <c r="AG246" s="50">
        <v>5.74</v>
      </c>
      <c r="AH246" s="50">
        <f>5/2</f>
        <v>2.5</v>
      </c>
    </row>
    <row r="247" spans="1:35" ht="14">
      <c r="A247" s="404" t="s">
        <v>279</v>
      </c>
      <c r="B247" s="50" t="s">
        <v>3165</v>
      </c>
      <c r="C247" s="50" t="s">
        <v>3165</v>
      </c>
      <c r="D247" s="48" t="s">
        <v>111</v>
      </c>
      <c r="G247" s="76" t="s">
        <v>3166</v>
      </c>
      <c r="J247" s="50" t="s">
        <v>3167</v>
      </c>
      <c r="K247" s="51">
        <v>41690</v>
      </c>
      <c r="L247" s="115"/>
      <c r="N247" s="50" t="s">
        <v>1</v>
      </c>
      <c r="AE247" s="50">
        <v>12.63</v>
      </c>
      <c r="AF247" s="273">
        <f>0.0002/2</f>
        <v>1E-4</v>
      </c>
      <c r="AG247" s="50">
        <v>4.5999999999999996</v>
      </c>
    </row>
    <row r="248" spans="1:35" ht="14">
      <c r="A248" s="404" t="s">
        <v>279</v>
      </c>
      <c r="B248" s="50" t="s">
        <v>3165</v>
      </c>
      <c r="C248" s="50" t="s">
        <v>3165</v>
      </c>
      <c r="D248" s="48" t="s">
        <v>111</v>
      </c>
      <c r="G248" s="76" t="s">
        <v>3166</v>
      </c>
      <c r="J248" s="50" t="s">
        <v>3167</v>
      </c>
      <c r="K248" s="51">
        <v>41605</v>
      </c>
      <c r="L248" s="115"/>
      <c r="N248" s="50" t="s">
        <v>2</v>
      </c>
      <c r="O248" s="74">
        <v>1</v>
      </c>
      <c r="P248" s="50">
        <v>6.51</v>
      </c>
      <c r="Q248" s="74">
        <v>6.14</v>
      </c>
      <c r="R248" s="50">
        <v>196.8</v>
      </c>
      <c r="S248" s="74">
        <v>330</v>
      </c>
      <c r="T248" s="50">
        <v>0.38</v>
      </c>
      <c r="U248" s="74">
        <v>3</v>
      </c>
      <c r="V248" s="50">
        <v>0.54</v>
      </c>
      <c r="W248" s="74">
        <v>6.0999999999999999E-2</v>
      </c>
      <c r="X248" s="50">
        <v>0.17699999999999999</v>
      </c>
      <c r="Y248" s="50">
        <v>7.0999999999999994E-2</v>
      </c>
      <c r="AE248" s="50">
        <v>13.2</v>
      </c>
      <c r="AF248" s="273">
        <f>0.0002/2</f>
        <v>1E-4</v>
      </c>
      <c r="AG248" s="50">
        <v>5.66</v>
      </c>
      <c r="AH248" s="50">
        <v>10.1</v>
      </c>
    </row>
    <row r="249" spans="1:35" ht="14">
      <c r="A249" s="404" t="s">
        <v>279</v>
      </c>
      <c r="B249" s="50" t="s">
        <v>3165</v>
      </c>
      <c r="C249" s="50" t="s">
        <v>3165</v>
      </c>
      <c r="D249" s="48" t="s">
        <v>111</v>
      </c>
      <c r="G249" s="76" t="s">
        <v>3166</v>
      </c>
      <c r="J249" s="50" t="s">
        <v>3167</v>
      </c>
      <c r="K249" s="51">
        <v>41376</v>
      </c>
      <c r="L249" s="115"/>
      <c r="N249" s="50" t="s">
        <v>2</v>
      </c>
      <c r="O249" s="74">
        <v>4.8</v>
      </c>
      <c r="P249" s="50">
        <v>6.38</v>
      </c>
      <c r="Q249" s="74">
        <v>7.36</v>
      </c>
      <c r="R249" s="50">
        <v>76.2</v>
      </c>
      <c r="S249" s="74">
        <v>199</v>
      </c>
      <c r="T249" s="50">
        <v>0.2</v>
      </c>
      <c r="U249" s="74">
        <v>0.81</v>
      </c>
      <c r="V249" s="50">
        <f>0.1/2</f>
        <v>0.05</v>
      </c>
      <c r="W249" s="74">
        <v>4.2000000000000003E-2</v>
      </c>
      <c r="X249" s="50">
        <v>0.23899999999999999</v>
      </c>
      <c r="Y249" s="50">
        <v>5.3999999999999999E-2</v>
      </c>
      <c r="Z249" s="164">
        <v>1</v>
      </c>
      <c r="AA249" s="165">
        <v>1</v>
      </c>
      <c r="AB249" s="50">
        <v>27.8</v>
      </c>
      <c r="AC249" s="74">
        <v>79</v>
      </c>
      <c r="AD249" s="164">
        <v>0.85</v>
      </c>
      <c r="AE249" s="50">
        <v>2</v>
      </c>
      <c r="AF249" s="273">
        <f>0.0002/2</f>
        <v>1E-4</v>
      </c>
      <c r="AG249" s="50">
        <v>1.17</v>
      </c>
      <c r="AH249" s="50">
        <v>10.6</v>
      </c>
    </row>
    <row r="250" spans="1:35" ht="14">
      <c r="A250" s="404" t="s">
        <v>279</v>
      </c>
      <c r="B250" s="50" t="s">
        <v>5450</v>
      </c>
      <c r="C250" s="50" t="s">
        <v>5885</v>
      </c>
      <c r="D250" s="48" t="s">
        <v>338</v>
      </c>
      <c r="E250" s="50" t="s">
        <v>3185</v>
      </c>
      <c r="F250" s="72">
        <v>1830779</v>
      </c>
      <c r="G250" s="76" t="s">
        <v>5452</v>
      </c>
      <c r="H250" s="50">
        <v>5015</v>
      </c>
      <c r="I250" s="49" t="s">
        <v>2</v>
      </c>
      <c r="J250" s="50" t="s">
        <v>5886</v>
      </c>
      <c r="K250" s="51">
        <v>41759</v>
      </c>
      <c r="L250" s="115">
        <v>41755</v>
      </c>
      <c r="N250" s="50" t="s">
        <v>2</v>
      </c>
      <c r="P250" s="50">
        <v>4.5999999999999996</v>
      </c>
      <c r="AE250" s="50">
        <v>4.5</v>
      </c>
      <c r="AF250" s="273">
        <f>0.0004/2</f>
        <v>2.0000000000000001E-4</v>
      </c>
      <c r="AG250" s="50">
        <v>107</v>
      </c>
    </row>
    <row r="251" spans="1:35" ht="14">
      <c r="A251" s="404" t="s">
        <v>279</v>
      </c>
      <c r="B251" s="50" t="s">
        <v>486</v>
      </c>
      <c r="C251" s="50" t="s">
        <v>486</v>
      </c>
      <c r="D251" s="48" t="s">
        <v>372</v>
      </c>
      <c r="E251" s="50" t="s">
        <v>487</v>
      </c>
      <c r="G251" s="76" t="s">
        <v>488</v>
      </c>
      <c r="H251" s="50">
        <v>5015</v>
      </c>
      <c r="I251" s="49" t="s">
        <v>1</v>
      </c>
      <c r="J251" s="50" t="s">
        <v>271</v>
      </c>
      <c r="K251" s="51">
        <v>41744</v>
      </c>
      <c r="L251" s="115">
        <v>41736</v>
      </c>
      <c r="N251" s="50" t="s">
        <v>1</v>
      </c>
      <c r="S251" s="74">
        <v>108</v>
      </c>
      <c r="W251" s="74">
        <v>0.03</v>
      </c>
      <c r="X251" s="50">
        <f>0.01/2</f>
        <v>5.0000000000000001E-3</v>
      </c>
      <c r="Y251" s="50">
        <f>0.02/2</f>
        <v>0.01</v>
      </c>
      <c r="AE251" s="50">
        <v>0.27</v>
      </c>
      <c r="AF251" s="273"/>
      <c r="AG251" s="50">
        <v>6.1</v>
      </c>
      <c r="AH251" s="50">
        <f>10/2</f>
        <v>5</v>
      </c>
      <c r="AI251" s="50">
        <f>10/2</f>
        <v>5</v>
      </c>
    </row>
    <row r="252" spans="1:35" ht="14">
      <c r="A252" s="404" t="s">
        <v>279</v>
      </c>
      <c r="B252" s="50" t="s">
        <v>5887</v>
      </c>
      <c r="C252" s="50" t="s">
        <v>4808</v>
      </c>
      <c r="D252" s="48" t="s">
        <v>257</v>
      </c>
      <c r="E252" s="50" t="s">
        <v>3649</v>
      </c>
      <c r="G252" s="76" t="s">
        <v>2480</v>
      </c>
      <c r="H252" s="50">
        <v>5015</v>
      </c>
      <c r="I252" s="49" t="s">
        <v>1</v>
      </c>
      <c r="J252" s="50" t="s">
        <v>271</v>
      </c>
      <c r="K252" s="51">
        <v>41730</v>
      </c>
      <c r="L252" s="115">
        <v>41729</v>
      </c>
      <c r="N252" s="50" t="s">
        <v>2</v>
      </c>
      <c r="AE252" s="50">
        <f>0.05/2</f>
        <v>2.5000000000000001E-2</v>
      </c>
      <c r="AF252" s="273">
        <f>0.0004/2</f>
        <v>2.0000000000000001E-4</v>
      </c>
      <c r="AG252" s="50">
        <f>0.1/2</f>
        <v>0.05</v>
      </c>
    </row>
    <row r="253" spans="1:35" ht="14">
      <c r="A253" s="404" t="s">
        <v>279</v>
      </c>
      <c r="B253" s="50" t="s">
        <v>275</v>
      </c>
      <c r="C253" s="50" t="s">
        <v>275</v>
      </c>
      <c r="D253" s="48" t="s">
        <v>276</v>
      </c>
      <c r="E253" s="50" t="s">
        <v>1151</v>
      </c>
      <c r="G253" s="76" t="s">
        <v>278</v>
      </c>
      <c r="H253" s="50">
        <v>5015</v>
      </c>
      <c r="I253" s="49" t="s">
        <v>2</v>
      </c>
      <c r="J253" s="50" t="s">
        <v>271</v>
      </c>
      <c r="K253" s="51">
        <v>41744</v>
      </c>
      <c r="L253" s="115">
        <v>41736</v>
      </c>
      <c r="N253" s="50" t="s">
        <v>2</v>
      </c>
      <c r="AF253" s="273"/>
      <c r="AH253" s="50">
        <f>10/2</f>
        <v>5</v>
      </c>
    </row>
    <row r="254" spans="1:35" ht="14">
      <c r="A254" s="404" t="s">
        <v>279</v>
      </c>
      <c r="B254" s="50" t="s">
        <v>1166</v>
      </c>
      <c r="C254" s="50" t="s">
        <v>1166</v>
      </c>
      <c r="D254" s="48" t="s">
        <v>347</v>
      </c>
      <c r="E254" s="50" t="s">
        <v>4810</v>
      </c>
      <c r="G254" s="76" t="s">
        <v>1168</v>
      </c>
      <c r="H254" s="50">
        <v>5015</v>
      </c>
      <c r="I254" s="49" t="s">
        <v>1</v>
      </c>
      <c r="J254" s="50" t="s">
        <v>271</v>
      </c>
      <c r="K254" s="51">
        <v>41740</v>
      </c>
      <c r="L254" s="115">
        <v>41736</v>
      </c>
      <c r="M254" s="50">
        <f>K254-L254</f>
        <v>4</v>
      </c>
      <c r="N254" s="50" t="s">
        <v>2</v>
      </c>
      <c r="AE254" s="50">
        <v>0.3</v>
      </c>
      <c r="AF254" s="273"/>
      <c r="AG254" s="50">
        <v>0.35</v>
      </c>
    </row>
    <row r="255" spans="1:35" ht="14">
      <c r="A255" s="404" t="s">
        <v>279</v>
      </c>
      <c r="B255" s="50" t="s">
        <v>1138</v>
      </c>
      <c r="C255" s="50" t="s">
        <v>1138</v>
      </c>
      <c r="D255" s="48" t="s">
        <v>548</v>
      </c>
      <c r="E255" s="50" t="s">
        <v>1139</v>
      </c>
      <c r="G255" s="76" t="s">
        <v>1140</v>
      </c>
      <c r="H255" s="50">
        <v>5015</v>
      </c>
      <c r="I255" s="49" t="s">
        <v>2</v>
      </c>
      <c r="J255" s="50" t="s">
        <v>271</v>
      </c>
      <c r="K255" s="51">
        <v>41759</v>
      </c>
      <c r="L255" s="115">
        <v>41755</v>
      </c>
      <c r="N255" s="50" t="s">
        <v>2</v>
      </c>
      <c r="AE255" s="50">
        <v>0.47</v>
      </c>
      <c r="AF255" s="273"/>
      <c r="AG255" s="50">
        <v>0.27</v>
      </c>
    </row>
    <row r="256" spans="1:35" ht="14">
      <c r="A256" s="404" t="s">
        <v>279</v>
      </c>
      <c r="B256" s="50" t="s">
        <v>655</v>
      </c>
      <c r="C256" s="50" t="s">
        <v>655</v>
      </c>
      <c r="D256" s="48" t="s">
        <v>379</v>
      </c>
      <c r="E256" s="50" t="s">
        <v>5888</v>
      </c>
      <c r="G256" s="76" t="s">
        <v>656</v>
      </c>
      <c r="H256" s="50">
        <v>5015</v>
      </c>
      <c r="I256" s="49" t="s">
        <v>1</v>
      </c>
      <c r="J256" s="50" t="s">
        <v>271</v>
      </c>
      <c r="K256" s="51">
        <v>41759</v>
      </c>
      <c r="L256" s="115">
        <v>41755</v>
      </c>
      <c r="M256" s="50">
        <f>K256-L256</f>
        <v>4</v>
      </c>
      <c r="N256" s="50" t="s">
        <v>2</v>
      </c>
      <c r="S256" s="74">
        <v>3.4</v>
      </c>
      <c r="AF256" s="273"/>
      <c r="AH256" s="50">
        <f>1.7/2</f>
        <v>0.85</v>
      </c>
    </row>
    <row r="257" spans="1:35" ht="14">
      <c r="A257" s="404" t="s">
        <v>279</v>
      </c>
      <c r="B257" s="50" t="s">
        <v>5435</v>
      </c>
      <c r="C257" s="50" t="s">
        <v>5889</v>
      </c>
      <c r="D257" s="48" t="s">
        <v>2741</v>
      </c>
      <c r="E257" s="50" t="s">
        <v>382</v>
      </c>
      <c r="F257" s="50" t="s">
        <v>5890</v>
      </c>
      <c r="G257" s="76" t="s">
        <v>5438</v>
      </c>
      <c r="H257" s="50">
        <v>5015</v>
      </c>
      <c r="I257" s="49" t="s">
        <v>1</v>
      </c>
      <c r="J257" s="50" t="s">
        <v>5891</v>
      </c>
      <c r="K257" s="51">
        <v>41727</v>
      </c>
      <c r="L257" s="115">
        <v>41718</v>
      </c>
      <c r="N257" s="50" t="s">
        <v>2</v>
      </c>
      <c r="P257" s="50">
        <v>6.1</v>
      </c>
      <c r="AE257" s="50">
        <v>7.0000000000000007E-2</v>
      </c>
      <c r="AF257" s="273">
        <f>0.0004/2</f>
        <v>2.0000000000000001E-4</v>
      </c>
      <c r="AG257" s="50">
        <v>0.1</v>
      </c>
    </row>
    <row r="258" spans="1:35" ht="14">
      <c r="A258" s="404" t="s">
        <v>279</v>
      </c>
      <c r="B258" s="50" t="s">
        <v>4812</v>
      </c>
      <c r="C258" s="50" t="s">
        <v>4812</v>
      </c>
      <c r="D258" s="48" t="s">
        <v>2848</v>
      </c>
      <c r="F258" s="50" t="s">
        <v>4813</v>
      </c>
      <c r="G258" s="76" t="s">
        <v>4814</v>
      </c>
      <c r="H258" s="50">
        <v>5015</v>
      </c>
      <c r="I258" s="49" t="s">
        <v>2</v>
      </c>
      <c r="J258" s="50" t="s">
        <v>5892</v>
      </c>
      <c r="K258" s="51">
        <v>41767</v>
      </c>
      <c r="L258" s="115">
        <v>41759</v>
      </c>
      <c r="N258" s="50" t="s">
        <v>2</v>
      </c>
      <c r="O258" s="74">
        <f>5/2</f>
        <v>2.5</v>
      </c>
      <c r="P258" s="50">
        <v>5.9</v>
      </c>
      <c r="Q258" s="74">
        <v>7.45</v>
      </c>
      <c r="R258" s="50">
        <v>11</v>
      </c>
      <c r="S258" s="74">
        <f>5/2</f>
        <v>2.5</v>
      </c>
      <c r="T258" s="50">
        <f>0.1/2</f>
        <v>0.05</v>
      </c>
      <c r="U258" s="74">
        <f>0.1/2</f>
        <v>0.05</v>
      </c>
      <c r="V258" s="50">
        <f>0.1/2</f>
        <v>0.05</v>
      </c>
      <c r="W258" s="74">
        <f>0.04/2</f>
        <v>0.02</v>
      </c>
      <c r="X258" s="50">
        <v>9.9000000000000005E-2</v>
      </c>
      <c r="Y258" s="50">
        <f>0.013/2</f>
        <v>6.4999999999999997E-3</v>
      </c>
      <c r="Z258" s="164">
        <v>0.183</v>
      </c>
      <c r="AA258" s="165">
        <v>0.155</v>
      </c>
      <c r="AB258" s="50">
        <v>23</v>
      </c>
      <c r="AC258" s="74">
        <v>101</v>
      </c>
      <c r="AD258" s="164">
        <v>0</v>
      </c>
      <c r="AE258" s="50">
        <f>0.1/2</f>
        <v>0.05</v>
      </c>
      <c r="AF258" s="273">
        <f>0.0004/2</f>
        <v>2.0000000000000001E-4</v>
      </c>
      <c r="AG258" s="50">
        <f>0.1/2</f>
        <v>0.05</v>
      </c>
      <c r="AH258" s="50">
        <f>1.3/2</f>
        <v>0.65</v>
      </c>
    </row>
    <row r="259" spans="1:35" ht="14">
      <c r="A259" s="404" t="s">
        <v>279</v>
      </c>
      <c r="B259" s="50" t="s">
        <v>5893</v>
      </c>
      <c r="C259" s="50" t="s">
        <v>5894</v>
      </c>
      <c r="D259" s="48" t="s">
        <v>2953</v>
      </c>
      <c r="G259" s="76" t="s">
        <v>5895</v>
      </c>
      <c r="H259" s="50">
        <v>5015</v>
      </c>
      <c r="I259" s="49" t="s">
        <v>2</v>
      </c>
      <c r="J259" s="50" t="s">
        <v>5896</v>
      </c>
      <c r="K259" s="51">
        <v>41540</v>
      </c>
      <c r="L259" s="115">
        <v>41536</v>
      </c>
      <c r="N259" s="50" t="s">
        <v>2</v>
      </c>
      <c r="O259" s="74">
        <f>1.4/2</f>
        <v>0.7</v>
      </c>
      <c r="P259" s="50">
        <v>7.83</v>
      </c>
      <c r="Q259" s="74">
        <v>7.88</v>
      </c>
      <c r="R259" s="50">
        <v>49</v>
      </c>
      <c r="S259" s="74">
        <v>64</v>
      </c>
      <c r="T259" s="50">
        <v>0.16</v>
      </c>
      <c r="U259" s="74">
        <v>1.1299999999999999</v>
      </c>
      <c r="V259" s="50">
        <f>0.05/2</f>
        <v>2.5000000000000001E-2</v>
      </c>
      <c r="W259" s="74">
        <v>3.4000000000000002E-2</v>
      </c>
      <c r="X259" s="50">
        <v>0.159</v>
      </c>
      <c r="Y259" s="50">
        <v>3.2000000000000001E-2</v>
      </c>
      <c r="AF259" s="273"/>
    </row>
    <row r="260" spans="1:35" ht="14">
      <c r="A260" s="404" t="s">
        <v>279</v>
      </c>
      <c r="B260" s="50" t="s">
        <v>5893</v>
      </c>
      <c r="C260" s="50" t="s">
        <v>5894</v>
      </c>
      <c r="D260" s="48" t="s">
        <v>2953</v>
      </c>
      <c r="G260" s="76" t="s">
        <v>5895</v>
      </c>
      <c r="H260" s="50">
        <v>5015</v>
      </c>
      <c r="I260" s="49" t="s">
        <v>2</v>
      </c>
      <c r="J260" s="50" t="s">
        <v>5896</v>
      </c>
      <c r="K260" s="51">
        <v>41744</v>
      </c>
      <c r="L260" s="115">
        <v>41739</v>
      </c>
      <c r="N260" s="50" t="s">
        <v>2</v>
      </c>
      <c r="O260" s="74">
        <f>1.4/2</f>
        <v>0.7</v>
      </c>
      <c r="P260" s="50">
        <v>6.08</v>
      </c>
      <c r="Q260" s="74">
        <v>7.68</v>
      </c>
      <c r="R260" s="50">
        <v>25</v>
      </c>
      <c r="S260" s="74">
        <v>22</v>
      </c>
      <c r="T260" s="50">
        <v>0.03</v>
      </c>
      <c r="U260" s="74">
        <v>0.45</v>
      </c>
      <c r="V260" s="50">
        <f>0.05/2</f>
        <v>2.5000000000000001E-2</v>
      </c>
      <c r="W260" s="74">
        <v>1.2E-2</v>
      </c>
      <c r="X260" s="50">
        <v>0.05</v>
      </c>
      <c r="Y260" s="50">
        <v>2E-3</v>
      </c>
      <c r="Z260" s="164">
        <v>1</v>
      </c>
      <c r="AA260" s="165">
        <v>1</v>
      </c>
      <c r="AB260" s="50">
        <v>48</v>
      </c>
      <c r="AC260" s="74">
        <v>102</v>
      </c>
      <c r="AD260" s="164">
        <v>0.9</v>
      </c>
      <c r="AE260" s="50">
        <v>0.98499999999999999</v>
      </c>
      <c r="AF260" s="273"/>
      <c r="AG260" s="50">
        <f>0.01/2</f>
        <v>5.0000000000000001E-3</v>
      </c>
    </row>
    <row r="261" spans="1:35" ht="14">
      <c r="A261" s="404" t="s">
        <v>279</v>
      </c>
      <c r="B261" s="50" t="s">
        <v>1171</v>
      </c>
      <c r="C261" s="50" t="s">
        <v>1171</v>
      </c>
      <c r="D261" s="48" t="s">
        <v>516</v>
      </c>
      <c r="E261" s="50" t="s">
        <v>4192</v>
      </c>
      <c r="G261" s="76" t="s">
        <v>1173</v>
      </c>
      <c r="H261" s="50">
        <v>5015</v>
      </c>
      <c r="I261" s="49" t="s">
        <v>1</v>
      </c>
      <c r="J261" s="50" t="s">
        <v>271</v>
      </c>
      <c r="K261" s="51">
        <v>41795</v>
      </c>
      <c r="L261" s="115">
        <v>41789</v>
      </c>
      <c r="N261" s="50" t="s">
        <v>2</v>
      </c>
      <c r="O261" s="74">
        <v>11</v>
      </c>
      <c r="R261" s="50">
        <v>50</v>
      </c>
      <c r="S261" s="74">
        <v>330</v>
      </c>
      <c r="T261" s="50">
        <v>0.74</v>
      </c>
      <c r="U261" s="74">
        <v>2.54</v>
      </c>
      <c r="W261" s="74">
        <v>0.20499999999999999</v>
      </c>
      <c r="X261" s="50">
        <v>0.48199999999999998</v>
      </c>
      <c r="Y261" s="50">
        <v>0.69699999999999995</v>
      </c>
      <c r="AE261" s="50">
        <v>21.3</v>
      </c>
      <c r="AF261" s="273"/>
      <c r="AG261" s="50">
        <v>13.1</v>
      </c>
      <c r="AH261" s="50">
        <v>1.2</v>
      </c>
      <c r="AI261" s="50">
        <v>1110</v>
      </c>
    </row>
    <row r="262" spans="1:35" ht="14">
      <c r="A262" s="404" t="s">
        <v>279</v>
      </c>
      <c r="B262" s="50" t="s">
        <v>704</v>
      </c>
      <c r="C262" s="50" t="s">
        <v>704</v>
      </c>
      <c r="D262" s="48" t="s">
        <v>56</v>
      </c>
      <c r="E262" s="50" t="s">
        <v>705</v>
      </c>
      <c r="G262" s="76" t="s">
        <v>706</v>
      </c>
      <c r="H262" s="50">
        <v>5015</v>
      </c>
      <c r="I262" s="49" t="s">
        <v>2</v>
      </c>
      <c r="J262" s="50" t="s">
        <v>271</v>
      </c>
      <c r="K262" s="51">
        <v>41781</v>
      </c>
      <c r="L262" s="115">
        <v>41775</v>
      </c>
      <c r="N262" s="50" t="s">
        <v>2</v>
      </c>
      <c r="AF262" s="273"/>
      <c r="AH262" s="50">
        <f>100/2</f>
        <v>50</v>
      </c>
    </row>
    <row r="263" spans="1:35" ht="14">
      <c r="A263" s="404" t="s">
        <v>279</v>
      </c>
      <c r="B263" s="50" t="s">
        <v>905</v>
      </c>
      <c r="C263" s="50" t="s">
        <v>905</v>
      </c>
      <c r="D263" s="48" t="s">
        <v>372</v>
      </c>
      <c r="E263" s="50" t="s">
        <v>906</v>
      </c>
      <c r="G263" s="76" t="s">
        <v>907</v>
      </c>
      <c r="H263" s="50">
        <v>5015</v>
      </c>
      <c r="I263" s="49" t="s">
        <v>2</v>
      </c>
      <c r="J263" s="50" t="s">
        <v>271</v>
      </c>
      <c r="K263" s="51">
        <v>41781</v>
      </c>
      <c r="L263" s="115">
        <v>41775</v>
      </c>
      <c r="N263" s="50" t="s">
        <v>2</v>
      </c>
      <c r="W263" s="74">
        <v>2.7E-2</v>
      </c>
      <c r="X263" s="50">
        <v>5.1999999999999998E-2</v>
      </c>
      <c r="Y263" s="50">
        <f>0.03/2</f>
        <v>1.4999999999999999E-2</v>
      </c>
      <c r="AE263" s="50">
        <v>2.2599999999999998</v>
      </c>
      <c r="AF263" s="273"/>
      <c r="AG263" s="50">
        <v>0.76</v>
      </c>
      <c r="AH263" s="50">
        <f>10/2</f>
        <v>5</v>
      </c>
    </row>
    <row r="264" spans="1:35" ht="14">
      <c r="A264" s="404" t="s">
        <v>279</v>
      </c>
      <c r="B264" s="50" t="s">
        <v>3637</v>
      </c>
      <c r="C264" s="50" t="s">
        <v>3638</v>
      </c>
      <c r="D264" s="48" t="s">
        <v>234</v>
      </c>
      <c r="E264" s="50" t="s">
        <v>3639</v>
      </c>
      <c r="G264" s="76" t="s">
        <v>3640</v>
      </c>
      <c r="H264" s="50">
        <v>5015</v>
      </c>
      <c r="I264" s="49" t="s">
        <v>2</v>
      </c>
      <c r="J264" s="50" t="s">
        <v>271</v>
      </c>
      <c r="K264" s="51">
        <v>41775</v>
      </c>
      <c r="L264" s="115">
        <v>41769</v>
      </c>
      <c r="N264" s="50" t="s">
        <v>2</v>
      </c>
      <c r="O264" s="74">
        <f>1.8/2</f>
        <v>0.9</v>
      </c>
      <c r="P264" s="50">
        <v>5.9</v>
      </c>
      <c r="Q264" s="74">
        <v>7.4</v>
      </c>
      <c r="R264" s="50">
        <v>67</v>
      </c>
      <c r="S264" s="74">
        <v>6</v>
      </c>
      <c r="T264" s="50">
        <v>7.3999999999999996E-2</v>
      </c>
      <c r="U264" s="74">
        <f>1.6/2</f>
        <v>0.8</v>
      </c>
      <c r="V264" s="50">
        <f>0.46/2</f>
        <v>0.23</v>
      </c>
      <c r="W264" s="74">
        <v>8.0000000000000002E-3</v>
      </c>
      <c r="X264" s="50">
        <v>5.1999999999999998E-2</v>
      </c>
      <c r="Y264" s="50">
        <v>1.9400000000000001E-2</v>
      </c>
      <c r="AE264" s="50">
        <v>1.1499999999999999</v>
      </c>
      <c r="AF264" s="273"/>
      <c r="AG264" s="50">
        <v>0.44</v>
      </c>
      <c r="AH264" s="50">
        <f>1/2</f>
        <v>0.5</v>
      </c>
    </row>
    <row r="265" spans="1:35" ht="14">
      <c r="A265" s="404" t="s">
        <v>279</v>
      </c>
      <c r="B265" s="50" t="s">
        <v>3792</v>
      </c>
      <c r="C265" s="50" t="s">
        <v>6072</v>
      </c>
      <c r="D265" s="48" t="s">
        <v>1537</v>
      </c>
      <c r="F265" s="50" t="s">
        <v>3653</v>
      </c>
      <c r="G265" s="76" t="s">
        <v>3654</v>
      </c>
      <c r="H265" s="50">
        <v>5093</v>
      </c>
      <c r="I265" s="49" t="s">
        <v>1</v>
      </c>
      <c r="J265" s="50" t="s">
        <v>3655</v>
      </c>
      <c r="K265" s="51">
        <v>41744</v>
      </c>
      <c r="L265" s="115"/>
      <c r="M265" s="50" t="s">
        <v>6369</v>
      </c>
      <c r="N265" s="50" t="s">
        <v>2</v>
      </c>
      <c r="O265" s="74">
        <v>40</v>
      </c>
      <c r="P265" s="50">
        <v>8.8699999999999992</v>
      </c>
      <c r="Q265" s="74">
        <v>9.23</v>
      </c>
      <c r="R265" s="50">
        <v>530</v>
      </c>
      <c r="S265" s="74">
        <v>480</v>
      </c>
      <c r="T265" s="50">
        <v>0.84</v>
      </c>
      <c r="U265" s="74">
        <v>1.3</v>
      </c>
      <c r="V265" s="50">
        <v>0.2</v>
      </c>
      <c r="W265" s="74">
        <v>3.1</v>
      </c>
      <c r="X265" s="50">
        <v>3.7</v>
      </c>
      <c r="Y265" s="50">
        <v>5</v>
      </c>
      <c r="Z265" s="164">
        <v>6.25E-2</v>
      </c>
      <c r="AA265" s="165">
        <v>6.25E-2</v>
      </c>
      <c r="AB265" s="50">
        <v>85</v>
      </c>
      <c r="AC265" s="74">
        <v>96</v>
      </c>
      <c r="AD265" s="164">
        <v>0</v>
      </c>
      <c r="AE265" s="50">
        <v>40</v>
      </c>
      <c r="AF265" s="273">
        <v>4.7000000000000002E-3</v>
      </c>
      <c r="AG265" s="50">
        <v>15</v>
      </c>
      <c r="AH265" s="50">
        <v>60.1</v>
      </c>
    </row>
    <row r="266" spans="1:35" ht="14">
      <c r="A266" s="404" t="s">
        <v>279</v>
      </c>
      <c r="B266" s="50" t="s">
        <v>5435</v>
      </c>
      <c r="C266" s="50" t="s">
        <v>6073</v>
      </c>
      <c r="D266" s="48" t="s">
        <v>2741</v>
      </c>
      <c r="E266" s="50" t="s">
        <v>382</v>
      </c>
      <c r="F266" s="50" t="s">
        <v>5890</v>
      </c>
      <c r="G266" s="76" t="s">
        <v>5438</v>
      </c>
      <c r="H266" s="50">
        <v>5015</v>
      </c>
      <c r="I266" s="49" t="s">
        <v>1</v>
      </c>
      <c r="J266" s="50" t="s">
        <v>5891</v>
      </c>
      <c r="K266" s="51">
        <v>41803</v>
      </c>
      <c r="L266" s="115">
        <v>41799</v>
      </c>
      <c r="N266" s="50" t="s">
        <v>1</v>
      </c>
      <c r="O266" s="74">
        <f>2/2</f>
        <v>1</v>
      </c>
      <c r="P266" s="50">
        <v>7.3</v>
      </c>
      <c r="Q266" s="74">
        <v>7.4</v>
      </c>
      <c r="R266" s="50">
        <v>20</v>
      </c>
      <c r="S266" s="74">
        <v>29</v>
      </c>
      <c r="T266" s="50">
        <v>0.13</v>
      </c>
      <c r="U266" s="74">
        <v>1.6</v>
      </c>
      <c r="V266" s="50">
        <v>0.9</v>
      </c>
      <c r="W266" s="74">
        <v>0.06</v>
      </c>
      <c r="X266" s="50">
        <v>6.4000000000000001E-2</v>
      </c>
      <c r="Y266" s="50">
        <f>0.03/2</f>
        <v>1.4999999999999999E-2</v>
      </c>
      <c r="AE266" s="50">
        <v>1.34</v>
      </c>
      <c r="AF266" s="273">
        <f>0.0004/2</f>
        <v>2.0000000000000001E-4</v>
      </c>
      <c r="AG266" s="50">
        <v>1.29</v>
      </c>
      <c r="AH266" s="50">
        <f>500/2</f>
        <v>250</v>
      </c>
    </row>
    <row r="267" spans="1:35" ht="14">
      <c r="A267" s="74" t="s">
        <v>4282</v>
      </c>
      <c r="B267" s="50" t="s">
        <v>3165</v>
      </c>
      <c r="C267" s="50" t="s">
        <v>3165</v>
      </c>
      <c r="D267" s="48" t="s">
        <v>111</v>
      </c>
      <c r="G267" s="76" t="s">
        <v>3166</v>
      </c>
      <c r="J267" s="50" t="s">
        <v>3167</v>
      </c>
      <c r="K267" s="51">
        <v>41809</v>
      </c>
      <c r="L267" s="115"/>
      <c r="N267" s="50" t="s">
        <v>2</v>
      </c>
      <c r="O267" s="74">
        <v>9.6</v>
      </c>
      <c r="P267" s="50">
        <v>6.4</v>
      </c>
      <c r="Q267" s="74">
        <v>8.26</v>
      </c>
      <c r="R267" s="50">
        <v>618</v>
      </c>
      <c r="S267" s="74">
        <v>132</v>
      </c>
      <c r="T267" s="50">
        <v>0.51</v>
      </c>
      <c r="U267" s="74">
        <v>2.8</v>
      </c>
      <c r="V267" s="50">
        <v>0.14000000000000001</v>
      </c>
      <c r="W267" s="74">
        <v>0.107</v>
      </c>
      <c r="X267" s="50">
        <v>9.0999999999999998E-2</v>
      </c>
      <c r="Y267" s="50">
        <v>1.7999999999999999E-2</v>
      </c>
      <c r="AE267" s="50">
        <v>2.93</v>
      </c>
      <c r="AF267" s="273">
        <f>0.0002/2</f>
        <v>1E-4</v>
      </c>
      <c r="AG267" s="50">
        <v>1.51</v>
      </c>
    </row>
    <row r="270" spans="1:35" ht="15" customHeight="1">
      <c r="K270" s="51"/>
    </row>
    <row r="271" spans="1:35" ht="15" customHeight="1">
      <c r="K271" s="51"/>
    </row>
    <row r="272" spans="1:35" ht="15" customHeight="1">
      <c r="K272" s="51"/>
      <c r="L272" s="50"/>
    </row>
    <row r="273" spans="11:11" ht="15" customHeight="1">
      <c r="K273" s="51"/>
    </row>
  </sheetData>
  <autoFilter ref="A1:AI267"/>
  <sortState ref="K10044:K10047">
    <sortCondition ref="K10044:K10047"/>
  </sortState>
  <conditionalFormatting sqref="P76:Y76 O9:Y9 O243:O248 O259:O267 O2:O230">
    <cfRule type="cellIs" dxfId="1230" priority="541" stopIfTrue="1" operator="greaterThan">
      <formula>5</formula>
    </cfRule>
  </conditionalFormatting>
  <conditionalFormatting sqref="R76:Y76 Q243:Q248 Q259:Q267 Q2:Q230">
    <cfRule type="cellIs" dxfId="1229" priority="540" stopIfTrue="1" operator="notBetween">
      <formula>5</formula>
      <formula>9</formula>
    </cfRule>
  </conditionalFormatting>
  <conditionalFormatting sqref="S76:Y76 R243:R248 R259:R267 R2:R230">
    <cfRule type="cellIs" dxfId="1228" priority="539" stopIfTrue="1" operator="greaterThan">
      <formula>75</formula>
    </cfRule>
  </conditionalFormatting>
  <conditionalFormatting sqref="T76:Y76 S243:S248 S259:S267 S2:S230">
    <cfRule type="cellIs" dxfId="1227" priority="538" stopIfTrue="1" operator="greaterThan">
      <formula>90</formula>
    </cfRule>
  </conditionalFormatting>
  <conditionalFormatting sqref="U76:Y76 T243:T248 T259:T267 T2:T230">
    <cfRule type="cellIs" dxfId="1226" priority="537" stopIfTrue="1" operator="greaterThan">
      <formula>0.4</formula>
    </cfRule>
  </conditionalFormatting>
  <conditionalFormatting sqref="V76:Y76 U243:U248 U259:U267 U2:U230">
    <cfRule type="cellIs" dxfId="1225" priority="536" stopIfTrue="1" operator="greaterThan">
      <formula>2.3</formula>
    </cfRule>
  </conditionalFormatting>
  <conditionalFormatting sqref="W76:Y76 V243:V248 V259:V267 V2:V230">
    <cfRule type="cellIs" dxfId="1224" priority="535" stopIfTrue="1" operator="greaterThan">
      <formula>1.1</formula>
    </cfRule>
  </conditionalFormatting>
  <conditionalFormatting sqref="X76:Y76 W243:W248 W259:W267 W2:W230">
    <cfRule type="cellIs" dxfId="1223" priority="534" stopIfTrue="1" operator="greaterThan">
      <formula>0.059</formula>
    </cfRule>
  </conditionalFormatting>
  <conditionalFormatting sqref="Y76 X243:X248 X259:X267 X2:X230">
    <cfRule type="cellIs" dxfId="1222" priority="533" stopIfTrue="1" operator="greaterThan">
      <formula>0.16</formula>
    </cfRule>
  </conditionalFormatting>
  <conditionalFormatting sqref="Y243:Y248 Y259:Y267 Y2:Y230">
    <cfRule type="cellIs" dxfId="1221" priority="532" stopIfTrue="1" operator="greaterThan">
      <formula>0.076</formula>
    </cfRule>
  </conditionalFormatting>
  <conditionalFormatting sqref="AF64 AF62 AE70:AF71 AE2:AE67 AE243:AE248 AE259:AE267 AE69:AE230">
    <cfRule type="cellIs" dxfId="1220" priority="531" operator="greaterThan">
      <formula>1</formula>
    </cfRule>
  </conditionalFormatting>
  <conditionalFormatting sqref="AF70:AG71 AE71:AG71 AE64:AF65 AG64 AG62 AF243:AF248 AF259:AF267 AF2:AF230">
    <cfRule type="cellIs" dxfId="1219" priority="530" operator="greaterThan">
      <formula>0.0014</formula>
    </cfRule>
  </conditionalFormatting>
  <conditionalFormatting sqref="AG70:AH71 AF71:AH71 AF64:AG65 AH64 AH62 AG2:AG67 AG243:AG248 AG259:AG267 L272 AG69:AG230">
    <cfRule type="cellIs" dxfId="1218" priority="529" operator="greaterThan">
      <formula>0.75</formula>
    </cfRule>
  </conditionalFormatting>
  <conditionalFormatting sqref="O172">
    <cfRule type="cellIs" dxfId="1217" priority="238" stopIfTrue="1" operator="greaterThan">
      <formula>5</formula>
    </cfRule>
  </conditionalFormatting>
  <conditionalFormatting sqref="Q172">
    <cfRule type="cellIs" dxfId="1216" priority="237" stopIfTrue="1" operator="notBetween">
      <formula>5</formula>
      <formula>9</formula>
    </cfRule>
  </conditionalFormatting>
  <conditionalFormatting sqref="R172">
    <cfRule type="cellIs" dxfId="1215" priority="236" stopIfTrue="1" operator="greaterThan">
      <formula>75</formula>
    </cfRule>
  </conditionalFormatting>
  <conditionalFormatting sqref="S172">
    <cfRule type="cellIs" dxfId="1214" priority="235" stopIfTrue="1" operator="greaterThan">
      <formula>90</formula>
    </cfRule>
  </conditionalFormatting>
  <conditionalFormatting sqref="T172">
    <cfRule type="cellIs" dxfId="1213" priority="234" stopIfTrue="1" operator="greaterThan">
      <formula>0.4</formula>
    </cfRule>
  </conditionalFormatting>
  <conditionalFormatting sqref="U172">
    <cfRule type="cellIs" dxfId="1212" priority="233" stopIfTrue="1" operator="greaterThan">
      <formula>2.3</formula>
    </cfRule>
  </conditionalFormatting>
  <conditionalFormatting sqref="V172">
    <cfRule type="cellIs" dxfId="1211" priority="232" stopIfTrue="1" operator="greaterThan">
      <formula>1.1</formula>
    </cfRule>
  </conditionalFormatting>
  <conditionalFormatting sqref="W172">
    <cfRule type="cellIs" dxfId="1210" priority="231" stopIfTrue="1" operator="greaterThan">
      <formula>0.059</formula>
    </cfRule>
  </conditionalFormatting>
  <conditionalFormatting sqref="X172">
    <cfRule type="cellIs" dxfId="1209" priority="230" stopIfTrue="1" operator="greaterThan">
      <formula>0.16</formula>
    </cfRule>
  </conditionalFormatting>
  <conditionalFormatting sqref="Y172">
    <cfRule type="cellIs" dxfId="1208" priority="229" stopIfTrue="1" operator="greaterThan">
      <formula>0.076</formula>
    </cfRule>
  </conditionalFormatting>
  <conditionalFormatting sqref="AE172">
    <cfRule type="cellIs" dxfId="1207" priority="228" operator="greaterThan">
      <formula>1</formula>
    </cfRule>
  </conditionalFormatting>
  <conditionalFormatting sqref="AF172">
    <cfRule type="cellIs" dxfId="1206" priority="227" operator="greaterThan">
      <formula>0.0014</formula>
    </cfRule>
  </conditionalFormatting>
  <conditionalFormatting sqref="AG172">
    <cfRule type="cellIs" dxfId="1205" priority="226" operator="greaterThan">
      <formula>0.75</formula>
    </cfRule>
  </conditionalFormatting>
  <conditionalFormatting sqref="O178:O180">
    <cfRule type="cellIs" dxfId="1204" priority="225" stopIfTrue="1" operator="greaterThan">
      <formula>5</formula>
    </cfRule>
  </conditionalFormatting>
  <conditionalFormatting sqref="Q178:Q180">
    <cfRule type="cellIs" dxfId="1203" priority="224" stopIfTrue="1" operator="notBetween">
      <formula>5</formula>
      <formula>9</formula>
    </cfRule>
  </conditionalFormatting>
  <conditionalFormatting sqref="R178:R180">
    <cfRule type="cellIs" dxfId="1202" priority="223" stopIfTrue="1" operator="greaterThan">
      <formula>75</formula>
    </cfRule>
  </conditionalFormatting>
  <conditionalFormatting sqref="S178:S180">
    <cfRule type="cellIs" dxfId="1201" priority="222" stopIfTrue="1" operator="greaterThan">
      <formula>90</formula>
    </cfRule>
  </conditionalFormatting>
  <conditionalFormatting sqref="T178:T180">
    <cfRule type="cellIs" dxfId="1200" priority="221" stopIfTrue="1" operator="greaterThan">
      <formula>0.4</formula>
    </cfRule>
  </conditionalFormatting>
  <conditionalFormatting sqref="U178:U180">
    <cfRule type="cellIs" dxfId="1199" priority="220" stopIfTrue="1" operator="greaterThan">
      <formula>2.3</formula>
    </cfRule>
  </conditionalFormatting>
  <conditionalFormatting sqref="V178:V180">
    <cfRule type="cellIs" dxfId="1198" priority="219" stopIfTrue="1" operator="greaterThan">
      <formula>1.1</formula>
    </cfRule>
  </conditionalFormatting>
  <conditionalFormatting sqref="W178:W180">
    <cfRule type="cellIs" dxfId="1197" priority="218" stopIfTrue="1" operator="greaterThan">
      <formula>0.059</formula>
    </cfRule>
  </conditionalFormatting>
  <conditionalFormatting sqref="X178:X180">
    <cfRule type="cellIs" dxfId="1196" priority="217" stopIfTrue="1" operator="greaterThan">
      <formula>0.16</formula>
    </cfRule>
  </conditionalFormatting>
  <conditionalFormatting sqref="Y178:Y180">
    <cfRule type="cellIs" dxfId="1195" priority="216" stopIfTrue="1" operator="greaterThan">
      <formula>0.076</formula>
    </cfRule>
  </conditionalFormatting>
  <conditionalFormatting sqref="AE178:AE180">
    <cfRule type="cellIs" dxfId="1194" priority="215" operator="greaterThan">
      <formula>1</formula>
    </cfRule>
  </conditionalFormatting>
  <conditionalFormatting sqref="AF178:AF180">
    <cfRule type="cellIs" dxfId="1193" priority="214" operator="greaterThan">
      <formula>0.0014</formula>
    </cfRule>
  </conditionalFormatting>
  <conditionalFormatting sqref="AG178:AG180">
    <cfRule type="cellIs" dxfId="1192" priority="213" operator="greaterThan">
      <formula>0.75</formula>
    </cfRule>
  </conditionalFormatting>
  <conditionalFormatting sqref="O243:O248 O259:O263">
    <cfRule type="cellIs" dxfId="1191" priority="199" stopIfTrue="1" operator="greaterThan">
      <formula>5</formula>
    </cfRule>
  </conditionalFormatting>
  <conditionalFormatting sqref="Q243:Q248 Q259:Q263">
    <cfRule type="cellIs" dxfId="1190" priority="198" stopIfTrue="1" operator="notBetween">
      <formula>5</formula>
      <formula>9</formula>
    </cfRule>
  </conditionalFormatting>
  <conditionalFormatting sqref="R243:R248 R259:R263">
    <cfRule type="cellIs" dxfId="1189" priority="197" stopIfTrue="1" operator="greaterThan">
      <formula>75</formula>
    </cfRule>
  </conditionalFormatting>
  <conditionalFormatting sqref="S243:S248 S259:S263">
    <cfRule type="cellIs" dxfId="1188" priority="196" stopIfTrue="1" operator="greaterThan">
      <formula>90</formula>
    </cfRule>
  </conditionalFormatting>
  <conditionalFormatting sqref="T243:T248 T259:T263">
    <cfRule type="cellIs" dxfId="1187" priority="195" stopIfTrue="1" operator="greaterThan">
      <formula>0.4</formula>
    </cfRule>
  </conditionalFormatting>
  <conditionalFormatting sqref="U243:U248 U259:U263">
    <cfRule type="cellIs" dxfId="1186" priority="194" stopIfTrue="1" operator="greaterThan">
      <formula>2.3</formula>
    </cfRule>
  </conditionalFormatting>
  <conditionalFormatting sqref="V243:V248 V259:V263">
    <cfRule type="cellIs" dxfId="1185" priority="193" stopIfTrue="1" operator="greaterThan">
      <formula>1.1</formula>
    </cfRule>
  </conditionalFormatting>
  <conditionalFormatting sqref="W243:W248 W259:W263">
    <cfRule type="cellIs" dxfId="1184" priority="192" stopIfTrue="1" operator="greaterThan">
      <formula>0.059</formula>
    </cfRule>
  </conditionalFormatting>
  <conditionalFormatting sqref="X243:X248 X259:X263">
    <cfRule type="cellIs" dxfId="1183" priority="191" stopIfTrue="1" operator="greaterThan">
      <formula>0.16</formula>
    </cfRule>
  </conditionalFormatting>
  <conditionalFormatting sqref="Y243:Y248 Y259:Y263">
    <cfRule type="cellIs" dxfId="1182" priority="190" stopIfTrue="1" operator="greaterThan">
      <formula>0.076</formula>
    </cfRule>
  </conditionalFormatting>
  <conditionalFormatting sqref="AE243:AE248 AE259:AE263">
    <cfRule type="cellIs" dxfId="1181" priority="189" operator="greaterThan">
      <formula>1</formula>
    </cfRule>
  </conditionalFormatting>
  <conditionalFormatting sqref="AF243:AF248 AF259:AF263">
    <cfRule type="cellIs" dxfId="1180" priority="188" operator="greaterThan">
      <formula>0.0014</formula>
    </cfRule>
  </conditionalFormatting>
  <conditionalFormatting sqref="AG243:AG248 AG259:AG263">
    <cfRule type="cellIs" dxfId="1179" priority="187" operator="greaterThan">
      <formula>0.75</formula>
    </cfRule>
  </conditionalFormatting>
  <conditionalFormatting sqref="O264:O266">
    <cfRule type="cellIs" dxfId="1178" priority="160" stopIfTrue="1" operator="greaterThan">
      <formula>5</formula>
    </cfRule>
  </conditionalFormatting>
  <conditionalFormatting sqref="Q264:Q266">
    <cfRule type="cellIs" dxfId="1177" priority="159" stopIfTrue="1" operator="notBetween">
      <formula>5</formula>
      <formula>9</formula>
    </cfRule>
  </conditionalFormatting>
  <conditionalFormatting sqref="R264:R266">
    <cfRule type="cellIs" dxfId="1176" priority="158" stopIfTrue="1" operator="greaterThan">
      <formula>75</formula>
    </cfRule>
  </conditionalFormatting>
  <conditionalFormatting sqref="S264:S266">
    <cfRule type="cellIs" dxfId="1175" priority="157" stopIfTrue="1" operator="greaterThan">
      <formula>90</formula>
    </cfRule>
  </conditionalFormatting>
  <conditionalFormatting sqref="T264:T266">
    <cfRule type="cellIs" dxfId="1174" priority="156" stopIfTrue="1" operator="greaterThan">
      <formula>0.4</formula>
    </cfRule>
  </conditionalFormatting>
  <conditionalFormatting sqref="U264:U266">
    <cfRule type="cellIs" dxfId="1173" priority="155" stopIfTrue="1" operator="greaterThan">
      <formula>2.3</formula>
    </cfRule>
  </conditionalFormatting>
  <conditionalFormatting sqref="V264:V266">
    <cfRule type="cellIs" dxfId="1172" priority="154" stopIfTrue="1" operator="greaterThan">
      <formula>1.1</formula>
    </cfRule>
  </conditionalFormatting>
  <conditionalFormatting sqref="W264:W266">
    <cfRule type="cellIs" dxfId="1171" priority="153" stopIfTrue="1" operator="greaterThan">
      <formula>0.059</formula>
    </cfRule>
  </conditionalFormatting>
  <conditionalFormatting sqref="X264:X266">
    <cfRule type="cellIs" dxfId="1170" priority="152" stopIfTrue="1" operator="greaterThan">
      <formula>0.16</formula>
    </cfRule>
  </conditionalFormatting>
  <conditionalFormatting sqref="Y264:Y266">
    <cfRule type="cellIs" dxfId="1169" priority="151" stopIfTrue="1" operator="greaterThan">
      <formula>0.076</formula>
    </cfRule>
  </conditionalFormatting>
  <conditionalFormatting sqref="AE264:AE266">
    <cfRule type="cellIs" dxfId="1168" priority="150" operator="greaterThan">
      <formula>1</formula>
    </cfRule>
  </conditionalFormatting>
  <conditionalFormatting sqref="AF264:AF266">
    <cfRule type="cellIs" dxfId="1167" priority="149" operator="greaterThan">
      <formula>0.0014</formula>
    </cfRule>
  </conditionalFormatting>
  <conditionalFormatting sqref="AG264:AG266">
    <cfRule type="cellIs" dxfId="1166" priority="148" operator="greaterThan">
      <formula>0.75</formula>
    </cfRule>
  </conditionalFormatting>
  <conditionalFormatting sqref="O243:O244">
    <cfRule type="cellIs" dxfId="1165" priority="147" stopIfTrue="1" operator="greaterThan">
      <formula>5</formula>
    </cfRule>
  </conditionalFormatting>
  <conditionalFormatting sqref="Q243:Q244">
    <cfRule type="cellIs" dxfId="1164" priority="146" stopIfTrue="1" operator="notBetween">
      <formula>5</formula>
      <formula>9</formula>
    </cfRule>
  </conditionalFormatting>
  <conditionalFormatting sqref="R243:R244">
    <cfRule type="cellIs" dxfId="1163" priority="145" stopIfTrue="1" operator="greaterThan">
      <formula>75</formula>
    </cfRule>
  </conditionalFormatting>
  <conditionalFormatting sqref="S243:S244">
    <cfRule type="cellIs" dxfId="1162" priority="144" stopIfTrue="1" operator="greaterThan">
      <formula>90</formula>
    </cfRule>
  </conditionalFormatting>
  <conditionalFormatting sqref="T243:T244">
    <cfRule type="cellIs" dxfId="1161" priority="143" stopIfTrue="1" operator="greaterThan">
      <formula>0.4</formula>
    </cfRule>
  </conditionalFormatting>
  <conditionalFormatting sqref="U243:U244">
    <cfRule type="cellIs" dxfId="1160" priority="142" stopIfTrue="1" operator="greaterThan">
      <formula>2.3</formula>
    </cfRule>
  </conditionalFormatting>
  <conditionalFormatting sqref="V243:V244">
    <cfRule type="cellIs" dxfId="1159" priority="141" stopIfTrue="1" operator="greaterThan">
      <formula>1.1</formula>
    </cfRule>
  </conditionalFormatting>
  <conditionalFormatting sqref="W243:W244">
    <cfRule type="cellIs" dxfId="1158" priority="140" stopIfTrue="1" operator="greaterThan">
      <formula>0.059</formula>
    </cfRule>
  </conditionalFormatting>
  <conditionalFormatting sqref="X243:X244">
    <cfRule type="cellIs" dxfId="1157" priority="139" stopIfTrue="1" operator="greaterThan">
      <formula>0.16</formula>
    </cfRule>
  </conditionalFormatting>
  <conditionalFormatting sqref="Y243:Y244">
    <cfRule type="cellIs" dxfId="1156" priority="138" stopIfTrue="1" operator="greaterThan">
      <formula>0.076</formula>
    </cfRule>
  </conditionalFormatting>
  <conditionalFormatting sqref="AE243:AE244">
    <cfRule type="cellIs" dxfId="1155" priority="137" operator="greaterThan">
      <formula>1</formula>
    </cfRule>
  </conditionalFormatting>
  <conditionalFormatting sqref="AF243:AF244">
    <cfRule type="cellIs" dxfId="1154" priority="136" operator="greaterThan">
      <formula>0.0014</formula>
    </cfRule>
  </conditionalFormatting>
  <conditionalFormatting sqref="AG243:AG244">
    <cfRule type="cellIs" dxfId="1153" priority="135" operator="greaterThan">
      <formula>0.75</formula>
    </cfRule>
  </conditionalFormatting>
  <conditionalFormatting sqref="O243:O244">
    <cfRule type="cellIs" dxfId="1152" priority="134" stopIfTrue="1" operator="greaterThan">
      <formula>5</formula>
    </cfRule>
  </conditionalFormatting>
  <conditionalFormatting sqref="Q243:Q244">
    <cfRule type="cellIs" dxfId="1151" priority="133" stopIfTrue="1" operator="notBetween">
      <formula>5</formula>
      <formula>9</formula>
    </cfRule>
  </conditionalFormatting>
  <conditionalFormatting sqref="R243:R244">
    <cfRule type="cellIs" dxfId="1150" priority="132" stopIfTrue="1" operator="greaterThan">
      <formula>75</formula>
    </cfRule>
  </conditionalFormatting>
  <conditionalFormatting sqref="S243:S244">
    <cfRule type="cellIs" dxfId="1149" priority="131" stopIfTrue="1" operator="greaterThan">
      <formula>90</formula>
    </cfRule>
  </conditionalFormatting>
  <conditionalFormatting sqref="T243:T244">
    <cfRule type="cellIs" dxfId="1148" priority="130" stopIfTrue="1" operator="greaterThan">
      <formula>0.4</formula>
    </cfRule>
  </conditionalFormatting>
  <conditionalFormatting sqref="U243:U244">
    <cfRule type="cellIs" dxfId="1147" priority="129" stopIfTrue="1" operator="greaterThan">
      <formula>2.3</formula>
    </cfRule>
  </conditionalFormatting>
  <conditionalFormatting sqref="V243:V244">
    <cfRule type="cellIs" dxfId="1146" priority="128" stopIfTrue="1" operator="greaterThan">
      <formula>1.1</formula>
    </cfRule>
  </conditionalFormatting>
  <conditionalFormatting sqref="W243:W244">
    <cfRule type="cellIs" dxfId="1145" priority="127" stopIfTrue="1" operator="greaterThan">
      <formula>0.059</formula>
    </cfRule>
  </conditionalFormatting>
  <conditionalFormatting sqref="X243:X244">
    <cfRule type="cellIs" dxfId="1144" priority="126" stopIfTrue="1" operator="greaterThan">
      <formula>0.16</formula>
    </cfRule>
  </conditionalFormatting>
  <conditionalFormatting sqref="Y243:Y244">
    <cfRule type="cellIs" dxfId="1143" priority="125" stopIfTrue="1" operator="greaterThan">
      <formula>0.076</formula>
    </cfRule>
  </conditionalFormatting>
  <conditionalFormatting sqref="AE243:AE244">
    <cfRule type="cellIs" dxfId="1142" priority="124" operator="greaterThan">
      <formula>1</formula>
    </cfRule>
  </conditionalFormatting>
  <conditionalFormatting sqref="AF243:AF244">
    <cfRule type="cellIs" dxfId="1141" priority="123" operator="greaterThan">
      <formula>0.0014</formula>
    </cfRule>
  </conditionalFormatting>
  <conditionalFormatting sqref="AG243:AG244">
    <cfRule type="cellIs" dxfId="1140" priority="122" operator="greaterThan">
      <formula>0.75</formula>
    </cfRule>
  </conditionalFormatting>
  <conditionalFormatting sqref="O245:O248">
    <cfRule type="cellIs" dxfId="1139" priority="121" stopIfTrue="1" operator="greaterThan">
      <formula>5</formula>
    </cfRule>
  </conditionalFormatting>
  <conditionalFormatting sqref="Q245:Q248">
    <cfRule type="cellIs" dxfId="1138" priority="120" stopIfTrue="1" operator="notBetween">
      <formula>5</formula>
      <formula>9</formula>
    </cfRule>
  </conditionalFormatting>
  <conditionalFormatting sqref="R245:R248">
    <cfRule type="cellIs" dxfId="1137" priority="119" stopIfTrue="1" operator="greaterThan">
      <formula>75</formula>
    </cfRule>
  </conditionalFormatting>
  <conditionalFormatting sqref="S245:S248">
    <cfRule type="cellIs" dxfId="1136" priority="118" stopIfTrue="1" operator="greaterThan">
      <formula>90</formula>
    </cfRule>
  </conditionalFormatting>
  <conditionalFormatting sqref="T245:T248">
    <cfRule type="cellIs" dxfId="1135" priority="117" stopIfTrue="1" operator="greaterThan">
      <formula>0.4</formula>
    </cfRule>
  </conditionalFormatting>
  <conditionalFormatting sqref="U245:U248">
    <cfRule type="cellIs" dxfId="1134" priority="116" stopIfTrue="1" operator="greaterThan">
      <formula>2.3</formula>
    </cfRule>
  </conditionalFormatting>
  <conditionalFormatting sqref="V245:V248">
    <cfRule type="cellIs" dxfId="1133" priority="115" stopIfTrue="1" operator="greaterThan">
      <formula>1.1</formula>
    </cfRule>
  </conditionalFormatting>
  <conditionalFormatting sqref="W245:W248">
    <cfRule type="cellIs" dxfId="1132" priority="114" stopIfTrue="1" operator="greaterThan">
      <formula>0.059</formula>
    </cfRule>
  </conditionalFormatting>
  <conditionalFormatting sqref="X245:X248">
    <cfRule type="cellIs" dxfId="1131" priority="113" stopIfTrue="1" operator="greaterThan">
      <formula>0.16</formula>
    </cfRule>
  </conditionalFormatting>
  <conditionalFormatting sqref="Y245:Y248">
    <cfRule type="cellIs" dxfId="1130" priority="112" stopIfTrue="1" operator="greaterThan">
      <formula>0.076</formula>
    </cfRule>
  </conditionalFormatting>
  <conditionalFormatting sqref="AE245:AE248">
    <cfRule type="cellIs" dxfId="1129" priority="111" operator="greaterThan">
      <formula>1</formula>
    </cfRule>
  </conditionalFormatting>
  <conditionalFormatting sqref="AF245:AF248">
    <cfRule type="cellIs" dxfId="1128" priority="110" operator="greaterThan">
      <formula>0.0014</formula>
    </cfRule>
  </conditionalFormatting>
  <conditionalFormatting sqref="AG245:AG248">
    <cfRule type="cellIs" dxfId="1127" priority="109" operator="greaterThan">
      <formula>0.75</formula>
    </cfRule>
  </conditionalFormatting>
  <conditionalFormatting sqref="O245:O248">
    <cfRule type="cellIs" dxfId="1126" priority="108" stopIfTrue="1" operator="greaterThan">
      <formula>5</formula>
    </cfRule>
  </conditionalFormatting>
  <conditionalFormatting sqref="Q245:Q248">
    <cfRule type="cellIs" dxfId="1125" priority="107" stopIfTrue="1" operator="notBetween">
      <formula>5</formula>
      <formula>9</formula>
    </cfRule>
  </conditionalFormatting>
  <conditionalFormatting sqref="R245:R248">
    <cfRule type="cellIs" dxfId="1124" priority="106" stopIfTrue="1" operator="greaterThan">
      <formula>75</formula>
    </cfRule>
  </conditionalFormatting>
  <conditionalFormatting sqref="S245:S248">
    <cfRule type="cellIs" dxfId="1123" priority="105" stopIfTrue="1" operator="greaterThan">
      <formula>90</formula>
    </cfRule>
  </conditionalFormatting>
  <conditionalFormatting sqref="T245:T248">
    <cfRule type="cellIs" dxfId="1122" priority="104" stopIfTrue="1" operator="greaterThan">
      <formula>0.4</formula>
    </cfRule>
  </conditionalFormatting>
  <conditionalFormatting sqref="U245:U248">
    <cfRule type="cellIs" dxfId="1121" priority="103" stopIfTrue="1" operator="greaterThan">
      <formula>2.3</formula>
    </cfRule>
  </conditionalFormatting>
  <conditionalFormatting sqref="V245:V248">
    <cfRule type="cellIs" dxfId="1120" priority="102" stopIfTrue="1" operator="greaterThan">
      <formula>1.1</formula>
    </cfRule>
  </conditionalFormatting>
  <conditionalFormatting sqref="W245:W248">
    <cfRule type="cellIs" dxfId="1119" priority="101" stopIfTrue="1" operator="greaterThan">
      <formula>0.059</formula>
    </cfRule>
  </conditionalFormatting>
  <conditionalFormatting sqref="X245:X248">
    <cfRule type="cellIs" dxfId="1118" priority="100" stopIfTrue="1" operator="greaterThan">
      <formula>0.16</formula>
    </cfRule>
  </conditionalFormatting>
  <conditionalFormatting sqref="Y245:Y248">
    <cfRule type="cellIs" dxfId="1117" priority="99" stopIfTrue="1" operator="greaterThan">
      <formula>0.076</formula>
    </cfRule>
  </conditionalFormatting>
  <conditionalFormatting sqref="AE245:AE248">
    <cfRule type="cellIs" dxfId="1116" priority="98" operator="greaterThan">
      <formula>1</formula>
    </cfRule>
  </conditionalFormatting>
  <conditionalFormatting sqref="AF245:AF248">
    <cfRule type="cellIs" dxfId="1115" priority="97" operator="greaterThan">
      <formula>0.0014</formula>
    </cfRule>
  </conditionalFormatting>
  <conditionalFormatting sqref="AG245:AG248">
    <cfRule type="cellIs" dxfId="1114" priority="96" operator="greaterThan">
      <formula>0.75</formula>
    </cfRule>
  </conditionalFormatting>
  <conditionalFormatting sqref="O259:O266">
    <cfRule type="cellIs" dxfId="1113" priority="95" stopIfTrue="1" operator="greaterThan">
      <formula>5</formula>
    </cfRule>
  </conditionalFormatting>
  <conditionalFormatting sqref="Q259:Q266">
    <cfRule type="cellIs" dxfId="1112" priority="94" stopIfTrue="1" operator="notBetween">
      <formula>5</formula>
      <formula>9</formula>
    </cfRule>
  </conditionalFormatting>
  <conditionalFormatting sqref="R259:R266">
    <cfRule type="cellIs" dxfId="1111" priority="93" stopIfTrue="1" operator="greaterThan">
      <formula>75</formula>
    </cfRule>
  </conditionalFormatting>
  <conditionalFormatting sqref="S259:S266">
    <cfRule type="cellIs" dxfId="1110" priority="92" stopIfTrue="1" operator="greaterThan">
      <formula>90</formula>
    </cfRule>
  </conditionalFormatting>
  <conditionalFormatting sqref="T259:T266">
    <cfRule type="cellIs" dxfId="1109" priority="91" stopIfTrue="1" operator="greaterThan">
      <formula>0.4</formula>
    </cfRule>
  </conditionalFormatting>
  <conditionalFormatting sqref="U259:U266">
    <cfRule type="cellIs" dxfId="1108" priority="90" stopIfTrue="1" operator="greaterThan">
      <formula>2.3</formula>
    </cfRule>
  </conditionalFormatting>
  <conditionalFormatting sqref="V259:V266">
    <cfRule type="cellIs" dxfId="1107" priority="89" stopIfTrue="1" operator="greaterThan">
      <formula>1.1</formula>
    </cfRule>
  </conditionalFormatting>
  <conditionalFormatting sqref="W259:W266">
    <cfRule type="cellIs" dxfId="1106" priority="88" stopIfTrue="1" operator="greaterThan">
      <formula>0.059</formula>
    </cfRule>
  </conditionalFormatting>
  <conditionalFormatting sqref="X259:X266">
    <cfRule type="cellIs" dxfId="1105" priority="87" stopIfTrue="1" operator="greaterThan">
      <formula>0.16</formula>
    </cfRule>
  </conditionalFormatting>
  <conditionalFormatting sqref="Y259:Y266">
    <cfRule type="cellIs" dxfId="1104" priority="86" stopIfTrue="1" operator="greaterThan">
      <formula>0.076</formula>
    </cfRule>
  </conditionalFormatting>
  <conditionalFormatting sqref="AE259:AE266">
    <cfRule type="cellIs" dxfId="1103" priority="85" operator="greaterThan">
      <formula>1</formula>
    </cfRule>
  </conditionalFormatting>
  <conditionalFormatting sqref="AF259:AF266">
    <cfRule type="cellIs" dxfId="1102" priority="84" operator="greaterThan">
      <formula>0.0014</formula>
    </cfRule>
  </conditionalFormatting>
  <conditionalFormatting sqref="AG259:AG266">
    <cfRule type="cellIs" dxfId="1101" priority="83" operator="greaterThan">
      <formula>0.75</formula>
    </cfRule>
  </conditionalFormatting>
  <conditionalFormatting sqref="O259:O263">
    <cfRule type="cellIs" dxfId="1100" priority="82" stopIfTrue="1" operator="greaterThan">
      <formula>5</formula>
    </cfRule>
  </conditionalFormatting>
  <conditionalFormatting sqref="Q259:Q263">
    <cfRule type="cellIs" dxfId="1099" priority="81" stopIfTrue="1" operator="notBetween">
      <formula>5</formula>
      <formula>9</formula>
    </cfRule>
  </conditionalFormatting>
  <conditionalFormatting sqref="R259:R263">
    <cfRule type="cellIs" dxfId="1098" priority="80" stopIfTrue="1" operator="greaterThan">
      <formula>75</formula>
    </cfRule>
  </conditionalFormatting>
  <conditionalFormatting sqref="S259:S263">
    <cfRule type="cellIs" dxfId="1097" priority="79" stopIfTrue="1" operator="greaterThan">
      <formula>90</formula>
    </cfRule>
  </conditionalFormatting>
  <conditionalFormatting sqref="T259:T263">
    <cfRule type="cellIs" dxfId="1096" priority="78" stopIfTrue="1" operator="greaterThan">
      <formula>0.4</formula>
    </cfRule>
  </conditionalFormatting>
  <conditionalFormatting sqref="U259:U263">
    <cfRule type="cellIs" dxfId="1095" priority="77" stopIfTrue="1" operator="greaterThan">
      <formula>2.3</formula>
    </cfRule>
  </conditionalFormatting>
  <conditionalFormatting sqref="V259:V263">
    <cfRule type="cellIs" dxfId="1094" priority="76" stopIfTrue="1" operator="greaterThan">
      <formula>1.1</formula>
    </cfRule>
  </conditionalFormatting>
  <conditionalFormatting sqref="W259:W263">
    <cfRule type="cellIs" dxfId="1093" priority="75" stopIfTrue="1" operator="greaterThan">
      <formula>0.059</formula>
    </cfRule>
  </conditionalFormatting>
  <conditionalFormatting sqref="X259:X263">
    <cfRule type="cellIs" dxfId="1092" priority="74" stopIfTrue="1" operator="greaterThan">
      <formula>0.16</formula>
    </cfRule>
  </conditionalFormatting>
  <conditionalFormatting sqref="Y259:Y263">
    <cfRule type="cellIs" dxfId="1091" priority="73" stopIfTrue="1" operator="greaterThan">
      <formula>0.076</formula>
    </cfRule>
  </conditionalFormatting>
  <conditionalFormatting sqref="AE259:AE263">
    <cfRule type="cellIs" dxfId="1090" priority="72" operator="greaterThan">
      <formula>1</formula>
    </cfRule>
  </conditionalFormatting>
  <conditionalFormatting sqref="AF259:AF263">
    <cfRule type="cellIs" dxfId="1089" priority="71" operator="greaterThan">
      <formula>0.0014</formula>
    </cfRule>
  </conditionalFormatting>
  <conditionalFormatting sqref="AG259:AG263">
    <cfRule type="cellIs" dxfId="1088" priority="70" operator="greaterThan">
      <formula>0.75</formula>
    </cfRule>
  </conditionalFormatting>
  <conditionalFormatting sqref="O264:O266">
    <cfRule type="cellIs" dxfId="1087" priority="69" stopIfTrue="1" operator="greaterThan">
      <formula>5</formula>
    </cfRule>
  </conditionalFormatting>
  <conditionalFormatting sqref="Q264:Q266">
    <cfRule type="cellIs" dxfId="1086" priority="68" stopIfTrue="1" operator="notBetween">
      <formula>5</formula>
      <formula>9</formula>
    </cfRule>
  </conditionalFormatting>
  <conditionalFormatting sqref="R264:R266">
    <cfRule type="cellIs" dxfId="1085" priority="67" stopIfTrue="1" operator="greaterThan">
      <formula>75</formula>
    </cfRule>
  </conditionalFormatting>
  <conditionalFormatting sqref="S264:S266">
    <cfRule type="cellIs" dxfId="1084" priority="66" stopIfTrue="1" operator="greaterThan">
      <formula>90</formula>
    </cfRule>
  </conditionalFormatting>
  <conditionalFormatting sqref="T264:T266">
    <cfRule type="cellIs" dxfId="1083" priority="65" stopIfTrue="1" operator="greaterThan">
      <formula>0.4</formula>
    </cfRule>
  </conditionalFormatting>
  <conditionalFormatting sqref="U264:U266">
    <cfRule type="cellIs" dxfId="1082" priority="64" stopIfTrue="1" operator="greaterThan">
      <formula>2.3</formula>
    </cfRule>
  </conditionalFormatting>
  <conditionalFormatting sqref="V264:V266">
    <cfRule type="cellIs" dxfId="1081" priority="63" stopIfTrue="1" operator="greaterThan">
      <formula>1.1</formula>
    </cfRule>
  </conditionalFormatting>
  <conditionalFormatting sqref="W264:W266">
    <cfRule type="cellIs" dxfId="1080" priority="62" stopIfTrue="1" operator="greaterThan">
      <formula>0.059</formula>
    </cfRule>
  </conditionalFormatting>
  <conditionalFormatting sqref="X264:X266">
    <cfRule type="cellIs" dxfId="1079" priority="61" stopIfTrue="1" operator="greaterThan">
      <formula>0.16</formula>
    </cfRule>
  </conditionalFormatting>
  <conditionalFormatting sqref="Y264:Y266">
    <cfRule type="cellIs" dxfId="1078" priority="60" stopIfTrue="1" operator="greaterThan">
      <formula>0.076</formula>
    </cfRule>
  </conditionalFormatting>
  <conditionalFormatting sqref="AE264:AE266">
    <cfRule type="cellIs" dxfId="1077" priority="59" operator="greaterThan">
      <formula>1</formula>
    </cfRule>
  </conditionalFormatting>
  <conditionalFormatting sqref="AF264:AF266">
    <cfRule type="cellIs" dxfId="1076" priority="58" operator="greaterThan">
      <formula>0.0014</formula>
    </cfRule>
  </conditionalFormatting>
  <conditionalFormatting sqref="AG264:AG266">
    <cfRule type="cellIs" dxfId="1075" priority="57" operator="greaterThan">
      <formula>0.75</formula>
    </cfRule>
  </conditionalFormatting>
  <conditionalFormatting sqref="O231:O242">
    <cfRule type="cellIs" dxfId="1074" priority="56" stopIfTrue="1" operator="greaterThan">
      <formula>5</formula>
    </cfRule>
  </conditionalFormatting>
  <conditionalFormatting sqref="Q231:Q242">
    <cfRule type="cellIs" dxfId="1073" priority="55" stopIfTrue="1" operator="notBetween">
      <formula>5</formula>
      <formula>9</formula>
    </cfRule>
  </conditionalFormatting>
  <conditionalFormatting sqref="R231:R242">
    <cfRule type="cellIs" dxfId="1072" priority="54" stopIfTrue="1" operator="greaterThan">
      <formula>75</formula>
    </cfRule>
  </conditionalFormatting>
  <conditionalFormatting sqref="S231:S242">
    <cfRule type="cellIs" dxfId="1071" priority="53" stopIfTrue="1" operator="greaterThan">
      <formula>90</formula>
    </cfRule>
  </conditionalFormatting>
  <conditionalFormatting sqref="T231:T242">
    <cfRule type="cellIs" dxfId="1070" priority="52" stopIfTrue="1" operator="greaterThan">
      <formula>0.4</formula>
    </cfRule>
  </conditionalFormatting>
  <conditionalFormatting sqref="U231:U242">
    <cfRule type="cellIs" dxfId="1069" priority="51" stopIfTrue="1" operator="greaterThan">
      <formula>2.3</formula>
    </cfRule>
  </conditionalFormatting>
  <conditionalFormatting sqref="V231:V242">
    <cfRule type="cellIs" dxfId="1068" priority="50" stopIfTrue="1" operator="greaterThan">
      <formula>1.1</formula>
    </cfRule>
  </conditionalFormatting>
  <conditionalFormatting sqref="W231:W242">
    <cfRule type="cellIs" dxfId="1067" priority="49" stopIfTrue="1" operator="greaterThan">
      <formula>0.059</formula>
    </cfRule>
  </conditionalFormatting>
  <conditionalFormatting sqref="X231:X242">
    <cfRule type="cellIs" dxfId="1066" priority="48" stopIfTrue="1" operator="greaterThan">
      <formula>0.16</formula>
    </cfRule>
  </conditionalFormatting>
  <conditionalFormatting sqref="Y231:Y242">
    <cfRule type="cellIs" dxfId="1065" priority="47" stopIfTrue="1" operator="greaterThan">
      <formula>0.076</formula>
    </cfRule>
  </conditionalFormatting>
  <conditionalFormatting sqref="AE231:AE242">
    <cfRule type="cellIs" dxfId="1064" priority="46" operator="greaterThan">
      <formula>1</formula>
    </cfRule>
  </conditionalFormatting>
  <conditionalFormatting sqref="AF231:AF242">
    <cfRule type="cellIs" dxfId="1063" priority="45" operator="greaterThan">
      <formula>0.0014</formula>
    </cfRule>
  </conditionalFormatting>
  <conditionalFormatting sqref="AG231:AG242">
    <cfRule type="cellIs" dxfId="1062" priority="44" operator="greaterThan">
      <formula>0.75</formula>
    </cfRule>
  </conditionalFormatting>
  <conditionalFormatting sqref="O231:O242">
    <cfRule type="cellIs" dxfId="1061" priority="43" stopIfTrue="1" operator="greaterThan">
      <formula>5</formula>
    </cfRule>
  </conditionalFormatting>
  <conditionalFormatting sqref="Q231:Q242">
    <cfRule type="cellIs" dxfId="1060" priority="42" stopIfTrue="1" operator="notBetween">
      <formula>5</formula>
      <formula>9</formula>
    </cfRule>
  </conditionalFormatting>
  <conditionalFormatting sqref="R231:R242">
    <cfRule type="cellIs" dxfId="1059" priority="41" stopIfTrue="1" operator="greaterThan">
      <formula>75</formula>
    </cfRule>
  </conditionalFormatting>
  <conditionalFormatting sqref="S231:S242">
    <cfRule type="cellIs" dxfId="1058" priority="40" stopIfTrue="1" operator="greaterThan">
      <formula>90</formula>
    </cfRule>
  </conditionalFormatting>
  <conditionalFormatting sqref="T231:T242">
    <cfRule type="cellIs" dxfId="1057" priority="39" stopIfTrue="1" operator="greaterThan">
      <formula>0.4</formula>
    </cfRule>
  </conditionalFormatting>
  <conditionalFormatting sqref="U231:U242">
    <cfRule type="cellIs" dxfId="1056" priority="38" stopIfTrue="1" operator="greaterThan">
      <formula>2.3</formula>
    </cfRule>
  </conditionalFormatting>
  <conditionalFormatting sqref="V231:V242">
    <cfRule type="cellIs" dxfId="1055" priority="37" stopIfTrue="1" operator="greaterThan">
      <formula>1.1</formula>
    </cfRule>
  </conditionalFormatting>
  <conditionalFormatting sqref="W231:W242">
    <cfRule type="cellIs" dxfId="1054" priority="36" stopIfTrue="1" operator="greaterThan">
      <formula>0.059</formula>
    </cfRule>
  </conditionalFormatting>
  <conditionalFormatting sqref="X231:X242">
    <cfRule type="cellIs" dxfId="1053" priority="35" stopIfTrue="1" operator="greaterThan">
      <formula>0.16</formula>
    </cfRule>
  </conditionalFormatting>
  <conditionalFormatting sqref="Y231:Y242">
    <cfRule type="cellIs" dxfId="1052" priority="34" stopIfTrue="1" operator="greaterThan">
      <formula>0.076</formula>
    </cfRule>
  </conditionalFormatting>
  <conditionalFormatting sqref="AE231:AE242">
    <cfRule type="cellIs" dxfId="1051" priority="33" operator="greaterThan">
      <formula>1</formula>
    </cfRule>
  </conditionalFormatting>
  <conditionalFormatting sqref="AF231:AF242">
    <cfRule type="cellIs" dxfId="1050" priority="32" operator="greaterThan">
      <formula>0.0014</formula>
    </cfRule>
  </conditionalFormatting>
  <conditionalFormatting sqref="AG231:AG242">
    <cfRule type="cellIs" dxfId="1049" priority="31" operator="greaterThan">
      <formula>0.75</formula>
    </cfRule>
  </conditionalFormatting>
  <conditionalFormatting sqref="O249:O258">
    <cfRule type="cellIs" dxfId="1048" priority="30" stopIfTrue="1" operator="greaterThan">
      <formula>5</formula>
    </cfRule>
  </conditionalFormatting>
  <conditionalFormatting sqref="Q249:Q258">
    <cfRule type="cellIs" dxfId="1047" priority="29" stopIfTrue="1" operator="notBetween">
      <formula>5</formula>
      <formula>9</formula>
    </cfRule>
  </conditionalFormatting>
  <conditionalFormatting sqref="R249:R258">
    <cfRule type="cellIs" dxfId="1046" priority="28" stopIfTrue="1" operator="greaterThan">
      <formula>75</formula>
    </cfRule>
  </conditionalFormatting>
  <conditionalFormatting sqref="S249:S258">
    <cfRule type="cellIs" dxfId="1045" priority="27" stopIfTrue="1" operator="greaterThan">
      <formula>90</formula>
    </cfRule>
  </conditionalFormatting>
  <conditionalFormatting sqref="T249:T258">
    <cfRule type="cellIs" dxfId="1044" priority="26" stopIfTrue="1" operator="greaterThan">
      <formula>0.4</formula>
    </cfRule>
  </conditionalFormatting>
  <conditionalFormatting sqref="U249:U258">
    <cfRule type="cellIs" dxfId="1043" priority="25" stopIfTrue="1" operator="greaterThan">
      <formula>2.3</formula>
    </cfRule>
  </conditionalFormatting>
  <conditionalFormatting sqref="V249:V258">
    <cfRule type="cellIs" dxfId="1042" priority="24" stopIfTrue="1" operator="greaterThan">
      <formula>1.1</formula>
    </cfRule>
  </conditionalFormatting>
  <conditionalFormatting sqref="W249:W258">
    <cfRule type="cellIs" dxfId="1041" priority="23" stopIfTrue="1" operator="greaterThan">
      <formula>0.059</formula>
    </cfRule>
  </conditionalFormatting>
  <conditionalFormatting sqref="X249:X258">
    <cfRule type="cellIs" dxfId="1040" priority="22" stopIfTrue="1" operator="greaterThan">
      <formula>0.16</formula>
    </cfRule>
  </conditionalFormatting>
  <conditionalFormatting sqref="Y249:Y258">
    <cfRule type="cellIs" dxfId="1039" priority="21" stopIfTrue="1" operator="greaterThan">
      <formula>0.076</formula>
    </cfRule>
  </conditionalFormatting>
  <conditionalFormatting sqref="AE249:AE258">
    <cfRule type="cellIs" dxfId="1038" priority="20" operator="greaterThan">
      <formula>1</formula>
    </cfRule>
  </conditionalFormatting>
  <conditionalFormatting sqref="AF249:AF258">
    <cfRule type="cellIs" dxfId="1037" priority="19" operator="greaterThan">
      <formula>0.0014</formula>
    </cfRule>
  </conditionalFormatting>
  <conditionalFormatting sqref="AG249:AG258">
    <cfRule type="cellIs" dxfId="1036" priority="18" operator="greaterThan">
      <formula>0.75</formula>
    </cfRule>
  </conditionalFormatting>
  <conditionalFormatting sqref="O249:O258">
    <cfRule type="cellIs" dxfId="1035" priority="17" stopIfTrue="1" operator="greaterThan">
      <formula>5</formula>
    </cfRule>
  </conditionalFormatting>
  <conditionalFormatting sqref="Q249:Q258">
    <cfRule type="cellIs" dxfId="1034" priority="16" stopIfTrue="1" operator="notBetween">
      <formula>5</formula>
      <formula>9</formula>
    </cfRule>
  </conditionalFormatting>
  <conditionalFormatting sqref="R249:R258">
    <cfRule type="cellIs" dxfId="1033" priority="15" stopIfTrue="1" operator="greaterThan">
      <formula>75</formula>
    </cfRule>
  </conditionalFormatting>
  <conditionalFormatting sqref="S249:S258">
    <cfRule type="cellIs" dxfId="1032" priority="14" stopIfTrue="1" operator="greaterThan">
      <formula>90</formula>
    </cfRule>
  </conditionalFormatting>
  <conditionalFormatting sqref="T249:T258">
    <cfRule type="cellIs" dxfId="1031" priority="13" stopIfTrue="1" operator="greaterThan">
      <formula>0.4</formula>
    </cfRule>
  </conditionalFormatting>
  <conditionalFormatting sqref="U249:U258">
    <cfRule type="cellIs" dxfId="1030" priority="12" stopIfTrue="1" operator="greaterThan">
      <formula>2.3</formula>
    </cfRule>
  </conditionalFormatting>
  <conditionalFormatting sqref="V249:V258">
    <cfRule type="cellIs" dxfId="1029" priority="11" stopIfTrue="1" operator="greaterThan">
      <formula>1.1</formula>
    </cfRule>
  </conditionalFormatting>
  <conditionalFormatting sqref="W249:W258">
    <cfRule type="cellIs" dxfId="1028" priority="10" stopIfTrue="1" operator="greaterThan">
      <formula>0.059</formula>
    </cfRule>
  </conditionalFormatting>
  <conditionalFormatting sqref="X249:X258">
    <cfRule type="cellIs" dxfId="1027" priority="9" stopIfTrue="1" operator="greaterThan">
      <formula>0.16</formula>
    </cfRule>
  </conditionalFormatting>
  <conditionalFormatting sqref="Y249:Y258">
    <cfRule type="cellIs" dxfId="1026" priority="8" stopIfTrue="1" operator="greaterThan">
      <formula>0.076</formula>
    </cfRule>
  </conditionalFormatting>
  <conditionalFormatting sqref="AE249:AE258">
    <cfRule type="cellIs" dxfId="1025" priority="7" operator="greaterThan">
      <formula>1</formula>
    </cfRule>
  </conditionalFormatting>
  <conditionalFormatting sqref="AF249:AF258">
    <cfRule type="cellIs" dxfId="1024" priority="6" operator="greaterThan">
      <formula>0.0014</formula>
    </cfRule>
  </conditionalFormatting>
  <conditionalFormatting sqref="AG249:AG258">
    <cfRule type="cellIs" dxfId="1023" priority="5" operator="greaterThan">
      <formula>0.75</formula>
    </cfRule>
  </conditionalFormatting>
  <pageMargins left="0.7" right="0.7" top="0.75" bottom="0.75" header="0.3" footer="0.3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theme="0" tint="-0.249977111117893"/>
  </sheetPr>
  <dimension ref="A1:BX223"/>
  <sheetViews>
    <sheetView showGridLines="0" zoomScale="120" zoomScaleNormal="120" zoomScalePageLayoutView="120" workbookViewId="0">
      <pane ySplit="1" topLeftCell="A190" activePane="bottomLeft" state="frozen"/>
      <selection activeCell="C10632" sqref="C10632"/>
      <selection pane="bottomLeft" activeCell="A207" sqref="A207"/>
    </sheetView>
  </sheetViews>
  <sheetFormatPr baseColWidth="10" defaultColWidth="8.83203125" defaultRowHeight="15" customHeight="1" x14ac:dyDescent="0"/>
  <cols>
    <col min="1" max="1" width="15.83203125" style="74" customWidth="1"/>
    <col min="2" max="2" width="23.83203125" style="50" customWidth="1"/>
    <col min="3" max="3" width="25.5" style="50" customWidth="1"/>
    <col min="4" max="4" width="10.6640625" style="48" customWidth="1"/>
    <col min="5" max="5" width="21.5" style="50" customWidth="1"/>
    <col min="6" max="6" width="10.6640625" style="50" customWidth="1"/>
    <col min="7" max="7" width="8.83203125" style="76"/>
    <col min="8" max="8" width="8.83203125" style="50"/>
    <col min="9" max="9" width="8.83203125" style="49"/>
    <col min="10" max="10" width="16.6640625" style="50" customWidth="1"/>
    <col min="11" max="11" width="10" style="50" customWidth="1"/>
    <col min="12" max="12" width="10" style="49" customWidth="1"/>
    <col min="13" max="13" width="10.5" style="50" customWidth="1"/>
    <col min="14" max="14" width="8.83203125" style="50"/>
    <col min="15" max="15" width="8.83203125" style="74"/>
    <col min="16" max="16" width="8.83203125" style="50"/>
    <col min="17" max="17" width="8.83203125" style="74"/>
    <col min="18" max="18" width="8.83203125" style="50"/>
    <col min="19" max="19" width="8.83203125" style="74"/>
    <col min="20" max="20" width="8.83203125" style="50"/>
    <col min="21" max="21" width="8.83203125" style="74"/>
    <col min="22" max="22" width="8.83203125" style="50"/>
    <col min="23" max="23" width="8.83203125" style="74"/>
    <col min="24" max="25" width="8.83203125" style="50"/>
    <col min="26" max="26" width="8.83203125" style="164"/>
    <col min="27" max="27" width="8.83203125" style="165"/>
    <col min="28" max="28" width="10" style="50" customWidth="1"/>
    <col min="29" max="29" width="12.1640625" style="74" customWidth="1"/>
    <col min="30" max="30" width="14.33203125" style="164" customWidth="1"/>
    <col min="31" max="31" width="11" style="50" customWidth="1"/>
    <col min="32" max="32" width="10.5" style="50" customWidth="1"/>
    <col min="33" max="33" width="10" style="50" customWidth="1"/>
    <col min="34" max="34" width="13.33203125" style="50" customWidth="1"/>
    <col min="35" max="35" width="10.33203125" style="50" customWidth="1"/>
    <col min="36" max="36" width="9.1640625" style="402" customWidth="1"/>
    <col min="37" max="47" width="8.83203125" style="74"/>
  </cols>
  <sheetData>
    <row r="1" spans="1:36" ht="37" thickBot="1">
      <c r="A1" s="274" t="s">
        <v>32</v>
      </c>
      <c r="B1" s="37" t="s">
        <v>3</v>
      </c>
      <c r="C1" s="37" t="s">
        <v>4</v>
      </c>
      <c r="D1" s="39" t="s">
        <v>5</v>
      </c>
      <c r="E1" s="37" t="s">
        <v>6</v>
      </c>
      <c r="F1" s="37" t="s">
        <v>7</v>
      </c>
      <c r="G1" s="39" t="s">
        <v>0</v>
      </c>
      <c r="H1" s="37" t="s">
        <v>20</v>
      </c>
      <c r="I1" s="37" t="s">
        <v>8</v>
      </c>
      <c r="J1" s="37" t="s">
        <v>9</v>
      </c>
      <c r="K1" s="37" t="s">
        <v>10</v>
      </c>
      <c r="L1" s="37" t="s">
        <v>11</v>
      </c>
      <c r="M1" s="37" t="s">
        <v>12</v>
      </c>
      <c r="N1" s="37" t="s">
        <v>13</v>
      </c>
      <c r="O1" s="37" t="s">
        <v>4098</v>
      </c>
      <c r="P1" s="37" t="s">
        <v>14</v>
      </c>
      <c r="Q1" s="37" t="s">
        <v>4099</v>
      </c>
      <c r="R1" s="37" t="s">
        <v>4093</v>
      </c>
      <c r="S1" s="37" t="s">
        <v>4094</v>
      </c>
      <c r="T1" s="37" t="s">
        <v>4095</v>
      </c>
      <c r="U1" s="37" t="s">
        <v>4096</v>
      </c>
      <c r="V1" s="37" t="s">
        <v>4097</v>
      </c>
      <c r="W1" s="37" t="s">
        <v>4106</v>
      </c>
      <c r="X1" s="37" t="s">
        <v>4101</v>
      </c>
      <c r="Y1" s="37" t="s">
        <v>4102</v>
      </c>
      <c r="Z1" s="95" t="s">
        <v>15</v>
      </c>
      <c r="AA1" s="95" t="s">
        <v>16</v>
      </c>
      <c r="AB1" s="37" t="s">
        <v>17</v>
      </c>
      <c r="AC1" s="37" t="s">
        <v>18</v>
      </c>
      <c r="AD1" s="95" t="s">
        <v>19</v>
      </c>
      <c r="AE1" s="37" t="s">
        <v>4107</v>
      </c>
      <c r="AF1" s="37" t="s">
        <v>4110</v>
      </c>
      <c r="AG1" s="37" t="s">
        <v>4111</v>
      </c>
      <c r="AH1" s="37" t="s">
        <v>22</v>
      </c>
      <c r="AI1" s="37" t="s">
        <v>23</v>
      </c>
      <c r="AJ1" s="96" t="s">
        <v>963</v>
      </c>
    </row>
    <row r="2" spans="1:36" ht="14">
      <c r="A2" s="53" t="s">
        <v>138</v>
      </c>
      <c r="B2" s="252" t="s">
        <v>139</v>
      </c>
      <c r="C2" s="252"/>
      <c r="D2" s="56" t="s">
        <v>133</v>
      </c>
      <c r="E2" s="252" t="s">
        <v>140</v>
      </c>
      <c r="F2" s="252" t="s">
        <v>971</v>
      </c>
      <c r="G2" s="188" t="s">
        <v>141</v>
      </c>
      <c r="H2" s="189">
        <v>5093</v>
      </c>
      <c r="I2" s="275" t="s">
        <v>2</v>
      </c>
      <c r="J2" s="189" t="s">
        <v>142</v>
      </c>
      <c r="K2" s="191">
        <v>40835</v>
      </c>
      <c r="L2" s="192">
        <v>40831</v>
      </c>
      <c r="M2" s="189">
        <v>4</v>
      </c>
      <c r="N2" s="189" t="s">
        <v>2</v>
      </c>
      <c r="O2" s="193">
        <f>2/2</f>
        <v>1</v>
      </c>
      <c r="P2" s="194">
        <v>6.2</v>
      </c>
      <c r="Q2" s="195">
        <v>7.4</v>
      </c>
      <c r="R2" s="248">
        <v>12</v>
      </c>
      <c r="S2" s="249">
        <v>17</v>
      </c>
      <c r="T2" s="198">
        <v>0.06</v>
      </c>
      <c r="U2" s="199">
        <v>0.43</v>
      </c>
      <c r="V2" s="198">
        <v>0.3</v>
      </c>
      <c r="W2" s="199">
        <f>0.01/2</f>
        <v>5.0000000000000001E-3</v>
      </c>
      <c r="X2" s="198">
        <v>6.8000000000000005E-2</v>
      </c>
      <c r="Y2" s="198">
        <f>0.03/2</f>
        <v>1.4999999999999999E-2</v>
      </c>
      <c r="Z2" s="250">
        <v>1</v>
      </c>
      <c r="AA2" s="251">
        <v>0.90600000000000003</v>
      </c>
      <c r="AB2" s="189">
        <v>79</v>
      </c>
      <c r="AC2" s="190">
        <v>253</v>
      </c>
      <c r="AD2" s="200">
        <v>0.45</v>
      </c>
      <c r="AE2" s="198">
        <v>5.17</v>
      </c>
      <c r="AF2" s="276">
        <f>0.0004/2</f>
        <v>2.0000000000000001E-4</v>
      </c>
      <c r="AG2" s="198">
        <f>0.1/2</f>
        <v>0.05</v>
      </c>
      <c r="AH2" s="189" t="s">
        <v>143</v>
      </c>
      <c r="AI2" s="189" t="s">
        <v>143</v>
      </c>
      <c r="AJ2" s="402">
        <v>200</v>
      </c>
    </row>
    <row r="3" spans="1:36" ht="14">
      <c r="A3" s="53" t="s">
        <v>138</v>
      </c>
      <c r="B3" s="252" t="s">
        <v>139</v>
      </c>
      <c r="C3" s="252"/>
      <c r="D3" s="56" t="s">
        <v>133</v>
      </c>
      <c r="E3" s="252" t="s">
        <v>140</v>
      </c>
      <c r="F3" s="252" t="s">
        <v>971</v>
      </c>
      <c r="G3" s="61" t="s">
        <v>141</v>
      </c>
      <c r="H3" s="54">
        <v>5093</v>
      </c>
      <c r="I3" s="60" t="s">
        <v>2</v>
      </c>
      <c r="J3" s="54" t="s">
        <v>144</v>
      </c>
      <c r="K3" s="57">
        <v>40835</v>
      </c>
      <c r="L3" s="132">
        <v>40831</v>
      </c>
      <c r="M3" s="54">
        <v>4</v>
      </c>
      <c r="N3" s="54" t="s">
        <v>2</v>
      </c>
      <c r="O3" s="135">
        <v>3.6</v>
      </c>
      <c r="P3" s="134">
        <v>6.2</v>
      </c>
      <c r="Q3" s="135">
        <v>6</v>
      </c>
      <c r="R3" s="161">
        <v>58</v>
      </c>
      <c r="S3" s="253">
        <v>139</v>
      </c>
      <c r="T3" s="203">
        <v>0.11</v>
      </c>
      <c r="U3" s="204">
        <v>1.39</v>
      </c>
      <c r="V3" s="203">
        <v>0.6</v>
      </c>
      <c r="W3" s="204">
        <v>0.188</v>
      </c>
      <c r="X3" s="203">
        <v>0.26900000000000002</v>
      </c>
      <c r="Y3" s="203">
        <v>9.0999999999999998E-2</v>
      </c>
      <c r="Z3" s="144">
        <v>0.95499999999999996</v>
      </c>
      <c r="AA3" s="145">
        <v>0.54500000000000004</v>
      </c>
      <c r="AB3" s="54">
        <v>25</v>
      </c>
      <c r="AC3" s="155">
        <v>21</v>
      </c>
      <c r="AD3" s="157">
        <v>0</v>
      </c>
      <c r="AE3" s="203">
        <v>17.8</v>
      </c>
      <c r="AF3" s="277">
        <v>6.9999999999999999E-4</v>
      </c>
      <c r="AG3" s="203">
        <v>8.1</v>
      </c>
      <c r="AH3" s="54" t="s">
        <v>143</v>
      </c>
      <c r="AI3" s="54" t="s">
        <v>143</v>
      </c>
      <c r="AJ3" s="402">
        <f>100/2</f>
        <v>50</v>
      </c>
    </row>
    <row r="4" spans="1:36" ht="14">
      <c r="A4" s="53" t="s">
        <v>138</v>
      </c>
      <c r="B4" s="252" t="s">
        <v>139</v>
      </c>
      <c r="C4" s="252"/>
      <c r="D4" s="56" t="s">
        <v>133</v>
      </c>
      <c r="E4" s="252" t="s">
        <v>140</v>
      </c>
      <c r="F4" s="252" t="s">
        <v>971</v>
      </c>
      <c r="G4" s="61" t="s">
        <v>141</v>
      </c>
      <c r="H4" s="54">
        <v>5093</v>
      </c>
      <c r="I4" s="60" t="s">
        <v>2</v>
      </c>
      <c r="J4" s="54" t="s">
        <v>145</v>
      </c>
      <c r="K4" s="57">
        <v>40835</v>
      </c>
      <c r="L4" s="132">
        <v>40831</v>
      </c>
      <c r="M4" s="54">
        <v>4</v>
      </c>
      <c r="N4" s="54" t="s">
        <v>2</v>
      </c>
      <c r="O4" s="155">
        <f>2/2</f>
        <v>1</v>
      </c>
      <c r="P4" s="134">
        <v>6.2</v>
      </c>
      <c r="Q4" s="135">
        <v>6.8</v>
      </c>
      <c r="R4" s="54">
        <v>55</v>
      </c>
      <c r="S4" s="155">
        <v>6</v>
      </c>
      <c r="T4" s="54">
        <v>0.08</v>
      </c>
      <c r="U4" s="155">
        <v>0.94</v>
      </c>
      <c r="V4" s="54">
        <v>0.7</v>
      </c>
      <c r="W4" s="204">
        <v>1.4E-2</v>
      </c>
      <c r="X4" s="203">
        <f>0.03/2</f>
        <v>1.4999999999999999E-2</v>
      </c>
      <c r="Y4" s="203">
        <f>0.03/2</f>
        <v>1.4999999999999999E-2</v>
      </c>
      <c r="Z4" s="144">
        <v>1</v>
      </c>
      <c r="AA4" s="145">
        <v>1</v>
      </c>
      <c r="AB4" s="54">
        <v>14</v>
      </c>
      <c r="AC4" s="155">
        <v>54</v>
      </c>
      <c r="AD4" s="157">
        <v>1</v>
      </c>
      <c r="AE4" s="54">
        <v>0.48</v>
      </c>
      <c r="AF4" s="277">
        <f>0.0004/2</f>
        <v>2.0000000000000001E-4</v>
      </c>
      <c r="AG4" s="54">
        <f>0.1/2</f>
        <v>0.05</v>
      </c>
      <c r="AH4" s="54" t="s">
        <v>143</v>
      </c>
      <c r="AI4" s="54" t="s">
        <v>143</v>
      </c>
      <c r="AJ4" s="402">
        <v>100</v>
      </c>
    </row>
    <row r="5" spans="1:36" ht="14">
      <c r="A5" s="53" t="s">
        <v>138</v>
      </c>
      <c r="B5" s="252" t="s">
        <v>139</v>
      </c>
      <c r="C5" s="252"/>
      <c r="D5" s="56" t="s">
        <v>133</v>
      </c>
      <c r="E5" s="252" t="s">
        <v>140</v>
      </c>
      <c r="F5" s="252" t="s">
        <v>971</v>
      </c>
      <c r="G5" s="61" t="s">
        <v>141</v>
      </c>
      <c r="H5" s="54">
        <v>5093</v>
      </c>
      <c r="I5" s="60" t="s">
        <v>2</v>
      </c>
      <c r="J5" s="54" t="s">
        <v>146</v>
      </c>
      <c r="K5" s="57">
        <v>40835</v>
      </c>
      <c r="L5" s="132">
        <v>40831</v>
      </c>
      <c r="M5" s="54">
        <v>4</v>
      </c>
      <c r="N5" s="54" t="s">
        <v>2</v>
      </c>
      <c r="O5" s="155">
        <f>2/2</f>
        <v>1</v>
      </c>
      <c r="P5" s="134">
        <v>6.2</v>
      </c>
      <c r="Q5" s="135">
        <v>7.5</v>
      </c>
      <c r="R5" s="54">
        <v>25</v>
      </c>
      <c r="S5" s="155">
        <v>4</v>
      </c>
      <c r="T5" s="54">
        <v>0.1</v>
      </c>
      <c r="U5" s="155">
        <v>0.85</v>
      </c>
      <c r="V5" s="54">
        <v>0.8</v>
      </c>
      <c r="W5" s="204">
        <v>1.2999999999999999E-2</v>
      </c>
      <c r="X5" s="203">
        <v>4.2999999999999997E-2</v>
      </c>
      <c r="Y5" s="203">
        <f>0.03/2</f>
        <v>1.4999999999999999E-2</v>
      </c>
      <c r="Z5" s="144">
        <v>1</v>
      </c>
      <c r="AA5" s="145">
        <v>1</v>
      </c>
      <c r="AB5" s="54">
        <v>106</v>
      </c>
      <c r="AC5" s="155">
        <v>343</v>
      </c>
      <c r="AD5" s="157">
        <v>1</v>
      </c>
      <c r="AE5" s="54">
        <v>4.5599999999999996</v>
      </c>
      <c r="AF5" s="277">
        <f>0.0004/2</f>
        <v>2.0000000000000001E-4</v>
      </c>
      <c r="AG5" s="54">
        <v>0.44</v>
      </c>
      <c r="AH5" s="54" t="s">
        <v>143</v>
      </c>
      <c r="AI5" s="54" t="s">
        <v>143</v>
      </c>
      <c r="AJ5" s="402">
        <v>300</v>
      </c>
    </row>
    <row r="6" spans="1:36" ht="14">
      <c r="A6" s="53" t="s">
        <v>138</v>
      </c>
      <c r="B6" s="252" t="s">
        <v>139</v>
      </c>
      <c r="C6" s="252"/>
      <c r="D6" s="56" t="s">
        <v>133</v>
      </c>
      <c r="E6" s="252" t="s">
        <v>140</v>
      </c>
      <c r="F6" s="252" t="s">
        <v>971</v>
      </c>
      <c r="G6" s="61" t="s">
        <v>141</v>
      </c>
      <c r="H6" s="54">
        <v>5093</v>
      </c>
      <c r="I6" s="60" t="s">
        <v>2</v>
      </c>
      <c r="J6" s="54" t="s">
        <v>147</v>
      </c>
      <c r="K6" s="57">
        <v>40835</v>
      </c>
      <c r="L6" s="132">
        <v>40831</v>
      </c>
      <c r="M6" s="54">
        <v>4</v>
      </c>
      <c r="N6" s="54" t="s">
        <v>2</v>
      </c>
      <c r="O6" s="155">
        <f>2/2</f>
        <v>1</v>
      </c>
      <c r="P6" s="134">
        <v>6.2</v>
      </c>
      <c r="Q6" s="135">
        <v>7.1</v>
      </c>
      <c r="R6" s="54">
        <v>23</v>
      </c>
      <c r="S6" s="155">
        <v>4</v>
      </c>
      <c r="T6" s="54">
        <v>0.06</v>
      </c>
      <c r="U6" s="155">
        <v>0.57999999999999996</v>
      </c>
      <c r="V6" s="54">
        <f>0.1/2</f>
        <v>0.05</v>
      </c>
      <c r="W6" s="204">
        <v>4.2999999999999997E-2</v>
      </c>
      <c r="X6" s="203">
        <v>7.2999999999999995E-2</v>
      </c>
      <c r="Y6" s="203">
        <f>0.03/2</f>
        <v>1.4999999999999999E-2</v>
      </c>
      <c r="Z6" s="144">
        <v>1</v>
      </c>
      <c r="AA6" s="145">
        <v>1</v>
      </c>
      <c r="AB6" s="54">
        <v>88</v>
      </c>
      <c r="AC6" s="155">
        <v>274</v>
      </c>
      <c r="AD6" s="157">
        <v>1</v>
      </c>
      <c r="AE6" s="54">
        <v>2.48</v>
      </c>
      <c r="AF6" s="277">
        <f>0.0004/2</f>
        <v>2.0000000000000001E-4</v>
      </c>
      <c r="AG6" s="54">
        <v>0.67</v>
      </c>
      <c r="AH6" s="54" t="s">
        <v>143</v>
      </c>
      <c r="AI6" s="54" t="s">
        <v>143</v>
      </c>
      <c r="AJ6" s="402">
        <v>1200</v>
      </c>
    </row>
    <row r="7" spans="1:36" ht="14">
      <c r="A7" s="53" t="s">
        <v>138</v>
      </c>
      <c r="B7" s="252" t="s">
        <v>139</v>
      </c>
      <c r="C7" s="252"/>
      <c r="D7" s="56" t="s">
        <v>133</v>
      </c>
      <c r="E7" s="252" t="s">
        <v>140</v>
      </c>
      <c r="F7" s="252" t="s">
        <v>971</v>
      </c>
      <c r="G7" s="61" t="s">
        <v>141</v>
      </c>
      <c r="H7" s="54">
        <v>5093</v>
      </c>
      <c r="I7" s="60" t="s">
        <v>2</v>
      </c>
      <c r="J7" s="54" t="s">
        <v>148</v>
      </c>
      <c r="K7" s="57">
        <v>40835</v>
      </c>
      <c r="L7" s="132">
        <v>40831</v>
      </c>
      <c r="M7" s="54">
        <v>4</v>
      </c>
      <c r="N7" s="54" t="s">
        <v>2</v>
      </c>
      <c r="O7" s="155">
        <v>2.2000000000000002</v>
      </c>
      <c r="P7" s="134">
        <v>6.2</v>
      </c>
      <c r="Q7" s="135">
        <v>7.6</v>
      </c>
      <c r="R7" s="54">
        <v>45</v>
      </c>
      <c r="S7" s="155">
        <v>5</v>
      </c>
      <c r="T7" s="54">
        <f>0.05/2</f>
        <v>2.5000000000000001E-2</v>
      </c>
      <c r="U7" s="155">
        <v>0.67</v>
      </c>
      <c r="V7" s="54">
        <v>0.9</v>
      </c>
      <c r="W7" s="204">
        <f>0.01/2</f>
        <v>5.0000000000000001E-3</v>
      </c>
      <c r="X7" s="203">
        <f>0.03/2</f>
        <v>1.4999999999999999E-2</v>
      </c>
      <c r="Y7" s="203">
        <f>0.03/2</f>
        <v>1.4999999999999999E-2</v>
      </c>
      <c r="Z7" s="144">
        <v>1</v>
      </c>
      <c r="AA7" s="145">
        <v>0.52300000000000002</v>
      </c>
      <c r="AB7" s="54">
        <v>120</v>
      </c>
      <c r="AC7" s="155">
        <v>352</v>
      </c>
      <c r="AD7" s="157">
        <v>0</v>
      </c>
      <c r="AE7" s="54">
        <v>0.79</v>
      </c>
      <c r="AF7" s="277">
        <f>0.0004/2</f>
        <v>2.0000000000000001E-4</v>
      </c>
      <c r="AG7" s="54">
        <f>0.1/2</f>
        <v>0.05</v>
      </c>
      <c r="AH7" s="54" t="s">
        <v>143</v>
      </c>
      <c r="AI7" s="54" t="s">
        <v>143</v>
      </c>
      <c r="AJ7" s="402">
        <v>1900</v>
      </c>
    </row>
    <row r="8" spans="1:36" ht="14">
      <c r="A8" s="53" t="s">
        <v>138</v>
      </c>
      <c r="B8" s="54" t="s">
        <v>416</v>
      </c>
      <c r="C8" s="54" t="s">
        <v>417</v>
      </c>
      <c r="D8" s="56" t="s">
        <v>133</v>
      </c>
      <c r="E8" s="54" t="s">
        <v>1035</v>
      </c>
      <c r="F8" s="54"/>
      <c r="G8" s="61" t="s">
        <v>418</v>
      </c>
      <c r="H8" s="54">
        <v>5093</v>
      </c>
      <c r="I8" s="55" t="s">
        <v>2</v>
      </c>
      <c r="J8" s="54" t="s">
        <v>419</v>
      </c>
      <c r="K8" s="57">
        <v>40835</v>
      </c>
      <c r="L8" s="132">
        <v>40830</v>
      </c>
      <c r="M8" s="54">
        <v>5</v>
      </c>
      <c r="N8" s="54" t="s">
        <v>2</v>
      </c>
      <c r="O8" s="135">
        <v>1.5</v>
      </c>
      <c r="P8" s="134">
        <v>4.3499999999999996</v>
      </c>
      <c r="Q8" s="135">
        <v>6.43</v>
      </c>
      <c r="R8" s="54">
        <v>61</v>
      </c>
      <c r="S8" s="155">
        <v>33</v>
      </c>
      <c r="T8" s="54">
        <v>0.09</v>
      </c>
      <c r="U8" s="155">
        <v>1.1000000000000001</v>
      </c>
      <c r="V8" s="54">
        <v>1.1000000000000001</v>
      </c>
      <c r="W8" s="155">
        <v>1.6E-2</v>
      </c>
      <c r="X8" s="54">
        <v>0.13200000000000001</v>
      </c>
      <c r="Y8" s="155">
        <v>5.0000000000000001E-3</v>
      </c>
      <c r="Z8" s="144">
        <v>1</v>
      </c>
      <c r="AA8" s="144">
        <v>1</v>
      </c>
      <c r="AB8" s="54">
        <v>104</v>
      </c>
      <c r="AC8" s="155">
        <v>1240</v>
      </c>
      <c r="AD8" s="157">
        <v>1</v>
      </c>
      <c r="AE8" s="54">
        <v>1.29</v>
      </c>
      <c r="AF8" s="277">
        <f>0.002/2</f>
        <v>1E-3</v>
      </c>
      <c r="AG8" s="54">
        <v>0.58599999999999997</v>
      </c>
      <c r="AH8" s="54" t="s">
        <v>143</v>
      </c>
      <c r="AI8" s="54">
        <f>0.5/2</f>
        <v>0.25</v>
      </c>
    </row>
    <row r="9" spans="1:36" ht="14">
      <c r="A9" s="53" t="s">
        <v>138</v>
      </c>
      <c r="B9" s="54" t="s">
        <v>416</v>
      </c>
      <c r="C9" s="54" t="s">
        <v>417</v>
      </c>
      <c r="D9" s="56" t="s">
        <v>133</v>
      </c>
      <c r="E9" s="54" t="s">
        <v>1035</v>
      </c>
      <c r="F9" s="54"/>
      <c r="G9" s="61" t="s">
        <v>418</v>
      </c>
      <c r="H9" s="54">
        <v>5093</v>
      </c>
      <c r="I9" s="55" t="s">
        <v>2</v>
      </c>
      <c r="J9" s="54" t="s">
        <v>420</v>
      </c>
      <c r="K9" s="57">
        <v>40835</v>
      </c>
      <c r="L9" s="132">
        <v>40830</v>
      </c>
      <c r="M9" s="54">
        <v>5</v>
      </c>
      <c r="N9" s="54" t="s">
        <v>2</v>
      </c>
      <c r="O9" s="155">
        <v>3.1</v>
      </c>
      <c r="P9" s="134">
        <v>4.3499999999999996</v>
      </c>
      <c r="Q9" s="135">
        <v>6.21</v>
      </c>
      <c r="R9" s="54">
        <v>46</v>
      </c>
      <c r="S9" s="155">
        <f>5/2</f>
        <v>2.5</v>
      </c>
      <c r="T9" s="54">
        <v>0.05</v>
      </c>
      <c r="U9" s="155">
        <v>0.95</v>
      </c>
      <c r="V9" s="54">
        <v>0.14000000000000001</v>
      </c>
      <c r="W9" s="204">
        <v>6.0000000000000001E-3</v>
      </c>
      <c r="X9" s="203">
        <v>3.9E-2</v>
      </c>
      <c r="Y9" s="203">
        <f>0.002/2</f>
        <v>1E-3</v>
      </c>
      <c r="Z9" s="144">
        <v>1</v>
      </c>
      <c r="AA9" s="144">
        <v>1</v>
      </c>
      <c r="AB9" s="54">
        <v>38</v>
      </c>
      <c r="AC9" s="155">
        <v>330</v>
      </c>
      <c r="AD9" s="157">
        <v>1</v>
      </c>
      <c r="AE9" s="54">
        <v>0.47</v>
      </c>
      <c r="AF9" s="277">
        <f>0.002/2</f>
        <v>1E-3</v>
      </c>
      <c r="AG9" s="54">
        <v>0.18099999999999999</v>
      </c>
      <c r="AH9" s="54" t="s">
        <v>143</v>
      </c>
      <c r="AI9" s="54">
        <f>0.5/2</f>
        <v>0.25</v>
      </c>
    </row>
    <row r="10" spans="1:36" ht="14">
      <c r="A10" s="53" t="s">
        <v>138</v>
      </c>
      <c r="B10" s="54" t="s">
        <v>416</v>
      </c>
      <c r="C10" s="54" t="s">
        <v>417</v>
      </c>
      <c r="D10" s="56" t="s">
        <v>133</v>
      </c>
      <c r="E10" s="54" t="s">
        <v>1035</v>
      </c>
      <c r="F10" s="54"/>
      <c r="G10" s="61" t="s">
        <v>418</v>
      </c>
      <c r="H10" s="54">
        <v>5093</v>
      </c>
      <c r="I10" s="55" t="s">
        <v>2</v>
      </c>
      <c r="J10" s="54" t="s">
        <v>421</v>
      </c>
      <c r="K10" s="57">
        <v>40835</v>
      </c>
      <c r="L10" s="132">
        <v>40830</v>
      </c>
      <c r="M10" s="54">
        <v>5</v>
      </c>
      <c r="N10" s="54" t="s">
        <v>2</v>
      </c>
      <c r="O10" s="155">
        <v>2.1</v>
      </c>
      <c r="P10" s="134">
        <v>4.3499999999999996</v>
      </c>
      <c r="Q10" s="135">
        <v>6.09</v>
      </c>
      <c r="R10" s="54">
        <v>61</v>
      </c>
      <c r="S10" s="155">
        <v>19</v>
      </c>
      <c r="T10" s="54">
        <v>0.06</v>
      </c>
      <c r="U10" s="155">
        <v>0.75</v>
      </c>
      <c r="V10" s="54">
        <v>0.21</v>
      </c>
      <c r="W10" s="204">
        <v>1.2999999999999999E-2</v>
      </c>
      <c r="X10" s="203">
        <v>7.9000000000000001E-2</v>
      </c>
      <c r="Y10" s="203">
        <v>0.01</v>
      </c>
      <c r="Z10" s="144">
        <v>1</v>
      </c>
      <c r="AA10" s="144">
        <v>1</v>
      </c>
      <c r="AB10" s="54">
        <v>10</v>
      </c>
      <c r="AC10" s="155">
        <v>24</v>
      </c>
      <c r="AD10" s="157">
        <v>1</v>
      </c>
      <c r="AE10" s="54">
        <v>1.1399999999999999</v>
      </c>
      <c r="AF10" s="277">
        <f>0.002/2</f>
        <v>1E-3</v>
      </c>
      <c r="AG10" s="54">
        <v>0.47699999999999998</v>
      </c>
      <c r="AH10" s="54" t="s">
        <v>143</v>
      </c>
      <c r="AI10" s="54">
        <f>0.5/2</f>
        <v>0.25</v>
      </c>
    </row>
    <row r="11" spans="1:36" ht="14">
      <c r="A11" s="53" t="s">
        <v>138</v>
      </c>
      <c r="B11" s="54" t="s">
        <v>446</v>
      </c>
      <c r="C11" s="54" t="s">
        <v>446</v>
      </c>
      <c r="D11" s="56" t="s">
        <v>372</v>
      </c>
      <c r="E11" s="54" t="s">
        <v>447</v>
      </c>
      <c r="F11" s="54"/>
      <c r="G11" s="61" t="s">
        <v>448</v>
      </c>
      <c r="H11" s="54">
        <v>5098</v>
      </c>
      <c r="I11" s="55" t="s">
        <v>2</v>
      </c>
      <c r="J11" s="54" t="s">
        <v>449</v>
      </c>
      <c r="K11" s="57">
        <v>40835</v>
      </c>
      <c r="L11" s="156"/>
      <c r="M11" s="142" t="s">
        <v>91</v>
      </c>
      <c r="N11" s="54" t="s">
        <v>2</v>
      </c>
      <c r="O11" s="155">
        <f>5/2</f>
        <v>2.5</v>
      </c>
      <c r="P11" s="134">
        <v>6.39</v>
      </c>
      <c r="Q11" s="135">
        <v>7.02</v>
      </c>
      <c r="R11" s="54">
        <v>49</v>
      </c>
      <c r="S11" s="155">
        <v>16</v>
      </c>
      <c r="T11" s="54">
        <v>0.13</v>
      </c>
      <c r="U11" s="155">
        <v>1.57</v>
      </c>
      <c r="V11" s="54">
        <v>0.28999999999999998</v>
      </c>
      <c r="W11" s="204">
        <v>0.08</v>
      </c>
      <c r="X11" s="203">
        <v>0.08</v>
      </c>
      <c r="Y11" s="203">
        <v>7.0000000000000001E-3</v>
      </c>
      <c r="Z11" s="144">
        <v>0.28499999999999998</v>
      </c>
      <c r="AA11" s="145">
        <v>0.153</v>
      </c>
      <c r="AB11" s="54">
        <v>4</v>
      </c>
      <c r="AC11" s="155">
        <v>22</v>
      </c>
      <c r="AD11" s="157">
        <v>0</v>
      </c>
      <c r="AE11" s="54">
        <v>0.13</v>
      </c>
      <c r="AF11" s="277">
        <f>0.002/2</f>
        <v>1E-3</v>
      </c>
      <c r="AG11" s="54">
        <v>0.76</v>
      </c>
      <c r="AH11" s="54" t="s">
        <v>143</v>
      </c>
      <c r="AI11" s="54" t="s">
        <v>143</v>
      </c>
    </row>
    <row r="12" spans="1:36" ht="14">
      <c r="A12" s="53" t="s">
        <v>138</v>
      </c>
      <c r="B12" s="54" t="s">
        <v>446</v>
      </c>
      <c r="C12" s="54" t="s">
        <v>446</v>
      </c>
      <c r="D12" s="56" t="s">
        <v>372</v>
      </c>
      <c r="E12" s="54"/>
      <c r="F12" s="54"/>
      <c r="G12" s="61" t="s">
        <v>448</v>
      </c>
      <c r="H12" s="54"/>
      <c r="I12" s="55"/>
      <c r="J12" s="54"/>
      <c r="K12" s="57">
        <v>40955</v>
      </c>
      <c r="L12" s="156"/>
      <c r="M12" s="142"/>
      <c r="N12" s="54"/>
      <c r="O12" s="155"/>
      <c r="P12" s="134"/>
      <c r="Q12" s="135"/>
      <c r="R12" s="54"/>
      <c r="S12" s="155"/>
      <c r="T12" s="54"/>
      <c r="U12" s="155"/>
      <c r="V12" s="54"/>
      <c r="W12" s="204"/>
      <c r="X12" s="203"/>
      <c r="Y12" s="203"/>
      <c r="Z12" s="144"/>
      <c r="AA12" s="145"/>
      <c r="AB12" s="54"/>
      <c r="AC12" s="155"/>
      <c r="AD12" s="157"/>
      <c r="AE12" s="54">
        <v>2.57</v>
      </c>
      <c r="AF12" s="277">
        <f>0.0002/2</f>
        <v>1E-4</v>
      </c>
      <c r="AG12" s="54">
        <v>6.2</v>
      </c>
      <c r="AH12" s="54"/>
      <c r="AI12" s="54"/>
    </row>
    <row r="13" spans="1:36" ht="14">
      <c r="A13" s="53" t="s">
        <v>138</v>
      </c>
      <c r="B13" s="54" t="s">
        <v>635</v>
      </c>
      <c r="C13" s="54" t="s">
        <v>635</v>
      </c>
      <c r="D13" s="56" t="s">
        <v>636</v>
      </c>
      <c r="E13" s="54" t="s">
        <v>1011</v>
      </c>
      <c r="F13" s="54" t="s">
        <v>1012</v>
      </c>
      <c r="G13" s="61" t="s">
        <v>637</v>
      </c>
      <c r="H13" s="54">
        <v>5093</v>
      </c>
      <c r="I13" s="55" t="s">
        <v>1</v>
      </c>
      <c r="J13" s="54" t="s">
        <v>638</v>
      </c>
      <c r="K13" s="57">
        <v>40835</v>
      </c>
      <c r="L13" s="132">
        <v>40830</v>
      </c>
      <c r="M13" s="54">
        <v>5</v>
      </c>
      <c r="N13" s="54" t="s">
        <v>2</v>
      </c>
      <c r="O13" s="155">
        <v>3</v>
      </c>
      <c r="P13" s="134">
        <v>5.5</v>
      </c>
      <c r="Q13" s="135">
        <v>7</v>
      </c>
      <c r="R13" s="54">
        <v>44</v>
      </c>
      <c r="S13" s="155">
        <v>74</v>
      </c>
      <c r="T13" s="54">
        <v>0.09</v>
      </c>
      <c r="U13" s="155">
        <f>0.5/2</f>
        <v>0.25</v>
      </c>
      <c r="V13" s="54">
        <f>0.1/2</f>
        <v>0.05</v>
      </c>
      <c r="W13" s="204">
        <v>3.5000000000000003E-2</v>
      </c>
      <c r="X13" s="203">
        <v>0.12</v>
      </c>
      <c r="Y13" s="203">
        <v>3.5999999999999997E-2</v>
      </c>
      <c r="Z13" s="144">
        <v>1</v>
      </c>
      <c r="AA13" s="144">
        <v>1</v>
      </c>
      <c r="AB13" s="54">
        <v>55</v>
      </c>
      <c r="AC13" s="155">
        <v>242</v>
      </c>
      <c r="AD13" s="157">
        <v>1</v>
      </c>
      <c r="AE13" s="54">
        <v>4.2</v>
      </c>
      <c r="AF13" s="277" t="s">
        <v>955</v>
      </c>
      <c r="AG13" s="54">
        <v>1.2</v>
      </c>
      <c r="AH13" s="54" t="s">
        <v>955</v>
      </c>
      <c r="AI13" s="54">
        <f>0.4/2</f>
        <v>0.2</v>
      </c>
    </row>
    <row r="14" spans="1:36" ht="14">
      <c r="A14" s="53" t="s">
        <v>138</v>
      </c>
      <c r="B14" s="54" t="s">
        <v>683</v>
      </c>
      <c r="C14" s="54" t="s">
        <v>683</v>
      </c>
      <c r="D14" s="56" t="s">
        <v>684</v>
      </c>
      <c r="E14" s="54" t="s">
        <v>686</v>
      </c>
      <c r="F14" s="54"/>
      <c r="G14" s="61" t="s">
        <v>685</v>
      </c>
      <c r="H14" s="54">
        <v>5093</v>
      </c>
      <c r="I14" s="55" t="s">
        <v>2</v>
      </c>
      <c r="J14" s="54" t="s">
        <v>75</v>
      </c>
      <c r="K14" s="57">
        <v>40883</v>
      </c>
      <c r="L14" s="132">
        <v>40876</v>
      </c>
      <c r="M14" s="54">
        <v>7</v>
      </c>
      <c r="N14" s="54" t="s">
        <v>2</v>
      </c>
      <c r="O14" s="163"/>
      <c r="P14" s="134"/>
      <c r="Q14" s="135"/>
      <c r="R14" s="54"/>
      <c r="S14" s="155"/>
      <c r="T14" s="54"/>
      <c r="U14" s="155"/>
      <c r="V14" s="54"/>
      <c r="W14" s="204"/>
      <c r="X14" s="203"/>
      <c r="Y14" s="203"/>
      <c r="Z14" s="157"/>
      <c r="AA14" s="157"/>
      <c r="AB14" s="54"/>
      <c r="AC14" s="54"/>
      <c r="AD14" s="157"/>
      <c r="AE14" s="54">
        <v>23.3</v>
      </c>
      <c r="AF14" s="277">
        <v>8.0000000000000004E-4</v>
      </c>
      <c r="AG14" s="54">
        <v>7.28</v>
      </c>
      <c r="AH14" s="54" t="s">
        <v>51</v>
      </c>
      <c r="AI14" s="54" t="s">
        <v>51</v>
      </c>
    </row>
    <row r="15" spans="1:36" ht="14">
      <c r="A15" s="53" t="s">
        <v>138</v>
      </c>
      <c r="B15" s="54" t="s">
        <v>683</v>
      </c>
      <c r="C15" s="54" t="s">
        <v>683</v>
      </c>
      <c r="D15" s="56" t="s">
        <v>684</v>
      </c>
      <c r="E15" s="54" t="s">
        <v>686</v>
      </c>
      <c r="F15" s="54"/>
      <c r="G15" s="61" t="s">
        <v>685</v>
      </c>
      <c r="H15" s="54">
        <v>5093</v>
      </c>
      <c r="I15" s="55" t="s">
        <v>2</v>
      </c>
      <c r="J15" s="54" t="s">
        <v>687</v>
      </c>
      <c r="K15" s="57">
        <v>40883</v>
      </c>
      <c r="L15" s="132">
        <v>40876</v>
      </c>
      <c r="M15" s="54">
        <v>7</v>
      </c>
      <c r="N15" s="54" t="s">
        <v>2</v>
      </c>
      <c r="O15" s="163"/>
      <c r="P15" s="134"/>
      <c r="Q15" s="135"/>
      <c r="R15" s="54"/>
      <c r="S15" s="155"/>
      <c r="T15" s="54"/>
      <c r="U15" s="155"/>
      <c r="V15" s="54"/>
      <c r="W15" s="204"/>
      <c r="X15" s="203"/>
      <c r="Y15" s="203"/>
      <c r="Z15" s="157"/>
      <c r="AA15" s="157"/>
      <c r="AB15" s="54"/>
      <c r="AC15" s="54"/>
      <c r="AD15" s="157"/>
      <c r="AE15" s="54">
        <v>21.8</v>
      </c>
      <c r="AF15" s="277">
        <v>1.6000000000000001E-3</v>
      </c>
      <c r="AG15" s="54">
        <v>4.3</v>
      </c>
      <c r="AH15" s="54" t="s">
        <v>51</v>
      </c>
      <c r="AI15" s="54" t="s">
        <v>51</v>
      </c>
    </row>
    <row r="16" spans="1:36" ht="14">
      <c r="A16" s="53" t="s">
        <v>138</v>
      </c>
      <c r="B16" s="54" t="s">
        <v>939</v>
      </c>
      <c r="C16" s="54" t="s">
        <v>939</v>
      </c>
      <c r="D16" s="56" t="s">
        <v>397</v>
      </c>
      <c r="E16" s="54" t="s">
        <v>1027</v>
      </c>
      <c r="F16" s="54" t="s">
        <v>959</v>
      </c>
      <c r="G16" s="61" t="s">
        <v>940</v>
      </c>
      <c r="H16" s="54">
        <v>5093</v>
      </c>
      <c r="I16" s="55" t="s">
        <v>2</v>
      </c>
      <c r="J16" s="54" t="s">
        <v>941</v>
      </c>
      <c r="K16" s="57">
        <v>40829</v>
      </c>
      <c r="L16" s="132">
        <v>40820</v>
      </c>
      <c r="M16" s="54">
        <f>K16-L16</f>
        <v>9</v>
      </c>
      <c r="N16" s="54" t="s">
        <v>2</v>
      </c>
      <c r="O16" s="54"/>
      <c r="P16" s="134">
        <v>6</v>
      </c>
      <c r="Q16" s="54"/>
      <c r="R16" s="54"/>
      <c r="S16" s="54"/>
      <c r="T16" s="54"/>
      <c r="U16" s="54"/>
      <c r="V16" s="54"/>
      <c r="W16" s="54"/>
      <c r="X16" s="54"/>
      <c r="Y16" s="54"/>
      <c r="Z16" s="157"/>
      <c r="AA16" s="157"/>
      <c r="AB16" s="54"/>
      <c r="AC16" s="54"/>
      <c r="AD16" s="157"/>
      <c r="AE16" s="54">
        <v>15</v>
      </c>
      <c r="AF16" s="277">
        <v>2.5999999999999999E-3</v>
      </c>
      <c r="AG16" s="54">
        <v>4.3</v>
      </c>
      <c r="AH16" s="54"/>
      <c r="AI16" s="54"/>
    </row>
    <row r="17" spans="1:36" ht="14">
      <c r="A17" s="53" t="s">
        <v>138</v>
      </c>
      <c r="B17" s="54" t="s">
        <v>942</v>
      </c>
      <c r="C17" s="54" t="s">
        <v>942</v>
      </c>
      <c r="D17" s="56" t="s">
        <v>379</v>
      </c>
      <c r="E17" s="206"/>
      <c r="F17" s="54"/>
      <c r="G17" s="61" t="s">
        <v>943</v>
      </c>
      <c r="H17" s="54">
        <v>5093</v>
      </c>
      <c r="I17" s="55"/>
      <c r="J17" s="54" t="s">
        <v>944</v>
      </c>
      <c r="K17" s="57">
        <v>40876</v>
      </c>
      <c r="L17" s="132">
        <v>40869</v>
      </c>
      <c r="M17" s="54">
        <v>7</v>
      </c>
      <c r="N17" s="54" t="s">
        <v>2</v>
      </c>
      <c r="O17" s="54"/>
      <c r="P17" s="54"/>
      <c r="Q17" s="54"/>
      <c r="R17" s="54"/>
      <c r="S17" s="54"/>
      <c r="T17" s="54"/>
      <c r="U17" s="54"/>
      <c r="V17" s="54"/>
      <c r="W17" s="54"/>
      <c r="X17" s="54"/>
      <c r="Y17" s="54"/>
      <c r="Z17" s="157"/>
      <c r="AA17" s="157"/>
      <c r="AB17" s="54"/>
      <c r="AC17" s="54"/>
      <c r="AD17" s="157"/>
      <c r="AE17" s="54">
        <v>0.54</v>
      </c>
      <c r="AF17" s="277">
        <f>0.0004/2</f>
        <v>2.0000000000000001E-4</v>
      </c>
      <c r="AG17" s="54">
        <f>0.1/2</f>
        <v>0.05</v>
      </c>
      <c r="AH17" s="54"/>
      <c r="AI17" s="54"/>
    </row>
    <row r="18" spans="1:36" ht="14">
      <c r="A18" s="74" t="s">
        <v>138</v>
      </c>
      <c r="B18" s="50" t="s">
        <v>139</v>
      </c>
      <c r="D18" s="48" t="s">
        <v>133</v>
      </c>
      <c r="E18" s="50" t="s">
        <v>140</v>
      </c>
      <c r="F18" s="50" t="s">
        <v>971</v>
      </c>
      <c r="G18" s="76" t="s">
        <v>141</v>
      </c>
      <c r="H18" s="50">
        <v>5093</v>
      </c>
      <c r="I18" s="49" t="s">
        <v>2</v>
      </c>
      <c r="J18" s="50" t="s">
        <v>1181</v>
      </c>
      <c r="K18" s="51">
        <v>40935</v>
      </c>
      <c r="L18" s="115">
        <v>40932</v>
      </c>
      <c r="M18" s="54">
        <f t="shared" ref="M18:M24" si="0">K18-L18</f>
        <v>3</v>
      </c>
      <c r="N18" s="50" t="s">
        <v>2</v>
      </c>
      <c r="P18" s="117"/>
      <c r="Q18" s="131"/>
      <c r="W18" s="227"/>
      <c r="X18" s="226"/>
      <c r="Y18" s="226"/>
      <c r="AE18" s="50">
        <v>0.7</v>
      </c>
      <c r="AF18" s="273">
        <v>2.0999999999999999E-3</v>
      </c>
      <c r="AG18" s="50">
        <f>0.1/2</f>
        <v>0.05</v>
      </c>
    </row>
    <row r="19" spans="1:36" ht="14">
      <c r="A19" s="74" t="s">
        <v>138</v>
      </c>
      <c r="B19" s="50" t="s">
        <v>139</v>
      </c>
      <c r="D19" s="48" t="s">
        <v>133</v>
      </c>
      <c r="E19" s="50" t="s">
        <v>140</v>
      </c>
      <c r="F19" s="50" t="s">
        <v>971</v>
      </c>
      <c r="G19" s="76" t="s">
        <v>141</v>
      </c>
      <c r="H19" s="50">
        <v>5093</v>
      </c>
      <c r="I19" s="49" t="s">
        <v>2</v>
      </c>
      <c r="J19" s="50" t="s">
        <v>1182</v>
      </c>
      <c r="K19" s="51">
        <v>40935</v>
      </c>
      <c r="L19" s="115">
        <v>40932</v>
      </c>
      <c r="M19" s="54">
        <f t="shared" si="0"/>
        <v>3</v>
      </c>
      <c r="N19" s="50" t="s">
        <v>2</v>
      </c>
      <c r="P19" s="117"/>
      <c r="Q19" s="131"/>
      <c r="W19" s="227"/>
      <c r="X19" s="226"/>
      <c r="Y19" s="226"/>
      <c r="AE19" s="50">
        <v>1.08</v>
      </c>
      <c r="AF19" s="273">
        <v>2E-3</v>
      </c>
      <c r="AG19" s="50">
        <v>0.23</v>
      </c>
    </row>
    <row r="20" spans="1:36" ht="14">
      <c r="A20" s="74" t="s">
        <v>138</v>
      </c>
      <c r="B20" s="50" t="s">
        <v>139</v>
      </c>
      <c r="D20" s="48" t="s">
        <v>133</v>
      </c>
      <c r="E20" s="50" t="s">
        <v>140</v>
      </c>
      <c r="F20" s="50" t="s">
        <v>971</v>
      </c>
      <c r="G20" s="76" t="s">
        <v>141</v>
      </c>
      <c r="H20" s="50">
        <v>5093</v>
      </c>
      <c r="I20" s="49" t="s">
        <v>2</v>
      </c>
      <c r="J20" s="50" t="s">
        <v>1183</v>
      </c>
      <c r="K20" s="51">
        <v>40935</v>
      </c>
      <c r="L20" s="115">
        <v>40932</v>
      </c>
      <c r="M20" s="54">
        <f t="shared" si="0"/>
        <v>3</v>
      </c>
      <c r="N20" s="50" t="s">
        <v>2</v>
      </c>
      <c r="P20" s="117"/>
      <c r="Q20" s="131"/>
      <c r="W20" s="227"/>
      <c r="X20" s="226"/>
      <c r="Y20" s="226"/>
      <c r="AE20" s="50">
        <v>0.21</v>
      </c>
      <c r="AF20" s="273">
        <v>1E-3</v>
      </c>
      <c r="AG20" s="50">
        <f>0.1/2</f>
        <v>0.05</v>
      </c>
    </row>
    <row r="21" spans="1:36" ht="14">
      <c r="A21" s="74" t="s">
        <v>138</v>
      </c>
      <c r="B21" s="50" t="s">
        <v>139</v>
      </c>
      <c r="D21" s="48" t="s">
        <v>133</v>
      </c>
      <c r="E21" s="50" t="s">
        <v>140</v>
      </c>
      <c r="F21" s="50" t="s">
        <v>971</v>
      </c>
      <c r="G21" s="76" t="s">
        <v>141</v>
      </c>
      <c r="H21" s="50">
        <v>5093</v>
      </c>
      <c r="I21" s="49" t="s">
        <v>2</v>
      </c>
      <c r="J21" s="50" t="s">
        <v>1184</v>
      </c>
      <c r="K21" s="51">
        <v>40935</v>
      </c>
      <c r="L21" s="115">
        <v>40932</v>
      </c>
      <c r="M21" s="54">
        <f t="shared" si="0"/>
        <v>3</v>
      </c>
      <c r="N21" s="50" t="s">
        <v>2</v>
      </c>
      <c r="P21" s="117"/>
      <c r="Q21" s="131"/>
      <c r="W21" s="227"/>
      <c r="X21" s="226"/>
      <c r="Y21" s="226"/>
      <c r="AE21" s="50">
        <v>0.41</v>
      </c>
      <c r="AF21" s="273">
        <v>5.0000000000000001E-4</v>
      </c>
      <c r="AG21" s="50">
        <v>0.14000000000000001</v>
      </c>
    </row>
    <row r="22" spans="1:36" ht="14">
      <c r="A22" s="74" t="s">
        <v>138</v>
      </c>
      <c r="B22" s="50" t="s">
        <v>139</v>
      </c>
      <c r="D22" s="48" t="s">
        <v>133</v>
      </c>
      <c r="E22" s="50" t="s">
        <v>140</v>
      </c>
      <c r="F22" s="50" t="s">
        <v>971</v>
      </c>
      <c r="G22" s="76" t="s">
        <v>141</v>
      </c>
      <c r="H22" s="50">
        <v>5093</v>
      </c>
      <c r="I22" s="49" t="s">
        <v>2</v>
      </c>
      <c r="J22" s="50" t="s">
        <v>1185</v>
      </c>
      <c r="K22" s="51">
        <v>40935</v>
      </c>
      <c r="L22" s="115">
        <v>40932</v>
      </c>
      <c r="M22" s="54">
        <f t="shared" si="0"/>
        <v>3</v>
      </c>
      <c r="N22" s="50" t="s">
        <v>2</v>
      </c>
      <c r="P22" s="117"/>
      <c r="Q22" s="131"/>
      <c r="W22" s="227"/>
      <c r="X22" s="226"/>
      <c r="Y22" s="226"/>
      <c r="AE22" s="50">
        <v>0.17</v>
      </c>
      <c r="AF22" s="273">
        <v>2.8E-3</v>
      </c>
      <c r="AG22" s="50">
        <f>0.1/2</f>
        <v>0.05</v>
      </c>
    </row>
    <row r="23" spans="1:36" ht="14">
      <c r="A23" s="74" t="s">
        <v>138</v>
      </c>
      <c r="B23" s="50" t="s">
        <v>139</v>
      </c>
      <c r="D23" s="48" t="s">
        <v>133</v>
      </c>
      <c r="E23" s="50" t="s">
        <v>140</v>
      </c>
      <c r="F23" s="50" t="s">
        <v>971</v>
      </c>
      <c r="G23" s="76" t="s">
        <v>141</v>
      </c>
      <c r="H23" s="50">
        <v>5093</v>
      </c>
      <c r="I23" s="49" t="s">
        <v>2</v>
      </c>
      <c r="J23" s="77" t="s">
        <v>1186</v>
      </c>
      <c r="K23" s="51">
        <v>40935</v>
      </c>
      <c r="L23" s="115">
        <v>40932</v>
      </c>
      <c r="M23" s="54">
        <f t="shared" si="0"/>
        <v>3</v>
      </c>
      <c r="N23" s="50" t="s">
        <v>2</v>
      </c>
      <c r="P23" s="117"/>
      <c r="Q23" s="131"/>
      <c r="W23" s="227"/>
      <c r="X23" s="226"/>
      <c r="Y23" s="226"/>
      <c r="AE23" s="50">
        <v>0.55000000000000004</v>
      </c>
      <c r="AF23" s="273">
        <v>1.6999999999999999E-3</v>
      </c>
      <c r="AG23" s="50">
        <v>0.12</v>
      </c>
    </row>
    <row r="24" spans="1:36" ht="14">
      <c r="A24" s="74" t="s">
        <v>138</v>
      </c>
      <c r="B24" s="50" t="s">
        <v>1187</v>
      </c>
      <c r="D24" s="48" t="s">
        <v>133</v>
      </c>
      <c r="E24" s="50" t="s">
        <v>467</v>
      </c>
      <c r="F24" s="50" t="s">
        <v>1188</v>
      </c>
      <c r="G24" s="76" t="s">
        <v>1189</v>
      </c>
      <c r="H24" s="278" t="s">
        <v>1190</v>
      </c>
      <c r="I24" s="49" t="s">
        <v>2</v>
      </c>
      <c r="J24" s="50" t="s">
        <v>1191</v>
      </c>
      <c r="K24" s="51">
        <v>40920</v>
      </c>
      <c r="L24" s="115">
        <v>40909</v>
      </c>
      <c r="M24" s="54">
        <f t="shared" si="0"/>
        <v>11</v>
      </c>
      <c r="N24" s="50" t="s">
        <v>2</v>
      </c>
      <c r="O24" s="74">
        <f>5/2</f>
        <v>2.5</v>
      </c>
      <c r="P24" s="117">
        <v>5.5</v>
      </c>
      <c r="Q24" s="131">
        <v>8.1</v>
      </c>
      <c r="R24" s="50">
        <v>220</v>
      </c>
      <c r="S24" s="74">
        <v>330</v>
      </c>
      <c r="T24" s="50">
        <v>0.57999999999999996</v>
      </c>
      <c r="U24" s="74">
        <v>1.2</v>
      </c>
      <c r="V24" s="50">
        <f>0.1/2</f>
        <v>0.05</v>
      </c>
      <c r="W24" s="227">
        <v>0.27</v>
      </c>
      <c r="X24" s="226">
        <v>0.76</v>
      </c>
      <c r="Y24" s="226">
        <v>0.37</v>
      </c>
      <c r="Z24" s="164">
        <v>1</v>
      </c>
      <c r="AA24" s="165">
        <v>1</v>
      </c>
      <c r="AB24" s="50">
        <v>76</v>
      </c>
      <c r="AC24" s="74">
        <v>323</v>
      </c>
      <c r="AD24" s="164">
        <v>1</v>
      </c>
      <c r="AE24" s="50">
        <v>19</v>
      </c>
      <c r="AF24" s="273">
        <v>8.0000000000000004E-4</v>
      </c>
      <c r="AG24" s="50">
        <v>12</v>
      </c>
      <c r="AH24" s="50">
        <v>7.4</v>
      </c>
      <c r="AI24" s="50">
        <f>1/2</f>
        <v>0.5</v>
      </c>
    </row>
    <row r="25" spans="1:36" ht="14">
      <c r="A25" s="74" t="s">
        <v>138</v>
      </c>
      <c r="B25" s="50" t="s">
        <v>416</v>
      </c>
      <c r="C25" s="50" t="s">
        <v>417</v>
      </c>
      <c r="D25" s="48" t="s">
        <v>133</v>
      </c>
      <c r="E25" s="50" t="s">
        <v>1495</v>
      </c>
      <c r="G25" s="76" t="s">
        <v>418</v>
      </c>
      <c r="H25" s="50">
        <v>5093</v>
      </c>
      <c r="I25" s="49" t="s">
        <v>2</v>
      </c>
      <c r="J25" s="50" t="s">
        <v>1496</v>
      </c>
      <c r="K25" s="51">
        <v>41131</v>
      </c>
      <c r="L25" s="115">
        <v>41126</v>
      </c>
      <c r="M25" s="50">
        <v>5</v>
      </c>
      <c r="N25" s="50" t="s">
        <v>2</v>
      </c>
      <c r="P25" s="117">
        <v>4.99</v>
      </c>
      <c r="Q25" s="131">
        <v>5.92</v>
      </c>
      <c r="W25" s="227"/>
      <c r="X25" s="226"/>
      <c r="Y25" s="226"/>
      <c r="AE25" s="50">
        <v>0.436</v>
      </c>
      <c r="AF25" s="273">
        <f>0.0004/2</f>
        <v>2.0000000000000001E-4</v>
      </c>
      <c r="AG25" s="50">
        <v>0.20699999999999999</v>
      </c>
    </row>
    <row r="26" spans="1:36" ht="14">
      <c r="A26" s="74" t="s">
        <v>138</v>
      </c>
      <c r="B26" s="50" t="s">
        <v>416</v>
      </c>
      <c r="C26" s="50" t="s">
        <v>417</v>
      </c>
      <c r="D26" s="48" t="s">
        <v>133</v>
      </c>
      <c r="E26" s="50" t="s">
        <v>1495</v>
      </c>
      <c r="G26" s="76" t="s">
        <v>418</v>
      </c>
      <c r="H26" s="50">
        <v>5093</v>
      </c>
      <c r="I26" s="49" t="s">
        <v>2</v>
      </c>
      <c r="J26" s="50" t="s">
        <v>1497</v>
      </c>
      <c r="K26" s="51">
        <v>41131</v>
      </c>
      <c r="L26" s="115">
        <v>41126</v>
      </c>
      <c r="M26" s="50">
        <v>5</v>
      </c>
      <c r="N26" s="50" t="s">
        <v>2</v>
      </c>
      <c r="P26" s="117">
        <v>4.99</v>
      </c>
      <c r="Q26" s="131">
        <v>6.37</v>
      </c>
      <c r="W26" s="227"/>
      <c r="X26" s="226"/>
      <c r="Y26" s="226"/>
      <c r="AE26" s="50">
        <v>0.90500000000000003</v>
      </c>
      <c r="AF26" s="273">
        <f>0.0002/2</f>
        <v>1E-4</v>
      </c>
      <c r="AG26" s="50">
        <v>0.40899999999999997</v>
      </c>
    </row>
    <row r="27" spans="1:36" ht="14">
      <c r="A27" s="74" t="s">
        <v>138</v>
      </c>
      <c r="B27" s="50" t="s">
        <v>416</v>
      </c>
      <c r="C27" s="50" t="s">
        <v>417</v>
      </c>
      <c r="D27" s="48" t="s">
        <v>133</v>
      </c>
      <c r="E27" s="50" t="s">
        <v>1495</v>
      </c>
      <c r="G27" s="76" t="s">
        <v>418</v>
      </c>
      <c r="H27" s="50">
        <v>5093</v>
      </c>
      <c r="I27" s="49" t="s">
        <v>2</v>
      </c>
      <c r="J27" s="50" t="s">
        <v>1498</v>
      </c>
      <c r="K27" s="51">
        <v>41131</v>
      </c>
      <c r="L27" s="115">
        <v>41126</v>
      </c>
      <c r="M27" s="50">
        <v>5</v>
      </c>
      <c r="N27" s="50" t="s">
        <v>2</v>
      </c>
      <c r="P27" s="117">
        <v>4.99</v>
      </c>
      <c r="Q27" s="131">
        <v>5</v>
      </c>
      <c r="W27" s="227"/>
      <c r="X27" s="226">
        <v>0.33300000000000002</v>
      </c>
      <c r="Y27" s="226"/>
      <c r="AE27" s="50">
        <v>2.85</v>
      </c>
      <c r="AF27" s="273">
        <f>0.0002/2</f>
        <v>1E-4</v>
      </c>
      <c r="AG27" s="50">
        <v>0.76600000000000001</v>
      </c>
    </row>
    <row r="28" spans="1:36" ht="14">
      <c r="A28" s="74" t="s">
        <v>138</v>
      </c>
      <c r="B28" s="50" t="s">
        <v>1499</v>
      </c>
      <c r="C28" s="50" t="s">
        <v>1500</v>
      </c>
      <c r="D28" s="48" t="s">
        <v>350</v>
      </c>
      <c r="E28" s="50" t="s">
        <v>1501</v>
      </c>
      <c r="G28" s="76" t="s">
        <v>1502</v>
      </c>
      <c r="H28" s="50">
        <v>5093</v>
      </c>
      <c r="I28" s="49" t="s">
        <v>2</v>
      </c>
      <c r="J28" s="50" t="s">
        <v>1503</v>
      </c>
      <c r="K28" s="51">
        <v>41131</v>
      </c>
      <c r="L28" s="115">
        <v>41126</v>
      </c>
      <c r="M28" s="50">
        <v>5</v>
      </c>
      <c r="N28" s="50" t="s">
        <v>2</v>
      </c>
      <c r="O28" s="74">
        <v>2.7</v>
      </c>
      <c r="P28" s="117">
        <v>6</v>
      </c>
      <c r="Q28" s="131">
        <v>7.94</v>
      </c>
      <c r="R28" s="50">
        <v>26</v>
      </c>
      <c r="S28" s="74">
        <v>11</v>
      </c>
      <c r="T28" s="50">
        <v>0.36</v>
      </c>
      <c r="U28" s="74">
        <v>0.72</v>
      </c>
      <c r="V28" s="50">
        <v>1.95</v>
      </c>
      <c r="W28" s="227">
        <f>0.005/2</f>
        <v>2.5000000000000001E-3</v>
      </c>
      <c r="X28" s="226">
        <v>3.4000000000000002E-2</v>
      </c>
      <c r="Y28" s="226">
        <v>4.0000000000000001E-3</v>
      </c>
      <c r="AE28" s="50">
        <v>1.3</v>
      </c>
      <c r="AF28" s="273">
        <f>0.0002/2</f>
        <v>1E-4</v>
      </c>
      <c r="AG28" s="50">
        <v>0.114</v>
      </c>
      <c r="AH28" s="50">
        <f>0.5/2</f>
        <v>0.25</v>
      </c>
      <c r="AI28" s="50">
        <f>0.005/2</f>
        <v>2.5000000000000001E-3</v>
      </c>
    </row>
    <row r="29" spans="1:36" ht="14">
      <c r="A29" s="74" t="s">
        <v>138</v>
      </c>
      <c r="B29" s="50" t="s">
        <v>1504</v>
      </c>
      <c r="D29" s="48" t="s">
        <v>1505</v>
      </c>
      <c r="E29" s="50" t="s">
        <v>1506</v>
      </c>
      <c r="G29" s="76" t="s">
        <v>1507</v>
      </c>
      <c r="H29" s="50">
        <v>4953</v>
      </c>
      <c r="I29" s="49" t="s">
        <v>2</v>
      </c>
      <c r="J29" s="50" t="s">
        <v>1508</v>
      </c>
      <c r="K29" s="51">
        <v>41108</v>
      </c>
      <c r="L29" s="115">
        <v>41092</v>
      </c>
      <c r="M29" s="50">
        <v>16</v>
      </c>
      <c r="N29" s="50" t="s">
        <v>2</v>
      </c>
      <c r="O29" s="74">
        <f>2/2</f>
        <v>1</v>
      </c>
      <c r="P29" s="117"/>
      <c r="Q29" s="131">
        <v>5</v>
      </c>
      <c r="R29" s="50">
        <v>36</v>
      </c>
      <c r="S29" s="74">
        <v>9</v>
      </c>
      <c r="T29" s="50">
        <f>0.05/2</f>
        <v>2.5000000000000001E-2</v>
      </c>
      <c r="U29" s="74">
        <v>2.1800000000000002</v>
      </c>
      <c r="V29" s="50">
        <v>0.43</v>
      </c>
      <c r="W29" s="227">
        <f>0.01/2</f>
        <v>5.0000000000000001E-3</v>
      </c>
      <c r="X29" s="226">
        <v>3.3000000000000002E-2</v>
      </c>
      <c r="Y29" s="226">
        <f>0.03/2</f>
        <v>1.4999999999999999E-2</v>
      </c>
      <c r="AE29" s="50">
        <v>0.09</v>
      </c>
      <c r="AF29" s="273">
        <v>8.0000000000000004E-4</v>
      </c>
      <c r="AG29" s="50">
        <v>0.44</v>
      </c>
      <c r="AH29" s="77">
        <f>500/2</f>
        <v>250</v>
      </c>
      <c r="AI29" s="77">
        <f>0.1/2</f>
        <v>0.05</v>
      </c>
    </row>
    <row r="30" spans="1:36" ht="14">
      <c r="A30" s="74" t="s">
        <v>138</v>
      </c>
      <c r="B30" s="50" t="s">
        <v>1504</v>
      </c>
      <c r="D30" s="48" t="s">
        <v>1505</v>
      </c>
      <c r="E30" s="50" t="s">
        <v>1509</v>
      </c>
      <c r="G30" s="76" t="s">
        <v>1507</v>
      </c>
      <c r="H30" s="50">
        <v>4953</v>
      </c>
      <c r="I30" s="49" t="s">
        <v>2</v>
      </c>
      <c r="J30" s="50" t="s">
        <v>1510</v>
      </c>
      <c r="K30" s="51">
        <v>41108</v>
      </c>
      <c r="L30" s="115">
        <v>41092</v>
      </c>
      <c r="M30" s="50">
        <v>16</v>
      </c>
      <c r="N30" s="50" t="s">
        <v>2</v>
      </c>
      <c r="O30" s="74">
        <f>2/2</f>
        <v>1</v>
      </c>
      <c r="P30" s="117"/>
      <c r="Q30" s="131">
        <v>5.7</v>
      </c>
      <c r="R30" s="50">
        <v>40</v>
      </c>
      <c r="S30" s="74">
        <v>20</v>
      </c>
      <c r="T30" s="50">
        <v>0.12</v>
      </c>
      <c r="U30" s="74">
        <v>2.61</v>
      </c>
      <c r="V30" s="50">
        <v>0.56999999999999995</v>
      </c>
      <c r="W30" s="227">
        <v>1.4E-2</v>
      </c>
      <c r="X30" s="226">
        <v>6.8000000000000005E-2</v>
      </c>
      <c r="Y30" s="226">
        <f>0.03/2</f>
        <v>1.4999999999999999E-2</v>
      </c>
      <c r="AE30" s="50">
        <v>0.83</v>
      </c>
      <c r="AF30" s="273">
        <v>1.5E-3</v>
      </c>
      <c r="AG30" s="50">
        <v>0.9</v>
      </c>
      <c r="AH30" s="77">
        <f>500/2</f>
        <v>250</v>
      </c>
      <c r="AI30" s="77">
        <f>0.1/2</f>
        <v>0.05</v>
      </c>
    </row>
    <row r="31" spans="1:36" ht="14">
      <c r="A31" s="74" t="s">
        <v>138</v>
      </c>
      <c r="B31" s="50" t="s">
        <v>635</v>
      </c>
      <c r="C31" s="50" t="s">
        <v>635</v>
      </c>
      <c r="D31" s="48" t="s">
        <v>636</v>
      </c>
      <c r="E31" s="50" t="s">
        <v>1011</v>
      </c>
      <c r="F31" s="77" t="s">
        <v>1012</v>
      </c>
      <c r="G31" s="76" t="s">
        <v>637</v>
      </c>
      <c r="H31" s="50">
        <v>5093</v>
      </c>
      <c r="I31" s="49" t="s">
        <v>1</v>
      </c>
      <c r="J31" s="50" t="s">
        <v>1518</v>
      </c>
      <c r="K31" s="51">
        <v>41156</v>
      </c>
      <c r="L31" s="115">
        <v>41149</v>
      </c>
      <c r="M31" s="50">
        <v>7</v>
      </c>
      <c r="N31" s="50" t="s">
        <v>2</v>
      </c>
      <c r="P31" s="117">
        <v>5.5</v>
      </c>
      <c r="Q31" s="131">
        <v>7</v>
      </c>
      <c r="W31" s="227"/>
      <c r="X31" s="226"/>
      <c r="Y31" s="226"/>
      <c r="AE31" s="50">
        <v>12</v>
      </c>
      <c r="AF31" s="273">
        <v>4.2999999999999999E-4</v>
      </c>
      <c r="AG31" s="50">
        <v>7.6</v>
      </c>
      <c r="AH31" s="50">
        <f>5/2</f>
        <v>2.5</v>
      </c>
      <c r="AI31" s="50">
        <f>0.4/2</f>
        <v>0.2</v>
      </c>
    </row>
    <row r="32" spans="1:36" ht="14">
      <c r="A32" s="74" t="s">
        <v>138</v>
      </c>
      <c r="B32" s="50" t="s">
        <v>939</v>
      </c>
      <c r="C32" s="50" t="s">
        <v>939</v>
      </c>
      <c r="D32" s="48" t="s">
        <v>397</v>
      </c>
      <c r="E32" s="50" t="s">
        <v>1027</v>
      </c>
      <c r="F32" s="77" t="s">
        <v>959</v>
      </c>
      <c r="G32" s="76" t="s">
        <v>940</v>
      </c>
      <c r="H32" s="50">
        <v>5093</v>
      </c>
      <c r="I32" s="49" t="s">
        <v>1</v>
      </c>
      <c r="J32" s="50" t="s">
        <v>941</v>
      </c>
      <c r="K32" s="51">
        <v>41156</v>
      </c>
      <c r="L32" s="115">
        <v>41149</v>
      </c>
      <c r="M32" s="50">
        <v>7</v>
      </c>
      <c r="N32" s="50" t="s">
        <v>2</v>
      </c>
      <c r="O32" s="74">
        <v>18</v>
      </c>
      <c r="P32" s="117">
        <v>5.5</v>
      </c>
      <c r="Q32" s="131">
        <v>8.1999999999999993</v>
      </c>
      <c r="R32" s="50">
        <f>1/2</f>
        <v>0.5</v>
      </c>
      <c r="S32" s="74">
        <v>340</v>
      </c>
      <c r="T32" s="50">
        <v>1.1000000000000001</v>
      </c>
      <c r="U32" s="74">
        <v>2.6</v>
      </c>
      <c r="V32" s="50">
        <v>0.19</v>
      </c>
      <c r="W32" s="227">
        <v>0.53</v>
      </c>
      <c r="X32" s="226">
        <v>3.4</v>
      </c>
      <c r="Y32" s="226">
        <v>0.84</v>
      </c>
      <c r="Z32" s="165">
        <v>1</v>
      </c>
      <c r="AA32" s="165">
        <v>0.83199999999999996</v>
      </c>
      <c r="AB32" s="50">
        <v>46</v>
      </c>
      <c r="AC32" s="74">
        <v>146</v>
      </c>
      <c r="AD32" s="164">
        <v>0.5</v>
      </c>
      <c r="AE32" s="50">
        <v>29</v>
      </c>
      <c r="AF32" s="273">
        <v>3.3E-3</v>
      </c>
      <c r="AG32" s="50">
        <v>8.3000000000000007</v>
      </c>
      <c r="AH32" s="50">
        <v>6.6</v>
      </c>
      <c r="AI32" s="50">
        <f>4/4</f>
        <v>1</v>
      </c>
      <c r="AJ32" s="402">
        <v>4700</v>
      </c>
    </row>
    <row r="33" spans="1:47" ht="14">
      <c r="A33" s="74" t="s">
        <v>138</v>
      </c>
      <c r="B33" s="50" t="s">
        <v>1519</v>
      </c>
      <c r="C33" s="50" t="s">
        <v>1519</v>
      </c>
      <c r="D33" s="48" t="s">
        <v>133</v>
      </c>
      <c r="E33" s="50" t="s">
        <v>1520</v>
      </c>
      <c r="F33" s="77" t="s">
        <v>1188</v>
      </c>
      <c r="G33" s="76" t="s">
        <v>1189</v>
      </c>
      <c r="H33" s="50" t="s">
        <v>1521</v>
      </c>
      <c r="I33" s="49" t="s">
        <v>2</v>
      </c>
      <c r="J33" s="50" t="s">
        <v>1522</v>
      </c>
      <c r="K33" s="51">
        <v>41171</v>
      </c>
      <c r="L33" s="115">
        <v>41156</v>
      </c>
      <c r="M33" s="50">
        <v>15</v>
      </c>
      <c r="N33" s="50" t="s">
        <v>2</v>
      </c>
      <c r="O33" s="74">
        <v>1.1000000000000001</v>
      </c>
      <c r="P33" s="117">
        <v>6</v>
      </c>
      <c r="Q33" s="131">
        <v>6.8</v>
      </c>
      <c r="R33" s="50">
        <v>54</v>
      </c>
      <c r="S33" s="74">
        <v>33</v>
      </c>
      <c r="T33" s="50">
        <v>0.17</v>
      </c>
      <c r="U33" s="74">
        <f>0.5/2</f>
        <v>0.25</v>
      </c>
      <c r="V33" s="50">
        <f>0.05/2</f>
        <v>2.5000000000000001E-2</v>
      </c>
      <c r="W33" s="227">
        <v>4.9000000000000002E-2</v>
      </c>
      <c r="X33" s="226">
        <v>0.12</v>
      </c>
      <c r="Y33" s="226">
        <v>5.8999999999999997E-2</v>
      </c>
      <c r="Z33" s="165"/>
      <c r="AE33" s="50">
        <v>2.2999999999999998</v>
      </c>
      <c r="AF33" s="273">
        <f>0.0002/2</f>
        <v>1E-4</v>
      </c>
      <c r="AG33" s="50">
        <v>1.4</v>
      </c>
      <c r="AH33" s="50">
        <f>5/2</f>
        <v>2.5</v>
      </c>
      <c r="AI33" s="50">
        <f>0.4/2</f>
        <v>0.2</v>
      </c>
    </row>
    <row r="34" spans="1:47" ht="14">
      <c r="A34" s="74" t="s">
        <v>138</v>
      </c>
      <c r="B34" s="50" t="s">
        <v>3123</v>
      </c>
      <c r="C34" s="50" t="s">
        <v>392</v>
      </c>
      <c r="D34" s="48" t="s">
        <v>3125</v>
      </c>
      <c r="E34" s="50" t="s">
        <v>3128</v>
      </c>
      <c r="F34" s="77" t="s">
        <v>2667</v>
      </c>
      <c r="G34" s="76" t="s">
        <v>3129</v>
      </c>
      <c r="H34" s="50">
        <v>5093</v>
      </c>
      <c r="I34" s="49" t="s">
        <v>2</v>
      </c>
      <c r="J34" s="50" t="s">
        <v>194</v>
      </c>
      <c r="K34" s="51">
        <v>41116</v>
      </c>
      <c r="L34" s="115">
        <v>41113</v>
      </c>
      <c r="N34" s="50" t="s">
        <v>2</v>
      </c>
      <c r="O34" s="74">
        <f>2/2</f>
        <v>1</v>
      </c>
      <c r="P34" s="117"/>
      <c r="Q34" s="131">
        <v>6.8</v>
      </c>
      <c r="R34" s="50">
        <v>34</v>
      </c>
      <c r="S34" s="74">
        <v>98</v>
      </c>
      <c r="T34" s="50">
        <v>0.45</v>
      </c>
      <c r="U34" s="74">
        <v>1.38</v>
      </c>
      <c r="V34" s="50">
        <v>0.26</v>
      </c>
      <c r="W34" s="227">
        <v>1.2E-2</v>
      </c>
      <c r="X34" s="226">
        <f>0.03/2</f>
        <v>1.4999999999999999E-2</v>
      </c>
      <c r="Y34" s="226">
        <f>0.03/2</f>
        <v>1.4999999999999999E-2</v>
      </c>
      <c r="Z34" s="165"/>
      <c r="AF34" s="273"/>
      <c r="AH34" s="50">
        <f>500/2</f>
        <v>250</v>
      </c>
      <c r="AI34" s="50">
        <f>10/2</f>
        <v>5</v>
      </c>
    </row>
    <row r="35" spans="1:47" s="34" customFormat="1" ht="14">
      <c r="A35" s="74" t="s">
        <v>138</v>
      </c>
      <c r="B35" s="50" t="s">
        <v>3123</v>
      </c>
      <c r="C35" s="50" t="s">
        <v>392</v>
      </c>
      <c r="D35" s="48" t="s">
        <v>3125</v>
      </c>
      <c r="E35" s="50" t="s">
        <v>3128</v>
      </c>
      <c r="F35" s="50" t="s">
        <v>2667</v>
      </c>
      <c r="G35" s="76" t="s">
        <v>3129</v>
      </c>
      <c r="H35" s="50">
        <v>5093</v>
      </c>
      <c r="I35" s="49" t="s">
        <v>2</v>
      </c>
      <c r="J35" s="50" t="s">
        <v>569</v>
      </c>
      <c r="K35" s="51">
        <v>41116</v>
      </c>
      <c r="L35" s="115">
        <v>41113</v>
      </c>
      <c r="M35" s="50"/>
      <c r="N35" s="50" t="s">
        <v>2</v>
      </c>
      <c r="O35" s="74">
        <v>5.4</v>
      </c>
      <c r="P35" s="117"/>
      <c r="Q35" s="131">
        <v>7.2</v>
      </c>
      <c r="R35" s="50">
        <v>146</v>
      </c>
      <c r="S35" s="74">
        <v>207</v>
      </c>
      <c r="T35" s="50">
        <v>0.35</v>
      </c>
      <c r="U35" s="74">
        <v>4.47</v>
      </c>
      <c r="V35" s="50">
        <v>0.11</v>
      </c>
      <c r="W35" s="227">
        <v>3.9E-2</v>
      </c>
      <c r="X35" s="226">
        <v>0.23599999999999999</v>
      </c>
      <c r="Y35" s="226">
        <f>0.03/2</f>
        <v>1.4999999999999999E-2</v>
      </c>
      <c r="Z35" s="164"/>
      <c r="AA35" s="165"/>
      <c r="AB35" s="50"/>
      <c r="AC35" s="74"/>
      <c r="AD35" s="166"/>
      <c r="AE35" s="50"/>
      <c r="AF35" s="273"/>
      <c r="AG35" s="50"/>
      <c r="AH35" s="50">
        <f>500/2</f>
        <v>250</v>
      </c>
      <c r="AI35" s="50">
        <f>10/2</f>
        <v>5</v>
      </c>
      <c r="AJ35" s="402"/>
      <c r="AK35" s="279"/>
      <c r="AL35" s="279"/>
      <c r="AM35" s="279"/>
      <c r="AN35" s="279"/>
      <c r="AO35" s="279"/>
      <c r="AP35" s="279"/>
      <c r="AQ35" s="279"/>
      <c r="AR35" s="279"/>
      <c r="AS35" s="279"/>
      <c r="AT35" s="279"/>
      <c r="AU35" s="279"/>
    </row>
    <row r="36" spans="1:47" s="34" customFormat="1" ht="14">
      <c r="A36" s="74" t="s">
        <v>138</v>
      </c>
      <c r="B36" s="50" t="s">
        <v>3141</v>
      </c>
      <c r="C36" s="50" t="s">
        <v>3142</v>
      </c>
      <c r="D36" s="48" t="s">
        <v>350</v>
      </c>
      <c r="E36" s="50" t="s">
        <v>1329</v>
      </c>
      <c r="F36" s="50"/>
      <c r="G36" s="76" t="s">
        <v>3143</v>
      </c>
      <c r="H36" s="50">
        <v>5093</v>
      </c>
      <c r="I36" s="49" t="s">
        <v>2</v>
      </c>
      <c r="J36" s="50" t="s">
        <v>3144</v>
      </c>
      <c r="K36" s="51">
        <v>41261</v>
      </c>
      <c r="L36" s="115">
        <v>41251</v>
      </c>
      <c r="M36" s="50"/>
      <c r="N36" s="50" t="s">
        <v>2</v>
      </c>
      <c r="O36" s="74">
        <f>1.4/2</f>
        <v>0.7</v>
      </c>
      <c r="P36" s="117">
        <v>7.25</v>
      </c>
      <c r="Q36" s="131">
        <v>7.05</v>
      </c>
      <c r="R36" s="50">
        <v>23</v>
      </c>
      <c r="S36" s="74">
        <v>9</v>
      </c>
      <c r="T36" s="50">
        <v>0.11</v>
      </c>
      <c r="U36" s="74">
        <v>0.75</v>
      </c>
      <c r="V36" s="50">
        <v>1.38</v>
      </c>
      <c r="W36" s="227">
        <v>2.1000000000000001E-2</v>
      </c>
      <c r="X36" s="226">
        <v>0.20699999999999999</v>
      </c>
      <c r="Y36" s="226">
        <v>2.8000000000000001E-2</v>
      </c>
      <c r="Z36" s="164">
        <v>1</v>
      </c>
      <c r="AA36" s="165">
        <v>1</v>
      </c>
      <c r="AB36" s="50">
        <v>42</v>
      </c>
      <c r="AC36" s="74">
        <v>132</v>
      </c>
      <c r="AD36" s="166">
        <v>0.85</v>
      </c>
      <c r="AE36" s="50">
        <v>1.24</v>
      </c>
      <c r="AF36" s="273">
        <v>2.0000000000000001E-4</v>
      </c>
      <c r="AG36" s="50">
        <v>0.40300000000000002</v>
      </c>
      <c r="AH36" s="50">
        <v>2.77</v>
      </c>
      <c r="AI36" s="50">
        <f>0.5/2</f>
        <v>0.25</v>
      </c>
      <c r="AJ36" s="402"/>
      <c r="AK36" s="279"/>
      <c r="AL36" s="279"/>
      <c r="AM36" s="279"/>
      <c r="AN36" s="279"/>
      <c r="AO36" s="279"/>
      <c r="AP36" s="279"/>
      <c r="AQ36" s="279"/>
      <c r="AR36" s="279"/>
      <c r="AS36" s="279"/>
      <c r="AT36" s="279"/>
      <c r="AU36" s="279"/>
    </row>
    <row r="37" spans="1:47" s="34" customFormat="1" ht="14">
      <c r="A37" s="74" t="s">
        <v>138</v>
      </c>
      <c r="B37" s="50" t="s">
        <v>3141</v>
      </c>
      <c r="C37" s="50" t="s">
        <v>3142</v>
      </c>
      <c r="D37" s="48" t="s">
        <v>350</v>
      </c>
      <c r="E37" s="50" t="s">
        <v>1329</v>
      </c>
      <c r="F37" s="50"/>
      <c r="G37" s="76" t="s">
        <v>3143</v>
      </c>
      <c r="H37" s="50">
        <v>5093</v>
      </c>
      <c r="I37" s="49" t="s">
        <v>2</v>
      </c>
      <c r="J37" s="50" t="s">
        <v>3145</v>
      </c>
      <c r="K37" s="51">
        <v>41261</v>
      </c>
      <c r="L37" s="115">
        <v>41251</v>
      </c>
      <c r="M37" s="50"/>
      <c r="N37" s="50" t="s">
        <v>2</v>
      </c>
      <c r="O37" s="74">
        <f>1.4/2</f>
        <v>0.7</v>
      </c>
      <c r="P37" s="117">
        <v>4.03</v>
      </c>
      <c r="Q37" s="131">
        <v>6.02</v>
      </c>
      <c r="R37" s="50">
        <f>10/2</f>
        <v>5</v>
      </c>
      <c r="S37" s="74">
        <v>6</v>
      </c>
      <c r="T37" s="50">
        <v>0.03</v>
      </c>
      <c r="U37" s="74">
        <v>0.33</v>
      </c>
      <c r="V37" s="50">
        <v>0.08</v>
      </c>
      <c r="W37" s="227">
        <f>0.005/2</f>
        <v>2.5000000000000001E-3</v>
      </c>
      <c r="X37" s="226">
        <v>1.7999999999999999E-2</v>
      </c>
      <c r="Y37" s="226">
        <f>0.002/2</f>
        <v>1E-3</v>
      </c>
      <c r="Z37" s="164">
        <v>1</v>
      </c>
      <c r="AA37" s="165">
        <v>1</v>
      </c>
      <c r="AB37" s="50">
        <v>2</v>
      </c>
      <c r="AC37" s="74">
        <v>7</v>
      </c>
      <c r="AD37" s="166">
        <v>0.75</v>
      </c>
      <c r="AE37" s="50">
        <v>0.25</v>
      </c>
      <c r="AF37" s="273">
        <f>0.0002/2</f>
        <v>1E-4</v>
      </c>
      <c r="AG37" s="50">
        <v>0.21299999999999999</v>
      </c>
      <c r="AH37" s="50">
        <v>0.25600000000000001</v>
      </c>
      <c r="AI37" s="50">
        <f>0.51/2</f>
        <v>0.255</v>
      </c>
      <c r="AJ37" s="402"/>
      <c r="AK37" s="279"/>
      <c r="AL37" s="279"/>
      <c r="AM37" s="279"/>
      <c r="AN37" s="279"/>
      <c r="AO37" s="279"/>
      <c r="AP37" s="279"/>
      <c r="AQ37" s="279"/>
      <c r="AR37" s="279"/>
      <c r="AS37" s="279"/>
      <c r="AT37" s="279"/>
      <c r="AU37" s="279"/>
    </row>
    <row r="38" spans="1:47" s="34" customFormat="1" ht="14">
      <c r="A38" s="74" t="s">
        <v>138</v>
      </c>
      <c r="B38" s="50" t="s">
        <v>3141</v>
      </c>
      <c r="C38" s="50" t="s">
        <v>3142</v>
      </c>
      <c r="D38" s="48" t="s">
        <v>350</v>
      </c>
      <c r="E38" s="50" t="s">
        <v>1329</v>
      </c>
      <c r="F38" s="50"/>
      <c r="G38" s="76" t="s">
        <v>3143</v>
      </c>
      <c r="H38" s="50">
        <v>5093</v>
      </c>
      <c r="I38" s="49" t="s">
        <v>2</v>
      </c>
      <c r="J38" s="50" t="s">
        <v>3144</v>
      </c>
      <c r="K38" s="51">
        <v>41285</v>
      </c>
      <c r="L38" s="115">
        <v>41272</v>
      </c>
      <c r="M38" s="50"/>
      <c r="N38" s="50" t="s">
        <v>1</v>
      </c>
      <c r="O38" s="74"/>
      <c r="P38" s="74"/>
      <c r="Q38" s="74"/>
      <c r="R38" s="74"/>
      <c r="S38" s="74"/>
      <c r="T38" s="74"/>
      <c r="U38" s="74"/>
      <c r="V38" s="74"/>
      <c r="W38" s="74"/>
      <c r="X38" s="74"/>
      <c r="Y38" s="74"/>
      <c r="Z38" s="164"/>
      <c r="AA38" s="165"/>
      <c r="AB38" s="50"/>
      <c r="AC38" s="74"/>
      <c r="AD38" s="166"/>
      <c r="AE38" s="50">
        <v>0.59399999999999997</v>
      </c>
      <c r="AF38" s="273">
        <f>0.0002/2</f>
        <v>1E-4</v>
      </c>
      <c r="AG38" s="50">
        <v>0.42099999999999999</v>
      </c>
      <c r="AH38" s="50">
        <f>0.22/2</f>
        <v>0.11</v>
      </c>
      <c r="AI38" s="50">
        <f>0.0056/2</f>
        <v>2.8E-3</v>
      </c>
      <c r="AJ38" s="402"/>
      <c r="AK38" s="279"/>
      <c r="AL38" s="279"/>
      <c r="AM38" s="279"/>
      <c r="AN38" s="279"/>
      <c r="AO38" s="279"/>
      <c r="AP38" s="279"/>
      <c r="AQ38" s="279"/>
      <c r="AR38" s="279"/>
      <c r="AS38" s="279"/>
      <c r="AT38" s="279"/>
      <c r="AU38" s="279"/>
    </row>
    <row r="39" spans="1:47" s="34" customFormat="1" ht="14">
      <c r="A39" s="74" t="s">
        <v>138</v>
      </c>
      <c r="B39" s="50" t="s">
        <v>3141</v>
      </c>
      <c r="C39" s="50" t="s">
        <v>3142</v>
      </c>
      <c r="D39" s="48" t="s">
        <v>350</v>
      </c>
      <c r="E39" s="50" t="s">
        <v>1329</v>
      </c>
      <c r="F39" s="50"/>
      <c r="G39" s="76" t="s">
        <v>3143</v>
      </c>
      <c r="H39" s="50">
        <v>5093</v>
      </c>
      <c r="I39" s="49" t="s">
        <v>2</v>
      </c>
      <c r="J39" s="50" t="s">
        <v>3145</v>
      </c>
      <c r="K39" s="51">
        <v>41285</v>
      </c>
      <c r="L39" s="115">
        <v>41272</v>
      </c>
      <c r="M39" s="50"/>
      <c r="N39" s="50" t="s">
        <v>1</v>
      </c>
      <c r="O39" s="74"/>
      <c r="P39" s="74"/>
      <c r="Q39" s="74"/>
      <c r="R39" s="74"/>
      <c r="S39" s="74"/>
      <c r="T39" s="74"/>
      <c r="U39" s="74"/>
      <c r="V39" s="74"/>
      <c r="W39" s="74"/>
      <c r="X39" s="74"/>
      <c r="Y39" s="74"/>
      <c r="Z39" s="164"/>
      <c r="AA39" s="165"/>
      <c r="AB39" s="50"/>
      <c r="AC39" s="74"/>
      <c r="AD39" s="166"/>
      <c r="AE39" s="50">
        <v>0.45900000000000002</v>
      </c>
      <c r="AF39" s="273">
        <f>0.0002/2</f>
        <v>1E-4</v>
      </c>
      <c r="AG39" s="50">
        <v>0.34</v>
      </c>
      <c r="AH39" s="50">
        <f>0.22/2</f>
        <v>0.11</v>
      </c>
      <c r="AI39" s="50">
        <f>0.0056/2</f>
        <v>2.8E-3</v>
      </c>
      <c r="AJ39" s="402"/>
      <c r="AK39" s="279"/>
      <c r="AL39" s="279"/>
      <c r="AM39" s="279"/>
      <c r="AN39" s="279"/>
      <c r="AO39" s="279"/>
      <c r="AP39" s="279"/>
      <c r="AQ39" s="279"/>
      <c r="AR39" s="279"/>
      <c r="AS39" s="279"/>
      <c r="AT39" s="279"/>
      <c r="AU39" s="279"/>
    </row>
    <row r="40" spans="1:47" s="34" customFormat="1" ht="14">
      <c r="A40" s="74" t="s">
        <v>138</v>
      </c>
      <c r="B40" s="50" t="s">
        <v>446</v>
      </c>
      <c r="C40" s="50" t="s">
        <v>446</v>
      </c>
      <c r="D40" s="48" t="s">
        <v>372</v>
      </c>
      <c r="E40" s="50" t="s">
        <v>447</v>
      </c>
      <c r="F40" s="50"/>
      <c r="G40" s="76" t="s">
        <v>448</v>
      </c>
      <c r="H40" s="50">
        <v>5098</v>
      </c>
      <c r="I40" s="49" t="s">
        <v>2</v>
      </c>
      <c r="J40" s="50" t="s">
        <v>449</v>
      </c>
      <c r="K40" s="51">
        <v>41201</v>
      </c>
      <c r="L40" s="115">
        <v>41198</v>
      </c>
      <c r="M40" s="50"/>
      <c r="N40" s="50" t="s">
        <v>2</v>
      </c>
      <c r="O40" s="74">
        <f>0.5/2</f>
        <v>0.25</v>
      </c>
      <c r="P40" s="117">
        <v>6.89</v>
      </c>
      <c r="Q40" s="131">
        <v>7.09</v>
      </c>
      <c r="R40" s="50">
        <v>12.3</v>
      </c>
      <c r="S40" s="74">
        <f>5/2</f>
        <v>2.5</v>
      </c>
      <c r="T40" s="50">
        <f>0.5/2</f>
        <v>0.25</v>
      </c>
      <c r="U40" s="74">
        <v>1.07</v>
      </c>
      <c r="V40" s="50">
        <v>0.45</v>
      </c>
      <c r="W40" s="227">
        <v>0.12</v>
      </c>
      <c r="X40" s="226">
        <v>0.08</v>
      </c>
      <c r="Y40" s="226">
        <v>7.0000000000000001E-3</v>
      </c>
      <c r="Z40" s="164">
        <v>0.34699999999999998</v>
      </c>
      <c r="AA40" s="165">
        <v>6.25E-2</v>
      </c>
      <c r="AB40" s="50">
        <v>8</v>
      </c>
      <c r="AC40" s="74">
        <v>205</v>
      </c>
      <c r="AD40" s="166">
        <v>0</v>
      </c>
      <c r="AE40" s="50">
        <v>1.1200000000000001</v>
      </c>
      <c r="AF40" s="273">
        <f>0.0002/2</f>
        <v>1E-4</v>
      </c>
      <c r="AG40" s="50">
        <v>0.89</v>
      </c>
      <c r="AH40" s="50">
        <f>0.22/2</f>
        <v>0.11</v>
      </c>
      <c r="AI40" s="50">
        <f>0.0056/2</f>
        <v>2.8E-3</v>
      </c>
      <c r="AJ40" s="402"/>
      <c r="AK40" s="279"/>
      <c r="AL40" s="279"/>
      <c r="AM40" s="279"/>
      <c r="AN40" s="279"/>
      <c r="AO40" s="279"/>
      <c r="AP40" s="279"/>
      <c r="AQ40" s="279"/>
      <c r="AR40" s="279"/>
      <c r="AS40" s="279"/>
      <c r="AT40" s="279"/>
      <c r="AU40" s="279"/>
    </row>
    <row r="41" spans="1:47" s="34" customFormat="1" ht="14">
      <c r="A41" s="74" t="s">
        <v>138</v>
      </c>
      <c r="B41" s="50" t="s">
        <v>3146</v>
      </c>
      <c r="C41" s="50" t="s">
        <v>3146</v>
      </c>
      <c r="D41" s="48" t="s">
        <v>56</v>
      </c>
      <c r="E41" s="50" t="s">
        <v>112</v>
      </c>
      <c r="F41" s="50" t="s">
        <v>3147</v>
      </c>
      <c r="G41" s="76" t="s">
        <v>3148</v>
      </c>
      <c r="H41" s="50">
        <v>5093</v>
      </c>
      <c r="I41" s="49" t="s">
        <v>2</v>
      </c>
      <c r="J41" s="50" t="s">
        <v>1144</v>
      </c>
      <c r="K41" s="51">
        <v>41037</v>
      </c>
      <c r="L41" s="115">
        <v>41034</v>
      </c>
      <c r="M41" s="50"/>
      <c r="N41" s="50" t="s">
        <v>2</v>
      </c>
      <c r="O41" s="74">
        <v>13</v>
      </c>
      <c r="P41" s="117"/>
      <c r="Q41" s="131">
        <v>6.93</v>
      </c>
      <c r="R41" s="50">
        <v>1600</v>
      </c>
      <c r="S41" s="74">
        <v>210</v>
      </c>
      <c r="T41" s="50">
        <v>0.6</v>
      </c>
      <c r="U41" s="74">
        <v>13</v>
      </c>
      <c r="V41" s="50">
        <v>4.5999999999999996</v>
      </c>
      <c r="W41" s="227">
        <v>2.8</v>
      </c>
      <c r="X41" s="226">
        <v>0.67</v>
      </c>
      <c r="Y41" s="226">
        <v>0.8</v>
      </c>
      <c r="Z41" s="164">
        <v>6.25E-2</v>
      </c>
      <c r="AA41" s="165">
        <v>6.25E-2</v>
      </c>
      <c r="AB41" s="50">
        <v>470</v>
      </c>
      <c r="AC41" s="74">
        <v>1354</v>
      </c>
      <c r="AD41" s="166">
        <v>0</v>
      </c>
      <c r="AE41" s="50">
        <v>7.5</v>
      </c>
      <c r="AF41" s="273">
        <v>6.4999999999999997E-4</v>
      </c>
      <c r="AG41" s="50">
        <v>3.5</v>
      </c>
      <c r="AH41" s="50">
        <v>27</v>
      </c>
      <c r="AI41" s="50">
        <f>0.5/2</f>
        <v>0.25</v>
      </c>
      <c r="AJ41" s="402"/>
      <c r="AK41" s="279"/>
      <c r="AL41" s="279"/>
      <c r="AM41" s="279"/>
      <c r="AN41" s="279"/>
      <c r="AO41" s="279"/>
      <c r="AP41" s="279"/>
      <c r="AQ41" s="279"/>
      <c r="AR41" s="279"/>
      <c r="AS41" s="279"/>
      <c r="AT41" s="279"/>
      <c r="AU41" s="279"/>
    </row>
    <row r="42" spans="1:47" s="34" customFormat="1" ht="14">
      <c r="A42" s="74" t="s">
        <v>138</v>
      </c>
      <c r="B42" s="50" t="s">
        <v>3146</v>
      </c>
      <c r="C42" s="50" t="s">
        <v>3146</v>
      </c>
      <c r="D42" s="48" t="s">
        <v>56</v>
      </c>
      <c r="E42" s="50" t="s">
        <v>112</v>
      </c>
      <c r="F42" s="50" t="s">
        <v>3147</v>
      </c>
      <c r="G42" s="76" t="s">
        <v>3148</v>
      </c>
      <c r="H42" s="50">
        <v>5093</v>
      </c>
      <c r="I42" s="49" t="s">
        <v>2</v>
      </c>
      <c r="J42" s="50" t="s">
        <v>1144</v>
      </c>
      <c r="K42" s="51">
        <v>41105</v>
      </c>
      <c r="L42" s="115">
        <v>41102</v>
      </c>
      <c r="M42" s="50"/>
      <c r="N42" s="50" t="s">
        <v>2</v>
      </c>
      <c r="O42" s="74">
        <v>6.1</v>
      </c>
      <c r="P42" s="117">
        <v>6.21</v>
      </c>
      <c r="Q42" s="131">
        <v>6.67</v>
      </c>
      <c r="R42" s="50"/>
      <c r="S42" s="74">
        <v>98</v>
      </c>
      <c r="T42" s="50">
        <f>0.1/2</f>
        <v>0.05</v>
      </c>
      <c r="U42" s="74">
        <v>12</v>
      </c>
      <c r="V42" s="50">
        <v>4.7</v>
      </c>
      <c r="W42" s="227">
        <v>1.8</v>
      </c>
      <c r="X42" s="226">
        <v>0.48</v>
      </c>
      <c r="Y42" s="226">
        <v>0.35</v>
      </c>
      <c r="Z42" s="164"/>
      <c r="AA42" s="165"/>
      <c r="AB42" s="50"/>
      <c r="AC42" s="74"/>
      <c r="AD42" s="166"/>
      <c r="AE42" s="50">
        <v>5</v>
      </c>
      <c r="AF42" s="273">
        <v>4.6000000000000001E-4</v>
      </c>
      <c r="AG42" s="50">
        <v>3.3</v>
      </c>
      <c r="AH42" s="50">
        <v>18</v>
      </c>
      <c r="AI42" s="50">
        <f>1/2</f>
        <v>0.5</v>
      </c>
      <c r="AJ42" s="402"/>
      <c r="AK42" s="279"/>
      <c r="AL42" s="279"/>
      <c r="AM42" s="279"/>
      <c r="AN42" s="279"/>
      <c r="AO42" s="279"/>
      <c r="AP42" s="279"/>
      <c r="AQ42" s="279"/>
      <c r="AR42" s="279"/>
      <c r="AS42" s="279"/>
      <c r="AT42" s="279"/>
      <c r="AU42" s="279"/>
    </row>
    <row r="43" spans="1:47" s="34" customFormat="1" ht="14">
      <c r="A43" s="74" t="s">
        <v>138</v>
      </c>
      <c r="B43" s="50" t="s">
        <v>635</v>
      </c>
      <c r="C43" s="50" t="s">
        <v>635</v>
      </c>
      <c r="D43" s="48" t="s">
        <v>636</v>
      </c>
      <c r="E43" s="50" t="s">
        <v>1011</v>
      </c>
      <c r="F43" s="50" t="s">
        <v>1012</v>
      </c>
      <c r="G43" s="76" t="s">
        <v>637</v>
      </c>
      <c r="H43" s="50">
        <v>5093</v>
      </c>
      <c r="I43" s="49" t="s">
        <v>2</v>
      </c>
      <c r="J43" s="50" t="s">
        <v>3149</v>
      </c>
      <c r="K43" s="51">
        <v>41332</v>
      </c>
      <c r="L43" s="115">
        <v>41329</v>
      </c>
      <c r="M43" s="50"/>
      <c r="N43" s="50" t="s">
        <v>1</v>
      </c>
      <c r="O43" s="74"/>
      <c r="P43" s="117"/>
      <c r="Q43" s="117"/>
      <c r="R43" s="117"/>
      <c r="S43" s="117"/>
      <c r="T43" s="117"/>
      <c r="U43" s="117"/>
      <c r="V43" s="117"/>
      <c r="W43" s="117"/>
      <c r="X43" s="117"/>
      <c r="Y43" s="117"/>
      <c r="Z43" s="164"/>
      <c r="AA43" s="165"/>
      <c r="AB43" s="50"/>
      <c r="AC43" s="74"/>
      <c r="AD43" s="166"/>
      <c r="AE43" s="50">
        <v>2.4</v>
      </c>
      <c r="AF43" s="273"/>
      <c r="AG43" s="50">
        <v>1.5</v>
      </c>
      <c r="AH43" s="50"/>
      <c r="AI43" s="50"/>
      <c r="AJ43" s="402"/>
      <c r="AK43" s="279"/>
      <c r="AL43" s="279"/>
      <c r="AM43" s="279"/>
      <c r="AN43" s="279"/>
      <c r="AO43" s="279"/>
      <c r="AP43" s="279"/>
      <c r="AQ43" s="279"/>
      <c r="AR43" s="279"/>
      <c r="AS43" s="279"/>
      <c r="AT43" s="279"/>
      <c r="AU43" s="279"/>
    </row>
    <row r="44" spans="1:47" s="34" customFormat="1" ht="14">
      <c r="A44" s="74" t="s">
        <v>138</v>
      </c>
      <c r="B44" s="50" t="s">
        <v>1692</v>
      </c>
      <c r="C44" s="50" t="s">
        <v>3150</v>
      </c>
      <c r="D44" s="48" t="s">
        <v>276</v>
      </c>
      <c r="E44" s="50" t="s">
        <v>3151</v>
      </c>
      <c r="F44" s="50" t="s">
        <v>2667</v>
      </c>
      <c r="G44" s="76" t="s">
        <v>3152</v>
      </c>
      <c r="H44" s="50">
        <v>5093</v>
      </c>
      <c r="I44" s="49" t="s">
        <v>2</v>
      </c>
      <c r="J44" s="50" t="s">
        <v>194</v>
      </c>
      <c r="K44" s="51">
        <v>41264</v>
      </c>
      <c r="L44" s="115">
        <v>41261</v>
      </c>
      <c r="M44" s="50"/>
      <c r="N44" s="50" t="s">
        <v>2</v>
      </c>
      <c r="O44" s="74"/>
      <c r="P44" s="117"/>
      <c r="Q44" s="131"/>
      <c r="R44" s="50"/>
      <c r="S44" s="74"/>
      <c r="T44" s="50"/>
      <c r="U44" s="74"/>
      <c r="V44" s="50"/>
      <c r="W44" s="227"/>
      <c r="X44" s="226"/>
      <c r="Y44" s="226"/>
      <c r="Z44" s="164"/>
      <c r="AA44" s="165"/>
      <c r="AB44" s="50"/>
      <c r="AC44" s="74"/>
      <c r="AD44" s="166"/>
      <c r="AE44" s="50">
        <v>11</v>
      </c>
      <c r="AF44" s="273">
        <f>0.0004/2</f>
        <v>2.0000000000000001E-4</v>
      </c>
      <c r="AG44" s="50">
        <v>7.59</v>
      </c>
      <c r="AH44" s="50"/>
      <c r="AI44" s="50"/>
      <c r="AJ44" s="402"/>
      <c r="AK44" s="279"/>
      <c r="AL44" s="279"/>
      <c r="AM44" s="279"/>
      <c r="AN44" s="279"/>
      <c r="AO44" s="279"/>
      <c r="AP44" s="279"/>
      <c r="AQ44" s="279"/>
      <c r="AR44" s="279"/>
      <c r="AS44" s="279"/>
      <c r="AT44" s="279"/>
      <c r="AU44" s="279"/>
    </row>
    <row r="45" spans="1:47" s="34" customFormat="1" ht="14">
      <c r="A45" s="74" t="s">
        <v>138</v>
      </c>
      <c r="B45" s="50" t="s">
        <v>1692</v>
      </c>
      <c r="C45" s="50" t="s">
        <v>3150</v>
      </c>
      <c r="D45" s="48" t="s">
        <v>276</v>
      </c>
      <c r="E45" s="50" t="s">
        <v>3151</v>
      </c>
      <c r="F45" s="50" t="s">
        <v>2667</v>
      </c>
      <c r="G45" s="76" t="s">
        <v>3152</v>
      </c>
      <c r="H45" s="50">
        <v>5093</v>
      </c>
      <c r="I45" s="49" t="s">
        <v>2</v>
      </c>
      <c r="J45" s="50" t="s">
        <v>569</v>
      </c>
      <c r="K45" s="51">
        <v>41264</v>
      </c>
      <c r="L45" s="115">
        <v>41261</v>
      </c>
      <c r="M45" s="50"/>
      <c r="N45" s="50" t="s">
        <v>2</v>
      </c>
      <c r="O45" s="74"/>
      <c r="P45" s="117"/>
      <c r="Q45" s="131"/>
      <c r="R45" s="50"/>
      <c r="S45" s="74"/>
      <c r="T45" s="50"/>
      <c r="U45" s="74"/>
      <c r="V45" s="50"/>
      <c r="W45" s="227"/>
      <c r="X45" s="226"/>
      <c r="Y45" s="226"/>
      <c r="Z45" s="164"/>
      <c r="AA45" s="165"/>
      <c r="AB45" s="50"/>
      <c r="AC45" s="74"/>
      <c r="AD45" s="166"/>
      <c r="AE45" s="50">
        <v>3.98</v>
      </c>
      <c r="AF45" s="273">
        <v>4.0000000000000002E-4</v>
      </c>
      <c r="AG45" s="50">
        <v>2.82</v>
      </c>
      <c r="AH45" s="50"/>
      <c r="AI45" s="50"/>
      <c r="AJ45" s="402"/>
      <c r="AK45" s="279"/>
      <c r="AL45" s="279"/>
      <c r="AM45" s="279"/>
      <c r="AN45" s="279"/>
      <c r="AO45" s="279"/>
      <c r="AP45" s="279"/>
      <c r="AQ45" s="279"/>
      <c r="AR45" s="279"/>
      <c r="AS45" s="279"/>
      <c r="AT45" s="279"/>
      <c r="AU45" s="279"/>
    </row>
    <row r="46" spans="1:47" s="34" customFormat="1" ht="14">
      <c r="A46" s="74" t="s">
        <v>138</v>
      </c>
      <c r="B46" s="50" t="s">
        <v>1692</v>
      </c>
      <c r="C46" s="50" t="s">
        <v>392</v>
      </c>
      <c r="D46" s="48" t="s">
        <v>276</v>
      </c>
      <c r="E46" s="50" t="s">
        <v>3151</v>
      </c>
      <c r="F46" s="50" t="s">
        <v>2667</v>
      </c>
      <c r="G46" s="76" t="s">
        <v>3152</v>
      </c>
      <c r="H46" s="50">
        <v>5093</v>
      </c>
      <c r="I46" s="49" t="s">
        <v>2</v>
      </c>
      <c r="J46" s="50" t="s">
        <v>194</v>
      </c>
      <c r="K46" s="51">
        <v>41201</v>
      </c>
      <c r="L46" s="115">
        <v>41197</v>
      </c>
      <c r="M46" s="50"/>
      <c r="N46" s="50" t="s">
        <v>2</v>
      </c>
      <c r="O46" s="74">
        <f>2/2</f>
        <v>1</v>
      </c>
      <c r="P46" s="117">
        <v>6.7</v>
      </c>
      <c r="Q46" s="131">
        <v>6.5</v>
      </c>
      <c r="R46" s="50">
        <f>10/2</f>
        <v>5</v>
      </c>
      <c r="S46" s="74">
        <v>13</v>
      </c>
      <c r="T46" s="50">
        <f>0.05/2</f>
        <v>2.5000000000000001E-2</v>
      </c>
      <c r="U46" s="74">
        <v>0.33</v>
      </c>
      <c r="V46" s="50">
        <f>0.1/2</f>
        <v>0.05</v>
      </c>
      <c r="W46" s="227">
        <f>0.01/2</f>
        <v>5.0000000000000001E-3</v>
      </c>
      <c r="X46" s="226">
        <f>0.03/2</f>
        <v>1.4999999999999999E-2</v>
      </c>
      <c r="Y46" s="226">
        <f>0.03/2</f>
        <v>1.4999999999999999E-2</v>
      </c>
      <c r="Z46" s="164">
        <v>1</v>
      </c>
      <c r="AA46" s="165">
        <v>1</v>
      </c>
      <c r="AB46" s="50">
        <f>2/2</f>
        <v>1</v>
      </c>
      <c r="AC46" s="74">
        <v>16</v>
      </c>
      <c r="AD46" s="166">
        <v>1</v>
      </c>
      <c r="AE46" s="50">
        <v>0.31</v>
      </c>
      <c r="AF46" s="273">
        <f>0.0004/2</f>
        <v>2.0000000000000001E-4</v>
      </c>
      <c r="AG46" s="50">
        <v>0.26</v>
      </c>
      <c r="AH46" s="50">
        <f>500/2</f>
        <v>250</v>
      </c>
      <c r="AI46" s="50">
        <f>10/2</f>
        <v>5</v>
      </c>
      <c r="AJ46" s="402"/>
      <c r="AK46" s="279"/>
      <c r="AL46" s="279"/>
      <c r="AM46" s="279"/>
      <c r="AN46" s="279"/>
      <c r="AO46" s="279"/>
      <c r="AP46" s="279"/>
      <c r="AQ46" s="279"/>
      <c r="AR46" s="279"/>
      <c r="AS46" s="279"/>
      <c r="AT46" s="279"/>
      <c r="AU46" s="279"/>
    </row>
    <row r="47" spans="1:47" s="34" customFormat="1" ht="14">
      <c r="A47" s="74" t="s">
        <v>138</v>
      </c>
      <c r="B47" s="50" t="s">
        <v>1692</v>
      </c>
      <c r="C47" s="50" t="s">
        <v>392</v>
      </c>
      <c r="D47" s="48" t="s">
        <v>276</v>
      </c>
      <c r="E47" s="50" t="s">
        <v>3151</v>
      </c>
      <c r="F47" s="50" t="s">
        <v>2667</v>
      </c>
      <c r="G47" s="76" t="s">
        <v>3152</v>
      </c>
      <c r="H47" s="50">
        <v>5093</v>
      </c>
      <c r="I47" s="49" t="s">
        <v>2</v>
      </c>
      <c r="J47" s="50" t="s">
        <v>569</v>
      </c>
      <c r="K47" s="51">
        <v>41201</v>
      </c>
      <c r="L47" s="115">
        <v>41197</v>
      </c>
      <c r="M47" s="50"/>
      <c r="N47" s="50" t="s">
        <v>2</v>
      </c>
      <c r="O47" s="74">
        <f>2/2</f>
        <v>1</v>
      </c>
      <c r="P47" s="117">
        <v>6.7</v>
      </c>
      <c r="Q47" s="131">
        <v>6.5</v>
      </c>
      <c r="R47" s="50">
        <f>10/2</f>
        <v>5</v>
      </c>
      <c r="S47" s="74">
        <v>11</v>
      </c>
      <c r="T47" s="50">
        <f>0.05/2</f>
        <v>2.5000000000000001E-2</v>
      </c>
      <c r="U47" s="74">
        <v>0.31</v>
      </c>
      <c r="V47" s="50">
        <f>0.1/2</f>
        <v>0.05</v>
      </c>
      <c r="W47" s="227">
        <f>0.01/2</f>
        <v>5.0000000000000001E-3</v>
      </c>
      <c r="X47" s="226">
        <f>0.03/2</f>
        <v>1.4999999999999999E-2</v>
      </c>
      <c r="Y47" s="226">
        <f>0.03/2</f>
        <v>1.4999999999999999E-2</v>
      </c>
      <c r="Z47" s="164">
        <v>1</v>
      </c>
      <c r="AA47" s="165">
        <v>1</v>
      </c>
      <c r="AB47" s="50">
        <f>2/2</f>
        <v>1</v>
      </c>
      <c r="AC47" s="74">
        <v>18</v>
      </c>
      <c r="AD47" s="166">
        <v>1</v>
      </c>
      <c r="AE47" s="50">
        <v>0.43</v>
      </c>
      <c r="AF47" s="273">
        <f>0.0004/2</f>
        <v>2.0000000000000001E-4</v>
      </c>
      <c r="AG47" s="50">
        <v>0.32</v>
      </c>
      <c r="AH47" s="50">
        <f>500/2</f>
        <v>250</v>
      </c>
      <c r="AI47" s="50">
        <f>10/2</f>
        <v>5</v>
      </c>
      <c r="AJ47" s="402"/>
      <c r="AK47" s="279"/>
      <c r="AL47" s="279"/>
      <c r="AM47" s="279"/>
      <c r="AN47" s="279"/>
      <c r="AO47" s="279"/>
      <c r="AP47" s="279"/>
      <c r="AQ47" s="279"/>
      <c r="AR47" s="279"/>
      <c r="AS47" s="279"/>
      <c r="AT47" s="279"/>
      <c r="AU47" s="279"/>
    </row>
    <row r="48" spans="1:47" s="34" customFormat="1" ht="14">
      <c r="A48" s="74" t="s">
        <v>138</v>
      </c>
      <c r="B48" s="50" t="s">
        <v>1692</v>
      </c>
      <c r="C48" s="50" t="s">
        <v>392</v>
      </c>
      <c r="D48" s="48" t="s">
        <v>276</v>
      </c>
      <c r="E48" s="50" t="s">
        <v>3151</v>
      </c>
      <c r="F48" s="50" t="s">
        <v>2667</v>
      </c>
      <c r="G48" s="76" t="s">
        <v>3152</v>
      </c>
      <c r="H48" s="50">
        <v>5093</v>
      </c>
      <c r="I48" s="49" t="s">
        <v>2</v>
      </c>
      <c r="J48" s="50" t="s">
        <v>194</v>
      </c>
      <c r="K48" s="51">
        <v>41131</v>
      </c>
      <c r="L48" s="115">
        <v>41122</v>
      </c>
      <c r="M48" s="50"/>
      <c r="N48" s="50" t="s">
        <v>2</v>
      </c>
      <c r="O48" s="74">
        <v>87</v>
      </c>
      <c r="P48" s="117"/>
      <c r="Q48" s="131">
        <v>6.5</v>
      </c>
      <c r="R48" s="50">
        <v>105</v>
      </c>
      <c r="S48" s="74">
        <v>980</v>
      </c>
      <c r="T48" s="50">
        <v>0.32</v>
      </c>
      <c r="U48" s="74">
        <v>2.76</v>
      </c>
      <c r="V48" s="50">
        <v>0.4</v>
      </c>
      <c r="W48" s="227">
        <v>0.04</v>
      </c>
      <c r="X48" s="226">
        <v>0.13900000000000001</v>
      </c>
      <c r="Y48" s="226">
        <f>0.03/2</f>
        <v>1.4999999999999999E-2</v>
      </c>
      <c r="Z48" s="164"/>
      <c r="AA48" s="165"/>
      <c r="AB48" s="50"/>
      <c r="AC48" s="74"/>
      <c r="AD48" s="166"/>
      <c r="AE48" s="50">
        <v>8.65</v>
      </c>
      <c r="AF48" s="273">
        <f>0.0004/2</f>
        <v>2.0000000000000001E-4</v>
      </c>
      <c r="AG48" s="50">
        <v>5.68</v>
      </c>
      <c r="AH48" s="50">
        <f>500/2</f>
        <v>250</v>
      </c>
      <c r="AI48" s="50">
        <f>10/2</f>
        <v>5</v>
      </c>
      <c r="AJ48" s="402"/>
      <c r="AK48" s="279"/>
      <c r="AL48" s="279"/>
      <c r="AM48" s="279"/>
      <c r="AN48" s="279"/>
      <c r="AO48" s="279"/>
      <c r="AP48" s="279"/>
      <c r="AQ48" s="279"/>
      <c r="AR48" s="279"/>
      <c r="AS48" s="279"/>
      <c r="AT48" s="279"/>
      <c r="AU48" s="279"/>
    </row>
    <row r="49" spans="1:47" s="371" customFormat="1" ht="14">
      <c r="A49" s="49" t="s">
        <v>138</v>
      </c>
      <c r="B49" s="50" t="s">
        <v>1692</v>
      </c>
      <c r="C49" s="50" t="s">
        <v>392</v>
      </c>
      <c r="D49" s="48" t="s">
        <v>276</v>
      </c>
      <c r="E49" s="50" t="s">
        <v>3151</v>
      </c>
      <c r="F49" s="50" t="s">
        <v>2667</v>
      </c>
      <c r="G49" s="76" t="s">
        <v>3152</v>
      </c>
      <c r="H49" s="50">
        <v>5093</v>
      </c>
      <c r="I49" s="49" t="s">
        <v>2</v>
      </c>
      <c r="J49" s="50" t="s">
        <v>569</v>
      </c>
      <c r="K49" s="51">
        <v>41131</v>
      </c>
      <c r="L49" s="115">
        <v>41122</v>
      </c>
      <c r="M49" s="50"/>
      <c r="N49" s="50" t="s">
        <v>2</v>
      </c>
      <c r="O49" s="49">
        <v>29</v>
      </c>
      <c r="P49" s="117"/>
      <c r="Q49" s="152">
        <v>6.4</v>
      </c>
      <c r="R49" s="50">
        <v>84</v>
      </c>
      <c r="S49" s="49">
        <v>106</v>
      </c>
      <c r="T49" s="50">
        <v>0.26</v>
      </c>
      <c r="U49" s="49">
        <v>2.12</v>
      </c>
      <c r="V49" s="50">
        <v>0.34</v>
      </c>
      <c r="W49" s="280">
        <v>1.9E-2</v>
      </c>
      <c r="X49" s="226">
        <v>6.0999999999999999E-2</v>
      </c>
      <c r="Y49" s="226">
        <f>0.03/2</f>
        <v>1.4999999999999999E-2</v>
      </c>
      <c r="Z49" s="164"/>
      <c r="AA49" s="269"/>
      <c r="AB49" s="50"/>
      <c r="AC49" s="49"/>
      <c r="AD49" s="166"/>
      <c r="AE49" s="50">
        <v>3.69</v>
      </c>
      <c r="AF49" s="273">
        <f>0.0004/2</f>
        <v>2.0000000000000001E-4</v>
      </c>
      <c r="AG49" s="50">
        <v>2.2599999999999998</v>
      </c>
      <c r="AH49" s="50">
        <f>500/2</f>
        <v>250</v>
      </c>
      <c r="AI49" s="50">
        <f>10/2</f>
        <v>5</v>
      </c>
      <c r="AJ49" s="402"/>
      <c r="AK49" s="370"/>
      <c r="AL49" s="370"/>
      <c r="AM49" s="370"/>
      <c r="AN49" s="370"/>
      <c r="AO49" s="370"/>
      <c r="AP49" s="370"/>
      <c r="AQ49" s="370"/>
      <c r="AR49" s="370"/>
      <c r="AS49" s="370"/>
      <c r="AT49" s="370"/>
      <c r="AU49" s="370"/>
    </row>
    <row r="50" spans="1:47" ht="14">
      <c r="A50" s="426" t="s">
        <v>138</v>
      </c>
      <c r="B50" s="50" t="s">
        <v>3339</v>
      </c>
      <c r="C50" s="50" t="s">
        <v>3569</v>
      </c>
      <c r="D50" s="48" t="s">
        <v>516</v>
      </c>
      <c r="F50" s="50" t="s">
        <v>3570</v>
      </c>
      <c r="G50" s="76" t="s">
        <v>3571</v>
      </c>
      <c r="H50" s="50">
        <v>4953</v>
      </c>
      <c r="I50" s="49" t="s">
        <v>2</v>
      </c>
      <c r="J50" s="50" t="s">
        <v>510</v>
      </c>
      <c r="K50" s="51">
        <v>40920</v>
      </c>
      <c r="L50" s="115">
        <v>40909</v>
      </c>
      <c r="Y50" s="74"/>
      <c r="AE50" s="50">
        <v>11</v>
      </c>
      <c r="AF50" s="273">
        <f>0.0002/2</f>
        <v>1E-4</v>
      </c>
      <c r="AG50" s="50">
        <v>6.97</v>
      </c>
    </row>
    <row r="51" spans="1:47" ht="14">
      <c r="A51" s="426" t="s">
        <v>138</v>
      </c>
      <c r="B51" s="50" t="s">
        <v>3339</v>
      </c>
      <c r="C51" s="50" t="s">
        <v>3569</v>
      </c>
      <c r="D51" s="48" t="s">
        <v>516</v>
      </c>
      <c r="F51" s="50" t="s">
        <v>3570</v>
      </c>
      <c r="G51" s="76" t="s">
        <v>3571</v>
      </c>
      <c r="H51" s="50">
        <v>4953</v>
      </c>
      <c r="I51" s="49" t="s">
        <v>2</v>
      </c>
      <c r="J51" s="50" t="s">
        <v>510</v>
      </c>
      <c r="K51" s="51">
        <v>41021</v>
      </c>
      <c r="L51" s="115">
        <v>41000</v>
      </c>
      <c r="N51" s="50" t="s">
        <v>2</v>
      </c>
      <c r="O51" s="74">
        <v>11</v>
      </c>
      <c r="P51" s="50">
        <v>6.5</v>
      </c>
      <c r="Q51" s="74">
        <v>5.39</v>
      </c>
      <c r="R51" s="50">
        <v>150</v>
      </c>
      <c r="S51" s="74">
        <v>79</v>
      </c>
      <c r="T51" s="50">
        <v>0.51</v>
      </c>
      <c r="U51" s="74">
        <v>6.38</v>
      </c>
      <c r="V51" s="50">
        <f>0.01/2</f>
        <v>5.0000000000000001E-3</v>
      </c>
      <c r="W51" s="74">
        <v>3.1E-2</v>
      </c>
      <c r="X51" s="50">
        <v>0.373</v>
      </c>
      <c r="Y51" s="74">
        <v>2.1999999999999999E-2</v>
      </c>
      <c r="AE51" s="50">
        <v>0.91700000000000004</v>
      </c>
      <c r="AF51" s="50">
        <f>0.0002/2</f>
        <v>1E-4</v>
      </c>
      <c r="AG51" s="49">
        <v>0.33300000000000002</v>
      </c>
    </row>
    <row r="52" spans="1:47" ht="14">
      <c r="A52" s="426" t="s">
        <v>138</v>
      </c>
      <c r="B52" s="50" t="s">
        <v>3339</v>
      </c>
      <c r="C52" s="50" t="s">
        <v>3569</v>
      </c>
      <c r="D52" s="48" t="s">
        <v>516</v>
      </c>
      <c r="F52" s="50" t="s">
        <v>3570</v>
      </c>
      <c r="G52" s="76" t="s">
        <v>3571</v>
      </c>
      <c r="H52" s="50">
        <v>4953</v>
      </c>
      <c r="I52" s="49" t="s">
        <v>2</v>
      </c>
      <c r="J52" s="50" t="s">
        <v>460</v>
      </c>
      <c r="K52" s="51">
        <v>41021</v>
      </c>
      <c r="L52" s="115">
        <v>41000</v>
      </c>
      <c r="N52" s="50" t="s">
        <v>2</v>
      </c>
      <c r="O52" s="74">
        <v>2.2999999999999998</v>
      </c>
      <c r="P52" s="50">
        <v>6.5</v>
      </c>
      <c r="Q52" s="74">
        <v>6.68</v>
      </c>
      <c r="R52" s="50">
        <v>150</v>
      </c>
      <c r="S52" s="74">
        <v>18</v>
      </c>
      <c r="T52" s="50">
        <v>0.16</v>
      </c>
      <c r="U52" s="74">
        <v>1.61</v>
      </c>
      <c r="V52" s="50">
        <v>7.0000000000000007E-2</v>
      </c>
      <c r="W52" s="74">
        <v>0.02</v>
      </c>
      <c r="X52" s="50">
        <v>0.14199999999999999</v>
      </c>
      <c r="Y52" s="74">
        <v>1.6E-2</v>
      </c>
      <c r="AE52" s="50">
        <v>0.63800000000000001</v>
      </c>
      <c r="AF52" s="50">
        <f>0.0002/2</f>
        <v>1E-4</v>
      </c>
      <c r="AG52" s="75">
        <v>0.26</v>
      </c>
    </row>
    <row r="53" spans="1:47" ht="14">
      <c r="A53" s="74" t="s">
        <v>138</v>
      </c>
      <c r="B53" s="50" t="s">
        <v>3797</v>
      </c>
      <c r="D53" s="48" t="s">
        <v>1505</v>
      </c>
      <c r="E53" s="50" t="s">
        <v>1509</v>
      </c>
      <c r="G53" s="76" t="s">
        <v>1507</v>
      </c>
      <c r="H53" s="50">
        <v>4953</v>
      </c>
      <c r="I53" s="49" t="s">
        <v>2</v>
      </c>
      <c r="J53" s="50" t="s">
        <v>569</v>
      </c>
      <c r="K53" s="51">
        <v>41030</v>
      </c>
      <c r="L53" s="115">
        <v>41022</v>
      </c>
      <c r="N53" s="50" t="s">
        <v>2</v>
      </c>
      <c r="O53" s="49">
        <v>1</v>
      </c>
      <c r="P53" s="117"/>
      <c r="Q53" s="152">
        <v>5.8</v>
      </c>
      <c r="R53" s="50">
        <v>115</v>
      </c>
      <c r="S53" s="49">
        <v>28</v>
      </c>
      <c r="T53" s="50">
        <v>0.24</v>
      </c>
      <c r="U53" s="49">
        <v>3.81</v>
      </c>
      <c r="V53" s="50">
        <v>1.44</v>
      </c>
      <c r="W53" s="280">
        <v>0.03</v>
      </c>
      <c r="X53" s="226">
        <v>0.19</v>
      </c>
      <c r="Y53" s="226">
        <v>1.4999999999999999E-2</v>
      </c>
      <c r="Z53" s="164">
        <v>1</v>
      </c>
      <c r="AA53" s="269">
        <v>0.95499999999999996</v>
      </c>
      <c r="AB53" s="50">
        <v>20</v>
      </c>
      <c r="AC53" s="49">
        <v>96</v>
      </c>
      <c r="AD53" s="164">
        <v>0.45</v>
      </c>
      <c r="AE53" s="50">
        <v>1.35</v>
      </c>
      <c r="AF53" s="273">
        <v>4.0000000000000002E-4</v>
      </c>
      <c r="AG53" s="50">
        <v>1.64</v>
      </c>
      <c r="AH53" s="50">
        <v>250</v>
      </c>
      <c r="AI53" s="50">
        <v>5</v>
      </c>
    </row>
    <row r="54" spans="1:47" ht="14">
      <c r="A54" s="74" t="s">
        <v>138</v>
      </c>
      <c r="B54" s="50" t="s">
        <v>3797</v>
      </c>
      <c r="D54" s="48" t="s">
        <v>1505</v>
      </c>
      <c r="E54" s="50" t="s">
        <v>1506</v>
      </c>
      <c r="G54" s="76" t="s">
        <v>1507</v>
      </c>
      <c r="H54" s="50">
        <v>4953</v>
      </c>
      <c r="I54" s="49" t="s">
        <v>2</v>
      </c>
      <c r="J54" s="50" t="s">
        <v>194</v>
      </c>
      <c r="K54" s="51">
        <v>41030</v>
      </c>
      <c r="L54" s="115">
        <v>41022</v>
      </c>
      <c r="N54" s="50" t="s">
        <v>2</v>
      </c>
      <c r="O54" s="74">
        <v>1</v>
      </c>
      <c r="P54" s="117"/>
      <c r="Q54" s="131">
        <v>5.0999999999999996</v>
      </c>
      <c r="R54" s="50">
        <v>67</v>
      </c>
      <c r="S54" s="50">
        <v>13</v>
      </c>
      <c r="T54" s="50">
        <v>0.11</v>
      </c>
      <c r="U54" s="74">
        <v>3.45</v>
      </c>
      <c r="V54" s="50">
        <v>1.48</v>
      </c>
      <c r="W54" s="227">
        <v>1.2999999999999999E-2</v>
      </c>
      <c r="X54" s="226">
        <v>6.2E-2</v>
      </c>
      <c r="Y54" s="226">
        <v>1.4999999999999999E-2</v>
      </c>
      <c r="Z54" s="164">
        <v>1</v>
      </c>
      <c r="AA54" s="165">
        <v>0.70699999999999996</v>
      </c>
      <c r="AB54" s="50">
        <v>10</v>
      </c>
      <c r="AC54" s="74">
        <v>71</v>
      </c>
      <c r="AD54" s="164">
        <v>0</v>
      </c>
      <c r="AE54" s="50">
        <v>0.33</v>
      </c>
      <c r="AF54" s="273">
        <v>2.0000000000000001E-4</v>
      </c>
      <c r="AG54" s="50">
        <v>0.96</v>
      </c>
      <c r="AH54" s="50">
        <v>250</v>
      </c>
      <c r="AI54" s="50">
        <v>5</v>
      </c>
    </row>
    <row r="55" spans="1:47" ht="14">
      <c r="A55" s="74" t="s">
        <v>138</v>
      </c>
      <c r="B55" s="50" t="s">
        <v>3798</v>
      </c>
      <c r="C55" s="50" t="s">
        <v>3798</v>
      </c>
      <c r="D55" s="48" t="s">
        <v>1759</v>
      </c>
      <c r="E55" s="50" t="s">
        <v>3799</v>
      </c>
      <c r="G55" s="76" t="s">
        <v>3800</v>
      </c>
      <c r="H55" s="50">
        <v>5093</v>
      </c>
      <c r="I55" s="49" t="s">
        <v>2</v>
      </c>
      <c r="J55" s="50" t="s">
        <v>194</v>
      </c>
      <c r="K55" s="51">
        <v>40996</v>
      </c>
      <c r="L55" s="115">
        <v>40993</v>
      </c>
      <c r="N55" s="50" t="s">
        <v>2</v>
      </c>
      <c r="O55" s="74">
        <v>0.7</v>
      </c>
      <c r="P55" s="117">
        <v>4.5999999999999996</v>
      </c>
      <c r="Q55" s="131">
        <v>6.59</v>
      </c>
      <c r="R55" s="50">
        <v>31</v>
      </c>
      <c r="S55" s="74">
        <v>88</v>
      </c>
      <c r="T55" s="50">
        <v>7.0000000000000007E-2</v>
      </c>
      <c r="U55" s="74">
        <v>1.1299999999999999</v>
      </c>
      <c r="V55" s="50">
        <v>0.43</v>
      </c>
      <c r="W55" s="227">
        <v>8.9999999999999993E-3</v>
      </c>
      <c r="X55" s="226">
        <v>4.9000000000000002E-2</v>
      </c>
      <c r="Y55" s="226">
        <v>1E-3</v>
      </c>
      <c r="Z55" s="164">
        <v>1</v>
      </c>
      <c r="AA55" s="165">
        <v>1</v>
      </c>
      <c r="AB55" s="50">
        <v>12</v>
      </c>
      <c r="AC55" s="74">
        <v>29</v>
      </c>
      <c r="AD55" s="164">
        <v>1</v>
      </c>
      <c r="AE55" s="50">
        <v>0.17199999999999999</v>
      </c>
      <c r="AF55" s="273">
        <v>1E-4</v>
      </c>
      <c r="AG55" s="50">
        <v>0.23400000000000001</v>
      </c>
      <c r="AH55" s="50" t="s">
        <v>955</v>
      </c>
      <c r="AI55" s="50" t="s">
        <v>955</v>
      </c>
    </row>
    <row r="56" spans="1:47" ht="14">
      <c r="A56" s="74" t="s">
        <v>138</v>
      </c>
      <c r="B56" s="50" t="s">
        <v>3798</v>
      </c>
      <c r="C56" s="50" t="s">
        <v>3798</v>
      </c>
      <c r="D56" s="48" t="s">
        <v>1759</v>
      </c>
      <c r="E56" s="50" t="s">
        <v>3799</v>
      </c>
      <c r="G56" s="76" t="s">
        <v>3800</v>
      </c>
      <c r="H56" s="50">
        <v>5093</v>
      </c>
      <c r="J56" s="50" t="s">
        <v>194</v>
      </c>
      <c r="K56" s="51">
        <v>41030</v>
      </c>
      <c r="L56" s="115">
        <v>41025</v>
      </c>
      <c r="N56" s="50" t="s">
        <v>2</v>
      </c>
      <c r="P56" s="117"/>
      <c r="Q56" s="131"/>
      <c r="W56" s="227"/>
      <c r="X56" s="226"/>
      <c r="Y56" s="226"/>
      <c r="AE56" s="50">
        <v>0.17799999999999999</v>
      </c>
      <c r="AF56" s="273">
        <v>1E-4</v>
      </c>
      <c r="AG56" s="50">
        <v>0.28699999999999998</v>
      </c>
    </row>
    <row r="57" spans="1:47" ht="14">
      <c r="A57" s="74" t="s">
        <v>138</v>
      </c>
      <c r="B57" s="50" t="s">
        <v>3798</v>
      </c>
      <c r="C57" s="50" t="s">
        <v>3798</v>
      </c>
      <c r="D57" s="48" t="s">
        <v>1759</v>
      </c>
      <c r="E57" s="50" t="s">
        <v>3799</v>
      </c>
      <c r="G57" s="76" t="s">
        <v>3800</v>
      </c>
      <c r="H57" s="50">
        <v>5093</v>
      </c>
      <c r="J57" s="50" t="s">
        <v>194</v>
      </c>
      <c r="K57" s="51">
        <v>41180</v>
      </c>
      <c r="L57" s="115">
        <v>41179</v>
      </c>
      <c r="N57" s="50" t="s">
        <v>2</v>
      </c>
      <c r="P57" s="117"/>
      <c r="Q57" s="131"/>
      <c r="W57" s="227"/>
      <c r="X57" s="226"/>
      <c r="Y57" s="226"/>
      <c r="AE57" s="50">
        <v>0.91200000000000003</v>
      </c>
      <c r="AF57" s="273">
        <v>1E-4</v>
      </c>
      <c r="AG57" s="50">
        <v>0.317</v>
      </c>
    </row>
    <row r="58" spans="1:47" ht="14">
      <c r="A58" s="74" t="s">
        <v>138</v>
      </c>
      <c r="B58" s="50" t="s">
        <v>3798</v>
      </c>
      <c r="C58" s="50" t="s">
        <v>3798</v>
      </c>
      <c r="D58" s="48" t="s">
        <v>1759</v>
      </c>
      <c r="E58" s="50" t="s">
        <v>3799</v>
      </c>
      <c r="G58" s="76" t="s">
        <v>3800</v>
      </c>
      <c r="H58" s="50">
        <v>5093</v>
      </c>
      <c r="I58" s="49" t="s">
        <v>2</v>
      </c>
      <c r="J58" s="50" t="s">
        <v>194</v>
      </c>
      <c r="K58" s="51">
        <v>41201</v>
      </c>
      <c r="L58" s="115">
        <v>41198</v>
      </c>
      <c r="N58" s="50" t="s">
        <v>2</v>
      </c>
      <c r="O58" s="74">
        <v>0.7</v>
      </c>
      <c r="P58" s="117">
        <v>6.92</v>
      </c>
      <c r="Q58" s="131">
        <v>6.48</v>
      </c>
      <c r="R58" s="50">
        <v>5</v>
      </c>
      <c r="S58" s="74">
        <v>2.5</v>
      </c>
      <c r="T58" s="50">
        <v>0.02</v>
      </c>
      <c r="U58" s="74">
        <v>0.39</v>
      </c>
      <c r="V58" s="50">
        <v>0.27</v>
      </c>
      <c r="W58" s="227">
        <v>2.5000000000000001E-3</v>
      </c>
      <c r="X58" s="226">
        <v>3.4000000000000002E-2</v>
      </c>
      <c r="Y58" s="226">
        <v>1E-3</v>
      </c>
      <c r="Z58" s="164">
        <v>1</v>
      </c>
      <c r="AA58" s="165">
        <v>1</v>
      </c>
      <c r="AB58" s="50">
        <v>8</v>
      </c>
      <c r="AC58" s="74">
        <v>33</v>
      </c>
      <c r="AD58" s="164">
        <v>1</v>
      </c>
      <c r="AE58" s="50">
        <v>0.107</v>
      </c>
      <c r="AF58" s="273">
        <v>1E-4</v>
      </c>
      <c r="AG58" s="50">
        <v>8.6999999999999994E-2</v>
      </c>
      <c r="AH58" s="50">
        <v>2.5</v>
      </c>
      <c r="AI58" s="50">
        <v>0.25</v>
      </c>
    </row>
    <row r="59" spans="1:47" ht="14">
      <c r="A59" s="74" t="s">
        <v>138</v>
      </c>
      <c r="B59" s="50" t="s">
        <v>3798</v>
      </c>
      <c r="C59" s="50" t="s">
        <v>3798</v>
      </c>
      <c r="D59" s="48" t="s">
        <v>1759</v>
      </c>
      <c r="E59" s="50" t="s">
        <v>3799</v>
      </c>
      <c r="G59" s="76" t="s">
        <v>3800</v>
      </c>
      <c r="H59" s="50">
        <v>5093</v>
      </c>
      <c r="I59" s="49" t="s">
        <v>2</v>
      </c>
      <c r="J59" s="50" t="s">
        <v>194</v>
      </c>
      <c r="K59" s="51">
        <v>41339</v>
      </c>
      <c r="L59" s="115">
        <v>41333</v>
      </c>
      <c r="N59" s="50" t="s">
        <v>2</v>
      </c>
      <c r="P59" s="117"/>
      <c r="Q59" s="131"/>
      <c r="W59" s="227"/>
      <c r="X59" s="226"/>
      <c r="Y59" s="226"/>
      <c r="AE59" s="50">
        <v>1.72</v>
      </c>
      <c r="AF59" s="273">
        <v>1E-4</v>
      </c>
      <c r="AG59" s="50">
        <v>0.495</v>
      </c>
    </row>
    <row r="60" spans="1:47" ht="14">
      <c r="A60" s="74" t="s">
        <v>138</v>
      </c>
      <c r="B60" s="50" t="s">
        <v>3801</v>
      </c>
      <c r="C60" s="50" t="s">
        <v>3801</v>
      </c>
      <c r="D60" s="48" t="s">
        <v>372</v>
      </c>
      <c r="E60" s="50" t="s">
        <v>1670</v>
      </c>
      <c r="G60" s="76" t="s">
        <v>3802</v>
      </c>
      <c r="H60" s="50">
        <v>5093</v>
      </c>
      <c r="I60" s="49" t="s">
        <v>2</v>
      </c>
      <c r="J60" s="50" t="s">
        <v>3803</v>
      </c>
      <c r="K60" s="51">
        <v>40934</v>
      </c>
      <c r="L60" s="115">
        <v>40931</v>
      </c>
      <c r="N60" s="50" t="s">
        <v>2</v>
      </c>
      <c r="O60" s="74">
        <v>11.5</v>
      </c>
      <c r="P60" s="117">
        <v>6.04</v>
      </c>
      <c r="Q60" s="131">
        <v>7.21</v>
      </c>
      <c r="R60" s="50">
        <v>182</v>
      </c>
      <c r="S60" s="74">
        <v>144</v>
      </c>
      <c r="T60" s="50">
        <v>0.65</v>
      </c>
      <c r="U60" s="74">
        <v>0.39</v>
      </c>
      <c r="V60" s="50">
        <v>1.0900000000000001</v>
      </c>
      <c r="W60" s="227">
        <v>0.49</v>
      </c>
      <c r="X60" s="226">
        <v>0.9</v>
      </c>
      <c r="Y60" s="226">
        <v>0.38800000000000001</v>
      </c>
      <c r="AE60" s="50">
        <v>11.6</v>
      </c>
      <c r="AF60" s="273">
        <v>1.1999999999999999E-3</v>
      </c>
      <c r="AG60" s="50">
        <v>3.2</v>
      </c>
      <c r="AH60" s="50" t="s">
        <v>955</v>
      </c>
      <c r="AI60" s="50">
        <v>3.1</v>
      </c>
    </row>
    <row r="61" spans="1:47" ht="14">
      <c r="A61" s="74" t="s">
        <v>138</v>
      </c>
      <c r="B61" s="50" t="s">
        <v>3801</v>
      </c>
      <c r="C61" s="50" t="s">
        <v>3801</v>
      </c>
      <c r="D61" s="48" t="s">
        <v>372</v>
      </c>
      <c r="E61" s="50" t="s">
        <v>1670</v>
      </c>
      <c r="G61" s="76" t="s">
        <v>3802</v>
      </c>
      <c r="H61" s="50">
        <v>5093</v>
      </c>
      <c r="I61" s="49" t="s">
        <v>1</v>
      </c>
      <c r="J61" s="50" t="s">
        <v>3803</v>
      </c>
      <c r="K61" s="51">
        <v>41324</v>
      </c>
      <c r="L61" s="115" t="s">
        <v>3431</v>
      </c>
      <c r="N61" s="50" t="s">
        <v>1</v>
      </c>
      <c r="P61" s="117"/>
      <c r="Q61" s="131"/>
      <c r="W61" s="227"/>
      <c r="X61" s="226"/>
      <c r="Y61" s="226"/>
      <c r="AE61" s="50">
        <v>3.6</v>
      </c>
      <c r="AF61" s="273">
        <v>2.0000000000000001E-4</v>
      </c>
      <c r="AG61" s="50">
        <v>1.4</v>
      </c>
    </row>
    <row r="62" spans="1:47" ht="14">
      <c r="A62" s="74" t="s">
        <v>138</v>
      </c>
      <c r="B62" s="50" t="s">
        <v>3801</v>
      </c>
      <c r="C62" s="50" t="s">
        <v>3801</v>
      </c>
      <c r="D62" s="48" t="s">
        <v>372</v>
      </c>
      <c r="E62" s="50" t="s">
        <v>1670</v>
      </c>
      <c r="G62" s="76" t="s">
        <v>3802</v>
      </c>
      <c r="H62" s="50">
        <v>5093</v>
      </c>
      <c r="I62" s="49" t="s">
        <v>1</v>
      </c>
      <c r="J62" s="50" t="s">
        <v>3803</v>
      </c>
      <c r="K62" s="51">
        <v>41332</v>
      </c>
      <c r="L62" s="115" t="s">
        <v>3431</v>
      </c>
      <c r="N62" s="50" t="s">
        <v>2</v>
      </c>
      <c r="O62" s="74">
        <v>13</v>
      </c>
      <c r="P62" s="117">
        <v>8.5399999999999991</v>
      </c>
      <c r="Q62" s="131">
        <v>8.64</v>
      </c>
      <c r="R62" s="50">
        <v>670</v>
      </c>
      <c r="S62" s="74">
        <v>1500</v>
      </c>
      <c r="T62" s="50">
        <v>0.72</v>
      </c>
      <c r="U62" s="74">
        <v>0.5</v>
      </c>
      <c r="V62" s="50">
        <v>0.5</v>
      </c>
      <c r="W62" s="227">
        <v>4.4000000000000004</v>
      </c>
      <c r="X62" s="226">
        <v>10</v>
      </c>
      <c r="Y62" s="226">
        <v>3.6</v>
      </c>
      <c r="Z62" s="164">
        <v>1</v>
      </c>
      <c r="AA62" s="165">
        <v>1</v>
      </c>
      <c r="AB62" s="50">
        <v>220</v>
      </c>
      <c r="AC62" s="74">
        <v>385</v>
      </c>
      <c r="AD62" s="164">
        <v>1</v>
      </c>
      <c r="AE62" s="50">
        <v>120</v>
      </c>
      <c r="AF62" s="273">
        <v>2.0000000000000001E-4</v>
      </c>
      <c r="AG62" s="50">
        <v>32</v>
      </c>
      <c r="AH62" s="50">
        <v>51.51</v>
      </c>
      <c r="AI62" s="50">
        <v>2.5</v>
      </c>
      <c r="AJ62" s="402">
        <v>230</v>
      </c>
    </row>
    <row r="63" spans="1:47" ht="14">
      <c r="A63" s="74" t="s">
        <v>138</v>
      </c>
      <c r="B63" s="50" t="s">
        <v>3801</v>
      </c>
      <c r="C63" s="50" t="s">
        <v>3801</v>
      </c>
      <c r="D63" s="48" t="s">
        <v>372</v>
      </c>
      <c r="E63" s="50" t="s">
        <v>1670</v>
      </c>
      <c r="G63" s="76" t="s">
        <v>3802</v>
      </c>
      <c r="H63" s="50">
        <v>5093</v>
      </c>
      <c r="I63" s="49" t="s">
        <v>1</v>
      </c>
      <c r="J63" s="50" t="s">
        <v>3803</v>
      </c>
      <c r="K63" s="51">
        <v>41247</v>
      </c>
      <c r="L63" s="115" t="s">
        <v>3431</v>
      </c>
      <c r="N63" s="50" t="s">
        <v>2</v>
      </c>
      <c r="O63" s="74">
        <v>9.4</v>
      </c>
      <c r="P63" s="117"/>
      <c r="Q63" s="131">
        <v>7.9</v>
      </c>
      <c r="R63" s="50">
        <v>320</v>
      </c>
      <c r="S63" s="74">
        <v>330</v>
      </c>
      <c r="T63" s="50">
        <v>0.37</v>
      </c>
      <c r="U63" s="74">
        <v>1.9</v>
      </c>
      <c r="V63" s="50">
        <v>0.72</v>
      </c>
      <c r="W63" s="227">
        <v>0.83</v>
      </c>
      <c r="X63" s="226">
        <v>2.4</v>
      </c>
      <c r="Y63" s="226">
        <v>0.88</v>
      </c>
      <c r="AE63" s="50">
        <v>49</v>
      </c>
      <c r="AF63" s="273">
        <v>4.0000000000000002E-4</v>
      </c>
      <c r="AG63" s="50">
        <v>12</v>
      </c>
    </row>
    <row r="64" spans="1:47" ht="14">
      <c r="A64" s="74" t="s">
        <v>138</v>
      </c>
      <c r="B64" s="50" t="s">
        <v>3801</v>
      </c>
      <c r="C64" s="50" t="s">
        <v>3801</v>
      </c>
      <c r="D64" s="48" t="s">
        <v>372</v>
      </c>
      <c r="E64" s="50" t="s">
        <v>235</v>
      </c>
      <c r="G64" s="76" t="s">
        <v>3802</v>
      </c>
      <c r="H64" s="50">
        <v>5093</v>
      </c>
      <c r="I64" s="49" t="s">
        <v>2</v>
      </c>
      <c r="J64" s="50" t="s">
        <v>3804</v>
      </c>
      <c r="K64" s="51">
        <v>40934</v>
      </c>
      <c r="L64" s="115">
        <v>40931</v>
      </c>
      <c r="N64" s="50" t="s">
        <v>2</v>
      </c>
      <c r="O64" s="74">
        <v>13.6</v>
      </c>
      <c r="P64" s="117">
        <v>6.04</v>
      </c>
      <c r="Q64" s="131">
        <v>6.86</v>
      </c>
      <c r="R64" s="50">
        <v>266</v>
      </c>
      <c r="S64" s="74">
        <v>306</v>
      </c>
      <c r="T64" s="50">
        <v>0.69</v>
      </c>
      <c r="U64" s="74">
        <v>1.1100000000000001</v>
      </c>
      <c r="V64" s="50">
        <v>0.71</v>
      </c>
      <c r="W64" s="227">
        <v>0.83</v>
      </c>
      <c r="X64" s="226">
        <v>2.9</v>
      </c>
      <c r="Y64" s="226">
        <v>1.04</v>
      </c>
      <c r="AE64" s="50">
        <v>0.31</v>
      </c>
      <c r="AF64" s="273">
        <v>3.2000000000000002E-3</v>
      </c>
      <c r="AG64" s="50">
        <v>11.2</v>
      </c>
      <c r="AH64" s="50" t="s">
        <v>955</v>
      </c>
      <c r="AI64" s="50">
        <v>6.5</v>
      </c>
    </row>
    <row r="65" spans="1:47" ht="14">
      <c r="A65" s="74" t="s">
        <v>138</v>
      </c>
      <c r="B65" s="50" t="s">
        <v>3801</v>
      </c>
      <c r="C65" s="50" t="s">
        <v>3801</v>
      </c>
      <c r="D65" s="48" t="s">
        <v>372</v>
      </c>
      <c r="E65" s="50" t="s">
        <v>235</v>
      </c>
      <c r="G65" s="76" t="s">
        <v>3802</v>
      </c>
      <c r="H65" s="50">
        <v>5093</v>
      </c>
      <c r="I65" s="49" t="s">
        <v>1</v>
      </c>
      <c r="J65" s="50" t="s">
        <v>3804</v>
      </c>
      <c r="K65" s="51">
        <v>41247</v>
      </c>
      <c r="L65" s="115" t="s">
        <v>3431</v>
      </c>
      <c r="N65" s="50" t="s">
        <v>2</v>
      </c>
      <c r="O65" s="74">
        <v>2.5</v>
      </c>
      <c r="P65" s="117"/>
      <c r="Q65" s="131">
        <v>8.8699999999999992</v>
      </c>
      <c r="R65" s="50">
        <v>230</v>
      </c>
      <c r="S65" s="74">
        <v>90</v>
      </c>
      <c r="T65" s="50">
        <v>0.19</v>
      </c>
      <c r="U65" s="74">
        <v>5.3</v>
      </c>
      <c r="V65" s="50">
        <v>1.1000000000000001</v>
      </c>
      <c r="W65" s="227">
        <v>0.26</v>
      </c>
      <c r="X65" s="226">
        <v>0.71</v>
      </c>
      <c r="Y65" s="226">
        <v>0.24</v>
      </c>
      <c r="AE65" s="50">
        <v>9.1999999999999993</v>
      </c>
      <c r="AF65" s="273">
        <v>4.0000000000000002E-4</v>
      </c>
      <c r="AG65" s="50">
        <v>2.2999999999999998</v>
      </c>
    </row>
    <row r="66" spans="1:47" ht="14">
      <c r="A66" s="74" t="s">
        <v>138</v>
      </c>
      <c r="B66" s="50" t="s">
        <v>3801</v>
      </c>
      <c r="C66" s="50" t="s">
        <v>3801</v>
      </c>
      <c r="D66" s="48" t="s">
        <v>372</v>
      </c>
      <c r="E66" s="50" t="s">
        <v>235</v>
      </c>
      <c r="G66" s="76" t="s">
        <v>3802</v>
      </c>
      <c r="H66" s="50">
        <v>5093</v>
      </c>
      <c r="I66" s="49" t="s">
        <v>1</v>
      </c>
      <c r="J66" s="50" t="s">
        <v>3804</v>
      </c>
      <c r="K66" s="51">
        <v>41324</v>
      </c>
      <c r="L66" s="115" t="s">
        <v>3431</v>
      </c>
      <c r="N66" s="50" t="s">
        <v>1</v>
      </c>
      <c r="P66" s="117"/>
      <c r="Q66" s="131"/>
      <c r="W66" s="227"/>
      <c r="X66" s="226"/>
      <c r="Y66" s="226"/>
      <c r="AE66" s="50">
        <v>4.4000000000000004</v>
      </c>
      <c r="AF66" s="273">
        <v>2.0000000000000001E-4</v>
      </c>
      <c r="AG66" s="50">
        <v>1.1000000000000001</v>
      </c>
    </row>
    <row r="67" spans="1:47" ht="14">
      <c r="A67" s="74" t="s">
        <v>138</v>
      </c>
      <c r="B67" s="50" t="s">
        <v>3801</v>
      </c>
      <c r="C67" s="50" t="s">
        <v>3801</v>
      </c>
      <c r="D67" s="48" t="s">
        <v>372</v>
      </c>
      <c r="E67" s="50" t="s">
        <v>235</v>
      </c>
      <c r="G67" s="76" t="s">
        <v>3802</v>
      </c>
      <c r="H67" s="50">
        <v>5093</v>
      </c>
      <c r="I67" s="49" t="s">
        <v>1</v>
      </c>
      <c r="J67" s="50" t="s">
        <v>3804</v>
      </c>
      <c r="K67" s="51">
        <v>41332</v>
      </c>
      <c r="L67" s="115" t="s">
        <v>3431</v>
      </c>
      <c r="N67" s="50" t="s">
        <v>2</v>
      </c>
      <c r="O67" s="74">
        <v>11</v>
      </c>
      <c r="P67" s="117">
        <v>8.5399999999999991</v>
      </c>
      <c r="Q67" s="131">
        <v>8.61</v>
      </c>
      <c r="R67" s="50">
        <v>210</v>
      </c>
      <c r="S67" s="74">
        <v>1200</v>
      </c>
      <c r="T67" s="50">
        <v>0.66</v>
      </c>
      <c r="U67" s="74">
        <v>4.0999999999999996</v>
      </c>
      <c r="V67" s="50">
        <v>0.26</v>
      </c>
      <c r="W67" s="227">
        <v>2.9</v>
      </c>
      <c r="X67" s="226">
        <v>7.5</v>
      </c>
      <c r="Y67" s="226">
        <v>2.8</v>
      </c>
      <c r="Z67" s="164">
        <v>1</v>
      </c>
      <c r="AA67" s="165">
        <v>1</v>
      </c>
      <c r="AB67" s="50">
        <v>210</v>
      </c>
      <c r="AC67" s="74">
        <v>313</v>
      </c>
      <c r="AD67" s="164">
        <v>1</v>
      </c>
      <c r="AE67" s="50">
        <v>92</v>
      </c>
      <c r="AF67" s="273">
        <v>2.0000000000000001E-4</v>
      </c>
      <c r="AG67" s="50">
        <v>24</v>
      </c>
      <c r="AH67" s="50">
        <v>32.33</v>
      </c>
      <c r="AI67" s="50">
        <v>0.25</v>
      </c>
      <c r="AJ67" s="402">
        <v>190</v>
      </c>
    </row>
    <row r="68" spans="1:47" s="1" customFormat="1" ht="14">
      <c r="A68" s="74" t="s">
        <v>138</v>
      </c>
      <c r="B68" s="50" t="s">
        <v>939</v>
      </c>
      <c r="C68" s="50" t="s">
        <v>939</v>
      </c>
      <c r="D68" s="48" t="s">
        <v>397</v>
      </c>
      <c r="E68" s="50" t="s">
        <v>1027</v>
      </c>
      <c r="F68" s="50" t="s">
        <v>959</v>
      </c>
      <c r="G68" s="76" t="s">
        <v>940</v>
      </c>
      <c r="H68" s="50">
        <v>5093</v>
      </c>
      <c r="I68" s="49" t="s">
        <v>1</v>
      </c>
      <c r="J68" s="50" t="s">
        <v>941</v>
      </c>
      <c r="K68" s="51">
        <v>41253</v>
      </c>
      <c r="L68" s="115">
        <v>41240</v>
      </c>
      <c r="M68" s="50"/>
      <c r="N68" s="50" t="s">
        <v>2</v>
      </c>
      <c r="O68" s="49">
        <v>76</v>
      </c>
      <c r="P68" s="117">
        <v>5.5</v>
      </c>
      <c r="Q68" s="152">
        <v>7.8</v>
      </c>
      <c r="R68" s="50">
        <v>380</v>
      </c>
      <c r="S68" s="49">
        <v>200</v>
      </c>
      <c r="T68" s="50">
        <v>0.66</v>
      </c>
      <c r="U68" s="49">
        <v>2.7</v>
      </c>
      <c r="V68" s="50">
        <v>0.21</v>
      </c>
      <c r="W68" s="280">
        <v>0.26</v>
      </c>
      <c r="X68" s="226">
        <v>2.2000000000000002</v>
      </c>
      <c r="Y68" s="226">
        <v>0.55000000000000004</v>
      </c>
      <c r="Z68" s="164">
        <v>1</v>
      </c>
      <c r="AA68" s="269">
        <v>1</v>
      </c>
      <c r="AB68" s="50">
        <v>96</v>
      </c>
      <c r="AC68" s="49">
        <v>316</v>
      </c>
      <c r="AD68" s="164">
        <v>1</v>
      </c>
      <c r="AE68" s="50">
        <v>17</v>
      </c>
      <c r="AF68" s="273">
        <v>1.6000000000000001E-3</v>
      </c>
      <c r="AG68" s="50">
        <v>4.5</v>
      </c>
      <c r="AH68" s="50"/>
      <c r="AI68" s="50">
        <v>1</v>
      </c>
      <c r="AJ68" s="402"/>
      <c r="AK68" s="49"/>
      <c r="AL68" s="49"/>
      <c r="AM68" s="49"/>
      <c r="AN68" s="49"/>
      <c r="AO68" s="49"/>
      <c r="AP68" s="49"/>
      <c r="AQ68" s="49"/>
      <c r="AR68" s="49"/>
      <c r="AS68" s="49"/>
      <c r="AT68" s="49"/>
      <c r="AU68" s="49"/>
    </row>
    <row r="69" spans="1:47" ht="14">
      <c r="A69" s="74" t="s">
        <v>138</v>
      </c>
      <c r="B69" s="50" t="s">
        <v>3805</v>
      </c>
      <c r="C69" s="50" t="s">
        <v>3805</v>
      </c>
      <c r="D69" s="48" t="s">
        <v>1896</v>
      </c>
      <c r="F69" s="50" t="s">
        <v>3412</v>
      </c>
      <c r="G69" s="76" t="s">
        <v>3806</v>
      </c>
      <c r="H69" s="50">
        <v>5093</v>
      </c>
      <c r="I69" s="49" t="s">
        <v>2</v>
      </c>
      <c r="J69" s="50" t="s">
        <v>366</v>
      </c>
      <c r="K69" s="51">
        <v>41030</v>
      </c>
      <c r="L69" s="115">
        <v>41022</v>
      </c>
      <c r="N69" s="50" t="s">
        <v>2</v>
      </c>
      <c r="O69" s="74">
        <v>10</v>
      </c>
      <c r="P69" s="117">
        <v>6.55</v>
      </c>
      <c r="Q69" s="131">
        <v>7.55</v>
      </c>
      <c r="R69" s="50">
        <v>71</v>
      </c>
      <c r="S69" s="74">
        <v>51</v>
      </c>
      <c r="T69" s="50">
        <v>0.15</v>
      </c>
      <c r="U69" s="74">
        <v>1.2</v>
      </c>
      <c r="V69" s="50">
        <v>0.35</v>
      </c>
      <c r="W69" s="227">
        <v>8.8999999999999996E-2</v>
      </c>
      <c r="X69" s="226">
        <v>0.93700000000000006</v>
      </c>
      <c r="Y69" s="226">
        <v>0.25800000000000001</v>
      </c>
      <c r="Z69" s="164">
        <v>1</v>
      </c>
      <c r="AA69" s="165">
        <v>1</v>
      </c>
      <c r="AB69" s="50">
        <v>98</v>
      </c>
      <c r="AC69" s="74">
        <v>581</v>
      </c>
      <c r="AD69" s="164">
        <v>0.5</v>
      </c>
      <c r="AE69" s="50">
        <v>8.2200000000000006</v>
      </c>
      <c r="AF69" s="273">
        <v>5.0000000000000001E-4</v>
      </c>
      <c r="AG69" s="50">
        <v>1.58</v>
      </c>
      <c r="AH69" s="50">
        <v>12.103999999999999</v>
      </c>
      <c r="AI69" s="50">
        <v>4.4000000000000004</v>
      </c>
    </row>
    <row r="70" spans="1:47" ht="14">
      <c r="A70" s="74" t="s">
        <v>138</v>
      </c>
      <c r="B70" s="50" t="s">
        <v>446</v>
      </c>
      <c r="C70" s="50" t="s">
        <v>446</v>
      </c>
      <c r="D70" s="48" t="s">
        <v>372</v>
      </c>
      <c r="E70" s="50" t="s">
        <v>447</v>
      </c>
      <c r="G70" s="76" t="s">
        <v>448</v>
      </c>
      <c r="H70" s="50">
        <v>5098</v>
      </c>
      <c r="I70" s="49" t="s">
        <v>2</v>
      </c>
      <c r="J70" s="50" t="s">
        <v>449</v>
      </c>
      <c r="K70" s="51">
        <v>41050</v>
      </c>
      <c r="L70" s="115"/>
      <c r="N70" s="50" t="s">
        <v>2</v>
      </c>
      <c r="O70" s="74">
        <v>0.25</v>
      </c>
      <c r="P70" s="117">
        <v>6.39</v>
      </c>
      <c r="Q70" s="131">
        <v>6.54</v>
      </c>
      <c r="R70" s="50">
        <v>102</v>
      </c>
      <c r="S70" s="74">
        <v>20</v>
      </c>
      <c r="T70" s="50">
        <v>0.25</v>
      </c>
      <c r="U70" s="74">
        <v>1.47</v>
      </c>
      <c r="V70" s="50">
        <v>1.05</v>
      </c>
      <c r="W70" s="227">
        <v>0.13</v>
      </c>
      <c r="X70" s="226">
        <v>0.22</v>
      </c>
      <c r="Y70" s="226">
        <v>7.0000000000000001E-3</v>
      </c>
      <c r="AE70" s="50">
        <v>0.65</v>
      </c>
      <c r="AF70" s="273">
        <v>1E-3</v>
      </c>
      <c r="AG70" s="50">
        <v>0.72</v>
      </c>
      <c r="AH70" s="50">
        <f>0.5/2</f>
        <v>0.25</v>
      </c>
      <c r="AI70" s="50">
        <f>0.0022/2</f>
        <v>1.1000000000000001E-3</v>
      </c>
    </row>
    <row r="71" spans="1:47" ht="14">
      <c r="A71" s="74" t="s">
        <v>138</v>
      </c>
      <c r="B71" s="50" t="s">
        <v>3246</v>
      </c>
      <c r="C71" s="50" t="s">
        <v>3246</v>
      </c>
      <c r="D71" s="48" t="s">
        <v>480</v>
      </c>
      <c r="E71" s="50" t="s">
        <v>1486</v>
      </c>
      <c r="G71" s="76" t="s">
        <v>3247</v>
      </c>
      <c r="H71" s="50">
        <v>5093</v>
      </c>
      <c r="I71" s="49" t="s">
        <v>1</v>
      </c>
      <c r="J71" s="50" t="s">
        <v>3807</v>
      </c>
      <c r="K71" s="51">
        <v>41285</v>
      </c>
      <c r="L71" s="115"/>
      <c r="N71" s="50" t="s">
        <v>2</v>
      </c>
      <c r="O71" s="74">
        <v>0.5</v>
      </c>
      <c r="P71" s="117"/>
      <c r="Q71" s="131">
        <v>7.39</v>
      </c>
      <c r="R71" s="50">
        <v>44.4</v>
      </c>
      <c r="S71" s="74">
        <v>159</v>
      </c>
      <c r="T71" s="50">
        <v>0.14000000000000001</v>
      </c>
      <c r="U71" s="74">
        <v>0.41</v>
      </c>
      <c r="V71" s="50">
        <v>0.21</v>
      </c>
      <c r="W71" s="227">
        <v>0.01</v>
      </c>
      <c r="X71" s="226">
        <v>0.21099999999999999</v>
      </c>
      <c r="Y71" s="226">
        <v>3.0000000000000001E-3</v>
      </c>
      <c r="Z71" s="164">
        <v>1</v>
      </c>
      <c r="AA71" s="165">
        <v>1</v>
      </c>
      <c r="AB71" s="50">
        <v>10.85</v>
      </c>
      <c r="AC71" s="74">
        <v>182</v>
      </c>
      <c r="AD71" s="166">
        <v>1</v>
      </c>
      <c r="AE71" s="50">
        <v>1.62</v>
      </c>
      <c r="AF71" s="273">
        <v>1E-4</v>
      </c>
      <c r="AG71" s="50">
        <v>0.77</v>
      </c>
    </row>
    <row r="72" spans="1:47" ht="14">
      <c r="A72" s="74" t="s">
        <v>138</v>
      </c>
      <c r="B72" s="50" t="s">
        <v>3808</v>
      </c>
      <c r="D72" s="48" t="s">
        <v>684</v>
      </c>
      <c r="E72" s="50" t="s">
        <v>686</v>
      </c>
      <c r="G72" s="76" t="s">
        <v>685</v>
      </c>
      <c r="H72" s="50">
        <v>5093</v>
      </c>
      <c r="I72" s="49" t="s">
        <v>2</v>
      </c>
      <c r="J72" s="50" t="s">
        <v>144</v>
      </c>
      <c r="K72" s="51">
        <v>41352</v>
      </c>
      <c r="L72" s="115">
        <v>41345</v>
      </c>
      <c r="N72" s="50" t="s">
        <v>1</v>
      </c>
      <c r="O72" s="74">
        <v>3.6</v>
      </c>
      <c r="P72" s="117">
        <v>6.6</v>
      </c>
      <c r="Q72" s="131">
        <v>7.3</v>
      </c>
      <c r="R72" s="50">
        <v>143</v>
      </c>
      <c r="S72" s="74">
        <v>54</v>
      </c>
      <c r="T72" s="50">
        <v>0.21</v>
      </c>
      <c r="U72" s="74">
        <v>2.81</v>
      </c>
      <c r="V72" s="50">
        <v>0.25</v>
      </c>
      <c r="W72" s="227">
        <v>9.2999999999999999E-2</v>
      </c>
      <c r="X72" s="226">
        <v>0.56699999999999995</v>
      </c>
      <c r="Y72" s="226">
        <v>9.7000000000000003E-2</v>
      </c>
      <c r="AE72" s="50">
        <v>6.69</v>
      </c>
      <c r="AF72" s="273">
        <v>2.0000000000000001E-4</v>
      </c>
      <c r="AG72" s="50">
        <v>1.69</v>
      </c>
      <c r="AH72" s="50">
        <v>250</v>
      </c>
      <c r="AI72" s="50">
        <v>1</v>
      </c>
    </row>
    <row r="73" spans="1:47" ht="14">
      <c r="A73" s="74" t="s">
        <v>138</v>
      </c>
      <c r="B73" s="50" t="s">
        <v>3808</v>
      </c>
      <c r="D73" s="48" t="s">
        <v>684</v>
      </c>
      <c r="E73" s="50" t="s">
        <v>686</v>
      </c>
      <c r="G73" s="76" t="s">
        <v>685</v>
      </c>
      <c r="H73" s="50">
        <v>5093</v>
      </c>
      <c r="I73" s="49" t="s">
        <v>2</v>
      </c>
      <c r="J73" s="50" t="s">
        <v>144</v>
      </c>
      <c r="K73" s="51">
        <v>41250</v>
      </c>
      <c r="L73" s="115">
        <v>41209</v>
      </c>
      <c r="N73" s="50" t="s">
        <v>2</v>
      </c>
      <c r="P73" s="117"/>
      <c r="Q73" s="131"/>
      <c r="W73" s="227"/>
      <c r="X73" s="226"/>
      <c r="Y73" s="226"/>
      <c r="AD73" s="164">
        <v>1</v>
      </c>
      <c r="AE73" s="50">
        <v>5.2</v>
      </c>
      <c r="AF73" s="273">
        <v>2.0000000000000001E-4</v>
      </c>
      <c r="AG73" s="50">
        <v>0.2</v>
      </c>
    </row>
    <row r="74" spans="1:47" ht="14">
      <c r="A74" s="74" t="s">
        <v>138</v>
      </c>
      <c r="B74" s="50" t="s">
        <v>3808</v>
      </c>
      <c r="D74" s="48" t="s">
        <v>684</v>
      </c>
      <c r="E74" s="50" t="s">
        <v>686</v>
      </c>
      <c r="G74" s="76" t="s">
        <v>685</v>
      </c>
      <c r="H74" s="50">
        <v>5093</v>
      </c>
      <c r="I74" s="49" t="s">
        <v>2</v>
      </c>
      <c r="J74" s="72" t="s">
        <v>145</v>
      </c>
      <c r="K74" s="51">
        <v>41250</v>
      </c>
      <c r="L74" s="115">
        <v>41209</v>
      </c>
      <c r="N74" s="50" t="s">
        <v>2</v>
      </c>
      <c r="P74" s="117"/>
      <c r="Q74" s="131"/>
      <c r="W74" s="227"/>
      <c r="X74" s="226"/>
      <c r="Y74" s="226"/>
      <c r="AE74" s="50">
        <v>0.75</v>
      </c>
      <c r="AF74" s="273">
        <v>2.0000000000000001E-4</v>
      </c>
      <c r="AG74" s="50">
        <v>0.13</v>
      </c>
    </row>
    <row r="75" spans="1:47" ht="14">
      <c r="A75" s="74" t="s">
        <v>138</v>
      </c>
      <c r="B75" s="50" t="s">
        <v>3808</v>
      </c>
      <c r="D75" s="48" t="s">
        <v>684</v>
      </c>
      <c r="E75" s="50" t="s">
        <v>686</v>
      </c>
      <c r="G75" s="76" t="s">
        <v>685</v>
      </c>
      <c r="H75" s="50">
        <v>5093</v>
      </c>
      <c r="I75" s="49" t="s">
        <v>2</v>
      </c>
      <c r="J75" s="50" t="s">
        <v>3809</v>
      </c>
      <c r="K75" s="51">
        <v>41180</v>
      </c>
      <c r="L75" s="115">
        <v>41174</v>
      </c>
      <c r="N75" s="50" t="s">
        <v>2</v>
      </c>
      <c r="O75" s="74">
        <v>4</v>
      </c>
      <c r="P75" s="117">
        <v>6.2</v>
      </c>
      <c r="Q75" s="131">
        <v>7.4</v>
      </c>
      <c r="R75" s="50">
        <v>194</v>
      </c>
      <c r="S75" s="74">
        <v>55</v>
      </c>
      <c r="T75" s="50">
        <v>0.28999999999999998</v>
      </c>
      <c r="U75" s="74">
        <v>4.7699999999999996</v>
      </c>
      <c r="V75" s="50">
        <v>0.61</v>
      </c>
      <c r="W75" s="227">
        <v>0.122</v>
      </c>
      <c r="X75" s="226">
        <v>0.77300000000000002</v>
      </c>
      <c r="Y75" s="226">
        <v>0.152</v>
      </c>
      <c r="AE75" s="50">
        <v>6.67</v>
      </c>
      <c r="AF75" s="273">
        <v>8.9999999999999998E-4</v>
      </c>
      <c r="AG75" s="50">
        <v>2.1</v>
      </c>
    </row>
    <row r="76" spans="1:47" ht="14">
      <c r="A76" s="74" t="s">
        <v>138</v>
      </c>
      <c r="B76" s="50" t="s">
        <v>3808</v>
      </c>
      <c r="D76" s="48" t="s">
        <v>684</v>
      </c>
      <c r="E76" s="50" t="s">
        <v>686</v>
      </c>
      <c r="G76" s="76" t="s">
        <v>685</v>
      </c>
      <c r="H76" s="50">
        <v>5093</v>
      </c>
      <c r="I76" s="49" t="s">
        <v>2</v>
      </c>
      <c r="J76" s="72" t="s">
        <v>3810</v>
      </c>
      <c r="K76" s="51">
        <v>41180</v>
      </c>
      <c r="L76" s="115">
        <v>41174</v>
      </c>
      <c r="N76" s="50" t="s">
        <v>2</v>
      </c>
      <c r="O76" s="74">
        <v>1</v>
      </c>
      <c r="P76" s="117">
        <v>6.2</v>
      </c>
      <c r="Q76" s="131">
        <v>7.7</v>
      </c>
      <c r="R76" s="50">
        <v>89</v>
      </c>
      <c r="S76" s="74">
        <v>16</v>
      </c>
      <c r="T76" s="50">
        <v>0.2</v>
      </c>
      <c r="U76" s="74">
        <v>4.05</v>
      </c>
      <c r="V76" s="50">
        <v>2.67</v>
      </c>
      <c r="W76" s="227">
        <v>4.5999999999999999E-2</v>
      </c>
      <c r="X76" s="226">
        <v>0.27400000000000002</v>
      </c>
      <c r="Y76" s="226">
        <v>5.2999999999999999E-2</v>
      </c>
      <c r="AE76" s="50">
        <v>2.25</v>
      </c>
      <c r="AF76" s="273">
        <v>2.0000000000000001E-4</v>
      </c>
      <c r="AG76" s="50">
        <v>0.53</v>
      </c>
      <c r="AH76" s="50">
        <f>0.2/2</f>
        <v>0.1</v>
      </c>
      <c r="AI76" s="50">
        <v>0.02</v>
      </c>
    </row>
    <row r="77" spans="1:47" ht="14">
      <c r="A77" s="74" t="s">
        <v>138</v>
      </c>
      <c r="B77" s="50" t="s">
        <v>3808</v>
      </c>
      <c r="D77" s="48" t="s">
        <v>684</v>
      </c>
      <c r="E77" s="50" t="s">
        <v>686</v>
      </c>
      <c r="G77" s="76" t="s">
        <v>685</v>
      </c>
      <c r="H77" s="50">
        <v>5093</v>
      </c>
      <c r="I77" s="49" t="s">
        <v>2</v>
      </c>
      <c r="J77" s="50" t="s">
        <v>75</v>
      </c>
      <c r="K77" s="51">
        <v>41072</v>
      </c>
      <c r="L77" s="115">
        <v>41063</v>
      </c>
      <c r="N77" s="50" t="s">
        <v>2</v>
      </c>
      <c r="P77" s="117"/>
      <c r="Q77" s="131"/>
      <c r="W77" s="227"/>
      <c r="X77" s="226"/>
      <c r="Y77" s="226"/>
      <c r="AE77" s="50">
        <v>5.92</v>
      </c>
      <c r="AF77" s="273">
        <v>2.0000000000000001E-4</v>
      </c>
      <c r="AG77" s="50">
        <v>0.82</v>
      </c>
    </row>
    <row r="78" spans="1:47" ht="14">
      <c r="A78" s="74" t="s">
        <v>138</v>
      </c>
      <c r="B78" s="50" t="s">
        <v>3808</v>
      </c>
      <c r="D78" s="48" t="s">
        <v>684</v>
      </c>
      <c r="E78" s="50" t="s">
        <v>686</v>
      </c>
      <c r="G78" s="76" t="s">
        <v>685</v>
      </c>
      <c r="H78" s="50">
        <v>5093</v>
      </c>
      <c r="I78" s="49" t="s">
        <v>2</v>
      </c>
      <c r="J78" s="50" t="s">
        <v>687</v>
      </c>
      <c r="K78" s="51">
        <v>41072</v>
      </c>
      <c r="L78" s="115">
        <v>41063</v>
      </c>
      <c r="N78" s="50" t="s">
        <v>2</v>
      </c>
      <c r="P78" s="117"/>
      <c r="Q78" s="131"/>
      <c r="W78" s="227"/>
      <c r="X78" s="226"/>
      <c r="Y78" s="226"/>
      <c r="AE78" s="50">
        <v>30.3</v>
      </c>
      <c r="AF78" s="273">
        <v>1.1999999999999999E-3</v>
      </c>
      <c r="AG78" s="50">
        <v>6.11</v>
      </c>
    </row>
    <row r="79" spans="1:47" ht="14">
      <c r="A79" s="74" t="s">
        <v>138</v>
      </c>
      <c r="B79" s="50" t="s">
        <v>1499</v>
      </c>
      <c r="C79" s="50" t="s">
        <v>1500</v>
      </c>
      <c r="D79" s="48" t="s">
        <v>350</v>
      </c>
      <c r="E79" s="50" t="s">
        <v>1501</v>
      </c>
      <c r="G79" s="76" t="s">
        <v>1502</v>
      </c>
      <c r="H79" s="50">
        <v>5093</v>
      </c>
      <c r="I79" s="49" t="s">
        <v>2</v>
      </c>
      <c r="J79" s="50" t="s">
        <v>1503</v>
      </c>
      <c r="K79" s="51">
        <v>40984</v>
      </c>
      <c r="L79" s="115">
        <v>40971</v>
      </c>
      <c r="N79" s="50" t="s">
        <v>2</v>
      </c>
      <c r="O79" s="74">
        <v>0.7</v>
      </c>
      <c r="P79" s="117">
        <v>6.56</v>
      </c>
      <c r="Q79" s="131">
        <v>7.91</v>
      </c>
      <c r="R79" s="50">
        <v>20</v>
      </c>
      <c r="S79" s="74">
        <v>2.5</v>
      </c>
      <c r="T79" s="50">
        <v>0.02</v>
      </c>
      <c r="U79" s="74">
        <v>0.25</v>
      </c>
      <c r="V79" s="50">
        <v>0.53</v>
      </c>
      <c r="W79" s="227">
        <v>2.5000000000000001E-3</v>
      </c>
      <c r="X79" s="226">
        <v>8.9999999999999993E-3</v>
      </c>
      <c r="Y79" s="226">
        <v>1E-3</v>
      </c>
      <c r="Z79" s="164">
        <v>1</v>
      </c>
      <c r="AA79" s="165">
        <v>1</v>
      </c>
      <c r="AB79" s="50">
        <v>120</v>
      </c>
      <c r="AC79" s="74">
        <v>739</v>
      </c>
      <c r="AD79" s="164">
        <v>1</v>
      </c>
      <c r="AE79" s="50">
        <v>0.23400000000000001</v>
      </c>
      <c r="AF79" s="273">
        <v>1E-4</v>
      </c>
      <c r="AG79" s="50">
        <v>2.7E-2</v>
      </c>
      <c r="AH79" s="50">
        <f>0.5/2</f>
        <v>0.25</v>
      </c>
      <c r="AI79" s="50">
        <f>0.005/2</f>
        <v>2.5000000000000001E-3</v>
      </c>
    </row>
    <row r="80" spans="1:47" s="1" customFormat="1" ht="14">
      <c r="A80" s="74" t="s">
        <v>138</v>
      </c>
      <c r="B80" s="50" t="s">
        <v>1499</v>
      </c>
      <c r="C80" s="50" t="s">
        <v>1500</v>
      </c>
      <c r="D80" s="48" t="s">
        <v>350</v>
      </c>
      <c r="E80" s="50" t="s">
        <v>1501</v>
      </c>
      <c r="F80" s="50"/>
      <c r="G80" s="76" t="s">
        <v>1502</v>
      </c>
      <c r="H80" s="50">
        <v>5093</v>
      </c>
      <c r="I80" s="49" t="s">
        <v>2</v>
      </c>
      <c r="J80" s="72" t="s">
        <v>1503</v>
      </c>
      <c r="K80" s="51">
        <v>41066</v>
      </c>
      <c r="L80" s="115">
        <v>41062</v>
      </c>
      <c r="M80" s="50"/>
      <c r="N80" s="50" t="s">
        <v>2</v>
      </c>
      <c r="O80" s="49"/>
      <c r="P80" s="117">
        <v>6</v>
      </c>
      <c r="Q80" s="152">
        <v>7</v>
      </c>
      <c r="R80" s="50"/>
      <c r="S80" s="49"/>
      <c r="T80" s="50"/>
      <c r="U80" s="49"/>
      <c r="V80" s="50"/>
      <c r="W80" s="280"/>
      <c r="X80" s="226"/>
      <c r="Y80" s="226"/>
      <c r="Z80" s="164"/>
      <c r="AA80" s="269"/>
      <c r="AB80" s="50"/>
      <c r="AC80" s="49"/>
      <c r="AD80" s="164"/>
      <c r="AE80" s="50">
        <v>5.25</v>
      </c>
      <c r="AF80" s="273">
        <v>1E-4</v>
      </c>
      <c r="AG80" s="50">
        <v>0.32500000000000001</v>
      </c>
      <c r="AH80" s="50"/>
      <c r="AI80" s="50"/>
      <c r="AJ80" s="402"/>
      <c r="AK80" s="49"/>
      <c r="AL80" s="49"/>
      <c r="AM80" s="49"/>
      <c r="AN80" s="49"/>
      <c r="AO80" s="49"/>
      <c r="AP80" s="49"/>
      <c r="AQ80" s="49"/>
      <c r="AR80" s="49"/>
      <c r="AS80" s="49"/>
      <c r="AT80" s="49"/>
      <c r="AU80" s="49"/>
    </row>
    <row r="81" spans="1:35" ht="14">
      <c r="A81" s="74" t="s">
        <v>138</v>
      </c>
      <c r="B81" s="50" t="s">
        <v>1499</v>
      </c>
      <c r="C81" s="50" t="s">
        <v>1500</v>
      </c>
      <c r="D81" s="48" t="s">
        <v>350</v>
      </c>
      <c r="E81" s="50" t="s">
        <v>1501</v>
      </c>
      <c r="G81" s="76" t="s">
        <v>1502</v>
      </c>
      <c r="H81" s="50">
        <v>5093</v>
      </c>
      <c r="I81" s="49" t="s">
        <v>2</v>
      </c>
      <c r="J81" s="50" t="s">
        <v>1503</v>
      </c>
      <c r="K81" s="51">
        <v>41250</v>
      </c>
      <c r="L81" s="115">
        <v>41240</v>
      </c>
      <c r="N81" s="50" t="s">
        <v>2</v>
      </c>
      <c r="P81" s="117">
        <v>6</v>
      </c>
      <c r="Q81" s="131">
        <v>6.5</v>
      </c>
      <c r="W81" s="227"/>
      <c r="X81" s="226"/>
      <c r="Y81" s="226"/>
      <c r="AE81" s="50">
        <v>4.0199999999999996</v>
      </c>
      <c r="AF81" s="273">
        <v>1E-4</v>
      </c>
      <c r="AG81" s="50">
        <v>0.27900000000000003</v>
      </c>
    </row>
    <row r="82" spans="1:35" ht="14">
      <c r="A82" s="74" t="s">
        <v>138</v>
      </c>
      <c r="B82" s="50" t="s">
        <v>1499</v>
      </c>
      <c r="C82" s="50" t="s">
        <v>1500</v>
      </c>
      <c r="D82" s="48" t="s">
        <v>350</v>
      </c>
      <c r="E82" s="50" t="s">
        <v>1501</v>
      </c>
      <c r="G82" s="76" t="s">
        <v>1502</v>
      </c>
      <c r="H82" s="50">
        <v>5093</v>
      </c>
      <c r="I82" s="49" t="s">
        <v>2</v>
      </c>
      <c r="J82" s="50" t="s">
        <v>1503</v>
      </c>
      <c r="K82" s="51">
        <v>41345</v>
      </c>
      <c r="L82" s="115">
        <v>41332</v>
      </c>
      <c r="N82" s="50" t="s">
        <v>2</v>
      </c>
      <c r="O82" s="74">
        <v>2.7</v>
      </c>
      <c r="P82" s="117">
        <v>7.54</v>
      </c>
      <c r="Q82" s="131">
        <v>8.17</v>
      </c>
      <c r="R82" s="50">
        <v>58</v>
      </c>
      <c r="S82" s="74">
        <v>63</v>
      </c>
      <c r="T82" s="50">
        <v>0.15</v>
      </c>
      <c r="U82" s="74">
        <v>1.28</v>
      </c>
      <c r="V82" s="50">
        <v>1.23</v>
      </c>
      <c r="W82" s="227">
        <v>8.9999999999999993E-3</v>
      </c>
      <c r="X82" s="226">
        <v>9.0999999999999998E-2</v>
      </c>
      <c r="Y82" s="226">
        <v>8.9999999999999993E-3</v>
      </c>
      <c r="Z82" s="164">
        <v>1</v>
      </c>
      <c r="AA82" s="165">
        <v>1</v>
      </c>
      <c r="AB82" s="50">
        <v>90</v>
      </c>
      <c r="AC82" s="74">
        <v>495</v>
      </c>
      <c r="AD82" s="164">
        <v>1</v>
      </c>
      <c r="AE82" s="50">
        <v>4.05</v>
      </c>
      <c r="AF82" s="273"/>
      <c r="AH82" s="50">
        <f>0.05/2</f>
        <v>2.5000000000000001E-2</v>
      </c>
      <c r="AI82" s="50">
        <f>0.0026/2</f>
        <v>1.2999999999999999E-3</v>
      </c>
    </row>
    <row r="83" spans="1:35" ht="14">
      <c r="A83" s="74" t="s">
        <v>138</v>
      </c>
      <c r="B83" s="50" t="s">
        <v>635</v>
      </c>
      <c r="C83" s="50" t="s">
        <v>635</v>
      </c>
      <c r="D83" s="48" t="s">
        <v>636</v>
      </c>
      <c r="E83" s="50" t="s">
        <v>1011</v>
      </c>
      <c r="F83" s="50" t="s">
        <v>1012</v>
      </c>
      <c r="G83" s="76" t="s">
        <v>637</v>
      </c>
      <c r="H83" s="50">
        <v>5093</v>
      </c>
      <c r="I83" s="49" t="s">
        <v>1</v>
      </c>
      <c r="J83" s="50" t="s">
        <v>638</v>
      </c>
      <c r="K83" s="51">
        <v>41073</v>
      </c>
      <c r="L83" s="115">
        <v>41062</v>
      </c>
      <c r="N83" s="50" t="s">
        <v>2</v>
      </c>
      <c r="O83" s="74">
        <v>1.6</v>
      </c>
      <c r="P83" s="117">
        <v>5.5</v>
      </c>
      <c r="Q83" s="131">
        <v>7.1</v>
      </c>
      <c r="R83" s="50">
        <v>490</v>
      </c>
      <c r="S83" s="74">
        <v>87</v>
      </c>
      <c r="T83" s="50">
        <v>0.23</v>
      </c>
      <c r="U83" s="74">
        <v>2</v>
      </c>
      <c r="V83" s="50">
        <v>0.05</v>
      </c>
      <c r="W83" s="227">
        <v>6.2E-2</v>
      </c>
      <c r="X83" s="226">
        <v>0.14000000000000001</v>
      </c>
      <c r="Y83" s="226">
        <v>5.5E-2</v>
      </c>
      <c r="AE83" s="50">
        <v>4.8</v>
      </c>
      <c r="AF83" s="273">
        <v>4.0000000000000002E-4</v>
      </c>
      <c r="AG83" s="50">
        <v>1.8</v>
      </c>
    </row>
    <row r="84" spans="1:35" ht="14">
      <c r="A84" s="74" t="s">
        <v>138</v>
      </c>
      <c r="B84" s="50" t="s">
        <v>635</v>
      </c>
      <c r="C84" s="50" t="s">
        <v>635</v>
      </c>
      <c r="D84" s="48" t="s">
        <v>636</v>
      </c>
      <c r="E84" s="50" t="s">
        <v>1011</v>
      </c>
      <c r="F84" s="50" t="s">
        <v>1012</v>
      </c>
      <c r="G84" s="76" t="s">
        <v>637</v>
      </c>
      <c r="H84" s="50">
        <v>5093</v>
      </c>
      <c r="I84" s="49" t="s">
        <v>2</v>
      </c>
      <c r="J84" s="50" t="s">
        <v>638</v>
      </c>
      <c r="K84" s="51">
        <v>41253</v>
      </c>
      <c r="L84" s="115">
        <v>41240</v>
      </c>
      <c r="N84" s="50" t="s">
        <v>2</v>
      </c>
      <c r="O84" s="74">
        <v>3.4</v>
      </c>
      <c r="P84" s="117">
        <v>5.5</v>
      </c>
      <c r="Q84" s="131">
        <v>7.6</v>
      </c>
      <c r="R84" s="50">
        <v>340</v>
      </c>
      <c r="S84" s="74">
        <v>110</v>
      </c>
      <c r="T84" s="50">
        <v>0.46</v>
      </c>
      <c r="U84" s="74">
        <v>2.4</v>
      </c>
      <c r="V84" s="50">
        <v>5.8000000000000003E-2</v>
      </c>
      <c r="W84" s="227">
        <v>0.13</v>
      </c>
      <c r="X84" s="226">
        <v>0.33</v>
      </c>
      <c r="Y84" s="226">
        <v>0.12</v>
      </c>
      <c r="Z84" s="164">
        <v>1</v>
      </c>
      <c r="AA84" s="165">
        <v>1</v>
      </c>
      <c r="AB84" s="50">
        <v>156</v>
      </c>
      <c r="AC84" s="74">
        <v>1019</v>
      </c>
      <c r="AD84" s="164">
        <v>1</v>
      </c>
      <c r="AE84" s="50">
        <v>5.8</v>
      </c>
      <c r="AF84" s="273">
        <v>1E-4</v>
      </c>
      <c r="AG84" s="50">
        <v>3.3</v>
      </c>
      <c r="AH84" s="50" t="s">
        <v>955</v>
      </c>
      <c r="AI84" s="50" t="s">
        <v>955</v>
      </c>
    </row>
    <row r="85" spans="1:35" ht="14">
      <c r="A85" s="74" t="s">
        <v>138</v>
      </c>
      <c r="B85" s="50" t="s">
        <v>3141</v>
      </c>
      <c r="C85" s="50" t="s">
        <v>3142</v>
      </c>
      <c r="D85" s="48" t="s">
        <v>350</v>
      </c>
      <c r="E85" s="50" t="s">
        <v>1329</v>
      </c>
      <c r="G85" s="76" t="s">
        <v>3143</v>
      </c>
      <c r="H85" s="50">
        <v>5093</v>
      </c>
      <c r="I85" s="49" t="s">
        <v>2</v>
      </c>
      <c r="J85" s="50" t="s">
        <v>3144</v>
      </c>
      <c r="K85" s="51">
        <v>41332</v>
      </c>
      <c r="L85" s="115">
        <v>41328</v>
      </c>
      <c r="N85" s="50" t="s">
        <v>1</v>
      </c>
      <c r="O85" s="74">
        <v>0.7</v>
      </c>
      <c r="P85" s="117">
        <v>6.85</v>
      </c>
      <c r="Q85" s="131">
        <v>7.17</v>
      </c>
      <c r="R85" s="50">
        <v>38</v>
      </c>
      <c r="S85" s="74">
        <v>2.5</v>
      </c>
      <c r="T85" s="50">
        <v>0.06</v>
      </c>
      <c r="U85" s="74">
        <v>0.88</v>
      </c>
      <c r="V85" s="50">
        <v>0.15</v>
      </c>
      <c r="W85" s="227">
        <v>1.2E-2</v>
      </c>
      <c r="X85" s="226">
        <v>0.14199999999999999</v>
      </c>
      <c r="Y85" s="226">
        <v>7.0000000000000001E-3</v>
      </c>
      <c r="Z85" s="164">
        <v>1</v>
      </c>
      <c r="AA85" s="165">
        <v>1</v>
      </c>
      <c r="AB85" s="50">
        <v>40</v>
      </c>
      <c r="AC85" s="74">
        <v>141</v>
      </c>
      <c r="AD85" s="164">
        <v>1</v>
      </c>
      <c r="AE85" s="50">
        <v>0.44900000000000001</v>
      </c>
      <c r="AF85" s="273">
        <v>1E-4</v>
      </c>
      <c r="AG85" s="50">
        <v>0.20300000000000001</v>
      </c>
      <c r="AH85" s="50">
        <v>2.5000000000000001E-2</v>
      </c>
      <c r="AI85" s="50">
        <v>2.5000000000000001E-4</v>
      </c>
    </row>
    <row r="86" spans="1:35" ht="14">
      <c r="A86" s="74" t="s">
        <v>138</v>
      </c>
      <c r="B86" s="50" t="s">
        <v>3141</v>
      </c>
      <c r="C86" s="50" t="s">
        <v>3142</v>
      </c>
      <c r="D86" s="48" t="s">
        <v>350</v>
      </c>
      <c r="E86" s="50" t="s">
        <v>1329</v>
      </c>
      <c r="G86" s="76" t="s">
        <v>3143</v>
      </c>
      <c r="H86" s="50">
        <v>5093</v>
      </c>
      <c r="I86" s="49" t="s">
        <v>2</v>
      </c>
      <c r="J86" s="50" t="s">
        <v>3145</v>
      </c>
      <c r="K86" s="51">
        <v>41332</v>
      </c>
      <c r="L86" s="115">
        <v>41328</v>
      </c>
      <c r="N86" s="50" t="s">
        <v>1</v>
      </c>
      <c r="O86" s="74">
        <v>0.7</v>
      </c>
      <c r="P86" s="117">
        <v>3.65</v>
      </c>
      <c r="Q86" s="131">
        <v>3.85</v>
      </c>
      <c r="R86" s="50">
        <v>123</v>
      </c>
      <c r="S86" s="74">
        <v>6</v>
      </c>
      <c r="T86" s="50">
        <v>0.03</v>
      </c>
      <c r="U86" s="74">
        <v>0.28999999999999998</v>
      </c>
      <c r="V86" s="50">
        <v>1.22</v>
      </c>
      <c r="W86" s="227">
        <v>2.5000000000000001E-3</v>
      </c>
      <c r="X86" s="226">
        <v>5.0000000000000001E-3</v>
      </c>
      <c r="Y86" s="226">
        <v>1E-3</v>
      </c>
      <c r="Z86" s="164">
        <v>1</v>
      </c>
      <c r="AA86" s="165">
        <v>1</v>
      </c>
      <c r="AB86" s="50">
        <v>2</v>
      </c>
      <c r="AC86" s="74">
        <v>14</v>
      </c>
      <c r="AD86" s="164">
        <v>1</v>
      </c>
      <c r="AE86" s="50">
        <v>9.9000000000000005E-2</v>
      </c>
      <c r="AF86" s="273">
        <v>1E-4</v>
      </c>
      <c r="AG86" s="50">
        <v>0.105</v>
      </c>
      <c r="AH86" s="50">
        <v>2.5000000000000001E-2</v>
      </c>
      <c r="AI86" s="50">
        <v>2.5000000000000001E-4</v>
      </c>
    </row>
    <row r="87" spans="1:35" ht="14">
      <c r="A87" s="74" t="s">
        <v>138</v>
      </c>
      <c r="B87" s="50" t="s">
        <v>416</v>
      </c>
      <c r="C87" s="54" t="s">
        <v>417</v>
      </c>
      <c r="D87" s="56" t="s">
        <v>133</v>
      </c>
      <c r="E87" s="50" t="s">
        <v>3678</v>
      </c>
      <c r="G87" s="76" t="s">
        <v>418</v>
      </c>
      <c r="H87" s="50">
        <v>5093</v>
      </c>
      <c r="I87" s="49" t="s">
        <v>2</v>
      </c>
      <c r="J87" s="54" t="s">
        <v>419</v>
      </c>
      <c r="K87" s="51">
        <v>40920</v>
      </c>
      <c r="L87" s="115">
        <v>40904</v>
      </c>
      <c r="N87" s="50" t="s">
        <v>2</v>
      </c>
      <c r="P87" s="117">
        <v>4.72</v>
      </c>
      <c r="Q87" s="131">
        <v>7.12</v>
      </c>
      <c r="W87" s="227"/>
      <c r="X87" s="226"/>
      <c r="Y87" s="226"/>
      <c r="AE87" s="50">
        <v>4.5599999999999996</v>
      </c>
      <c r="AF87" s="273">
        <v>1E-4</v>
      </c>
      <c r="AG87" s="50">
        <v>1.0900000000000001</v>
      </c>
    </row>
    <row r="88" spans="1:35" ht="14">
      <c r="A88" s="74" t="s">
        <v>138</v>
      </c>
      <c r="B88" s="50" t="s">
        <v>416</v>
      </c>
      <c r="C88" s="54" t="s">
        <v>417</v>
      </c>
      <c r="D88" s="56" t="s">
        <v>133</v>
      </c>
      <c r="E88" s="50" t="s">
        <v>3678</v>
      </c>
      <c r="G88" s="76" t="s">
        <v>418</v>
      </c>
      <c r="H88" s="50">
        <v>5093</v>
      </c>
      <c r="I88" s="49" t="s">
        <v>2</v>
      </c>
      <c r="J88" s="54" t="s">
        <v>419</v>
      </c>
      <c r="K88" s="51">
        <v>41058</v>
      </c>
      <c r="L88" s="115">
        <v>41051</v>
      </c>
      <c r="N88" s="50" t="s">
        <v>2</v>
      </c>
      <c r="O88" s="74">
        <v>1.6</v>
      </c>
      <c r="P88" s="117">
        <v>4.05</v>
      </c>
      <c r="Q88" s="131">
        <v>6.14</v>
      </c>
      <c r="R88" s="50">
        <v>190</v>
      </c>
      <c r="S88" s="74">
        <v>110</v>
      </c>
      <c r="T88" s="50">
        <v>0.48</v>
      </c>
      <c r="U88" s="74">
        <v>3.42</v>
      </c>
      <c r="V88" s="50">
        <v>0.83</v>
      </c>
      <c r="W88" s="227">
        <v>5.0999999999999997E-2</v>
      </c>
      <c r="X88" s="226">
        <v>0.47899999999999998</v>
      </c>
      <c r="Y88" s="226">
        <v>2.9000000000000001E-2</v>
      </c>
      <c r="Z88" s="164">
        <v>1</v>
      </c>
      <c r="AA88" s="165">
        <v>1</v>
      </c>
      <c r="AB88" s="50">
        <v>30</v>
      </c>
      <c r="AC88" s="74">
        <v>699</v>
      </c>
      <c r="AD88" s="164">
        <v>0.95</v>
      </c>
      <c r="AE88" s="50">
        <v>7.43</v>
      </c>
      <c r="AF88" s="273">
        <v>1E-4</v>
      </c>
      <c r="AG88" s="50">
        <v>2.87</v>
      </c>
      <c r="AH88" s="50">
        <v>6.6</v>
      </c>
      <c r="AI88" s="50">
        <v>0.255</v>
      </c>
    </row>
    <row r="89" spans="1:35" ht="14">
      <c r="A89" s="74" t="s">
        <v>138</v>
      </c>
      <c r="B89" s="50" t="s">
        <v>416</v>
      </c>
      <c r="C89" s="54" t="s">
        <v>417</v>
      </c>
      <c r="D89" s="56" t="s">
        <v>133</v>
      </c>
      <c r="E89" s="50" t="s">
        <v>3678</v>
      </c>
      <c r="G89" s="76" t="s">
        <v>418</v>
      </c>
      <c r="H89" s="50">
        <v>5093</v>
      </c>
      <c r="I89" s="49" t="s">
        <v>2</v>
      </c>
      <c r="J89" s="50" t="s">
        <v>419</v>
      </c>
      <c r="K89" s="51">
        <v>41260</v>
      </c>
      <c r="L89" s="115">
        <v>41253</v>
      </c>
      <c r="N89" s="50" t="s">
        <v>2</v>
      </c>
      <c r="O89" s="74">
        <v>5.3</v>
      </c>
      <c r="P89" s="117">
        <v>3.73</v>
      </c>
      <c r="Q89" s="131">
        <v>6.52</v>
      </c>
      <c r="R89" s="50">
        <v>19</v>
      </c>
      <c r="S89" s="74">
        <v>86</v>
      </c>
      <c r="T89" s="50">
        <v>0.08</v>
      </c>
      <c r="U89" s="74">
        <v>0.61</v>
      </c>
      <c r="V89" s="50">
        <v>0.28000000000000003</v>
      </c>
      <c r="W89" s="227">
        <v>2.7E-2</v>
      </c>
      <c r="X89" s="226">
        <v>0.20899999999999999</v>
      </c>
      <c r="Y89" s="226">
        <v>1.9E-2</v>
      </c>
      <c r="Z89" s="164">
        <v>1</v>
      </c>
      <c r="AA89" s="165">
        <v>1</v>
      </c>
      <c r="AB89" s="50">
        <v>6</v>
      </c>
      <c r="AC89" s="74">
        <v>21</v>
      </c>
      <c r="AD89" s="164">
        <v>1</v>
      </c>
      <c r="AE89" s="50">
        <v>4.2300000000000004</v>
      </c>
      <c r="AF89" s="273">
        <v>1E-4</v>
      </c>
      <c r="AG89" s="50">
        <v>1.92</v>
      </c>
      <c r="AH89" s="50">
        <v>2.5</v>
      </c>
      <c r="AI89" s="50">
        <v>0.25</v>
      </c>
    </row>
    <row r="90" spans="1:35" ht="14">
      <c r="A90" s="74" t="s">
        <v>138</v>
      </c>
      <c r="B90" s="50" t="s">
        <v>416</v>
      </c>
      <c r="C90" s="54" t="s">
        <v>417</v>
      </c>
      <c r="D90" s="56" t="s">
        <v>133</v>
      </c>
      <c r="E90" s="50" t="s">
        <v>3678</v>
      </c>
      <c r="G90" s="76" t="s">
        <v>418</v>
      </c>
      <c r="H90" s="50">
        <v>5093</v>
      </c>
      <c r="I90" s="49" t="s">
        <v>2</v>
      </c>
      <c r="J90" s="50" t="s">
        <v>1498</v>
      </c>
      <c r="K90" s="51">
        <v>41345</v>
      </c>
      <c r="L90" s="115">
        <v>41341</v>
      </c>
      <c r="N90" s="50" t="s">
        <v>1</v>
      </c>
      <c r="P90" s="117"/>
      <c r="Q90" s="131"/>
      <c r="W90" s="227"/>
      <c r="X90" s="226"/>
      <c r="Y90" s="226"/>
      <c r="AE90" s="50">
        <v>10.1</v>
      </c>
      <c r="AF90" s="273"/>
      <c r="AG90" s="50">
        <v>4.22</v>
      </c>
    </row>
    <row r="91" spans="1:35" ht="14">
      <c r="A91" s="74" t="s">
        <v>138</v>
      </c>
      <c r="B91" s="50" t="s">
        <v>416</v>
      </c>
      <c r="C91" s="54" t="s">
        <v>417</v>
      </c>
      <c r="D91" s="56" t="s">
        <v>133</v>
      </c>
      <c r="E91" s="50" t="s">
        <v>3678</v>
      </c>
      <c r="G91" s="76" t="s">
        <v>418</v>
      </c>
      <c r="H91" s="50">
        <v>5093</v>
      </c>
      <c r="I91" s="49" t="s">
        <v>2</v>
      </c>
      <c r="J91" s="54" t="s">
        <v>421</v>
      </c>
      <c r="K91" s="51">
        <v>40920</v>
      </c>
      <c r="L91" s="115">
        <v>40904</v>
      </c>
      <c r="N91" s="50" t="s">
        <v>2</v>
      </c>
      <c r="P91" s="117">
        <v>4.72</v>
      </c>
      <c r="Q91" s="131">
        <v>6.47</v>
      </c>
      <c r="W91" s="227"/>
      <c r="X91" s="226"/>
      <c r="Y91" s="226"/>
      <c r="AE91" s="50">
        <v>0.47799999999999998</v>
      </c>
      <c r="AF91" s="273">
        <v>1E-4</v>
      </c>
      <c r="AG91" s="50">
        <v>0.17399999999999999</v>
      </c>
    </row>
    <row r="92" spans="1:35" ht="14">
      <c r="A92" s="74" t="s">
        <v>138</v>
      </c>
      <c r="B92" s="50" t="s">
        <v>416</v>
      </c>
      <c r="C92" s="54" t="s">
        <v>417</v>
      </c>
      <c r="D92" s="56" t="s">
        <v>133</v>
      </c>
      <c r="E92" s="50" t="s">
        <v>3678</v>
      </c>
      <c r="G92" s="76" t="s">
        <v>418</v>
      </c>
      <c r="H92" s="50">
        <v>5093</v>
      </c>
      <c r="I92" s="49" t="s">
        <v>2</v>
      </c>
      <c r="J92" s="54" t="s">
        <v>421</v>
      </c>
      <c r="K92" s="51">
        <v>41058</v>
      </c>
      <c r="L92" s="115">
        <v>41051</v>
      </c>
      <c r="N92" s="50" t="s">
        <v>2</v>
      </c>
      <c r="O92" s="74">
        <v>0.7</v>
      </c>
      <c r="P92" s="117">
        <v>4.05</v>
      </c>
      <c r="Q92" s="131">
        <v>4.3</v>
      </c>
      <c r="R92" s="50">
        <v>32</v>
      </c>
      <c r="S92" s="74">
        <v>9.5</v>
      </c>
      <c r="T92" s="50">
        <v>0.09</v>
      </c>
      <c r="U92" s="74">
        <v>1.68</v>
      </c>
      <c r="V92" s="50">
        <v>0.94</v>
      </c>
      <c r="W92" s="227">
        <v>8.9999999999999993E-3</v>
      </c>
      <c r="X92" s="226">
        <v>5.7000000000000002E-2</v>
      </c>
      <c r="Y92" s="226">
        <v>4.0000000000000001E-3</v>
      </c>
      <c r="Z92" s="164">
        <v>1</v>
      </c>
      <c r="AA92" s="165">
        <v>1</v>
      </c>
      <c r="AB92" s="50">
        <v>8</v>
      </c>
      <c r="AC92" s="74">
        <v>22</v>
      </c>
      <c r="AD92" s="164">
        <v>0.75</v>
      </c>
      <c r="AE92" s="50">
        <v>0.113</v>
      </c>
      <c r="AF92" s="273">
        <v>1E-4</v>
      </c>
      <c r="AG92" s="50">
        <v>8.8999999999999996E-2</v>
      </c>
      <c r="AH92" s="50">
        <v>2.5</v>
      </c>
      <c r="AI92" s="50">
        <v>0.25</v>
      </c>
    </row>
    <row r="93" spans="1:35" ht="14">
      <c r="A93" s="74" t="s">
        <v>138</v>
      </c>
      <c r="B93" s="50" t="s">
        <v>416</v>
      </c>
      <c r="C93" s="54" t="s">
        <v>417</v>
      </c>
      <c r="D93" s="56" t="s">
        <v>133</v>
      </c>
      <c r="E93" s="50" t="s">
        <v>3678</v>
      </c>
      <c r="G93" s="76" t="s">
        <v>418</v>
      </c>
      <c r="H93" s="50">
        <v>5093</v>
      </c>
      <c r="I93" s="49" t="s">
        <v>2</v>
      </c>
      <c r="J93" s="50" t="s">
        <v>421</v>
      </c>
      <c r="K93" s="51">
        <v>41260</v>
      </c>
      <c r="L93" s="115">
        <v>41253</v>
      </c>
      <c r="N93" s="50" t="s">
        <v>2</v>
      </c>
      <c r="O93" s="74">
        <v>0.7</v>
      </c>
      <c r="P93" s="117">
        <v>3.73</v>
      </c>
      <c r="Q93" s="131">
        <v>3.94</v>
      </c>
      <c r="R93" s="50">
        <v>5</v>
      </c>
      <c r="S93" s="281">
        <v>2.5</v>
      </c>
      <c r="T93" s="50">
        <v>0.01</v>
      </c>
      <c r="U93" s="74">
        <v>0.21</v>
      </c>
      <c r="V93" s="50">
        <v>0.14000000000000001</v>
      </c>
      <c r="W93" s="227">
        <v>2.5000000000000001E-3</v>
      </c>
      <c r="X93" s="226">
        <v>2.3E-2</v>
      </c>
      <c r="Y93" s="226">
        <v>1E-3</v>
      </c>
      <c r="Z93" s="164">
        <v>0.93899999999999995</v>
      </c>
      <c r="AA93" s="165">
        <v>0.68300000000000005</v>
      </c>
      <c r="AB93" s="50">
        <v>1</v>
      </c>
      <c r="AC93" s="74">
        <v>7</v>
      </c>
      <c r="AD93" s="164">
        <v>0</v>
      </c>
      <c r="AE93" s="50">
        <v>0.11799999999999999</v>
      </c>
      <c r="AF93" s="273">
        <v>1E-4</v>
      </c>
      <c r="AG93" s="50">
        <v>6.8000000000000005E-2</v>
      </c>
      <c r="AH93" s="50">
        <v>2.5</v>
      </c>
      <c r="AI93" s="50">
        <v>0.25</v>
      </c>
    </row>
    <row r="94" spans="1:35" ht="14">
      <c r="A94" s="74" t="s">
        <v>138</v>
      </c>
      <c r="B94" s="50" t="s">
        <v>416</v>
      </c>
      <c r="C94" s="54" t="s">
        <v>417</v>
      </c>
      <c r="D94" s="56" t="s">
        <v>133</v>
      </c>
      <c r="E94" s="50" t="s">
        <v>3678</v>
      </c>
      <c r="G94" s="76" t="s">
        <v>418</v>
      </c>
      <c r="H94" s="50">
        <v>5093</v>
      </c>
      <c r="I94" s="49" t="s">
        <v>2</v>
      </c>
      <c r="J94" s="50" t="s">
        <v>1497</v>
      </c>
      <c r="K94" s="51">
        <v>40920</v>
      </c>
      <c r="L94" s="115">
        <v>40904</v>
      </c>
      <c r="N94" s="50" t="s">
        <v>2</v>
      </c>
      <c r="P94" s="117">
        <v>4.72</v>
      </c>
      <c r="Q94" s="131">
        <v>7.43</v>
      </c>
      <c r="W94" s="227"/>
      <c r="X94" s="226"/>
      <c r="Y94" s="226"/>
      <c r="AE94" s="50">
        <v>1.28</v>
      </c>
      <c r="AF94" s="273">
        <v>1E-4</v>
      </c>
      <c r="AG94" s="50">
        <v>0.39400000000000002</v>
      </c>
    </row>
    <row r="95" spans="1:35" ht="14">
      <c r="A95" s="74" t="s">
        <v>138</v>
      </c>
      <c r="B95" s="50" t="s">
        <v>416</v>
      </c>
      <c r="C95" s="54" t="s">
        <v>417</v>
      </c>
      <c r="D95" s="56" t="s">
        <v>133</v>
      </c>
      <c r="E95" s="50" t="s">
        <v>3678</v>
      </c>
      <c r="G95" s="76" t="s">
        <v>418</v>
      </c>
      <c r="H95" s="50">
        <v>5093</v>
      </c>
      <c r="I95" s="49" t="s">
        <v>2</v>
      </c>
      <c r="J95" s="50" t="s">
        <v>1497</v>
      </c>
      <c r="K95" s="51">
        <v>41058</v>
      </c>
      <c r="L95" s="115">
        <v>41051</v>
      </c>
      <c r="N95" s="50" t="s">
        <v>2</v>
      </c>
      <c r="O95" s="74">
        <v>1.5</v>
      </c>
      <c r="P95" s="117">
        <v>4.05</v>
      </c>
      <c r="Q95" s="131">
        <v>6.3</v>
      </c>
      <c r="R95" s="50">
        <v>110</v>
      </c>
      <c r="S95" s="74">
        <v>32</v>
      </c>
      <c r="T95" s="50">
        <v>0.19</v>
      </c>
      <c r="U95" s="74">
        <v>2.59</v>
      </c>
      <c r="V95" s="50">
        <v>0.76</v>
      </c>
      <c r="W95" s="227">
        <v>2.1000000000000001E-2</v>
      </c>
      <c r="X95" s="226">
        <v>0.129</v>
      </c>
      <c r="Y95" s="226">
        <v>7.0000000000000001E-3</v>
      </c>
      <c r="Z95" s="164">
        <v>1</v>
      </c>
      <c r="AA95" s="165">
        <v>1</v>
      </c>
      <c r="AB95" s="50">
        <v>42</v>
      </c>
      <c r="AC95" s="74">
        <v>273</v>
      </c>
      <c r="AD95" s="164">
        <v>1</v>
      </c>
      <c r="AE95" s="50">
        <v>1.36</v>
      </c>
      <c r="AF95" s="273">
        <v>1E-4</v>
      </c>
      <c r="AG95" s="50">
        <v>0.64300000000000002</v>
      </c>
      <c r="AH95" s="50">
        <v>2.5</v>
      </c>
      <c r="AI95" s="50">
        <v>0.25</v>
      </c>
    </row>
    <row r="96" spans="1:35" ht="14">
      <c r="A96" s="74" t="s">
        <v>138</v>
      </c>
      <c r="B96" s="50" t="s">
        <v>416</v>
      </c>
      <c r="C96" s="54" t="s">
        <v>417</v>
      </c>
      <c r="D96" s="56" t="s">
        <v>133</v>
      </c>
      <c r="E96" s="50" t="s">
        <v>3678</v>
      </c>
      <c r="G96" s="76" t="s">
        <v>418</v>
      </c>
      <c r="H96" s="50">
        <v>5093</v>
      </c>
      <c r="I96" s="49" t="s">
        <v>2</v>
      </c>
      <c r="J96" s="50" t="s">
        <v>420</v>
      </c>
      <c r="K96" s="51">
        <v>41260</v>
      </c>
      <c r="L96" s="115">
        <v>41253</v>
      </c>
      <c r="N96" s="50" t="s">
        <v>2</v>
      </c>
      <c r="O96" s="74">
        <v>1.4</v>
      </c>
      <c r="P96" s="117">
        <v>3.73</v>
      </c>
      <c r="Q96" s="131">
        <v>6.76</v>
      </c>
      <c r="R96" s="50">
        <v>47</v>
      </c>
      <c r="S96" s="74">
        <v>13</v>
      </c>
      <c r="T96" s="50">
        <v>0.08</v>
      </c>
      <c r="U96" s="74">
        <v>1.41</v>
      </c>
      <c r="V96" s="50">
        <v>0.5</v>
      </c>
      <c r="W96" s="227">
        <v>1.0999999999999999E-2</v>
      </c>
      <c r="X96" s="226">
        <v>7.9000000000000001E-2</v>
      </c>
      <c r="Y96" s="226">
        <v>1E-3</v>
      </c>
      <c r="Z96" s="164">
        <v>1</v>
      </c>
      <c r="AA96" s="165">
        <v>1</v>
      </c>
      <c r="AB96" s="50">
        <v>78</v>
      </c>
      <c r="AC96" s="74">
        <v>1875</v>
      </c>
      <c r="AD96" s="164">
        <v>1</v>
      </c>
      <c r="AE96" s="50">
        <v>0.88100000000000001</v>
      </c>
      <c r="AF96" s="273">
        <v>1E-4</v>
      </c>
      <c r="AG96" s="50">
        <v>0.73299999999999998</v>
      </c>
      <c r="AH96" s="50">
        <v>2.5</v>
      </c>
      <c r="AI96" s="50">
        <v>0.25</v>
      </c>
    </row>
    <row r="97" spans="1:35" ht="14">
      <c r="A97" s="74" t="s">
        <v>138</v>
      </c>
      <c r="B97" s="50" t="s">
        <v>416</v>
      </c>
      <c r="C97" s="54" t="s">
        <v>417</v>
      </c>
      <c r="D97" s="56" t="s">
        <v>133</v>
      </c>
      <c r="E97" s="50" t="s">
        <v>3678</v>
      </c>
      <c r="G97" s="76" t="s">
        <v>418</v>
      </c>
      <c r="H97" s="50">
        <v>5093</v>
      </c>
      <c r="I97" s="49" t="s">
        <v>2</v>
      </c>
      <c r="J97" s="50" t="s">
        <v>1497</v>
      </c>
      <c r="K97" s="51">
        <v>41345</v>
      </c>
      <c r="L97" s="115">
        <v>41341</v>
      </c>
      <c r="N97" s="50" t="s">
        <v>1</v>
      </c>
      <c r="P97" s="117"/>
      <c r="Q97" s="131"/>
      <c r="W97" s="227"/>
      <c r="X97" s="226"/>
      <c r="Y97" s="226"/>
      <c r="AE97" s="50">
        <v>1</v>
      </c>
      <c r="AF97" s="273"/>
    </row>
    <row r="98" spans="1:35" ht="14">
      <c r="A98" s="74" t="s">
        <v>138</v>
      </c>
      <c r="B98" s="50" t="s">
        <v>3811</v>
      </c>
      <c r="C98" s="50" t="s">
        <v>3811</v>
      </c>
      <c r="D98" s="48" t="s">
        <v>314</v>
      </c>
      <c r="E98" s="50" t="s">
        <v>3812</v>
      </c>
      <c r="G98" s="76" t="s">
        <v>3813</v>
      </c>
      <c r="H98" s="50">
        <v>5093</v>
      </c>
      <c r="I98" s="49" t="s">
        <v>2</v>
      </c>
      <c r="J98" s="50" t="s">
        <v>510</v>
      </c>
      <c r="K98" s="51">
        <v>40898</v>
      </c>
      <c r="L98" s="115">
        <v>40885</v>
      </c>
      <c r="N98" s="50" t="s">
        <v>2</v>
      </c>
      <c r="O98" s="74">
        <v>13</v>
      </c>
      <c r="P98" s="117">
        <v>5.46</v>
      </c>
      <c r="Q98" s="131">
        <v>7.25</v>
      </c>
      <c r="R98" s="50">
        <v>180</v>
      </c>
      <c r="S98" s="74">
        <v>170</v>
      </c>
      <c r="T98" s="50">
        <v>0.30399999999999999</v>
      </c>
      <c r="U98" s="74">
        <v>3.82</v>
      </c>
      <c r="V98" s="50">
        <v>0.65</v>
      </c>
      <c r="W98" s="227">
        <v>0.22800000000000001</v>
      </c>
      <c r="X98" s="226">
        <v>0.49</v>
      </c>
      <c r="Y98" s="226">
        <v>0.17799999999999999</v>
      </c>
      <c r="Z98" s="164">
        <v>1</v>
      </c>
      <c r="AA98" s="165">
        <v>1</v>
      </c>
      <c r="AB98" s="50">
        <v>32</v>
      </c>
      <c r="AC98" s="74">
        <v>165</v>
      </c>
      <c r="AD98" s="164">
        <v>0.9</v>
      </c>
      <c r="AE98" s="50">
        <v>10.8</v>
      </c>
      <c r="AF98" s="273">
        <v>1E-4</v>
      </c>
      <c r="AG98" s="50">
        <v>7.67</v>
      </c>
    </row>
    <row r="99" spans="1:35" ht="14">
      <c r="A99" s="74" t="s">
        <v>138</v>
      </c>
      <c r="B99" s="50" t="s">
        <v>3811</v>
      </c>
      <c r="C99" s="50" t="s">
        <v>3811</v>
      </c>
      <c r="D99" s="48" t="s">
        <v>314</v>
      </c>
      <c r="E99" s="50" t="s">
        <v>3812</v>
      </c>
      <c r="G99" s="76" t="s">
        <v>3813</v>
      </c>
      <c r="H99" s="50">
        <v>5093</v>
      </c>
      <c r="I99" s="49" t="s">
        <v>2</v>
      </c>
      <c r="J99" s="50" t="s">
        <v>510</v>
      </c>
      <c r="K99" s="51">
        <v>40996</v>
      </c>
      <c r="L99" s="115">
        <v>40977</v>
      </c>
      <c r="N99" s="50" t="s">
        <v>2</v>
      </c>
      <c r="P99" s="117"/>
      <c r="Q99" s="131"/>
      <c r="W99" s="227"/>
      <c r="X99" s="226"/>
      <c r="Y99" s="226"/>
      <c r="AE99" s="50">
        <v>6.56</v>
      </c>
      <c r="AF99" s="273">
        <v>1E-4</v>
      </c>
      <c r="AG99" s="50">
        <v>3.97</v>
      </c>
      <c r="AH99" s="50">
        <f>100/2</f>
        <v>50</v>
      </c>
      <c r="AI99" s="50">
        <f>0.53/2</f>
        <v>0.26500000000000001</v>
      </c>
    </row>
    <row r="100" spans="1:35" ht="14">
      <c r="A100" s="74" t="s">
        <v>138</v>
      </c>
      <c r="B100" s="50" t="s">
        <v>3811</v>
      </c>
      <c r="C100" s="50" t="s">
        <v>3811</v>
      </c>
      <c r="D100" s="48" t="s">
        <v>314</v>
      </c>
      <c r="E100" s="50" t="s">
        <v>3812</v>
      </c>
      <c r="G100" s="76" t="s">
        <v>3813</v>
      </c>
      <c r="H100" s="50">
        <v>5093</v>
      </c>
      <c r="I100" s="49" t="s">
        <v>2</v>
      </c>
      <c r="J100" s="50" t="s">
        <v>510</v>
      </c>
      <c r="K100" s="51">
        <v>41108</v>
      </c>
      <c r="L100" s="115">
        <v>41105</v>
      </c>
      <c r="N100" s="50" t="s">
        <v>2</v>
      </c>
      <c r="O100" s="74">
        <v>13</v>
      </c>
      <c r="P100" s="117">
        <v>4.76</v>
      </c>
      <c r="Q100" s="131">
        <v>6.6</v>
      </c>
      <c r="R100" s="50">
        <v>230</v>
      </c>
      <c r="S100" s="74">
        <v>210</v>
      </c>
      <c r="T100" s="50">
        <v>0.48</v>
      </c>
      <c r="U100" s="74">
        <v>4.33</v>
      </c>
      <c r="V100" s="50">
        <v>1.19</v>
      </c>
      <c r="W100" s="227">
        <v>1.07</v>
      </c>
      <c r="X100" s="226">
        <v>1.1399999999999999</v>
      </c>
      <c r="Y100" s="226">
        <v>0.437</v>
      </c>
      <c r="AE100" s="50">
        <v>0.29699999999999999</v>
      </c>
      <c r="AF100" s="273">
        <v>1E-4</v>
      </c>
      <c r="AG100" s="50">
        <v>0.23</v>
      </c>
    </row>
    <row r="101" spans="1:35" ht="14">
      <c r="A101" s="74" t="s">
        <v>138</v>
      </c>
      <c r="B101" s="50" t="s">
        <v>3811</v>
      </c>
      <c r="C101" s="50" t="s">
        <v>3811</v>
      </c>
      <c r="D101" s="48" t="s">
        <v>314</v>
      </c>
      <c r="E101" s="50" t="s">
        <v>3812</v>
      </c>
      <c r="G101" s="76" t="s">
        <v>3813</v>
      </c>
      <c r="H101" s="50">
        <v>5093</v>
      </c>
      <c r="I101" s="49" t="s">
        <v>2</v>
      </c>
      <c r="J101" s="50" t="s">
        <v>510</v>
      </c>
      <c r="K101" s="51">
        <v>41170</v>
      </c>
      <c r="L101" s="115">
        <v>41160</v>
      </c>
      <c r="N101" s="50" t="s">
        <v>2</v>
      </c>
      <c r="P101" s="117">
        <v>5.73</v>
      </c>
      <c r="Q101" s="131"/>
      <c r="W101" s="227"/>
      <c r="X101" s="226"/>
      <c r="Y101" s="226"/>
      <c r="AE101" s="50">
        <v>12.2</v>
      </c>
      <c r="AF101" s="273">
        <v>1E-4</v>
      </c>
      <c r="AG101" s="50">
        <v>7.65</v>
      </c>
      <c r="AH101" s="50">
        <f>50/2</f>
        <v>25</v>
      </c>
      <c r="AI101" s="50">
        <v>1.1000000000000001</v>
      </c>
    </row>
    <row r="102" spans="1:35" ht="14">
      <c r="A102" s="74" t="s">
        <v>138</v>
      </c>
      <c r="B102" s="50" t="s">
        <v>3811</v>
      </c>
      <c r="C102" s="50" t="s">
        <v>3811</v>
      </c>
      <c r="D102" s="48" t="s">
        <v>314</v>
      </c>
      <c r="E102" s="50" t="s">
        <v>3812</v>
      </c>
      <c r="G102" s="76" t="s">
        <v>3813</v>
      </c>
      <c r="H102" s="50">
        <v>5093</v>
      </c>
      <c r="I102" s="49" t="s">
        <v>2</v>
      </c>
      <c r="J102" s="50" t="s">
        <v>510</v>
      </c>
      <c r="K102" s="51">
        <v>41260</v>
      </c>
      <c r="L102" s="115">
        <v>41253</v>
      </c>
      <c r="N102" s="50" t="s">
        <v>2</v>
      </c>
      <c r="O102" s="74">
        <v>6.3</v>
      </c>
      <c r="P102" s="117">
        <v>5.81</v>
      </c>
      <c r="Q102" s="131">
        <v>7.57</v>
      </c>
      <c r="R102" s="50">
        <v>116</v>
      </c>
      <c r="S102" s="74">
        <v>170</v>
      </c>
      <c r="T102" s="50">
        <v>0.25</v>
      </c>
      <c r="U102" s="74">
        <v>1.92</v>
      </c>
      <c r="V102" s="50">
        <v>0.35</v>
      </c>
      <c r="W102" s="227">
        <v>0.16700000000000001</v>
      </c>
      <c r="X102" s="226">
        <v>0.46500000000000002</v>
      </c>
      <c r="Y102" s="226">
        <v>0.17799999999999999</v>
      </c>
      <c r="Z102" s="164">
        <v>1</v>
      </c>
      <c r="AA102" s="165">
        <v>1</v>
      </c>
      <c r="AB102" s="50">
        <v>18</v>
      </c>
      <c r="AC102" s="74">
        <v>86</v>
      </c>
      <c r="AD102" s="164">
        <v>0.95</v>
      </c>
      <c r="AE102" s="50">
        <v>9.34</v>
      </c>
      <c r="AF102" s="273"/>
      <c r="AG102" s="50">
        <v>4.34</v>
      </c>
    </row>
    <row r="103" spans="1:35" ht="14">
      <c r="A103" s="74" t="s">
        <v>138</v>
      </c>
      <c r="B103" s="50" t="s">
        <v>1519</v>
      </c>
      <c r="C103" s="50" t="s">
        <v>1519</v>
      </c>
      <c r="D103" s="48" t="s">
        <v>133</v>
      </c>
      <c r="E103" s="50" t="s">
        <v>467</v>
      </c>
      <c r="F103" s="50" t="s">
        <v>1188</v>
      </c>
      <c r="G103" s="76" t="s">
        <v>1189</v>
      </c>
      <c r="H103" s="50" t="s">
        <v>1521</v>
      </c>
      <c r="I103" s="49" t="s">
        <v>2</v>
      </c>
      <c r="J103" s="50" t="s">
        <v>1522</v>
      </c>
      <c r="K103" s="51">
        <v>41073</v>
      </c>
      <c r="L103" s="115">
        <v>41062</v>
      </c>
      <c r="N103" s="50" t="s">
        <v>2</v>
      </c>
      <c r="P103" s="117"/>
      <c r="Q103" s="131"/>
      <c r="W103" s="227"/>
      <c r="X103" s="226"/>
      <c r="Y103" s="226"/>
      <c r="AE103" s="50">
        <v>0.89</v>
      </c>
      <c r="AF103" s="273">
        <v>1E-4</v>
      </c>
      <c r="AG103" s="50">
        <v>0.57999999999999996</v>
      </c>
    </row>
    <row r="104" spans="1:35" ht="14">
      <c r="A104" s="74" t="s">
        <v>138</v>
      </c>
      <c r="B104" s="50" t="s">
        <v>1519</v>
      </c>
      <c r="C104" s="50" t="s">
        <v>1519</v>
      </c>
      <c r="D104" s="48" t="s">
        <v>133</v>
      </c>
      <c r="E104" s="50" t="s">
        <v>3814</v>
      </c>
      <c r="F104" s="50" t="s">
        <v>1188</v>
      </c>
      <c r="G104" s="76" t="s">
        <v>1189</v>
      </c>
      <c r="H104" s="50" t="s">
        <v>1521</v>
      </c>
      <c r="I104" s="49" t="s">
        <v>2</v>
      </c>
      <c r="J104" s="50" t="s">
        <v>1522</v>
      </c>
      <c r="K104" s="51">
        <v>41261</v>
      </c>
      <c r="L104" s="115">
        <v>41253</v>
      </c>
      <c r="N104" s="50" t="s">
        <v>2</v>
      </c>
      <c r="P104" s="117">
        <v>5.8</v>
      </c>
      <c r="Q104" s="131"/>
      <c r="W104" s="227"/>
      <c r="X104" s="226"/>
      <c r="Y104" s="226"/>
      <c r="AE104" s="50">
        <v>8.8000000000000007</v>
      </c>
      <c r="AF104" s="273">
        <v>6.0999999999999997E-4</v>
      </c>
      <c r="AG104" s="50">
        <v>5.4</v>
      </c>
    </row>
    <row r="105" spans="1:35" ht="14">
      <c r="A105" s="74" t="s">
        <v>138</v>
      </c>
      <c r="B105" s="50" t="s">
        <v>1519</v>
      </c>
      <c r="C105" s="50" t="s">
        <v>1519</v>
      </c>
      <c r="D105" s="48" t="s">
        <v>133</v>
      </c>
      <c r="E105" s="50" t="s">
        <v>467</v>
      </c>
      <c r="F105" s="50" t="s">
        <v>1188</v>
      </c>
      <c r="G105" s="76" t="s">
        <v>1189</v>
      </c>
      <c r="H105" s="50" t="s">
        <v>1521</v>
      </c>
      <c r="I105" s="49" t="s">
        <v>2</v>
      </c>
      <c r="J105" s="50" t="s">
        <v>1522</v>
      </c>
      <c r="K105" s="51">
        <v>41345</v>
      </c>
      <c r="L105" s="115">
        <v>41341</v>
      </c>
      <c r="N105" s="50" t="s">
        <v>2</v>
      </c>
      <c r="O105" s="74">
        <v>21</v>
      </c>
      <c r="P105" s="117">
        <v>5</v>
      </c>
      <c r="Q105" s="131">
        <v>8.6999999999999993</v>
      </c>
      <c r="R105" s="50">
        <v>330</v>
      </c>
      <c r="S105" s="74">
        <v>520</v>
      </c>
      <c r="T105" s="50">
        <v>1.2</v>
      </c>
      <c r="U105" s="74">
        <v>2.1</v>
      </c>
      <c r="V105" s="50">
        <v>2.5000000000000001E-2</v>
      </c>
      <c r="W105" s="227">
        <v>0.67</v>
      </c>
      <c r="X105" s="226">
        <v>1.5</v>
      </c>
      <c r="Y105" s="226">
        <v>0.76</v>
      </c>
      <c r="Z105" s="164">
        <v>1</v>
      </c>
      <c r="AA105" s="165">
        <v>1</v>
      </c>
      <c r="AB105" s="50">
        <v>50</v>
      </c>
      <c r="AC105" s="74">
        <v>354</v>
      </c>
      <c r="AD105" s="164">
        <v>0.7</v>
      </c>
      <c r="AE105" s="50">
        <v>35</v>
      </c>
      <c r="AF105" s="273"/>
      <c r="AG105" s="50">
        <v>22</v>
      </c>
      <c r="AH105" s="50">
        <v>5</v>
      </c>
      <c r="AI105" s="50">
        <v>2.5</v>
      </c>
    </row>
    <row r="106" spans="1:35" ht="14">
      <c r="A106" s="74" t="s">
        <v>138</v>
      </c>
      <c r="B106" s="50" t="s">
        <v>3815</v>
      </c>
      <c r="D106" s="48" t="s">
        <v>1896</v>
      </c>
      <c r="E106" s="50" t="s">
        <v>3816</v>
      </c>
      <c r="G106" s="76" t="s">
        <v>3817</v>
      </c>
      <c r="H106" s="50">
        <v>5093</v>
      </c>
      <c r="I106" s="49" t="s">
        <v>2</v>
      </c>
      <c r="J106" s="50" t="s">
        <v>3818</v>
      </c>
      <c r="K106" s="51">
        <v>41030</v>
      </c>
      <c r="L106" s="115">
        <v>41000</v>
      </c>
      <c r="N106" s="50" t="s">
        <v>2</v>
      </c>
      <c r="O106" s="74">
        <v>13.6</v>
      </c>
      <c r="P106" s="117">
        <v>7.4</v>
      </c>
      <c r="Q106" s="131">
        <v>8.3000000000000007</v>
      </c>
      <c r="R106" s="50">
        <v>111</v>
      </c>
      <c r="S106" s="74">
        <v>108</v>
      </c>
      <c r="T106" s="50">
        <v>0.27</v>
      </c>
      <c r="U106" s="74">
        <v>1.23</v>
      </c>
      <c r="V106" s="50">
        <v>0.38</v>
      </c>
      <c r="W106" s="227">
        <v>0.106</v>
      </c>
      <c r="X106" s="226">
        <v>0.375</v>
      </c>
      <c r="Y106" s="226">
        <v>7.5999999999999998E-2</v>
      </c>
      <c r="Z106" s="164">
        <v>1</v>
      </c>
      <c r="AA106" s="165">
        <v>1</v>
      </c>
      <c r="AB106" s="50">
        <v>64</v>
      </c>
      <c r="AC106" s="74">
        <v>521</v>
      </c>
      <c r="AD106" s="164">
        <v>1</v>
      </c>
      <c r="AE106" s="50">
        <v>13.5</v>
      </c>
      <c r="AF106" s="273">
        <v>2E-3</v>
      </c>
      <c r="AG106" s="50">
        <v>6.24</v>
      </c>
      <c r="AH106" s="50">
        <f>500/2</f>
        <v>250</v>
      </c>
      <c r="AI106" s="50">
        <v>2</v>
      </c>
    </row>
    <row r="107" spans="1:35" ht="14">
      <c r="A107" s="74" t="s">
        <v>138</v>
      </c>
      <c r="B107" s="50" t="s">
        <v>3819</v>
      </c>
      <c r="C107" s="50" t="s">
        <v>3820</v>
      </c>
      <c r="D107" s="48" t="s">
        <v>1896</v>
      </c>
      <c r="E107" s="50" t="s">
        <v>3816</v>
      </c>
      <c r="G107" s="76" t="s">
        <v>3817</v>
      </c>
      <c r="H107" s="50">
        <v>5093</v>
      </c>
      <c r="I107" s="49" t="s">
        <v>2</v>
      </c>
      <c r="J107" s="50" t="s">
        <v>3818</v>
      </c>
      <c r="K107" s="51">
        <v>41332</v>
      </c>
      <c r="L107" s="115">
        <v>41328</v>
      </c>
      <c r="N107" s="50" t="s">
        <v>2</v>
      </c>
      <c r="O107" s="74">
        <v>6.8</v>
      </c>
      <c r="P107" s="117">
        <v>7.3</v>
      </c>
      <c r="Q107" s="131">
        <v>7.8</v>
      </c>
      <c r="R107" s="50">
        <v>30</v>
      </c>
      <c r="S107" s="74">
        <v>17</v>
      </c>
      <c r="T107" s="50">
        <v>2.5000000000000001E-2</v>
      </c>
      <c r="U107" s="74">
        <v>0.54</v>
      </c>
      <c r="V107" s="50">
        <v>0.05</v>
      </c>
      <c r="W107" s="227">
        <v>4.2999999999999997E-2</v>
      </c>
      <c r="X107" s="226">
        <v>0.25</v>
      </c>
      <c r="Y107" s="226">
        <v>7.0999999999999994E-2</v>
      </c>
      <c r="Z107" s="164">
        <v>1</v>
      </c>
      <c r="AA107" s="165">
        <v>0.8</v>
      </c>
      <c r="AB107" s="50">
        <v>42</v>
      </c>
      <c r="AC107" s="74">
        <v>732</v>
      </c>
      <c r="AD107" s="164">
        <v>0.4</v>
      </c>
      <c r="AE107" s="50">
        <v>1.81</v>
      </c>
      <c r="AF107" s="273">
        <v>2.0000000000000001E-4</v>
      </c>
      <c r="AG107" s="50">
        <v>0.47</v>
      </c>
      <c r="AH107" s="50">
        <f>500/2</f>
        <v>250</v>
      </c>
      <c r="AI107" s="50">
        <f>10/2</f>
        <v>5</v>
      </c>
    </row>
    <row r="108" spans="1:35" ht="14">
      <c r="A108" s="74" t="s">
        <v>138</v>
      </c>
      <c r="B108" s="50" t="s">
        <v>942</v>
      </c>
      <c r="D108" s="48" t="s">
        <v>379</v>
      </c>
      <c r="E108" s="50" t="s">
        <v>1835</v>
      </c>
      <c r="G108" s="76" t="s">
        <v>943</v>
      </c>
      <c r="H108" s="50">
        <v>5093</v>
      </c>
      <c r="I108" s="49" t="s">
        <v>2</v>
      </c>
      <c r="J108" s="72" t="s">
        <v>1835</v>
      </c>
      <c r="K108" s="51">
        <v>41050</v>
      </c>
      <c r="L108" s="115">
        <v>41045</v>
      </c>
      <c r="N108" s="50" t="s">
        <v>2</v>
      </c>
      <c r="O108" s="74">
        <v>3.2</v>
      </c>
      <c r="P108" s="117">
        <v>5.8</v>
      </c>
      <c r="Q108" s="131">
        <v>6.6</v>
      </c>
      <c r="R108" s="50">
        <v>21</v>
      </c>
      <c r="S108" s="74">
        <v>79</v>
      </c>
      <c r="T108" s="50">
        <v>2.5000000000000001E-2</v>
      </c>
      <c r="U108" s="74">
        <v>0.34</v>
      </c>
      <c r="V108" s="50">
        <v>0.11</v>
      </c>
      <c r="W108" s="227">
        <v>3.6999999999999998E-2</v>
      </c>
      <c r="X108" s="226">
        <v>0.05</v>
      </c>
      <c r="Y108" s="226">
        <v>1.4999999999999999E-2</v>
      </c>
      <c r="AE108" s="50">
        <v>3</v>
      </c>
      <c r="AF108" s="273">
        <v>2.0000000000000001E-4</v>
      </c>
      <c r="AG108" s="50">
        <v>0.84</v>
      </c>
      <c r="AH108" s="50">
        <v>250</v>
      </c>
      <c r="AI108" s="50">
        <v>5</v>
      </c>
    </row>
    <row r="109" spans="1:35" ht="14">
      <c r="A109" s="74" t="s">
        <v>138</v>
      </c>
      <c r="B109" s="50" t="s">
        <v>3821</v>
      </c>
      <c r="C109" s="50" t="s">
        <v>3821</v>
      </c>
      <c r="D109" s="48" t="s">
        <v>2374</v>
      </c>
      <c r="E109" s="50" t="s">
        <v>382</v>
      </c>
      <c r="F109" s="50" t="s">
        <v>3822</v>
      </c>
      <c r="G109" s="76" t="s">
        <v>3823</v>
      </c>
      <c r="H109" s="50" t="s">
        <v>1521</v>
      </c>
      <c r="I109" s="49" t="s">
        <v>2</v>
      </c>
      <c r="J109" s="50" t="s">
        <v>3824</v>
      </c>
      <c r="K109" s="51">
        <v>40920</v>
      </c>
      <c r="L109" s="115">
        <v>40909</v>
      </c>
      <c r="N109" s="50" t="s">
        <v>2</v>
      </c>
      <c r="O109" s="74">
        <v>10</v>
      </c>
      <c r="P109" s="117">
        <v>5.5</v>
      </c>
      <c r="Q109" s="131">
        <v>7.8</v>
      </c>
      <c r="R109" s="50">
        <v>1100</v>
      </c>
      <c r="S109" s="74">
        <v>1800</v>
      </c>
      <c r="T109" s="50">
        <v>1.8</v>
      </c>
      <c r="U109" s="74">
        <v>12</v>
      </c>
      <c r="V109" s="50">
        <v>0.05</v>
      </c>
      <c r="W109" s="227">
        <v>1.5</v>
      </c>
      <c r="X109" s="226">
        <v>6.1</v>
      </c>
      <c r="Y109" s="226">
        <v>4.8</v>
      </c>
      <c r="Z109" s="164">
        <v>1</v>
      </c>
      <c r="AA109" s="165">
        <v>1</v>
      </c>
      <c r="AB109" s="50">
        <v>26</v>
      </c>
      <c r="AC109" s="74">
        <v>77</v>
      </c>
      <c r="AD109" s="164">
        <v>1</v>
      </c>
      <c r="AE109" s="50">
        <v>120</v>
      </c>
      <c r="AF109" s="273">
        <v>1E-4</v>
      </c>
      <c r="AG109" s="50">
        <v>110</v>
      </c>
      <c r="AH109" s="50" t="s">
        <v>955</v>
      </c>
      <c r="AI109" s="50" t="s">
        <v>955</v>
      </c>
    </row>
    <row r="110" spans="1:35" ht="14">
      <c r="A110" s="74" t="s">
        <v>138</v>
      </c>
      <c r="B110" s="50" t="s">
        <v>3808</v>
      </c>
      <c r="D110" s="48" t="s">
        <v>684</v>
      </c>
      <c r="E110" s="50" t="s">
        <v>686</v>
      </c>
      <c r="G110" s="76" t="s">
        <v>685</v>
      </c>
      <c r="H110" s="50">
        <v>5093</v>
      </c>
      <c r="I110" s="49" t="s">
        <v>2</v>
      </c>
      <c r="J110" s="50" t="s">
        <v>3825</v>
      </c>
      <c r="K110" s="51">
        <v>41402</v>
      </c>
      <c r="L110" s="115">
        <v>41383</v>
      </c>
      <c r="N110" s="50" t="s">
        <v>2</v>
      </c>
      <c r="P110" s="117"/>
      <c r="Q110" s="131"/>
      <c r="W110" s="227"/>
      <c r="X110" s="226"/>
      <c r="Y110" s="226"/>
      <c r="Z110" s="164">
        <v>1</v>
      </c>
      <c r="AA110" s="165">
        <v>1</v>
      </c>
      <c r="AD110" s="164">
        <v>1</v>
      </c>
      <c r="AE110" s="50">
        <v>16</v>
      </c>
      <c r="AF110" s="273"/>
      <c r="AG110" s="50">
        <v>5.0999999999999996</v>
      </c>
    </row>
    <row r="111" spans="1:35" ht="14">
      <c r="A111" s="74" t="s">
        <v>138</v>
      </c>
      <c r="B111" s="50" t="s">
        <v>3808</v>
      </c>
      <c r="D111" s="48" t="s">
        <v>684</v>
      </c>
      <c r="E111" s="50" t="s">
        <v>686</v>
      </c>
      <c r="G111" s="76" t="s">
        <v>685</v>
      </c>
      <c r="H111" s="50">
        <v>5093</v>
      </c>
      <c r="I111" s="49" t="s">
        <v>2</v>
      </c>
      <c r="J111" s="50" t="s">
        <v>3826</v>
      </c>
      <c r="K111" s="51">
        <v>41402</v>
      </c>
      <c r="L111" s="115">
        <v>41383</v>
      </c>
      <c r="N111" s="50" t="s">
        <v>2</v>
      </c>
      <c r="P111" s="117"/>
      <c r="Q111" s="131"/>
      <c r="W111" s="227"/>
      <c r="X111" s="226"/>
      <c r="Y111" s="226"/>
      <c r="Z111" s="164">
        <v>1</v>
      </c>
      <c r="AA111" s="165">
        <v>1</v>
      </c>
      <c r="AD111" s="164">
        <v>1</v>
      </c>
      <c r="AE111" s="50">
        <v>2.87</v>
      </c>
      <c r="AF111" s="273"/>
      <c r="AG111" s="50">
        <v>0.22</v>
      </c>
    </row>
    <row r="112" spans="1:35" ht="14">
      <c r="A112" s="74" t="s">
        <v>138</v>
      </c>
      <c r="B112" s="50" t="s">
        <v>1499</v>
      </c>
      <c r="C112" s="50" t="s">
        <v>1500</v>
      </c>
      <c r="D112" s="48" t="s">
        <v>350</v>
      </c>
      <c r="E112" s="50" t="s">
        <v>1501</v>
      </c>
      <c r="G112" s="76" t="s">
        <v>1502</v>
      </c>
      <c r="H112" s="50">
        <v>5093</v>
      </c>
      <c r="I112" s="49" t="s">
        <v>2</v>
      </c>
      <c r="J112" s="72" t="s">
        <v>1503</v>
      </c>
      <c r="K112" s="51">
        <v>41402</v>
      </c>
      <c r="L112" s="115">
        <v>41394</v>
      </c>
      <c r="N112" s="50" t="s">
        <v>2</v>
      </c>
      <c r="P112" s="117">
        <v>6</v>
      </c>
      <c r="Q112" s="131">
        <v>6</v>
      </c>
      <c r="W112" s="227"/>
      <c r="X112" s="226"/>
      <c r="Y112" s="226"/>
      <c r="AE112" s="50">
        <v>17.3</v>
      </c>
      <c r="AF112" s="273"/>
    </row>
    <row r="113" spans="1:36" ht="14">
      <c r="A113" s="74" t="s">
        <v>138</v>
      </c>
      <c r="B113" s="50" t="s">
        <v>3142</v>
      </c>
      <c r="C113" s="50" t="s">
        <v>3142</v>
      </c>
      <c r="D113" s="48" t="s">
        <v>350</v>
      </c>
      <c r="E113" s="50" t="s">
        <v>1329</v>
      </c>
      <c r="G113" s="76" t="s">
        <v>3143</v>
      </c>
      <c r="H113" s="50">
        <v>5093</v>
      </c>
      <c r="I113" s="49" t="s">
        <v>2</v>
      </c>
      <c r="J113" s="50" t="s">
        <v>3144</v>
      </c>
      <c r="K113" s="51">
        <v>41365</v>
      </c>
      <c r="L113" s="115">
        <v>41352</v>
      </c>
      <c r="N113" s="50" t="s">
        <v>2</v>
      </c>
      <c r="O113" s="74">
        <v>0.8</v>
      </c>
      <c r="P113" s="117">
        <v>5.45</v>
      </c>
      <c r="Q113" s="131">
        <v>5.78</v>
      </c>
      <c r="R113" s="50">
        <v>102</v>
      </c>
      <c r="S113" s="74">
        <v>2.5</v>
      </c>
      <c r="T113" s="50">
        <v>0.34</v>
      </c>
      <c r="U113" s="74">
        <v>2.0499999999999998</v>
      </c>
      <c r="V113" s="50">
        <v>5.0000000000000001E-3</v>
      </c>
      <c r="W113" s="227">
        <v>8.0000000000000002E-3</v>
      </c>
      <c r="X113" s="226">
        <v>5.0999999999999997E-2</v>
      </c>
      <c r="Y113" s="226">
        <v>6.0000000000000001E-3</v>
      </c>
      <c r="Z113" s="164">
        <v>1</v>
      </c>
      <c r="AA113" s="165">
        <v>1</v>
      </c>
      <c r="AB113" s="50">
        <v>2</v>
      </c>
      <c r="AC113" s="74">
        <v>25</v>
      </c>
      <c r="AD113" s="164">
        <v>1</v>
      </c>
      <c r="AE113" s="50">
        <v>3.92</v>
      </c>
      <c r="AF113" s="273">
        <v>1E-4</v>
      </c>
      <c r="AG113" s="50">
        <v>3.13</v>
      </c>
      <c r="AH113" s="50">
        <v>2.8500000000000001E-2</v>
      </c>
      <c r="AI113" s="50">
        <v>2.5000000000000001E-4</v>
      </c>
    </row>
    <row r="114" spans="1:36" ht="14">
      <c r="A114" s="74" t="s">
        <v>138</v>
      </c>
      <c r="B114" s="50" t="s">
        <v>3142</v>
      </c>
      <c r="C114" s="50" t="s">
        <v>3142</v>
      </c>
      <c r="D114" s="48" t="s">
        <v>350</v>
      </c>
      <c r="E114" s="50" t="s">
        <v>1329</v>
      </c>
      <c r="G114" s="76" t="s">
        <v>3143</v>
      </c>
      <c r="H114" s="50">
        <v>5093</v>
      </c>
      <c r="I114" s="49" t="s">
        <v>2</v>
      </c>
      <c r="J114" s="50" t="s">
        <v>3145</v>
      </c>
      <c r="K114" s="51">
        <v>41365</v>
      </c>
      <c r="L114" s="115">
        <v>41352</v>
      </c>
      <c r="N114" s="50" t="s">
        <v>2</v>
      </c>
      <c r="O114" s="74">
        <v>0.7</v>
      </c>
      <c r="P114" s="117">
        <v>5.59</v>
      </c>
      <c r="Q114" s="131">
        <v>2.74</v>
      </c>
      <c r="R114" s="50">
        <v>14</v>
      </c>
      <c r="S114" s="74">
        <v>2.5</v>
      </c>
      <c r="T114" s="50">
        <v>0.02</v>
      </c>
      <c r="U114" s="74">
        <v>0.56999999999999995</v>
      </c>
      <c r="V114" s="50">
        <v>46.8</v>
      </c>
      <c r="W114" s="227">
        <v>2.5000000000000001E-3</v>
      </c>
      <c r="X114" s="226">
        <v>1.2999999999999999E-2</v>
      </c>
      <c r="Y114" s="226">
        <v>1E-3</v>
      </c>
      <c r="Z114" s="164">
        <v>1</v>
      </c>
      <c r="AA114" s="165">
        <v>1</v>
      </c>
      <c r="AB114" s="50">
        <v>6</v>
      </c>
      <c r="AC114" s="74">
        <v>27</v>
      </c>
      <c r="AD114" s="164">
        <v>1</v>
      </c>
      <c r="AE114" s="50">
        <v>0.317</v>
      </c>
      <c r="AF114" s="273">
        <v>1E-4</v>
      </c>
      <c r="AG114" s="50">
        <v>0.32500000000000001</v>
      </c>
      <c r="AH114" s="50">
        <v>2.5000000000000001E-2</v>
      </c>
      <c r="AI114" s="50">
        <v>2.5000000000000001E-3</v>
      </c>
      <c r="AJ114" s="90"/>
    </row>
    <row r="115" spans="1:36" ht="14">
      <c r="A115" s="74" t="s">
        <v>138</v>
      </c>
      <c r="B115" s="50" t="s">
        <v>3808</v>
      </c>
      <c r="D115" s="48" t="s">
        <v>684</v>
      </c>
      <c r="E115" s="50" t="s">
        <v>686</v>
      </c>
      <c r="G115" s="76" t="s">
        <v>685</v>
      </c>
      <c r="H115" s="50">
        <v>5093</v>
      </c>
      <c r="I115" s="49" t="s">
        <v>2</v>
      </c>
      <c r="J115" s="50" t="s">
        <v>145</v>
      </c>
      <c r="K115" s="51">
        <v>41352</v>
      </c>
      <c r="L115" s="115">
        <v>41345</v>
      </c>
      <c r="N115" s="50" t="s">
        <v>1</v>
      </c>
      <c r="O115" s="74">
        <v>2.7</v>
      </c>
      <c r="P115" s="117">
        <v>6.6</v>
      </c>
      <c r="Q115" s="131">
        <v>7.5</v>
      </c>
      <c r="R115" s="50">
        <v>107</v>
      </c>
      <c r="S115" s="74">
        <v>36</v>
      </c>
      <c r="T115" s="50">
        <v>0.16</v>
      </c>
      <c r="U115" s="74">
        <v>3.87</v>
      </c>
      <c r="V115" s="50">
        <v>0.05</v>
      </c>
      <c r="W115" s="227">
        <v>5.1999999999999998E-2</v>
      </c>
      <c r="X115" s="226">
        <v>0.443</v>
      </c>
      <c r="Y115" s="226">
        <v>4.1000000000000002E-2</v>
      </c>
      <c r="AE115" s="50">
        <v>5.0599999999999996</v>
      </c>
      <c r="AF115" s="273">
        <v>2.0000000000000001E-4</v>
      </c>
      <c r="AG115" s="50">
        <v>0.64</v>
      </c>
      <c r="AH115" s="50">
        <v>250</v>
      </c>
      <c r="AI115" s="50">
        <v>5</v>
      </c>
    </row>
    <row r="116" spans="1:36" ht="14">
      <c r="A116" s="74" t="s">
        <v>138</v>
      </c>
      <c r="B116" s="50" t="s">
        <v>3808</v>
      </c>
      <c r="D116" s="48" t="s">
        <v>684</v>
      </c>
      <c r="E116" s="50" t="s">
        <v>686</v>
      </c>
      <c r="G116" s="76" t="s">
        <v>685</v>
      </c>
      <c r="H116" s="50">
        <v>5093</v>
      </c>
      <c r="I116" s="49" t="s">
        <v>2</v>
      </c>
      <c r="J116" s="50" t="s">
        <v>144</v>
      </c>
      <c r="K116" s="51">
        <v>40996</v>
      </c>
      <c r="L116" s="115">
        <v>40970</v>
      </c>
      <c r="N116" s="50" t="s">
        <v>2</v>
      </c>
      <c r="O116" s="74">
        <v>31.1</v>
      </c>
      <c r="P116" s="117"/>
      <c r="Q116" s="131">
        <v>7.4</v>
      </c>
      <c r="R116" s="50">
        <v>90</v>
      </c>
      <c r="S116" s="74">
        <v>238</v>
      </c>
      <c r="T116" s="50">
        <v>4.76</v>
      </c>
      <c r="U116" s="74">
        <v>11.6</v>
      </c>
      <c r="V116" s="50">
        <v>0.28000000000000003</v>
      </c>
      <c r="W116" s="227">
        <v>0.218</v>
      </c>
      <c r="X116" s="226">
        <v>2.62</v>
      </c>
      <c r="Y116" s="226">
        <v>0.46700000000000003</v>
      </c>
      <c r="Z116" s="164">
        <v>1</v>
      </c>
      <c r="AA116" s="165">
        <v>1</v>
      </c>
      <c r="AB116" s="50">
        <v>217</v>
      </c>
      <c r="AC116" s="74">
        <v>1096</v>
      </c>
      <c r="AD116" s="164">
        <v>1</v>
      </c>
      <c r="AE116" s="50">
        <v>19.399999999999999</v>
      </c>
      <c r="AF116" s="273">
        <v>5.0000000000000001E-4</v>
      </c>
      <c r="AG116" s="50">
        <v>3.82</v>
      </c>
      <c r="AH116" s="50">
        <v>250</v>
      </c>
      <c r="AI116" s="50">
        <v>6</v>
      </c>
    </row>
    <row r="117" spans="1:36" ht="14">
      <c r="A117" s="74" t="s">
        <v>138</v>
      </c>
      <c r="B117" s="7" t="s">
        <v>942</v>
      </c>
      <c r="C117" s="7"/>
      <c r="D117" s="14" t="s">
        <v>379</v>
      </c>
      <c r="E117" s="7"/>
      <c r="F117" s="7"/>
      <c r="G117" s="15" t="s">
        <v>943</v>
      </c>
      <c r="H117" s="7"/>
      <c r="I117" s="19" t="s">
        <v>2</v>
      </c>
      <c r="J117" s="7" t="s">
        <v>1835</v>
      </c>
      <c r="K117" s="16">
        <v>41431</v>
      </c>
      <c r="L117" s="17">
        <v>41427</v>
      </c>
      <c r="M117" s="7"/>
      <c r="N117" s="7" t="s">
        <v>2</v>
      </c>
      <c r="O117" s="6">
        <v>1</v>
      </c>
      <c r="P117" s="9">
        <v>6.9</v>
      </c>
      <c r="Q117" s="8">
        <v>6.9</v>
      </c>
      <c r="R117" s="7">
        <v>5</v>
      </c>
      <c r="S117" s="6">
        <v>2</v>
      </c>
      <c r="T117" s="7">
        <v>2.5000000000000001E-2</v>
      </c>
      <c r="U117" s="6">
        <v>0.27</v>
      </c>
      <c r="V117" s="7">
        <v>0.1</v>
      </c>
      <c r="W117" s="11">
        <v>5.0000000000000001E-3</v>
      </c>
      <c r="X117" s="10">
        <v>0.114</v>
      </c>
      <c r="Y117" s="10">
        <v>1.4999999999999999E-2</v>
      </c>
      <c r="Z117" s="12"/>
      <c r="AA117" s="13"/>
      <c r="AB117" s="7"/>
      <c r="AC117" s="6"/>
      <c r="AD117" s="12"/>
      <c r="AE117" s="7">
        <v>2.5000000000000001E-2</v>
      </c>
      <c r="AF117" s="21">
        <v>2.0000000000000001E-4</v>
      </c>
      <c r="AG117" s="7">
        <v>0.05</v>
      </c>
      <c r="AH117" s="7">
        <v>250</v>
      </c>
      <c r="AI117" s="7">
        <v>5</v>
      </c>
      <c r="AJ117" s="5"/>
    </row>
    <row r="118" spans="1:36" ht="14">
      <c r="A118" s="74" t="s">
        <v>138</v>
      </c>
      <c r="B118" s="7" t="s">
        <v>4170</v>
      </c>
      <c r="C118" s="7"/>
      <c r="D118" s="14" t="s">
        <v>1896</v>
      </c>
      <c r="E118" s="7" t="s">
        <v>3816</v>
      </c>
      <c r="F118" s="7"/>
      <c r="G118" s="15" t="s">
        <v>3817</v>
      </c>
      <c r="H118" s="7">
        <v>5093</v>
      </c>
      <c r="I118" s="19"/>
      <c r="J118" s="7" t="s">
        <v>4171</v>
      </c>
      <c r="K118" s="16">
        <v>41184</v>
      </c>
      <c r="L118" s="17">
        <v>41181</v>
      </c>
      <c r="M118" s="7"/>
      <c r="N118" s="7" t="s">
        <v>2</v>
      </c>
      <c r="O118" s="6">
        <v>6.2</v>
      </c>
      <c r="P118" s="9">
        <v>6.8</v>
      </c>
      <c r="Q118" s="8">
        <v>7.2</v>
      </c>
      <c r="R118" s="7">
        <v>35</v>
      </c>
      <c r="S118" s="6">
        <v>9</v>
      </c>
      <c r="T118" s="7">
        <v>0.06</v>
      </c>
      <c r="U118" s="6">
        <v>0.6</v>
      </c>
      <c r="V118" s="7">
        <v>0.05</v>
      </c>
      <c r="W118" s="11">
        <v>0.03</v>
      </c>
      <c r="X118" s="10">
        <v>0.214</v>
      </c>
      <c r="Y118" s="10">
        <v>3.3000000000000002E-2</v>
      </c>
      <c r="Z118" s="12">
        <v>1</v>
      </c>
      <c r="AA118" s="13">
        <v>1</v>
      </c>
      <c r="AB118" s="7">
        <v>94</v>
      </c>
      <c r="AC118" s="6">
        <v>589</v>
      </c>
      <c r="AD118" s="12">
        <v>1</v>
      </c>
      <c r="AE118" s="7">
        <v>1.53</v>
      </c>
      <c r="AF118" s="21">
        <v>2.0000000000000001E-4</v>
      </c>
      <c r="AG118" s="7">
        <v>0.18</v>
      </c>
      <c r="AH118" s="7">
        <v>250</v>
      </c>
      <c r="AI118" s="7">
        <v>5</v>
      </c>
      <c r="AJ118" s="5"/>
    </row>
    <row r="119" spans="1:36" ht="14">
      <c r="A119" s="74" t="s">
        <v>138</v>
      </c>
      <c r="B119" s="7" t="s">
        <v>416</v>
      </c>
      <c r="C119" s="7" t="s">
        <v>417</v>
      </c>
      <c r="D119" s="14" t="s">
        <v>133</v>
      </c>
      <c r="E119" s="7" t="s">
        <v>4172</v>
      </c>
      <c r="F119" s="7" t="s">
        <v>2</v>
      </c>
      <c r="G119" s="15" t="s">
        <v>418</v>
      </c>
      <c r="H119" s="7">
        <v>5093</v>
      </c>
      <c r="I119" s="19" t="s">
        <v>2</v>
      </c>
      <c r="J119" s="7" t="s">
        <v>1498</v>
      </c>
      <c r="K119" s="16">
        <v>41417</v>
      </c>
      <c r="L119" s="17">
        <v>41413</v>
      </c>
      <c r="M119" s="7"/>
      <c r="N119" s="7" t="s">
        <v>2</v>
      </c>
      <c r="O119" s="6">
        <v>0.7</v>
      </c>
      <c r="P119" s="9"/>
      <c r="Q119" s="8"/>
      <c r="R119" s="7">
        <v>12</v>
      </c>
      <c r="S119" s="6">
        <v>48</v>
      </c>
      <c r="T119" s="7">
        <v>0.09</v>
      </c>
      <c r="U119" s="6">
        <v>0.8</v>
      </c>
      <c r="V119" s="7">
        <v>0.11</v>
      </c>
      <c r="W119" s="11">
        <v>5.0000000000000001E-3</v>
      </c>
      <c r="X119" s="10">
        <v>3.9E-2</v>
      </c>
      <c r="Y119" s="10">
        <v>2E-3</v>
      </c>
      <c r="Z119" s="12">
        <v>1</v>
      </c>
      <c r="AA119" s="13">
        <v>1</v>
      </c>
      <c r="AB119" s="7">
        <v>2</v>
      </c>
      <c r="AC119" s="6">
        <v>10</v>
      </c>
      <c r="AD119" s="12">
        <v>1</v>
      </c>
      <c r="AE119" s="7">
        <v>0.70799999999999996</v>
      </c>
      <c r="AF119" s="21"/>
      <c r="AG119" s="7">
        <v>0.311</v>
      </c>
      <c r="AH119" s="7">
        <f>20/2</f>
        <v>10</v>
      </c>
      <c r="AI119" s="7">
        <f>0.1/2</f>
        <v>0.05</v>
      </c>
      <c r="AJ119" s="5"/>
    </row>
    <row r="120" spans="1:36" ht="14">
      <c r="A120" s="74" t="s">
        <v>138</v>
      </c>
      <c r="B120" s="7" t="s">
        <v>416</v>
      </c>
      <c r="C120" s="7" t="s">
        <v>417</v>
      </c>
      <c r="D120" s="14" t="s">
        <v>133</v>
      </c>
      <c r="E120" s="7" t="s">
        <v>4172</v>
      </c>
      <c r="F120" s="7"/>
      <c r="G120" s="15" t="s">
        <v>418</v>
      </c>
      <c r="H120" s="7">
        <v>5093</v>
      </c>
      <c r="I120" s="19" t="s">
        <v>2</v>
      </c>
      <c r="J120" s="7" t="s">
        <v>1496</v>
      </c>
      <c r="K120" s="16">
        <v>41417</v>
      </c>
      <c r="L120" s="17">
        <v>41413</v>
      </c>
      <c r="M120" s="7"/>
      <c r="N120" s="7" t="s">
        <v>2</v>
      </c>
      <c r="O120" s="6">
        <v>0.7</v>
      </c>
      <c r="P120" s="9"/>
      <c r="Q120" s="8"/>
      <c r="R120" s="7">
        <v>47</v>
      </c>
      <c r="S120" s="6">
        <v>2.5</v>
      </c>
      <c r="T120" s="7">
        <v>0.06</v>
      </c>
      <c r="U120" s="6">
        <v>0.39</v>
      </c>
      <c r="V120" s="7">
        <v>0.1</v>
      </c>
      <c r="W120" s="11">
        <v>2.5000000000000001E-3</v>
      </c>
      <c r="X120" s="10">
        <v>8.9999999999999993E-3</v>
      </c>
      <c r="Y120" s="10">
        <v>1E-3</v>
      </c>
      <c r="Z120" s="12">
        <v>1</v>
      </c>
      <c r="AA120" s="13">
        <v>1</v>
      </c>
      <c r="AB120" s="7">
        <v>1</v>
      </c>
      <c r="AC120" s="6">
        <v>4</v>
      </c>
      <c r="AD120" s="12">
        <v>1</v>
      </c>
      <c r="AE120" s="7"/>
      <c r="AF120" s="21"/>
      <c r="AG120" s="7"/>
      <c r="AH120" s="7">
        <f>20/2</f>
        <v>10</v>
      </c>
      <c r="AI120" s="7">
        <f>0.1/2</f>
        <v>0.05</v>
      </c>
      <c r="AJ120" s="5"/>
    </row>
    <row r="121" spans="1:36" ht="14">
      <c r="A121" s="74" t="s">
        <v>138</v>
      </c>
      <c r="B121" s="7" t="s">
        <v>416</v>
      </c>
      <c r="C121" s="7" t="s">
        <v>417</v>
      </c>
      <c r="D121" s="14" t="s">
        <v>133</v>
      </c>
      <c r="E121" s="7" t="s">
        <v>4172</v>
      </c>
      <c r="F121" s="7"/>
      <c r="G121" s="15" t="s">
        <v>418</v>
      </c>
      <c r="H121" s="7">
        <v>5093</v>
      </c>
      <c r="I121" s="19" t="s">
        <v>2</v>
      </c>
      <c r="J121" s="7" t="s">
        <v>1497</v>
      </c>
      <c r="K121" s="16">
        <v>41417</v>
      </c>
      <c r="L121" s="17">
        <v>41413</v>
      </c>
      <c r="M121" s="7"/>
      <c r="N121" s="7" t="s">
        <v>2</v>
      </c>
      <c r="O121" s="6">
        <v>2.2000000000000002</v>
      </c>
      <c r="P121" s="9"/>
      <c r="Q121" s="8"/>
      <c r="R121" s="7">
        <v>40</v>
      </c>
      <c r="S121" s="6">
        <v>85</v>
      </c>
      <c r="T121" s="7">
        <v>0.26</v>
      </c>
      <c r="U121" s="6">
        <v>1.8</v>
      </c>
      <c r="V121" s="7">
        <v>0.4</v>
      </c>
      <c r="W121" s="11">
        <v>2.7E-2</v>
      </c>
      <c r="X121" s="10">
        <v>9.6000000000000002E-2</v>
      </c>
      <c r="Y121" s="10">
        <v>8.9999999999999993E-3</v>
      </c>
      <c r="Z121" s="12">
        <v>1</v>
      </c>
      <c r="AA121" s="13">
        <v>1</v>
      </c>
      <c r="AB121" s="7">
        <v>10</v>
      </c>
      <c r="AC121" s="6">
        <v>104</v>
      </c>
      <c r="AD121" s="12">
        <v>0.95</v>
      </c>
      <c r="AE121" s="7">
        <v>2.6</v>
      </c>
      <c r="AF121" s="21"/>
      <c r="AG121" s="7"/>
      <c r="AH121" s="7">
        <v>2.9</v>
      </c>
      <c r="AI121" s="7">
        <f>0.1/2</f>
        <v>0.05</v>
      </c>
      <c r="AJ121" s="5"/>
    </row>
    <row r="122" spans="1:36" ht="14">
      <c r="A122" s="74" t="s">
        <v>138</v>
      </c>
      <c r="B122" s="7" t="s">
        <v>3246</v>
      </c>
      <c r="C122" s="7" t="s">
        <v>3246</v>
      </c>
      <c r="D122" s="14" t="s">
        <v>480</v>
      </c>
      <c r="E122" s="7" t="s">
        <v>1486</v>
      </c>
      <c r="F122" s="7"/>
      <c r="G122" s="15" t="s">
        <v>3247</v>
      </c>
      <c r="H122" s="7">
        <v>5093</v>
      </c>
      <c r="I122" s="19" t="s">
        <v>2</v>
      </c>
      <c r="J122" s="7" t="s">
        <v>4173</v>
      </c>
      <c r="K122" s="16">
        <v>41402</v>
      </c>
      <c r="L122" s="17"/>
      <c r="M122" s="7"/>
      <c r="N122" s="7" t="s">
        <v>2</v>
      </c>
      <c r="O122" s="6">
        <v>0.5</v>
      </c>
      <c r="P122" s="9"/>
      <c r="Q122" s="8">
        <v>6.86</v>
      </c>
      <c r="R122" s="7">
        <v>92.1</v>
      </c>
      <c r="S122" s="6">
        <v>101</v>
      </c>
      <c r="T122" s="7">
        <v>0.51</v>
      </c>
      <c r="U122" s="6">
        <v>4.93</v>
      </c>
      <c r="V122" s="7">
        <v>0.23</v>
      </c>
      <c r="W122" s="11">
        <v>8.9999999999999993E-3</v>
      </c>
      <c r="X122" s="10">
        <v>9.2999999999999999E-2</v>
      </c>
      <c r="Y122" s="10">
        <v>3.0000000000000001E-3</v>
      </c>
      <c r="Z122" s="12">
        <v>1</v>
      </c>
      <c r="AA122" s="13">
        <v>1</v>
      </c>
      <c r="AB122" s="7">
        <v>7.47</v>
      </c>
      <c r="AC122" s="6">
        <v>20</v>
      </c>
      <c r="AD122" s="12">
        <v>1</v>
      </c>
      <c r="AE122" s="7">
        <v>0.88</v>
      </c>
      <c r="AF122" s="21">
        <v>1E-4</v>
      </c>
      <c r="AG122" s="7">
        <v>0.38</v>
      </c>
      <c r="AH122" s="7">
        <v>12.5</v>
      </c>
      <c r="AI122" s="7">
        <v>0.5</v>
      </c>
      <c r="AJ122" s="5"/>
    </row>
    <row r="123" spans="1:36" ht="14">
      <c r="A123" s="74" t="s">
        <v>138</v>
      </c>
      <c r="B123" s="7" t="s">
        <v>4176</v>
      </c>
      <c r="C123" s="7" t="s">
        <v>3811</v>
      </c>
      <c r="D123" s="14" t="s">
        <v>314</v>
      </c>
      <c r="E123" s="7" t="s">
        <v>3812</v>
      </c>
      <c r="F123" s="7"/>
      <c r="G123" s="15" t="s">
        <v>3813</v>
      </c>
      <c r="H123" s="7">
        <v>5093</v>
      </c>
      <c r="I123" s="19" t="s">
        <v>2</v>
      </c>
      <c r="J123" s="7" t="s">
        <v>510</v>
      </c>
      <c r="K123" s="16">
        <v>41402</v>
      </c>
      <c r="L123" s="17">
        <v>41384</v>
      </c>
      <c r="M123" s="7"/>
      <c r="N123" s="7" t="s">
        <v>2</v>
      </c>
      <c r="O123" s="6">
        <v>1.6</v>
      </c>
      <c r="P123" s="9"/>
      <c r="Q123" s="8">
        <v>6.55</v>
      </c>
      <c r="R123" s="7">
        <v>49</v>
      </c>
      <c r="S123" s="6">
        <v>22</v>
      </c>
      <c r="T123" s="7">
        <v>0.15</v>
      </c>
      <c r="U123" s="6">
        <v>1.22</v>
      </c>
      <c r="V123" s="7">
        <v>0.25</v>
      </c>
      <c r="W123" s="11">
        <v>3.9E-2</v>
      </c>
      <c r="X123" s="10">
        <v>8.5000000000000006E-2</v>
      </c>
      <c r="Y123" s="10">
        <v>1.4999999999999999E-2</v>
      </c>
      <c r="Z123" s="12"/>
      <c r="AA123" s="13"/>
      <c r="AB123" s="7"/>
      <c r="AC123" s="6"/>
      <c r="AD123" s="12"/>
      <c r="AE123" s="7">
        <v>1.31</v>
      </c>
      <c r="AF123" s="21"/>
      <c r="AG123" s="7">
        <v>0.73299999999999998</v>
      </c>
      <c r="AH123" s="7">
        <v>2.3E-3</v>
      </c>
      <c r="AI123" s="7">
        <f>0.5/2</f>
        <v>0.25</v>
      </c>
      <c r="AJ123" s="5"/>
    </row>
    <row r="124" spans="1:36" ht="14">
      <c r="A124" s="53" t="s">
        <v>138</v>
      </c>
      <c r="B124" s="50" t="s">
        <v>4687</v>
      </c>
      <c r="C124" s="50" t="s">
        <v>4688</v>
      </c>
      <c r="D124" s="48" t="s">
        <v>636</v>
      </c>
      <c r="E124" s="50" t="s">
        <v>4689</v>
      </c>
      <c r="F124" s="50" t="s">
        <v>1012</v>
      </c>
      <c r="G124" s="76" t="s">
        <v>637</v>
      </c>
      <c r="H124" s="50">
        <v>5093</v>
      </c>
      <c r="I124" s="49" t="s">
        <v>2</v>
      </c>
      <c r="J124" s="50" t="s">
        <v>4690</v>
      </c>
      <c r="K124" s="51">
        <v>41428</v>
      </c>
      <c r="L124" s="115">
        <v>41424</v>
      </c>
      <c r="N124" s="50" t="s">
        <v>2</v>
      </c>
      <c r="O124" s="74">
        <f>1/2</f>
        <v>0.5</v>
      </c>
      <c r="P124" s="50">
        <v>6</v>
      </c>
      <c r="Q124" s="74">
        <v>6.4</v>
      </c>
      <c r="R124" s="50">
        <v>53</v>
      </c>
      <c r="S124" s="74">
        <v>7.8</v>
      </c>
      <c r="T124" s="50">
        <v>7.2999999999999995E-2</v>
      </c>
      <c r="U124" s="74">
        <v>1.3</v>
      </c>
      <c r="V124" s="50">
        <v>0.2</v>
      </c>
      <c r="W124" s="74">
        <v>5.3999999999999999E-2</v>
      </c>
      <c r="X124" s="50">
        <v>7.4999999999999997E-2</v>
      </c>
      <c r="Y124" s="50">
        <v>7.3000000000000001E-3</v>
      </c>
      <c r="AE124" s="50">
        <v>0.34</v>
      </c>
      <c r="AF124" s="273"/>
      <c r="AG124" s="50">
        <v>0.12</v>
      </c>
      <c r="AH124" s="50">
        <f>10/2</f>
        <v>5</v>
      </c>
      <c r="AI124" s="50">
        <f>0.4/2</f>
        <v>0.2</v>
      </c>
    </row>
    <row r="125" spans="1:36" ht="14">
      <c r="A125" s="53" t="s">
        <v>138</v>
      </c>
      <c r="B125" s="50" t="s">
        <v>939</v>
      </c>
      <c r="C125" s="50" t="s">
        <v>939</v>
      </c>
      <c r="D125" s="48" t="s">
        <v>397</v>
      </c>
      <c r="E125" s="50" t="s">
        <v>1027</v>
      </c>
      <c r="F125" s="50" t="s">
        <v>959</v>
      </c>
      <c r="G125" s="76" t="s">
        <v>940</v>
      </c>
      <c r="H125" s="50">
        <v>5093</v>
      </c>
      <c r="I125" s="49" t="s">
        <v>1</v>
      </c>
      <c r="J125" s="50" t="s">
        <v>941</v>
      </c>
      <c r="K125" s="51">
        <v>41428</v>
      </c>
      <c r="L125" s="115">
        <v>41424</v>
      </c>
      <c r="N125" s="50" t="s">
        <v>2</v>
      </c>
      <c r="O125" s="74">
        <f>1/2</f>
        <v>0.5</v>
      </c>
      <c r="P125" s="50">
        <v>6</v>
      </c>
      <c r="Q125" s="74">
        <v>6.4</v>
      </c>
      <c r="R125" s="50">
        <v>31</v>
      </c>
      <c r="S125" s="74">
        <v>2.4</v>
      </c>
      <c r="T125" s="50">
        <v>1.7999999999999999E-2</v>
      </c>
      <c r="U125" s="74">
        <f>0.5/2</f>
        <v>0.25</v>
      </c>
      <c r="V125" s="50">
        <v>0.64</v>
      </c>
      <c r="W125" s="74">
        <v>2.5999999999999999E-2</v>
      </c>
      <c r="X125" s="50">
        <v>0.14000000000000001</v>
      </c>
      <c r="Y125" s="50">
        <v>2.5000000000000001E-2</v>
      </c>
      <c r="AE125" s="50">
        <v>0.7</v>
      </c>
      <c r="AF125" s="273">
        <f>0.0002/2</f>
        <v>1E-4</v>
      </c>
      <c r="AG125" s="50">
        <v>0.2</v>
      </c>
      <c r="AH125" s="50">
        <f>10/2</f>
        <v>5</v>
      </c>
      <c r="AI125" s="50">
        <f>0.4/2</f>
        <v>0.2</v>
      </c>
    </row>
    <row r="126" spans="1:36" ht="14">
      <c r="A126" s="53" t="s">
        <v>138</v>
      </c>
      <c r="B126" s="50" t="s">
        <v>4691</v>
      </c>
      <c r="C126" s="50" t="s">
        <v>4692</v>
      </c>
      <c r="D126" s="48" t="s">
        <v>133</v>
      </c>
      <c r="E126" s="50" t="s">
        <v>4693</v>
      </c>
      <c r="F126" s="50" t="s">
        <v>1188</v>
      </c>
      <c r="G126" s="76" t="s">
        <v>1189</v>
      </c>
      <c r="H126" s="50" t="s">
        <v>4694</v>
      </c>
      <c r="I126" s="49" t="s">
        <v>2</v>
      </c>
      <c r="J126" s="50" t="s">
        <v>1522</v>
      </c>
      <c r="K126" s="51">
        <v>41529</v>
      </c>
      <c r="L126" s="115">
        <v>41520</v>
      </c>
      <c r="N126" s="50" t="s">
        <v>2</v>
      </c>
      <c r="O126" s="74">
        <v>6</v>
      </c>
      <c r="P126" s="50">
        <v>6</v>
      </c>
      <c r="Q126" s="74">
        <v>7.3</v>
      </c>
      <c r="R126" s="50">
        <v>180</v>
      </c>
      <c r="S126" s="74">
        <v>190</v>
      </c>
      <c r="T126" s="50">
        <v>0.45</v>
      </c>
      <c r="U126" s="74">
        <v>1.4</v>
      </c>
      <c r="V126" s="50">
        <v>0.68</v>
      </c>
      <c r="W126" s="74">
        <v>0.27</v>
      </c>
      <c r="X126" s="50">
        <v>0.57999999999999996</v>
      </c>
      <c r="Y126" s="50">
        <v>0.23</v>
      </c>
      <c r="AE126" s="50">
        <v>15</v>
      </c>
      <c r="AF126" s="273"/>
      <c r="AG126" s="50">
        <v>9.1</v>
      </c>
      <c r="AH126" s="50">
        <f>100/2</f>
        <v>50</v>
      </c>
      <c r="AI126" s="50">
        <f>0.4/2</f>
        <v>0.2</v>
      </c>
    </row>
    <row r="127" spans="1:36" ht="14">
      <c r="A127" s="53" t="s">
        <v>138</v>
      </c>
      <c r="B127" s="50" t="s">
        <v>939</v>
      </c>
      <c r="C127" s="50" t="s">
        <v>939</v>
      </c>
      <c r="D127" s="48" t="s">
        <v>397</v>
      </c>
      <c r="E127" s="50" t="s">
        <v>1027</v>
      </c>
      <c r="F127" s="50" t="s">
        <v>959</v>
      </c>
      <c r="G127" s="76" t="s">
        <v>940</v>
      </c>
      <c r="H127" s="50">
        <v>5093</v>
      </c>
      <c r="I127" s="49" t="s">
        <v>1</v>
      </c>
      <c r="J127" s="50" t="s">
        <v>941</v>
      </c>
      <c r="K127" s="51">
        <v>41529</v>
      </c>
      <c r="L127" s="115">
        <v>41520</v>
      </c>
      <c r="N127" s="50" t="s">
        <v>2</v>
      </c>
      <c r="O127" s="74">
        <v>5.6</v>
      </c>
      <c r="P127" s="50">
        <v>6</v>
      </c>
      <c r="Q127" s="74">
        <v>7.4</v>
      </c>
      <c r="R127" s="50">
        <v>110</v>
      </c>
      <c r="S127" s="74">
        <v>34</v>
      </c>
      <c r="T127" s="50">
        <v>0.23</v>
      </c>
      <c r="U127" s="74">
        <v>1.6</v>
      </c>
      <c r="V127" s="50">
        <v>0.39</v>
      </c>
      <c r="W127" s="74">
        <v>0.1</v>
      </c>
      <c r="X127" s="50">
        <v>0.6</v>
      </c>
      <c r="Y127" s="50">
        <v>0.14000000000000001</v>
      </c>
      <c r="AE127" s="50">
        <v>3</v>
      </c>
      <c r="AF127" s="273">
        <v>5.9999999999999995E-4</v>
      </c>
      <c r="AG127" s="50">
        <v>0.91</v>
      </c>
      <c r="AH127" s="50">
        <v>11</v>
      </c>
      <c r="AI127" s="50">
        <f>0.4/2</f>
        <v>0.2</v>
      </c>
    </row>
    <row r="128" spans="1:36" ht="14">
      <c r="A128" s="53" t="s">
        <v>138</v>
      </c>
      <c r="B128" s="50" t="s">
        <v>4695</v>
      </c>
      <c r="D128" s="48" t="s">
        <v>56</v>
      </c>
      <c r="E128" s="50" t="s">
        <v>686</v>
      </c>
      <c r="G128" s="76" t="s">
        <v>685</v>
      </c>
      <c r="H128" s="50">
        <v>5093</v>
      </c>
      <c r="I128" s="49" t="s">
        <v>2</v>
      </c>
      <c r="J128" s="50" t="s">
        <v>4272</v>
      </c>
      <c r="K128" s="51">
        <v>41495</v>
      </c>
      <c r="L128" s="115">
        <v>41487</v>
      </c>
      <c r="N128" s="50" t="s">
        <v>2</v>
      </c>
      <c r="O128" s="74">
        <v>5.6</v>
      </c>
      <c r="P128" s="50">
        <v>6.4</v>
      </c>
      <c r="Q128" s="74">
        <v>7.3</v>
      </c>
      <c r="R128" s="50">
        <v>200</v>
      </c>
      <c r="S128" s="74">
        <v>75</v>
      </c>
      <c r="T128" s="50">
        <v>0.25</v>
      </c>
      <c r="U128" s="74">
        <v>10.5</v>
      </c>
      <c r="V128" s="50">
        <v>0.38</v>
      </c>
      <c r="W128" s="74">
        <v>0.14199999999999999</v>
      </c>
      <c r="X128" s="50">
        <v>0.73199999999999998</v>
      </c>
      <c r="Y128" s="50">
        <v>0.11700000000000001</v>
      </c>
      <c r="Z128" s="164">
        <v>1</v>
      </c>
      <c r="AA128" s="165">
        <v>1</v>
      </c>
      <c r="AB128" s="50">
        <v>289</v>
      </c>
      <c r="AC128" s="74">
        <v>1355</v>
      </c>
      <c r="AD128" s="164">
        <v>0.7</v>
      </c>
      <c r="AE128" s="50">
        <v>6.27</v>
      </c>
      <c r="AF128" s="273"/>
      <c r="AG128" s="50">
        <v>1.41</v>
      </c>
      <c r="AH128" s="50">
        <v>26</v>
      </c>
      <c r="AI128" s="50">
        <v>2</v>
      </c>
    </row>
    <row r="129" spans="1:36" ht="14">
      <c r="A129" s="53" t="s">
        <v>138</v>
      </c>
      <c r="B129" s="50" t="s">
        <v>4695</v>
      </c>
      <c r="D129" s="48" t="s">
        <v>56</v>
      </c>
      <c r="E129" s="50" t="s">
        <v>686</v>
      </c>
      <c r="G129" s="76" t="s">
        <v>685</v>
      </c>
      <c r="H129" s="50">
        <v>5093</v>
      </c>
      <c r="I129" s="49" t="s">
        <v>2</v>
      </c>
      <c r="J129" s="50" t="s">
        <v>3810</v>
      </c>
      <c r="K129" s="51">
        <v>41495</v>
      </c>
      <c r="L129" s="115">
        <v>41487</v>
      </c>
      <c r="N129" s="50" t="s">
        <v>2</v>
      </c>
      <c r="O129" s="74">
        <v>4.0999999999999996</v>
      </c>
      <c r="P129" s="50">
        <v>6.4</v>
      </c>
      <c r="Q129" s="74">
        <v>7.6</v>
      </c>
      <c r="R129" s="50">
        <v>77</v>
      </c>
      <c r="S129" s="74">
        <v>33</v>
      </c>
      <c r="T129" s="50">
        <v>0.18</v>
      </c>
      <c r="U129" s="74">
        <v>3.85</v>
      </c>
      <c r="V129" s="50">
        <v>0.6</v>
      </c>
      <c r="W129" s="74">
        <v>3.9E-2</v>
      </c>
      <c r="X129" s="50">
        <v>0.17699999999999999</v>
      </c>
      <c r="Y129" s="50">
        <f>0.03/2</f>
        <v>1.4999999999999999E-2</v>
      </c>
      <c r="Z129" s="164">
        <v>1</v>
      </c>
      <c r="AA129" s="165">
        <v>1</v>
      </c>
      <c r="AB129" s="50">
        <v>138</v>
      </c>
      <c r="AC129" s="74">
        <v>171</v>
      </c>
      <c r="AD129" s="164">
        <v>0.95</v>
      </c>
      <c r="AE129" s="50">
        <v>2.73</v>
      </c>
      <c r="AF129" s="273"/>
      <c r="AG129" s="50">
        <v>0.78</v>
      </c>
      <c r="AH129" s="50">
        <f>500/2</f>
        <v>250</v>
      </c>
      <c r="AI129" s="50">
        <f>10/2</f>
        <v>5</v>
      </c>
    </row>
    <row r="130" spans="1:36" ht="14">
      <c r="A130" s="53" t="s">
        <v>138</v>
      </c>
      <c r="B130" s="50" t="s">
        <v>4696</v>
      </c>
      <c r="C130" s="50" t="s">
        <v>4697</v>
      </c>
      <c r="D130" s="48" t="s">
        <v>516</v>
      </c>
      <c r="F130" s="50" t="s">
        <v>3570</v>
      </c>
      <c r="G130" s="76" t="s">
        <v>3571</v>
      </c>
      <c r="H130" s="50">
        <v>4593</v>
      </c>
      <c r="I130" s="49" t="s">
        <v>2</v>
      </c>
      <c r="J130" s="50" t="s">
        <v>510</v>
      </c>
      <c r="K130" s="51">
        <v>41345</v>
      </c>
      <c r="L130" s="115">
        <v>41341</v>
      </c>
      <c r="N130" s="50" t="s">
        <v>2</v>
      </c>
      <c r="O130" s="74">
        <v>11</v>
      </c>
      <c r="P130" s="50">
        <v>6.5</v>
      </c>
      <c r="Q130" s="74">
        <v>5.44</v>
      </c>
      <c r="R130" s="50">
        <v>398</v>
      </c>
      <c r="S130" s="74">
        <v>19</v>
      </c>
      <c r="T130" s="50">
        <v>0.55000000000000004</v>
      </c>
      <c r="U130" s="74">
        <v>4.49</v>
      </c>
      <c r="V130" s="50">
        <f>0.01/2</f>
        <v>5.0000000000000001E-3</v>
      </c>
      <c r="W130" s="74">
        <v>1.4E-2</v>
      </c>
      <c r="X130" s="50">
        <v>0.78900000000000003</v>
      </c>
      <c r="Y130" s="50">
        <v>1.2999999999999999E-2</v>
      </c>
      <c r="Z130" s="164">
        <v>0.377</v>
      </c>
      <c r="AA130" s="165">
        <v>0.308</v>
      </c>
      <c r="AB130" s="50">
        <v>46</v>
      </c>
      <c r="AC130" s="74">
        <v>204</v>
      </c>
      <c r="AD130" s="164">
        <v>0</v>
      </c>
      <c r="AE130" s="50">
        <v>1.83</v>
      </c>
      <c r="AF130" s="273">
        <f>0.0002/2</f>
        <v>1E-4</v>
      </c>
      <c r="AG130" s="50">
        <v>0.38400000000000001</v>
      </c>
      <c r="AH130" s="50">
        <f>0.5/2</f>
        <v>0.25</v>
      </c>
      <c r="AI130" s="50">
        <f>0.5/2</f>
        <v>0.25</v>
      </c>
    </row>
    <row r="131" spans="1:36" ht="14">
      <c r="A131" s="53" t="s">
        <v>138</v>
      </c>
      <c r="B131" s="50" t="s">
        <v>4696</v>
      </c>
      <c r="C131" s="50" t="s">
        <v>4697</v>
      </c>
      <c r="D131" s="48" t="s">
        <v>516</v>
      </c>
      <c r="F131" s="50" t="s">
        <v>3570</v>
      </c>
      <c r="G131" s="76" t="s">
        <v>3571</v>
      </c>
      <c r="H131" s="50">
        <v>4593</v>
      </c>
      <c r="I131" s="49" t="s">
        <v>2</v>
      </c>
      <c r="J131" s="50" t="s">
        <v>460</v>
      </c>
      <c r="K131" s="51">
        <v>41345</v>
      </c>
      <c r="L131" s="115">
        <v>41341</v>
      </c>
      <c r="N131" s="50" t="s">
        <v>2</v>
      </c>
      <c r="O131" s="74">
        <f>1.4/2</f>
        <v>0.7</v>
      </c>
      <c r="P131" s="50">
        <v>6.5</v>
      </c>
      <c r="Q131" s="74">
        <v>6.7</v>
      </c>
      <c r="R131" s="50">
        <v>47</v>
      </c>
      <c r="S131" s="74">
        <v>6</v>
      </c>
      <c r="T131" s="50">
        <v>0.09</v>
      </c>
      <c r="U131" s="74">
        <v>1.48</v>
      </c>
      <c r="V131" s="50">
        <v>0.02</v>
      </c>
      <c r="W131" s="74">
        <v>7.0000000000000001E-3</v>
      </c>
      <c r="X131" s="50">
        <v>0.114</v>
      </c>
      <c r="Y131" s="50">
        <v>7.0000000000000001E-3</v>
      </c>
      <c r="Z131" s="164">
        <v>1</v>
      </c>
      <c r="AA131" s="165">
        <v>1</v>
      </c>
      <c r="AB131" s="50">
        <v>30</v>
      </c>
      <c r="AC131" s="74">
        <v>118</v>
      </c>
      <c r="AD131" s="164">
        <v>1</v>
      </c>
      <c r="AE131" s="50">
        <v>0.51600000000000001</v>
      </c>
      <c r="AF131" s="273">
        <f>0.0002/2</f>
        <v>1E-4</v>
      </c>
      <c r="AG131" s="50">
        <v>0.186</v>
      </c>
      <c r="AH131" s="50">
        <f>0.5/2</f>
        <v>0.25</v>
      </c>
      <c r="AI131" s="50">
        <f>0.5/2</f>
        <v>0.25</v>
      </c>
    </row>
    <row r="132" spans="1:36" ht="14">
      <c r="A132" s="53" t="s">
        <v>138</v>
      </c>
      <c r="B132" s="50" t="s">
        <v>4815</v>
      </c>
      <c r="C132" s="50" t="s">
        <v>3820</v>
      </c>
      <c r="D132" s="48" t="s">
        <v>1896</v>
      </c>
      <c r="E132" s="50" t="s">
        <v>3816</v>
      </c>
      <c r="G132" s="76" t="s">
        <v>3817</v>
      </c>
      <c r="H132" s="50">
        <v>5093</v>
      </c>
      <c r="I132" s="49" t="s">
        <v>2</v>
      </c>
      <c r="J132" s="50" t="s">
        <v>4171</v>
      </c>
      <c r="K132" s="51">
        <v>41443</v>
      </c>
      <c r="L132" s="115"/>
      <c r="M132" s="50" t="s">
        <v>4816</v>
      </c>
      <c r="N132" s="50" t="s">
        <v>2</v>
      </c>
      <c r="O132" s="74">
        <v>2.4</v>
      </c>
      <c r="P132" s="50">
        <v>7.4</v>
      </c>
      <c r="Q132" s="74">
        <v>7.5</v>
      </c>
      <c r="R132" s="50">
        <v>38</v>
      </c>
      <c r="S132" s="74">
        <v>17</v>
      </c>
      <c r="T132" s="50">
        <v>7.0000000000000007E-2</v>
      </c>
      <c r="U132" s="74">
        <v>1.1299999999999999</v>
      </c>
      <c r="V132" s="50">
        <v>0.13</v>
      </c>
      <c r="W132" s="74">
        <v>3.2000000000000001E-2</v>
      </c>
      <c r="X132" s="50">
        <v>0.13900000000000001</v>
      </c>
      <c r="Y132" s="50">
        <f>0.03/2</f>
        <v>1.4999999999999999E-2</v>
      </c>
      <c r="AE132" s="50">
        <v>1.76</v>
      </c>
      <c r="AF132" s="273">
        <f>0.0004/2</f>
        <v>2.0000000000000001E-4</v>
      </c>
      <c r="AG132" s="50">
        <v>0.34</v>
      </c>
    </row>
    <row r="133" spans="1:36" ht="14">
      <c r="A133" s="53" t="s">
        <v>138</v>
      </c>
      <c r="B133" s="50" t="s">
        <v>4817</v>
      </c>
      <c r="C133" s="50" t="s">
        <v>4818</v>
      </c>
      <c r="D133" s="48" t="s">
        <v>350</v>
      </c>
      <c r="E133" s="50" t="s">
        <v>4819</v>
      </c>
      <c r="F133" s="50">
        <v>6074</v>
      </c>
      <c r="G133" s="76" t="s">
        <v>1502</v>
      </c>
      <c r="H133" s="50">
        <v>5093</v>
      </c>
      <c r="I133" s="49" t="s">
        <v>2</v>
      </c>
      <c r="J133" s="50" t="s">
        <v>1503</v>
      </c>
      <c r="K133" s="51">
        <v>41487</v>
      </c>
      <c r="L133" s="115">
        <v>41481</v>
      </c>
      <c r="N133" s="50" t="s">
        <v>2</v>
      </c>
      <c r="O133" s="74">
        <f>1.4/2</f>
        <v>0.7</v>
      </c>
      <c r="P133" s="50">
        <v>7.23</v>
      </c>
      <c r="Q133" s="74">
        <v>7.99</v>
      </c>
      <c r="R133" s="50">
        <v>34</v>
      </c>
      <c r="S133" s="74">
        <f>5/2</f>
        <v>2.5</v>
      </c>
      <c r="T133" s="50">
        <v>0.03</v>
      </c>
      <c r="U133" s="74">
        <v>0.42</v>
      </c>
      <c r="V133" s="50">
        <v>1.61</v>
      </c>
      <c r="W133" s="74">
        <f>0.005/2</f>
        <v>2.5000000000000001E-3</v>
      </c>
      <c r="X133" s="50">
        <v>8.0000000000000002E-3</v>
      </c>
      <c r="Y133" s="50">
        <v>4.0000000000000001E-3</v>
      </c>
      <c r="AE133" s="50">
        <v>0.26700000000000002</v>
      </c>
      <c r="AF133" s="273"/>
      <c r="AH133" s="50">
        <v>0.04</v>
      </c>
      <c r="AI133" s="50">
        <f>0.5/2</f>
        <v>0.25</v>
      </c>
    </row>
    <row r="134" spans="1:36" ht="14">
      <c r="A134" s="74" t="s">
        <v>138</v>
      </c>
      <c r="B134" s="50" t="s">
        <v>3141</v>
      </c>
      <c r="C134" s="50" t="s">
        <v>3142</v>
      </c>
      <c r="D134" s="48" t="s">
        <v>350</v>
      </c>
      <c r="E134" s="50" t="s">
        <v>1329</v>
      </c>
      <c r="G134" s="76" t="s">
        <v>3143</v>
      </c>
      <c r="H134" s="50">
        <v>5093</v>
      </c>
      <c r="I134" s="49" t="s">
        <v>2</v>
      </c>
      <c r="J134" s="50" t="s">
        <v>3144</v>
      </c>
      <c r="K134" s="51">
        <v>41180</v>
      </c>
      <c r="L134" s="173">
        <v>41157</v>
      </c>
      <c r="N134" s="50" t="s">
        <v>2</v>
      </c>
      <c r="O134" s="74">
        <f>1.4/2</f>
        <v>0.7</v>
      </c>
      <c r="P134" s="50">
        <v>6.21</v>
      </c>
      <c r="Q134" s="74">
        <v>6</v>
      </c>
      <c r="R134" s="50">
        <v>23</v>
      </c>
      <c r="S134" s="74">
        <v>29</v>
      </c>
      <c r="T134" s="50">
        <v>0.17</v>
      </c>
      <c r="U134" s="131">
        <v>1.78</v>
      </c>
      <c r="V134" s="50">
        <v>0.73</v>
      </c>
      <c r="W134" s="74">
        <v>1.2999999999999999E-2</v>
      </c>
      <c r="X134" s="50">
        <v>8.8999999999999996E-2</v>
      </c>
      <c r="Y134" s="74">
        <v>4.0000000000000001E-3</v>
      </c>
      <c r="Z134" s="164">
        <v>0.70699999999999996</v>
      </c>
      <c r="AA134" s="165">
        <v>0.68300000000000005</v>
      </c>
      <c r="AB134" s="50">
        <v>8</v>
      </c>
      <c r="AC134" s="74">
        <v>78</v>
      </c>
      <c r="AD134" s="164">
        <v>0</v>
      </c>
      <c r="AF134" s="273"/>
    </row>
    <row r="135" spans="1:36" ht="14">
      <c r="A135" s="74" t="s">
        <v>138</v>
      </c>
      <c r="B135" s="50" t="s">
        <v>3141</v>
      </c>
      <c r="C135" s="50" t="s">
        <v>3142</v>
      </c>
      <c r="D135" s="48" t="s">
        <v>350</v>
      </c>
      <c r="E135" s="50" t="s">
        <v>1329</v>
      </c>
      <c r="G135" s="76" t="s">
        <v>3143</v>
      </c>
      <c r="H135" s="50">
        <v>5093</v>
      </c>
      <c r="I135" s="49" t="s">
        <v>2</v>
      </c>
      <c r="J135" s="50" t="s">
        <v>3145</v>
      </c>
      <c r="K135" s="51">
        <v>41180</v>
      </c>
      <c r="L135" s="173">
        <v>41157</v>
      </c>
      <c r="N135" s="50" t="s">
        <v>2</v>
      </c>
      <c r="O135" s="74">
        <f>1.4/2</f>
        <v>0.7</v>
      </c>
      <c r="P135" s="50">
        <v>5.21</v>
      </c>
      <c r="Q135" s="74">
        <v>4.7300000000000004</v>
      </c>
      <c r="R135" s="50">
        <f>10/2</f>
        <v>5</v>
      </c>
      <c r="S135" s="74">
        <v>10</v>
      </c>
      <c r="T135" s="50">
        <v>0.04</v>
      </c>
      <c r="U135" s="131">
        <v>0.49</v>
      </c>
      <c r="V135" s="50">
        <f>0.01/2</f>
        <v>5.0000000000000001E-3</v>
      </c>
      <c r="W135" s="74">
        <v>5.0000000000000001E-3</v>
      </c>
      <c r="X135" s="50">
        <v>2.8000000000000001E-2</v>
      </c>
      <c r="Y135" s="74">
        <f>0.002/2</f>
        <v>1E-3</v>
      </c>
      <c r="Z135" s="164">
        <v>0.752</v>
      </c>
      <c r="AA135" s="165">
        <v>0.70699999999999996</v>
      </c>
      <c r="AB135" s="50">
        <f>2/2</f>
        <v>1</v>
      </c>
      <c r="AC135" s="74">
        <v>8</v>
      </c>
      <c r="AD135" s="164">
        <v>0</v>
      </c>
      <c r="AF135" s="273"/>
    </row>
    <row r="136" spans="1:36" ht="14">
      <c r="A136" s="74" t="s">
        <v>138</v>
      </c>
      <c r="B136" s="50" t="s">
        <v>5104</v>
      </c>
      <c r="D136" s="48" t="s">
        <v>397</v>
      </c>
      <c r="E136" s="50" t="s">
        <v>1027</v>
      </c>
      <c r="F136" s="50" t="s">
        <v>959</v>
      </c>
      <c r="G136" s="76" t="s">
        <v>940</v>
      </c>
      <c r="H136" s="50">
        <v>5093</v>
      </c>
      <c r="I136" s="49" t="s">
        <v>1</v>
      </c>
      <c r="J136" s="50" t="s">
        <v>5105</v>
      </c>
      <c r="K136" s="51">
        <v>41345</v>
      </c>
      <c r="L136" s="115">
        <v>41341</v>
      </c>
      <c r="N136" s="50" t="s">
        <v>2</v>
      </c>
      <c r="P136" s="117">
        <v>5</v>
      </c>
      <c r="Q136" s="131"/>
      <c r="W136" s="227"/>
      <c r="X136" s="226"/>
      <c r="Y136" s="226"/>
      <c r="AE136" s="50">
        <v>29</v>
      </c>
      <c r="AF136" s="273">
        <v>2.2000000000000001E-3</v>
      </c>
      <c r="AG136" s="50">
        <v>13</v>
      </c>
      <c r="AJ136" s="402">
        <v>5</v>
      </c>
    </row>
    <row r="137" spans="1:36" ht="14">
      <c r="A137" s="74" t="s">
        <v>138</v>
      </c>
      <c r="B137" s="50" t="s">
        <v>3798</v>
      </c>
      <c r="C137" s="50" t="s">
        <v>3798</v>
      </c>
      <c r="D137" s="48" t="s">
        <v>1759</v>
      </c>
      <c r="E137" s="50" t="s">
        <v>3799</v>
      </c>
      <c r="G137" s="76" t="s">
        <v>3800</v>
      </c>
      <c r="H137" s="50">
        <v>5093</v>
      </c>
      <c r="I137" s="49" t="s">
        <v>2</v>
      </c>
      <c r="J137" s="50" t="s">
        <v>194</v>
      </c>
      <c r="K137" s="51">
        <v>41579</v>
      </c>
      <c r="L137" s="115">
        <v>41554</v>
      </c>
      <c r="P137" s="117"/>
      <c r="Q137" s="131"/>
      <c r="W137" s="227"/>
      <c r="X137" s="226"/>
      <c r="Y137" s="226"/>
      <c r="AF137" s="273"/>
      <c r="AH137" s="50">
        <v>106.13</v>
      </c>
      <c r="AI137" s="50">
        <f>0.5/2</f>
        <v>0.25</v>
      </c>
    </row>
    <row r="138" spans="1:36" ht="14">
      <c r="A138" s="74" t="s">
        <v>138</v>
      </c>
      <c r="B138" s="50" t="s">
        <v>3142</v>
      </c>
      <c r="C138" s="50" t="s">
        <v>3142</v>
      </c>
      <c r="D138" s="48" t="s">
        <v>350</v>
      </c>
      <c r="E138" s="50" t="s">
        <v>1329</v>
      </c>
      <c r="G138" s="76" t="s">
        <v>3143</v>
      </c>
      <c r="H138" s="50">
        <v>5093</v>
      </c>
      <c r="I138" s="49" t="s">
        <v>2</v>
      </c>
      <c r="J138" s="50" t="s">
        <v>3144</v>
      </c>
      <c r="K138" s="51">
        <v>41432</v>
      </c>
      <c r="L138" s="115">
        <v>41428</v>
      </c>
      <c r="N138" s="50" t="s">
        <v>2</v>
      </c>
      <c r="P138" s="117"/>
      <c r="Q138" s="131"/>
      <c r="W138" s="227"/>
      <c r="X138" s="226"/>
      <c r="Y138" s="226"/>
      <c r="AE138" s="50">
        <v>3.09</v>
      </c>
      <c r="AF138" s="273">
        <f t="shared" ref="AF138:AF143" si="1">0.0002/2</f>
        <v>1E-4</v>
      </c>
      <c r="AG138" s="50">
        <v>0.67400000000000004</v>
      </c>
      <c r="AH138" s="50">
        <f>0.54/2</f>
        <v>0.27</v>
      </c>
      <c r="AI138" s="50">
        <f>11/2</f>
        <v>5.5</v>
      </c>
    </row>
    <row r="139" spans="1:36" ht="14">
      <c r="A139" s="74" t="s">
        <v>138</v>
      </c>
      <c r="B139" s="50" t="s">
        <v>3142</v>
      </c>
      <c r="C139" s="50" t="s">
        <v>3142</v>
      </c>
      <c r="D139" s="48" t="s">
        <v>350</v>
      </c>
      <c r="E139" s="50" t="s">
        <v>1329</v>
      </c>
      <c r="G139" s="76" t="s">
        <v>3143</v>
      </c>
      <c r="H139" s="50">
        <v>5093</v>
      </c>
      <c r="I139" s="49" t="s">
        <v>2</v>
      </c>
      <c r="J139" s="50" t="s">
        <v>3145</v>
      </c>
      <c r="K139" s="51">
        <v>41432</v>
      </c>
      <c r="L139" s="115">
        <v>41428</v>
      </c>
      <c r="N139" s="50" t="s">
        <v>2</v>
      </c>
      <c r="P139" s="117"/>
      <c r="Q139" s="131"/>
      <c r="W139" s="227"/>
      <c r="X139" s="226"/>
      <c r="Y139" s="226"/>
      <c r="AE139" s="50">
        <v>4.51</v>
      </c>
      <c r="AF139" s="273">
        <f t="shared" si="1"/>
        <v>1E-4</v>
      </c>
      <c r="AG139" s="50">
        <v>0.14199999999999999</v>
      </c>
      <c r="AH139" s="50">
        <f>0.54/2</f>
        <v>0.27</v>
      </c>
      <c r="AI139" s="50">
        <f>11/2</f>
        <v>5.5</v>
      </c>
    </row>
    <row r="140" spans="1:36" ht="14">
      <c r="A140" s="74" t="s">
        <v>138</v>
      </c>
      <c r="B140" s="50" t="s">
        <v>3142</v>
      </c>
      <c r="C140" s="50" t="s">
        <v>3142</v>
      </c>
      <c r="D140" s="48" t="s">
        <v>350</v>
      </c>
      <c r="E140" s="50" t="s">
        <v>1329</v>
      </c>
      <c r="G140" s="76" t="s">
        <v>3143</v>
      </c>
      <c r="H140" s="50">
        <v>5093</v>
      </c>
      <c r="I140" s="49" t="s">
        <v>2</v>
      </c>
      <c r="J140" s="50" t="s">
        <v>3145</v>
      </c>
      <c r="K140" s="51">
        <v>41579</v>
      </c>
      <c r="L140" s="115">
        <v>41554</v>
      </c>
      <c r="N140" s="50" t="s">
        <v>2</v>
      </c>
      <c r="P140" s="117"/>
      <c r="Q140" s="131"/>
      <c r="W140" s="227"/>
      <c r="X140" s="226"/>
      <c r="Y140" s="226"/>
      <c r="AE140" s="50">
        <v>2.5</v>
      </c>
      <c r="AF140" s="273">
        <f t="shared" si="1"/>
        <v>1E-4</v>
      </c>
      <c r="AG140" s="50">
        <v>1.65</v>
      </c>
    </row>
    <row r="141" spans="1:36" ht="14">
      <c r="A141" s="74" t="s">
        <v>138</v>
      </c>
      <c r="B141" s="50" t="s">
        <v>3142</v>
      </c>
      <c r="C141" s="50" t="s">
        <v>3142</v>
      </c>
      <c r="D141" s="48" t="s">
        <v>350</v>
      </c>
      <c r="E141" s="50" t="s">
        <v>1329</v>
      </c>
      <c r="G141" s="76" t="s">
        <v>3143</v>
      </c>
      <c r="H141" s="50">
        <v>5093</v>
      </c>
      <c r="I141" s="49" t="s">
        <v>2</v>
      </c>
      <c r="J141" s="50" t="s">
        <v>3144</v>
      </c>
      <c r="K141" s="51">
        <v>41579</v>
      </c>
      <c r="L141" s="115">
        <v>41554</v>
      </c>
      <c r="N141" s="50" t="s">
        <v>2</v>
      </c>
      <c r="P141" s="117"/>
      <c r="Q141" s="131"/>
      <c r="W141" s="227"/>
      <c r="X141" s="226"/>
      <c r="Y141" s="226"/>
      <c r="AE141" s="50">
        <v>2.95</v>
      </c>
      <c r="AF141" s="273">
        <f t="shared" si="1"/>
        <v>1E-4</v>
      </c>
      <c r="AG141" s="50">
        <v>1.53</v>
      </c>
    </row>
    <row r="142" spans="1:36" ht="14">
      <c r="A142" s="74" t="s">
        <v>138</v>
      </c>
      <c r="B142" s="50" t="s">
        <v>3142</v>
      </c>
      <c r="C142" s="50" t="s">
        <v>3142</v>
      </c>
      <c r="D142" s="48" t="s">
        <v>350</v>
      </c>
      <c r="E142" s="50" t="s">
        <v>1329</v>
      </c>
      <c r="G142" s="76" t="s">
        <v>3143</v>
      </c>
      <c r="H142" s="50">
        <v>5093</v>
      </c>
      <c r="I142" s="49" t="s">
        <v>2</v>
      </c>
      <c r="J142" s="50" t="s">
        <v>3144</v>
      </c>
      <c r="K142" s="51">
        <v>41729</v>
      </c>
      <c r="L142" s="115">
        <v>41718</v>
      </c>
      <c r="N142" s="50" t="s">
        <v>2</v>
      </c>
      <c r="O142" s="74">
        <f t="shared" ref="O142:O147" si="2">1.4/2</f>
        <v>0.7</v>
      </c>
      <c r="P142" s="117">
        <v>6.89</v>
      </c>
      <c r="Q142" s="131">
        <v>7.16</v>
      </c>
      <c r="R142" s="50">
        <v>14</v>
      </c>
      <c r="S142" s="74">
        <v>5</v>
      </c>
      <c r="T142" s="50">
        <v>0.04</v>
      </c>
      <c r="U142" s="74">
        <v>0.45</v>
      </c>
      <c r="V142" s="50">
        <v>0.04</v>
      </c>
      <c r="W142" s="227">
        <v>1.2E-2</v>
      </c>
      <c r="X142" s="226">
        <v>0.13800000000000001</v>
      </c>
      <c r="Y142" s="226">
        <v>3.0000000000000001E-3</v>
      </c>
      <c r="AE142" s="50">
        <v>0.24</v>
      </c>
      <c r="AF142" s="273">
        <f t="shared" si="1"/>
        <v>1E-4</v>
      </c>
      <c r="AG142" s="50">
        <v>0.214</v>
      </c>
      <c r="AH142" s="50">
        <v>0.26</v>
      </c>
      <c r="AI142" s="50">
        <v>2.8</v>
      </c>
    </row>
    <row r="143" spans="1:36" ht="14">
      <c r="A143" s="74" t="s">
        <v>138</v>
      </c>
      <c r="B143" s="50" t="s">
        <v>3142</v>
      </c>
      <c r="C143" s="50" t="s">
        <v>3142</v>
      </c>
      <c r="D143" s="48" t="s">
        <v>350</v>
      </c>
      <c r="E143" s="50" t="s">
        <v>1329</v>
      </c>
      <c r="G143" s="76" t="s">
        <v>3143</v>
      </c>
      <c r="H143" s="50">
        <v>5093</v>
      </c>
      <c r="I143" s="49" t="s">
        <v>2</v>
      </c>
      <c r="J143" s="50" t="s">
        <v>3145</v>
      </c>
      <c r="K143" s="51">
        <v>41729</v>
      </c>
      <c r="L143" s="115">
        <v>41718</v>
      </c>
      <c r="N143" s="50" t="s">
        <v>2</v>
      </c>
      <c r="O143" s="74">
        <f t="shared" si="2"/>
        <v>0.7</v>
      </c>
      <c r="P143" s="117">
        <v>7.14</v>
      </c>
      <c r="Q143" s="131">
        <v>5.68</v>
      </c>
      <c r="R143" s="50">
        <v>29</v>
      </c>
      <c r="S143" s="74">
        <f>5/2</f>
        <v>2.5</v>
      </c>
      <c r="T143" s="50">
        <v>0.03</v>
      </c>
      <c r="U143" s="74">
        <v>0.61</v>
      </c>
      <c r="V143" s="50">
        <v>0.01</v>
      </c>
      <c r="W143" s="227">
        <f>0.005/2</f>
        <v>2.5000000000000001E-3</v>
      </c>
      <c r="X143" s="226">
        <v>1.7000000000000001E-2</v>
      </c>
      <c r="Y143" s="226">
        <f>0.002/2</f>
        <v>1E-3</v>
      </c>
      <c r="AE143" s="50">
        <v>0.34699999999999998</v>
      </c>
      <c r="AF143" s="273">
        <f t="shared" si="1"/>
        <v>1E-4</v>
      </c>
      <c r="AG143" s="50">
        <v>0.375</v>
      </c>
      <c r="AH143" s="50">
        <v>0.05</v>
      </c>
      <c r="AI143" s="50">
        <f>0.5/2</f>
        <v>0.25</v>
      </c>
    </row>
    <row r="144" spans="1:36" ht="14">
      <c r="A144" s="404" t="s">
        <v>138</v>
      </c>
      <c r="B144" s="50" t="s">
        <v>5897</v>
      </c>
      <c r="C144" s="50" t="s">
        <v>5898</v>
      </c>
      <c r="D144" s="48" t="s">
        <v>133</v>
      </c>
      <c r="E144" s="50" t="s">
        <v>5899</v>
      </c>
      <c r="G144" s="76" t="s">
        <v>418</v>
      </c>
      <c r="H144" s="50">
        <v>5093</v>
      </c>
      <c r="I144" s="49" t="s">
        <v>2</v>
      </c>
      <c r="J144" s="50" t="s">
        <v>419</v>
      </c>
      <c r="K144" s="51">
        <v>41744</v>
      </c>
      <c r="L144" s="115">
        <v>41740</v>
      </c>
      <c r="N144" s="50" t="s">
        <v>2</v>
      </c>
      <c r="O144" s="74">
        <f t="shared" si="2"/>
        <v>0.7</v>
      </c>
      <c r="P144" s="117">
        <v>5.35</v>
      </c>
      <c r="Q144" s="131">
        <v>6.59</v>
      </c>
      <c r="R144" s="50">
        <v>118</v>
      </c>
      <c r="S144" s="74">
        <v>16</v>
      </c>
      <c r="T144" s="50">
        <v>0.46</v>
      </c>
      <c r="U144" s="74">
        <v>9.8800000000000008</v>
      </c>
      <c r="V144" s="50">
        <v>0.72</v>
      </c>
      <c r="W144" s="227">
        <v>2.1999999999999999E-2</v>
      </c>
      <c r="X144" s="226">
        <v>0.107</v>
      </c>
      <c r="Y144" s="226">
        <v>4.0000000000000001E-3</v>
      </c>
      <c r="Z144" s="164">
        <v>1</v>
      </c>
      <c r="AA144" s="165">
        <v>1</v>
      </c>
      <c r="AB144" s="50">
        <v>24</v>
      </c>
      <c r="AC144" s="74">
        <v>123</v>
      </c>
      <c r="AD144" s="164">
        <v>1</v>
      </c>
      <c r="AE144" s="50">
        <v>2.0299999999999998</v>
      </c>
      <c r="AF144" s="273">
        <f>0.0002/2</f>
        <v>1E-4</v>
      </c>
      <c r="AG144" s="50">
        <v>1.1100000000000001</v>
      </c>
      <c r="AH144" s="50">
        <v>0.26</v>
      </c>
      <c r="AI144" s="50">
        <f>0.5/2</f>
        <v>0.25</v>
      </c>
    </row>
    <row r="145" spans="1:35" ht="14">
      <c r="A145" s="404" t="s">
        <v>138</v>
      </c>
      <c r="B145" s="50" t="s">
        <v>5897</v>
      </c>
      <c r="C145" s="50" t="s">
        <v>5898</v>
      </c>
      <c r="D145" s="48" t="s">
        <v>133</v>
      </c>
      <c r="E145" s="50" t="s">
        <v>5899</v>
      </c>
      <c r="G145" s="76" t="s">
        <v>418</v>
      </c>
      <c r="H145" s="50">
        <v>5093</v>
      </c>
      <c r="I145" s="49" t="s">
        <v>2</v>
      </c>
      <c r="J145" s="50" t="s">
        <v>421</v>
      </c>
      <c r="K145" s="51">
        <v>41744</v>
      </c>
      <c r="L145" s="115">
        <v>41740</v>
      </c>
      <c r="N145" s="50" t="s">
        <v>2</v>
      </c>
      <c r="O145" s="74">
        <f t="shared" si="2"/>
        <v>0.7</v>
      </c>
      <c r="P145" s="117">
        <v>5.35</v>
      </c>
      <c r="Q145" s="131">
        <v>5.35</v>
      </c>
      <c r="R145" s="50">
        <f>10/2</f>
        <v>5</v>
      </c>
      <c r="S145" s="74">
        <f>5/2</f>
        <v>2.5</v>
      </c>
      <c r="T145" s="50">
        <v>0.02</v>
      </c>
      <c r="U145" s="74">
        <v>0.42</v>
      </c>
      <c r="V145" s="50">
        <v>7.0000000000000007E-2</v>
      </c>
      <c r="W145" s="227">
        <f>0.005/2</f>
        <v>2.5000000000000001E-3</v>
      </c>
      <c r="X145" s="226">
        <v>0.01</v>
      </c>
      <c r="Y145" s="226">
        <f>0.002/2</f>
        <v>1E-3</v>
      </c>
      <c r="Z145" s="164">
        <v>1</v>
      </c>
      <c r="AA145" s="165">
        <v>1</v>
      </c>
      <c r="AB145" s="50">
        <f>2/2</f>
        <v>1</v>
      </c>
      <c r="AC145" s="74">
        <v>3</v>
      </c>
      <c r="AD145" s="164">
        <v>0.95</v>
      </c>
      <c r="AE145" s="50">
        <v>5.1999999999999998E-2</v>
      </c>
      <c r="AF145" s="273">
        <f>0.0002/2</f>
        <v>1E-4</v>
      </c>
      <c r="AG145" s="50">
        <v>3.2000000000000001E-2</v>
      </c>
      <c r="AH145" s="50">
        <v>0.11</v>
      </c>
      <c r="AI145" s="50">
        <f>0.5/2</f>
        <v>0.25</v>
      </c>
    </row>
    <row r="146" spans="1:35" ht="14">
      <c r="A146" s="404" t="s">
        <v>138</v>
      </c>
      <c r="B146" s="50" t="s">
        <v>5897</v>
      </c>
      <c r="C146" s="50" t="s">
        <v>5898</v>
      </c>
      <c r="D146" s="48" t="s">
        <v>133</v>
      </c>
      <c r="E146" s="50" t="s">
        <v>5899</v>
      </c>
      <c r="G146" s="76" t="s">
        <v>418</v>
      </c>
      <c r="H146" s="50">
        <v>5093</v>
      </c>
      <c r="I146" s="49" t="s">
        <v>2</v>
      </c>
      <c r="J146" s="50" t="s">
        <v>420</v>
      </c>
      <c r="K146" s="51">
        <v>41744</v>
      </c>
      <c r="L146" s="115">
        <v>41740</v>
      </c>
      <c r="N146" s="50" t="s">
        <v>2</v>
      </c>
      <c r="O146" s="74">
        <f t="shared" si="2"/>
        <v>0.7</v>
      </c>
      <c r="P146" s="117">
        <v>5.35</v>
      </c>
      <c r="Q146" s="131">
        <v>6.7</v>
      </c>
      <c r="R146" s="50">
        <v>57</v>
      </c>
      <c r="S146" s="74">
        <v>15</v>
      </c>
      <c r="T146" s="50">
        <v>0.08</v>
      </c>
      <c r="U146" s="74">
        <v>1.64</v>
      </c>
      <c r="V146" s="50">
        <v>0.62</v>
      </c>
      <c r="W146" s="227">
        <v>6.0000000000000001E-3</v>
      </c>
      <c r="X146" s="226">
        <v>3.4000000000000002E-2</v>
      </c>
      <c r="Y146" s="226">
        <f>0.002/2</f>
        <v>1E-3</v>
      </c>
      <c r="Z146" s="164">
        <v>1</v>
      </c>
      <c r="AA146" s="165">
        <v>1</v>
      </c>
      <c r="AB146" s="50">
        <v>32</v>
      </c>
      <c r="AC146" s="74">
        <v>187</v>
      </c>
      <c r="AD146" s="164">
        <v>0.95</v>
      </c>
      <c r="AE146" s="50">
        <v>0.57199999999999995</v>
      </c>
      <c r="AF146" s="273">
        <f>0.0002/2</f>
        <v>1E-4</v>
      </c>
      <c r="AG146" s="50">
        <v>0.247</v>
      </c>
      <c r="AH146" s="50">
        <v>0.25</v>
      </c>
      <c r="AI146" s="50">
        <f>0.5/2</f>
        <v>0.25</v>
      </c>
    </row>
    <row r="147" spans="1:35" ht="14">
      <c r="A147" s="404" t="s">
        <v>138</v>
      </c>
      <c r="B147" s="50" t="s">
        <v>3798</v>
      </c>
      <c r="C147" s="50" t="s">
        <v>3798</v>
      </c>
      <c r="D147" s="48" t="s">
        <v>1759</v>
      </c>
      <c r="E147" s="50" t="s">
        <v>3799</v>
      </c>
      <c r="G147" s="76" t="s">
        <v>3800</v>
      </c>
      <c r="H147" s="50">
        <v>5093</v>
      </c>
      <c r="J147" s="50" t="s">
        <v>3251</v>
      </c>
      <c r="K147" s="51">
        <v>41122</v>
      </c>
      <c r="L147" s="115">
        <v>41118</v>
      </c>
      <c r="N147" s="50" t="s">
        <v>2</v>
      </c>
      <c r="O147" s="74">
        <f t="shared" si="2"/>
        <v>0.7</v>
      </c>
      <c r="P147" s="117">
        <v>6.74</v>
      </c>
      <c r="Q147" s="131">
        <v>6.2</v>
      </c>
      <c r="R147" s="50">
        <v>32</v>
      </c>
      <c r="S147" s="74">
        <f>5/2</f>
        <v>2.5</v>
      </c>
      <c r="T147" s="50">
        <v>0.05</v>
      </c>
      <c r="U147" s="74">
        <v>0.9</v>
      </c>
      <c r="V147" s="50">
        <v>0.36</v>
      </c>
      <c r="W147" s="227">
        <v>1.7999999999999999E-2</v>
      </c>
      <c r="X147" s="226">
        <v>4.4999999999999998E-2</v>
      </c>
      <c r="Y147" s="226">
        <f>0.002/2</f>
        <v>1E-3</v>
      </c>
      <c r="AE147" s="50">
        <v>0.17799999999999999</v>
      </c>
      <c r="AF147" s="273">
        <f>0.0002/2</f>
        <v>1E-4</v>
      </c>
      <c r="AG147" s="50">
        <v>0.28699999999999998</v>
      </c>
    </row>
    <row r="148" spans="1:35" ht="14">
      <c r="A148" s="404" t="s">
        <v>138</v>
      </c>
      <c r="B148" s="50" t="s">
        <v>3808</v>
      </c>
      <c r="C148" s="50" t="s">
        <v>683</v>
      </c>
      <c r="D148" s="48" t="s">
        <v>684</v>
      </c>
      <c r="E148" s="50" t="s">
        <v>686</v>
      </c>
      <c r="G148" s="76" t="s">
        <v>685</v>
      </c>
      <c r="H148" s="50">
        <v>5093</v>
      </c>
      <c r="I148" s="49" t="s">
        <v>2</v>
      </c>
      <c r="J148" s="50" t="s">
        <v>3809</v>
      </c>
      <c r="K148" s="51">
        <v>41727</v>
      </c>
      <c r="L148" s="115">
        <v>41717</v>
      </c>
      <c r="N148" s="50" t="s">
        <v>2</v>
      </c>
      <c r="O148" s="74">
        <f>2/2</f>
        <v>1</v>
      </c>
      <c r="P148" s="117">
        <v>6.4</v>
      </c>
      <c r="Q148" s="131"/>
      <c r="R148" s="50">
        <v>39</v>
      </c>
      <c r="S148" s="74">
        <v>33</v>
      </c>
      <c r="T148" s="50">
        <v>0.11</v>
      </c>
      <c r="U148" s="74">
        <v>4.45</v>
      </c>
      <c r="W148" s="227">
        <v>1.4E-2</v>
      </c>
      <c r="X148" s="226">
        <v>8.5999999999999993E-2</v>
      </c>
      <c r="Y148" s="226">
        <f>0.03/2</f>
        <v>1.4999999999999999E-2</v>
      </c>
      <c r="AE148" s="50">
        <v>12.8</v>
      </c>
      <c r="AF148" s="273"/>
      <c r="AG148" s="50">
        <v>0.16</v>
      </c>
      <c r="AH148" s="50">
        <f>500/2</f>
        <v>250</v>
      </c>
      <c r="AI148" s="50">
        <f>10/2</f>
        <v>5</v>
      </c>
    </row>
    <row r="149" spans="1:35" ht="14">
      <c r="A149" s="404" t="s">
        <v>138</v>
      </c>
      <c r="B149" s="50" t="s">
        <v>3808</v>
      </c>
      <c r="D149" s="48" t="s">
        <v>684</v>
      </c>
      <c r="E149" s="50" t="s">
        <v>686</v>
      </c>
      <c r="G149" s="76" t="s">
        <v>685</v>
      </c>
      <c r="H149" s="50">
        <v>5093</v>
      </c>
      <c r="J149" s="50" t="s">
        <v>3810</v>
      </c>
      <c r="K149" s="51">
        <v>41727</v>
      </c>
      <c r="L149" s="115">
        <v>41717</v>
      </c>
      <c r="N149" s="50" t="s">
        <v>2</v>
      </c>
      <c r="O149" s="74">
        <v>2.4</v>
      </c>
      <c r="P149" s="117">
        <v>6.4</v>
      </c>
      <c r="Q149" s="131"/>
      <c r="R149" s="50">
        <v>150</v>
      </c>
      <c r="U149" s="74">
        <v>5.26</v>
      </c>
      <c r="W149" s="227"/>
      <c r="X149" s="226">
        <v>0.23799999999999999</v>
      </c>
      <c r="Y149" s="226"/>
      <c r="AE149" s="50">
        <v>4.05</v>
      </c>
      <c r="AF149" s="273"/>
      <c r="AG149" s="50">
        <v>0.66</v>
      </c>
      <c r="AH149" s="50">
        <f>500/2</f>
        <v>250</v>
      </c>
      <c r="AI149" s="50">
        <f>10/2</f>
        <v>5</v>
      </c>
    </row>
    <row r="150" spans="1:35" ht="14">
      <c r="A150" s="404" t="s">
        <v>138</v>
      </c>
      <c r="B150" s="50" t="s">
        <v>5509</v>
      </c>
      <c r="C150" s="50" t="s">
        <v>4818</v>
      </c>
      <c r="D150" s="48" t="s">
        <v>350</v>
      </c>
      <c r="E150" s="50" t="s">
        <v>1501</v>
      </c>
      <c r="G150" s="76" t="s">
        <v>1502</v>
      </c>
      <c r="H150" s="50">
        <v>5093</v>
      </c>
      <c r="I150" s="49" t="s">
        <v>2</v>
      </c>
      <c r="J150" s="50" t="s">
        <v>1503</v>
      </c>
      <c r="K150" s="51">
        <v>41585</v>
      </c>
      <c r="L150" s="115">
        <v>41579</v>
      </c>
      <c r="N150" s="50" t="s">
        <v>2</v>
      </c>
      <c r="P150" s="117"/>
      <c r="Q150" s="131"/>
      <c r="V150" s="50">
        <v>0.05</v>
      </c>
      <c r="W150" s="227"/>
      <c r="X150" s="226"/>
      <c r="Y150" s="226"/>
      <c r="AE150" s="50">
        <v>4.01</v>
      </c>
      <c r="AF150" s="273"/>
    </row>
    <row r="151" spans="1:35" ht="14">
      <c r="A151" s="404" t="s">
        <v>138</v>
      </c>
      <c r="B151" s="50" t="s">
        <v>1519</v>
      </c>
      <c r="C151" s="50" t="s">
        <v>1519</v>
      </c>
      <c r="D151" s="48" t="s">
        <v>133</v>
      </c>
      <c r="E151" s="50" t="s">
        <v>4693</v>
      </c>
      <c r="F151" s="50" t="s">
        <v>1188</v>
      </c>
      <c r="G151" s="76" t="s">
        <v>1189</v>
      </c>
      <c r="H151" s="50" t="s">
        <v>1521</v>
      </c>
      <c r="I151" s="49" t="s">
        <v>2</v>
      </c>
      <c r="J151" s="50" t="s">
        <v>1522</v>
      </c>
      <c r="K151" s="51">
        <v>41605</v>
      </c>
      <c r="L151" s="115">
        <v>41596</v>
      </c>
      <c r="N151" s="50" t="s">
        <v>2</v>
      </c>
      <c r="P151" s="117"/>
      <c r="Q151" s="131"/>
      <c r="W151" s="227"/>
      <c r="X151" s="226"/>
      <c r="Y151" s="226"/>
      <c r="AE151" s="50">
        <v>1.3</v>
      </c>
      <c r="AF151" s="273"/>
      <c r="AG151" s="50">
        <v>0.84</v>
      </c>
    </row>
    <row r="152" spans="1:35" ht="14">
      <c r="A152" s="404" t="s">
        <v>138</v>
      </c>
      <c r="B152" s="50" t="s">
        <v>939</v>
      </c>
      <c r="C152" s="50" t="s">
        <v>939</v>
      </c>
      <c r="D152" s="48" t="s">
        <v>397</v>
      </c>
      <c r="E152" s="50" t="s">
        <v>1027</v>
      </c>
      <c r="F152" s="50" t="s">
        <v>959</v>
      </c>
      <c r="G152" s="76" t="s">
        <v>940</v>
      </c>
      <c r="H152" s="50">
        <v>5093</v>
      </c>
      <c r="I152" s="49" t="s">
        <v>1</v>
      </c>
      <c r="J152" s="50" t="s">
        <v>941</v>
      </c>
      <c r="K152" s="51">
        <v>41596</v>
      </c>
      <c r="L152" s="115">
        <v>41585</v>
      </c>
      <c r="N152" s="50" t="s">
        <v>2</v>
      </c>
      <c r="P152" s="117"/>
      <c r="Q152" s="131"/>
      <c r="W152" s="227"/>
      <c r="X152" s="226"/>
      <c r="Y152" s="226"/>
      <c r="AE152" s="50">
        <v>12</v>
      </c>
      <c r="AF152" s="273">
        <v>2.0999999999999999E-3</v>
      </c>
      <c r="AG152" s="50">
        <v>4</v>
      </c>
    </row>
    <row r="153" spans="1:35" ht="14">
      <c r="A153" s="404" t="s">
        <v>138</v>
      </c>
      <c r="B153" s="50" t="s">
        <v>5897</v>
      </c>
      <c r="C153" s="50" t="s">
        <v>5898</v>
      </c>
      <c r="D153" s="48" t="s">
        <v>133</v>
      </c>
      <c r="E153" s="50" t="s">
        <v>5900</v>
      </c>
      <c r="G153" s="76" t="s">
        <v>418</v>
      </c>
      <c r="H153" s="50">
        <v>5093</v>
      </c>
      <c r="I153" s="49" t="s">
        <v>2</v>
      </c>
      <c r="J153" s="50" t="s">
        <v>419</v>
      </c>
      <c r="K153" s="51">
        <v>41631</v>
      </c>
      <c r="L153" s="115">
        <v>41624</v>
      </c>
      <c r="N153" s="50" t="s">
        <v>1</v>
      </c>
      <c r="P153" s="117"/>
      <c r="Q153" s="131"/>
      <c r="W153" s="227"/>
      <c r="X153" s="226"/>
      <c r="Y153" s="226"/>
      <c r="AE153" s="50">
        <v>27.5</v>
      </c>
      <c r="AF153" s="273">
        <f>0.0002/2</f>
        <v>1E-4</v>
      </c>
      <c r="AG153" s="50">
        <v>14.7</v>
      </c>
    </row>
    <row r="154" spans="1:35" ht="14">
      <c r="A154" s="404" t="s">
        <v>138</v>
      </c>
      <c r="B154" s="50" t="s">
        <v>5897</v>
      </c>
      <c r="C154" s="50" t="s">
        <v>5898</v>
      </c>
      <c r="D154" s="48" t="s">
        <v>133</v>
      </c>
      <c r="E154" s="50" t="s">
        <v>5900</v>
      </c>
      <c r="G154" s="76" t="s">
        <v>418</v>
      </c>
      <c r="H154" s="50">
        <v>5093</v>
      </c>
      <c r="I154" s="49" t="s">
        <v>2</v>
      </c>
      <c r="J154" s="50" t="s">
        <v>421</v>
      </c>
      <c r="K154" s="51">
        <v>41631</v>
      </c>
      <c r="L154" s="115">
        <v>41624</v>
      </c>
      <c r="N154" s="50" t="s">
        <v>1</v>
      </c>
      <c r="P154" s="117"/>
      <c r="Q154" s="131"/>
      <c r="W154" s="227"/>
      <c r="X154" s="226"/>
      <c r="Y154" s="226"/>
      <c r="AE154" s="50">
        <v>0.47399999999999998</v>
      </c>
      <c r="AF154" s="273">
        <f>0.0002/2</f>
        <v>1E-4</v>
      </c>
      <c r="AG154" s="50">
        <v>0.245</v>
      </c>
    </row>
    <row r="155" spans="1:35" ht="14">
      <c r="A155" s="404" t="s">
        <v>138</v>
      </c>
      <c r="B155" s="50" t="s">
        <v>5897</v>
      </c>
      <c r="C155" s="50" t="s">
        <v>5898</v>
      </c>
      <c r="D155" s="48" t="s">
        <v>133</v>
      </c>
      <c r="E155" s="50" t="s">
        <v>5900</v>
      </c>
      <c r="G155" s="76" t="s">
        <v>418</v>
      </c>
      <c r="H155" s="50">
        <v>5093</v>
      </c>
      <c r="I155" s="49" t="s">
        <v>2</v>
      </c>
      <c r="J155" s="50" t="s">
        <v>420</v>
      </c>
      <c r="K155" s="51">
        <v>41631</v>
      </c>
      <c r="L155" s="115">
        <v>41624</v>
      </c>
      <c r="N155" s="50" t="s">
        <v>1</v>
      </c>
      <c r="P155" s="117"/>
      <c r="Q155" s="131"/>
      <c r="W155" s="227"/>
      <c r="X155" s="226"/>
      <c r="Y155" s="226"/>
      <c r="AE155" s="50">
        <v>0.96299999999999997</v>
      </c>
      <c r="AF155" s="273">
        <f>0.0002/2</f>
        <v>1E-4</v>
      </c>
      <c r="AG155" s="50">
        <v>0.65400000000000003</v>
      </c>
    </row>
    <row r="156" spans="1:35" ht="14">
      <c r="A156" s="404" t="s">
        <v>138</v>
      </c>
      <c r="B156" s="50" t="s">
        <v>635</v>
      </c>
      <c r="C156" s="50" t="s">
        <v>635</v>
      </c>
      <c r="D156" s="48" t="s">
        <v>636</v>
      </c>
      <c r="E156" s="50" t="s">
        <v>1011</v>
      </c>
      <c r="F156" s="50" t="s">
        <v>1012</v>
      </c>
      <c r="G156" s="76" t="s">
        <v>637</v>
      </c>
      <c r="H156" s="50">
        <v>5093</v>
      </c>
      <c r="I156" s="49" t="s">
        <v>2</v>
      </c>
      <c r="J156" s="50" t="s">
        <v>5901</v>
      </c>
      <c r="K156" s="51">
        <v>41596</v>
      </c>
      <c r="L156" s="115">
        <v>41585</v>
      </c>
      <c r="N156" s="50" t="s">
        <v>2</v>
      </c>
      <c r="P156" s="117"/>
      <c r="Q156" s="131"/>
      <c r="R156" s="50">
        <v>780</v>
      </c>
      <c r="W156" s="227">
        <v>1.1000000000000001</v>
      </c>
      <c r="X156" s="226">
        <v>2.2000000000000002</v>
      </c>
      <c r="Y156" s="226"/>
      <c r="AE156" s="50">
        <v>55</v>
      </c>
      <c r="AF156" s="273"/>
      <c r="AG156" s="50">
        <v>28</v>
      </c>
      <c r="AH156" s="50">
        <f>25/2</f>
        <v>12.5</v>
      </c>
      <c r="AI156" s="50">
        <f>4/2</f>
        <v>2</v>
      </c>
    </row>
    <row r="157" spans="1:35" ht="14">
      <c r="A157" s="404" t="s">
        <v>138</v>
      </c>
      <c r="B157" s="50" t="s">
        <v>5902</v>
      </c>
      <c r="C157" s="50" t="s">
        <v>5902</v>
      </c>
      <c r="D157" s="48" t="s">
        <v>434</v>
      </c>
      <c r="F157" s="50" t="s">
        <v>3406</v>
      </c>
      <c r="G157" s="76" t="s">
        <v>5903</v>
      </c>
      <c r="H157" s="50">
        <v>5093</v>
      </c>
      <c r="I157" s="49" t="s">
        <v>2</v>
      </c>
      <c r="J157" s="50" t="s">
        <v>510</v>
      </c>
      <c r="K157" s="51">
        <v>41539</v>
      </c>
      <c r="L157" s="115">
        <v>41530</v>
      </c>
      <c r="N157" s="50" t="s">
        <v>2</v>
      </c>
      <c r="O157" s="74">
        <f>1.4/2</f>
        <v>0.7</v>
      </c>
      <c r="P157" s="117">
        <v>6.6</v>
      </c>
      <c r="Q157" s="131">
        <v>6.64</v>
      </c>
      <c r="R157" s="50">
        <v>17</v>
      </c>
      <c r="S157" s="74">
        <v>200</v>
      </c>
      <c r="T157" s="50">
        <v>0.15</v>
      </c>
      <c r="U157" s="74">
        <v>0.7</v>
      </c>
      <c r="V157" s="50">
        <v>0.16</v>
      </c>
      <c r="W157" s="227">
        <v>1.6E-2</v>
      </c>
      <c r="X157" s="226">
        <v>0.114</v>
      </c>
      <c r="Y157" s="226">
        <v>1.4E-2</v>
      </c>
      <c r="Z157" s="164">
        <v>1</v>
      </c>
      <c r="AA157" s="165">
        <v>1</v>
      </c>
      <c r="AB157" s="50">
        <v>2</v>
      </c>
      <c r="AC157" s="74">
        <v>13</v>
      </c>
      <c r="AD157" s="164">
        <v>0.95</v>
      </c>
      <c r="AE157" s="50">
        <v>5.58</v>
      </c>
      <c r="AF157" s="273">
        <f>0.0002/2</f>
        <v>1E-4</v>
      </c>
      <c r="AG157" s="50">
        <v>3.18</v>
      </c>
      <c r="AH157" s="50">
        <v>7.7999999999999996E-3</v>
      </c>
      <c r="AI157" s="50" t="s">
        <v>955</v>
      </c>
    </row>
    <row r="158" spans="1:35" ht="14">
      <c r="A158" s="404" t="s">
        <v>138</v>
      </c>
      <c r="B158" s="50" t="s">
        <v>3811</v>
      </c>
      <c r="C158" s="50" t="s">
        <v>3811</v>
      </c>
      <c r="D158" s="48" t="s">
        <v>314</v>
      </c>
      <c r="E158" s="50" t="s">
        <v>3812</v>
      </c>
      <c r="G158" s="76" t="s">
        <v>3813</v>
      </c>
      <c r="H158" s="50">
        <v>5093</v>
      </c>
      <c r="I158" s="49" t="s">
        <v>2</v>
      </c>
      <c r="J158" s="50" t="s">
        <v>510</v>
      </c>
      <c r="K158" s="51">
        <v>41717</v>
      </c>
      <c r="L158" s="115">
        <v>41710</v>
      </c>
      <c r="N158" s="50" t="s">
        <v>2</v>
      </c>
      <c r="P158" s="117"/>
      <c r="Q158" s="131"/>
      <c r="W158" s="227"/>
      <c r="X158" s="226"/>
      <c r="Y158" s="226"/>
      <c r="AE158" s="50">
        <v>17.899999999999999</v>
      </c>
      <c r="AF158" s="273"/>
      <c r="AG158" s="50">
        <v>10.199999999999999</v>
      </c>
    </row>
    <row r="159" spans="1:35" ht="14">
      <c r="A159" s="404" t="s">
        <v>138</v>
      </c>
      <c r="B159" s="50" t="s">
        <v>446</v>
      </c>
      <c r="C159" s="50" t="s">
        <v>446</v>
      </c>
      <c r="D159" s="48" t="s">
        <v>372</v>
      </c>
      <c r="E159" s="50" t="s">
        <v>235</v>
      </c>
      <c r="G159" s="76" t="s">
        <v>5904</v>
      </c>
      <c r="H159" s="50">
        <v>5098</v>
      </c>
      <c r="I159" s="49" t="s">
        <v>2</v>
      </c>
      <c r="J159" s="50" t="s">
        <v>5905</v>
      </c>
      <c r="K159" s="51">
        <v>41553</v>
      </c>
      <c r="L159" s="115"/>
      <c r="N159" s="50" t="s">
        <v>2</v>
      </c>
      <c r="O159" s="74">
        <v>5.26</v>
      </c>
      <c r="P159" s="117">
        <v>6.92</v>
      </c>
      <c r="Q159" s="131">
        <v>7.18</v>
      </c>
      <c r="R159" s="50">
        <v>25</v>
      </c>
      <c r="S159" s="74">
        <v>47</v>
      </c>
      <c r="T159" s="50">
        <v>0.2</v>
      </c>
      <c r="U159" s="74">
        <v>2.91</v>
      </c>
      <c r="V159" s="50">
        <f>0.25</f>
        <v>0.25</v>
      </c>
      <c r="W159" s="227">
        <v>0.98</v>
      </c>
      <c r="X159" s="226">
        <v>0.99</v>
      </c>
      <c r="Y159" s="226">
        <v>8.8999999999999996E-2</v>
      </c>
      <c r="Z159" s="164">
        <v>6.25E-2</v>
      </c>
      <c r="AA159" s="165">
        <v>6.25E-2</v>
      </c>
      <c r="AB159" s="50">
        <v>28</v>
      </c>
      <c r="AC159" s="74">
        <v>58.6</v>
      </c>
      <c r="AD159" s="164">
        <v>0</v>
      </c>
      <c r="AE159" s="50">
        <v>3.18</v>
      </c>
      <c r="AF159" s="273">
        <f>0.0002/2</f>
        <v>1E-4</v>
      </c>
      <c r="AG159" s="50">
        <v>1.43</v>
      </c>
      <c r="AH159" s="50">
        <f>50/2</f>
        <v>25</v>
      </c>
      <c r="AI159" s="50">
        <f>0.22/2</f>
        <v>0.11</v>
      </c>
    </row>
    <row r="160" spans="1:35" ht="14">
      <c r="A160" s="404" t="s">
        <v>138</v>
      </c>
      <c r="B160" s="50" t="s">
        <v>4176</v>
      </c>
      <c r="C160" s="50" t="s">
        <v>3811</v>
      </c>
      <c r="D160" s="48" t="s">
        <v>314</v>
      </c>
      <c r="E160" s="50" t="s">
        <v>3812</v>
      </c>
      <c r="G160" s="76" t="s">
        <v>3813</v>
      </c>
      <c r="H160" s="50">
        <v>5093</v>
      </c>
      <c r="I160" s="49" t="s">
        <v>2</v>
      </c>
      <c r="J160" s="50" t="s">
        <v>510</v>
      </c>
      <c r="K160" s="51">
        <v>41585</v>
      </c>
      <c r="L160" s="115">
        <v>41579</v>
      </c>
      <c r="N160" s="50" t="s">
        <v>2</v>
      </c>
      <c r="O160" s="74">
        <v>2.1</v>
      </c>
      <c r="P160" s="117">
        <v>6.73</v>
      </c>
      <c r="Q160" s="131">
        <v>6.3</v>
      </c>
      <c r="R160" s="50">
        <v>63</v>
      </c>
      <c r="S160" s="74">
        <v>47</v>
      </c>
      <c r="T160" s="50">
        <v>0.27</v>
      </c>
      <c r="U160" s="74">
        <v>2.08</v>
      </c>
      <c r="V160" s="50">
        <v>0.44</v>
      </c>
      <c r="W160" s="227">
        <v>5.6000000000000001E-2</v>
      </c>
      <c r="X160" s="226">
        <v>0.188</v>
      </c>
      <c r="Y160" s="226">
        <v>3.3000000000000002E-2</v>
      </c>
      <c r="AE160" s="50">
        <v>2.17</v>
      </c>
      <c r="AF160" s="273"/>
      <c r="AG160" s="50">
        <v>1.27</v>
      </c>
      <c r="AH160" s="50">
        <f>0.13+0.38+0.54+1.4+0.45+4+0.77+0.1+0.45+0.63</f>
        <v>8.85</v>
      </c>
      <c r="AI160" s="7">
        <f>0.5/2</f>
        <v>0.25</v>
      </c>
    </row>
    <row r="161" spans="1:35" ht="14">
      <c r="A161" s="404" t="s">
        <v>138</v>
      </c>
      <c r="B161" s="50" t="s">
        <v>3805</v>
      </c>
      <c r="C161" s="50" t="s">
        <v>3805</v>
      </c>
      <c r="D161" s="48" t="s">
        <v>1896</v>
      </c>
      <c r="F161" s="50" t="s">
        <v>3412</v>
      </c>
      <c r="G161" s="76" t="s">
        <v>3806</v>
      </c>
      <c r="H161" s="50">
        <v>5093</v>
      </c>
      <c r="I161" s="49" t="s">
        <v>2</v>
      </c>
      <c r="J161" s="50" t="s">
        <v>366</v>
      </c>
      <c r="K161" s="51">
        <v>41345</v>
      </c>
      <c r="L161" s="115">
        <v>41332</v>
      </c>
      <c r="N161" s="50" t="s">
        <v>2</v>
      </c>
      <c r="O161" s="74">
        <v>34</v>
      </c>
      <c r="P161" s="117">
        <v>6.5</v>
      </c>
      <c r="Q161" s="131">
        <v>7.33</v>
      </c>
      <c r="R161" s="50">
        <v>133</v>
      </c>
      <c r="S161" s="74">
        <v>140</v>
      </c>
      <c r="T161" s="50">
        <v>0.16</v>
      </c>
      <c r="U161" s="74">
        <v>0.97</v>
      </c>
      <c r="V161" s="50">
        <f>0.01/2</f>
        <v>5.0000000000000001E-3</v>
      </c>
      <c r="W161" s="227">
        <v>0.25700000000000001</v>
      </c>
      <c r="X161" s="226">
        <v>2.4700000000000002</v>
      </c>
      <c r="Y161" s="226">
        <v>0.67500000000000004</v>
      </c>
      <c r="Z161" s="164">
        <v>1</v>
      </c>
      <c r="AA161" s="165">
        <v>1</v>
      </c>
      <c r="AB161" s="50">
        <v>800</v>
      </c>
      <c r="AC161" s="74">
        <v>2930</v>
      </c>
      <c r="AD161" s="164">
        <v>0.95</v>
      </c>
      <c r="AF161" s="273"/>
    </row>
    <row r="162" spans="1:35" ht="14">
      <c r="A162" s="404" t="s">
        <v>138</v>
      </c>
      <c r="B162" s="50" t="s">
        <v>3798</v>
      </c>
      <c r="C162" s="50" t="s">
        <v>3798</v>
      </c>
      <c r="D162" s="48" t="s">
        <v>1759</v>
      </c>
      <c r="E162" s="50" t="s">
        <v>3799</v>
      </c>
      <c r="G162" s="76" t="s">
        <v>3800</v>
      </c>
      <c r="H162" s="50">
        <v>5093</v>
      </c>
      <c r="J162" s="50" t="s">
        <v>3251</v>
      </c>
      <c r="K162" s="51">
        <v>41478</v>
      </c>
      <c r="L162" s="115">
        <v>41468</v>
      </c>
      <c r="N162" s="50" t="s">
        <v>2</v>
      </c>
      <c r="O162" s="74">
        <f>1.4/2</f>
        <v>0.7</v>
      </c>
      <c r="P162" s="117">
        <v>7.45</v>
      </c>
      <c r="Q162" s="131">
        <v>7.2</v>
      </c>
      <c r="R162" s="50">
        <v>41</v>
      </c>
      <c r="S162" s="74">
        <f>5/2</f>
        <v>2.5</v>
      </c>
      <c r="T162" s="50">
        <v>0.13</v>
      </c>
      <c r="U162" s="74">
        <v>1.2</v>
      </c>
      <c r="V162" s="50">
        <v>0.66</v>
      </c>
      <c r="W162" s="227">
        <v>1.2999999999999999E-2</v>
      </c>
      <c r="X162" s="226">
        <v>0.06</v>
      </c>
      <c r="Y162" s="226">
        <v>8.0000000000000002E-3</v>
      </c>
      <c r="AE162" s="50">
        <v>0.49399999999999999</v>
      </c>
      <c r="AF162" s="273">
        <f>0.0002/2</f>
        <v>1E-4</v>
      </c>
      <c r="AG162" s="50">
        <v>0.31900000000000001</v>
      </c>
      <c r="AH162" s="50">
        <f>20/2</f>
        <v>10</v>
      </c>
      <c r="AI162" s="50">
        <f>0.5/2</f>
        <v>0.25</v>
      </c>
    </row>
    <row r="163" spans="1:35" ht="14">
      <c r="A163" s="404" t="s">
        <v>138</v>
      </c>
      <c r="B163" s="50" t="s">
        <v>5906</v>
      </c>
      <c r="C163" s="50" t="s">
        <v>417</v>
      </c>
      <c r="D163" s="48" t="s">
        <v>133</v>
      </c>
      <c r="E163" s="50" t="s">
        <v>3678</v>
      </c>
      <c r="G163" s="76" t="s">
        <v>418</v>
      </c>
      <c r="H163" s="50">
        <v>5093</v>
      </c>
      <c r="I163" s="49" t="s">
        <v>2</v>
      </c>
      <c r="J163" s="50" t="s">
        <v>419</v>
      </c>
      <c r="K163" s="51">
        <v>41487</v>
      </c>
      <c r="L163" s="115">
        <v>41481</v>
      </c>
      <c r="N163" s="50" t="s">
        <v>2</v>
      </c>
      <c r="P163" s="117"/>
      <c r="Q163" s="131"/>
      <c r="W163" s="227"/>
      <c r="X163" s="226"/>
      <c r="Y163" s="226"/>
      <c r="AE163" s="50">
        <v>4.1399999999999997</v>
      </c>
      <c r="AF163" s="273"/>
      <c r="AG163" s="50">
        <v>1.84</v>
      </c>
    </row>
    <row r="164" spans="1:35" ht="14">
      <c r="A164" s="404" t="s">
        <v>138</v>
      </c>
      <c r="B164" s="50" t="s">
        <v>5906</v>
      </c>
      <c r="C164" s="50" t="s">
        <v>417</v>
      </c>
      <c r="D164" s="48" t="s">
        <v>133</v>
      </c>
      <c r="E164" s="50" t="s">
        <v>3678</v>
      </c>
      <c r="G164" s="76" t="s">
        <v>418</v>
      </c>
      <c r="H164" s="50">
        <v>5093</v>
      </c>
      <c r="I164" s="49" t="s">
        <v>2</v>
      </c>
      <c r="J164" s="50" t="s">
        <v>420</v>
      </c>
      <c r="K164" s="51">
        <v>41487</v>
      </c>
      <c r="L164" s="115">
        <v>41481</v>
      </c>
      <c r="N164" s="50" t="s">
        <v>2</v>
      </c>
      <c r="P164" s="117"/>
      <c r="Q164" s="131"/>
      <c r="W164" s="227"/>
      <c r="X164" s="226"/>
      <c r="Y164" s="226"/>
      <c r="AE164" s="50">
        <v>1.83</v>
      </c>
      <c r="AF164" s="273"/>
    </row>
    <row r="165" spans="1:35" ht="14">
      <c r="A165" s="404" t="s">
        <v>138</v>
      </c>
      <c r="B165" s="50" t="s">
        <v>635</v>
      </c>
      <c r="C165" s="50" t="s">
        <v>635</v>
      </c>
      <c r="D165" s="48" t="s">
        <v>636</v>
      </c>
      <c r="E165" s="50" t="s">
        <v>5907</v>
      </c>
      <c r="F165" s="50" t="s">
        <v>1012</v>
      </c>
      <c r="G165" s="76" t="s">
        <v>637</v>
      </c>
      <c r="H165" s="50">
        <v>5093</v>
      </c>
      <c r="I165" s="49" t="s">
        <v>2</v>
      </c>
      <c r="J165" s="50" t="s">
        <v>5908</v>
      </c>
      <c r="K165" s="51">
        <v>41539</v>
      </c>
      <c r="L165" s="115">
        <v>41529</v>
      </c>
      <c r="N165" s="50" t="s">
        <v>2</v>
      </c>
      <c r="P165" s="117"/>
      <c r="Q165" s="131"/>
      <c r="W165" s="227"/>
      <c r="X165" s="226"/>
      <c r="Y165" s="226"/>
      <c r="AE165" s="50">
        <v>1.9</v>
      </c>
      <c r="AF165" s="273"/>
      <c r="AG165" s="50">
        <v>1.1000000000000001</v>
      </c>
    </row>
    <row r="166" spans="1:35" ht="14">
      <c r="A166" s="404" t="s">
        <v>138</v>
      </c>
      <c r="B166" s="50" t="s">
        <v>1504</v>
      </c>
      <c r="C166" s="50" t="s">
        <v>1504</v>
      </c>
      <c r="D166" s="48" t="s">
        <v>1505</v>
      </c>
      <c r="G166" s="76" t="s">
        <v>1507</v>
      </c>
      <c r="H166" s="50">
        <v>4953</v>
      </c>
      <c r="I166" s="49" t="s">
        <v>2</v>
      </c>
      <c r="J166" s="50" t="s">
        <v>1508</v>
      </c>
      <c r="K166" s="51">
        <v>41170</v>
      </c>
      <c r="L166" s="115">
        <v>41160</v>
      </c>
      <c r="N166" s="50" t="s">
        <v>2</v>
      </c>
      <c r="P166" s="117"/>
      <c r="Q166" s="131"/>
      <c r="W166" s="227"/>
      <c r="X166" s="226"/>
      <c r="Y166" s="226"/>
      <c r="AE166" s="50">
        <v>1.69</v>
      </c>
      <c r="AF166" s="273">
        <v>1.6000000000000001E-3</v>
      </c>
      <c r="AG166" s="50">
        <v>4.05</v>
      </c>
      <c r="AI166" s="50">
        <f>1/2</f>
        <v>0.5</v>
      </c>
    </row>
    <row r="167" spans="1:35" ht="14">
      <c r="A167" s="404" t="s">
        <v>138</v>
      </c>
      <c r="B167" s="50" t="s">
        <v>1504</v>
      </c>
      <c r="C167" s="50" t="s">
        <v>1504</v>
      </c>
      <c r="D167" s="48" t="s">
        <v>1505</v>
      </c>
      <c r="E167" s="50" t="s">
        <v>1509</v>
      </c>
      <c r="G167" s="76" t="s">
        <v>1507</v>
      </c>
      <c r="H167" s="50">
        <v>4953</v>
      </c>
      <c r="I167" s="49" t="s">
        <v>2</v>
      </c>
      <c r="J167" s="50" t="s">
        <v>1510</v>
      </c>
      <c r="K167" s="51">
        <v>41170</v>
      </c>
      <c r="L167" s="115">
        <v>41160</v>
      </c>
      <c r="N167" s="50" t="s">
        <v>2</v>
      </c>
      <c r="P167" s="117"/>
      <c r="Q167" s="131"/>
      <c r="W167" s="227"/>
      <c r="X167" s="226"/>
      <c r="Y167" s="226"/>
      <c r="AE167" s="50">
        <v>0.42</v>
      </c>
      <c r="AF167" s="273">
        <v>5.7000000000000002E-3</v>
      </c>
      <c r="AG167" s="50">
        <v>0.33</v>
      </c>
      <c r="AI167" s="50">
        <f>1/2</f>
        <v>0.5</v>
      </c>
    </row>
    <row r="168" spans="1:35" ht="14">
      <c r="A168" s="404" t="s">
        <v>138</v>
      </c>
      <c r="B168" s="50" t="s">
        <v>1504</v>
      </c>
      <c r="C168" s="50" t="s">
        <v>1504</v>
      </c>
      <c r="D168" s="48" t="s">
        <v>1505</v>
      </c>
      <c r="E168" s="50" t="s">
        <v>1506</v>
      </c>
      <c r="G168" s="76" t="s">
        <v>1507</v>
      </c>
      <c r="H168" s="50">
        <v>4953</v>
      </c>
      <c r="I168" s="49" t="s">
        <v>2</v>
      </c>
      <c r="J168" s="50" t="s">
        <v>1508</v>
      </c>
      <c r="K168" s="51">
        <v>41250</v>
      </c>
      <c r="L168" s="115">
        <v>41240</v>
      </c>
      <c r="N168" s="50" t="s">
        <v>2</v>
      </c>
      <c r="P168" s="117"/>
      <c r="Q168" s="131"/>
      <c r="W168" s="227"/>
      <c r="X168" s="226"/>
      <c r="Y168" s="226"/>
      <c r="AE168" s="50">
        <v>0.82</v>
      </c>
      <c r="AF168" s="273">
        <v>2E-3</v>
      </c>
      <c r="AG168" s="50">
        <v>0.8</v>
      </c>
    </row>
    <row r="169" spans="1:35" ht="14">
      <c r="A169" s="404" t="s">
        <v>138</v>
      </c>
      <c r="B169" s="50" t="s">
        <v>1504</v>
      </c>
      <c r="C169" s="50" t="s">
        <v>1504</v>
      </c>
      <c r="D169" s="48" t="s">
        <v>1505</v>
      </c>
      <c r="E169" s="50" t="s">
        <v>1509</v>
      </c>
      <c r="G169" s="76" t="s">
        <v>1507</v>
      </c>
      <c r="H169" s="50">
        <v>4953</v>
      </c>
      <c r="I169" s="49" t="s">
        <v>2</v>
      </c>
      <c r="J169" s="50" t="s">
        <v>1510</v>
      </c>
      <c r="K169" s="51">
        <v>41250</v>
      </c>
      <c r="L169" s="115">
        <v>41240</v>
      </c>
      <c r="N169" s="50" t="s">
        <v>2</v>
      </c>
      <c r="P169" s="117"/>
      <c r="Q169" s="131"/>
      <c r="W169" s="227"/>
      <c r="X169" s="226"/>
      <c r="Y169" s="226"/>
      <c r="AE169" s="50">
        <v>0.54</v>
      </c>
      <c r="AF169" s="273">
        <f>0.002/2</f>
        <v>1E-3</v>
      </c>
      <c r="AG169" s="50">
        <f>0.1/2</f>
        <v>0.05</v>
      </c>
    </row>
    <row r="170" spans="1:35" ht="14">
      <c r="A170" s="404" t="s">
        <v>138</v>
      </c>
      <c r="B170" s="50" t="s">
        <v>1504</v>
      </c>
      <c r="C170" s="50" t="s">
        <v>1504</v>
      </c>
      <c r="D170" s="48" t="s">
        <v>1505</v>
      </c>
      <c r="E170" s="50" t="s">
        <v>1506</v>
      </c>
      <c r="G170" s="76" t="s">
        <v>1507</v>
      </c>
      <c r="H170" s="50">
        <v>4953</v>
      </c>
      <c r="I170" s="49" t="s">
        <v>2</v>
      </c>
      <c r="J170" s="50" t="s">
        <v>1508</v>
      </c>
      <c r="K170" s="51">
        <v>41345</v>
      </c>
      <c r="L170" s="115">
        <v>41340</v>
      </c>
      <c r="N170" s="50" t="s">
        <v>2</v>
      </c>
      <c r="O170" s="74">
        <f>2/2</f>
        <v>1</v>
      </c>
      <c r="P170" s="117">
        <v>5</v>
      </c>
      <c r="Q170" s="131">
        <v>7</v>
      </c>
      <c r="R170" s="50">
        <v>22</v>
      </c>
      <c r="S170" s="74">
        <v>18</v>
      </c>
      <c r="T170" s="50">
        <v>0.11</v>
      </c>
      <c r="U170" s="74">
        <v>2.52</v>
      </c>
      <c r="V170" s="50">
        <v>0.66</v>
      </c>
      <c r="W170" s="227">
        <v>0.03</v>
      </c>
      <c r="X170" s="226">
        <v>0.26400000000000001</v>
      </c>
      <c r="Y170" s="226">
        <f>0.03/2</f>
        <v>1.4999999999999999E-2</v>
      </c>
      <c r="AE170" s="50">
        <v>0.77</v>
      </c>
      <c r="AF170" s="273">
        <v>9.1999999999999998E-3</v>
      </c>
      <c r="AG170" s="50">
        <v>0.8</v>
      </c>
      <c r="AI170" s="50">
        <f>10/2</f>
        <v>5</v>
      </c>
    </row>
    <row r="171" spans="1:35" ht="14">
      <c r="A171" s="404" t="s">
        <v>138</v>
      </c>
      <c r="B171" s="50" t="s">
        <v>1504</v>
      </c>
      <c r="C171" s="50" t="s">
        <v>1504</v>
      </c>
      <c r="D171" s="48" t="s">
        <v>1505</v>
      </c>
      <c r="E171" s="50" t="s">
        <v>1509</v>
      </c>
      <c r="G171" s="76" t="s">
        <v>1507</v>
      </c>
      <c r="H171" s="50">
        <v>4953</v>
      </c>
      <c r="I171" s="49" t="s">
        <v>2</v>
      </c>
      <c r="J171" s="50" t="s">
        <v>1510</v>
      </c>
      <c r="K171" s="51">
        <v>41345</v>
      </c>
      <c r="L171" s="115">
        <v>41340</v>
      </c>
      <c r="N171" s="50" t="s">
        <v>2</v>
      </c>
      <c r="O171" s="74">
        <f>2/2</f>
        <v>1</v>
      </c>
      <c r="P171" s="117">
        <v>5</v>
      </c>
      <c r="Q171" s="131">
        <v>6.9</v>
      </c>
      <c r="R171" s="50">
        <v>12</v>
      </c>
      <c r="S171" s="74">
        <v>25</v>
      </c>
      <c r="T171" s="50">
        <v>0.12</v>
      </c>
      <c r="U171" s="74">
        <v>2.14</v>
      </c>
      <c r="V171" s="50">
        <v>0.7</v>
      </c>
      <c r="W171" s="227">
        <v>1.2E-2</v>
      </c>
      <c r="X171" s="226">
        <v>0.46100000000000002</v>
      </c>
      <c r="Y171" s="226">
        <f>0.03/2</f>
        <v>1.4999999999999999E-2</v>
      </c>
      <c r="AE171" s="50">
        <v>1.22</v>
      </c>
      <c r="AF171" s="273">
        <v>6.1000000000000004E-3</v>
      </c>
      <c r="AG171" s="50">
        <v>0.74</v>
      </c>
      <c r="AI171" s="50">
        <f>10/2</f>
        <v>5</v>
      </c>
    </row>
    <row r="172" spans="1:35" ht="14">
      <c r="A172" s="404" t="s">
        <v>138</v>
      </c>
      <c r="B172" s="50" t="s">
        <v>1504</v>
      </c>
      <c r="C172" s="50" t="s">
        <v>1504</v>
      </c>
      <c r="D172" s="48" t="s">
        <v>1505</v>
      </c>
      <c r="G172" s="76" t="s">
        <v>1507</v>
      </c>
      <c r="H172" s="50">
        <v>4953</v>
      </c>
      <c r="I172" s="49" t="s">
        <v>2</v>
      </c>
      <c r="J172" s="50" t="s">
        <v>1508</v>
      </c>
      <c r="K172" s="51">
        <v>41487</v>
      </c>
      <c r="L172" s="115">
        <v>41481</v>
      </c>
      <c r="N172" s="50" t="s">
        <v>2</v>
      </c>
      <c r="O172" s="74">
        <f>2/2</f>
        <v>1</v>
      </c>
      <c r="P172" s="117">
        <v>6</v>
      </c>
      <c r="Q172" s="131">
        <v>4.5</v>
      </c>
      <c r="R172" s="50">
        <v>90</v>
      </c>
      <c r="S172" s="74">
        <v>14</v>
      </c>
      <c r="T172" s="50">
        <v>0.14000000000000001</v>
      </c>
      <c r="U172" s="74">
        <v>2.73</v>
      </c>
      <c r="V172" s="50">
        <v>1.39</v>
      </c>
      <c r="W172" s="227">
        <v>1.2999999999999999E-2</v>
      </c>
      <c r="X172" s="226">
        <v>5.8000000000000003E-2</v>
      </c>
      <c r="Y172" s="226">
        <f>0.03/2</f>
        <v>1.4999999999999999E-2</v>
      </c>
      <c r="Z172" s="164">
        <v>0.70699999999999996</v>
      </c>
      <c r="AA172" s="165">
        <v>0.58399999999999996</v>
      </c>
      <c r="AB172" s="50">
        <v>12</v>
      </c>
      <c r="AC172" s="74">
        <v>48</v>
      </c>
      <c r="AD172" s="164">
        <v>0</v>
      </c>
      <c r="AE172" s="50">
        <v>0.34</v>
      </c>
      <c r="AF172" s="273">
        <v>4.0000000000000002E-4</v>
      </c>
      <c r="AG172" s="50">
        <v>1.86</v>
      </c>
      <c r="AI172" s="50">
        <f>10/2</f>
        <v>5</v>
      </c>
    </row>
    <row r="173" spans="1:35" ht="14">
      <c r="A173" s="404" t="s">
        <v>138</v>
      </c>
      <c r="B173" s="50" t="s">
        <v>1504</v>
      </c>
      <c r="C173" s="50" t="s">
        <v>1504</v>
      </c>
      <c r="D173" s="48" t="s">
        <v>1505</v>
      </c>
      <c r="E173" s="50" t="s">
        <v>1509</v>
      </c>
      <c r="G173" s="76" t="s">
        <v>1507</v>
      </c>
      <c r="H173" s="50">
        <v>4953</v>
      </c>
      <c r="I173" s="49" t="s">
        <v>2</v>
      </c>
      <c r="J173" s="50" t="s">
        <v>1510</v>
      </c>
      <c r="K173" s="51">
        <v>41487</v>
      </c>
      <c r="L173" s="115">
        <v>41481</v>
      </c>
      <c r="N173" s="50" t="s">
        <v>2</v>
      </c>
      <c r="O173" s="74">
        <f>2/2</f>
        <v>1</v>
      </c>
      <c r="P173" s="117">
        <v>6</v>
      </c>
      <c r="Q173" s="131">
        <v>6.6</v>
      </c>
      <c r="R173" s="50">
        <v>37</v>
      </c>
      <c r="S173" s="74">
        <v>20</v>
      </c>
      <c r="T173" s="50">
        <v>0.17</v>
      </c>
      <c r="U173" s="74">
        <v>2.2400000000000002</v>
      </c>
      <c r="V173" s="50">
        <v>2.39</v>
      </c>
      <c r="W173" s="227">
        <v>0.01</v>
      </c>
      <c r="X173" s="226">
        <v>1.89</v>
      </c>
      <c r="Y173" s="226">
        <f>0.03/2</f>
        <v>1.4999999999999999E-2</v>
      </c>
      <c r="Z173" s="164">
        <v>0.22500000000000001</v>
      </c>
      <c r="AA173" s="165">
        <v>0.125</v>
      </c>
      <c r="AB173" s="50">
        <v>19</v>
      </c>
      <c r="AC173" s="74">
        <v>169</v>
      </c>
      <c r="AD173" s="164">
        <v>0</v>
      </c>
      <c r="AE173" s="50">
        <v>1.24</v>
      </c>
      <c r="AF173" s="273">
        <v>6.9999999999999999E-4</v>
      </c>
      <c r="AG173" s="50">
        <v>0.62</v>
      </c>
      <c r="AI173" s="50">
        <f>10/2</f>
        <v>5</v>
      </c>
    </row>
    <row r="174" spans="1:35" ht="14">
      <c r="A174" s="404" t="s">
        <v>138</v>
      </c>
      <c r="B174" s="50" t="s">
        <v>1504</v>
      </c>
      <c r="C174" s="50" t="s">
        <v>1504</v>
      </c>
      <c r="D174" s="48" t="s">
        <v>1505</v>
      </c>
      <c r="E174" s="50" t="s">
        <v>1506</v>
      </c>
      <c r="G174" s="76" t="s">
        <v>1507</v>
      </c>
      <c r="H174" s="50">
        <v>4953</v>
      </c>
      <c r="I174" s="49" t="s">
        <v>2</v>
      </c>
      <c r="J174" s="50" t="s">
        <v>1508</v>
      </c>
      <c r="K174" s="51">
        <v>41579</v>
      </c>
      <c r="L174" s="115">
        <v>41554</v>
      </c>
      <c r="N174" s="50" t="s">
        <v>2</v>
      </c>
      <c r="P174" s="117"/>
      <c r="Q174" s="131"/>
      <c r="W174" s="227"/>
      <c r="X174" s="226"/>
      <c r="Y174" s="226"/>
      <c r="AE174" s="50">
        <v>0.1</v>
      </c>
      <c r="AF174" s="273">
        <v>4.0000000000000002E-4</v>
      </c>
      <c r="AG174" s="50">
        <v>0.14000000000000001</v>
      </c>
    </row>
    <row r="175" spans="1:35" ht="14">
      <c r="A175" s="404" t="s">
        <v>138</v>
      </c>
      <c r="B175" s="50" t="s">
        <v>1504</v>
      </c>
      <c r="C175" s="50" t="s">
        <v>1504</v>
      </c>
      <c r="D175" s="48" t="s">
        <v>1505</v>
      </c>
      <c r="E175" s="50" t="s">
        <v>1506</v>
      </c>
      <c r="G175" s="76" t="s">
        <v>1507</v>
      </c>
      <c r="H175" s="50">
        <v>4953</v>
      </c>
      <c r="I175" s="49" t="s">
        <v>2</v>
      </c>
      <c r="J175" s="50" t="s">
        <v>1510</v>
      </c>
      <c r="K175" s="51">
        <v>41579</v>
      </c>
      <c r="L175" s="115">
        <v>41554</v>
      </c>
      <c r="N175" s="50" t="s">
        <v>2</v>
      </c>
      <c r="P175" s="117"/>
      <c r="Q175" s="131"/>
      <c r="W175" s="227"/>
      <c r="X175" s="226"/>
      <c r="Y175" s="226"/>
      <c r="AE175" s="50">
        <v>0.11</v>
      </c>
      <c r="AF175" s="273">
        <v>4.0000000000000002E-4</v>
      </c>
      <c r="AG175" s="50">
        <v>0.14000000000000001</v>
      </c>
    </row>
    <row r="176" spans="1:35" ht="14">
      <c r="A176" s="74" t="s">
        <v>138</v>
      </c>
      <c r="B176" s="50" t="s">
        <v>1504</v>
      </c>
      <c r="C176" s="50" t="s">
        <v>1504</v>
      </c>
      <c r="D176" s="48" t="s">
        <v>1505</v>
      </c>
      <c r="E176" s="50" t="s">
        <v>44</v>
      </c>
      <c r="G176" s="76" t="s">
        <v>1507</v>
      </c>
      <c r="H176" s="50">
        <v>4953</v>
      </c>
      <c r="I176" s="49" t="s">
        <v>2</v>
      </c>
      <c r="J176" s="50" t="s">
        <v>366</v>
      </c>
      <c r="K176" s="51">
        <v>41727</v>
      </c>
      <c r="L176" s="115">
        <v>41718</v>
      </c>
      <c r="N176" s="50" t="s">
        <v>2</v>
      </c>
      <c r="O176" s="74">
        <f>2/2</f>
        <v>1</v>
      </c>
      <c r="P176" s="117">
        <v>4.5999999999999996</v>
      </c>
      <c r="Q176" s="131">
        <v>4.3</v>
      </c>
      <c r="R176" s="50">
        <f>10/2</f>
        <v>5</v>
      </c>
      <c r="S176" s="74">
        <v>2</v>
      </c>
      <c r="T176" s="50">
        <v>0.02</v>
      </c>
      <c r="U176" s="74">
        <v>0.34</v>
      </c>
      <c r="V176" s="50">
        <f>0.1/2</f>
        <v>0.05</v>
      </c>
      <c r="W176" s="227">
        <f>0.01/2</f>
        <v>5.0000000000000001E-3</v>
      </c>
      <c r="X176" s="226">
        <v>3.1E-2</v>
      </c>
      <c r="Y176" s="226">
        <f>0.03/2</f>
        <v>1.4999999999999999E-2</v>
      </c>
      <c r="AE176" s="50">
        <f>0.05/2</f>
        <v>2.5000000000000001E-2</v>
      </c>
      <c r="AF176" s="273">
        <v>1E-3</v>
      </c>
      <c r="AG176" s="50">
        <f>0.1/2</f>
        <v>0.05</v>
      </c>
      <c r="AI176" s="50">
        <f>10/2</f>
        <v>5</v>
      </c>
    </row>
    <row r="177" spans="1:35" ht="14">
      <c r="A177" s="74" t="s">
        <v>138</v>
      </c>
      <c r="B177" s="50" t="s">
        <v>1504</v>
      </c>
      <c r="C177" s="50" t="s">
        <v>1504</v>
      </c>
      <c r="D177" s="48" t="s">
        <v>1505</v>
      </c>
      <c r="E177" s="50" t="s">
        <v>44</v>
      </c>
      <c r="G177" s="76" t="s">
        <v>1507</v>
      </c>
      <c r="H177" s="50">
        <v>4953</v>
      </c>
      <c r="I177" s="49" t="s">
        <v>2</v>
      </c>
      <c r="J177" s="50" t="s">
        <v>593</v>
      </c>
      <c r="K177" s="51">
        <v>41727</v>
      </c>
      <c r="L177" s="115">
        <v>41718</v>
      </c>
      <c r="N177" s="50" t="s">
        <v>2</v>
      </c>
      <c r="O177" s="74">
        <f>2/2</f>
        <v>1</v>
      </c>
      <c r="P177" s="117">
        <v>4.5999999999999996</v>
      </c>
      <c r="Q177" s="131">
        <v>4.2</v>
      </c>
      <c r="R177" s="50">
        <f>10/2</f>
        <v>5</v>
      </c>
      <c r="S177" s="74">
        <f>1/2</f>
        <v>0.5</v>
      </c>
      <c r="T177" s="50">
        <v>0.02</v>
      </c>
      <c r="U177" s="74">
        <v>0.32</v>
      </c>
      <c r="V177" s="50">
        <f>0.1/2</f>
        <v>0.05</v>
      </c>
      <c r="W177" s="227">
        <f>0.01/2</f>
        <v>5.0000000000000001E-3</v>
      </c>
      <c r="X177" s="226">
        <v>3.5000000000000003E-2</v>
      </c>
      <c r="Y177" s="226">
        <f>0.03/2</f>
        <v>1.4999999999999999E-2</v>
      </c>
      <c r="AE177" s="50">
        <v>0.15</v>
      </c>
      <c r="AF177" s="273">
        <v>8.9999999999999998E-4</v>
      </c>
      <c r="AG177" s="50">
        <v>0.24</v>
      </c>
      <c r="AI177" s="50">
        <f>10/2</f>
        <v>5</v>
      </c>
    </row>
    <row r="178" spans="1:35" ht="14">
      <c r="A178" s="404" t="s">
        <v>138</v>
      </c>
      <c r="B178" s="50" t="s">
        <v>3819</v>
      </c>
      <c r="D178" s="48" t="s">
        <v>1896</v>
      </c>
      <c r="E178" s="50" t="s">
        <v>3816</v>
      </c>
      <c r="G178" s="76" t="s">
        <v>3817</v>
      </c>
      <c r="H178" s="50">
        <v>5093</v>
      </c>
      <c r="I178" s="49" t="s">
        <v>2</v>
      </c>
      <c r="J178" s="50" t="s">
        <v>4171</v>
      </c>
      <c r="K178" s="51">
        <v>41533</v>
      </c>
      <c r="L178" s="115" t="s">
        <v>3434</v>
      </c>
      <c r="N178" s="50" t="s">
        <v>2</v>
      </c>
      <c r="P178" s="117"/>
      <c r="Q178" s="131"/>
      <c r="W178" s="227"/>
      <c r="X178" s="226"/>
      <c r="Y178" s="226"/>
      <c r="AE178" s="50">
        <v>0.8</v>
      </c>
      <c r="AF178" s="273">
        <f>0.0004/2</f>
        <v>2.0000000000000001E-4</v>
      </c>
      <c r="AG178" s="50">
        <v>0.1</v>
      </c>
      <c r="AH178" s="50">
        <f>500/2</f>
        <v>250</v>
      </c>
      <c r="AI178" s="50">
        <f>10/2</f>
        <v>5</v>
      </c>
    </row>
    <row r="179" spans="1:35" ht="14">
      <c r="A179" s="404" t="s">
        <v>138</v>
      </c>
      <c r="B179" s="50" t="s">
        <v>5910</v>
      </c>
      <c r="D179" s="48" t="s">
        <v>684</v>
      </c>
      <c r="E179" s="50" t="s">
        <v>686</v>
      </c>
      <c r="G179" s="76" t="s">
        <v>685</v>
      </c>
      <c r="H179" s="50">
        <v>5093</v>
      </c>
      <c r="I179" s="49" t="s">
        <v>2</v>
      </c>
      <c r="J179" s="50" t="s">
        <v>144</v>
      </c>
      <c r="K179" s="51">
        <v>41579</v>
      </c>
      <c r="L179" s="115">
        <v>41554</v>
      </c>
      <c r="N179" s="50" t="s">
        <v>2</v>
      </c>
      <c r="P179" s="117"/>
      <c r="Q179" s="131"/>
      <c r="W179" s="227"/>
      <c r="X179" s="226"/>
      <c r="Y179" s="226"/>
      <c r="AE179" s="50">
        <v>6.87</v>
      </c>
      <c r="AF179" s="273"/>
      <c r="AG179" s="50">
        <v>2.4700000000000002</v>
      </c>
    </row>
    <row r="180" spans="1:35" ht="14">
      <c r="A180" s="404" t="s">
        <v>138</v>
      </c>
      <c r="B180" s="50" t="s">
        <v>5910</v>
      </c>
      <c r="D180" s="48" t="s">
        <v>684</v>
      </c>
      <c r="E180" s="50" t="s">
        <v>686</v>
      </c>
      <c r="G180" s="76" t="s">
        <v>685</v>
      </c>
      <c r="H180" s="50">
        <v>5093</v>
      </c>
      <c r="I180" s="49" t="s">
        <v>2</v>
      </c>
      <c r="J180" s="50" t="s">
        <v>145</v>
      </c>
      <c r="K180" s="51">
        <v>41579</v>
      </c>
      <c r="L180" s="115">
        <v>41554</v>
      </c>
      <c r="N180" s="50" t="s">
        <v>2</v>
      </c>
      <c r="P180" s="117"/>
      <c r="Q180" s="131"/>
      <c r="W180" s="227"/>
      <c r="X180" s="226"/>
      <c r="Y180" s="226"/>
      <c r="AE180" s="50">
        <v>1.2</v>
      </c>
      <c r="AF180" s="273"/>
    </row>
    <row r="181" spans="1:35" ht="14">
      <c r="A181" s="404" t="s">
        <v>138</v>
      </c>
      <c r="B181" s="50" t="s">
        <v>5902</v>
      </c>
      <c r="C181" s="50" t="s">
        <v>5902</v>
      </c>
      <c r="D181" s="48" t="s">
        <v>434</v>
      </c>
      <c r="F181" s="50" t="s">
        <v>3406</v>
      </c>
      <c r="G181" s="76" t="s">
        <v>5903</v>
      </c>
      <c r="H181" s="50">
        <v>5093</v>
      </c>
      <c r="I181" s="49" t="s">
        <v>2</v>
      </c>
      <c r="J181" s="50" t="s">
        <v>510</v>
      </c>
      <c r="K181" s="51">
        <v>41579</v>
      </c>
      <c r="L181" s="115">
        <v>41554</v>
      </c>
      <c r="N181" s="50" t="s">
        <v>2</v>
      </c>
      <c r="P181" s="117">
        <v>5.23</v>
      </c>
      <c r="Q181" s="131"/>
      <c r="W181" s="227"/>
      <c r="X181" s="226"/>
      <c r="Y181" s="226"/>
      <c r="AE181" s="50">
        <v>2.83</v>
      </c>
      <c r="AF181" s="273">
        <f>0.0002/2</f>
        <v>1E-4</v>
      </c>
      <c r="AG181" s="50">
        <v>1.46</v>
      </c>
    </row>
    <row r="182" spans="1:35" ht="14">
      <c r="A182" s="404" t="s">
        <v>138</v>
      </c>
      <c r="B182" s="50" t="s">
        <v>5911</v>
      </c>
      <c r="C182" s="50" t="s">
        <v>5911</v>
      </c>
      <c r="D182" s="48" t="s">
        <v>89</v>
      </c>
      <c r="F182" s="50">
        <v>6603</v>
      </c>
      <c r="G182" s="76" t="s">
        <v>5912</v>
      </c>
      <c r="H182" s="50">
        <v>5093</v>
      </c>
      <c r="I182" s="49" t="s">
        <v>2</v>
      </c>
      <c r="J182" s="50" t="s">
        <v>431</v>
      </c>
      <c r="K182" s="51">
        <v>41579</v>
      </c>
      <c r="L182" s="115">
        <v>41567</v>
      </c>
      <c r="N182" s="50" t="s">
        <v>2</v>
      </c>
      <c r="O182" s="74">
        <f>5/2</f>
        <v>2.5</v>
      </c>
      <c r="P182" s="117">
        <v>6.86</v>
      </c>
      <c r="Q182" s="131">
        <v>6.65</v>
      </c>
      <c r="R182" s="50">
        <v>270</v>
      </c>
      <c r="S182" s="74">
        <v>38</v>
      </c>
      <c r="T182" s="50">
        <v>0.25</v>
      </c>
      <c r="U182" s="74">
        <v>3.1</v>
      </c>
      <c r="V182" s="50">
        <v>0.69</v>
      </c>
      <c r="W182" s="227">
        <v>0.27</v>
      </c>
      <c r="X182" s="226">
        <v>1.2</v>
      </c>
      <c r="Y182" s="226">
        <v>0.17</v>
      </c>
      <c r="AE182" s="50">
        <v>4.5</v>
      </c>
      <c r="AF182" s="273">
        <f>0.0004/2</f>
        <v>2.0000000000000001E-4</v>
      </c>
      <c r="AG182" s="50">
        <v>1.1000000000000001</v>
      </c>
      <c r="AH182" s="50">
        <f>20/2</f>
        <v>10</v>
      </c>
      <c r="AI182" s="50">
        <f>0.4/2</f>
        <v>0.2</v>
      </c>
    </row>
    <row r="183" spans="1:35" ht="14">
      <c r="A183" s="404" t="s">
        <v>138</v>
      </c>
      <c r="B183" s="50" t="s">
        <v>3246</v>
      </c>
      <c r="C183" s="50" t="s">
        <v>3246</v>
      </c>
      <c r="D183" s="48" t="s">
        <v>480</v>
      </c>
      <c r="E183" s="50" t="s">
        <v>1486</v>
      </c>
      <c r="G183" s="76" t="s">
        <v>3247</v>
      </c>
      <c r="H183" s="50">
        <v>5093</v>
      </c>
      <c r="I183" s="49" t="s">
        <v>2</v>
      </c>
      <c r="J183" s="50" t="s">
        <v>74</v>
      </c>
      <c r="K183" s="51">
        <v>41579</v>
      </c>
      <c r="L183" s="115"/>
      <c r="N183" s="50" t="s">
        <v>2</v>
      </c>
      <c r="O183" s="74">
        <f>1/2</f>
        <v>0.5</v>
      </c>
      <c r="P183" s="117"/>
      <c r="Q183" s="131">
        <v>6.61</v>
      </c>
      <c r="R183" s="50">
        <f>1/2</f>
        <v>0.5</v>
      </c>
      <c r="S183" s="74">
        <v>24</v>
      </c>
      <c r="T183" s="50">
        <v>7.0000000000000007E-2</v>
      </c>
      <c r="U183" s="74">
        <v>0.96</v>
      </c>
      <c r="V183" s="50">
        <v>0.25</v>
      </c>
      <c r="W183" s="227">
        <f>0.005/2</f>
        <v>2.5000000000000001E-3</v>
      </c>
      <c r="X183" s="226">
        <v>5.3999999999999999E-2</v>
      </c>
      <c r="Y183" s="226">
        <f>0.002/2</f>
        <v>1E-3</v>
      </c>
      <c r="Z183" s="164">
        <v>1</v>
      </c>
      <c r="AA183" s="165">
        <v>0.871</v>
      </c>
      <c r="AB183" s="50">
        <v>3.39</v>
      </c>
      <c r="AC183" s="74">
        <v>26</v>
      </c>
      <c r="AD183" s="164">
        <v>0.4</v>
      </c>
      <c r="AE183" s="50">
        <v>0.2</v>
      </c>
      <c r="AF183" s="273">
        <f>0.0002/2</f>
        <v>1E-4</v>
      </c>
      <c r="AG183" s="50">
        <v>0.1</v>
      </c>
      <c r="AH183" s="50">
        <f>25/2</f>
        <v>12.5</v>
      </c>
      <c r="AI183" s="50">
        <f>1/2</f>
        <v>0.5</v>
      </c>
    </row>
    <row r="184" spans="1:35" ht="14">
      <c r="A184" s="404" t="s">
        <v>138</v>
      </c>
      <c r="B184" s="50" t="s">
        <v>942</v>
      </c>
      <c r="D184" s="48" t="s">
        <v>379</v>
      </c>
      <c r="E184" s="50" t="s">
        <v>1835</v>
      </c>
      <c r="G184" s="76" t="s">
        <v>943</v>
      </c>
      <c r="H184" s="50">
        <v>5093</v>
      </c>
      <c r="I184" s="49" t="s">
        <v>2</v>
      </c>
      <c r="J184" s="50" t="s">
        <v>1835</v>
      </c>
      <c r="K184" s="51">
        <v>41585</v>
      </c>
      <c r="L184" s="115">
        <v>41579</v>
      </c>
      <c r="N184" s="50" t="s">
        <v>2</v>
      </c>
      <c r="O184" s="74">
        <f>2/2</f>
        <v>1</v>
      </c>
      <c r="P184" s="117">
        <v>7.5</v>
      </c>
      <c r="Q184" s="131">
        <v>7.2</v>
      </c>
      <c r="R184" s="50">
        <v>47</v>
      </c>
      <c r="S184" s="74">
        <v>7</v>
      </c>
      <c r="T184" s="50">
        <f>0.05/2</f>
        <v>2.5000000000000001E-2</v>
      </c>
      <c r="U184" s="74">
        <v>1.31</v>
      </c>
      <c r="V184" s="50">
        <v>0.97</v>
      </c>
      <c r="W184" s="227">
        <v>0.03</v>
      </c>
      <c r="X184" s="226">
        <f>0.03/2</f>
        <v>1.4999999999999999E-2</v>
      </c>
      <c r="Y184" s="226">
        <f>0.03/2</f>
        <v>1.4999999999999999E-2</v>
      </c>
      <c r="Z184" s="164">
        <v>1</v>
      </c>
      <c r="AA184" s="165">
        <v>1</v>
      </c>
      <c r="AB184" s="50">
        <v>21</v>
      </c>
      <c r="AC184" s="74">
        <v>50</v>
      </c>
      <c r="AD184" s="164">
        <v>1</v>
      </c>
      <c r="AE184" s="50">
        <v>0.39</v>
      </c>
      <c r="AF184" s="273">
        <f>0.0004/2</f>
        <v>2.0000000000000001E-4</v>
      </c>
      <c r="AG184" s="50">
        <v>0.25</v>
      </c>
      <c r="AH184" s="50">
        <f>500/2</f>
        <v>250</v>
      </c>
      <c r="AI184" s="50">
        <f>10/2</f>
        <v>5</v>
      </c>
    </row>
    <row r="185" spans="1:35" ht="14">
      <c r="A185" s="404" t="s">
        <v>138</v>
      </c>
      <c r="B185" s="50" t="s">
        <v>3819</v>
      </c>
      <c r="C185" s="50" t="s">
        <v>5909</v>
      </c>
      <c r="D185" s="48" t="s">
        <v>1896</v>
      </c>
      <c r="E185" s="50" t="s">
        <v>3816</v>
      </c>
      <c r="G185" s="76" t="s">
        <v>3817</v>
      </c>
      <c r="H185" s="50">
        <v>5093</v>
      </c>
      <c r="I185" s="49" t="s">
        <v>2</v>
      </c>
      <c r="J185" s="50" t="s">
        <v>4171</v>
      </c>
      <c r="K185" s="51">
        <v>41605</v>
      </c>
      <c r="L185" s="115" t="s">
        <v>3434</v>
      </c>
      <c r="N185" s="50" t="s">
        <v>2</v>
      </c>
      <c r="O185" s="74">
        <f>2/1</f>
        <v>2</v>
      </c>
      <c r="P185" s="117"/>
      <c r="Q185" s="131"/>
      <c r="W185" s="227"/>
      <c r="X185" s="226">
        <v>7.0999999999999994E-2</v>
      </c>
      <c r="Y185" s="226"/>
      <c r="AE185" s="50">
        <v>1.08</v>
      </c>
      <c r="AF185" s="273"/>
    </row>
    <row r="186" spans="1:35" ht="14">
      <c r="A186" s="404" t="s">
        <v>138</v>
      </c>
      <c r="B186" s="50" t="s">
        <v>3801</v>
      </c>
      <c r="C186" s="50" t="s">
        <v>3801</v>
      </c>
      <c r="E186" s="50" t="s">
        <v>1670</v>
      </c>
      <c r="G186" s="76" t="s">
        <v>3802</v>
      </c>
      <c r="H186" s="50">
        <v>5093</v>
      </c>
      <c r="I186" s="49" t="s">
        <v>1</v>
      </c>
      <c r="J186" s="50" t="s">
        <v>3803</v>
      </c>
      <c r="K186" s="51">
        <v>41432</v>
      </c>
      <c r="L186" s="115"/>
      <c r="N186" s="50" t="s">
        <v>2</v>
      </c>
      <c r="O186" s="74">
        <v>4.0999999999999996</v>
      </c>
      <c r="P186" s="117"/>
      <c r="Q186" s="131">
        <v>7.9</v>
      </c>
      <c r="R186" s="50">
        <v>380</v>
      </c>
      <c r="S186" s="74">
        <v>290</v>
      </c>
      <c r="T186" s="50">
        <v>0.56000000000000005</v>
      </c>
      <c r="U186" s="74">
        <v>1.55</v>
      </c>
      <c r="V186" s="50">
        <v>0.246</v>
      </c>
      <c r="W186" s="227">
        <v>0.71499999999999997</v>
      </c>
      <c r="X186" s="226">
        <v>1.79</v>
      </c>
      <c r="Y186" s="226">
        <v>0.67400000000000004</v>
      </c>
      <c r="AE186" s="50">
        <v>12.9</v>
      </c>
      <c r="AF186" s="273">
        <v>1.6999999999999999E-3</v>
      </c>
      <c r="AG186" s="50">
        <v>4.8</v>
      </c>
      <c r="AH186" s="50">
        <f>10/2</f>
        <v>5</v>
      </c>
    </row>
    <row r="187" spans="1:35" ht="14">
      <c r="A187" s="404" t="s">
        <v>138</v>
      </c>
      <c r="B187" s="50" t="s">
        <v>3801</v>
      </c>
      <c r="C187" s="50" t="s">
        <v>3801</v>
      </c>
      <c r="E187" s="50" t="s">
        <v>235</v>
      </c>
      <c r="G187" s="76" t="s">
        <v>3802</v>
      </c>
      <c r="H187" s="50">
        <v>5093</v>
      </c>
      <c r="I187" s="49" t="s">
        <v>1</v>
      </c>
      <c r="J187" s="50" t="s">
        <v>3804</v>
      </c>
      <c r="K187" s="51">
        <v>41432</v>
      </c>
      <c r="L187" s="115"/>
      <c r="N187" s="50" t="s">
        <v>2</v>
      </c>
      <c r="O187" s="74">
        <v>2.4</v>
      </c>
      <c r="P187" s="117"/>
      <c r="Q187" s="131">
        <v>7.84</v>
      </c>
      <c r="R187" s="50">
        <v>240</v>
      </c>
      <c r="S187" s="74">
        <v>232</v>
      </c>
      <c r="T187" s="50">
        <v>0.57999999999999996</v>
      </c>
      <c r="U187" s="74">
        <v>3.86</v>
      </c>
      <c r="V187" s="50">
        <f>0.05/2</f>
        <v>2.5000000000000001E-2</v>
      </c>
      <c r="W187" s="227">
        <v>0.42799999999999999</v>
      </c>
      <c r="X187" s="226">
        <v>1.52</v>
      </c>
      <c r="Y187" s="226">
        <v>0.503</v>
      </c>
      <c r="AE187" s="50">
        <v>8.02</v>
      </c>
      <c r="AF187" s="273">
        <v>1.6999999999999999E-3</v>
      </c>
      <c r="AG187" s="50">
        <v>2.5</v>
      </c>
      <c r="AH187" s="50">
        <v>264</v>
      </c>
    </row>
    <row r="188" spans="1:35" ht="14">
      <c r="A188" s="404" t="s">
        <v>138</v>
      </c>
      <c r="B188" s="50" t="s">
        <v>1519</v>
      </c>
      <c r="C188" s="50" t="s">
        <v>1519</v>
      </c>
      <c r="D188" s="48" t="s">
        <v>133</v>
      </c>
      <c r="E188" s="50" t="s">
        <v>4693</v>
      </c>
      <c r="F188" s="50" t="s">
        <v>1188</v>
      </c>
      <c r="G188" s="76" t="s">
        <v>1189</v>
      </c>
      <c r="H188" s="50" t="s">
        <v>1521</v>
      </c>
      <c r="I188" s="49" t="s">
        <v>2</v>
      </c>
      <c r="J188" s="50" t="s">
        <v>1522</v>
      </c>
      <c r="K188" s="51">
        <v>41744</v>
      </c>
      <c r="L188" s="115">
        <v>41737</v>
      </c>
      <c r="N188" s="50" t="s">
        <v>2</v>
      </c>
      <c r="P188" s="117"/>
      <c r="Q188" s="131"/>
      <c r="W188" s="227"/>
      <c r="X188" s="226"/>
      <c r="Y188" s="226"/>
      <c r="AE188" s="50">
        <v>3.2</v>
      </c>
      <c r="AF188" s="273"/>
      <c r="AG188" s="50">
        <v>2.1</v>
      </c>
    </row>
    <row r="189" spans="1:35" ht="14">
      <c r="A189" s="404" t="s">
        <v>138</v>
      </c>
      <c r="B189" s="50" t="s">
        <v>939</v>
      </c>
      <c r="C189" s="50" t="s">
        <v>939</v>
      </c>
      <c r="D189" s="48" t="s">
        <v>397</v>
      </c>
      <c r="E189" s="50" t="s">
        <v>1027</v>
      </c>
      <c r="F189" s="50" t="s">
        <v>959</v>
      </c>
      <c r="G189" s="76" t="s">
        <v>940</v>
      </c>
      <c r="H189" s="50">
        <v>5093</v>
      </c>
      <c r="I189" s="49" t="s">
        <v>1</v>
      </c>
      <c r="J189" s="50" t="s">
        <v>941</v>
      </c>
      <c r="K189" s="51">
        <v>41744</v>
      </c>
      <c r="L189" s="115">
        <v>41737</v>
      </c>
      <c r="N189" s="50" t="s">
        <v>2</v>
      </c>
      <c r="O189" s="74">
        <v>36</v>
      </c>
      <c r="P189" s="117"/>
      <c r="Q189" s="131">
        <v>5.5</v>
      </c>
      <c r="R189" s="50">
        <v>440</v>
      </c>
      <c r="S189" s="74">
        <v>740</v>
      </c>
      <c r="T189" s="50">
        <v>1.4</v>
      </c>
      <c r="W189" s="227">
        <v>0.21</v>
      </c>
      <c r="X189" s="226">
        <v>1.4</v>
      </c>
      <c r="Y189" s="226">
        <v>0.37</v>
      </c>
      <c r="AE189" s="50">
        <v>10</v>
      </c>
      <c r="AF189" s="273"/>
      <c r="AG189" s="50">
        <v>3.5</v>
      </c>
    </row>
    <row r="190" spans="1:35" ht="14">
      <c r="A190" s="404" t="s">
        <v>138</v>
      </c>
      <c r="B190" s="50" t="s">
        <v>635</v>
      </c>
      <c r="C190" s="50" t="s">
        <v>4688</v>
      </c>
      <c r="D190" s="48" t="s">
        <v>636</v>
      </c>
      <c r="E190" s="50" t="s">
        <v>1011</v>
      </c>
      <c r="F190" s="50" t="s">
        <v>1012</v>
      </c>
      <c r="G190" s="76" t="s">
        <v>637</v>
      </c>
      <c r="H190" s="50">
        <v>5093</v>
      </c>
      <c r="I190" s="49" t="s">
        <v>2</v>
      </c>
      <c r="J190" s="50" t="s">
        <v>3149</v>
      </c>
      <c r="K190" s="51">
        <v>41744</v>
      </c>
      <c r="L190" s="115">
        <v>41737</v>
      </c>
      <c r="N190" s="50" t="s">
        <v>2</v>
      </c>
      <c r="P190" s="117"/>
      <c r="Q190" s="131"/>
      <c r="W190" s="227"/>
      <c r="X190" s="226"/>
      <c r="Y190" s="226"/>
      <c r="AE190" s="50">
        <v>43</v>
      </c>
      <c r="AF190" s="273"/>
      <c r="AG190" s="50">
        <v>25</v>
      </c>
    </row>
    <row r="191" spans="1:35" ht="14">
      <c r="A191" s="404" t="s">
        <v>138</v>
      </c>
      <c r="B191" s="50" t="s">
        <v>5910</v>
      </c>
      <c r="D191" s="48" t="s">
        <v>684</v>
      </c>
      <c r="E191" s="50" t="s">
        <v>686</v>
      </c>
      <c r="G191" s="76" t="s">
        <v>685</v>
      </c>
      <c r="H191" s="50">
        <v>5093</v>
      </c>
      <c r="I191" s="49" t="s">
        <v>2</v>
      </c>
      <c r="J191" s="50" t="s">
        <v>144</v>
      </c>
      <c r="K191" s="51">
        <v>41775</v>
      </c>
      <c r="L191" s="115">
        <v>41769</v>
      </c>
      <c r="N191" s="50" t="s">
        <v>2</v>
      </c>
      <c r="P191" s="117"/>
      <c r="Q191" s="131"/>
      <c r="W191" s="227"/>
      <c r="X191" s="226"/>
      <c r="Y191" s="226"/>
      <c r="AE191" s="50">
        <v>8.7100000000000009</v>
      </c>
      <c r="AF191" s="273"/>
      <c r="AG191" s="50">
        <v>0.42</v>
      </c>
    </row>
    <row r="192" spans="1:35" ht="14">
      <c r="A192" s="404" t="s">
        <v>138</v>
      </c>
      <c r="B192" s="50" t="s">
        <v>5910</v>
      </c>
      <c r="D192" s="48" t="s">
        <v>684</v>
      </c>
      <c r="E192" s="50" t="s">
        <v>686</v>
      </c>
      <c r="G192" s="76" t="s">
        <v>685</v>
      </c>
      <c r="H192" s="50">
        <v>5093</v>
      </c>
      <c r="I192" s="49" t="s">
        <v>2</v>
      </c>
      <c r="J192" s="50" t="s">
        <v>145</v>
      </c>
      <c r="K192" s="51">
        <v>41774</v>
      </c>
      <c r="L192" s="115">
        <v>41769</v>
      </c>
      <c r="N192" s="50" t="s">
        <v>2</v>
      </c>
      <c r="P192" s="117"/>
      <c r="Q192" s="131"/>
      <c r="W192" s="227"/>
      <c r="X192" s="226"/>
      <c r="Y192" s="226"/>
      <c r="AE192" s="50">
        <v>0.15</v>
      </c>
      <c r="AF192" s="273"/>
    </row>
    <row r="193" spans="1:47" ht="14">
      <c r="A193" s="404" t="s">
        <v>138</v>
      </c>
      <c r="B193" s="50" t="s">
        <v>446</v>
      </c>
      <c r="C193" s="50" t="s">
        <v>446</v>
      </c>
      <c r="D193" s="48" t="s">
        <v>372</v>
      </c>
      <c r="E193" s="50" t="s">
        <v>235</v>
      </c>
      <c r="G193" s="76" t="s">
        <v>5904</v>
      </c>
      <c r="H193" s="50">
        <v>5098</v>
      </c>
      <c r="I193" s="49" t="s">
        <v>2</v>
      </c>
      <c r="J193" s="50" t="s">
        <v>5905</v>
      </c>
      <c r="K193" s="51">
        <v>41781</v>
      </c>
      <c r="L193" s="115"/>
      <c r="N193" s="50" t="s">
        <v>2</v>
      </c>
      <c r="O193" s="74">
        <v>9.7899999999999991</v>
      </c>
      <c r="P193" s="117">
        <v>7</v>
      </c>
      <c r="Q193" s="131">
        <v>7.03</v>
      </c>
      <c r="R193" s="50">
        <v>23.9</v>
      </c>
      <c r="S193" s="74">
        <v>1027</v>
      </c>
      <c r="T193" s="50">
        <v>0.14000000000000001</v>
      </c>
      <c r="U193" s="74">
        <v>1.88</v>
      </c>
      <c r="V193" s="50">
        <v>0.44</v>
      </c>
      <c r="W193" s="227">
        <v>7.85</v>
      </c>
      <c r="X193" s="226">
        <v>6.88</v>
      </c>
      <c r="Y193" s="226">
        <v>2.5499999999999998</v>
      </c>
      <c r="AE193" s="50">
        <v>8.5399999999999991</v>
      </c>
      <c r="AF193" s="273">
        <v>1.1999999999999999E-3</v>
      </c>
      <c r="AG193" s="50">
        <v>38.1</v>
      </c>
      <c r="AH193" s="50">
        <f>50/2</f>
        <v>25</v>
      </c>
      <c r="AI193" s="50">
        <f>0.22/2</f>
        <v>0.11</v>
      </c>
    </row>
    <row r="194" spans="1:47" s="400" customFormat="1" ht="14">
      <c r="A194" s="404" t="s">
        <v>138</v>
      </c>
      <c r="B194" s="402" t="s">
        <v>6488</v>
      </c>
      <c r="C194" s="402"/>
      <c r="D194" s="401" t="s">
        <v>308</v>
      </c>
      <c r="E194" s="402"/>
      <c r="F194" s="402"/>
      <c r="G194" s="393" t="s">
        <v>6489</v>
      </c>
      <c r="H194" s="402">
        <v>5093</v>
      </c>
      <c r="I194" s="391" t="s">
        <v>2</v>
      </c>
      <c r="J194" s="406" t="s">
        <v>6490</v>
      </c>
      <c r="K194" s="403">
        <v>41816</v>
      </c>
      <c r="L194" s="379">
        <v>41809</v>
      </c>
      <c r="M194" s="386">
        <f t="shared" ref="M194:M210" si="3">K194-L194</f>
        <v>7</v>
      </c>
      <c r="N194" s="402" t="s">
        <v>2</v>
      </c>
      <c r="O194" s="404">
        <f>2/2</f>
        <v>1</v>
      </c>
      <c r="P194" s="380">
        <v>7.6</v>
      </c>
      <c r="Q194" s="395">
        <v>7.2</v>
      </c>
      <c r="R194" s="402">
        <v>21</v>
      </c>
      <c r="S194" s="404">
        <v>9</v>
      </c>
      <c r="T194" s="402">
        <f>0.05/2</f>
        <v>2.5000000000000001E-2</v>
      </c>
      <c r="U194" s="404">
        <v>1.88</v>
      </c>
      <c r="V194" s="402">
        <v>1.56</v>
      </c>
      <c r="W194" s="227">
        <v>1.4999999999999999E-2</v>
      </c>
      <c r="X194" s="226">
        <v>7.2999999999999995E-2</v>
      </c>
      <c r="Y194" s="226">
        <f>0.03/2</f>
        <v>1.4999999999999999E-2</v>
      </c>
      <c r="Z194" s="396"/>
      <c r="AA194" s="397"/>
      <c r="AB194" s="402"/>
      <c r="AC194" s="404"/>
      <c r="AD194" s="396"/>
      <c r="AE194" s="402">
        <v>1.05</v>
      </c>
      <c r="AF194" s="273">
        <f>0.0004/2</f>
        <v>2.0000000000000001E-4</v>
      </c>
      <c r="AG194" s="402">
        <v>0.18</v>
      </c>
      <c r="AH194" s="402">
        <f>500/2</f>
        <v>250</v>
      </c>
      <c r="AI194" s="402">
        <f>10/2</f>
        <v>5</v>
      </c>
      <c r="AJ194" s="402"/>
      <c r="AK194" s="404"/>
      <c r="AL194" s="404"/>
      <c r="AM194" s="404"/>
      <c r="AN194" s="404"/>
      <c r="AO194" s="404"/>
      <c r="AP194" s="404"/>
      <c r="AQ194" s="404"/>
      <c r="AR194" s="404"/>
      <c r="AS194" s="404"/>
      <c r="AT194" s="404"/>
      <c r="AU194" s="404"/>
    </row>
    <row r="195" spans="1:47" s="400" customFormat="1" ht="14">
      <c r="A195" s="404" t="s">
        <v>138</v>
      </c>
      <c r="B195" s="402" t="s">
        <v>6488</v>
      </c>
      <c r="C195" s="402"/>
      <c r="D195" s="401" t="s">
        <v>308</v>
      </c>
      <c r="E195" s="402"/>
      <c r="F195" s="402"/>
      <c r="G195" s="393" t="s">
        <v>6489</v>
      </c>
      <c r="H195" s="402">
        <v>5093</v>
      </c>
      <c r="I195" s="391" t="s">
        <v>2</v>
      </c>
      <c r="J195" s="401" t="s">
        <v>6491</v>
      </c>
      <c r="K195" s="403">
        <v>41816</v>
      </c>
      <c r="L195" s="379">
        <v>41809</v>
      </c>
      <c r="M195" s="386">
        <f t="shared" si="3"/>
        <v>7</v>
      </c>
      <c r="N195" s="402" t="s">
        <v>2</v>
      </c>
      <c r="O195" s="404">
        <f>2/2</f>
        <v>1</v>
      </c>
      <c r="P195" s="380">
        <v>7.6</v>
      </c>
      <c r="Q195" s="395">
        <v>7.5</v>
      </c>
      <c r="R195" s="402">
        <f>10/2</f>
        <v>5</v>
      </c>
      <c r="S195" s="404">
        <v>9</v>
      </c>
      <c r="T195" s="402">
        <v>0.06</v>
      </c>
      <c r="U195" s="404">
        <v>1.1399999999999999</v>
      </c>
      <c r="V195" s="402">
        <v>0.15</v>
      </c>
      <c r="W195" s="227">
        <v>1.7000000000000001E-2</v>
      </c>
      <c r="X195" s="226">
        <v>4.7E-2</v>
      </c>
      <c r="Y195" s="226">
        <f>0.03/2</f>
        <v>1.4999999999999999E-2</v>
      </c>
      <c r="Z195" s="396"/>
      <c r="AA195" s="397"/>
      <c r="AB195" s="402"/>
      <c r="AC195" s="404"/>
      <c r="AD195" s="396"/>
      <c r="AE195" s="402">
        <v>1.46</v>
      </c>
      <c r="AF195" s="273">
        <f>0.0004/2</f>
        <v>2.0000000000000001E-4</v>
      </c>
      <c r="AG195" s="402">
        <v>0.1</v>
      </c>
      <c r="AH195" s="402">
        <f>500/2</f>
        <v>250</v>
      </c>
      <c r="AI195" s="402">
        <f>10/2</f>
        <v>5</v>
      </c>
      <c r="AJ195" s="402"/>
      <c r="AK195" s="404"/>
      <c r="AL195" s="404"/>
      <c r="AM195" s="404"/>
      <c r="AN195" s="404"/>
      <c r="AO195" s="404"/>
      <c r="AP195" s="404"/>
      <c r="AQ195" s="404"/>
      <c r="AR195" s="404"/>
      <c r="AS195" s="404"/>
      <c r="AT195" s="404"/>
      <c r="AU195" s="404"/>
    </row>
    <row r="196" spans="1:47" s="400" customFormat="1" ht="14">
      <c r="A196" s="404" t="s">
        <v>138</v>
      </c>
      <c r="B196" s="402" t="s">
        <v>5897</v>
      </c>
      <c r="C196" s="402" t="s">
        <v>6492</v>
      </c>
      <c r="D196" s="401" t="s">
        <v>133</v>
      </c>
      <c r="E196" s="402" t="s">
        <v>5899</v>
      </c>
      <c r="F196" s="402"/>
      <c r="G196" s="393" t="s">
        <v>418</v>
      </c>
      <c r="H196" s="402">
        <v>5093</v>
      </c>
      <c r="I196" s="391" t="s">
        <v>2</v>
      </c>
      <c r="J196" s="402" t="s">
        <v>419</v>
      </c>
      <c r="K196" s="403">
        <v>41833</v>
      </c>
      <c r="L196" s="379">
        <v>41830</v>
      </c>
      <c r="M196" s="386">
        <f t="shared" si="3"/>
        <v>3</v>
      </c>
      <c r="N196" s="402" t="s">
        <v>2</v>
      </c>
      <c r="O196" s="404"/>
      <c r="P196" s="380"/>
      <c r="Q196" s="395"/>
      <c r="R196" s="402"/>
      <c r="S196" s="404"/>
      <c r="T196" s="402"/>
      <c r="U196" s="404"/>
      <c r="V196" s="402"/>
      <c r="W196" s="227"/>
      <c r="X196" s="226"/>
      <c r="Y196" s="226"/>
      <c r="Z196" s="396"/>
      <c r="AA196" s="397"/>
      <c r="AB196" s="402"/>
      <c r="AC196" s="404"/>
      <c r="AD196" s="396"/>
      <c r="AE196" s="402">
        <v>11.1</v>
      </c>
      <c r="AF196" s="273">
        <f>0.0002/2</f>
        <v>1E-4</v>
      </c>
      <c r="AG196" s="402">
        <v>3.16</v>
      </c>
      <c r="AH196" s="402"/>
      <c r="AI196" s="402"/>
      <c r="AJ196" s="402"/>
      <c r="AK196" s="404"/>
      <c r="AL196" s="404"/>
      <c r="AM196" s="404"/>
      <c r="AN196" s="404"/>
      <c r="AO196" s="404"/>
      <c r="AP196" s="404"/>
      <c r="AQ196" s="404"/>
      <c r="AR196" s="404"/>
      <c r="AS196" s="404"/>
      <c r="AT196" s="404"/>
      <c r="AU196" s="404"/>
    </row>
    <row r="197" spans="1:47" s="400" customFormat="1" ht="14">
      <c r="A197" s="404" t="s">
        <v>138</v>
      </c>
      <c r="B197" s="402" t="s">
        <v>5897</v>
      </c>
      <c r="C197" s="402" t="s">
        <v>6492</v>
      </c>
      <c r="D197" s="401" t="s">
        <v>133</v>
      </c>
      <c r="E197" s="402" t="s">
        <v>6493</v>
      </c>
      <c r="F197" s="402"/>
      <c r="G197" s="393" t="s">
        <v>418</v>
      </c>
      <c r="H197" s="402">
        <v>5093</v>
      </c>
      <c r="I197" s="391" t="s">
        <v>2</v>
      </c>
      <c r="J197" s="402" t="s">
        <v>421</v>
      </c>
      <c r="K197" s="403">
        <v>41833</v>
      </c>
      <c r="L197" s="379">
        <v>41830</v>
      </c>
      <c r="M197" s="386">
        <f t="shared" si="3"/>
        <v>3</v>
      </c>
      <c r="N197" s="402" t="s">
        <v>2</v>
      </c>
      <c r="O197" s="404"/>
      <c r="P197" s="380"/>
      <c r="Q197" s="395"/>
      <c r="R197" s="402"/>
      <c r="S197" s="404"/>
      <c r="T197" s="402"/>
      <c r="U197" s="404"/>
      <c r="V197" s="402"/>
      <c r="W197" s="227"/>
      <c r="X197" s="226"/>
      <c r="Y197" s="226"/>
      <c r="Z197" s="396"/>
      <c r="AA197" s="397"/>
      <c r="AB197" s="402"/>
      <c r="AC197" s="404"/>
      <c r="AD197" s="396"/>
      <c r="AE197" s="402">
        <v>0.17399999999999999</v>
      </c>
      <c r="AF197" s="273">
        <f>0.0002/2</f>
        <v>1E-4</v>
      </c>
      <c r="AG197" s="402">
        <v>0.123</v>
      </c>
      <c r="AH197" s="402"/>
      <c r="AI197" s="402"/>
      <c r="AJ197" s="402"/>
      <c r="AK197" s="404"/>
      <c r="AL197" s="404"/>
      <c r="AM197" s="404"/>
      <c r="AN197" s="404"/>
      <c r="AO197" s="404"/>
      <c r="AP197" s="404"/>
      <c r="AQ197" s="404"/>
      <c r="AR197" s="404"/>
      <c r="AS197" s="404"/>
      <c r="AT197" s="404"/>
      <c r="AU197" s="404"/>
    </row>
    <row r="198" spans="1:47" s="400" customFormat="1" ht="14">
      <c r="A198" s="404" t="s">
        <v>138</v>
      </c>
      <c r="B198" s="402" t="s">
        <v>5897</v>
      </c>
      <c r="C198" s="402" t="s">
        <v>6492</v>
      </c>
      <c r="D198" s="401" t="s">
        <v>133</v>
      </c>
      <c r="E198" s="402" t="s">
        <v>6493</v>
      </c>
      <c r="F198" s="402"/>
      <c r="G198" s="393" t="s">
        <v>418</v>
      </c>
      <c r="H198" s="402">
        <v>5093</v>
      </c>
      <c r="I198" s="391" t="s">
        <v>2</v>
      </c>
      <c r="J198" s="402" t="s">
        <v>1497</v>
      </c>
      <c r="K198" s="403">
        <v>41833</v>
      </c>
      <c r="L198" s="379">
        <v>41830</v>
      </c>
      <c r="M198" s="386">
        <f t="shared" si="3"/>
        <v>3</v>
      </c>
      <c r="N198" s="402" t="s">
        <v>2</v>
      </c>
      <c r="O198" s="404"/>
      <c r="P198" s="380"/>
      <c r="Q198" s="395"/>
      <c r="R198" s="402"/>
      <c r="S198" s="404"/>
      <c r="T198" s="402"/>
      <c r="U198" s="404"/>
      <c r="V198" s="402"/>
      <c r="W198" s="227"/>
      <c r="X198" s="226"/>
      <c r="Y198" s="226"/>
      <c r="Z198" s="396"/>
      <c r="AA198" s="397"/>
      <c r="AB198" s="402"/>
      <c r="AC198" s="404"/>
      <c r="AD198" s="396"/>
      <c r="AE198" s="402">
        <v>1.18</v>
      </c>
      <c r="AF198" s="273">
        <f>0.0002/2</f>
        <v>1E-4</v>
      </c>
      <c r="AG198" s="402">
        <v>0.27500000000000002</v>
      </c>
      <c r="AH198" s="402"/>
      <c r="AI198" s="402"/>
      <c r="AJ198" s="402"/>
      <c r="AK198" s="404"/>
      <c r="AL198" s="404"/>
      <c r="AM198" s="404"/>
      <c r="AN198" s="404"/>
      <c r="AO198" s="404"/>
      <c r="AP198" s="404"/>
      <c r="AQ198" s="404"/>
      <c r="AR198" s="404"/>
      <c r="AS198" s="404"/>
      <c r="AT198" s="404"/>
      <c r="AU198" s="404"/>
    </row>
    <row r="199" spans="1:47" s="400" customFormat="1" ht="14">
      <c r="A199" s="404" t="s">
        <v>138</v>
      </c>
      <c r="B199" s="402" t="s">
        <v>3801</v>
      </c>
      <c r="C199" s="402" t="s">
        <v>3801</v>
      </c>
      <c r="D199" s="401" t="s">
        <v>372</v>
      </c>
      <c r="E199" s="402" t="s">
        <v>1670</v>
      </c>
      <c r="F199" s="402"/>
      <c r="G199" s="393" t="s">
        <v>3802</v>
      </c>
      <c r="H199" s="402">
        <v>5093</v>
      </c>
      <c r="I199" s="391" t="s">
        <v>2</v>
      </c>
      <c r="J199" s="402" t="s">
        <v>6494</v>
      </c>
      <c r="K199" s="403">
        <v>41844</v>
      </c>
      <c r="L199" s="379" t="s">
        <v>3434</v>
      </c>
      <c r="M199" s="386"/>
      <c r="N199" s="402" t="s">
        <v>2</v>
      </c>
      <c r="O199" s="404">
        <v>6.3</v>
      </c>
      <c r="P199" s="380">
        <v>7.9</v>
      </c>
      <c r="Q199" s="395">
        <v>7.22</v>
      </c>
      <c r="R199" s="402">
        <v>116.6</v>
      </c>
      <c r="S199" s="404">
        <v>27</v>
      </c>
      <c r="T199" s="402">
        <v>0.38</v>
      </c>
      <c r="U199" s="404">
        <v>2.8</v>
      </c>
      <c r="V199" s="402">
        <v>0.6</v>
      </c>
      <c r="W199" s="227">
        <v>0.36</v>
      </c>
      <c r="X199" s="226">
        <v>1.03</v>
      </c>
      <c r="Y199" s="226">
        <v>0.13</v>
      </c>
      <c r="Z199" s="396">
        <v>1</v>
      </c>
      <c r="AA199" s="397">
        <v>1</v>
      </c>
      <c r="AB199" s="402">
        <v>73.8</v>
      </c>
      <c r="AC199" s="404">
        <v>191</v>
      </c>
      <c r="AD199" s="396">
        <v>1</v>
      </c>
      <c r="AE199" s="402">
        <v>6.34</v>
      </c>
      <c r="AF199" s="273">
        <v>2.9999999999999997E-4</v>
      </c>
      <c r="AG199" s="402">
        <v>2.08</v>
      </c>
      <c r="AH199" s="402">
        <f>40/2</f>
        <v>20</v>
      </c>
      <c r="AI199" s="402">
        <f>0.5/2</f>
        <v>0.25</v>
      </c>
      <c r="AJ199" s="402"/>
      <c r="AK199" s="404"/>
      <c r="AL199" s="404"/>
      <c r="AM199" s="404"/>
      <c r="AN199" s="404"/>
      <c r="AO199" s="404"/>
      <c r="AP199" s="404"/>
      <c r="AQ199" s="404"/>
      <c r="AR199" s="404"/>
      <c r="AS199" s="404"/>
      <c r="AT199" s="404"/>
      <c r="AU199" s="404"/>
    </row>
    <row r="200" spans="1:47" s="400" customFormat="1" ht="14">
      <c r="A200" s="404" t="s">
        <v>138</v>
      </c>
      <c r="B200" s="402" t="s">
        <v>3801</v>
      </c>
      <c r="C200" s="402" t="s">
        <v>3801</v>
      </c>
      <c r="D200" s="401" t="s">
        <v>372</v>
      </c>
      <c r="E200" s="402" t="s">
        <v>235</v>
      </c>
      <c r="F200" s="402"/>
      <c r="G200" s="393" t="s">
        <v>3802</v>
      </c>
      <c r="H200" s="402">
        <v>5093</v>
      </c>
      <c r="I200" s="391" t="s">
        <v>1</v>
      </c>
      <c r="J200" s="402" t="s">
        <v>6495</v>
      </c>
      <c r="K200" s="403">
        <v>41844</v>
      </c>
      <c r="L200" s="379" t="s">
        <v>3434</v>
      </c>
      <c r="M200" s="386"/>
      <c r="N200" s="402" t="s">
        <v>2</v>
      </c>
      <c r="O200" s="404">
        <v>1.4</v>
      </c>
      <c r="P200" s="380">
        <v>8.1999999999999993</v>
      </c>
      <c r="Q200" s="395">
        <v>7.31</v>
      </c>
      <c r="R200" s="402">
        <v>111.9</v>
      </c>
      <c r="S200" s="404">
        <v>4.5</v>
      </c>
      <c r="T200" s="402">
        <v>0.47</v>
      </c>
      <c r="U200" s="404">
        <v>3.36</v>
      </c>
      <c r="V200" s="402">
        <v>0.38</v>
      </c>
      <c r="W200" s="227">
        <v>0.11</v>
      </c>
      <c r="X200" s="226">
        <v>0.25</v>
      </c>
      <c r="Y200" s="226">
        <v>0.04</v>
      </c>
      <c r="Z200" s="396">
        <v>0.47699999999999998</v>
      </c>
      <c r="AA200" s="397">
        <v>0.375</v>
      </c>
      <c r="AB200" s="402">
        <v>86.9</v>
      </c>
      <c r="AC200" s="404">
        <v>295</v>
      </c>
      <c r="AD200" s="396">
        <v>0</v>
      </c>
      <c r="AE200" s="402">
        <v>2.42</v>
      </c>
      <c r="AF200" s="273">
        <f>0.0002/2</f>
        <v>1E-4</v>
      </c>
      <c r="AG200" s="402">
        <v>0.5</v>
      </c>
      <c r="AH200" s="402">
        <f>40/2</f>
        <v>20</v>
      </c>
      <c r="AI200" s="402">
        <f>0.5/2</f>
        <v>0.25</v>
      </c>
      <c r="AJ200" s="402"/>
      <c r="AK200" s="404"/>
      <c r="AL200" s="404"/>
      <c r="AM200" s="404"/>
      <c r="AN200" s="404"/>
      <c r="AO200" s="404"/>
      <c r="AP200" s="404"/>
      <c r="AQ200" s="404"/>
      <c r="AR200" s="404"/>
      <c r="AS200" s="404"/>
      <c r="AT200" s="404"/>
      <c r="AU200" s="404"/>
    </row>
    <row r="201" spans="1:47" s="400" customFormat="1" ht="14">
      <c r="A201" s="404" t="s">
        <v>138</v>
      </c>
      <c r="B201" s="402" t="s">
        <v>939</v>
      </c>
      <c r="C201" s="402" t="s">
        <v>939</v>
      </c>
      <c r="D201" s="401" t="s">
        <v>397</v>
      </c>
      <c r="E201" s="402" t="s">
        <v>6496</v>
      </c>
      <c r="F201" s="402" t="s">
        <v>959</v>
      </c>
      <c r="G201" s="393" t="s">
        <v>940</v>
      </c>
      <c r="H201" s="402">
        <v>5093</v>
      </c>
      <c r="I201" s="391" t="s">
        <v>2474</v>
      </c>
      <c r="J201" s="402" t="s">
        <v>941</v>
      </c>
      <c r="K201" s="403">
        <v>41795</v>
      </c>
      <c r="L201" s="379">
        <v>41789</v>
      </c>
      <c r="M201" s="386">
        <f t="shared" si="3"/>
        <v>6</v>
      </c>
      <c r="N201" s="402" t="s">
        <v>2</v>
      </c>
      <c r="O201" s="404"/>
      <c r="P201" s="380"/>
      <c r="Q201" s="395"/>
      <c r="R201" s="402"/>
      <c r="S201" s="404"/>
      <c r="T201" s="402"/>
      <c r="U201" s="404"/>
      <c r="V201" s="402"/>
      <c r="W201" s="227"/>
      <c r="X201" s="226"/>
      <c r="Y201" s="226"/>
      <c r="Z201" s="396"/>
      <c r="AA201" s="397"/>
      <c r="AB201" s="402"/>
      <c r="AC201" s="404"/>
      <c r="AD201" s="396"/>
      <c r="AE201" s="402">
        <v>45</v>
      </c>
      <c r="AF201" s="273"/>
      <c r="AG201" s="402">
        <v>16</v>
      </c>
      <c r="AH201" s="402"/>
      <c r="AI201" s="402"/>
      <c r="AJ201" s="402"/>
      <c r="AK201" s="404"/>
      <c r="AL201" s="404"/>
      <c r="AM201" s="404"/>
      <c r="AN201" s="404"/>
      <c r="AO201" s="404"/>
      <c r="AP201" s="404"/>
      <c r="AQ201" s="404"/>
      <c r="AR201" s="404"/>
      <c r="AS201" s="404"/>
      <c r="AT201" s="404"/>
      <c r="AU201" s="404"/>
    </row>
    <row r="202" spans="1:47" s="400" customFormat="1" ht="14">
      <c r="A202" s="404" t="s">
        <v>138</v>
      </c>
      <c r="B202" s="402" t="s">
        <v>6497</v>
      </c>
      <c r="C202" s="402" t="s">
        <v>1519</v>
      </c>
      <c r="D202" s="401" t="s">
        <v>133</v>
      </c>
      <c r="E202" s="402" t="s">
        <v>3814</v>
      </c>
      <c r="F202" s="402" t="s">
        <v>1188</v>
      </c>
      <c r="G202" s="393" t="s">
        <v>1189</v>
      </c>
      <c r="H202" s="402" t="s">
        <v>1521</v>
      </c>
      <c r="I202" s="391" t="s">
        <v>2</v>
      </c>
      <c r="J202" s="402" t="s">
        <v>1522</v>
      </c>
      <c r="K202" s="403">
        <v>41795</v>
      </c>
      <c r="L202" s="379">
        <v>41789</v>
      </c>
      <c r="M202" s="386">
        <f t="shared" si="3"/>
        <v>6</v>
      </c>
      <c r="N202" s="402" t="s">
        <v>2</v>
      </c>
      <c r="O202" s="404"/>
      <c r="P202" s="380"/>
      <c r="Q202" s="395"/>
      <c r="R202" s="402"/>
      <c r="S202" s="404"/>
      <c r="T202" s="402"/>
      <c r="U202" s="404"/>
      <c r="V202" s="402"/>
      <c r="W202" s="227"/>
      <c r="X202" s="226"/>
      <c r="Y202" s="226"/>
      <c r="Z202" s="396"/>
      <c r="AA202" s="397"/>
      <c r="AB202" s="402"/>
      <c r="AC202" s="404"/>
      <c r="AD202" s="396"/>
      <c r="AE202" s="402">
        <v>1.1000000000000001</v>
      </c>
      <c r="AF202" s="273"/>
      <c r="AG202" s="402">
        <v>8.5999999999999993E-2</v>
      </c>
      <c r="AH202" s="402"/>
      <c r="AI202" s="402"/>
      <c r="AJ202" s="402"/>
      <c r="AK202" s="404"/>
      <c r="AL202" s="404"/>
      <c r="AM202" s="404"/>
      <c r="AN202" s="404"/>
      <c r="AO202" s="404"/>
      <c r="AP202" s="404"/>
      <c r="AQ202" s="404"/>
      <c r="AR202" s="404"/>
      <c r="AS202" s="404"/>
      <c r="AT202" s="404"/>
      <c r="AU202" s="404"/>
    </row>
    <row r="203" spans="1:47" s="400" customFormat="1" ht="14">
      <c r="A203" s="404" t="s">
        <v>138</v>
      </c>
      <c r="B203" s="402" t="s">
        <v>4687</v>
      </c>
      <c r="C203" s="402" t="s">
        <v>635</v>
      </c>
      <c r="D203" s="401" t="s">
        <v>636</v>
      </c>
      <c r="E203" s="402" t="s">
        <v>4689</v>
      </c>
      <c r="F203" s="402" t="s">
        <v>1012</v>
      </c>
      <c r="G203" s="393" t="s">
        <v>637</v>
      </c>
      <c r="H203" s="402">
        <v>5093</v>
      </c>
      <c r="I203" s="391" t="s">
        <v>2</v>
      </c>
      <c r="J203" s="402" t="s">
        <v>6498</v>
      </c>
      <c r="K203" s="403">
        <v>41795</v>
      </c>
      <c r="L203" s="379">
        <v>41789</v>
      </c>
      <c r="M203" s="386">
        <f t="shared" si="3"/>
        <v>6</v>
      </c>
      <c r="N203" s="402" t="s">
        <v>2</v>
      </c>
      <c r="O203" s="404"/>
      <c r="P203" s="380"/>
      <c r="Q203" s="395"/>
      <c r="R203" s="402">
        <v>280</v>
      </c>
      <c r="S203" s="404"/>
      <c r="T203" s="402"/>
      <c r="U203" s="404"/>
      <c r="V203" s="402"/>
      <c r="W203" s="227">
        <v>0.96</v>
      </c>
      <c r="X203" s="226">
        <v>2.1</v>
      </c>
      <c r="Y203" s="226"/>
      <c r="Z203" s="396"/>
      <c r="AA203" s="397"/>
      <c r="AB203" s="402"/>
      <c r="AC203" s="404"/>
      <c r="AD203" s="396"/>
      <c r="AE203" s="402">
        <v>62</v>
      </c>
      <c r="AF203" s="273"/>
      <c r="AG203" s="402">
        <v>34</v>
      </c>
      <c r="AH203" s="402"/>
      <c r="AI203" s="402"/>
      <c r="AJ203" s="402"/>
      <c r="AK203" s="404"/>
      <c r="AL203" s="404"/>
      <c r="AM203" s="404"/>
      <c r="AN203" s="404"/>
      <c r="AO203" s="404"/>
      <c r="AP203" s="404"/>
      <c r="AQ203" s="404"/>
      <c r="AR203" s="404"/>
      <c r="AS203" s="404"/>
      <c r="AT203" s="404"/>
      <c r="AU203" s="404"/>
    </row>
    <row r="204" spans="1:47" s="400" customFormat="1" ht="14">
      <c r="A204" s="404" t="s">
        <v>138</v>
      </c>
      <c r="B204" s="402" t="s">
        <v>5911</v>
      </c>
      <c r="C204" s="402" t="s">
        <v>5911</v>
      </c>
      <c r="D204" s="401" t="s">
        <v>89</v>
      </c>
      <c r="E204" s="402">
        <v>6603</v>
      </c>
      <c r="F204" s="402"/>
      <c r="G204" s="393" t="s">
        <v>5912</v>
      </c>
      <c r="H204" s="402">
        <v>5093</v>
      </c>
      <c r="I204" s="391" t="s">
        <v>2</v>
      </c>
      <c r="J204" s="402" t="s">
        <v>431</v>
      </c>
      <c r="K204" s="403">
        <v>41759</v>
      </c>
      <c r="L204" s="379">
        <v>41755</v>
      </c>
      <c r="M204" s="386">
        <f t="shared" si="3"/>
        <v>4</v>
      </c>
      <c r="N204" s="402" t="s">
        <v>2</v>
      </c>
      <c r="O204" s="404"/>
      <c r="P204" s="380"/>
      <c r="Q204" s="395"/>
      <c r="R204" s="402"/>
      <c r="S204" s="404"/>
      <c r="T204" s="402"/>
      <c r="U204" s="404"/>
      <c r="V204" s="402"/>
      <c r="W204" s="227"/>
      <c r="X204" s="226"/>
      <c r="Y204" s="226"/>
      <c r="Z204" s="396"/>
      <c r="AA204" s="397"/>
      <c r="AB204" s="402"/>
      <c r="AC204" s="404"/>
      <c r="AD204" s="396"/>
      <c r="AE204" s="402">
        <v>10</v>
      </c>
      <c r="AF204" s="273">
        <v>1.8E-3</v>
      </c>
      <c r="AG204" s="402">
        <v>5.3</v>
      </c>
      <c r="AH204" s="402"/>
      <c r="AI204" s="402"/>
      <c r="AJ204" s="402"/>
      <c r="AK204" s="404"/>
      <c r="AL204" s="404"/>
      <c r="AM204" s="404"/>
      <c r="AN204" s="404"/>
      <c r="AO204" s="404"/>
      <c r="AP204" s="404"/>
      <c r="AQ204" s="404"/>
      <c r="AR204" s="404"/>
      <c r="AS204" s="404"/>
      <c r="AT204" s="404"/>
      <c r="AU204" s="404"/>
    </row>
    <row r="205" spans="1:47" s="400" customFormat="1" ht="14">
      <c r="A205" s="404" t="s">
        <v>138</v>
      </c>
      <c r="B205" s="402" t="s">
        <v>6499</v>
      </c>
      <c r="C205" s="402" t="s">
        <v>6499</v>
      </c>
      <c r="D205" s="401" t="s">
        <v>372</v>
      </c>
      <c r="E205" s="402" t="s">
        <v>1670</v>
      </c>
      <c r="F205" s="402"/>
      <c r="G205" s="393" t="s">
        <v>6500</v>
      </c>
      <c r="H205" s="402">
        <v>5093</v>
      </c>
      <c r="I205" s="391" t="s">
        <v>2</v>
      </c>
      <c r="J205" s="402" t="s">
        <v>6501</v>
      </c>
      <c r="K205" s="403">
        <v>41726</v>
      </c>
      <c r="L205" s="379">
        <v>41718</v>
      </c>
      <c r="M205" s="386">
        <f t="shared" si="3"/>
        <v>8</v>
      </c>
      <c r="N205" s="402" t="s">
        <v>2</v>
      </c>
      <c r="O205" s="404">
        <v>2</v>
      </c>
      <c r="P205" s="380">
        <v>6.2</v>
      </c>
      <c r="Q205" s="395">
        <v>6.14</v>
      </c>
      <c r="R205" s="402">
        <v>55.2</v>
      </c>
      <c r="S205" s="404">
        <v>26.5</v>
      </c>
      <c r="T205" s="402">
        <v>0.12</v>
      </c>
      <c r="U205" s="404">
        <v>1.81</v>
      </c>
      <c r="V205" s="402">
        <v>0.91</v>
      </c>
      <c r="W205" s="227">
        <v>0.55000000000000004</v>
      </c>
      <c r="X205" s="226">
        <v>3.33</v>
      </c>
      <c r="Y205" s="226">
        <v>0.03</v>
      </c>
      <c r="Z205" s="396">
        <v>6.25E-2</v>
      </c>
      <c r="AA205" s="397">
        <v>6.25E-2</v>
      </c>
      <c r="AB205" s="402">
        <v>13.5</v>
      </c>
      <c r="AC205" s="404">
        <v>52.9</v>
      </c>
      <c r="AD205" s="396">
        <v>0</v>
      </c>
      <c r="AE205" s="402">
        <v>1.97</v>
      </c>
      <c r="AF205" s="273">
        <f>0.0002/2</f>
        <v>1E-4</v>
      </c>
      <c r="AG205" s="402">
        <v>1.1000000000000001</v>
      </c>
      <c r="AH205" s="402">
        <f>20/2</f>
        <v>10</v>
      </c>
      <c r="AI205" s="402">
        <f>0.5/2</f>
        <v>0.25</v>
      </c>
      <c r="AJ205" s="402"/>
      <c r="AK205" s="404"/>
      <c r="AL205" s="404"/>
      <c r="AM205" s="404"/>
      <c r="AN205" s="404"/>
      <c r="AO205" s="404"/>
      <c r="AP205" s="404"/>
      <c r="AQ205" s="404"/>
      <c r="AR205" s="404"/>
      <c r="AS205" s="404"/>
      <c r="AT205" s="404"/>
      <c r="AU205" s="404"/>
    </row>
    <row r="206" spans="1:47" s="400" customFormat="1" ht="14">
      <c r="A206" s="404" t="s">
        <v>138</v>
      </c>
      <c r="B206" s="402" t="s">
        <v>6502</v>
      </c>
      <c r="C206" s="402" t="s">
        <v>3569</v>
      </c>
      <c r="D206" s="401" t="s">
        <v>516</v>
      </c>
      <c r="E206" s="402"/>
      <c r="F206" s="402" t="s">
        <v>3570</v>
      </c>
      <c r="G206" s="393" t="s">
        <v>3571</v>
      </c>
      <c r="H206" s="402">
        <v>4593</v>
      </c>
      <c r="I206" s="391" t="s">
        <v>2</v>
      </c>
      <c r="J206" s="402" t="s">
        <v>510</v>
      </c>
      <c r="K206" s="403">
        <v>41585</v>
      </c>
      <c r="L206" s="379">
        <v>41554</v>
      </c>
      <c r="M206" s="386">
        <f t="shared" si="3"/>
        <v>31</v>
      </c>
      <c r="N206" s="402" t="s">
        <v>2</v>
      </c>
      <c r="O206" s="404">
        <v>25</v>
      </c>
      <c r="P206" s="380">
        <v>6.5</v>
      </c>
      <c r="Q206" s="395">
        <v>6.81</v>
      </c>
      <c r="R206" s="402">
        <v>320</v>
      </c>
      <c r="S206" s="404">
        <v>300</v>
      </c>
      <c r="T206" s="402">
        <v>0.86</v>
      </c>
      <c r="U206" s="404">
        <v>6.9</v>
      </c>
      <c r="V206" s="402">
        <v>0.25</v>
      </c>
      <c r="W206" s="227">
        <v>6.0999999999999999E-2</v>
      </c>
      <c r="X206" s="226">
        <v>0.54900000000000004</v>
      </c>
      <c r="Y206" s="226">
        <v>0.115</v>
      </c>
      <c r="Z206" s="396"/>
      <c r="AA206" s="397"/>
      <c r="AB206" s="402"/>
      <c r="AC206" s="404"/>
      <c r="AD206" s="396"/>
      <c r="AE206" s="402">
        <v>8.91</v>
      </c>
      <c r="AF206" s="273">
        <v>2.9999999999999997E-4</v>
      </c>
      <c r="AG206" s="402">
        <v>6.79</v>
      </c>
      <c r="AH206" s="402"/>
      <c r="AI206" s="402">
        <f>0.5/2</f>
        <v>0.25</v>
      </c>
      <c r="AJ206" s="402"/>
      <c r="AK206" s="404"/>
      <c r="AL206" s="404"/>
      <c r="AM206" s="404"/>
      <c r="AN206" s="404"/>
      <c r="AO206" s="404"/>
      <c r="AP206" s="404"/>
      <c r="AQ206" s="404"/>
      <c r="AR206" s="404"/>
      <c r="AS206" s="404"/>
      <c r="AT206" s="404"/>
      <c r="AU206" s="404"/>
    </row>
    <row r="207" spans="1:47" s="400" customFormat="1" ht="14">
      <c r="A207" s="404" t="s">
        <v>138</v>
      </c>
      <c r="B207" s="402" t="s">
        <v>6503</v>
      </c>
      <c r="C207" s="402" t="s">
        <v>3569</v>
      </c>
      <c r="D207" s="401" t="s">
        <v>516</v>
      </c>
      <c r="E207" s="402"/>
      <c r="F207" s="402" t="s">
        <v>3570</v>
      </c>
      <c r="G207" s="393" t="s">
        <v>3571</v>
      </c>
      <c r="H207" s="402">
        <v>4593</v>
      </c>
      <c r="I207" s="391" t="s">
        <v>2</v>
      </c>
      <c r="J207" s="402" t="s">
        <v>460</v>
      </c>
      <c r="K207" s="403">
        <v>41585</v>
      </c>
      <c r="L207" s="379">
        <v>41554</v>
      </c>
      <c r="M207" s="386">
        <f t="shared" si="3"/>
        <v>31</v>
      </c>
      <c r="N207" s="402" t="s">
        <v>2</v>
      </c>
      <c r="O207" s="404">
        <v>5</v>
      </c>
      <c r="P207" s="380">
        <v>6.5</v>
      </c>
      <c r="Q207" s="395">
        <v>6.7</v>
      </c>
      <c r="R207" s="402">
        <v>180</v>
      </c>
      <c r="S207" s="404">
        <v>44</v>
      </c>
      <c r="T207" s="402">
        <v>0.38</v>
      </c>
      <c r="U207" s="404">
        <v>4.4400000000000004</v>
      </c>
      <c r="V207" s="402">
        <v>0.12</v>
      </c>
      <c r="W207" s="227">
        <v>2.5000000000000001E-2</v>
      </c>
      <c r="X207" s="226">
        <v>0.25900000000000001</v>
      </c>
      <c r="Y207" s="226">
        <v>3.9E-2</v>
      </c>
      <c r="Z207" s="396"/>
      <c r="AA207" s="397"/>
      <c r="AB207" s="402"/>
      <c r="AC207" s="404"/>
      <c r="AD207" s="396"/>
      <c r="AE207" s="402">
        <v>2.2999999999999998</v>
      </c>
      <c r="AF207" s="273">
        <f>0.0002/2</f>
        <v>1E-4</v>
      </c>
      <c r="AG207" s="402">
        <v>0.92300000000000004</v>
      </c>
      <c r="AH207" s="402"/>
      <c r="AI207" s="402">
        <f>0.5/2</f>
        <v>0.25</v>
      </c>
      <c r="AJ207" s="402"/>
      <c r="AK207" s="404"/>
      <c r="AL207" s="404"/>
      <c r="AM207" s="404"/>
      <c r="AN207" s="404"/>
      <c r="AO207" s="404"/>
      <c r="AP207" s="404"/>
      <c r="AQ207" s="404"/>
      <c r="AR207" s="404"/>
      <c r="AS207" s="404"/>
      <c r="AT207" s="404"/>
      <c r="AU207" s="404"/>
    </row>
    <row r="208" spans="1:47" s="400" customFormat="1" ht="14">
      <c r="A208" s="404" t="s">
        <v>138</v>
      </c>
      <c r="B208" s="402" t="s">
        <v>6502</v>
      </c>
      <c r="C208" s="402" t="s">
        <v>3569</v>
      </c>
      <c r="D208" s="401" t="s">
        <v>516</v>
      </c>
      <c r="E208" s="402"/>
      <c r="F208" s="402" t="s">
        <v>3570</v>
      </c>
      <c r="G208" s="393" t="s">
        <v>3571</v>
      </c>
      <c r="H208" s="402">
        <v>4593</v>
      </c>
      <c r="I208" s="391" t="s">
        <v>2</v>
      </c>
      <c r="J208" s="402" t="s">
        <v>510</v>
      </c>
      <c r="K208" s="403">
        <v>41809</v>
      </c>
      <c r="L208" s="379">
        <v>41803</v>
      </c>
      <c r="M208" s="386">
        <f t="shared" si="3"/>
        <v>6</v>
      </c>
      <c r="N208" s="402" t="s">
        <v>2</v>
      </c>
      <c r="O208" s="404">
        <v>15</v>
      </c>
      <c r="P208" s="380">
        <v>6.5</v>
      </c>
      <c r="Q208" s="395">
        <v>6.73</v>
      </c>
      <c r="R208" s="402">
        <v>304</v>
      </c>
      <c r="S208" s="404">
        <v>140</v>
      </c>
      <c r="T208" s="402">
        <v>0.53</v>
      </c>
      <c r="U208" s="404">
        <v>6.4</v>
      </c>
      <c r="V208" s="402">
        <v>0.13</v>
      </c>
      <c r="W208" s="227">
        <v>0.06</v>
      </c>
      <c r="X208" s="226">
        <v>0.35399999999999998</v>
      </c>
      <c r="Y208" s="226">
        <v>4.2999999999999997E-2</v>
      </c>
      <c r="Z208" s="396"/>
      <c r="AA208" s="397"/>
      <c r="AB208" s="402"/>
      <c r="AC208" s="404"/>
      <c r="AD208" s="396"/>
      <c r="AE208" s="402">
        <v>10.3</v>
      </c>
      <c r="AF208" s="273">
        <f>0.0002/2</f>
        <v>1E-4</v>
      </c>
      <c r="AG208" s="402">
        <v>3.13</v>
      </c>
      <c r="AH208" s="402">
        <f>0.23+0.24+0.71+0.2+0.24+0.62+0.85+0.18+0.48+0.74</f>
        <v>4.49</v>
      </c>
      <c r="AI208" s="402">
        <f>0.5/2</f>
        <v>0.25</v>
      </c>
      <c r="AJ208" s="402"/>
      <c r="AK208" s="404"/>
      <c r="AL208" s="404"/>
      <c r="AM208" s="404"/>
      <c r="AN208" s="404"/>
      <c r="AO208" s="404"/>
      <c r="AP208" s="404"/>
      <c r="AQ208" s="404"/>
      <c r="AR208" s="404"/>
      <c r="AS208" s="404"/>
      <c r="AT208" s="404"/>
      <c r="AU208" s="404"/>
    </row>
    <row r="209" spans="1:76" s="400" customFormat="1" ht="14">
      <c r="A209" s="404" t="s">
        <v>138</v>
      </c>
      <c r="B209" s="402" t="s">
        <v>6502</v>
      </c>
      <c r="C209" s="402" t="s">
        <v>3569</v>
      </c>
      <c r="D209" s="401" t="s">
        <v>516</v>
      </c>
      <c r="E209" s="402"/>
      <c r="F209" s="402" t="s">
        <v>3570</v>
      </c>
      <c r="G209" s="393" t="s">
        <v>3571</v>
      </c>
      <c r="H209" s="402">
        <v>4593</v>
      </c>
      <c r="I209" s="391" t="s">
        <v>2</v>
      </c>
      <c r="J209" s="402" t="s">
        <v>460</v>
      </c>
      <c r="K209" s="403">
        <v>41809</v>
      </c>
      <c r="L209" s="379">
        <v>41803</v>
      </c>
      <c r="M209" s="386">
        <f t="shared" si="3"/>
        <v>6</v>
      </c>
      <c r="N209" s="402" t="s">
        <v>2</v>
      </c>
      <c r="O209" s="404">
        <v>17</v>
      </c>
      <c r="P209" s="380">
        <v>6.5</v>
      </c>
      <c r="Q209" s="395">
        <v>6.6</v>
      </c>
      <c r="R209" s="402">
        <v>315</v>
      </c>
      <c r="S209" s="404">
        <v>170</v>
      </c>
      <c r="T209" s="402">
        <v>0.82</v>
      </c>
      <c r="U209" s="404">
        <v>10.3</v>
      </c>
      <c r="V209" s="402">
        <v>0.2</v>
      </c>
      <c r="W209" s="227">
        <v>0.105</v>
      </c>
      <c r="X209" s="226">
        <v>0.443</v>
      </c>
      <c r="Y209" s="226">
        <v>6.5000000000000002E-2</v>
      </c>
      <c r="Z209" s="396"/>
      <c r="AA209" s="397"/>
      <c r="AB209" s="402"/>
      <c r="AC209" s="404"/>
      <c r="AD209" s="396"/>
      <c r="AE209" s="402">
        <v>8.02</v>
      </c>
      <c r="AF209" s="273">
        <f>0.0002/2</f>
        <v>1E-4</v>
      </c>
      <c r="AG209" s="402">
        <v>3.18</v>
      </c>
      <c r="AH209" s="402">
        <f>0.46+0.42+0.55+0.93+1.1+1.9+0.59+0.63+1.5+2.5+0.52+0.42+1.5+2.2</f>
        <v>15.219999999999999</v>
      </c>
      <c r="AI209" s="402">
        <v>4.9000000000000004</v>
      </c>
      <c r="AJ209" s="402"/>
      <c r="AK209" s="404"/>
      <c r="AL209" s="404"/>
      <c r="AM209" s="404"/>
      <c r="AN209" s="404"/>
      <c r="AO209" s="404"/>
      <c r="AP209" s="404"/>
      <c r="AQ209" s="404"/>
      <c r="AR209" s="404"/>
      <c r="AS209" s="404"/>
      <c r="AT209" s="404"/>
      <c r="AU209" s="404"/>
    </row>
    <row r="210" spans="1:76" s="400" customFormat="1" ht="14">
      <c r="A210" s="404" t="s">
        <v>138</v>
      </c>
      <c r="B210" s="402" t="s">
        <v>3801</v>
      </c>
      <c r="C210" s="402" t="s">
        <v>3801</v>
      </c>
      <c r="D210" s="401" t="s">
        <v>372</v>
      </c>
      <c r="E210" s="402" t="s">
        <v>1670</v>
      </c>
      <c r="F210" s="402"/>
      <c r="G210" s="393" t="s">
        <v>3802</v>
      </c>
      <c r="H210" s="402">
        <v>5093</v>
      </c>
      <c r="I210" s="391" t="s">
        <v>1</v>
      </c>
      <c r="J210" s="402" t="s">
        <v>6504</v>
      </c>
      <c r="K210" s="403">
        <v>41726</v>
      </c>
      <c r="L210" s="379">
        <v>41717</v>
      </c>
      <c r="M210" s="386">
        <f t="shared" si="3"/>
        <v>9</v>
      </c>
      <c r="N210" s="402" t="s">
        <v>2</v>
      </c>
      <c r="O210" s="404">
        <v>6.5</v>
      </c>
      <c r="P210" s="380">
        <v>7.8</v>
      </c>
      <c r="Q210" s="395">
        <v>8.1</v>
      </c>
      <c r="R210" s="402">
        <v>42.3</v>
      </c>
      <c r="S210" s="404">
        <v>548</v>
      </c>
      <c r="T210" s="402">
        <v>0.31</v>
      </c>
      <c r="U210" s="404">
        <v>2.96</v>
      </c>
      <c r="V210" s="402">
        <f>0.2/2</f>
        <v>0.1</v>
      </c>
      <c r="W210" s="227">
        <v>0.67</v>
      </c>
      <c r="X210" s="226">
        <v>1.38</v>
      </c>
      <c r="Y210" s="226">
        <v>0.47</v>
      </c>
      <c r="Z210" s="396">
        <v>1</v>
      </c>
      <c r="AA210" s="397">
        <v>1</v>
      </c>
      <c r="AB210" s="402">
        <v>102</v>
      </c>
      <c r="AC210" s="404">
        <v>543</v>
      </c>
      <c r="AD210" s="396">
        <v>0.75</v>
      </c>
      <c r="AE210" s="402">
        <v>65.63</v>
      </c>
      <c r="AF210" s="273">
        <v>2.48</v>
      </c>
      <c r="AG210" s="402">
        <v>11.74</v>
      </c>
      <c r="AH210" s="402"/>
      <c r="AI210" s="402"/>
      <c r="AJ210" s="402"/>
      <c r="AK210" s="404"/>
      <c r="AL210" s="404"/>
      <c r="AM210" s="404"/>
      <c r="AN210" s="404"/>
      <c r="AO210" s="404"/>
      <c r="AP210" s="404"/>
      <c r="AQ210" s="404"/>
      <c r="AR210" s="404"/>
      <c r="AS210" s="404"/>
      <c r="AT210" s="404"/>
      <c r="AU210" s="404"/>
    </row>
    <row r="211" spans="1:76" s="400" customFormat="1" ht="14">
      <c r="A211" s="404" t="s">
        <v>138</v>
      </c>
      <c r="B211" s="402" t="s">
        <v>3801</v>
      </c>
      <c r="C211" s="402" t="s">
        <v>3801</v>
      </c>
      <c r="D211" s="401"/>
      <c r="E211" s="402" t="s">
        <v>235</v>
      </c>
      <c r="F211" s="402"/>
      <c r="G211" s="393" t="s">
        <v>3802</v>
      </c>
      <c r="H211" s="402">
        <v>5093</v>
      </c>
      <c r="I211" s="391" t="s">
        <v>1</v>
      </c>
      <c r="J211" s="402" t="s">
        <v>3804</v>
      </c>
      <c r="K211" s="403">
        <v>41726</v>
      </c>
      <c r="L211" s="379"/>
      <c r="M211" s="386" t="s">
        <v>91</v>
      </c>
      <c r="N211" s="402" t="s">
        <v>2</v>
      </c>
      <c r="O211" s="404">
        <v>19</v>
      </c>
      <c r="P211" s="380">
        <v>7.63</v>
      </c>
      <c r="Q211" s="395">
        <v>7.72</v>
      </c>
      <c r="R211" s="402">
        <v>124</v>
      </c>
      <c r="S211" s="404">
        <v>328.5</v>
      </c>
      <c r="T211" s="402">
        <v>0.42</v>
      </c>
      <c r="U211" s="404">
        <v>3.1</v>
      </c>
      <c r="V211" s="402">
        <v>0.26</v>
      </c>
      <c r="W211" s="227">
        <v>0.87</v>
      </c>
      <c r="X211" s="226">
        <v>2.33</v>
      </c>
      <c r="Y211" s="226">
        <v>0.85</v>
      </c>
      <c r="Z211" s="396">
        <v>1</v>
      </c>
      <c r="AA211" s="397">
        <v>1</v>
      </c>
      <c r="AB211" s="402">
        <v>170</v>
      </c>
      <c r="AC211" s="404">
        <v>413</v>
      </c>
      <c r="AD211" s="396">
        <v>0.9</v>
      </c>
      <c r="AE211" s="402">
        <v>70.8</v>
      </c>
      <c r="AF211" s="273">
        <v>2.5299999999999998</v>
      </c>
      <c r="AG211" s="402">
        <v>12.7</v>
      </c>
      <c r="AH211" s="402">
        <v>22</v>
      </c>
      <c r="AI211" s="402"/>
      <c r="AJ211" s="402"/>
      <c r="AK211" s="404"/>
      <c r="AL211" s="404"/>
      <c r="AM211" s="404"/>
      <c r="AN211" s="404"/>
      <c r="AO211" s="404"/>
      <c r="AP211" s="404"/>
      <c r="AQ211" s="404"/>
      <c r="AR211" s="404"/>
      <c r="AS211" s="404"/>
      <c r="AT211" s="404"/>
      <c r="AU211" s="404"/>
    </row>
    <row r="212" spans="1:76" ht="14">
      <c r="A212" s="404" t="s">
        <v>138</v>
      </c>
      <c r="B212" s="402" t="s">
        <v>5112</v>
      </c>
      <c r="C212" s="113" t="s">
        <v>5218</v>
      </c>
      <c r="D212" s="393" t="s">
        <v>379</v>
      </c>
      <c r="E212" s="394"/>
      <c r="F212" s="402"/>
      <c r="G212" s="405" t="s">
        <v>5113</v>
      </c>
      <c r="H212" s="404"/>
      <c r="I212" s="402"/>
      <c r="J212" s="406" t="s">
        <v>569</v>
      </c>
      <c r="K212" s="403">
        <v>41178</v>
      </c>
      <c r="L212" s="398"/>
      <c r="M212" s="402"/>
      <c r="N212" s="402" t="s">
        <v>2</v>
      </c>
      <c r="O212" s="404">
        <v>0.85</v>
      </c>
      <c r="P212" s="402"/>
      <c r="Q212" s="404">
        <v>7.83</v>
      </c>
      <c r="R212" s="402">
        <v>5</v>
      </c>
      <c r="S212" s="404">
        <v>2.5</v>
      </c>
      <c r="T212" s="402">
        <v>0.24</v>
      </c>
      <c r="U212" s="395">
        <v>0.28999999999999998</v>
      </c>
      <c r="V212" s="402">
        <v>1.71</v>
      </c>
      <c r="W212" s="404">
        <v>2.5000000000000001E-3</v>
      </c>
      <c r="X212" s="402">
        <v>8.0000000000000002E-3</v>
      </c>
      <c r="Y212" s="404">
        <v>1E-3</v>
      </c>
      <c r="Z212" s="399">
        <v>1</v>
      </c>
      <c r="AA212" s="399">
        <v>1</v>
      </c>
      <c r="AB212" s="394">
        <v>140</v>
      </c>
      <c r="AC212" s="402">
        <v>594</v>
      </c>
      <c r="AD212" s="399">
        <v>1</v>
      </c>
      <c r="AE212" s="394">
        <v>5.5E-2</v>
      </c>
      <c r="AF212" s="404">
        <v>1E-4</v>
      </c>
      <c r="AG212" s="402">
        <v>1.4E-2</v>
      </c>
      <c r="AH212" s="394"/>
      <c r="AI212" s="394">
        <v>0.28499999999999998</v>
      </c>
      <c r="AK212" s="391"/>
      <c r="AL212" s="394"/>
      <c r="AM212" s="394"/>
      <c r="AO212" s="394"/>
      <c r="AP212" s="394"/>
      <c r="AQ212" s="394"/>
      <c r="AR212" s="394"/>
      <c r="AS212" s="402"/>
      <c r="AU212" s="394"/>
      <c r="AV212" s="394"/>
      <c r="AX212" s="400"/>
      <c r="AY212" s="400"/>
      <c r="AZ212" s="400"/>
      <c r="BA212" s="400"/>
      <c r="BB212" s="400"/>
      <c r="BC212" s="400"/>
      <c r="BD212" s="400"/>
      <c r="BE212" s="400"/>
      <c r="BF212" s="400"/>
      <c r="BG212" s="400"/>
      <c r="BH212" s="400"/>
      <c r="BI212" s="400"/>
      <c r="BJ212" s="400"/>
      <c r="BK212" s="400"/>
      <c r="BL212" s="400"/>
      <c r="BM212" s="400"/>
      <c r="BN212" s="400"/>
      <c r="BO212" s="400"/>
      <c r="BP212" s="400"/>
      <c r="BQ212" s="400"/>
      <c r="BR212" s="400"/>
      <c r="BS212" s="400"/>
      <c r="BT212" s="400"/>
      <c r="BU212" s="400"/>
      <c r="BV212" s="400"/>
      <c r="BW212" s="400"/>
      <c r="BX212" s="400"/>
    </row>
    <row r="213" spans="1:76" ht="14">
      <c r="A213" s="404" t="s">
        <v>138</v>
      </c>
      <c r="B213" s="402" t="s">
        <v>5112</v>
      </c>
      <c r="C213" s="113" t="s">
        <v>5218</v>
      </c>
      <c r="D213" s="393" t="s">
        <v>379</v>
      </c>
      <c r="E213" s="394"/>
      <c r="F213" s="402"/>
      <c r="G213" s="405" t="s">
        <v>5113</v>
      </c>
      <c r="H213" s="404"/>
      <c r="I213" s="402"/>
      <c r="J213" s="406"/>
      <c r="K213" s="403">
        <v>41364</v>
      </c>
      <c r="L213" s="398"/>
      <c r="M213" s="402"/>
      <c r="N213" s="402" t="s">
        <v>2</v>
      </c>
      <c r="O213" s="404">
        <v>2.5</v>
      </c>
      <c r="P213" s="402">
        <v>6.68</v>
      </c>
      <c r="Q213" s="404">
        <v>6.77</v>
      </c>
      <c r="R213" s="402">
        <v>50</v>
      </c>
      <c r="S213" s="404">
        <v>7.5</v>
      </c>
      <c r="T213" s="402">
        <v>0.05</v>
      </c>
      <c r="U213" s="395">
        <v>0.3</v>
      </c>
      <c r="V213" s="402">
        <v>2.5000000000000001E-2</v>
      </c>
      <c r="W213" s="404">
        <v>7.0000000000000001E-3</v>
      </c>
      <c r="X213" s="402">
        <v>1.6E-2</v>
      </c>
      <c r="Y213" s="404">
        <v>1E-3</v>
      </c>
      <c r="Z213" s="399">
        <v>1</v>
      </c>
      <c r="AA213" s="399">
        <v>1</v>
      </c>
      <c r="AB213" s="394">
        <v>8</v>
      </c>
      <c r="AC213" s="402">
        <v>25</v>
      </c>
      <c r="AD213" s="399">
        <v>1</v>
      </c>
      <c r="AE213" s="394">
        <v>0.44800000000000001</v>
      </c>
      <c r="AF213" s="404">
        <v>1E-4</v>
      </c>
      <c r="AG213" s="402">
        <v>0.224</v>
      </c>
      <c r="AH213" s="394"/>
      <c r="AI213" s="394">
        <v>0.25</v>
      </c>
      <c r="AK213" s="391"/>
      <c r="AL213" s="394"/>
      <c r="AM213" s="394"/>
      <c r="AO213" s="394"/>
      <c r="AP213" s="394"/>
      <c r="AQ213" s="394"/>
      <c r="AR213" s="394"/>
      <c r="AS213" s="402"/>
      <c r="AU213" s="394"/>
      <c r="AV213" s="394"/>
      <c r="AX213" s="400"/>
      <c r="AY213" s="400"/>
      <c r="AZ213" s="400"/>
      <c r="BA213" s="400"/>
      <c r="BB213" s="400"/>
      <c r="BC213" s="400"/>
      <c r="BD213" s="400"/>
      <c r="BE213" s="400"/>
      <c r="BF213" s="400"/>
      <c r="BG213" s="400"/>
      <c r="BH213" s="400"/>
      <c r="BI213" s="400"/>
      <c r="BJ213" s="400"/>
      <c r="BK213" s="400"/>
      <c r="BL213" s="400"/>
      <c r="BM213" s="400"/>
      <c r="BN213" s="400"/>
      <c r="BO213" s="400"/>
      <c r="BP213" s="400"/>
      <c r="BQ213" s="400"/>
      <c r="BR213" s="400"/>
      <c r="BS213" s="400"/>
      <c r="BT213" s="400"/>
      <c r="BU213" s="400"/>
      <c r="BV213" s="400"/>
      <c r="BW213" s="400"/>
      <c r="BX213" s="400"/>
    </row>
    <row r="216" spans="1:76" ht="15" customHeight="1">
      <c r="K216" s="51"/>
    </row>
    <row r="217" spans="1:76" ht="15" customHeight="1">
      <c r="K217" s="16"/>
    </row>
    <row r="218" spans="1:76" ht="15" customHeight="1">
      <c r="K218" s="51"/>
    </row>
    <row r="219" spans="1:76" ht="15" customHeight="1">
      <c r="K219" s="51"/>
    </row>
    <row r="220" spans="1:76" ht="15" customHeight="1">
      <c r="K220" s="51"/>
    </row>
    <row r="221" spans="1:76" ht="15" customHeight="1">
      <c r="K221" s="16"/>
    </row>
    <row r="222" spans="1:76" ht="15" customHeight="1">
      <c r="K222" s="51"/>
    </row>
    <row r="223" spans="1:76" ht="15" customHeight="1">
      <c r="K223" s="51"/>
    </row>
  </sheetData>
  <autoFilter ref="A1:AJ213"/>
  <sortState ref="K10123:K10126">
    <sortCondition ref="K10123:K10126"/>
  </sortState>
  <conditionalFormatting sqref="P38:Y39 Q16:Y16 P17:Y17 AH17:AI17 O2:O211 Z16:AD17">
    <cfRule type="cellIs" dxfId="1022" priority="435" stopIfTrue="1" operator="greaterThan">
      <formula>5</formula>
    </cfRule>
  </conditionalFormatting>
  <conditionalFormatting sqref="R38:Y39 Q2:Q211">
    <cfRule type="cellIs" dxfId="1021" priority="434" stopIfTrue="1" operator="notBetween">
      <formula>5</formula>
      <formula>9</formula>
    </cfRule>
  </conditionalFormatting>
  <conditionalFormatting sqref="S38:Y39 R2:R211">
    <cfRule type="cellIs" dxfId="1020" priority="433" stopIfTrue="1" operator="greaterThan">
      <formula>75</formula>
    </cfRule>
  </conditionalFormatting>
  <conditionalFormatting sqref="T38:Y39 AH17:AI17 S2:S211 T17:AD17">
    <cfRule type="cellIs" dxfId="1019" priority="432" stopIfTrue="1" operator="greaterThan">
      <formula>90</formula>
    </cfRule>
  </conditionalFormatting>
  <conditionalFormatting sqref="U38:Y39 T2:T16 T18:T211">
    <cfRule type="cellIs" dxfId="1018" priority="431" stopIfTrue="1" operator="greaterThan">
      <formula>0.4</formula>
    </cfRule>
  </conditionalFormatting>
  <conditionalFormatting sqref="V38:Y39 U2:U211">
    <cfRule type="cellIs" dxfId="1017" priority="430" stopIfTrue="1" operator="greaterThan">
      <formula>2.3</formula>
    </cfRule>
  </conditionalFormatting>
  <conditionalFormatting sqref="W38:Y39 V2:V211">
    <cfRule type="cellIs" dxfId="1016" priority="429" stopIfTrue="1" operator="greaterThan">
      <formula>1.1</formula>
    </cfRule>
  </conditionalFormatting>
  <conditionalFormatting sqref="X38:Y39 W2:W211">
    <cfRule type="cellIs" dxfId="1015" priority="428" stopIfTrue="1" operator="greaterThan">
      <formula>0.059</formula>
    </cfRule>
  </conditionalFormatting>
  <conditionalFormatting sqref="Y38:Y39 X2:X211">
    <cfRule type="cellIs" dxfId="1014" priority="427" stopIfTrue="1" operator="greaterThan">
      <formula>0.16</formula>
    </cfRule>
  </conditionalFormatting>
  <conditionalFormatting sqref="Y2:Y211">
    <cfRule type="cellIs" dxfId="1013" priority="426" stopIfTrue="1" operator="greaterThan">
      <formula>0.076</formula>
    </cfRule>
  </conditionalFormatting>
  <conditionalFormatting sqref="AE2:AE211">
    <cfRule type="cellIs" dxfId="1012" priority="415" operator="greaterThan">
      <formula>1</formula>
    </cfRule>
  </conditionalFormatting>
  <conditionalFormatting sqref="AF53:AF211 AF2:AF50">
    <cfRule type="cellIs" dxfId="1011" priority="414" operator="greaterThan">
      <formula>0.0014</formula>
    </cfRule>
  </conditionalFormatting>
  <conditionalFormatting sqref="AG53:AG211 AG2:AG50">
    <cfRule type="cellIs" dxfId="1010" priority="413" operator="greaterThan">
      <formula>0.75</formula>
    </cfRule>
  </conditionalFormatting>
  <conditionalFormatting sqref="O174:O175">
    <cfRule type="cellIs" dxfId="1009" priority="73" stopIfTrue="1" operator="greaterThan">
      <formula>5</formula>
    </cfRule>
  </conditionalFormatting>
  <conditionalFormatting sqref="Q174:Q175">
    <cfRule type="cellIs" dxfId="1008" priority="72" stopIfTrue="1" operator="notBetween">
      <formula>5</formula>
      <formula>9</formula>
    </cfRule>
  </conditionalFormatting>
  <conditionalFormatting sqref="R174:R175">
    <cfRule type="cellIs" dxfId="1007" priority="71" stopIfTrue="1" operator="greaterThan">
      <formula>75</formula>
    </cfRule>
  </conditionalFormatting>
  <conditionalFormatting sqref="S174:S175">
    <cfRule type="cellIs" dxfId="1006" priority="70" stopIfTrue="1" operator="greaterThan">
      <formula>90</formula>
    </cfRule>
  </conditionalFormatting>
  <conditionalFormatting sqref="T174:T175">
    <cfRule type="cellIs" dxfId="1005" priority="69" stopIfTrue="1" operator="greaterThan">
      <formula>0.4</formula>
    </cfRule>
  </conditionalFormatting>
  <conditionalFormatting sqref="U174:U175">
    <cfRule type="cellIs" dxfId="1004" priority="68" stopIfTrue="1" operator="greaterThan">
      <formula>2.3</formula>
    </cfRule>
  </conditionalFormatting>
  <conditionalFormatting sqref="V174:V175">
    <cfRule type="cellIs" dxfId="1003" priority="67" stopIfTrue="1" operator="greaterThan">
      <formula>1.1</formula>
    </cfRule>
  </conditionalFormatting>
  <conditionalFormatting sqref="W174:W175">
    <cfRule type="cellIs" dxfId="1002" priority="66" stopIfTrue="1" operator="greaterThan">
      <formula>0.059</formula>
    </cfRule>
  </conditionalFormatting>
  <conditionalFormatting sqref="X174:X175">
    <cfRule type="cellIs" dxfId="1001" priority="65" stopIfTrue="1" operator="greaterThan">
      <formula>0.16</formula>
    </cfRule>
  </conditionalFormatting>
  <conditionalFormatting sqref="Y174:Y175">
    <cfRule type="cellIs" dxfId="1000" priority="64" stopIfTrue="1" operator="greaterThan">
      <formula>0.076</formula>
    </cfRule>
  </conditionalFormatting>
  <conditionalFormatting sqref="AE174:AE175">
    <cfRule type="cellIs" dxfId="999" priority="63" operator="greaterThan">
      <formula>1</formula>
    </cfRule>
  </conditionalFormatting>
  <conditionalFormatting sqref="AF174:AF175">
    <cfRule type="cellIs" dxfId="998" priority="62" operator="greaterThan">
      <formula>0.0014</formula>
    </cfRule>
  </conditionalFormatting>
  <conditionalFormatting sqref="AG174:AG175">
    <cfRule type="cellIs" dxfId="997" priority="61" operator="greaterThan">
      <formula>0.75</formula>
    </cfRule>
  </conditionalFormatting>
  <conditionalFormatting sqref="O179:O193">
    <cfRule type="cellIs" dxfId="996" priority="60" stopIfTrue="1" operator="greaterThan">
      <formula>5</formula>
    </cfRule>
  </conditionalFormatting>
  <conditionalFormatting sqref="Q179:Q193">
    <cfRule type="cellIs" dxfId="995" priority="59" stopIfTrue="1" operator="notBetween">
      <formula>5</formula>
      <formula>9</formula>
    </cfRule>
  </conditionalFormatting>
  <conditionalFormatting sqref="R179:R193">
    <cfRule type="cellIs" dxfId="994" priority="58" stopIfTrue="1" operator="greaterThan">
      <formula>75</formula>
    </cfRule>
  </conditionalFormatting>
  <conditionalFormatting sqref="S179:S193">
    <cfRule type="cellIs" dxfId="993" priority="57" stopIfTrue="1" operator="greaterThan">
      <formula>90</formula>
    </cfRule>
  </conditionalFormatting>
  <conditionalFormatting sqref="T179:T193">
    <cfRule type="cellIs" dxfId="992" priority="56" stopIfTrue="1" operator="greaterThan">
      <formula>0.4</formula>
    </cfRule>
  </conditionalFormatting>
  <conditionalFormatting sqref="U179:U193">
    <cfRule type="cellIs" dxfId="991" priority="55" stopIfTrue="1" operator="greaterThan">
      <formula>2.3</formula>
    </cfRule>
  </conditionalFormatting>
  <conditionalFormatting sqref="V179:V193">
    <cfRule type="cellIs" dxfId="990" priority="54" stopIfTrue="1" operator="greaterThan">
      <formula>1.1</formula>
    </cfRule>
  </conditionalFormatting>
  <conditionalFormatting sqref="W179:W193">
    <cfRule type="cellIs" dxfId="989" priority="53" stopIfTrue="1" operator="greaterThan">
      <formula>0.059</formula>
    </cfRule>
  </conditionalFormatting>
  <conditionalFormatting sqref="X179:X193">
    <cfRule type="cellIs" dxfId="988" priority="52" stopIfTrue="1" operator="greaterThan">
      <formula>0.16</formula>
    </cfRule>
  </conditionalFormatting>
  <conditionalFormatting sqref="Y179:Y193">
    <cfRule type="cellIs" dxfId="987" priority="51" stopIfTrue="1" operator="greaterThan">
      <formula>0.076</formula>
    </cfRule>
  </conditionalFormatting>
  <conditionalFormatting sqref="AE179:AE193">
    <cfRule type="cellIs" dxfId="986" priority="50" operator="greaterThan">
      <formula>1</formula>
    </cfRule>
  </conditionalFormatting>
  <conditionalFormatting sqref="AF179:AF193">
    <cfRule type="cellIs" dxfId="985" priority="49" operator="greaterThan">
      <formula>0.0014</formula>
    </cfRule>
  </conditionalFormatting>
  <conditionalFormatting sqref="AG179:AG193">
    <cfRule type="cellIs" dxfId="984" priority="48" operator="greaterThan">
      <formula>0.75</formula>
    </cfRule>
  </conditionalFormatting>
  <conditionalFormatting sqref="Y212:Y213">
    <cfRule type="cellIs" dxfId="983" priority="1" stopIfTrue="1" operator="greaterThan">
      <formula>0.076</formula>
    </cfRule>
  </conditionalFormatting>
  <conditionalFormatting sqref="O212:O213">
    <cfRule type="cellIs" dxfId="982" priority="10" stopIfTrue="1" operator="greaterThan">
      <formula>5</formula>
    </cfRule>
  </conditionalFormatting>
  <conditionalFormatting sqref="Q212:Q213">
    <cfRule type="cellIs" dxfId="981" priority="9" stopIfTrue="1" operator="notBetween">
      <formula>5</formula>
      <formula>9</formula>
    </cfRule>
  </conditionalFormatting>
  <conditionalFormatting sqref="R212:R213">
    <cfRule type="cellIs" dxfId="980" priority="8" stopIfTrue="1" operator="greaterThan">
      <formula>75</formula>
    </cfRule>
  </conditionalFormatting>
  <conditionalFormatting sqref="S212:S213">
    <cfRule type="cellIs" dxfId="979" priority="7" stopIfTrue="1" operator="greaterThan">
      <formula>90</formula>
    </cfRule>
  </conditionalFormatting>
  <conditionalFormatting sqref="T212:T213">
    <cfRule type="cellIs" dxfId="978" priority="6" stopIfTrue="1" operator="greaterThan">
      <formula>0.4</formula>
    </cfRule>
  </conditionalFormatting>
  <conditionalFormatting sqref="U212:U213">
    <cfRule type="cellIs" dxfId="977" priority="5" stopIfTrue="1" operator="greaterThan">
      <formula>2.3</formula>
    </cfRule>
  </conditionalFormatting>
  <conditionalFormatting sqref="V212:V213">
    <cfRule type="cellIs" dxfId="976" priority="4" stopIfTrue="1" operator="greaterThan">
      <formula>1.1</formula>
    </cfRule>
  </conditionalFormatting>
  <conditionalFormatting sqref="W212:W213">
    <cfRule type="cellIs" dxfId="975" priority="3" stopIfTrue="1" operator="greaterThan">
      <formula>0.059</formula>
    </cfRule>
  </conditionalFormatting>
  <conditionalFormatting sqref="X212:X213">
    <cfRule type="cellIs" dxfId="974" priority="2" stopIfTrue="1" operator="greaterThan">
      <formula>0.16</formula>
    </cfRule>
  </conditionalFormatting>
  <pageMargins left="0.7" right="0.7" top="0.75" bottom="0.75" header="0.3" footer="0.3"/>
  <pageSetup orientation="portrait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 enableFormatConditionsCalculation="0">
    <tabColor theme="0" tint="-4.9989318521683403E-2"/>
  </sheetPr>
  <dimension ref="A1:AS340"/>
  <sheetViews>
    <sheetView showGridLines="0" workbookViewId="0">
      <pane ySplit="1" topLeftCell="A304" activePane="bottomLeft" state="frozen"/>
      <selection activeCell="C174" sqref="C174"/>
      <selection pane="bottomLeft" activeCell="A312" sqref="A312"/>
    </sheetView>
  </sheetViews>
  <sheetFormatPr baseColWidth="10" defaultColWidth="8.83203125" defaultRowHeight="15" customHeight="1" x14ac:dyDescent="0"/>
  <cols>
    <col min="1" max="1" width="31.1640625" style="41" customWidth="1"/>
    <col min="2" max="2" width="19.5" style="50" customWidth="1"/>
    <col min="3" max="3" width="27.5" style="50" customWidth="1"/>
    <col min="4" max="4" width="10.6640625" style="48" customWidth="1"/>
    <col min="5" max="5" width="14.6640625" style="50" customWidth="1"/>
    <col min="6" max="6" width="10.6640625" style="50" customWidth="1"/>
    <col min="7" max="7" width="8.83203125" style="76"/>
    <col min="8" max="8" width="8.83203125" style="50"/>
    <col min="9" max="9" width="8.83203125" style="49"/>
    <col min="10" max="10" width="20.1640625" style="50" customWidth="1"/>
    <col min="11" max="11" width="10" style="50" customWidth="1"/>
    <col min="12" max="12" width="9.5" style="49" customWidth="1"/>
    <col min="13" max="13" width="10.5" style="50" customWidth="1"/>
    <col min="14" max="14" width="8.83203125" style="50"/>
    <col min="15" max="15" width="8.83203125" style="74"/>
    <col min="16" max="16" width="8.83203125" style="50"/>
    <col min="17" max="17" width="8.83203125" style="74"/>
    <col min="18" max="18" width="8.83203125" style="50"/>
    <col min="19" max="19" width="8.83203125" style="74"/>
    <col min="20" max="20" width="8.83203125" style="50"/>
    <col min="21" max="21" width="8.83203125" style="74"/>
    <col min="22" max="22" width="8.83203125" style="50"/>
    <col min="23" max="23" width="12.33203125" style="74" customWidth="1"/>
    <col min="24" max="24" width="10.6640625" style="50" customWidth="1"/>
    <col min="25" max="25" width="14.5" style="50" customWidth="1"/>
    <col min="26" max="26" width="8.83203125" style="50"/>
    <col min="27" max="27" width="8.83203125" style="74"/>
    <col min="28" max="28" width="10" style="50" customWidth="1"/>
    <col min="29" max="29" width="12.1640625" style="74" customWidth="1"/>
    <col min="30" max="30" width="14.33203125" style="271" customWidth="1"/>
    <col min="31" max="31" width="10" style="50" customWidth="1"/>
    <col min="32" max="34" width="8.83203125" style="50"/>
    <col min="35" max="35" width="9.6640625" style="74" customWidth="1"/>
    <col min="36" max="36" width="8.83203125" style="50"/>
    <col min="37" max="37" width="12.5" style="50" bestFit="1" customWidth="1"/>
    <col min="38" max="38" width="10.33203125" style="113" customWidth="1"/>
    <col min="39" max="39" width="8.83203125" style="402"/>
    <col min="40" max="45" width="8.83203125" style="74"/>
  </cols>
  <sheetData>
    <row r="1" spans="1:39" ht="37" thickBot="1">
      <c r="A1" s="233" t="s">
        <v>32</v>
      </c>
      <c r="B1" s="37" t="s">
        <v>3</v>
      </c>
      <c r="C1" s="37" t="s">
        <v>4</v>
      </c>
      <c r="D1" s="39" t="s">
        <v>5</v>
      </c>
      <c r="E1" s="37" t="s">
        <v>6</v>
      </c>
      <c r="F1" s="37" t="s">
        <v>7</v>
      </c>
      <c r="G1" s="39" t="s">
        <v>0</v>
      </c>
      <c r="H1" s="37" t="s">
        <v>20</v>
      </c>
      <c r="I1" s="37" t="s">
        <v>8</v>
      </c>
      <c r="J1" s="37" t="s">
        <v>9</v>
      </c>
      <c r="K1" s="37" t="s">
        <v>10</v>
      </c>
      <c r="L1" s="37" t="s">
        <v>11</v>
      </c>
      <c r="M1" s="37" t="s">
        <v>12</v>
      </c>
      <c r="N1" s="37" t="s">
        <v>13</v>
      </c>
      <c r="O1" s="37" t="s">
        <v>4098</v>
      </c>
      <c r="P1" s="37" t="s">
        <v>14</v>
      </c>
      <c r="Q1" s="37" t="s">
        <v>4099</v>
      </c>
      <c r="R1" s="37" t="s">
        <v>4093</v>
      </c>
      <c r="S1" s="37" t="s">
        <v>4094</v>
      </c>
      <c r="T1" s="37" t="s">
        <v>4095</v>
      </c>
      <c r="U1" s="37" t="s">
        <v>4096</v>
      </c>
      <c r="V1" s="37" t="s">
        <v>4097</v>
      </c>
      <c r="W1" s="37" t="s">
        <v>4106</v>
      </c>
      <c r="X1" s="37" t="s">
        <v>4101</v>
      </c>
      <c r="Y1" s="37" t="s">
        <v>4102</v>
      </c>
      <c r="Z1" s="37" t="s">
        <v>15</v>
      </c>
      <c r="AA1" s="37" t="s">
        <v>16</v>
      </c>
      <c r="AB1" s="37" t="s">
        <v>17</v>
      </c>
      <c r="AC1" s="37" t="s">
        <v>18</v>
      </c>
      <c r="AD1" s="95" t="s">
        <v>19</v>
      </c>
      <c r="AE1" s="37" t="s">
        <v>4107</v>
      </c>
      <c r="AF1" s="184" t="s">
        <v>4108</v>
      </c>
      <c r="AG1" s="184" t="s">
        <v>4109</v>
      </c>
      <c r="AH1" s="96" t="s">
        <v>1202</v>
      </c>
      <c r="AI1" s="97" t="s">
        <v>1543</v>
      </c>
      <c r="AJ1" s="96" t="s">
        <v>963</v>
      </c>
      <c r="AK1" s="50" t="s">
        <v>1906</v>
      </c>
      <c r="AL1" s="96" t="s">
        <v>2346</v>
      </c>
      <c r="AM1" s="96" t="s">
        <v>3796</v>
      </c>
    </row>
    <row r="2" spans="1:39" ht="14">
      <c r="A2" s="41" t="s">
        <v>92</v>
      </c>
      <c r="B2" s="42" t="s">
        <v>93</v>
      </c>
      <c r="C2" s="42" t="s">
        <v>94</v>
      </c>
      <c r="D2" s="43" t="s">
        <v>56</v>
      </c>
      <c r="E2" s="42" t="s">
        <v>95</v>
      </c>
      <c r="F2" s="42"/>
      <c r="G2" s="267" t="s">
        <v>167</v>
      </c>
      <c r="H2" s="45">
        <v>4911</v>
      </c>
      <c r="I2" s="44" t="s">
        <v>1</v>
      </c>
      <c r="J2" s="45" t="s">
        <v>96</v>
      </c>
      <c r="K2" s="46">
        <v>40829</v>
      </c>
      <c r="L2" s="100">
        <v>40821</v>
      </c>
      <c r="M2" s="45">
        <v>8</v>
      </c>
      <c r="N2" s="45" t="s">
        <v>2</v>
      </c>
      <c r="O2" s="107">
        <f>1/2</f>
        <v>0.5</v>
      </c>
      <c r="P2" s="45">
        <v>6.87</v>
      </c>
      <c r="Q2" s="44">
        <v>7.34</v>
      </c>
      <c r="R2" s="102">
        <v>7.5</v>
      </c>
      <c r="S2" s="219">
        <v>12</v>
      </c>
      <c r="T2" s="102">
        <v>0.05</v>
      </c>
      <c r="U2" s="103">
        <v>1.28</v>
      </c>
      <c r="V2" s="102">
        <v>1.28</v>
      </c>
      <c r="W2" s="221">
        <v>7.0000000000000001E-3</v>
      </c>
      <c r="X2" s="220">
        <v>1.6040000000000001</v>
      </c>
      <c r="Y2" s="220">
        <f>0.002/2</f>
        <v>1E-3</v>
      </c>
      <c r="Z2" s="111">
        <v>1</v>
      </c>
      <c r="AA2" s="112">
        <v>1</v>
      </c>
      <c r="AB2" s="45">
        <v>459</v>
      </c>
      <c r="AC2" s="44">
        <v>3.85</v>
      </c>
      <c r="AD2" s="310">
        <v>0.9</v>
      </c>
      <c r="AE2" s="220">
        <v>0.4</v>
      </c>
    </row>
    <row r="3" spans="1:39" ht="14">
      <c r="A3" s="53" t="s">
        <v>92</v>
      </c>
      <c r="B3" s="54" t="s">
        <v>163</v>
      </c>
      <c r="C3" s="54" t="s">
        <v>164</v>
      </c>
      <c r="D3" s="56" t="s">
        <v>165</v>
      </c>
      <c r="E3" s="54" t="s">
        <v>166</v>
      </c>
      <c r="F3" s="54"/>
      <c r="G3" s="61" t="s">
        <v>168</v>
      </c>
      <c r="H3" s="54">
        <v>4911</v>
      </c>
      <c r="I3" s="201" t="s">
        <v>1</v>
      </c>
      <c r="J3" s="54" t="s">
        <v>169</v>
      </c>
      <c r="K3" s="57">
        <v>40857</v>
      </c>
      <c r="L3" s="132">
        <v>40846</v>
      </c>
      <c r="M3" s="54">
        <v>11</v>
      </c>
      <c r="N3" s="54" t="s">
        <v>2</v>
      </c>
      <c r="O3" s="135">
        <v>1.7</v>
      </c>
      <c r="P3" s="54">
        <v>6.7</v>
      </c>
      <c r="Q3" s="155">
        <v>7.8</v>
      </c>
      <c r="R3" s="134">
        <v>86.5</v>
      </c>
      <c r="S3" s="253">
        <v>26.8</v>
      </c>
      <c r="T3" s="134">
        <v>3.45</v>
      </c>
      <c r="U3" s="135">
        <v>48</v>
      </c>
      <c r="V3" s="134">
        <v>2.2000000000000002</v>
      </c>
      <c r="W3" s="204">
        <v>5.6000000000000001E-2</v>
      </c>
      <c r="X3" s="203">
        <v>0.29599999999999999</v>
      </c>
      <c r="Y3" s="203">
        <f>0.005/2</f>
        <v>2.5000000000000001E-3</v>
      </c>
      <c r="Z3" s="257">
        <v>1</v>
      </c>
      <c r="AA3" s="257">
        <v>1</v>
      </c>
      <c r="AB3" s="54">
        <v>74</v>
      </c>
      <c r="AC3" s="155">
        <v>586</v>
      </c>
      <c r="AD3" s="311">
        <v>1</v>
      </c>
      <c r="AE3" s="203">
        <v>0.26900000000000002</v>
      </c>
    </row>
    <row r="4" spans="1:39" ht="14">
      <c r="A4" s="53" t="s">
        <v>92</v>
      </c>
      <c r="B4" s="54" t="s">
        <v>163</v>
      </c>
      <c r="C4" s="54" t="s">
        <v>164</v>
      </c>
      <c r="D4" s="56" t="s">
        <v>165</v>
      </c>
      <c r="E4" s="54" t="s">
        <v>166</v>
      </c>
      <c r="F4" s="54"/>
      <c r="G4" s="61" t="s">
        <v>168</v>
      </c>
      <c r="H4" s="54">
        <v>4911</v>
      </c>
      <c r="I4" s="201" t="s">
        <v>1</v>
      </c>
      <c r="J4" s="54" t="s">
        <v>170</v>
      </c>
      <c r="K4" s="57">
        <v>40857</v>
      </c>
      <c r="L4" s="132">
        <v>40846</v>
      </c>
      <c r="M4" s="54">
        <v>11</v>
      </c>
      <c r="N4" s="54" t="s">
        <v>2</v>
      </c>
      <c r="O4" s="135">
        <v>1</v>
      </c>
      <c r="P4" s="54">
        <v>6.7</v>
      </c>
      <c r="Q4" s="155">
        <v>7.3</v>
      </c>
      <c r="R4" s="134">
        <v>11.1</v>
      </c>
      <c r="S4" s="155">
        <v>6.7</v>
      </c>
      <c r="T4" s="134">
        <v>0.5</v>
      </c>
      <c r="U4" s="135">
        <v>1.4</v>
      </c>
      <c r="V4" s="134">
        <v>0.43</v>
      </c>
      <c r="W4" s="155">
        <v>8.9999999999999993E-3</v>
      </c>
      <c r="X4" s="54">
        <v>0.20799999999999999</v>
      </c>
      <c r="Y4" s="54">
        <f>0.005/2</f>
        <v>2.5000000000000001E-3</v>
      </c>
      <c r="Z4" s="257">
        <v>1</v>
      </c>
      <c r="AA4" s="145">
        <v>0.70699999999999996</v>
      </c>
      <c r="AB4" s="54">
        <v>10</v>
      </c>
      <c r="AC4" s="155">
        <v>62</v>
      </c>
      <c r="AD4" s="311">
        <v>0</v>
      </c>
      <c r="AE4" s="203">
        <v>0.29699999999999999</v>
      </c>
    </row>
    <row r="5" spans="1:39" ht="14">
      <c r="A5" s="53" t="s">
        <v>92</v>
      </c>
      <c r="B5" s="54" t="s">
        <v>163</v>
      </c>
      <c r="C5" s="54" t="s">
        <v>164</v>
      </c>
      <c r="D5" s="56" t="s">
        <v>165</v>
      </c>
      <c r="E5" s="54" t="s">
        <v>166</v>
      </c>
      <c r="F5" s="54"/>
      <c r="G5" s="61" t="s">
        <v>168</v>
      </c>
      <c r="H5" s="54">
        <v>4911</v>
      </c>
      <c r="I5" s="201" t="s">
        <v>1</v>
      </c>
      <c r="J5" s="54" t="s">
        <v>171</v>
      </c>
      <c r="K5" s="57">
        <v>40857</v>
      </c>
      <c r="L5" s="132">
        <v>40846</v>
      </c>
      <c r="M5" s="54">
        <v>11</v>
      </c>
      <c r="N5" s="54" t="s">
        <v>2</v>
      </c>
      <c r="O5" s="135">
        <f>1/2</f>
        <v>0.5</v>
      </c>
      <c r="P5" s="54">
        <v>6.7</v>
      </c>
      <c r="Q5" s="155">
        <v>7.2</v>
      </c>
      <c r="R5" s="134">
        <v>9.1</v>
      </c>
      <c r="S5" s="155">
        <v>39.799999999999997</v>
      </c>
      <c r="T5" s="134">
        <v>0.31</v>
      </c>
      <c r="U5" s="135">
        <v>0.84</v>
      </c>
      <c r="V5" s="134">
        <v>0.86</v>
      </c>
      <c r="W5" s="155">
        <v>1.0999999999999999E-2</v>
      </c>
      <c r="X5" s="54">
        <v>0.23100000000000001</v>
      </c>
      <c r="Y5" s="54">
        <f>0.005/2</f>
        <v>2.5000000000000001E-3</v>
      </c>
      <c r="Z5" s="257">
        <v>1</v>
      </c>
      <c r="AA5" s="268">
        <v>1</v>
      </c>
      <c r="AB5" s="54">
        <v>238</v>
      </c>
      <c r="AC5" s="155">
        <v>2210</v>
      </c>
      <c r="AD5" s="311">
        <v>1</v>
      </c>
      <c r="AE5" s="203">
        <v>2.3199999999999998</v>
      </c>
    </row>
    <row r="6" spans="1:39" ht="14">
      <c r="A6" s="53" t="s">
        <v>92</v>
      </c>
      <c r="B6" s="54" t="s">
        <v>163</v>
      </c>
      <c r="C6" s="54" t="s">
        <v>164</v>
      </c>
      <c r="D6" s="56" t="s">
        <v>165</v>
      </c>
      <c r="E6" s="54" t="s">
        <v>166</v>
      </c>
      <c r="F6" s="54"/>
      <c r="G6" s="61" t="s">
        <v>168</v>
      </c>
      <c r="H6" s="54">
        <v>4911</v>
      </c>
      <c r="I6" s="201" t="s">
        <v>1</v>
      </c>
      <c r="J6" s="54" t="s">
        <v>172</v>
      </c>
      <c r="K6" s="57">
        <v>40857</v>
      </c>
      <c r="L6" s="132">
        <v>40846</v>
      </c>
      <c r="M6" s="54">
        <v>11</v>
      </c>
      <c r="N6" s="54" t="s">
        <v>2</v>
      </c>
      <c r="O6" s="135">
        <f>1/2</f>
        <v>0.5</v>
      </c>
      <c r="P6" s="54">
        <v>6.7</v>
      </c>
      <c r="Q6" s="155">
        <v>7.5</v>
      </c>
      <c r="R6" s="134">
        <v>28.8</v>
      </c>
      <c r="S6" s="155">
        <v>23.5</v>
      </c>
      <c r="T6" s="134">
        <v>0.32</v>
      </c>
      <c r="U6" s="135">
        <v>0.84</v>
      </c>
      <c r="V6" s="134">
        <v>0.38</v>
      </c>
      <c r="W6" s="155">
        <v>5.0000000000000001E-3</v>
      </c>
      <c r="X6" s="54">
        <v>3.4000000000000002E-2</v>
      </c>
      <c r="Y6" s="54">
        <f>0.005/2</f>
        <v>2.5000000000000001E-3</v>
      </c>
      <c r="Z6" s="257">
        <v>1</v>
      </c>
      <c r="AA6" s="268">
        <v>1</v>
      </c>
      <c r="AB6" s="54">
        <v>134</v>
      </c>
      <c r="AC6" s="155">
        <v>496</v>
      </c>
      <c r="AD6" s="311">
        <v>1</v>
      </c>
      <c r="AE6" s="203">
        <v>3.45</v>
      </c>
    </row>
    <row r="7" spans="1:39" ht="14">
      <c r="A7" s="53" t="s">
        <v>92</v>
      </c>
      <c r="B7" s="54" t="s">
        <v>163</v>
      </c>
      <c r="C7" s="54" t="s">
        <v>164</v>
      </c>
      <c r="D7" s="56" t="s">
        <v>165</v>
      </c>
      <c r="E7" s="54" t="s">
        <v>166</v>
      </c>
      <c r="F7" s="54"/>
      <c r="G7" s="61" t="s">
        <v>168</v>
      </c>
      <c r="H7" s="54">
        <v>4911</v>
      </c>
      <c r="I7" s="201" t="s">
        <v>1</v>
      </c>
      <c r="J7" s="54" t="s">
        <v>173</v>
      </c>
      <c r="K7" s="57">
        <v>40857</v>
      </c>
      <c r="L7" s="132">
        <v>40846</v>
      </c>
      <c r="M7" s="54">
        <v>11</v>
      </c>
      <c r="N7" s="54" t="s">
        <v>2</v>
      </c>
      <c r="O7" s="135">
        <v>3.8</v>
      </c>
      <c r="P7" s="54">
        <v>6.7</v>
      </c>
      <c r="Q7" s="155">
        <v>7.2</v>
      </c>
      <c r="R7" s="134">
        <v>63.5</v>
      </c>
      <c r="S7" s="155">
        <v>61</v>
      </c>
      <c r="T7" s="134">
        <v>0.41</v>
      </c>
      <c r="U7" s="135">
        <v>4.3</v>
      </c>
      <c r="V7" s="134">
        <v>0.59</v>
      </c>
      <c r="W7" s="155">
        <v>1.4999999999999999E-2</v>
      </c>
      <c r="X7" s="54">
        <v>0.27500000000000002</v>
      </c>
      <c r="Y7" s="54">
        <v>8.0000000000000002E-3</v>
      </c>
      <c r="Z7" s="257">
        <v>1</v>
      </c>
      <c r="AA7" s="145">
        <v>0.82</v>
      </c>
      <c r="AB7" s="54">
        <v>16</v>
      </c>
      <c r="AC7" s="155">
        <v>114</v>
      </c>
      <c r="AD7" s="311">
        <v>0.3</v>
      </c>
      <c r="AE7" s="203">
        <v>2.14</v>
      </c>
    </row>
    <row r="8" spans="1:39" ht="14">
      <c r="A8" s="53" t="s">
        <v>92</v>
      </c>
      <c r="B8" s="54" t="s">
        <v>163</v>
      </c>
      <c r="C8" s="54" t="s">
        <v>164</v>
      </c>
      <c r="D8" s="56" t="s">
        <v>165</v>
      </c>
      <c r="E8" s="54" t="s">
        <v>166</v>
      </c>
      <c r="F8" s="54"/>
      <c r="G8" s="61" t="s">
        <v>168</v>
      </c>
      <c r="H8" s="54">
        <v>4911</v>
      </c>
      <c r="I8" s="201" t="s">
        <v>1</v>
      </c>
      <c r="J8" s="54" t="s">
        <v>174</v>
      </c>
      <c r="K8" s="57">
        <v>40857</v>
      </c>
      <c r="L8" s="132">
        <v>40846</v>
      </c>
      <c r="M8" s="54">
        <v>11</v>
      </c>
      <c r="N8" s="54" t="s">
        <v>2</v>
      </c>
      <c r="O8" s="135">
        <v>1.3</v>
      </c>
      <c r="P8" s="54">
        <v>6.7</v>
      </c>
      <c r="Q8" s="155">
        <v>7.5</v>
      </c>
      <c r="R8" s="134">
        <v>23.5</v>
      </c>
      <c r="S8" s="155">
        <v>16</v>
      </c>
      <c r="T8" s="134">
        <v>0.28999999999999998</v>
      </c>
      <c r="U8" s="135">
        <v>2.9</v>
      </c>
      <c r="V8" s="134">
        <v>0.11</v>
      </c>
      <c r="W8" s="155">
        <v>6.0000000000000001E-3</v>
      </c>
      <c r="X8" s="54">
        <v>4.1000000000000002E-2</v>
      </c>
      <c r="Y8" s="54">
        <f>0.005/2</f>
        <v>2.5000000000000001E-3</v>
      </c>
      <c r="Z8" s="257">
        <v>1</v>
      </c>
      <c r="AA8" s="268">
        <v>1</v>
      </c>
      <c r="AB8" s="54">
        <v>10</v>
      </c>
      <c r="AC8" s="155">
        <v>38</v>
      </c>
      <c r="AD8" s="311">
        <v>1</v>
      </c>
      <c r="AE8" s="203">
        <v>0.55300000000000005</v>
      </c>
    </row>
    <row r="9" spans="1:39" ht="14">
      <c r="A9" s="53" t="s">
        <v>92</v>
      </c>
      <c r="B9" s="54" t="s">
        <v>163</v>
      </c>
      <c r="C9" s="54" t="s">
        <v>164</v>
      </c>
      <c r="D9" s="56" t="s">
        <v>165</v>
      </c>
      <c r="E9" s="54" t="s">
        <v>166</v>
      </c>
      <c r="F9" s="54"/>
      <c r="G9" s="61" t="s">
        <v>168</v>
      </c>
      <c r="H9" s="54">
        <v>4911</v>
      </c>
      <c r="I9" s="201" t="s">
        <v>1</v>
      </c>
      <c r="J9" s="54" t="s">
        <v>175</v>
      </c>
      <c r="K9" s="57">
        <v>40857</v>
      </c>
      <c r="L9" s="132">
        <v>40846</v>
      </c>
      <c r="M9" s="54">
        <v>11</v>
      </c>
      <c r="N9" s="54" t="s">
        <v>2</v>
      </c>
      <c r="O9" s="135">
        <v>2.8</v>
      </c>
      <c r="P9" s="54">
        <v>6.7</v>
      </c>
      <c r="Q9" s="155">
        <v>7.2</v>
      </c>
      <c r="R9" s="134">
        <v>36.700000000000003</v>
      </c>
      <c r="S9" s="155">
        <v>24.2</v>
      </c>
      <c r="T9" s="134">
        <v>0.57999999999999996</v>
      </c>
      <c r="U9" s="135">
        <v>4.8</v>
      </c>
      <c r="V9" s="134">
        <v>0.25</v>
      </c>
      <c r="W9" s="155">
        <v>1.6E-2</v>
      </c>
      <c r="X9" s="54">
        <v>9.6000000000000002E-2</v>
      </c>
      <c r="Y9" s="54">
        <f>0.005/2</f>
        <v>2.5000000000000001E-3</v>
      </c>
      <c r="Z9" s="257">
        <v>1</v>
      </c>
      <c r="AA9" s="268">
        <v>1</v>
      </c>
      <c r="AB9" s="54">
        <v>10</v>
      </c>
      <c r="AC9" s="155">
        <v>43</v>
      </c>
      <c r="AD9" s="157">
        <v>1</v>
      </c>
      <c r="AE9" s="203">
        <v>0.83</v>
      </c>
    </row>
    <row r="10" spans="1:39" ht="14">
      <c r="A10" s="53" t="s">
        <v>92</v>
      </c>
      <c r="B10" s="54" t="s">
        <v>163</v>
      </c>
      <c r="C10" s="54" t="s">
        <v>164</v>
      </c>
      <c r="D10" s="56" t="s">
        <v>165</v>
      </c>
      <c r="E10" s="54" t="s">
        <v>166</v>
      </c>
      <c r="F10" s="54"/>
      <c r="G10" s="61" t="s">
        <v>168</v>
      </c>
      <c r="H10" s="54">
        <v>4911</v>
      </c>
      <c r="I10" s="201" t="s">
        <v>1</v>
      </c>
      <c r="J10" s="54" t="s">
        <v>176</v>
      </c>
      <c r="K10" s="57">
        <v>40857</v>
      </c>
      <c r="L10" s="132">
        <v>40846</v>
      </c>
      <c r="M10" s="54">
        <v>11</v>
      </c>
      <c r="N10" s="54" t="s">
        <v>2</v>
      </c>
      <c r="O10" s="135">
        <f>1/2</f>
        <v>0.5</v>
      </c>
      <c r="P10" s="54">
        <v>6.7</v>
      </c>
      <c r="Q10" s="155">
        <v>7.5</v>
      </c>
      <c r="R10" s="134">
        <f>2/2</f>
        <v>1</v>
      </c>
      <c r="S10" s="155">
        <v>32.799999999999997</v>
      </c>
      <c r="T10" s="134">
        <v>1.0900000000000001</v>
      </c>
      <c r="U10" s="135">
        <v>5.2</v>
      </c>
      <c r="V10" s="134">
        <v>0.71</v>
      </c>
      <c r="W10" s="155">
        <v>2.1999999999999999E-2</v>
      </c>
      <c r="X10" s="54">
        <v>0.191</v>
      </c>
      <c r="Y10" s="54">
        <v>1.2E-2</v>
      </c>
      <c r="Z10" s="257">
        <v>1</v>
      </c>
      <c r="AA10" s="268">
        <v>1</v>
      </c>
      <c r="AB10" s="54">
        <v>24</v>
      </c>
      <c r="AC10" s="155">
        <v>159</v>
      </c>
      <c r="AD10" s="157">
        <v>1</v>
      </c>
      <c r="AE10" s="54">
        <v>1.93</v>
      </c>
    </row>
    <row r="11" spans="1:39" ht="14">
      <c r="A11" s="53" t="s">
        <v>92</v>
      </c>
      <c r="B11" s="54" t="s">
        <v>163</v>
      </c>
      <c r="C11" s="54" t="s">
        <v>164</v>
      </c>
      <c r="D11" s="56" t="s">
        <v>165</v>
      </c>
      <c r="E11" s="54" t="s">
        <v>166</v>
      </c>
      <c r="F11" s="54"/>
      <c r="G11" s="61" t="s">
        <v>168</v>
      </c>
      <c r="H11" s="54">
        <v>4911</v>
      </c>
      <c r="I11" s="201" t="s">
        <v>1</v>
      </c>
      <c r="J11" s="54" t="s">
        <v>177</v>
      </c>
      <c r="K11" s="57">
        <v>40857</v>
      </c>
      <c r="L11" s="132">
        <v>40846</v>
      </c>
      <c r="M11" s="54">
        <v>11</v>
      </c>
      <c r="N11" s="54" t="s">
        <v>2</v>
      </c>
      <c r="O11" s="135">
        <f>1/2</f>
        <v>0.5</v>
      </c>
      <c r="P11" s="54">
        <v>6.7</v>
      </c>
      <c r="Q11" s="155">
        <v>8.3000000000000007</v>
      </c>
      <c r="R11" s="134">
        <v>74</v>
      </c>
      <c r="S11" s="155">
        <v>13.3</v>
      </c>
      <c r="T11" s="134">
        <v>0.04</v>
      </c>
      <c r="U11" s="135">
        <f>0.1/2</f>
        <v>0.05</v>
      </c>
      <c r="V11" s="134">
        <v>0.67</v>
      </c>
      <c r="W11" s="155">
        <v>7.0000000000000001E-3</v>
      </c>
      <c r="X11" s="54">
        <f>0.01/2</f>
        <v>5.0000000000000001E-3</v>
      </c>
      <c r="Y11" s="54">
        <f>0.005/2</f>
        <v>2.5000000000000001E-3</v>
      </c>
      <c r="Z11" s="257">
        <v>1</v>
      </c>
      <c r="AA11" s="268">
        <v>1</v>
      </c>
      <c r="AB11" s="54">
        <v>14</v>
      </c>
      <c r="AC11" s="155">
        <v>156</v>
      </c>
      <c r="AD11" s="157">
        <v>1</v>
      </c>
      <c r="AE11" s="54">
        <v>1.7</v>
      </c>
    </row>
    <row r="12" spans="1:39" ht="14">
      <c r="A12" s="53" t="s">
        <v>92</v>
      </c>
      <c r="B12" s="54" t="s">
        <v>163</v>
      </c>
      <c r="C12" s="54" t="s">
        <v>164</v>
      </c>
      <c r="D12" s="56" t="s">
        <v>165</v>
      </c>
      <c r="E12" s="54" t="s">
        <v>166</v>
      </c>
      <c r="F12" s="54"/>
      <c r="G12" s="61" t="s">
        <v>168</v>
      </c>
      <c r="H12" s="54">
        <v>4911</v>
      </c>
      <c r="I12" s="201" t="s">
        <v>1</v>
      </c>
      <c r="J12" s="54" t="s">
        <v>178</v>
      </c>
      <c r="K12" s="57">
        <v>40857</v>
      </c>
      <c r="L12" s="132">
        <v>40846</v>
      </c>
      <c r="M12" s="54">
        <v>11</v>
      </c>
      <c r="N12" s="54" t="s">
        <v>2</v>
      </c>
      <c r="O12" s="135">
        <f>1/2</f>
        <v>0.5</v>
      </c>
      <c r="P12" s="54">
        <v>6.7</v>
      </c>
      <c r="Q12" s="155">
        <v>7.2</v>
      </c>
      <c r="R12" s="134">
        <v>29.4</v>
      </c>
      <c r="S12" s="155">
        <v>16.2</v>
      </c>
      <c r="T12" s="134">
        <v>0.16</v>
      </c>
      <c r="U12" s="135">
        <v>1.9</v>
      </c>
      <c r="V12" s="134">
        <v>0.49</v>
      </c>
      <c r="W12" s="155">
        <v>6.0000000000000001E-3</v>
      </c>
      <c r="X12" s="54">
        <v>0.878</v>
      </c>
      <c r="Y12" s="54">
        <f>0.005/2</f>
        <v>2.5000000000000001E-3</v>
      </c>
      <c r="Z12" s="144">
        <v>0.77500000000000002</v>
      </c>
      <c r="AA12" s="145">
        <v>0.24099999999999999</v>
      </c>
      <c r="AB12" s="54">
        <v>10</v>
      </c>
      <c r="AC12" s="155">
        <v>52</v>
      </c>
      <c r="AD12" s="311">
        <v>0</v>
      </c>
      <c r="AE12" s="54">
        <v>0.245</v>
      </c>
    </row>
    <row r="13" spans="1:39" ht="14">
      <c r="A13" s="53" t="s">
        <v>92</v>
      </c>
      <c r="B13" s="54" t="s">
        <v>163</v>
      </c>
      <c r="C13" s="54" t="s">
        <v>164</v>
      </c>
      <c r="D13" s="56" t="s">
        <v>165</v>
      </c>
      <c r="E13" s="54" t="s">
        <v>166</v>
      </c>
      <c r="F13" s="54"/>
      <c r="G13" s="61" t="s">
        <v>168</v>
      </c>
      <c r="H13" s="54">
        <v>4911</v>
      </c>
      <c r="I13" s="201" t="s">
        <v>1</v>
      </c>
      <c r="J13" s="54" t="s">
        <v>179</v>
      </c>
      <c r="K13" s="57">
        <v>40857</v>
      </c>
      <c r="L13" s="132">
        <v>40846</v>
      </c>
      <c r="M13" s="54">
        <v>11</v>
      </c>
      <c r="N13" s="54" t="s">
        <v>2</v>
      </c>
      <c r="O13" s="135">
        <v>6.2</v>
      </c>
      <c r="P13" s="54">
        <v>6.7</v>
      </c>
      <c r="Q13" s="155">
        <v>7</v>
      </c>
      <c r="R13" s="134">
        <v>50.4</v>
      </c>
      <c r="S13" s="155">
        <v>53.2</v>
      </c>
      <c r="T13" s="134">
        <v>0.12</v>
      </c>
      <c r="U13" s="135">
        <v>0.61</v>
      </c>
      <c r="V13" s="134">
        <v>0.34</v>
      </c>
      <c r="W13" s="155">
        <v>1.7999999999999999E-2</v>
      </c>
      <c r="X13" s="54">
        <v>6.2E-2</v>
      </c>
      <c r="Y13" s="54">
        <f>0.005/2</f>
        <v>2.5000000000000001E-3</v>
      </c>
      <c r="Z13" s="257">
        <v>1</v>
      </c>
      <c r="AA13" s="268">
        <v>1</v>
      </c>
      <c r="AB13" s="54">
        <v>8</v>
      </c>
      <c r="AC13" s="155">
        <v>106</v>
      </c>
      <c r="AD13" s="157">
        <v>1</v>
      </c>
      <c r="AE13" s="54">
        <v>2.08</v>
      </c>
    </row>
    <row r="14" spans="1:39" ht="14">
      <c r="A14" s="53" t="s">
        <v>92</v>
      </c>
      <c r="B14" s="54" t="s">
        <v>163</v>
      </c>
      <c r="C14" s="54" t="s">
        <v>164</v>
      </c>
      <c r="D14" s="56" t="s">
        <v>165</v>
      </c>
      <c r="E14" s="54" t="s">
        <v>166</v>
      </c>
      <c r="F14" s="54"/>
      <c r="G14" s="61" t="s">
        <v>168</v>
      </c>
      <c r="H14" s="54">
        <v>4911</v>
      </c>
      <c r="I14" s="201" t="s">
        <v>1</v>
      </c>
      <c r="J14" s="54" t="s">
        <v>180</v>
      </c>
      <c r="K14" s="57">
        <v>40857</v>
      </c>
      <c r="L14" s="132">
        <v>40846</v>
      </c>
      <c r="M14" s="54">
        <v>11</v>
      </c>
      <c r="N14" s="54" t="s">
        <v>2</v>
      </c>
      <c r="O14" s="135">
        <f>1/2</f>
        <v>0.5</v>
      </c>
      <c r="P14" s="54">
        <v>6.7</v>
      </c>
      <c r="Q14" s="155">
        <v>7</v>
      </c>
      <c r="R14" s="134">
        <v>49.8</v>
      </c>
      <c r="S14" s="155">
        <v>74.2</v>
      </c>
      <c r="T14" s="134">
        <v>0.83</v>
      </c>
      <c r="U14" s="135">
        <v>3.3</v>
      </c>
      <c r="V14" s="134">
        <v>0.56999999999999995</v>
      </c>
      <c r="W14" s="155">
        <v>1.2E-2</v>
      </c>
      <c r="X14" s="54">
        <v>0.55700000000000005</v>
      </c>
      <c r="Y14" s="54">
        <v>5.0000000000000001E-3</v>
      </c>
      <c r="Z14" s="257">
        <v>1</v>
      </c>
      <c r="AA14" s="145">
        <v>0.77100000000000002</v>
      </c>
      <c r="AB14" s="54">
        <v>34</v>
      </c>
      <c r="AC14" s="155">
        <v>200</v>
      </c>
      <c r="AD14" s="311">
        <v>0.2</v>
      </c>
      <c r="AE14" s="54">
        <v>2.71</v>
      </c>
    </row>
    <row r="15" spans="1:39" ht="14">
      <c r="A15" s="53" t="s">
        <v>92</v>
      </c>
      <c r="B15" s="54" t="s">
        <v>163</v>
      </c>
      <c r="C15" s="54" t="s">
        <v>164</v>
      </c>
      <c r="D15" s="56" t="s">
        <v>165</v>
      </c>
      <c r="E15" s="54" t="s">
        <v>166</v>
      </c>
      <c r="F15" s="54"/>
      <c r="G15" s="61" t="s">
        <v>168</v>
      </c>
      <c r="H15" s="54">
        <v>4911</v>
      </c>
      <c r="I15" s="201" t="s">
        <v>1</v>
      </c>
      <c r="J15" s="54" t="s">
        <v>181</v>
      </c>
      <c r="K15" s="57">
        <v>40857</v>
      </c>
      <c r="L15" s="132">
        <v>40846</v>
      </c>
      <c r="M15" s="54">
        <v>11</v>
      </c>
      <c r="N15" s="54" t="s">
        <v>2</v>
      </c>
      <c r="O15" s="135">
        <f>1/2</f>
        <v>0.5</v>
      </c>
      <c r="P15" s="54">
        <v>6.7</v>
      </c>
      <c r="Q15" s="155">
        <v>7.7</v>
      </c>
      <c r="R15" s="134">
        <v>8.5</v>
      </c>
      <c r="S15" s="155">
        <v>7.5</v>
      </c>
      <c r="T15" s="134">
        <v>0.08</v>
      </c>
      <c r="U15" s="135">
        <v>0.3</v>
      </c>
      <c r="V15" s="134">
        <v>0.13</v>
      </c>
      <c r="W15" s="155">
        <f>0.005/2</f>
        <v>2.5000000000000001E-3</v>
      </c>
      <c r="X15" s="54">
        <v>0.13900000000000001</v>
      </c>
      <c r="Y15" s="54">
        <f>0.005/2</f>
        <v>2.5000000000000001E-3</v>
      </c>
      <c r="Z15" s="257">
        <v>1</v>
      </c>
      <c r="AA15" s="145">
        <v>0.72</v>
      </c>
      <c r="AB15" s="142">
        <v>10</v>
      </c>
      <c r="AC15" s="143">
        <v>24</v>
      </c>
      <c r="AD15" s="312">
        <v>0.05</v>
      </c>
      <c r="AE15" s="54">
        <v>0.35199999999999998</v>
      </c>
    </row>
    <row r="16" spans="1:39" ht="14">
      <c r="A16" s="53" t="s">
        <v>92</v>
      </c>
      <c r="B16" s="54" t="s">
        <v>163</v>
      </c>
      <c r="C16" s="54" t="s">
        <v>164</v>
      </c>
      <c r="D16" s="56" t="s">
        <v>165</v>
      </c>
      <c r="E16" s="54" t="s">
        <v>166</v>
      </c>
      <c r="F16" s="54"/>
      <c r="G16" s="61" t="s">
        <v>168</v>
      </c>
      <c r="H16" s="54">
        <v>4911</v>
      </c>
      <c r="I16" s="201" t="s">
        <v>1</v>
      </c>
      <c r="J16" s="54" t="s">
        <v>182</v>
      </c>
      <c r="K16" s="57">
        <v>40857</v>
      </c>
      <c r="L16" s="132">
        <v>40846</v>
      </c>
      <c r="M16" s="54">
        <v>11</v>
      </c>
      <c r="N16" s="54" t="s">
        <v>2</v>
      </c>
      <c r="O16" s="135">
        <f>1/2</f>
        <v>0.5</v>
      </c>
      <c r="P16" s="54">
        <v>6.7</v>
      </c>
      <c r="Q16" s="155">
        <v>7.7</v>
      </c>
      <c r="R16" s="134">
        <v>31.4</v>
      </c>
      <c r="S16" s="155">
        <v>3.7</v>
      </c>
      <c r="T16" s="134">
        <v>0.24</v>
      </c>
      <c r="U16" s="135">
        <v>1.4</v>
      </c>
      <c r="V16" s="134">
        <v>0.19</v>
      </c>
      <c r="W16" s="155">
        <v>8.9999999999999993E-3</v>
      </c>
      <c r="X16" s="54">
        <v>3.9E-2</v>
      </c>
      <c r="Y16" s="54">
        <f>0.005/2</f>
        <v>2.5000000000000001E-3</v>
      </c>
      <c r="Z16" s="257">
        <v>1</v>
      </c>
      <c r="AA16" s="268">
        <v>1</v>
      </c>
      <c r="AB16" s="142">
        <v>16</v>
      </c>
      <c r="AC16" s="143">
        <v>65</v>
      </c>
      <c r="AD16" s="144">
        <v>1</v>
      </c>
      <c r="AE16" s="54">
        <v>0.16700000000000001</v>
      </c>
    </row>
    <row r="17" spans="1:36" ht="14">
      <c r="A17" s="53" t="s">
        <v>92</v>
      </c>
      <c r="B17" s="54" t="s">
        <v>302</v>
      </c>
      <c r="C17" s="54" t="s">
        <v>302</v>
      </c>
      <c r="D17" s="56" t="s">
        <v>303</v>
      </c>
      <c r="E17" s="54" t="s">
        <v>304</v>
      </c>
      <c r="F17" s="54"/>
      <c r="G17" s="61" t="s">
        <v>305</v>
      </c>
      <c r="H17" s="54">
        <v>4911</v>
      </c>
      <c r="I17" s="55"/>
      <c r="J17" s="54" t="s">
        <v>306</v>
      </c>
      <c r="K17" s="57">
        <v>40835</v>
      </c>
      <c r="L17" s="132">
        <v>40829</v>
      </c>
      <c r="M17" s="54">
        <v>6</v>
      </c>
      <c r="N17" s="54" t="s">
        <v>2</v>
      </c>
      <c r="O17" s="135">
        <f>2/2</f>
        <v>1</v>
      </c>
      <c r="P17" s="54">
        <v>7.5</v>
      </c>
      <c r="Q17" s="155">
        <v>7.4</v>
      </c>
      <c r="R17" s="134">
        <v>38</v>
      </c>
      <c r="S17" s="155">
        <v>45</v>
      </c>
      <c r="T17" s="134">
        <v>0.16</v>
      </c>
      <c r="U17" s="135">
        <f>0.5/2</f>
        <v>0.25</v>
      </c>
      <c r="V17" s="134">
        <v>0.15</v>
      </c>
      <c r="W17" s="155">
        <v>2.1999999999999999E-2</v>
      </c>
      <c r="X17" s="54">
        <v>3.7999999999999999E-2</v>
      </c>
      <c r="Y17" s="54">
        <v>7.1999999999999998E-3</v>
      </c>
      <c r="Z17" s="257">
        <v>1</v>
      </c>
      <c r="AA17" s="268">
        <v>1</v>
      </c>
      <c r="AB17" s="142">
        <v>10</v>
      </c>
      <c r="AC17" s="143">
        <v>88</v>
      </c>
      <c r="AD17" s="312">
        <v>1</v>
      </c>
      <c r="AE17" s="54">
        <v>5.6</v>
      </c>
    </row>
    <row r="18" spans="1:36" ht="14">
      <c r="A18" s="53" t="s">
        <v>92</v>
      </c>
      <c r="B18" s="54" t="s">
        <v>396</v>
      </c>
      <c r="C18" s="54" t="s">
        <v>396</v>
      </c>
      <c r="D18" s="56" t="s">
        <v>397</v>
      </c>
      <c r="E18" s="54" t="s">
        <v>398</v>
      </c>
      <c r="F18" s="54"/>
      <c r="G18" s="61" t="s">
        <v>399</v>
      </c>
      <c r="H18" s="54">
        <v>4931</v>
      </c>
      <c r="I18" s="55"/>
      <c r="J18" s="54" t="s">
        <v>400</v>
      </c>
      <c r="K18" s="57">
        <v>40863</v>
      </c>
      <c r="L18" s="132">
        <v>40857</v>
      </c>
      <c r="M18" s="54">
        <v>6</v>
      </c>
      <c r="N18" s="54" t="s">
        <v>2</v>
      </c>
      <c r="O18" s="135">
        <v>4</v>
      </c>
      <c r="P18" s="54">
        <v>6.99</v>
      </c>
      <c r="Q18" s="155">
        <v>7.01</v>
      </c>
      <c r="R18" s="134">
        <v>22.8</v>
      </c>
      <c r="S18" s="155">
        <v>18</v>
      </c>
      <c r="T18" s="134">
        <v>7.0000000000000007E-2</v>
      </c>
      <c r="U18" s="135">
        <v>0.87</v>
      </c>
      <c r="V18" s="134">
        <v>0.28000000000000003</v>
      </c>
      <c r="W18" s="155">
        <f>0.01/2</f>
        <v>5.0000000000000001E-3</v>
      </c>
      <c r="X18" s="54">
        <v>0.24</v>
      </c>
      <c r="Y18" s="54">
        <f>0.02/2</f>
        <v>0.01</v>
      </c>
      <c r="Z18" s="142"/>
      <c r="AA18" s="142"/>
      <c r="AB18" s="142"/>
      <c r="AC18" s="142"/>
      <c r="AD18" s="144"/>
      <c r="AE18" s="54">
        <v>0.45</v>
      </c>
      <c r="AF18" s="54"/>
      <c r="AG18" s="54"/>
    </row>
    <row r="19" spans="1:36" ht="14">
      <c r="A19" s="53" t="s">
        <v>92</v>
      </c>
      <c r="B19" s="54" t="s">
        <v>396</v>
      </c>
      <c r="C19" s="54" t="s">
        <v>396</v>
      </c>
      <c r="D19" s="56" t="s">
        <v>397</v>
      </c>
      <c r="E19" s="54" t="s">
        <v>398</v>
      </c>
      <c r="F19" s="54"/>
      <c r="G19" s="61" t="s">
        <v>399</v>
      </c>
      <c r="H19" s="54">
        <v>4931</v>
      </c>
      <c r="I19" s="55"/>
      <c r="J19" s="54" t="s">
        <v>401</v>
      </c>
      <c r="K19" s="57">
        <v>40863</v>
      </c>
      <c r="L19" s="132">
        <v>40857</v>
      </c>
      <c r="M19" s="54">
        <v>6</v>
      </c>
      <c r="N19" s="54" t="s">
        <v>2</v>
      </c>
      <c r="O19" s="135">
        <v>2.4</v>
      </c>
      <c r="P19" s="54">
        <v>7.07</v>
      </c>
      <c r="Q19" s="155">
        <v>7.06</v>
      </c>
      <c r="R19" s="134">
        <v>35.9</v>
      </c>
      <c r="S19" s="155">
        <v>9</v>
      </c>
      <c r="T19" s="134">
        <f>0.05/2</f>
        <v>2.5000000000000001E-2</v>
      </c>
      <c r="U19" s="135">
        <v>1.03</v>
      </c>
      <c r="V19" s="134">
        <v>1.6</v>
      </c>
      <c r="W19" s="155">
        <v>0.05</v>
      </c>
      <c r="X19" s="54">
        <v>0.89</v>
      </c>
      <c r="Y19" s="54">
        <f>0.02/2</f>
        <v>0.01</v>
      </c>
      <c r="Z19" s="142"/>
      <c r="AA19" s="142"/>
      <c r="AB19" s="142"/>
      <c r="AC19" s="142"/>
      <c r="AD19" s="144"/>
      <c r="AE19" s="54">
        <v>1.1499999999999999</v>
      </c>
      <c r="AF19" s="54"/>
      <c r="AG19" s="54"/>
    </row>
    <row r="20" spans="1:36" ht="14">
      <c r="A20" s="53" t="s">
        <v>92</v>
      </c>
      <c r="B20" s="54" t="s">
        <v>396</v>
      </c>
      <c r="C20" s="54" t="s">
        <v>396</v>
      </c>
      <c r="D20" s="56" t="s">
        <v>397</v>
      </c>
      <c r="E20" s="54" t="s">
        <v>398</v>
      </c>
      <c r="F20" s="54"/>
      <c r="G20" s="61" t="s">
        <v>399</v>
      </c>
      <c r="H20" s="54">
        <v>4931</v>
      </c>
      <c r="I20" s="55"/>
      <c r="J20" s="54" t="s">
        <v>402</v>
      </c>
      <c r="K20" s="57">
        <v>40863</v>
      </c>
      <c r="L20" s="132">
        <v>40857</v>
      </c>
      <c r="M20" s="54">
        <v>6</v>
      </c>
      <c r="N20" s="54" t="s">
        <v>2</v>
      </c>
      <c r="O20" s="135">
        <v>3.9</v>
      </c>
      <c r="P20" s="54">
        <v>6.83</v>
      </c>
      <c r="Q20" s="155">
        <v>6.81</v>
      </c>
      <c r="R20" s="134">
        <v>14.3</v>
      </c>
      <c r="S20" s="155">
        <f>1/2</f>
        <v>0.5</v>
      </c>
      <c r="T20" s="134">
        <v>0.05</v>
      </c>
      <c r="U20" s="135">
        <v>0.49</v>
      </c>
      <c r="V20" s="134">
        <v>0.28999999999999998</v>
      </c>
      <c r="W20" s="155">
        <f>0.01/2</f>
        <v>5.0000000000000001E-3</v>
      </c>
      <c r="X20" s="54">
        <v>0.17</v>
      </c>
      <c r="Y20" s="54">
        <f>0.02/2</f>
        <v>0.01</v>
      </c>
      <c r="Z20" s="142"/>
      <c r="AA20" s="142"/>
      <c r="AB20" s="142"/>
      <c r="AC20" s="142"/>
      <c r="AD20" s="144"/>
      <c r="AE20" s="54">
        <v>0.69</v>
      </c>
      <c r="AF20" s="54"/>
      <c r="AG20" s="54"/>
    </row>
    <row r="21" spans="1:36" ht="14">
      <c r="A21" s="53" t="s">
        <v>92</v>
      </c>
      <c r="B21" s="54" t="s">
        <v>396</v>
      </c>
      <c r="C21" s="54" t="s">
        <v>396</v>
      </c>
      <c r="D21" s="56" t="s">
        <v>397</v>
      </c>
      <c r="E21" s="54" t="s">
        <v>398</v>
      </c>
      <c r="F21" s="54"/>
      <c r="G21" s="61" t="s">
        <v>399</v>
      </c>
      <c r="H21" s="54">
        <v>4931</v>
      </c>
      <c r="I21" s="55"/>
      <c r="J21" s="54" t="s">
        <v>403</v>
      </c>
      <c r="K21" s="57">
        <v>40863</v>
      </c>
      <c r="L21" s="132">
        <v>40857</v>
      </c>
      <c r="M21" s="54">
        <v>6</v>
      </c>
      <c r="N21" s="54" t="s">
        <v>2</v>
      </c>
      <c r="O21" s="135">
        <v>2.4</v>
      </c>
      <c r="P21" s="54">
        <v>6.91</v>
      </c>
      <c r="Q21" s="155">
        <v>6.92</v>
      </c>
      <c r="R21" s="134">
        <v>24.8</v>
      </c>
      <c r="S21" s="155">
        <v>25</v>
      </c>
      <c r="T21" s="134">
        <f>0.05/2</f>
        <v>2.5000000000000001E-2</v>
      </c>
      <c r="U21" s="135">
        <v>0.42</v>
      </c>
      <c r="V21" s="134">
        <f>0.2/2</f>
        <v>0.1</v>
      </c>
      <c r="W21" s="155">
        <v>0.01</v>
      </c>
      <c r="X21" s="54">
        <v>7.0000000000000007E-2</v>
      </c>
      <c r="Y21" s="54">
        <f>0.02/2</f>
        <v>0.01</v>
      </c>
      <c r="Z21" s="142"/>
      <c r="AA21" s="142"/>
      <c r="AB21" s="142"/>
      <c r="AC21" s="142"/>
      <c r="AD21" s="144"/>
      <c r="AE21" s="54">
        <v>2.72</v>
      </c>
      <c r="AF21" s="54"/>
      <c r="AG21" s="54"/>
    </row>
    <row r="22" spans="1:36" ht="14">
      <c r="A22" s="53" t="s">
        <v>92</v>
      </c>
      <c r="B22" s="54" t="s">
        <v>478</v>
      </c>
      <c r="C22" s="54" t="s">
        <v>479</v>
      </c>
      <c r="D22" s="56" t="s">
        <v>480</v>
      </c>
      <c r="E22" s="54" t="s">
        <v>44</v>
      </c>
      <c r="F22" s="54"/>
      <c r="G22" s="61" t="s">
        <v>481</v>
      </c>
      <c r="H22" s="54">
        <v>4911</v>
      </c>
      <c r="I22" s="55" t="s">
        <v>1</v>
      </c>
      <c r="J22" s="54" t="s">
        <v>482</v>
      </c>
      <c r="K22" s="57">
        <v>40835</v>
      </c>
      <c r="L22" s="132">
        <v>40830</v>
      </c>
      <c r="M22" s="54">
        <v>5</v>
      </c>
      <c r="N22" s="54" t="s">
        <v>2</v>
      </c>
      <c r="O22" s="135">
        <f>1.4/2</f>
        <v>0.7</v>
      </c>
      <c r="P22" s="54">
        <v>5.2</v>
      </c>
      <c r="Q22" s="155">
        <v>6.7</v>
      </c>
      <c r="R22" s="134">
        <f>10/2</f>
        <v>5</v>
      </c>
      <c r="S22" s="155">
        <f>5/2</f>
        <v>2.5</v>
      </c>
      <c r="T22" s="134">
        <v>0.02</v>
      </c>
      <c r="U22" s="135">
        <v>0.13</v>
      </c>
      <c r="V22" s="134">
        <f>0.01/2</f>
        <v>5.0000000000000001E-3</v>
      </c>
      <c r="W22" s="155">
        <v>2E-3</v>
      </c>
      <c r="X22" s="54">
        <v>0.01</v>
      </c>
      <c r="Y22" s="54">
        <f>0.002/2</f>
        <v>1E-3</v>
      </c>
      <c r="Z22" s="257">
        <v>1</v>
      </c>
      <c r="AA22" s="268">
        <v>1</v>
      </c>
      <c r="AB22" s="142">
        <v>10</v>
      </c>
      <c r="AC22" s="143">
        <v>49</v>
      </c>
      <c r="AD22" s="312">
        <v>1</v>
      </c>
      <c r="AE22" s="54">
        <v>6.5000000000000002E-2</v>
      </c>
    </row>
    <row r="23" spans="1:36" ht="14">
      <c r="A23" s="53" t="s">
        <v>92</v>
      </c>
      <c r="B23" s="54" t="s">
        <v>478</v>
      </c>
      <c r="C23" s="54" t="s">
        <v>479</v>
      </c>
      <c r="D23" s="56" t="s">
        <v>480</v>
      </c>
      <c r="E23" s="54" t="s">
        <v>44</v>
      </c>
      <c r="F23" s="54"/>
      <c r="G23" s="61" t="s">
        <v>481</v>
      </c>
      <c r="H23" s="54">
        <v>4911</v>
      </c>
      <c r="I23" s="55" t="s">
        <v>1</v>
      </c>
      <c r="J23" s="54" t="s">
        <v>483</v>
      </c>
      <c r="K23" s="57">
        <v>40835</v>
      </c>
      <c r="L23" s="132">
        <v>40830</v>
      </c>
      <c r="M23" s="54">
        <v>5</v>
      </c>
      <c r="N23" s="54" t="s">
        <v>2</v>
      </c>
      <c r="O23" s="135">
        <f>1.4/2</f>
        <v>0.7</v>
      </c>
      <c r="P23" s="54">
        <v>5.2</v>
      </c>
      <c r="Q23" s="155">
        <v>6.9</v>
      </c>
      <c r="R23" s="134">
        <v>15</v>
      </c>
      <c r="S23" s="155">
        <f>5/2</f>
        <v>2.5</v>
      </c>
      <c r="T23" s="134">
        <v>0.03</v>
      </c>
      <c r="U23" s="135">
        <v>0.3</v>
      </c>
      <c r="V23" s="134">
        <v>0.17</v>
      </c>
      <c r="W23" s="155">
        <v>4.0000000000000001E-3</v>
      </c>
      <c r="X23" s="54">
        <v>5.3999999999999999E-2</v>
      </c>
      <c r="Y23" s="54">
        <f>0.002/2</f>
        <v>1E-3</v>
      </c>
      <c r="Z23" s="257">
        <v>1</v>
      </c>
      <c r="AA23" s="268">
        <v>1</v>
      </c>
      <c r="AB23" s="142">
        <v>6</v>
      </c>
      <c r="AC23" s="143">
        <v>31</v>
      </c>
      <c r="AD23" s="144">
        <v>1</v>
      </c>
      <c r="AE23" s="54">
        <v>0.83099999999999996</v>
      </c>
    </row>
    <row r="24" spans="1:36" ht="14">
      <c r="A24" s="53" t="s">
        <v>92</v>
      </c>
      <c r="B24" s="54" t="s">
        <v>478</v>
      </c>
      <c r="C24" s="54" t="s">
        <v>479</v>
      </c>
      <c r="D24" s="56" t="s">
        <v>480</v>
      </c>
      <c r="E24" s="54" t="s">
        <v>44</v>
      </c>
      <c r="F24" s="54"/>
      <c r="G24" s="61" t="s">
        <v>481</v>
      </c>
      <c r="H24" s="54">
        <v>4911</v>
      </c>
      <c r="I24" s="55" t="s">
        <v>1</v>
      </c>
      <c r="J24" s="54" t="s">
        <v>484</v>
      </c>
      <c r="K24" s="57">
        <v>40835</v>
      </c>
      <c r="L24" s="132">
        <v>40830</v>
      </c>
      <c r="M24" s="54">
        <v>5</v>
      </c>
      <c r="N24" s="54" t="s">
        <v>2</v>
      </c>
      <c r="O24" s="135">
        <f>1.4/2</f>
        <v>0.7</v>
      </c>
      <c r="P24" s="54">
        <v>5.2</v>
      </c>
      <c r="Q24" s="155">
        <v>6.2</v>
      </c>
      <c r="R24" s="134">
        <v>35</v>
      </c>
      <c r="S24" s="155">
        <f>5/2</f>
        <v>2.5</v>
      </c>
      <c r="T24" s="134">
        <v>0.04</v>
      </c>
      <c r="U24" s="135">
        <v>0.51</v>
      </c>
      <c r="V24" s="134">
        <v>0.14000000000000001</v>
      </c>
      <c r="W24" s="155">
        <v>4.2000000000000003E-2</v>
      </c>
      <c r="X24" s="54">
        <v>0.46300000000000002</v>
      </c>
      <c r="Y24" s="54">
        <v>0.01</v>
      </c>
      <c r="Z24" s="144">
        <v>0.17699999999999999</v>
      </c>
      <c r="AA24" s="145">
        <v>0.13400000000000001</v>
      </c>
      <c r="AB24" s="142">
        <v>22</v>
      </c>
      <c r="AC24" s="143">
        <v>75</v>
      </c>
      <c r="AD24" s="312">
        <v>0</v>
      </c>
      <c r="AE24" s="54">
        <v>0.48699999999999999</v>
      </c>
    </row>
    <row r="25" spans="1:36" ht="14">
      <c r="A25" s="53" t="s">
        <v>92</v>
      </c>
      <c r="B25" s="54" t="s">
        <v>478</v>
      </c>
      <c r="C25" s="54" t="s">
        <v>479</v>
      </c>
      <c r="D25" s="56" t="s">
        <v>480</v>
      </c>
      <c r="E25" s="54" t="s">
        <v>44</v>
      </c>
      <c r="F25" s="54"/>
      <c r="G25" s="61" t="s">
        <v>481</v>
      </c>
      <c r="H25" s="54">
        <v>4911</v>
      </c>
      <c r="I25" s="55" t="s">
        <v>1</v>
      </c>
      <c r="J25" s="54" t="s">
        <v>485</v>
      </c>
      <c r="K25" s="57">
        <v>40835</v>
      </c>
      <c r="L25" s="132">
        <v>40830</v>
      </c>
      <c r="M25" s="54">
        <v>5</v>
      </c>
      <c r="N25" s="54" t="s">
        <v>2</v>
      </c>
      <c r="O25" s="135">
        <f>1.4/2</f>
        <v>0.7</v>
      </c>
      <c r="P25" s="54">
        <v>5.2</v>
      </c>
      <c r="Q25" s="155">
        <v>7.9</v>
      </c>
      <c r="R25" s="134">
        <v>13</v>
      </c>
      <c r="S25" s="155">
        <f>5/2</f>
        <v>2.5</v>
      </c>
      <c r="T25" s="134">
        <v>0.28999999999999998</v>
      </c>
      <c r="U25" s="135">
        <v>0.31</v>
      </c>
      <c r="V25" s="134">
        <v>0.05</v>
      </c>
      <c r="W25" s="155">
        <v>1E-3</v>
      </c>
      <c r="X25" s="54">
        <v>3.0000000000000001E-3</v>
      </c>
      <c r="Y25" s="54">
        <f>0.002/2</f>
        <v>1E-3</v>
      </c>
      <c r="Z25" s="257">
        <v>1</v>
      </c>
      <c r="AA25" s="268">
        <v>1</v>
      </c>
      <c r="AB25" s="142">
        <v>74</v>
      </c>
      <c r="AC25" s="143">
        <v>402</v>
      </c>
      <c r="AD25" s="144">
        <v>1</v>
      </c>
      <c r="AE25" s="54">
        <v>3.1E-2</v>
      </c>
    </row>
    <row r="26" spans="1:36" ht="14">
      <c r="A26" s="41" t="s">
        <v>92</v>
      </c>
      <c r="B26" s="54" t="s">
        <v>93</v>
      </c>
      <c r="C26" s="50" t="s">
        <v>873</v>
      </c>
      <c r="D26" s="48" t="s">
        <v>262</v>
      </c>
      <c r="E26" s="50" t="s">
        <v>874</v>
      </c>
      <c r="G26" s="76" t="s">
        <v>875</v>
      </c>
      <c r="H26" s="50">
        <v>4911</v>
      </c>
      <c r="I26" s="49" t="s">
        <v>1</v>
      </c>
      <c r="J26" s="50" t="s">
        <v>876</v>
      </c>
      <c r="K26" s="51">
        <v>40870</v>
      </c>
      <c r="L26" s="115">
        <v>40863</v>
      </c>
      <c r="M26" s="50">
        <v>7</v>
      </c>
      <c r="N26" s="50" t="s">
        <v>2</v>
      </c>
      <c r="O26" s="131">
        <f>1/2</f>
        <v>0.5</v>
      </c>
      <c r="P26" s="50">
        <v>6.05</v>
      </c>
      <c r="Q26" s="74">
        <v>6.63</v>
      </c>
      <c r="R26" s="117">
        <v>32.1</v>
      </c>
      <c r="S26" s="74">
        <v>52</v>
      </c>
      <c r="T26" s="117">
        <v>0.06</v>
      </c>
      <c r="U26" s="131">
        <v>0.84</v>
      </c>
      <c r="V26" s="117">
        <v>0.15</v>
      </c>
      <c r="W26" s="74">
        <v>1.6E-2</v>
      </c>
      <c r="X26" s="50">
        <v>0.123</v>
      </c>
      <c r="Y26" s="50">
        <v>5.0000000000000001E-3</v>
      </c>
      <c r="Z26" s="257">
        <v>1</v>
      </c>
      <c r="AA26" s="268">
        <v>1</v>
      </c>
      <c r="AB26" s="85">
        <v>5.7</v>
      </c>
      <c r="AC26" s="130">
        <v>19</v>
      </c>
      <c r="AD26" s="125">
        <v>1</v>
      </c>
      <c r="AE26" s="50">
        <v>0.53</v>
      </c>
      <c r="AJ26" s="50">
        <v>1300</v>
      </c>
    </row>
    <row r="27" spans="1:36" ht="14">
      <c r="A27" s="41" t="s">
        <v>92</v>
      </c>
      <c r="B27" s="54" t="s">
        <v>93</v>
      </c>
      <c r="C27" s="50" t="s">
        <v>873</v>
      </c>
      <c r="D27" s="48" t="s">
        <v>262</v>
      </c>
      <c r="E27" s="50" t="s">
        <v>874</v>
      </c>
      <c r="G27" s="76" t="s">
        <v>875</v>
      </c>
      <c r="H27" s="50">
        <v>4911</v>
      </c>
      <c r="I27" s="49" t="s">
        <v>1</v>
      </c>
      <c r="J27" s="50" t="s">
        <v>877</v>
      </c>
      <c r="K27" s="51">
        <v>40870</v>
      </c>
      <c r="L27" s="115">
        <v>40863</v>
      </c>
      <c r="M27" s="50">
        <v>7</v>
      </c>
      <c r="N27" s="50" t="s">
        <v>2</v>
      </c>
      <c r="O27" s="131">
        <f>1/2</f>
        <v>0.5</v>
      </c>
      <c r="P27" s="50">
        <v>6.05</v>
      </c>
      <c r="Q27" s="74">
        <v>6.36</v>
      </c>
      <c r="R27" s="117">
        <v>89.9</v>
      </c>
      <c r="S27" s="74">
        <v>121</v>
      </c>
      <c r="T27" s="117">
        <v>0.17</v>
      </c>
      <c r="U27" s="131">
        <v>1.02</v>
      </c>
      <c r="V27" s="117">
        <v>0.16</v>
      </c>
      <c r="W27" s="74">
        <v>0.14799999999999999</v>
      </c>
      <c r="X27" s="50">
        <v>0.13800000000000001</v>
      </c>
      <c r="Y27" s="50">
        <v>7.0000000000000001E-3</v>
      </c>
      <c r="Z27" s="257">
        <v>1</v>
      </c>
      <c r="AA27" s="268">
        <v>1</v>
      </c>
      <c r="AB27" s="85">
        <v>8.3000000000000007</v>
      </c>
      <c r="AC27" s="130">
        <v>15</v>
      </c>
      <c r="AD27" s="313">
        <v>0.7</v>
      </c>
      <c r="AE27" s="50">
        <v>2.7</v>
      </c>
      <c r="AJ27" s="50">
        <v>32</v>
      </c>
    </row>
    <row r="28" spans="1:36" ht="14">
      <c r="A28" s="41" t="s">
        <v>92</v>
      </c>
      <c r="B28" s="54" t="s">
        <v>93</v>
      </c>
      <c r="C28" s="50" t="s">
        <v>873</v>
      </c>
      <c r="D28" s="48" t="s">
        <v>262</v>
      </c>
      <c r="E28" s="50" t="s">
        <v>874</v>
      </c>
      <c r="G28" s="76" t="s">
        <v>875</v>
      </c>
      <c r="H28" s="50">
        <v>4911</v>
      </c>
      <c r="I28" s="49" t="s">
        <v>1</v>
      </c>
      <c r="J28" s="50" t="s">
        <v>877</v>
      </c>
      <c r="K28" s="51">
        <v>40870</v>
      </c>
      <c r="L28" s="115">
        <v>40863</v>
      </c>
      <c r="M28" s="50">
        <v>7</v>
      </c>
      <c r="N28" s="50" t="s">
        <v>2</v>
      </c>
      <c r="O28" s="131">
        <f>1/2</f>
        <v>0.5</v>
      </c>
      <c r="P28" s="50">
        <v>6.05</v>
      </c>
      <c r="Q28" s="74">
        <v>6.62</v>
      </c>
      <c r="R28" s="117">
        <v>137.69999999999999</v>
      </c>
      <c r="S28" s="74">
        <v>230</v>
      </c>
      <c r="T28" s="117">
        <v>0.15</v>
      </c>
      <c r="U28" s="131">
        <v>1.44</v>
      </c>
      <c r="V28" s="117">
        <v>0.18</v>
      </c>
      <c r="W28" s="74">
        <v>4.2000000000000003E-2</v>
      </c>
      <c r="X28" s="50">
        <v>8.8999999999999996E-2</v>
      </c>
      <c r="Y28" s="50">
        <v>1.9E-2</v>
      </c>
      <c r="Z28" s="257">
        <v>0.77100000000000002</v>
      </c>
      <c r="AA28" s="268">
        <v>0.66</v>
      </c>
      <c r="AB28" s="85">
        <v>12.62</v>
      </c>
      <c r="AC28" s="130">
        <v>21</v>
      </c>
      <c r="AD28" s="313">
        <v>0</v>
      </c>
      <c r="AE28" s="50">
        <v>14.04</v>
      </c>
      <c r="AJ28" s="50">
        <v>960</v>
      </c>
    </row>
    <row r="29" spans="1:36" ht="14">
      <c r="A29" s="41" t="s">
        <v>92</v>
      </c>
      <c r="B29" s="50" t="s">
        <v>1192</v>
      </c>
      <c r="C29" s="50" t="s">
        <v>1193</v>
      </c>
      <c r="D29" s="48" t="s">
        <v>397</v>
      </c>
      <c r="E29" s="50" t="s">
        <v>398</v>
      </c>
      <c r="G29" s="76" t="s">
        <v>1194</v>
      </c>
      <c r="H29" s="50">
        <v>4911</v>
      </c>
      <c r="I29" s="49" t="s">
        <v>2</v>
      </c>
      <c r="J29" s="48" t="s">
        <v>1529</v>
      </c>
      <c r="K29" s="51">
        <v>40883</v>
      </c>
      <c r="L29" s="115">
        <v>40877</v>
      </c>
      <c r="M29" s="50">
        <f>K29-L29</f>
        <v>6</v>
      </c>
      <c r="N29" s="50" t="s">
        <v>2</v>
      </c>
      <c r="O29" s="131"/>
      <c r="R29" s="117"/>
      <c r="T29" s="117"/>
      <c r="U29" s="131"/>
      <c r="V29" s="117"/>
      <c r="Z29" s="85"/>
      <c r="AA29" s="130"/>
      <c r="AB29" s="85"/>
      <c r="AC29" s="130"/>
      <c r="AD29" s="313"/>
      <c r="AE29" s="50">
        <v>0.26900000000000002</v>
      </c>
    </row>
    <row r="30" spans="1:36" ht="14">
      <c r="A30" s="41" t="s">
        <v>92</v>
      </c>
      <c r="B30" s="50" t="s">
        <v>1192</v>
      </c>
      <c r="C30" s="50" t="s">
        <v>1193</v>
      </c>
      <c r="D30" s="48" t="s">
        <v>397</v>
      </c>
      <c r="E30" s="50" t="s">
        <v>398</v>
      </c>
      <c r="G30" s="76" t="s">
        <v>1194</v>
      </c>
      <c r="H30" s="50">
        <v>4911</v>
      </c>
      <c r="I30" s="49" t="s">
        <v>2</v>
      </c>
      <c r="J30" s="48" t="s">
        <v>1530</v>
      </c>
      <c r="K30" s="51">
        <v>40883</v>
      </c>
      <c r="L30" s="115">
        <v>40877</v>
      </c>
      <c r="M30" s="50">
        <f t="shared" ref="M30:M36" si="0">K30-L30</f>
        <v>6</v>
      </c>
      <c r="N30" s="50" t="s">
        <v>2</v>
      </c>
      <c r="O30" s="131"/>
      <c r="R30" s="117"/>
      <c r="T30" s="117"/>
      <c r="U30" s="131"/>
      <c r="V30" s="117"/>
      <c r="AE30" s="50">
        <v>1.1299999999999999</v>
      </c>
    </row>
    <row r="31" spans="1:36" ht="14">
      <c r="A31" s="41" t="s">
        <v>92</v>
      </c>
      <c r="B31" s="50" t="s">
        <v>1192</v>
      </c>
      <c r="C31" s="50" t="s">
        <v>1193</v>
      </c>
      <c r="D31" s="48" t="s">
        <v>397</v>
      </c>
      <c r="E31" s="50" t="s">
        <v>398</v>
      </c>
      <c r="G31" s="76" t="s">
        <v>1194</v>
      </c>
      <c r="H31" s="50">
        <v>4911</v>
      </c>
      <c r="I31" s="49" t="s">
        <v>2</v>
      </c>
      <c r="J31" s="48" t="s">
        <v>1531</v>
      </c>
      <c r="K31" s="51">
        <v>40883</v>
      </c>
      <c r="L31" s="115">
        <v>40877</v>
      </c>
      <c r="M31" s="50">
        <f t="shared" si="0"/>
        <v>6</v>
      </c>
      <c r="N31" s="50" t="s">
        <v>2</v>
      </c>
      <c r="O31" s="131"/>
      <c r="R31" s="117"/>
      <c r="T31" s="117"/>
      <c r="U31" s="131"/>
      <c r="V31" s="117"/>
      <c r="AE31" s="50">
        <v>0.217</v>
      </c>
    </row>
    <row r="32" spans="1:36" ht="14">
      <c r="A32" s="41" t="s">
        <v>92</v>
      </c>
      <c r="B32" s="50" t="s">
        <v>1192</v>
      </c>
      <c r="C32" s="50" t="s">
        <v>1193</v>
      </c>
      <c r="D32" s="48" t="s">
        <v>397</v>
      </c>
      <c r="E32" s="50" t="s">
        <v>398</v>
      </c>
      <c r="G32" s="76" t="s">
        <v>1194</v>
      </c>
      <c r="H32" s="50">
        <v>4911</v>
      </c>
      <c r="I32" s="49" t="s">
        <v>2</v>
      </c>
      <c r="J32" s="48" t="s">
        <v>1532</v>
      </c>
      <c r="K32" s="51">
        <v>40883</v>
      </c>
      <c r="L32" s="115">
        <v>40877</v>
      </c>
      <c r="M32" s="50">
        <f t="shared" si="0"/>
        <v>6</v>
      </c>
      <c r="N32" s="50" t="s">
        <v>2</v>
      </c>
      <c r="O32" s="131"/>
      <c r="R32" s="117"/>
      <c r="T32" s="117"/>
      <c r="U32" s="131"/>
      <c r="V32" s="117"/>
      <c r="AE32" s="50">
        <v>5.2999999999999999E-2</v>
      </c>
    </row>
    <row r="33" spans="1:45" ht="14">
      <c r="A33" s="41" t="s">
        <v>92</v>
      </c>
      <c r="B33" s="50" t="s">
        <v>1195</v>
      </c>
      <c r="C33" s="50" t="s">
        <v>1196</v>
      </c>
      <c r="D33" s="48" t="s">
        <v>1537</v>
      </c>
      <c r="E33" s="50" t="s">
        <v>1197</v>
      </c>
      <c r="G33" s="76" t="s">
        <v>1198</v>
      </c>
      <c r="H33" s="50">
        <v>4911</v>
      </c>
      <c r="I33" s="49" t="s">
        <v>1</v>
      </c>
      <c r="J33" s="50" t="s">
        <v>172</v>
      </c>
      <c r="K33" s="51">
        <v>40884</v>
      </c>
      <c r="L33" s="115">
        <v>40876</v>
      </c>
      <c r="M33" s="50">
        <f t="shared" si="0"/>
        <v>8</v>
      </c>
      <c r="N33" s="50" t="s">
        <v>2</v>
      </c>
      <c r="O33" s="131">
        <f>2.8/2</f>
        <v>1.4</v>
      </c>
      <c r="P33" s="50">
        <v>6.8</v>
      </c>
      <c r="Q33" s="74">
        <v>6.32</v>
      </c>
      <c r="R33" s="117">
        <v>30</v>
      </c>
      <c r="S33" s="74">
        <f>5/2</f>
        <v>2.5</v>
      </c>
      <c r="T33" s="117">
        <v>0.06</v>
      </c>
      <c r="U33" s="131">
        <v>0.48</v>
      </c>
      <c r="V33" s="117">
        <v>1.1000000000000001</v>
      </c>
      <c r="W33" s="74">
        <v>2E-3</v>
      </c>
      <c r="X33" s="50">
        <v>5.3999999999999999E-2</v>
      </c>
      <c r="Y33" s="50">
        <f>0.002/2</f>
        <v>1E-3</v>
      </c>
      <c r="Z33" s="164">
        <v>1</v>
      </c>
      <c r="AA33" s="165">
        <v>1</v>
      </c>
      <c r="AB33" s="50">
        <v>12</v>
      </c>
      <c r="AC33" s="74">
        <v>19</v>
      </c>
      <c r="AD33" s="165">
        <v>0.8</v>
      </c>
      <c r="AE33" s="50">
        <v>0.14799999999999999</v>
      </c>
      <c r="AH33" s="50" t="s">
        <v>955</v>
      </c>
    </row>
    <row r="34" spans="1:45" ht="14">
      <c r="A34" s="41" t="s">
        <v>92</v>
      </c>
      <c r="B34" s="50" t="s">
        <v>1195</v>
      </c>
      <c r="C34" s="50" t="s">
        <v>1196</v>
      </c>
      <c r="D34" s="48" t="s">
        <v>1537</v>
      </c>
      <c r="E34" s="50" t="s">
        <v>1197</v>
      </c>
      <c r="G34" s="76" t="s">
        <v>1198</v>
      </c>
      <c r="H34" s="50">
        <v>4911</v>
      </c>
      <c r="I34" s="49" t="s">
        <v>1</v>
      </c>
      <c r="J34" s="50" t="s">
        <v>1199</v>
      </c>
      <c r="K34" s="51">
        <v>40884</v>
      </c>
      <c r="L34" s="115">
        <v>40876</v>
      </c>
      <c r="M34" s="50">
        <f t="shared" si="0"/>
        <v>8</v>
      </c>
      <c r="N34" s="50" t="s">
        <v>2</v>
      </c>
      <c r="O34" s="131">
        <f>2.8/2</f>
        <v>1.4</v>
      </c>
      <c r="P34" s="50">
        <v>6.8</v>
      </c>
      <c r="Q34" s="74">
        <v>5.98</v>
      </c>
      <c r="R34" s="117">
        <v>41</v>
      </c>
      <c r="S34" s="74">
        <f>5/2</f>
        <v>2.5</v>
      </c>
      <c r="T34" s="117">
        <v>7.0000000000000007E-2</v>
      </c>
      <c r="U34" s="131">
        <v>0.46</v>
      </c>
      <c r="V34" s="117">
        <v>1.1000000000000001</v>
      </c>
      <c r="W34" s="74">
        <v>2E-3</v>
      </c>
      <c r="X34" s="50">
        <v>5.3999999999999999E-2</v>
      </c>
      <c r="Y34" s="50">
        <f>0.002/2</f>
        <v>1E-3</v>
      </c>
      <c r="Z34" s="164">
        <v>1</v>
      </c>
      <c r="AA34" s="165">
        <v>1</v>
      </c>
      <c r="AB34" s="50">
        <v>12</v>
      </c>
      <c r="AC34" s="74">
        <v>19</v>
      </c>
      <c r="AD34" s="165">
        <v>0.9</v>
      </c>
      <c r="AE34" s="50">
        <v>0.14899999999999999</v>
      </c>
      <c r="AH34" s="50" t="s">
        <v>955</v>
      </c>
    </row>
    <row r="35" spans="1:45" ht="14">
      <c r="A35" s="41" t="s">
        <v>92</v>
      </c>
      <c r="B35" s="50" t="s">
        <v>1195</v>
      </c>
      <c r="C35" s="50" t="s">
        <v>1196</v>
      </c>
      <c r="D35" s="48" t="s">
        <v>1537</v>
      </c>
      <c r="E35" s="50" t="s">
        <v>1197</v>
      </c>
      <c r="G35" s="76" t="s">
        <v>1198</v>
      </c>
      <c r="H35" s="50">
        <v>4911</v>
      </c>
      <c r="I35" s="49" t="s">
        <v>1</v>
      </c>
      <c r="J35" s="50" t="s">
        <v>1200</v>
      </c>
      <c r="K35" s="51">
        <v>40884</v>
      </c>
      <c r="L35" s="115">
        <v>40876</v>
      </c>
      <c r="M35" s="50">
        <f t="shared" si="0"/>
        <v>8</v>
      </c>
      <c r="N35" s="50" t="s">
        <v>2</v>
      </c>
      <c r="O35" s="131">
        <f>2.8/2</f>
        <v>1.4</v>
      </c>
      <c r="P35" s="50">
        <v>6.5</v>
      </c>
      <c r="Q35" s="74">
        <v>7.4</v>
      </c>
      <c r="R35" s="117">
        <v>12</v>
      </c>
      <c r="S35" s="74">
        <f>5/2</f>
        <v>2.5</v>
      </c>
      <c r="T35" s="117">
        <v>0.08</v>
      </c>
      <c r="U35" s="131">
        <v>0.43</v>
      </c>
      <c r="V35" s="117">
        <v>0.19</v>
      </c>
      <c r="W35" s="74">
        <v>3.0000000000000001E-3</v>
      </c>
      <c r="X35" s="50">
        <v>4.0000000000000001E-3</v>
      </c>
      <c r="Y35" s="50">
        <v>4.0000000000000001E-3</v>
      </c>
      <c r="Z35" s="164">
        <v>1</v>
      </c>
      <c r="AA35" s="165">
        <v>1</v>
      </c>
      <c r="AB35" s="50">
        <v>24</v>
      </c>
      <c r="AC35" s="74">
        <v>67</v>
      </c>
      <c r="AD35" s="165">
        <v>1</v>
      </c>
      <c r="AE35" s="50">
        <v>0.36399999999999999</v>
      </c>
      <c r="AH35" s="50" t="s">
        <v>955</v>
      </c>
    </row>
    <row r="36" spans="1:45" s="1" customFormat="1" ht="14">
      <c r="A36" s="75" t="s">
        <v>92</v>
      </c>
      <c r="B36" s="50" t="s">
        <v>1195</v>
      </c>
      <c r="C36" s="50" t="s">
        <v>1196</v>
      </c>
      <c r="D36" s="48" t="s">
        <v>1537</v>
      </c>
      <c r="E36" s="50" t="s">
        <v>1197</v>
      </c>
      <c r="F36" s="50"/>
      <c r="G36" s="76" t="s">
        <v>1198</v>
      </c>
      <c r="H36" s="50">
        <v>4911</v>
      </c>
      <c r="I36" s="49" t="s">
        <v>1</v>
      </c>
      <c r="J36" s="50" t="s">
        <v>1201</v>
      </c>
      <c r="K36" s="51">
        <v>40884</v>
      </c>
      <c r="L36" s="115">
        <v>40876</v>
      </c>
      <c r="M36" s="50">
        <f t="shared" si="0"/>
        <v>8</v>
      </c>
      <c r="N36" s="50" t="s">
        <v>2</v>
      </c>
      <c r="O36" s="152">
        <f>2.8/2</f>
        <v>1.4</v>
      </c>
      <c r="P36" s="50">
        <v>6.7</v>
      </c>
      <c r="Q36" s="49">
        <v>7.7</v>
      </c>
      <c r="R36" s="117">
        <v>14</v>
      </c>
      <c r="S36" s="49">
        <f>5/2</f>
        <v>2.5</v>
      </c>
      <c r="T36" s="117">
        <v>0.08</v>
      </c>
      <c r="U36" s="152">
        <v>0.46</v>
      </c>
      <c r="V36" s="117">
        <v>0.19</v>
      </c>
      <c r="W36" s="49">
        <v>3.0000000000000001E-3</v>
      </c>
      <c r="X36" s="50">
        <v>4.0000000000000001E-3</v>
      </c>
      <c r="Y36" s="50">
        <v>4.0000000000000001E-3</v>
      </c>
      <c r="Z36" s="164">
        <v>1</v>
      </c>
      <c r="AA36" s="269">
        <v>1</v>
      </c>
      <c r="AB36" s="50">
        <v>22</v>
      </c>
      <c r="AC36" s="49">
        <v>63</v>
      </c>
      <c r="AD36" s="269">
        <v>1</v>
      </c>
      <c r="AE36" s="50">
        <v>0.36799999999999999</v>
      </c>
      <c r="AF36" s="50"/>
      <c r="AG36" s="50"/>
      <c r="AH36" s="50" t="s">
        <v>955</v>
      </c>
      <c r="AI36" s="49"/>
      <c r="AJ36" s="50"/>
      <c r="AK36" s="50"/>
      <c r="AL36" s="113"/>
      <c r="AM36" s="402"/>
      <c r="AN36" s="49"/>
      <c r="AO36" s="49"/>
      <c r="AP36" s="49"/>
      <c r="AQ36" s="49"/>
      <c r="AR36" s="49"/>
      <c r="AS36" s="49"/>
    </row>
    <row r="37" spans="1:45" ht="14">
      <c r="A37" s="41" t="s">
        <v>92</v>
      </c>
      <c r="B37" s="50" t="s">
        <v>93</v>
      </c>
      <c r="C37" s="50" t="s">
        <v>873</v>
      </c>
      <c r="D37" s="48" t="s">
        <v>262</v>
      </c>
      <c r="E37" s="50" t="s">
        <v>874</v>
      </c>
      <c r="G37" s="76" t="s">
        <v>875</v>
      </c>
      <c r="H37" s="50">
        <v>4911</v>
      </c>
      <c r="I37" s="49" t="s">
        <v>1</v>
      </c>
      <c r="J37" s="48" t="s">
        <v>876</v>
      </c>
      <c r="K37" s="51">
        <v>41126</v>
      </c>
      <c r="L37" s="115">
        <v>41117</v>
      </c>
      <c r="M37" s="50">
        <v>9</v>
      </c>
      <c r="N37" s="50" t="s">
        <v>2</v>
      </c>
      <c r="O37" s="131"/>
      <c r="R37" s="117"/>
      <c r="T37" s="117"/>
      <c r="U37" s="131"/>
      <c r="V37" s="117"/>
      <c r="AE37" s="50">
        <v>0.28000000000000003</v>
      </c>
      <c r="AH37" s="74"/>
    </row>
    <row r="38" spans="1:45" ht="14">
      <c r="A38" s="41" t="s">
        <v>92</v>
      </c>
      <c r="B38" s="50" t="s">
        <v>93</v>
      </c>
      <c r="C38" s="50" t="s">
        <v>873</v>
      </c>
      <c r="D38" s="48" t="s">
        <v>262</v>
      </c>
      <c r="E38" s="50" t="s">
        <v>874</v>
      </c>
      <c r="G38" s="76" t="s">
        <v>875</v>
      </c>
      <c r="H38" s="50">
        <v>4911</v>
      </c>
      <c r="I38" s="49" t="s">
        <v>1</v>
      </c>
      <c r="J38" s="48" t="s">
        <v>877</v>
      </c>
      <c r="K38" s="51">
        <v>41126</v>
      </c>
      <c r="L38" s="115">
        <v>41117</v>
      </c>
      <c r="M38" s="50">
        <v>9</v>
      </c>
      <c r="N38" s="50" t="s">
        <v>2</v>
      </c>
      <c r="O38" s="131"/>
      <c r="R38" s="117"/>
      <c r="T38" s="117"/>
      <c r="U38" s="131"/>
      <c r="V38" s="117"/>
      <c r="AE38" s="50">
        <v>0.22</v>
      </c>
      <c r="AH38" s="74"/>
    </row>
    <row r="39" spans="1:45" ht="14">
      <c r="A39" s="41" t="s">
        <v>92</v>
      </c>
      <c r="B39" s="50" t="s">
        <v>1192</v>
      </c>
      <c r="C39" s="50" t="s">
        <v>1193</v>
      </c>
      <c r="D39" s="48" t="s">
        <v>397</v>
      </c>
      <c r="E39" s="50" t="s">
        <v>398</v>
      </c>
      <c r="G39" s="76" t="s">
        <v>1194</v>
      </c>
      <c r="H39" s="50">
        <v>4911</v>
      </c>
      <c r="I39" s="49" t="s">
        <v>1</v>
      </c>
      <c r="J39" s="48" t="s">
        <v>1529</v>
      </c>
      <c r="K39" s="51">
        <v>41131</v>
      </c>
      <c r="L39" s="115">
        <v>41127</v>
      </c>
      <c r="M39" s="50">
        <v>4</v>
      </c>
      <c r="N39" s="50" t="s">
        <v>2</v>
      </c>
      <c r="O39" s="131"/>
      <c r="R39" s="117"/>
      <c r="T39" s="117"/>
      <c r="U39" s="131"/>
      <c r="V39" s="117"/>
      <c r="AE39" s="50">
        <v>0.219</v>
      </c>
      <c r="AH39" s="74"/>
    </row>
    <row r="40" spans="1:45" ht="14">
      <c r="A40" s="41" t="s">
        <v>92</v>
      </c>
      <c r="B40" s="50" t="s">
        <v>1192</v>
      </c>
      <c r="C40" s="50" t="s">
        <v>1193</v>
      </c>
      <c r="D40" s="48" t="s">
        <v>397</v>
      </c>
      <c r="E40" s="50" t="s">
        <v>398</v>
      </c>
      <c r="G40" s="76" t="s">
        <v>1194</v>
      </c>
      <c r="H40" s="50">
        <v>4911</v>
      </c>
      <c r="I40" s="49" t="s">
        <v>1</v>
      </c>
      <c r="J40" s="48" t="s">
        <v>1530</v>
      </c>
      <c r="K40" s="51">
        <v>41131</v>
      </c>
      <c r="L40" s="115">
        <v>41127</v>
      </c>
      <c r="M40" s="50">
        <v>4</v>
      </c>
      <c r="N40" s="50" t="s">
        <v>2</v>
      </c>
      <c r="O40" s="131"/>
      <c r="R40" s="117"/>
      <c r="T40" s="117"/>
      <c r="U40" s="131"/>
      <c r="V40" s="117"/>
      <c r="AE40" s="50">
        <v>2.0299999999999998</v>
      </c>
      <c r="AH40" s="74"/>
    </row>
    <row r="41" spans="1:45" ht="14">
      <c r="A41" s="41" t="s">
        <v>92</v>
      </c>
      <c r="B41" s="50" t="s">
        <v>1192</v>
      </c>
      <c r="C41" s="50" t="s">
        <v>1193</v>
      </c>
      <c r="D41" s="48" t="s">
        <v>397</v>
      </c>
      <c r="E41" s="50" t="s">
        <v>398</v>
      </c>
      <c r="G41" s="76" t="s">
        <v>1194</v>
      </c>
      <c r="H41" s="50">
        <v>4911</v>
      </c>
      <c r="I41" s="49" t="s">
        <v>2</v>
      </c>
      <c r="J41" s="48" t="s">
        <v>1531</v>
      </c>
      <c r="K41" s="51">
        <v>41131</v>
      </c>
      <c r="L41" s="115">
        <v>41127</v>
      </c>
      <c r="M41" s="50">
        <v>4</v>
      </c>
      <c r="N41" s="50" t="s">
        <v>2</v>
      </c>
      <c r="O41" s="131"/>
      <c r="R41" s="117"/>
      <c r="T41" s="117"/>
      <c r="U41" s="131"/>
      <c r="V41" s="117"/>
      <c r="AE41" s="50">
        <v>0.30399999999999999</v>
      </c>
      <c r="AH41" s="74"/>
    </row>
    <row r="42" spans="1:45" ht="14">
      <c r="A42" s="41" t="s">
        <v>92</v>
      </c>
      <c r="B42" s="50" t="s">
        <v>1192</v>
      </c>
      <c r="C42" s="50" t="s">
        <v>1193</v>
      </c>
      <c r="D42" s="48" t="s">
        <v>397</v>
      </c>
      <c r="E42" s="50" t="s">
        <v>398</v>
      </c>
      <c r="G42" s="76" t="s">
        <v>1194</v>
      </c>
      <c r="H42" s="50">
        <v>4911</v>
      </c>
      <c r="I42" s="49" t="s">
        <v>1</v>
      </c>
      <c r="J42" s="48" t="s">
        <v>1532</v>
      </c>
      <c r="K42" s="51">
        <v>41131</v>
      </c>
      <c r="L42" s="115">
        <v>41127</v>
      </c>
      <c r="M42" s="50">
        <v>4</v>
      </c>
      <c r="N42" s="50" t="s">
        <v>2</v>
      </c>
      <c r="O42" s="131"/>
      <c r="R42" s="117"/>
      <c r="T42" s="117"/>
      <c r="U42" s="131"/>
      <c r="V42" s="117"/>
      <c r="AE42" s="50">
        <v>0.33500000000000002</v>
      </c>
      <c r="AH42" s="74"/>
    </row>
    <row r="43" spans="1:45" ht="14">
      <c r="A43" s="41" t="s">
        <v>92</v>
      </c>
      <c r="B43" s="50" t="s">
        <v>302</v>
      </c>
      <c r="C43" s="50" t="s">
        <v>302</v>
      </c>
      <c r="D43" s="48" t="s">
        <v>303</v>
      </c>
      <c r="E43" s="50" t="s">
        <v>304</v>
      </c>
      <c r="G43" s="76" t="s">
        <v>305</v>
      </c>
      <c r="H43" s="50">
        <v>4911</v>
      </c>
      <c r="I43" s="49" t="s">
        <v>2</v>
      </c>
      <c r="J43" s="48" t="s">
        <v>1533</v>
      </c>
      <c r="K43" s="51">
        <v>41171</v>
      </c>
      <c r="L43" s="115">
        <v>41167</v>
      </c>
      <c r="M43" s="50">
        <v>4</v>
      </c>
      <c r="N43" s="50" t="s">
        <v>2</v>
      </c>
      <c r="O43" s="131"/>
      <c r="P43" s="50">
        <v>6.85</v>
      </c>
      <c r="R43" s="117"/>
      <c r="T43" s="117"/>
      <c r="U43" s="131"/>
      <c r="V43" s="117"/>
      <c r="AE43" s="50">
        <v>0.11899999999999999</v>
      </c>
      <c r="AH43" s="74"/>
    </row>
    <row r="44" spans="1:45" ht="14">
      <c r="A44" s="41" t="s">
        <v>92</v>
      </c>
      <c r="B44" s="50" t="s">
        <v>163</v>
      </c>
      <c r="C44" s="50" t="s">
        <v>164</v>
      </c>
      <c r="D44" s="48" t="s">
        <v>165</v>
      </c>
      <c r="E44" s="50" t="s">
        <v>1534</v>
      </c>
      <c r="G44" s="76" t="s">
        <v>168</v>
      </c>
      <c r="H44" s="50">
        <v>4911</v>
      </c>
      <c r="I44" s="49" t="s">
        <v>1</v>
      </c>
      <c r="J44" s="48" t="s">
        <v>169</v>
      </c>
      <c r="K44" s="51">
        <v>41109</v>
      </c>
      <c r="L44" s="115">
        <v>41105</v>
      </c>
      <c r="M44" s="50">
        <v>4</v>
      </c>
      <c r="N44" s="50" t="s">
        <v>2</v>
      </c>
      <c r="O44" s="131"/>
      <c r="P44" s="50">
        <v>4.3</v>
      </c>
      <c r="Q44" s="74">
        <v>7.6</v>
      </c>
      <c r="R44" s="117"/>
      <c r="T44" s="117"/>
      <c r="U44" s="131"/>
      <c r="V44" s="117"/>
      <c r="AE44" s="50">
        <v>0.25</v>
      </c>
      <c r="AH44" s="74"/>
      <c r="AI44" s="84" t="s">
        <v>1535</v>
      </c>
    </row>
    <row r="45" spans="1:45" ht="14">
      <c r="A45" s="41" t="s">
        <v>92</v>
      </c>
      <c r="B45" s="50" t="s">
        <v>163</v>
      </c>
      <c r="C45" s="50" t="s">
        <v>164</v>
      </c>
      <c r="D45" s="48" t="s">
        <v>165</v>
      </c>
      <c r="E45" s="50" t="s">
        <v>1534</v>
      </c>
      <c r="G45" s="76" t="s">
        <v>168</v>
      </c>
      <c r="H45" s="50">
        <v>4911</v>
      </c>
      <c r="I45" s="49" t="s">
        <v>1</v>
      </c>
      <c r="J45" s="48" t="s">
        <v>170</v>
      </c>
      <c r="K45" s="51">
        <v>41109</v>
      </c>
      <c r="L45" s="115">
        <v>41105</v>
      </c>
      <c r="M45" s="50">
        <v>4</v>
      </c>
      <c r="N45" s="50" t="s">
        <v>2</v>
      </c>
      <c r="O45" s="131"/>
      <c r="P45" s="50">
        <v>4.3</v>
      </c>
      <c r="Q45" s="74">
        <v>6.3</v>
      </c>
      <c r="R45" s="117"/>
      <c r="T45" s="117"/>
      <c r="U45" s="131"/>
      <c r="V45" s="117"/>
      <c r="AE45" s="50">
        <v>1.67</v>
      </c>
      <c r="AH45" s="74"/>
      <c r="AI45" s="74" t="s">
        <v>1535</v>
      </c>
    </row>
    <row r="46" spans="1:45" ht="14">
      <c r="A46" s="41" t="s">
        <v>92</v>
      </c>
      <c r="B46" s="50" t="s">
        <v>163</v>
      </c>
      <c r="C46" s="50" t="s">
        <v>164</v>
      </c>
      <c r="D46" s="48" t="s">
        <v>165</v>
      </c>
      <c r="E46" s="50" t="s">
        <v>1534</v>
      </c>
      <c r="G46" s="76" t="s">
        <v>168</v>
      </c>
      <c r="H46" s="50">
        <v>4911</v>
      </c>
      <c r="I46" s="49" t="s">
        <v>1</v>
      </c>
      <c r="J46" s="48" t="s">
        <v>171</v>
      </c>
      <c r="K46" s="51">
        <v>41109</v>
      </c>
      <c r="L46" s="115">
        <v>41105</v>
      </c>
      <c r="M46" s="50">
        <v>4</v>
      </c>
      <c r="N46" s="50" t="s">
        <v>2</v>
      </c>
      <c r="O46" s="131"/>
      <c r="P46" s="50">
        <v>4.3</v>
      </c>
      <c r="Q46" s="74">
        <v>7.5</v>
      </c>
      <c r="R46" s="117"/>
      <c r="T46" s="117"/>
      <c r="U46" s="131"/>
      <c r="V46" s="117"/>
      <c r="AE46" s="50">
        <v>2.09</v>
      </c>
      <c r="AH46" s="74"/>
      <c r="AI46" s="74" t="s">
        <v>1535</v>
      </c>
    </row>
    <row r="47" spans="1:45" ht="14">
      <c r="A47" s="41" t="s">
        <v>92</v>
      </c>
      <c r="B47" s="50" t="s">
        <v>163</v>
      </c>
      <c r="C47" s="50" t="s">
        <v>164</v>
      </c>
      <c r="D47" s="48" t="s">
        <v>165</v>
      </c>
      <c r="E47" s="50" t="s">
        <v>1534</v>
      </c>
      <c r="G47" s="76" t="s">
        <v>168</v>
      </c>
      <c r="H47" s="50">
        <v>4911</v>
      </c>
      <c r="I47" s="49" t="s">
        <v>1</v>
      </c>
      <c r="J47" s="48" t="s">
        <v>172</v>
      </c>
      <c r="K47" s="51">
        <v>41109</v>
      </c>
      <c r="L47" s="115">
        <v>41105</v>
      </c>
      <c r="M47" s="50">
        <v>4</v>
      </c>
      <c r="N47" s="50" t="s">
        <v>2</v>
      </c>
      <c r="O47" s="131"/>
      <c r="P47" s="50">
        <v>4.3</v>
      </c>
      <c r="Q47" s="74">
        <v>8.1</v>
      </c>
      <c r="R47" s="117"/>
      <c r="T47" s="117"/>
      <c r="U47" s="131"/>
      <c r="V47" s="117"/>
      <c r="AE47" s="50">
        <v>0.25</v>
      </c>
      <c r="AH47" s="74"/>
      <c r="AI47" s="74">
        <v>2100</v>
      </c>
    </row>
    <row r="48" spans="1:45" ht="14">
      <c r="A48" s="41" t="s">
        <v>92</v>
      </c>
      <c r="B48" s="50" t="s">
        <v>163</v>
      </c>
      <c r="C48" s="50" t="s">
        <v>164</v>
      </c>
      <c r="D48" s="48" t="s">
        <v>165</v>
      </c>
      <c r="E48" s="50" t="s">
        <v>1534</v>
      </c>
      <c r="G48" s="76" t="s">
        <v>168</v>
      </c>
      <c r="H48" s="50">
        <v>4911</v>
      </c>
      <c r="I48" s="49" t="s">
        <v>1</v>
      </c>
      <c r="J48" s="48" t="s">
        <v>173</v>
      </c>
      <c r="K48" s="51">
        <v>41109</v>
      </c>
      <c r="L48" s="115">
        <v>41105</v>
      </c>
      <c r="M48" s="50">
        <v>4</v>
      </c>
      <c r="N48" s="50" t="s">
        <v>2</v>
      </c>
      <c r="O48" s="131"/>
      <c r="P48" s="50">
        <v>4.3</v>
      </c>
      <c r="Q48" s="74">
        <v>6.3</v>
      </c>
      <c r="R48" s="117"/>
      <c r="T48" s="117"/>
      <c r="U48" s="131"/>
      <c r="V48" s="117"/>
      <c r="AE48" s="50">
        <v>1.1000000000000001</v>
      </c>
      <c r="AH48" s="74"/>
      <c r="AI48" s="84" t="s">
        <v>1535</v>
      </c>
    </row>
    <row r="49" spans="1:35" ht="14">
      <c r="A49" s="41" t="s">
        <v>92</v>
      </c>
      <c r="B49" s="50" t="s">
        <v>163</v>
      </c>
      <c r="C49" s="50" t="s">
        <v>164</v>
      </c>
      <c r="D49" s="48" t="s">
        <v>165</v>
      </c>
      <c r="E49" s="50" t="s">
        <v>1534</v>
      </c>
      <c r="G49" s="76" t="s">
        <v>168</v>
      </c>
      <c r="H49" s="50">
        <v>4911</v>
      </c>
      <c r="I49" s="49" t="s">
        <v>1</v>
      </c>
      <c r="J49" s="48" t="s">
        <v>174</v>
      </c>
      <c r="K49" s="51">
        <v>41109</v>
      </c>
      <c r="L49" s="115">
        <v>41105</v>
      </c>
      <c r="M49" s="50">
        <v>4</v>
      </c>
      <c r="N49" s="50" t="s">
        <v>2</v>
      </c>
      <c r="O49" s="131"/>
      <c r="P49" s="50">
        <v>4.3</v>
      </c>
      <c r="Q49" s="74">
        <v>6.8</v>
      </c>
      <c r="R49" s="117"/>
      <c r="T49" s="117"/>
      <c r="U49" s="131"/>
      <c r="V49" s="117"/>
      <c r="AE49" s="50">
        <v>0.52</v>
      </c>
      <c r="AH49" s="74"/>
      <c r="AI49" s="74" t="s">
        <v>1535</v>
      </c>
    </row>
    <row r="50" spans="1:35" ht="14">
      <c r="A50" s="41" t="s">
        <v>92</v>
      </c>
      <c r="B50" s="50" t="s">
        <v>163</v>
      </c>
      <c r="C50" s="50" t="s">
        <v>164</v>
      </c>
      <c r="D50" s="48" t="s">
        <v>165</v>
      </c>
      <c r="E50" s="50" t="s">
        <v>1534</v>
      </c>
      <c r="G50" s="76" t="s">
        <v>168</v>
      </c>
      <c r="H50" s="50">
        <v>4911</v>
      </c>
      <c r="I50" s="49" t="s">
        <v>1</v>
      </c>
      <c r="J50" s="48" t="s">
        <v>175</v>
      </c>
      <c r="K50" s="51">
        <v>41109</v>
      </c>
      <c r="L50" s="115">
        <v>41105</v>
      </c>
      <c r="M50" s="50">
        <v>4</v>
      </c>
      <c r="N50" s="50" t="s">
        <v>2</v>
      </c>
      <c r="O50" s="131"/>
      <c r="P50" s="50">
        <v>4.7</v>
      </c>
      <c r="Q50" s="74">
        <v>7.1</v>
      </c>
      <c r="R50" s="117"/>
      <c r="T50" s="117"/>
      <c r="U50" s="131"/>
      <c r="V50" s="117"/>
      <c r="AE50" s="50">
        <v>1.1739999999999999</v>
      </c>
      <c r="AH50" s="74"/>
      <c r="AI50" s="74" t="s">
        <v>1535</v>
      </c>
    </row>
    <row r="51" spans="1:35" ht="14">
      <c r="A51" s="41" t="s">
        <v>92</v>
      </c>
      <c r="B51" s="50" t="s">
        <v>163</v>
      </c>
      <c r="C51" s="50" t="s">
        <v>164</v>
      </c>
      <c r="D51" s="48" t="s">
        <v>165</v>
      </c>
      <c r="E51" s="50" t="s">
        <v>1534</v>
      </c>
      <c r="G51" s="76" t="s">
        <v>168</v>
      </c>
      <c r="H51" s="50">
        <v>4911</v>
      </c>
      <c r="I51" s="49" t="s">
        <v>1</v>
      </c>
      <c r="J51" s="48" t="s">
        <v>176</v>
      </c>
      <c r="K51" s="51">
        <v>41131</v>
      </c>
      <c r="L51" s="115">
        <v>41127</v>
      </c>
      <c r="M51" s="50">
        <v>4</v>
      </c>
      <c r="N51" s="50" t="s">
        <v>2</v>
      </c>
      <c r="O51" s="131"/>
      <c r="P51" s="50">
        <v>4.7</v>
      </c>
      <c r="Q51" s="74">
        <v>7.2</v>
      </c>
      <c r="R51" s="117"/>
      <c r="T51" s="117"/>
      <c r="U51" s="131"/>
      <c r="V51" s="117"/>
      <c r="AE51" s="50">
        <v>0.35799999999999998</v>
      </c>
      <c r="AH51" s="74"/>
      <c r="AI51" s="74" t="s">
        <v>1535</v>
      </c>
    </row>
    <row r="52" spans="1:35" ht="14">
      <c r="A52" s="41" t="s">
        <v>92</v>
      </c>
      <c r="B52" s="50" t="s">
        <v>163</v>
      </c>
      <c r="C52" s="50" t="s">
        <v>164</v>
      </c>
      <c r="D52" s="48" t="s">
        <v>165</v>
      </c>
      <c r="E52" s="50" t="s">
        <v>1534</v>
      </c>
      <c r="G52" s="76" t="s">
        <v>168</v>
      </c>
      <c r="H52" s="50">
        <v>4911</v>
      </c>
      <c r="I52" s="49" t="s">
        <v>1</v>
      </c>
      <c r="J52" s="48" t="s">
        <v>177</v>
      </c>
      <c r="K52" s="51">
        <v>41131</v>
      </c>
      <c r="L52" s="115">
        <v>41127</v>
      </c>
      <c r="M52" s="50">
        <v>4</v>
      </c>
      <c r="N52" s="50" t="s">
        <v>2</v>
      </c>
      <c r="O52" s="131"/>
      <c r="P52" s="50">
        <v>4.7</v>
      </c>
      <c r="Q52" s="74">
        <v>8.1999999999999993</v>
      </c>
      <c r="R52" s="117"/>
      <c r="T52" s="117"/>
      <c r="U52" s="131"/>
      <c r="V52" s="117"/>
      <c r="AE52" s="50">
        <v>0.63700000000000001</v>
      </c>
      <c r="AH52" s="74"/>
      <c r="AI52" s="74">
        <v>480</v>
      </c>
    </row>
    <row r="53" spans="1:35" ht="14">
      <c r="A53" s="41" t="s">
        <v>92</v>
      </c>
      <c r="B53" s="50" t="s">
        <v>163</v>
      </c>
      <c r="C53" s="50" t="s">
        <v>164</v>
      </c>
      <c r="D53" s="48" t="s">
        <v>165</v>
      </c>
      <c r="E53" s="50" t="s">
        <v>1534</v>
      </c>
      <c r="G53" s="76" t="s">
        <v>168</v>
      </c>
      <c r="H53" s="50">
        <v>4911</v>
      </c>
      <c r="I53" s="49" t="s">
        <v>1</v>
      </c>
      <c r="J53" s="48" t="s">
        <v>178</v>
      </c>
      <c r="K53" s="51">
        <v>41109</v>
      </c>
      <c r="L53" s="115">
        <v>41105</v>
      </c>
      <c r="M53" s="50">
        <v>4</v>
      </c>
      <c r="N53" s="50" t="s">
        <v>2</v>
      </c>
      <c r="O53" s="131"/>
      <c r="P53" s="50">
        <v>4.3</v>
      </c>
      <c r="Q53" s="74">
        <v>6.3</v>
      </c>
      <c r="R53" s="117"/>
      <c r="T53" s="117"/>
      <c r="U53" s="131"/>
      <c r="V53" s="117"/>
      <c r="AE53" s="50">
        <v>0.44</v>
      </c>
      <c r="AH53" s="74"/>
      <c r="AI53" s="84" t="s">
        <v>1535</v>
      </c>
    </row>
    <row r="54" spans="1:35" ht="14">
      <c r="A54" s="41" t="s">
        <v>92</v>
      </c>
      <c r="B54" s="50" t="s">
        <v>163</v>
      </c>
      <c r="C54" s="50" t="s">
        <v>164</v>
      </c>
      <c r="D54" s="48" t="s">
        <v>165</v>
      </c>
      <c r="E54" s="50" t="s">
        <v>1534</v>
      </c>
      <c r="G54" s="76" t="s">
        <v>168</v>
      </c>
      <c r="H54" s="50">
        <v>4911</v>
      </c>
      <c r="I54" s="49" t="s">
        <v>1</v>
      </c>
      <c r="J54" s="48" t="s">
        <v>179</v>
      </c>
      <c r="K54" s="51">
        <v>41109</v>
      </c>
      <c r="L54" s="115">
        <v>41105</v>
      </c>
      <c r="M54" s="50">
        <v>4</v>
      </c>
      <c r="N54" s="50" t="s">
        <v>2</v>
      </c>
      <c r="O54" s="131"/>
      <c r="P54" s="50">
        <v>4.7</v>
      </c>
      <c r="Q54" s="74">
        <v>7.3</v>
      </c>
      <c r="R54" s="117"/>
      <c r="T54" s="117"/>
      <c r="U54" s="131"/>
      <c r="V54" s="117"/>
      <c r="AE54" s="50">
        <v>0.59</v>
      </c>
      <c r="AH54" s="74"/>
      <c r="AI54" s="74" t="s">
        <v>1535</v>
      </c>
    </row>
    <row r="55" spans="1:35" ht="14">
      <c r="A55" s="41" t="s">
        <v>92</v>
      </c>
      <c r="B55" s="50" t="s">
        <v>163</v>
      </c>
      <c r="C55" s="50" t="s">
        <v>164</v>
      </c>
      <c r="D55" s="48" t="s">
        <v>165</v>
      </c>
      <c r="E55" s="50" t="s">
        <v>1534</v>
      </c>
      <c r="G55" s="76" t="s">
        <v>168</v>
      </c>
      <c r="H55" s="50">
        <v>4911</v>
      </c>
      <c r="I55" s="49" t="s">
        <v>1</v>
      </c>
      <c r="J55" s="48" t="s">
        <v>180</v>
      </c>
      <c r="K55" s="51">
        <v>41131</v>
      </c>
      <c r="L55" s="115">
        <v>41127</v>
      </c>
      <c r="M55" s="50">
        <v>4</v>
      </c>
      <c r="N55" s="50" t="s">
        <v>2</v>
      </c>
      <c r="O55" s="131"/>
      <c r="P55" s="50">
        <v>4.7</v>
      </c>
      <c r="Q55" s="74">
        <v>7.3</v>
      </c>
      <c r="R55" s="117"/>
      <c r="T55" s="117"/>
      <c r="U55" s="131"/>
      <c r="V55" s="117"/>
      <c r="AE55" s="50">
        <v>0.45300000000000001</v>
      </c>
      <c r="AH55" s="74"/>
      <c r="AI55" s="74" t="s">
        <v>1535</v>
      </c>
    </row>
    <row r="56" spans="1:35" ht="14">
      <c r="A56" s="41" t="s">
        <v>92</v>
      </c>
      <c r="B56" s="50" t="s">
        <v>163</v>
      </c>
      <c r="C56" s="50" t="s">
        <v>164</v>
      </c>
      <c r="D56" s="48" t="s">
        <v>165</v>
      </c>
      <c r="E56" s="50" t="s">
        <v>1534</v>
      </c>
      <c r="G56" s="76" t="s">
        <v>168</v>
      </c>
      <c r="H56" s="50">
        <v>4911</v>
      </c>
      <c r="I56" s="49" t="s">
        <v>1</v>
      </c>
      <c r="J56" s="48" t="s">
        <v>181</v>
      </c>
      <c r="K56" s="51">
        <v>41109</v>
      </c>
      <c r="L56" s="115">
        <v>41105</v>
      </c>
      <c r="M56" s="50">
        <v>4</v>
      </c>
      <c r="N56" s="50" t="s">
        <v>2</v>
      </c>
      <c r="O56" s="131"/>
      <c r="P56" s="50">
        <v>4.3</v>
      </c>
      <c r="Q56" s="74">
        <v>6.8</v>
      </c>
      <c r="R56" s="117"/>
      <c r="T56" s="117"/>
      <c r="U56" s="131"/>
      <c r="V56" s="117"/>
      <c r="AE56" s="50">
        <v>1.1200000000000001</v>
      </c>
      <c r="AH56" s="74"/>
      <c r="AI56" s="74" t="s">
        <v>1535</v>
      </c>
    </row>
    <row r="57" spans="1:35" ht="14">
      <c r="A57" s="41" t="s">
        <v>92</v>
      </c>
      <c r="B57" s="50" t="s">
        <v>163</v>
      </c>
      <c r="C57" s="50" t="s">
        <v>164</v>
      </c>
      <c r="D57" s="48" t="s">
        <v>165</v>
      </c>
      <c r="E57" s="50" t="s">
        <v>1534</v>
      </c>
      <c r="G57" s="76" t="s">
        <v>168</v>
      </c>
      <c r="H57" s="50">
        <v>4911</v>
      </c>
      <c r="I57" s="49" t="s">
        <v>1</v>
      </c>
      <c r="J57" s="48" t="s">
        <v>182</v>
      </c>
      <c r="K57" s="51">
        <v>41131</v>
      </c>
      <c r="L57" s="115">
        <v>41127</v>
      </c>
      <c r="M57" s="50">
        <v>4</v>
      </c>
      <c r="N57" s="50" t="s">
        <v>2</v>
      </c>
      <c r="O57" s="131"/>
      <c r="P57" s="50">
        <v>4.7</v>
      </c>
      <c r="Q57" s="74">
        <v>7.3</v>
      </c>
      <c r="R57" s="117"/>
      <c r="T57" s="117"/>
      <c r="U57" s="131"/>
      <c r="V57" s="117"/>
      <c r="AE57" s="50">
        <v>0.32700000000000001</v>
      </c>
      <c r="AH57" s="74"/>
      <c r="AI57" s="74" t="s">
        <v>1535</v>
      </c>
    </row>
    <row r="58" spans="1:35" ht="14">
      <c r="A58" s="41" t="s">
        <v>92</v>
      </c>
      <c r="B58" s="50" t="s">
        <v>1536</v>
      </c>
      <c r="C58" s="50" t="s">
        <v>1196</v>
      </c>
      <c r="D58" s="48" t="s">
        <v>1537</v>
      </c>
      <c r="E58" s="50" t="s">
        <v>1538</v>
      </c>
      <c r="G58" s="76" t="s">
        <v>1198</v>
      </c>
      <c r="H58" s="50">
        <v>4911</v>
      </c>
      <c r="I58" s="49" t="s">
        <v>1</v>
      </c>
      <c r="J58" s="48" t="s">
        <v>41</v>
      </c>
      <c r="K58" s="51">
        <v>41116</v>
      </c>
      <c r="L58" s="115">
        <v>41110</v>
      </c>
      <c r="M58" s="50">
        <v>6</v>
      </c>
      <c r="N58" s="50" t="s">
        <v>2</v>
      </c>
      <c r="O58" s="131">
        <f>1.4/2</f>
        <v>0.7</v>
      </c>
      <c r="Q58" s="74">
        <v>7.52</v>
      </c>
      <c r="R58" s="117">
        <v>43</v>
      </c>
      <c r="S58" s="74">
        <f>5/2</f>
        <v>2.5</v>
      </c>
      <c r="T58" s="117">
        <v>0.32</v>
      </c>
      <c r="U58" s="131">
        <v>1.54</v>
      </c>
      <c r="V58" s="117">
        <v>2.48</v>
      </c>
      <c r="W58" s="74">
        <v>1.7999999999999999E-2</v>
      </c>
      <c r="X58" s="50">
        <v>8.8999999999999996E-2</v>
      </c>
      <c r="Y58" s="50">
        <v>8.9999999999999993E-3</v>
      </c>
      <c r="Z58" s="125">
        <v>1</v>
      </c>
      <c r="AA58" s="128">
        <v>1</v>
      </c>
      <c r="AB58" s="85">
        <v>28</v>
      </c>
      <c r="AC58" s="130">
        <v>97</v>
      </c>
      <c r="AD58" s="313">
        <v>1</v>
      </c>
      <c r="AE58" s="50">
        <v>2.0499999999999998</v>
      </c>
    </row>
    <row r="59" spans="1:35" ht="14">
      <c r="A59" s="41" t="s">
        <v>92</v>
      </c>
      <c r="B59" s="50" t="s">
        <v>1536</v>
      </c>
      <c r="C59" s="50" t="s">
        <v>1196</v>
      </c>
      <c r="D59" s="48" t="s">
        <v>1537</v>
      </c>
      <c r="E59" s="50" t="s">
        <v>1538</v>
      </c>
      <c r="G59" s="76" t="s">
        <v>1198</v>
      </c>
      <c r="H59" s="50">
        <v>4911</v>
      </c>
      <c r="I59" s="49" t="s">
        <v>1</v>
      </c>
      <c r="J59" s="48" t="s">
        <v>1539</v>
      </c>
      <c r="K59" s="51">
        <v>41116</v>
      </c>
      <c r="L59" s="115">
        <v>41110</v>
      </c>
      <c r="M59" s="50">
        <v>6</v>
      </c>
      <c r="N59" s="50" t="s">
        <v>2</v>
      </c>
      <c r="O59" s="131">
        <f>1.4/2</f>
        <v>0.7</v>
      </c>
      <c r="Q59" s="74">
        <v>7.65</v>
      </c>
      <c r="R59" s="117">
        <f>10/2</f>
        <v>5</v>
      </c>
      <c r="S59" s="74">
        <f>5/2</f>
        <v>2.5</v>
      </c>
      <c r="T59" s="117">
        <v>7.0000000000000007E-2</v>
      </c>
      <c r="U59" s="131">
        <v>0.36</v>
      </c>
      <c r="V59" s="117">
        <v>2.5</v>
      </c>
      <c r="W59" s="74">
        <f>0.005/2</f>
        <v>2.5000000000000001E-3</v>
      </c>
      <c r="X59" s="50">
        <v>2.3E-2</v>
      </c>
      <c r="Y59" s="50">
        <f>0.002/2</f>
        <v>1E-3</v>
      </c>
      <c r="Z59" s="125">
        <v>1</v>
      </c>
      <c r="AA59" s="128">
        <v>1</v>
      </c>
      <c r="AB59" s="85">
        <v>20</v>
      </c>
      <c r="AC59" s="130">
        <v>97</v>
      </c>
      <c r="AD59" s="313">
        <v>1</v>
      </c>
      <c r="AE59" s="50">
        <v>0.23100000000000001</v>
      </c>
    </row>
    <row r="60" spans="1:35" ht="14">
      <c r="A60" s="41" t="s">
        <v>92</v>
      </c>
      <c r="B60" s="50" t="s">
        <v>1536</v>
      </c>
      <c r="C60" s="50" t="s">
        <v>1196</v>
      </c>
      <c r="D60" s="48" t="s">
        <v>1537</v>
      </c>
      <c r="E60" s="50" t="s">
        <v>1538</v>
      </c>
      <c r="G60" s="76" t="s">
        <v>1198</v>
      </c>
      <c r="H60" s="50">
        <v>4911</v>
      </c>
      <c r="I60" s="49" t="s">
        <v>1</v>
      </c>
      <c r="J60" s="48" t="s">
        <v>1540</v>
      </c>
      <c r="K60" s="51">
        <v>41116</v>
      </c>
      <c r="L60" s="115">
        <v>41110</v>
      </c>
      <c r="M60" s="50">
        <v>6</v>
      </c>
      <c r="N60" s="50" t="s">
        <v>2</v>
      </c>
      <c r="O60" s="131">
        <f>1.4/2</f>
        <v>0.7</v>
      </c>
      <c r="Q60" s="74">
        <v>7.72</v>
      </c>
      <c r="R60" s="117">
        <f>10/2</f>
        <v>5</v>
      </c>
      <c r="S60" s="74">
        <f>5/2</f>
        <v>2.5</v>
      </c>
      <c r="T60" s="117">
        <v>0.11</v>
      </c>
      <c r="U60" s="131">
        <v>0.35</v>
      </c>
      <c r="V60" s="117">
        <v>2.48</v>
      </c>
      <c r="W60" s="74">
        <f>0.005/2</f>
        <v>2.5000000000000001E-3</v>
      </c>
      <c r="X60" s="50">
        <v>5.0000000000000001E-3</v>
      </c>
      <c r="Y60" s="50">
        <f>0.002/2</f>
        <v>1E-3</v>
      </c>
      <c r="Z60" s="164">
        <v>1</v>
      </c>
      <c r="AA60" s="270" t="s">
        <v>1695</v>
      </c>
      <c r="AB60" s="50">
        <v>20</v>
      </c>
      <c r="AC60" s="74">
        <v>99</v>
      </c>
      <c r="AD60" s="271">
        <v>1</v>
      </c>
      <c r="AE60" s="50">
        <v>0.16900000000000001</v>
      </c>
    </row>
    <row r="61" spans="1:35" ht="14">
      <c r="A61" s="41" t="s">
        <v>92</v>
      </c>
      <c r="B61" s="50" t="s">
        <v>1536</v>
      </c>
      <c r="C61" s="50" t="s">
        <v>1196</v>
      </c>
      <c r="D61" s="48" t="s">
        <v>1537</v>
      </c>
      <c r="E61" s="50" t="s">
        <v>1538</v>
      </c>
      <c r="G61" s="76" t="s">
        <v>1198</v>
      </c>
      <c r="H61" s="50">
        <v>4911</v>
      </c>
      <c r="I61" s="49" t="s">
        <v>1</v>
      </c>
      <c r="J61" s="48" t="s">
        <v>1541</v>
      </c>
      <c r="K61" s="51">
        <v>41116</v>
      </c>
      <c r="L61" s="115">
        <v>41110</v>
      </c>
      <c r="M61" s="50">
        <v>6</v>
      </c>
      <c r="N61" s="50" t="s">
        <v>2</v>
      </c>
      <c r="O61" s="131">
        <f>1.4/2</f>
        <v>0.7</v>
      </c>
      <c r="Q61" s="74">
        <v>7.05</v>
      </c>
      <c r="R61" s="117">
        <v>28</v>
      </c>
      <c r="S61" s="74">
        <v>42</v>
      </c>
      <c r="T61" s="117">
        <v>0.21</v>
      </c>
      <c r="U61" s="131">
        <v>1.27</v>
      </c>
      <c r="V61" s="117">
        <v>0.42</v>
      </c>
      <c r="W61" s="74">
        <v>1.4999999999999999E-2</v>
      </c>
      <c r="X61" s="50">
        <v>2.3E-2</v>
      </c>
      <c r="Y61" s="50">
        <v>1.4E-2</v>
      </c>
      <c r="Z61" s="164">
        <v>1</v>
      </c>
      <c r="AA61" s="165"/>
      <c r="AB61" s="50">
        <v>24</v>
      </c>
      <c r="AC61" s="74">
        <v>89</v>
      </c>
      <c r="AD61" s="271">
        <v>1</v>
      </c>
      <c r="AE61" s="50">
        <v>2.04</v>
      </c>
    </row>
    <row r="62" spans="1:35" ht="14">
      <c r="A62" s="41" t="s">
        <v>92</v>
      </c>
      <c r="B62" s="50" t="s">
        <v>93</v>
      </c>
      <c r="C62" s="50" t="s">
        <v>873</v>
      </c>
      <c r="D62" s="48" t="s">
        <v>262</v>
      </c>
      <c r="E62" s="50" t="s">
        <v>874</v>
      </c>
      <c r="G62" s="76" t="s">
        <v>875</v>
      </c>
      <c r="H62" s="50">
        <v>4911</v>
      </c>
      <c r="I62" s="49" t="s">
        <v>1</v>
      </c>
      <c r="J62" s="48" t="s">
        <v>1542</v>
      </c>
      <c r="K62" s="51">
        <v>41126</v>
      </c>
      <c r="L62" s="115">
        <v>41117</v>
      </c>
      <c r="M62" s="50">
        <v>9</v>
      </c>
      <c r="N62" s="50" t="s">
        <v>2</v>
      </c>
      <c r="O62" s="131"/>
      <c r="R62" s="117"/>
      <c r="T62" s="117"/>
      <c r="U62" s="131"/>
      <c r="V62" s="117"/>
      <c r="AE62" s="50">
        <v>2.2000000000000002</v>
      </c>
    </row>
    <row r="63" spans="1:35" ht="14">
      <c r="A63" s="41" t="s">
        <v>92</v>
      </c>
      <c r="B63" s="50" t="s">
        <v>93</v>
      </c>
      <c r="C63" s="50" t="s">
        <v>873</v>
      </c>
      <c r="D63" s="48" t="s">
        <v>56</v>
      </c>
      <c r="E63" s="50" t="s">
        <v>95</v>
      </c>
      <c r="G63" s="76" t="s">
        <v>167</v>
      </c>
      <c r="H63" s="50">
        <v>4911</v>
      </c>
      <c r="I63" s="49" t="s">
        <v>1</v>
      </c>
      <c r="J63" s="48" t="s">
        <v>96</v>
      </c>
      <c r="K63" s="51">
        <v>41131</v>
      </c>
      <c r="L63" s="115">
        <v>41127</v>
      </c>
      <c r="M63" s="50">
        <v>4</v>
      </c>
      <c r="N63" s="50" t="s">
        <v>2</v>
      </c>
      <c r="O63" s="131"/>
      <c r="R63" s="117"/>
      <c r="T63" s="117"/>
      <c r="U63" s="131"/>
      <c r="V63" s="117"/>
      <c r="AE63" s="50">
        <v>0.15</v>
      </c>
    </row>
    <row r="64" spans="1:35" ht="14">
      <c r="A64" s="41" t="s">
        <v>92</v>
      </c>
      <c r="B64" s="50" t="s">
        <v>93</v>
      </c>
      <c r="C64" s="50" t="s">
        <v>873</v>
      </c>
      <c r="D64" s="48" t="s">
        <v>56</v>
      </c>
      <c r="E64" s="50" t="s">
        <v>95</v>
      </c>
      <c r="G64" s="76" t="s">
        <v>167</v>
      </c>
      <c r="H64" s="50">
        <v>4911</v>
      </c>
      <c r="I64" s="49" t="s">
        <v>1</v>
      </c>
      <c r="J64" s="48" t="s">
        <v>169</v>
      </c>
      <c r="K64" s="51">
        <v>41131</v>
      </c>
      <c r="L64" s="115">
        <v>41127</v>
      </c>
      <c r="M64" s="50">
        <v>4</v>
      </c>
      <c r="N64" s="50" t="s">
        <v>2</v>
      </c>
      <c r="O64" s="131"/>
      <c r="R64" s="117"/>
      <c r="T64" s="117"/>
      <c r="U64" s="131"/>
      <c r="V64" s="117"/>
      <c r="AE64" s="50">
        <v>0.13</v>
      </c>
    </row>
    <row r="65" spans="1:39" ht="14">
      <c r="A65" s="41" t="s">
        <v>92</v>
      </c>
      <c r="B65" s="50" t="s">
        <v>2333</v>
      </c>
      <c r="C65" s="50" t="s">
        <v>2334</v>
      </c>
      <c r="D65" s="48" t="s">
        <v>480</v>
      </c>
      <c r="E65" s="50" t="s">
        <v>1546</v>
      </c>
      <c r="G65" s="76" t="s">
        <v>2335</v>
      </c>
      <c r="H65" s="50">
        <v>4911</v>
      </c>
      <c r="I65" s="49" t="s">
        <v>1</v>
      </c>
      <c r="J65" s="50" t="s">
        <v>255</v>
      </c>
      <c r="K65" s="51">
        <v>40984</v>
      </c>
      <c r="L65" s="115">
        <v>40968</v>
      </c>
      <c r="M65" s="50">
        <f>K65-L65</f>
        <v>16</v>
      </c>
      <c r="N65" s="50" t="s">
        <v>2</v>
      </c>
      <c r="O65" s="131">
        <f>2/2</f>
        <v>1</v>
      </c>
      <c r="P65" s="50">
        <v>7.4</v>
      </c>
      <c r="Q65" s="74">
        <v>7.6</v>
      </c>
      <c r="R65" s="117">
        <f>10/2</f>
        <v>5</v>
      </c>
      <c r="S65" s="74">
        <v>2</v>
      </c>
      <c r="T65" s="117">
        <f>0.05/2</f>
        <v>2.5000000000000001E-2</v>
      </c>
      <c r="U65" s="131">
        <v>0.3</v>
      </c>
      <c r="V65" s="117">
        <v>0.2</v>
      </c>
      <c r="W65" s="74">
        <f>0.01/2</f>
        <v>5.0000000000000001E-3</v>
      </c>
      <c r="X65" s="50">
        <f>0.03/2</f>
        <v>1.4999999999999999E-2</v>
      </c>
      <c r="Y65" s="50">
        <f>0.03/2</f>
        <v>1.4999999999999999E-2</v>
      </c>
      <c r="Z65" s="164"/>
      <c r="AA65" s="165"/>
      <c r="AE65" s="50">
        <v>0.32</v>
      </c>
      <c r="AJ65" s="50">
        <f>50/2</f>
        <v>25</v>
      </c>
    </row>
    <row r="66" spans="1:39" ht="14">
      <c r="A66" s="41" t="s">
        <v>92</v>
      </c>
      <c r="B66" s="50" t="s">
        <v>2333</v>
      </c>
      <c r="C66" s="50" t="s">
        <v>2334</v>
      </c>
      <c r="D66" s="48" t="s">
        <v>480</v>
      </c>
      <c r="E66" s="50" t="s">
        <v>1546</v>
      </c>
      <c r="G66" s="76" t="s">
        <v>2335</v>
      </c>
      <c r="H66" s="50">
        <v>4911</v>
      </c>
      <c r="I66" s="49" t="s">
        <v>1</v>
      </c>
      <c r="J66" s="50" t="s">
        <v>254</v>
      </c>
      <c r="K66" s="51">
        <v>40984</v>
      </c>
      <c r="L66" s="115">
        <v>40968</v>
      </c>
      <c r="M66" s="50">
        <f t="shared" ref="M66:M96" si="1">K66-L66</f>
        <v>16</v>
      </c>
      <c r="N66" s="50" t="s">
        <v>2</v>
      </c>
      <c r="O66" s="131">
        <v>2.8</v>
      </c>
      <c r="P66" s="50">
        <v>7.4</v>
      </c>
      <c r="Q66" s="74">
        <v>7.5</v>
      </c>
      <c r="R66" s="117">
        <v>63</v>
      </c>
      <c r="S66" s="74">
        <v>21</v>
      </c>
      <c r="T66" s="117">
        <f>0.05</f>
        <v>0.05</v>
      </c>
      <c r="U66" s="131">
        <v>0.91</v>
      </c>
      <c r="V66" s="117">
        <v>1.1000000000000001</v>
      </c>
      <c r="W66" s="74">
        <v>2.1999999999999999E-2</v>
      </c>
      <c r="X66" s="50">
        <v>0.40100000000000002</v>
      </c>
      <c r="Y66" s="50">
        <f>0.03/2</f>
        <v>1.4999999999999999E-2</v>
      </c>
      <c r="Z66" s="164"/>
      <c r="AA66" s="165"/>
      <c r="AE66" s="50">
        <v>1.1100000000000001</v>
      </c>
      <c r="AJ66" s="50">
        <f>50/2</f>
        <v>25</v>
      </c>
    </row>
    <row r="67" spans="1:39" ht="14">
      <c r="A67" s="41" t="s">
        <v>92</v>
      </c>
      <c r="B67" s="50" t="s">
        <v>2333</v>
      </c>
      <c r="C67" s="50" t="s">
        <v>2334</v>
      </c>
      <c r="D67" s="48" t="s">
        <v>480</v>
      </c>
      <c r="E67" s="50" t="s">
        <v>1546</v>
      </c>
      <c r="G67" s="76" t="s">
        <v>2335</v>
      </c>
      <c r="H67" s="50">
        <v>4911</v>
      </c>
      <c r="I67" s="49" t="s">
        <v>1</v>
      </c>
      <c r="J67" s="50" t="s">
        <v>2097</v>
      </c>
      <c r="K67" s="51">
        <v>40984</v>
      </c>
      <c r="L67" s="115">
        <v>40968</v>
      </c>
      <c r="M67" s="50">
        <f t="shared" si="1"/>
        <v>16</v>
      </c>
      <c r="N67" s="50" t="s">
        <v>2</v>
      </c>
      <c r="O67" s="131">
        <f>2/2</f>
        <v>1</v>
      </c>
      <c r="P67" s="50">
        <v>7.4</v>
      </c>
      <c r="Q67" s="74">
        <v>7.9</v>
      </c>
      <c r="R67" s="117">
        <f>10/2</f>
        <v>5</v>
      </c>
      <c r="S67" s="74">
        <v>3</v>
      </c>
      <c r="T67" s="117">
        <f>0.05/2</f>
        <v>2.5000000000000001E-2</v>
      </c>
      <c r="U67" s="131">
        <v>0.33</v>
      </c>
      <c r="V67" s="117">
        <v>0.2</v>
      </c>
      <c r="W67" s="74">
        <f>0.01/2</f>
        <v>5.0000000000000001E-3</v>
      </c>
      <c r="X67" s="50">
        <v>0.08</v>
      </c>
      <c r="Y67" s="50">
        <f>0.03/2</f>
        <v>1.4999999999999999E-2</v>
      </c>
      <c r="Z67" s="164"/>
      <c r="AA67" s="165"/>
      <c r="AE67" s="50">
        <v>0.56999999999999995</v>
      </c>
      <c r="AJ67" s="50">
        <f>50/2</f>
        <v>25</v>
      </c>
    </row>
    <row r="68" spans="1:39" ht="14">
      <c r="A68" s="41" t="s">
        <v>92</v>
      </c>
      <c r="B68" s="50" t="s">
        <v>2333</v>
      </c>
      <c r="C68" s="50" t="s">
        <v>2334</v>
      </c>
      <c r="D68" s="48" t="s">
        <v>480</v>
      </c>
      <c r="E68" s="50" t="s">
        <v>1546</v>
      </c>
      <c r="G68" s="76" t="s">
        <v>2335</v>
      </c>
      <c r="H68" s="50">
        <v>4911</v>
      </c>
      <c r="I68" s="49" t="s">
        <v>1</v>
      </c>
      <c r="J68" s="50" t="s">
        <v>171</v>
      </c>
      <c r="K68" s="51">
        <v>40984</v>
      </c>
      <c r="L68" s="115">
        <v>40968</v>
      </c>
      <c r="M68" s="50">
        <f t="shared" si="1"/>
        <v>16</v>
      </c>
      <c r="N68" s="50" t="s">
        <v>2</v>
      </c>
      <c r="O68" s="131">
        <f>2/2</f>
        <v>1</v>
      </c>
      <c r="P68" s="50">
        <v>7.4</v>
      </c>
      <c r="Q68" s="74">
        <v>7.6</v>
      </c>
      <c r="R68" s="117">
        <f>10/2</f>
        <v>5</v>
      </c>
      <c r="S68" s="74">
        <v>1</v>
      </c>
      <c r="T68" s="117">
        <f>0.05/2</f>
        <v>2.5000000000000001E-2</v>
      </c>
      <c r="U68" s="131">
        <v>0.18</v>
      </c>
      <c r="V68" s="117">
        <v>0.2</v>
      </c>
      <c r="W68" s="74">
        <v>0.01</v>
      </c>
      <c r="X68" s="50">
        <v>0.123</v>
      </c>
      <c r="Y68" s="50">
        <f>0.03/2</f>
        <v>1.4999999999999999E-2</v>
      </c>
      <c r="Z68" s="164"/>
      <c r="AA68" s="165"/>
      <c r="AE68" s="50">
        <v>0.49</v>
      </c>
      <c r="AJ68" s="50">
        <f>50/2</f>
        <v>25</v>
      </c>
    </row>
    <row r="69" spans="1:39" ht="14">
      <c r="A69" s="41" t="s">
        <v>92</v>
      </c>
      <c r="B69" s="50" t="s">
        <v>2333</v>
      </c>
      <c r="C69" s="50" t="s">
        <v>2334</v>
      </c>
      <c r="D69" s="48" t="s">
        <v>480</v>
      </c>
      <c r="E69" s="50" t="s">
        <v>1546</v>
      </c>
      <c r="G69" s="76" t="s">
        <v>2335</v>
      </c>
      <c r="H69" s="50">
        <v>4911</v>
      </c>
      <c r="I69" s="49" t="s">
        <v>1</v>
      </c>
      <c r="J69" s="50" t="s">
        <v>2159</v>
      </c>
      <c r="K69" s="51">
        <v>40984</v>
      </c>
      <c r="L69" s="115">
        <v>40968</v>
      </c>
      <c r="M69" s="50">
        <f t="shared" si="1"/>
        <v>16</v>
      </c>
      <c r="N69" s="50" t="s">
        <v>2</v>
      </c>
      <c r="O69" s="131">
        <f>2/2</f>
        <v>1</v>
      </c>
      <c r="P69" s="50">
        <v>7.4</v>
      </c>
      <c r="Q69" s="74">
        <v>7.7</v>
      </c>
      <c r="R69" s="117">
        <f>10/2</f>
        <v>5</v>
      </c>
      <c r="S69" s="74">
        <v>12</v>
      </c>
      <c r="T69" s="117">
        <f>0.05/2</f>
        <v>2.5000000000000001E-2</v>
      </c>
      <c r="U69" s="131">
        <v>0.09</v>
      </c>
      <c r="V69" s="117">
        <v>0.6</v>
      </c>
      <c r="W69" s="74">
        <v>1.2E-2</v>
      </c>
      <c r="X69" s="50">
        <v>0.09</v>
      </c>
      <c r="Y69" s="50">
        <f>0.03/2</f>
        <v>1.4999999999999999E-2</v>
      </c>
      <c r="Z69" s="164"/>
      <c r="AA69" s="165"/>
      <c r="AE69" s="50">
        <v>2.1</v>
      </c>
      <c r="AJ69" s="50">
        <f>50/2</f>
        <v>25</v>
      </c>
    </row>
    <row r="70" spans="1:39" ht="14">
      <c r="A70" s="41" t="s">
        <v>92</v>
      </c>
      <c r="B70" s="50" t="s">
        <v>302</v>
      </c>
      <c r="D70" s="48" t="s">
        <v>303</v>
      </c>
      <c r="E70" s="50" t="s">
        <v>304</v>
      </c>
      <c r="G70" s="76" t="s">
        <v>305</v>
      </c>
      <c r="H70" s="50">
        <v>4911</v>
      </c>
      <c r="J70" s="50" t="s">
        <v>96</v>
      </c>
      <c r="K70" s="51">
        <v>40971</v>
      </c>
      <c r="L70" s="115">
        <v>40968</v>
      </c>
      <c r="M70" s="50">
        <f t="shared" si="1"/>
        <v>3</v>
      </c>
      <c r="N70" s="50" t="s">
        <v>2</v>
      </c>
      <c r="O70" s="131"/>
      <c r="R70" s="117"/>
      <c r="T70" s="117"/>
      <c r="U70" s="131"/>
      <c r="V70" s="117"/>
      <c r="Z70" s="164"/>
      <c r="AA70" s="165"/>
      <c r="AE70" s="50">
        <v>0.54500000000000004</v>
      </c>
    </row>
    <row r="71" spans="1:39" ht="14">
      <c r="A71" s="41" t="s">
        <v>92</v>
      </c>
      <c r="B71" s="50" t="s">
        <v>478</v>
      </c>
      <c r="C71" s="50" t="s">
        <v>479</v>
      </c>
      <c r="D71" s="48" t="s">
        <v>480</v>
      </c>
      <c r="E71" s="50" t="s">
        <v>1546</v>
      </c>
      <c r="G71" s="76" t="s">
        <v>481</v>
      </c>
      <c r="H71" s="50">
        <v>4911</v>
      </c>
      <c r="I71" s="49" t="s">
        <v>1</v>
      </c>
      <c r="J71" s="50" t="s">
        <v>2336</v>
      </c>
      <c r="K71" s="51">
        <v>40963</v>
      </c>
      <c r="L71" s="115">
        <v>40956</v>
      </c>
      <c r="M71" s="50">
        <f t="shared" si="1"/>
        <v>7</v>
      </c>
      <c r="N71" s="50" t="s">
        <v>2</v>
      </c>
      <c r="O71" s="131"/>
      <c r="R71" s="117"/>
      <c r="T71" s="117"/>
      <c r="U71" s="131"/>
      <c r="V71" s="117"/>
      <c r="Z71" s="164"/>
      <c r="AA71" s="165"/>
      <c r="AE71" s="50">
        <v>1.4E-2</v>
      </c>
    </row>
    <row r="72" spans="1:39" ht="14">
      <c r="A72" s="41" t="s">
        <v>92</v>
      </c>
      <c r="B72" s="50" t="s">
        <v>478</v>
      </c>
      <c r="C72" s="50" t="s">
        <v>479</v>
      </c>
      <c r="D72" s="48" t="s">
        <v>480</v>
      </c>
      <c r="E72" s="50" t="s">
        <v>1546</v>
      </c>
      <c r="G72" s="76" t="s">
        <v>481</v>
      </c>
      <c r="H72" s="50">
        <v>4911</v>
      </c>
      <c r="I72" s="49" t="s">
        <v>1</v>
      </c>
      <c r="J72" s="50" t="s">
        <v>2337</v>
      </c>
      <c r="K72" s="51">
        <v>40963</v>
      </c>
      <c r="L72" s="115">
        <v>40956</v>
      </c>
      <c r="M72" s="50">
        <f t="shared" si="1"/>
        <v>7</v>
      </c>
      <c r="N72" s="50" t="s">
        <v>2</v>
      </c>
      <c r="O72" s="131"/>
      <c r="R72" s="117"/>
      <c r="T72" s="117"/>
      <c r="U72" s="131"/>
      <c r="V72" s="117"/>
      <c r="Z72" s="164"/>
      <c r="AA72" s="165"/>
      <c r="AE72" s="50">
        <v>0.51800000000000002</v>
      </c>
    </row>
    <row r="73" spans="1:39" ht="14">
      <c r="A73" s="41" t="s">
        <v>92</v>
      </c>
      <c r="B73" s="50" t="s">
        <v>478</v>
      </c>
      <c r="C73" s="50" t="s">
        <v>479</v>
      </c>
      <c r="D73" s="48" t="s">
        <v>480</v>
      </c>
      <c r="E73" s="50" t="s">
        <v>1546</v>
      </c>
      <c r="G73" s="76" t="s">
        <v>481</v>
      </c>
      <c r="H73" s="50">
        <v>4911</v>
      </c>
      <c r="I73" s="49" t="s">
        <v>1</v>
      </c>
      <c r="J73" s="50" t="s">
        <v>483</v>
      </c>
      <c r="K73" s="51">
        <v>40963</v>
      </c>
      <c r="L73" s="115">
        <v>40956</v>
      </c>
      <c r="M73" s="50">
        <f t="shared" si="1"/>
        <v>7</v>
      </c>
      <c r="N73" s="50" t="s">
        <v>2</v>
      </c>
      <c r="O73" s="131"/>
      <c r="R73" s="117"/>
      <c r="T73" s="117"/>
      <c r="U73" s="131"/>
      <c r="V73" s="117"/>
      <c r="Z73" s="164"/>
      <c r="AA73" s="165"/>
      <c r="AE73" s="50">
        <v>0.98099999999999998</v>
      </c>
    </row>
    <row r="74" spans="1:39" ht="14">
      <c r="A74" s="41" t="s">
        <v>92</v>
      </c>
      <c r="B74" s="50" t="s">
        <v>478</v>
      </c>
      <c r="C74" s="50" t="s">
        <v>479</v>
      </c>
      <c r="D74" s="48" t="s">
        <v>480</v>
      </c>
      <c r="E74" s="50" t="s">
        <v>1546</v>
      </c>
      <c r="G74" s="76" t="s">
        <v>481</v>
      </c>
      <c r="H74" s="50">
        <v>4911</v>
      </c>
      <c r="I74" s="49" t="s">
        <v>1</v>
      </c>
      <c r="J74" s="50" t="s">
        <v>2338</v>
      </c>
      <c r="K74" s="51">
        <v>40963</v>
      </c>
      <c r="L74" s="115">
        <v>40956</v>
      </c>
      <c r="M74" s="50">
        <f t="shared" si="1"/>
        <v>7</v>
      </c>
      <c r="N74" s="50" t="s">
        <v>2</v>
      </c>
      <c r="O74" s="131"/>
      <c r="R74" s="117"/>
      <c r="T74" s="117"/>
      <c r="U74" s="131"/>
      <c r="V74" s="117"/>
      <c r="Z74" s="164"/>
      <c r="AA74" s="165"/>
      <c r="AE74" s="50">
        <v>0.152</v>
      </c>
    </row>
    <row r="75" spans="1:39" ht="14">
      <c r="A75" s="41" t="s">
        <v>92</v>
      </c>
      <c r="B75" s="50" t="s">
        <v>93</v>
      </c>
      <c r="C75" s="50" t="s">
        <v>94</v>
      </c>
      <c r="D75" s="48" t="s">
        <v>56</v>
      </c>
      <c r="E75" s="50" t="s">
        <v>95</v>
      </c>
      <c r="G75" s="76" t="s">
        <v>167</v>
      </c>
      <c r="H75" s="50">
        <v>4911</v>
      </c>
      <c r="I75" s="49" t="s">
        <v>1</v>
      </c>
      <c r="J75" s="50" t="s">
        <v>96</v>
      </c>
      <c r="K75" s="51">
        <v>40968</v>
      </c>
      <c r="L75" s="115">
        <v>40963</v>
      </c>
      <c r="M75" s="50">
        <f t="shared" si="1"/>
        <v>5</v>
      </c>
      <c r="N75" s="50" t="s">
        <v>2</v>
      </c>
      <c r="O75" s="131"/>
      <c r="R75" s="117"/>
      <c r="T75" s="117"/>
      <c r="U75" s="131"/>
      <c r="V75" s="117"/>
      <c r="Z75" s="164"/>
      <c r="AA75" s="165"/>
      <c r="AE75" s="50">
        <v>1.23</v>
      </c>
    </row>
    <row r="76" spans="1:39" ht="14">
      <c r="A76" s="41" t="s">
        <v>92</v>
      </c>
      <c r="B76" s="50" t="s">
        <v>93</v>
      </c>
      <c r="C76" s="50" t="s">
        <v>94</v>
      </c>
      <c r="D76" s="48" t="s">
        <v>56</v>
      </c>
      <c r="E76" s="50" t="s">
        <v>95</v>
      </c>
      <c r="G76" s="76" t="s">
        <v>167</v>
      </c>
      <c r="H76" s="50">
        <v>4911</v>
      </c>
      <c r="I76" s="49" t="s">
        <v>1</v>
      </c>
      <c r="J76" s="50" t="s">
        <v>169</v>
      </c>
      <c r="K76" s="51">
        <v>40968</v>
      </c>
      <c r="L76" s="115">
        <v>40963</v>
      </c>
      <c r="M76" s="50">
        <f t="shared" si="1"/>
        <v>5</v>
      </c>
      <c r="N76" s="50" t="s">
        <v>2</v>
      </c>
      <c r="O76" s="131">
        <f>1/2</f>
        <v>0.5</v>
      </c>
      <c r="P76" s="50">
        <v>6.24</v>
      </c>
      <c r="Q76" s="74">
        <v>7.74</v>
      </c>
      <c r="R76" s="117">
        <f>1/2</f>
        <v>0.5</v>
      </c>
      <c r="S76" s="74">
        <v>12</v>
      </c>
      <c r="T76" s="117">
        <v>0.17</v>
      </c>
      <c r="U76" s="131">
        <v>1.02</v>
      </c>
      <c r="V76" s="117">
        <v>2.04</v>
      </c>
      <c r="W76" s="74">
        <v>2.1000000000000001E-2</v>
      </c>
      <c r="X76" s="50">
        <v>2.8000000000000001E-2</v>
      </c>
      <c r="Y76" s="50">
        <f>0.002/2</f>
        <v>1E-3</v>
      </c>
      <c r="Z76" s="164">
        <v>1</v>
      </c>
      <c r="AA76" s="165">
        <v>1</v>
      </c>
      <c r="AB76" s="50">
        <v>169.6</v>
      </c>
      <c r="AC76" s="74">
        <v>1166</v>
      </c>
      <c r="AD76" s="271">
        <v>0.9</v>
      </c>
      <c r="AE76" s="50">
        <v>0.59</v>
      </c>
      <c r="AI76" s="74">
        <v>88</v>
      </c>
      <c r="AK76" s="50">
        <v>3</v>
      </c>
    </row>
    <row r="77" spans="1:39" ht="14">
      <c r="A77" s="41" t="s">
        <v>92</v>
      </c>
      <c r="B77" s="50" t="s">
        <v>2339</v>
      </c>
      <c r="D77" s="48" t="s">
        <v>133</v>
      </c>
      <c r="E77" s="50" t="s">
        <v>140</v>
      </c>
      <c r="G77" s="76" t="s">
        <v>2340</v>
      </c>
      <c r="H77" s="50">
        <v>4911</v>
      </c>
      <c r="J77" s="50" t="s">
        <v>2341</v>
      </c>
      <c r="K77" s="51">
        <v>40920</v>
      </c>
      <c r="L77" s="115">
        <v>40912</v>
      </c>
      <c r="M77" s="50">
        <f t="shared" si="1"/>
        <v>8</v>
      </c>
      <c r="N77" s="50" t="s">
        <v>2</v>
      </c>
      <c r="O77" s="131">
        <v>1.4</v>
      </c>
      <c r="P77" s="50">
        <v>6.2</v>
      </c>
      <c r="Q77" s="74">
        <v>7.32</v>
      </c>
      <c r="R77" s="117">
        <v>28.2</v>
      </c>
      <c r="S77" s="74">
        <v>13</v>
      </c>
      <c r="T77" s="117">
        <v>0.11</v>
      </c>
      <c r="U77" s="131">
        <v>0.36</v>
      </c>
      <c r="V77" s="117">
        <f>0.2/2</f>
        <v>0.1</v>
      </c>
      <c r="W77" s="74">
        <f>0.01/2</f>
        <v>5.0000000000000001E-3</v>
      </c>
      <c r="X77" s="50">
        <v>0.06</v>
      </c>
      <c r="Y77" s="50">
        <f>0.02/2</f>
        <v>0.01</v>
      </c>
      <c r="Z77" s="164">
        <v>1</v>
      </c>
      <c r="AA77" s="165">
        <v>1</v>
      </c>
      <c r="AB77" s="50">
        <v>334</v>
      </c>
      <c r="AC77" s="74">
        <v>46100</v>
      </c>
      <c r="AD77" s="271">
        <v>1</v>
      </c>
      <c r="AE77" s="50">
        <v>5.71</v>
      </c>
    </row>
    <row r="78" spans="1:39" ht="14">
      <c r="A78" s="41" t="s">
        <v>92</v>
      </c>
      <c r="B78" s="50" t="s">
        <v>2339</v>
      </c>
      <c r="D78" s="48" t="s">
        <v>133</v>
      </c>
      <c r="E78" s="50" t="s">
        <v>140</v>
      </c>
      <c r="F78" s="50">
        <v>4400</v>
      </c>
      <c r="G78" s="76" t="s">
        <v>2340</v>
      </c>
      <c r="H78" s="50">
        <v>4911</v>
      </c>
      <c r="J78" s="50" t="s">
        <v>2342</v>
      </c>
      <c r="K78" s="51">
        <v>40920</v>
      </c>
      <c r="L78" s="115">
        <v>40912</v>
      </c>
      <c r="M78" s="50">
        <f t="shared" si="1"/>
        <v>8</v>
      </c>
      <c r="N78" s="50" t="s">
        <v>2</v>
      </c>
      <c r="O78" s="131">
        <f>1/2</f>
        <v>0.5</v>
      </c>
      <c r="P78" s="50">
        <v>6.04</v>
      </c>
      <c r="Q78" s="74">
        <v>6.79</v>
      </c>
      <c r="R78" s="117">
        <f>2/2</f>
        <v>1</v>
      </c>
      <c r="S78" s="74">
        <v>2</v>
      </c>
      <c r="T78" s="117">
        <f>0.05/2</f>
        <v>2.5000000000000001E-2</v>
      </c>
      <c r="U78" s="131">
        <v>0.2</v>
      </c>
      <c r="V78" s="117">
        <f>0.2/2</f>
        <v>0.1</v>
      </c>
      <c r="W78" s="74">
        <f>0.01/2</f>
        <v>5.0000000000000001E-3</v>
      </c>
      <c r="X78" s="50">
        <v>0.1</v>
      </c>
      <c r="Y78" s="50">
        <f>0.02/2</f>
        <v>0.01</v>
      </c>
      <c r="Z78" s="164">
        <v>1</v>
      </c>
      <c r="AA78" s="165">
        <v>1</v>
      </c>
      <c r="AB78" s="50">
        <v>12.6</v>
      </c>
      <c r="AC78" s="74">
        <v>57.6</v>
      </c>
      <c r="AD78" s="271">
        <v>1</v>
      </c>
      <c r="AE78" s="50">
        <f>0.02/2</f>
        <v>0.01</v>
      </c>
    </row>
    <row r="79" spans="1:39" ht="14">
      <c r="A79" s="41" t="s">
        <v>92</v>
      </c>
      <c r="B79" s="50" t="s">
        <v>2343</v>
      </c>
      <c r="D79" s="48" t="s">
        <v>262</v>
      </c>
      <c r="E79" s="50" t="s">
        <v>874</v>
      </c>
      <c r="G79" s="76" t="s">
        <v>2344</v>
      </c>
      <c r="H79" s="50">
        <v>4911</v>
      </c>
      <c r="I79" s="49" t="s">
        <v>1</v>
      </c>
      <c r="J79" s="50" t="s">
        <v>2034</v>
      </c>
      <c r="K79" s="51">
        <v>40920</v>
      </c>
      <c r="L79" s="115">
        <v>40909</v>
      </c>
      <c r="M79" s="50">
        <f t="shared" si="1"/>
        <v>11</v>
      </c>
      <c r="N79" s="50" t="s">
        <v>2</v>
      </c>
      <c r="O79" s="131">
        <f>2/2</f>
        <v>1</v>
      </c>
      <c r="P79" s="50">
        <v>6.8</v>
      </c>
      <c r="Q79" s="74">
        <v>6.7</v>
      </c>
      <c r="R79" s="117">
        <f>10/2</f>
        <v>5</v>
      </c>
      <c r="S79" s="74">
        <v>3</v>
      </c>
      <c r="T79" s="117">
        <f>0.05/2</f>
        <v>2.5000000000000001E-2</v>
      </c>
      <c r="U79" s="131">
        <v>0.48</v>
      </c>
      <c r="V79" s="117">
        <f>0.1/2</f>
        <v>0.05</v>
      </c>
      <c r="W79" s="74">
        <v>1.2999999999999999E-2</v>
      </c>
      <c r="X79" s="50">
        <f>0.03/2</f>
        <v>1.4999999999999999E-2</v>
      </c>
      <c r="Y79" s="50">
        <f>0.03/2</f>
        <v>1.4999999999999999E-2</v>
      </c>
      <c r="Z79" s="164">
        <v>1</v>
      </c>
      <c r="AA79" s="165">
        <v>1</v>
      </c>
      <c r="AB79" s="50">
        <v>14</v>
      </c>
      <c r="AC79" s="74">
        <v>289</v>
      </c>
      <c r="AD79" s="271">
        <v>1</v>
      </c>
      <c r="AE79" s="50">
        <v>0.25</v>
      </c>
      <c r="AH79" s="50">
        <f>5/2</f>
        <v>2.5</v>
      </c>
      <c r="AL79" s="272"/>
      <c r="AM79" s="77">
        <f>50/2</f>
        <v>25</v>
      </c>
    </row>
    <row r="80" spans="1:39" ht="14">
      <c r="A80" s="41" t="s">
        <v>92</v>
      </c>
      <c r="B80" s="50" t="s">
        <v>2343</v>
      </c>
      <c r="D80" s="48" t="s">
        <v>262</v>
      </c>
      <c r="E80" s="50" t="s">
        <v>874</v>
      </c>
      <c r="G80" s="76" t="s">
        <v>2344</v>
      </c>
      <c r="H80" s="50">
        <v>4911</v>
      </c>
      <c r="I80" s="49" t="s">
        <v>1</v>
      </c>
      <c r="J80" s="50" t="s">
        <v>2345</v>
      </c>
      <c r="K80" s="51">
        <v>40920</v>
      </c>
      <c r="L80" s="115">
        <v>40909</v>
      </c>
      <c r="M80" s="50">
        <f t="shared" si="1"/>
        <v>11</v>
      </c>
      <c r="N80" s="50" t="s">
        <v>2</v>
      </c>
      <c r="O80" s="131">
        <f>2/2</f>
        <v>1</v>
      </c>
      <c r="P80" s="50">
        <v>6.8</v>
      </c>
      <c r="Q80" s="74">
        <v>6.6</v>
      </c>
      <c r="R80" s="117">
        <f>10/2</f>
        <v>5</v>
      </c>
      <c r="S80" s="74">
        <v>9</v>
      </c>
      <c r="T80" s="117">
        <v>0.06</v>
      </c>
      <c r="U80" s="131">
        <v>1.79</v>
      </c>
      <c r="V80" s="117">
        <v>6.12</v>
      </c>
      <c r="W80" s="74">
        <v>2.5999999999999999E-2</v>
      </c>
      <c r="X80" s="50">
        <v>0.249</v>
      </c>
      <c r="Y80" s="50">
        <f>0.03/2</f>
        <v>1.4999999999999999E-2</v>
      </c>
      <c r="Z80" s="164">
        <v>1</v>
      </c>
      <c r="AA80" s="165">
        <v>1</v>
      </c>
      <c r="AB80" s="50">
        <v>8</v>
      </c>
      <c r="AC80" s="74">
        <v>87</v>
      </c>
      <c r="AD80" s="271">
        <v>0.75</v>
      </c>
      <c r="AE80" s="50">
        <v>0.67</v>
      </c>
      <c r="AH80" s="50">
        <f>5/2</f>
        <v>2.5</v>
      </c>
      <c r="AL80" s="272"/>
      <c r="AM80" s="77">
        <f>50/2</f>
        <v>25</v>
      </c>
    </row>
    <row r="81" spans="1:45" ht="14">
      <c r="A81" s="41" t="s">
        <v>92</v>
      </c>
      <c r="B81" s="50" t="s">
        <v>93</v>
      </c>
      <c r="C81" s="50" t="s">
        <v>873</v>
      </c>
      <c r="D81" s="48" t="s">
        <v>262</v>
      </c>
      <c r="E81" s="50" t="s">
        <v>874</v>
      </c>
      <c r="G81" s="76" t="s">
        <v>875</v>
      </c>
      <c r="H81" s="50">
        <v>4911</v>
      </c>
      <c r="I81" s="49" t="s">
        <v>1</v>
      </c>
      <c r="J81" s="50" t="s">
        <v>876</v>
      </c>
      <c r="K81" s="51">
        <v>40993</v>
      </c>
      <c r="L81" s="115">
        <v>40984</v>
      </c>
      <c r="M81" s="50">
        <f t="shared" si="1"/>
        <v>9</v>
      </c>
      <c r="N81" s="50" t="s">
        <v>2</v>
      </c>
      <c r="O81" s="131"/>
      <c r="R81" s="117"/>
      <c r="T81" s="117"/>
      <c r="U81" s="131"/>
      <c r="V81" s="117"/>
      <c r="Z81" s="164"/>
      <c r="AA81" s="165"/>
      <c r="AE81" s="50">
        <v>0.52</v>
      </c>
    </row>
    <row r="82" spans="1:45" ht="14">
      <c r="A82" s="41" t="s">
        <v>92</v>
      </c>
      <c r="B82" s="50" t="s">
        <v>93</v>
      </c>
      <c r="C82" s="50" t="s">
        <v>873</v>
      </c>
      <c r="D82" s="48" t="s">
        <v>262</v>
      </c>
      <c r="E82" s="50" t="s">
        <v>874</v>
      </c>
      <c r="G82" s="76" t="s">
        <v>875</v>
      </c>
      <c r="H82" s="50">
        <v>4911</v>
      </c>
      <c r="I82" s="49" t="s">
        <v>1</v>
      </c>
      <c r="J82" s="50" t="s">
        <v>877</v>
      </c>
      <c r="K82" s="51">
        <v>40993</v>
      </c>
      <c r="L82" s="115">
        <v>40984</v>
      </c>
      <c r="M82" s="50">
        <f t="shared" si="1"/>
        <v>9</v>
      </c>
      <c r="N82" s="50" t="s">
        <v>2</v>
      </c>
      <c r="O82" s="131"/>
      <c r="R82" s="117"/>
      <c r="T82" s="117"/>
      <c r="U82" s="131"/>
      <c r="V82" s="117"/>
      <c r="Z82" s="164"/>
      <c r="AA82" s="165"/>
      <c r="AE82" s="50">
        <v>0.24</v>
      </c>
    </row>
    <row r="83" spans="1:45" ht="14">
      <c r="A83" s="41" t="s">
        <v>92</v>
      </c>
      <c r="B83" s="50" t="s">
        <v>93</v>
      </c>
      <c r="C83" s="50" t="s">
        <v>873</v>
      </c>
      <c r="D83" s="48" t="s">
        <v>262</v>
      </c>
      <c r="E83" s="50" t="s">
        <v>874</v>
      </c>
      <c r="G83" s="76" t="s">
        <v>875</v>
      </c>
      <c r="H83" s="50">
        <v>4911</v>
      </c>
      <c r="I83" s="49" t="s">
        <v>1</v>
      </c>
      <c r="J83" s="50" t="s">
        <v>1542</v>
      </c>
      <c r="K83" s="51">
        <v>40993</v>
      </c>
      <c r="L83" s="115">
        <v>40984</v>
      </c>
      <c r="M83" s="50">
        <f t="shared" si="1"/>
        <v>9</v>
      </c>
      <c r="N83" s="50" t="s">
        <v>2</v>
      </c>
      <c r="O83" s="131"/>
      <c r="R83" s="117"/>
      <c r="T83" s="117"/>
      <c r="U83" s="131"/>
      <c r="V83" s="117"/>
      <c r="Z83" s="164"/>
      <c r="AA83" s="165"/>
      <c r="AE83" s="50">
        <v>0.56999999999999995</v>
      </c>
    </row>
    <row r="84" spans="1:45" ht="14">
      <c r="A84" s="41" t="s">
        <v>92</v>
      </c>
      <c r="B84" s="50" t="s">
        <v>163</v>
      </c>
      <c r="C84" s="50" t="s">
        <v>164</v>
      </c>
      <c r="D84" s="48" t="s">
        <v>165</v>
      </c>
      <c r="E84" s="50" t="s">
        <v>166</v>
      </c>
      <c r="G84" s="76" t="s">
        <v>168</v>
      </c>
      <c r="H84" s="50">
        <v>4911</v>
      </c>
      <c r="I84" s="49" t="s">
        <v>1</v>
      </c>
      <c r="J84" s="50" t="s">
        <v>169</v>
      </c>
      <c r="K84" s="51">
        <v>40981</v>
      </c>
      <c r="L84" s="115">
        <v>40977</v>
      </c>
      <c r="M84" s="50">
        <f t="shared" si="1"/>
        <v>4</v>
      </c>
      <c r="N84" s="50" t="s">
        <v>2</v>
      </c>
      <c r="O84" s="131"/>
      <c r="P84" s="50">
        <v>5.2</v>
      </c>
      <c r="Q84" s="74">
        <v>6.6</v>
      </c>
      <c r="R84" s="117"/>
      <c r="T84" s="117"/>
      <c r="U84" s="131"/>
      <c r="V84" s="117"/>
      <c r="Z84" s="164"/>
      <c r="AA84" s="165"/>
      <c r="AE84" s="50">
        <v>1.22</v>
      </c>
    </row>
    <row r="85" spans="1:45" ht="14">
      <c r="A85" s="41" t="s">
        <v>92</v>
      </c>
      <c r="B85" s="50" t="s">
        <v>163</v>
      </c>
      <c r="C85" s="50" t="s">
        <v>164</v>
      </c>
      <c r="D85" s="48" t="s">
        <v>165</v>
      </c>
      <c r="E85" s="50" t="s">
        <v>166</v>
      </c>
      <c r="G85" s="76" t="s">
        <v>168</v>
      </c>
      <c r="H85" s="50">
        <v>4911</v>
      </c>
      <c r="I85" s="49" t="s">
        <v>1</v>
      </c>
      <c r="J85" s="50" t="s">
        <v>171</v>
      </c>
      <c r="K85" s="51">
        <v>40981</v>
      </c>
      <c r="L85" s="115">
        <v>40977</v>
      </c>
      <c r="M85" s="50">
        <f t="shared" si="1"/>
        <v>4</v>
      </c>
      <c r="N85" s="50" t="s">
        <v>2</v>
      </c>
      <c r="O85" s="131"/>
      <c r="P85" s="50">
        <v>5.2</v>
      </c>
      <c r="Q85" s="74">
        <v>6.3</v>
      </c>
      <c r="R85" s="117"/>
      <c r="T85" s="117"/>
      <c r="U85" s="131"/>
      <c r="V85" s="117"/>
      <c r="Z85" s="164"/>
      <c r="AA85" s="165"/>
      <c r="AE85" s="50">
        <v>0.13100000000000001</v>
      </c>
    </row>
    <row r="86" spans="1:45" ht="14">
      <c r="A86" s="41" t="s">
        <v>92</v>
      </c>
      <c r="B86" s="50" t="s">
        <v>163</v>
      </c>
      <c r="C86" s="50" t="s">
        <v>164</v>
      </c>
      <c r="D86" s="48" t="s">
        <v>165</v>
      </c>
      <c r="E86" s="50" t="s">
        <v>166</v>
      </c>
      <c r="G86" s="76" t="s">
        <v>168</v>
      </c>
      <c r="H86" s="50">
        <v>4911</v>
      </c>
      <c r="I86" s="49" t="s">
        <v>1</v>
      </c>
      <c r="J86" s="50" t="s">
        <v>172</v>
      </c>
      <c r="K86" s="51">
        <v>40981</v>
      </c>
      <c r="L86" s="115">
        <v>40977</v>
      </c>
      <c r="M86" s="50">
        <f t="shared" si="1"/>
        <v>4</v>
      </c>
      <c r="N86" s="50" t="s">
        <v>2</v>
      </c>
      <c r="O86" s="131"/>
      <c r="P86" s="50">
        <v>5.2</v>
      </c>
      <c r="Q86" s="74">
        <v>7</v>
      </c>
      <c r="R86" s="117"/>
      <c r="T86" s="117"/>
      <c r="U86" s="131"/>
      <c r="V86" s="117"/>
      <c r="Z86" s="164"/>
      <c r="AA86" s="165"/>
      <c r="AE86" s="50">
        <v>0.38300000000000001</v>
      </c>
    </row>
    <row r="87" spans="1:45" ht="14">
      <c r="A87" s="41" t="s">
        <v>92</v>
      </c>
      <c r="B87" s="50" t="s">
        <v>163</v>
      </c>
      <c r="C87" s="50" t="s">
        <v>164</v>
      </c>
      <c r="D87" s="48" t="s">
        <v>165</v>
      </c>
      <c r="E87" s="50" t="s">
        <v>166</v>
      </c>
      <c r="G87" s="76" t="s">
        <v>168</v>
      </c>
      <c r="H87" s="50">
        <v>4911</v>
      </c>
      <c r="I87" s="49" t="s">
        <v>1</v>
      </c>
      <c r="J87" s="50" t="s">
        <v>173</v>
      </c>
      <c r="K87" s="51">
        <v>40981</v>
      </c>
      <c r="L87" s="115">
        <v>40977</v>
      </c>
      <c r="M87" s="50">
        <f t="shared" si="1"/>
        <v>4</v>
      </c>
      <c r="N87" s="50" t="s">
        <v>2</v>
      </c>
      <c r="O87" s="131"/>
      <c r="P87" s="50">
        <v>5.2</v>
      </c>
      <c r="Q87" s="74">
        <v>7</v>
      </c>
      <c r="R87" s="117"/>
      <c r="T87" s="117"/>
      <c r="U87" s="131"/>
      <c r="V87" s="117"/>
      <c r="Z87" s="164"/>
      <c r="AA87" s="165"/>
      <c r="AE87" s="50">
        <v>1.4</v>
      </c>
    </row>
    <row r="88" spans="1:45" ht="14">
      <c r="A88" s="41" t="s">
        <v>92</v>
      </c>
      <c r="B88" s="50" t="s">
        <v>163</v>
      </c>
      <c r="C88" s="50" t="s">
        <v>164</v>
      </c>
      <c r="D88" s="48" t="s">
        <v>165</v>
      </c>
      <c r="E88" s="50" t="s">
        <v>166</v>
      </c>
      <c r="G88" s="76" t="s">
        <v>168</v>
      </c>
      <c r="H88" s="50">
        <v>4911</v>
      </c>
      <c r="I88" s="49" t="s">
        <v>1</v>
      </c>
      <c r="J88" s="50" t="s">
        <v>174</v>
      </c>
      <c r="K88" s="51">
        <v>40981</v>
      </c>
      <c r="L88" s="115">
        <v>40977</v>
      </c>
      <c r="M88" s="50">
        <f t="shared" si="1"/>
        <v>4</v>
      </c>
      <c r="N88" s="50" t="s">
        <v>2</v>
      </c>
      <c r="O88" s="131"/>
      <c r="P88" s="50">
        <v>5.2</v>
      </c>
      <c r="Q88" s="74">
        <v>7.3</v>
      </c>
      <c r="R88" s="117"/>
      <c r="T88" s="117"/>
      <c r="U88" s="131"/>
      <c r="V88" s="117"/>
      <c r="Z88" s="164"/>
      <c r="AA88" s="165"/>
      <c r="AE88" s="50">
        <v>0.71699999999999997</v>
      </c>
    </row>
    <row r="89" spans="1:45" ht="14">
      <c r="A89" s="41" t="s">
        <v>92</v>
      </c>
      <c r="B89" s="50" t="s">
        <v>163</v>
      </c>
      <c r="C89" s="50" t="s">
        <v>164</v>
      </c>
      <c r="D89" s="48" t="s">
        <v>165</v>
      </c>
      <c r="E89" s="50" t="s">
        <v>166</v>
      </c>
      <c r="G89" s="76" t="s">
        <v>168</v>
      </c>
      <c r="H89" s="50">
        <v>4911</v>
      </c>
      <c r="I89" s="49" t="s">
        <v>1</v>
      </c>
      <c r="J89" s="50" t="s">
        <v>175</v>
      </c>
      <c r="K89" s="51">
        <v>40981</v>
      </c>
      <c r="L89" s="115">
        <v>40977</v>
      </c>
      <c r="M89" s="50">
        <f t="shared" si="1"/>
        <v>4</v>
      </c>
      <c r="N89" s="50" t="s">
        <v>2</v>
      </c>
      <c r="O89" s="131"/>
      <c r="P89" s="50">
        <v>5.2</v>
      </c>
      <c r="Q89" s="74">
        <v>6.9</v>
      </c>
      <c r="R89" s="117"/>
      <c r="T89" s="117"/>
      <c r="U89" s="131"/>
      <c r="V89" s="117"/>
      <c r="Z89" s="164"/>
      <c r="AA89" s="165"/>
      <c r="AE89" s="50">
        <v>0.93200000000000005</v>
      </c>
    </row>
    <row r="90" spans="1:45" ht="14">
      <c r="A90" s="41" t="s">
        <v>92</v>
      </c>
      <c r="B90" s="50" t="s">
        <v>163</v>
      </c>
      <c r="C90" s="50" t="s">
        <v>164</v>
      </c>
      <c r="D90" s="48" t="s">
        <v>165</v>
      </c>
      <c r="E90" s="50" t="s">
        <v>166</v>
      </c>
      <c r="G90" s="76" t="s">
        <v>168</v>
      </c>
      <c r="H90" s="50">
        <v>4911</v>
      </c>
      <c r="I90" s="49" t="s">
        <v>1</v>
      </c>
      <c r="J90" s="50" t="s">
        <v>176</v>
      </c>
      <c r="K90" s="51">
        <v>40981</v>
      </c>
      <c r="L90" s="115">
        <v>40977</v>
      </c>
      <c r="M90" s="50">
        <f t="shared" si="1"/>
        <v>4</v>
      </c>
      <c r="N90" s="50" t="s">
        <v>2</v>
      </c>
      <c r="O90" s="131"/>
      <c r="P90" s="50">
        <v>5.2</v>
      </c>
      <c r="Q90" s="74">
        <v>7.2</v>
      </c>
      <c r="R90" s="117"/>
      <c r="T90" s="117"/>
      <c r="U90" s="131"/>
      <c r="V90" s="117"/>
      <c r="Z90" s="164"/>
      <c r="AA90" s="165"/>
      <c r="AE90" s="50">
        <v>0.22800000000000001</v>
      </c>
    </row>
    <row r="91" spans="1:45" ht="14">
      <c r="A91" s="41" t="s">
        <v>92</v>
      </c>
      <c r="B91" s="50" t="s">
        <v>163</v>
      </c>
      <c r="C91" s="50" t="s">
        <v>164</v>
      </c>
      <c r="D91" s="48" t="s">
        <v>165</v>
      </c>
      <c r="E91" s="50" t="s">
        <v>166</v>
      </c>
      <c r="G91" s="76" t="s">
        <v>168</v>
      </c>
      <c r="H91" s="50">
        <v>4911</v>
      </c>
      <c r="I91" s="49" t="s">
        <v>1</v>
      </c>
      <c r="J91" s="50" t="s">
        <v>177</v>
      </c>
      <c r="K91" s="51">
        <v>40996</v>
      </c>
      <c r="L91" s="115">
        <v>40993</v>
      </c>
      <c r="M91" s="50">
        <f t="shared" si="1"/>
        <v>3</v>
      </c>
      <c r="N91" s="50" t="s">
        <v>2</v>
      </c>
      <c r="O91" s="131"/>
      <c r="P91" s="50">
        <v>4.5999999999999996</v>
      </c>
      <c r="Q91" s="74">
        <v>8.3000000000000007</v>
      </c>
      <c r="R91" s="117"/>
      <c r="T91" s="117"/>
      <c r="U91" s="131"/>
      <c r="V91" s="117"/>
      <c r="Z91" s="164"/>
      <c r="AA91" s="165"/>
      <c r="AE91" s="50">
        <v>0.15</v>
      </c>
    </row>
    <row r="92" spans="1:45" ht="14">
      <c r="A92" s="41" t="s">
        <v>92</v>
      </c>
      <c r="B92" s="50" t="s">
        <v>163</v>
      </c>
      <c r="C92" s="50" t="s">
        <v>164</v>
      </c>
      <c r="D92" s="48" t="s">
        <v>165</v>
      </c>
      <c r="E92" s="50" t="s">
        <v>166</v>
      </c>
      <c r="G92" s="76" t="s">
        <v>168</v>
      </c>
      <c r="H92" s="50">
        <v>4911</v>
      </c>
      <c r="I92" s="49" t="s">
        <v>1</v>
      </c>
      <c r="J92" s="50" t="s">
        <v>178</v>
      </c>
      <c r="K92" s="51">
        <v>40981</v>
      </c>
      <c r="L92" s="115">
        <v>40977</v>
      </c>
      <c r="M92" s="50">
        <f t="shared" si="1"/>
        <v>4</v>
      </c>
      <c r="N92" s="50" t="s">
        <v>2</v>
      </c>
      <c r="O92" s="131"/>
      <c r="P92" s="50">
        <v>5.2</v>
      </c>
      <c r="Q92" s="74">
        <v>8</v>
      </c>
      <c r="R92" s="117"/>
      <c r="T92" s="117"/>
      <c r="U92" s="131"/>
      <c r="V92" s="117"/>
      <c r="Z92" s="164"/>
      <c r="AA92" s="165"/>
      <c r="AE92" s="50">
        <v>0.187</v>
      </c>
    </row>
    <row r="93" spans="1:45" ht="14">
      <c r="A93" s="41" t="s">
        <v>92</v>
      </c>
      <c r="B93" s="50" t="s">
        <v>163</v>
      </c>
      <c r="C93" s="50" t="s">
        <v>164</v>
      </c>
      <c r="D93" s="48" t="s">
        <v>165</v>
      </c>
      <c r="E93" s="50" t="s">
        <v>166</v>
      </c>
      <c r="G93" s="76" t="s">
        <v>168</v>
      </c>
      <c r="H93" s="50">
        <v>4911</v>
      </c>
      <c r="I93" s="49" t="s">
        <v>1</v>
      </c>
      <c r="J93" s="50" t="s">
        <v>179</v>
      </c>
      <c r="K93" s="51">
        <v>40981</v>
      </c>
      <c r="L93" s="115">
        <v>40977</v>
      </c>
      <c r="M93" s="50">
        <f t="shared" si="1"/>
        <v>4</v>
      </c>
      <c r="N93" s="50" t="s">
        <v>2</v>
      </c>
      <c r="O93" s="131"/>
      <c r="P93" s="50">
        <v>5.2</v>
      </c>
      <c r="Q93" s="74">
        <v>7.7</v>
      </c>
      <c r="R93" s="117"/>
      <c r="T93" s="117"/>
      <c r="U93" s="131"/>
      <c r="V93" s="117"/>
      <c r="Z93" s="164"/>
      <c r="AA93" s="165"/>
      <c r="AE93" s="50">
        <v>1.22</v>
      </c>
    </row>
    <row r="94" spans="1:45" ht="14">
      <c r="A94" s="41" t="s">
        <v>92</v>
      </c>
      <c r="B94" s="50" t="s">
        <v>163</v>
      </c>
      <c r="C94" s="50" t="s">
        <v>164</v>
      </c>
      <c r="D94" s="48" t="s">
        <v>165</v>
      </c>
      <c r="E94" s="77" t="s">
        <v>166</v>
      </c>
      <c r="G94" s="76" t="s">
        <v>168</v>
      </c>
      <c r="H94" s="50">
        <v>4911</v>
      </c>
      <c r="I94" s="49" t="s">
        <v>1</v>
      </c>
      <c r="J94" s="50" t="s">
        <v>180</v>
      </c>
      <c r="K94" s="51">
        <v>40981</v>
      </c>
      <c r="L94" s="115">
        <v>40977</v>
      </c>
      <c r="M94" s="50">
        <f t="shared" si="1"/>
        <v>4</v>
      </c>
      <c r="N94" s="50" t="s">
        <v>2</v>
      </c>
      <c r="O94" s="131"/>
      <c r="P94" s="50">
        <v>5.2</v>
      </c>
      <c r="Q94" s="74">
        <v>7</v>
      </c>
      <c r="R94" s="117"/>
      <c r="T94" s="117"/>
      <c r="U94" s="131"/>
      <c r="V94" s="117"/>
      <c r="Z94" s="164"/>
      <c r="AA94" s="165"/>
      <c r="AE94" s="50">
        <v>1.85</v>
      </c>
    </row>
    <row r="95" spans="1:45" ht="14">
      <c r="A95" s="41" t="s">
        <v>92</v>
      </c>
      <c r="B95" s="50" t="s">
        <v>163</v>
      </c>
      <c r="C95" s="50" t="s">
        <v>164</v>
      </c>
      <c r="D95" s="48" t="s">
        <v>165</v>
      </c>
      <c r="E95" s="77" t="s">
        <v>166</v>
      </c>
      <c r="G95" s="76" t="s">
        <v>168</v>
      </c>
      <c r="H95" s="50">
        <v>4911</v>
      </c>
      <c r="I95" s="49" t="s">
        <v>1</v>
      </c>
      <c r="J95" s="50" t="s">
        <v>181</v>
      </c>
      <c r="K95" s="51">
        <v>40981</v>
      </c>
      <c r="L95" s="115">
        <v>40977</v>
      </c>
      <c r="M95" s="50">
        <f t="shared" si="1"/>
        <v>4</v>
      </c>
      <c r="N95" s="50" t="s">
        <v>2</v>
      </c>
      <c r="O95" s="131"/>
      <c r="P95" s="50">
        <v>5.2</v>
      </c>
      <c r="Q95" s="74">
        <v>6.9</v>
      </c>
      <c r="R95" s="117"/>
      <c r="T95" s="117"/>
      <c r="U95" s="131"/>
      <c r="V95" s="117"/>
      <c r="Z95" s="164"/>
      <c r="AA95" s="165"/>
      <c r="AE95" s="50">
        <v>0.09</v>
      </c>
    </row>
    <row r="96" spans="1:45" s="1" customFormat="1" ht="14">
      <c r="A96" s="75" t="s">
        <v>92</v>
      </c>
      <c r="B96" s="50" t="s">
        <v>163</v>
      </c>
      <c r="C96" s="50" t="s">
        <v>164</v>
      </c>
      <c r="D96" s="48" t="s">
        <v>165</v>
      </c>
      <c r="E96" s="50" t="s">
        <v>166</v>
      </c>
      <c r="F96" s="50"/>
      <c r="G96" s="76" t="s">
        <v>168</v>
      </c>
      <c r="H96" s="50">
        <v>4911</v>
      </c>
      <c r="I96" s="49" t="s">
        <v>1</v>
      </c>
      <c r="J96" s="50" t="s">
        <v>182</v>
      </c>
      <c r="K96" s="51">
        <v>40996</v>
      </c>
      <c r="L96" s="115">
        <v>40993</v>
      </c>
      <c r="M96" s="50">
        <f t="shared" si="1"/>
        <v>3</v>
      </c>
      <c r="N96" s="50" t="s">
        <v>2</v>
      </c>
      <c r="O96" s="152"/>
      <c r="P96" s="50">
        <v>4.5999999999999996</v>
      </c>
      <c r="Q96" s="49">
        <v>7.7</v>
      </c>
      <c r="R96" s="117"/>
      <c r="S96" s="49"/>
      <c r="T96" s="117"/>
      <c r="U96" s="152"/>
      <c r="V96" s="117"/>
      <c r="W96" s="49"/>
      <c r="X96" s="50"/>
      <c r="Y96" s="50"/>
      <c r="Z96" s="164"/>
      <c r="AA96" s="269"/>
      <c r="AB96" s="50"/>
      <c r="AC96" s="49"/>
      <c r="AD96" s="271"/>
      <c r="AE96" s="50">
        <v>2.88</v>
      </c>
      <c r="AF96" s="50"/>
      <c r="AG96" s="50"/>
      <c r="AH96" s="50"/>
      <c r="AI96" s="49"/>
      <c r="AJ96" s="50"/>
      <c r="AK96" s="50"/>
      <c r="AL96" s="113"/>
      <c r="AM96" s="402"/>
      <c r="AN96" s="49"/>
      <c r="AO96" s="49"/>
      <c r="AP96" s="49"/>
      <c r="AQ96" s="49"/>
      <c r="AR96" s="49"/>
      <c r="AS96" s="49"/>
    </row>
    <row r="97" spans="1:39" ht="14">
      <c r="A97" s="41" t="s">
        <v>92</v>
      </c>
      <c r="B97" s="50" t="s">
        <v>1192</v>
      </c>
      <c r="C97" s="50" t="s">
        <v>1193</v>
      </c>
      <c r="D97" s="48" t="s">
        <v>397</v>
      </c>
      <c r="E97" s="50" t="s">
        <v>398</v>
      </c>
      <c r="G97" s="76" t="s">
        <v>1194</v>
      </c>
      <c r="H97" s="50">
        <v>4911</v>
      </c>
      <c r="I97" s="49" t="s">
        <v>2</v>
      </c>
      <c r="J97" s="48" t="s">
        <v>1529</v>
      </c>
      <c r="K97" s="51">
        <v>40996</v>
      </c>
      <c r="L97" s="115">
        <v>40971</v>
      </c>
      <c r="M97" s="50">
        <f t="shared" ref="M97:M108" si="2">K97-L97</f>
        <v>25</v>
      </c>
      <c r="N97" s="50" t="s">
        <v>2</v>
      </c>
      <c r="O97" s="131">
        <f>1.4/2</f>
        <v>0.7</v>
      </c>
      <c r="P97" s="50">
        <v>5</v>
      </c>
      <c r="Q97" s="74">
        <v>6.8</v>
      </c>
      <c r="R97" s="117">
        <v>98</v>
      </c>
      <c r="S97" s="74">
        <v>11</v>
      </c>
      <c r="T97" s="50">
        <v>7.0000000000000007E-2</v>
      </c>
      <c r="U97" s="74">
        <v>2.72</v>
      </c>
      <c r="V97" s="50">
        <v>2.7</v>
      </c>
      <c r="W97" s="74">
        <v>0.13800000000000001</v>
      </c>
      <c r="X97" s="50">
        <v>0.437</v>
      </c>
      <c r="Y97" s="50">
        <v>0.21199999999999999</v>
      </c>
      <c r="Z97" s="164"/>
      <c r="AA97" s="165"/>
      <c r="AE97" s="50">
        <v>0.56000000000000005</v>
      </c>
    </row>
    <row r="98" spans="1:39" ht="14">
      <c r="A98" s="41" t="s">
        <v>92</v>
      </c>
      <c r="B98" s="50" t="s">
        <v>1192</v>
      </c>
      <c r="C98" s="50" t="s">
        <v>1193</v>
      </c>
      <c r="D98" s="48" t="s">
        <v>397</v>
      </c>
      <c r="E98" s="50" t="s">
        <v>398</v>
      </c>
      <c r="G98" s="76" t="s">
        <v>1194</v>
      </c>
      <c r="H98" s="50">
        <v>4911</v>
      </c>
      <c r="I98" s="49" t="s">
        <v>2</v>
      </c>
      <c r="J98" s="48" t="s">
        <v>1530</v>
      </c>
      <c r="K98" s="51">
        <v>40996</v>
      </c>
      <c r="L98" s="115">
        <v>40971</v>
      </c>
      <c r="M98" s="50">
        <f t="shared" si="2"/>
        <v>25</v>
      </c>
      <c r="N98" s="50" t="s">
        <v>2</v>
      </c>
      <c r="O98" s="131">
        <v>8.1</v>
      </c>
      <c r="P98" s="50">
        <v>5</v>
      </c>
      <c r="Q98" s="74">
        <v>10.9</v>
      </c>
      <c r="R98" s="117">
        <v>116</v>
      </c>
      <c r="S98" s="74">
        <v>1900</v>
      </c>
      <c r="T98" s="50">
        <v>4.07</v>
      </c>
      <c r="U98" s="74">
        <v>5.7</v>
      </c>
      <c r="V98" s="50">
        <v>0.63</v>
      </c>
      <c r="W98" s="74">
        <v>0.38300000000000001</v>
      </c>
      <c r="X98" s="50">
        <v>0.74299999999999999</v>
      </c>
      <c r="Y98" s="50">
        <v>0.70299999999999996</v>
      </c>
      <c r="Z98" s="164"/>
      <c r="AA98" s="165"/>
      <c r="AE98" s="50">
        <v>154</v>
      </c>
    </row>
    <row r="99" spans="1:39" ht="14">
      <c r="A99" s="41" t="s">
        <v>92</v>
      </c>
      <c r="B99" s="50" t="s">
        <v>1192</v>
      </c>
      <c r="C99" s="50" t="s">
        <v>1193</v>
      </c>
      <c r="D99" s="48" t="s">
        <v>397</v>
      </c>
      <c r="E99" s="50" t="s">
        <v>398</v>
      </c>
      <c r="G99" s="76" t="s">
        <v>1194</v>
      </c>
      <c r="H99" s="50">
        <v>4911</v>
      </c>
      <c r="I99" s="49" t="s">
        <v>2</v>
      </c>
      <c r="J99" s="48" t="s">
        <v>1531</v>
      </c>
      <c r="K99" s="51">
        <v>40996</v>
      </c>
      <c r="L99" s="115">
        <v>40971</v>
      </c>
      <c r="M99" s="50">
        <f t="shared" si="2"/>
        <v>25</v>
      </c>
      <c r="N99" s="50" t="s">
        <v>2</v>
      </c>
      <c r="O99" s="131">
        <f>1.4/2</f>
        <v>0.7</v>
      </c>
      <c r="P99" s="50">
        <v>5</v>
      </c>
      <c r="Q99" s="74">
        <v>6.4</v>
      </c>
      <c r="R99" s="117">
        <v>20</v>
      </c>
      <c r="S99" s="74">
        <v>17</v>
      </c>
      <c r="T99" s="50">
        <v>0.08</v>
      </c>
      <c r="U99" s="74">
        <v>1.76</v>
      </c>
      <c r="V99" s="50">
        <v>0.59</v>
      </c>
      <c r="W99" s="74">
        <v>1.9E-2</v>
      </c>
      <c r="X99" s="50">
        <v>0.123</v>
      </c>
      <c r="Y99" s="50">
        <v>7.0000000000000001E-3</v>
      </c>
      <c r="Z99" s="164"/>
      <c r="AA99" s="165"/>
      <c r="AE99" s="50">
        <v>0.90400000000000003</v>
      </c>
    </row>
    <row r="100" spans="1:39" ht="14">
      <c r="A100" s="41" t="s">
        <v>92</v>
      </c>
      <c r="B100" s="50" t="s">
        <v>1192</v>
      </c>
      <c r="C100" s="50" t="s">
        <v>1193</v>
      </c>
      <c r="D100" s="48" t="s">
        <v>397</v>
      </c>
      <c r="E100" s="50" t="s">
        <v>398</v>
      </c>
      <c r="G100" s="76" t="s">
        <v>1194</v>
      </c>
      <c r="H100" s="50">
        <v>4911</v>
      </c>
      <c r="I100" s="49" t="s">
        <v>2</v>
      </c>
      <c r="J100" s="48" t="s">
        <v>1532</v>
      </c>
      <c r="K100" s="51">
        <v>40996</v>
      </c>
      <c r="L100" s="115">
        <v>40971</v>
      </c>
      <c r="M100" s="50">
        <f t="shared" si="2"/>
        <v>25</v>
      </c>
      <c r="N100" s="50" t="s">
        <v>2</v>
      </c>
      <c r="O100" s="131">
        <f>1.4/2</f>
        <v>0.7</v>
      </c>
      <c r="P100" s="50">
        <v>5</v>
      </c>
      <c r="Q100" s="74">
        <v>6.8</v>
      </c>
      <c r="R100" s="117">
        <v>20</v>
      </c>
      <c r="S100" s="74">
        <v>17</v>
      </c>
      <c r="T100" s="50">
        <v>0.08</v>
      </c>
      <c r="U100" s="74">
        <v>1.76</v>
      </c>
      <c r="V100" s="50">
        <v>0.59</v>
      </c>
      <c r="W100" s="74">
        <v>1.9E-2</v>
      </c>
      <c r="X100" s="50">
        <v>0.123</v>
      </c>
      <c r="Y100" s="50">
        <v>7.0000000000000001E-3</v>
      </c>
      <c r="Z100" s="164"/>
      <c r="AA100" s="165"/>
      <c r="AE100" s="50">
        <v>0.90400000000000003</v>
      </c>
    </row>
    <row r="101" spans="1:39" ht="14">
      <c r="A101" s="41" t="s">
        <v>92</v>
      </c>
      <c r="B101" s="50" t="s">
        <v>1192</v>
      </c>
      <c r="C101" s="50" t="s">
        <v>1193</v>
      </c>
      <c r="D101" s="48" t="s">
        <v>397</v>
      </c>
      <c r="E101" s="50" t="s">
        <v>398</v>
      </c>
      <c r="G101" s="76" t="s">
        <v>1194</v>
      </c>
      <c r="H101" s="50">
        <v>4911</v>
      </c>
      <c r="I101" s="49" t="s">
        <v>2</v>
      </c>
      <c r="J101" s="48" t="s">
        <v>1529</v>
      </c>
      <c r="K101" s="51">
        <v>41175</v>
      </c>
      <c r="L101" s="115">
        <v>41171</v>
      </c>
      <c r="M101" s="50">
        <f t="shared" si="2"/>
        <v>4</v>
      </c>
      <c r="N101" s="50" t="s">
        <v>2</v>
      </c>
      <c r="O101" s="131">
        <f>1.4/2</f>
        <v>0.7</v>
      </c>
      <c r="P101" s="77">
        <v>5.3</v>
      </c>
      <c r="Q101" s="74">
        <v>7</v>
      </c>
      <c r="R101" s="117">
        <v>27</v>
      </c>
      <c r="S101" s="74">
        <f>5/2</f>
        <v>2.5</v>
      </c>
      <c r="T101" s="50">
        <f>0.01/2</f>
        <v>5.0000000000000001E-3</v>
      </c>
      <c r="U101" s="74">
        <v>0.43</v>
      </c>
      <c r="V101" s="50">
        <v>0.17</v>
      </c>
      <c r="W101" s="74">
        <v>5.0000000000000001E-3</v>
      </c>
      <c r="X101" s="50">
        <v>7.1999999999999995E-2</v>
      </c>
      <c r="Y101" s="50">
        <v>1.7999999999999999E-2</v>
      </c>
      <c r="Z101" s="164"/>
      <c r="AA101" s="165"/>
      <c r="AE101" s="50">
        <v>4.9000000000000002E-2</v>
      </c>
    </row>
    <row r="102" spans="1:39" ht="14">
      <c r="A102" s="41" t="s">
        <v>92</v>
      </c>
      <c r="B102" s="50" t="s">
        <v>1192</v>
      </c>
      <c r="C102" s="50" t="s">
        <v>1193</v>
      </c>
      <c r="D102" s="48" t="s">
        <v>397</v>
      </c>
      <c r="E102" s="50" t="s">
        <v>398</v>
      </c>
      <c r="G102" s="76" t="s">
        <v>1194</v>
      </c>
      <c r="H102" s="50">
        <v>4911</v>
      </c>
      <c r="I102" s="49" t="s">
        <v>2</v>
      </c>
      <c r="J102" s="48" t="s">
        <v>1530</v>
      </c>
      <c r="K102" s="51">
        <v>41175</v>
      </c>
      <c r="L102" s="115">
        <v>41171</v>
      </c>
      <c r="M102" s="50">
        <f t="shared" si="2"/>
        <v>4</v>
      </c>
      <c r="N102" s="50" t="s">
        <v>2</v>
      </c>
      <c r="O102" s="131">
        <v>8.1</v>
      </c>
      <c r="P102" s="77">
        <v>5.3</v>
      </c>
      <c r="Q102" s="74">
        <v>6.5</v>
      </c>
      <c r="R102" s="117">
        <v>46</v>
      </c>
      <c r="S102" s="74">
        <v>52</v>
      </c>
      <c r="T102" s="50">
        <v>0.13</v>
      </c>
      <c r="U102" s="74">
        <v>1.02</v>
      </c>
      <c r="V102" s="50">
        <v>0.41</v>
      </c>
      <c r="W102" s="74">
        <v>3.7999999999999999E-2</v>
      </c>
      <c r="X102" s="50">
        <v>0.40600000000000003</v>
      </c>
      <c r="Y102" s="50">
        <v>0.10199999999999999</v>
      </c>
      <c r="Z102" s="164"/>
      <c r="AA102" s="165"/>
      <c r="AE102" s="50">
        <v>3.27</v>
      </c>
    </row>
    <row r="103" spans="1:39" ht="14">
      <c r="A103" s="41" t="s">
        <v>92</v>
      </c>
      <c r="B103" s="50" t="s">
        <v>1192</v>
      </c>
      <c r="C103" s="50" t="s">
        <v>1193</v>
      </c>
      <c r="D103" s="48" t="s">
        <v>397</v>
      </c>
      <c r="E103" s="50" t="s">
        <v>398</v>
      </c>
      <c r="G103" s="76" t="s">
        <v>1194</v>
      </c>
      <c r="H103" s="50">
        <v>4911</v>
      </c>
      <c r="I103" s="49" t="s">
        <v>2</v>
      </c>
      <c r="J103" s="48" t="s">
        <v>1531</v>
      </c>
      <c r="K103" s="51">
        <v>41175</v>
      </c>
      <c r="L103" s="115">
        <v>41171</v>
      </c>
      <c r="M103" s="50">
        <f t="shared" si="2"/>
        <v>4</v>
      </c>
      <c r="N103" s="50" t="s">
        <v>2</v>
      </c>
      <c r="O103" s="131">
        <f>1.4/2</f>
        <v>0.7</v>
      </c>
      <c r="P103" s="77">
        <v>5.3</v>
      </c>
      <c r="Q103" s="74">
        <v>5.4</v>
      </c>
      <c r="R103" s="117">
        <v>31</v>
      </c>
      <c r="S103" s="74">
        <f>5/2</f>
        <v>2.5</v>
      </c>
      <c r="T103" s="50">
        <v>0.03</v>
      </c>
      <c r="U103" s="74">
        <v>0.88</v>
      </c>
      <c r="V103" s="50">
        <v>0.33</v>
      </c>
      <c r="W103" s="74">
        <v>1.6E-2</v>
      </c>
      <c r="X103" s="50">
        <v>5.2999999999999999E-2</v>
      </c>
      <c r="Y103" s="50">
        <v>1E-3</v>
      </c>
      <c r="Z103" s="164"/>
      <c r="AA103" s="165"/>
      <c r="AE103" s="50">
        <v>0.253</v>
      </c>
    </row>
    <row r="104" spans="1:39" ht="14">
      <c r="A104" s="41" t="s">
        <v>92</v>
      </c>
      <c r="B104" s="50" t="s">
        <v>1192</v>
      </c>
      <c r="C104" s="50" t="s">
        <v>1193</v>
      </c>
      <c r="D104" s="48" t="s">
        <v>397</v>
      </c>
      <c r="E104" s="50" t="s">
        <v>398</v>
      </c>
      <c r="G104" s="76" t="s">
        <v>1194</v>
      </c>
      <c r="H104" s="50">
        <v>4911</v>
      </c>
      <c r="I104" s="49" t="s">
        <v>2</v>
      </c>
      <c r="J104" s="48" t="s">
        <v>1532</v>
      </c>
      <c r="K104" s="51">
        <v>41175</v>
      </c>
      <c r="L104" s="115">
        <v>41171</v>
      </c>
      <c r="M104" s="50">
        <f t="shared" si="2"/>
        <v>4</v>
      </c>
      <c r="N104" s="50" t="s">
        <v>2</v>
      </c>
      <c r="O104" s="131">
        <f>1.4/2</f>
        <v>0.7</v>
      </c>
      <c r="P104" s="77">
        <v>5.3</v>
      </c>
      <c r="Q104" s="74">
        <v>5.8</v>
      </c>
      <c r="R104" s="117">
        <v>33</v>
      </c>
      <c r="S104" s="74">
        <v>17</v>
      </c>
      <c r="T104" s="50">
        <v>0.03</v>
      </c>
      <c r="U104" s="74">
        <v>0.74</v>
      </c>
      <c r="V104" s="50">
        <v>0.69</v>
      </c>
      <c r="W104" s="74">
        <v>8.9999999999999993E-3</v>
      </c>
      <c r="X104" s="50">
        <v>0.13400000000000001</v>
      </c>
      <c r="Y104" s="50">
        <v>8.9999999999999993E-3</v>
      </c>
      <c r="Z104" s="164"/>
      <c r="AA104" s="165"/>
      <c r="AE104" s="50">
        <v>0.75900000000000001</v>
      </c>
    </row>
    <row r="105" spans="1:39" ht="14">
      <c r="A105" s="41" t="s">
        <v>92</v>
      </c>
      <c r="B105" s="50" t="s">
        <v>1192</v>
      </c>
      <c r="C105" s="50" t="s">
        <v>1193</v>
      </c>
      <c r="D105" s="48" t="s">
        <v>397</v>
      </c>
      <c r="E105" s="50" t="s">
        <v>398</v>
      </c>
      <c r="G105" s="76" t="s">
        <v>1194</v>
      </c>
      <c r="H105" s="50">
        <v>4911</v>
      </c>
      <c r="I105" s="49" t="s">
        <v>2</v>
      </c>
      <c r="J105" s="48" t="s">
        <v>1529</v>
      </c>
      <c r="K105" s="51">
        <v>41240</v>
      </c>
      <c r="L105" s="115">
        <v>41211</v>
      </c>
      <c r="M105" s="50">
        <f t="shared" si="2"/>
        <v>29</v>
      </c>
      <c r="N105" s="50" t="s">
        <v>2</v>
      </c>
      <c r="O105" s="131"/>
      <c r="R105" s="117"/>
      <c r="Z105" s="164"/>
      <c r="AA105" s="165"/>
      <c r="AE105" s="50">
        <v>0.30299999999999999</v>
      </c>
    </row>
    <row r="106" spans="1:39" ht="14">
      <c r="A106" s="41" t="s">
        <v>92</v>
      </c>
      <c r="B106" s="50" t="s">
        <v>1192</v>
      </c>
      <c r="C106" s="50" t="s">
        <v>1193</v>
      </c>
      <c r="D106" s="48" t="s">
        <v>397</v>
      </c>
      <c r="E106" s="50" t="s">
        <v>398</v>
      </c>
      <c r="G106" s="76" t="s">
        <v>1194</v>
      </c>
      <c r="H106" s="50">
        <v>4911</v>
      </c>
      <c r="I106" s="49" t="s">
        <v>2</v>
      </c>
      <c r="J106" s="48" t="s">
        <v>1530</v>
      </c>
      <c r="K106" s="51">
        <v>41240</v>
      </c>
      <c r="L106" s="115">
        <v>41211</v>
      </c>
      <c r="M106" s="50">
        <f t="shared" si="2"/>
        <v>29</v>
      </c>
      <c r="N106" s="50" t="s">
        <v>2</v>
      </c>
      <c r="O106" s="131"/>
      <c r="R106" s="117"/>
      <c r="Z106" s="164"/>
      <c r="AA106" s="165"/>
      <c r="AE106" s="50">
        <v>0.20799999999999999</v>
      </c>
    </row>
    <row r="107" spans="1:39" ht="14">
      <c r="A107" s="41" t="s">
        <v>92</v>
      </c>
      <c r="B107" s="50" t="s">
        <v>1192</v>
      </c>
      <c r="C107" s="50" t="s">
        <v>1193</v>
      </c>
      <c r="D107" s="48" t="s">
        <v>397</v>
      </c>
      <c r="E107" s="50" t="s">
        <v>398</v>
      </c>
      <c r="G107" s="76" t="s">
        <v>1194</v>
      </c>
      <c r="H107" s="50">
        <v>4911</v>
      </c>
      <c r="I107" s="49" t="s">
        <v>2</v>
      </c>
      <c r="J107" s="48" t="s">
        <v>1531</v>
      </c>
      <c r="K107" s="51">
        <v>41240</v>
      </c>
      <c r="L107" s="115">
        <v>41211</v>
      </c>
      <c r="M107" s="50">
        <f t="shared" si="2"/>
        <v>29</v>
      </c>
      <c r="N107" s="50" t="s">
        <v>2</v>
      </c>
      <c r="O107" s="131"/>
      <c r="R107" s="117"/>
      <c r="Z107" s="164"/>
      <c r="AA107" s="165"/>
      <c r="AE107" s="50">
        <v>0.27600000000000002</v>
      </c>
    </row>
    <row r="108" spans="1:39" ht="14">
      <c r="A108" s="41" t="s">
        <v>92</v>
      </c>
      <c r="B108" s="50" t="s">
        <v>1192</v>
      </c>
      <c r="C108" s="50" t="s">
        <v>1193</v>
      </c>
      <c r="D108" s="48" t="s">
        <v>397</v>
      </c>
      <c r="E108" s="50" t="s">
        <v>398</v>
      </c>
      <c r="G108" s="76" t="s">
        <v>1194</v>
      </c>
      <c r="H108" s="50">
        <v>4911</v>
      </c>
      <c r="I108" s="49" t="s">
        <v>2</v>
      </c>
      <c r="J108" s="48" t="s">
        <v>1532</v>
      </c>
      <c r="K108" s="51">
        <v>41240</v>
      </c>
      <c r="L108" s="115">
        <v>41211</v>
      </c>
      <c r="M108" s="50">
        <f t="shared" si="2"/>
        <v>29</v>
      </c>
      <c r="N108" s="50" t="s">
        <v>2</v>
      </c>
      <c r="O108" s="131"/>
      <c r="R108" s="117"/>
      <c r="Z108" s="164"/>
      <c r="AA108" s="165"/>
      <c r="AE108" s="50">
        <v>8.8999999999999996E-2</v>
      </c>
    </row>
    <row r="109" spans="1:39" ht="14">
      <c r="A109" s="41" t="s">
        <v>92</v>
      </c>
      <c r="B109" s="50" t="s">
        <v>2343</v>
      </c>
      <c r="D109" s="48" t="s">
        <v>262</v>
      </c>
      <c r="E109" s="50" t="s">
        <v>874</v>
      </c>
      <c r="G109" s="76" t="s">
        <v>2344</v>
      </c>
      <c r="H109" s="50">
        <v>4911</v>
      </c>
      <c r="I109" s="50" t="s">
        <v>1</v>
      </c>
      <c r="J109" s="50" t="s">
        <v>2034</v>
      </c>
      <c r="K109" s="51">
        <v>41148</v>
      </c>
      <c r="L109" s="115">
        <v>41139</v>
      </c>
      <c r="O109" s="131">
        <f>2/2</f>
        <v>1</v>
      </c>
      <c r="P109" s="50">
        <v>7.2</v>
      </c>
      <c r="Q109" s="74">
        <v>7.2</v>
      </c>
      <c r="R109" s="117">
        <v>89</v>
      </c>
      <c r="S109" s="74">
        <v>14</v>
      </c>
      <c r="T109" s="50">
        <v>0.15</v>
      </c>
      <c r="U109" s="74">
        <v>5.62</v>
      </c>
      <c r="V109" s="50">
        <v>2.0299999999999998</v>
      </c>
      <c r="W109" s="74">
        <v>0.03</v>
      </c>
      <c r="X109" s="50">
        <v>4.3999999999999997E-2</v>
      </c>
      <c r="Y109" s="50">
        <f>0.03/2</f>
        <v>1.4999999999999999E-2</v>
      </c>
      <c r="Z109" s="164">
        <v>1</v>
      </c>
      <c r="AA109" s="165">
        <v>1</v>
      </c>
      <c r="AB109" s="50">
        <v>127</v>
      </c>
      <c r="AC109" s="74">
        <v>1348</v>
      </c>
      <c r="AD109" s="271">
        <v>0.95</v>
      </c>
      <c r="AE109" s="50">
        <v>1.32</v>
      </c>
      <c r="AH109" s="50">
        <f>10/2</f>
        <v>5</v>
      </c>
      <c r="AM109" s="402">
        <f>100/2</f>
        <v>50</v>
      </c>
    </row>
    <row r="110" spans="1:39" thickBot="1">
      <c r="A110" s="41" t="s">
        <v>92</v>
      </c>
      <c r="B110" s="50" t="s">
        <v>2343</v>
      </c>
      <c r="C110" s="50" t="s">
        <v>2343</v>
      </c>
      <c r="D110" s="48" t="s">
        <v>262</v>
      </c>
      <c r="E110" s="50" t="s">
        <v>874</v>
      </c>
      <c r="G110" s="76" t="s">
        <v>2344</v>
      </c>
      <c r="H110" s="50">
        <v>4911</v>
      </c>
      <c r="I110" s="50" t="s">
        <v>1</v>
      </c>
      <c r="J110" s="50" t="s">
        <v>2345</v>
      </c>
      <c r="K110" s="51">
        <v>41148</v>
      </c>
      <c r="L110" s="115">
        <v>41139</v>
      </c>
      <c r="O110" s="131">
        <f>2/2</f>
        <v>1</v>
      </c>
      <c r="P110" s="50">
        <v>7.2</v>
      </c>
      <c r="Q110" s="74">
        <v>7.3</v>
      </c>
      <c r="R110" s="117">
        <v>57</v>
      </c>
      <c r="S110" s="74">
        <v>26</v>
      </c>
      <c r="T110" s="50">
        <v>0.4</v>
      </c>
      <c r="U110" s="74">
        <v>6.28</v>
      </c>
      <c r="V110" s="50">
        <v>1.91</v>
      </c>
      <c r="W110" s="74">
        <v>3.1E-2</v>
      </c>
      <c r="X110" s="50">
        <v>0.746</v>
      </c>
      <c r="Y110" s="50">
        <f>0.03/2</f>
        <v>1.4999999999999999E-2</v>
      </c>
      <c r="Z110" s="164">
        <v>1</v>
      </c>
      <c r="AA110" s="165">
        <v>1</v>
      </c>
      <c r="AB110" s="50">
        <v>105</v>
      </c>
      <c r="AC110" s="74">
        <v>445</v>
      </c>
      <c r="AD110" s="271">
        <v>0.8</v>
      </c>
      <c r="AE110" s="50">
        <v>0.62</v>
      </c>
      <c r="AH110" s="50">
        <f>10/2</f>
        <v>5</v>
      </c>
      <c r="AM110" s="402">
        <f>100/2</f>
        <v>50</v>
      </c>
    </row>
    <row r="111" spans="1:39" thickBot="1">
      <c r="A111" s="41" t="s">
        <v>92</v>
      </c>
      <c r="B111" s="50" t="s">
        <v>2339</v>
      </c>
      <c r="C111" s="50" t="s">
        <v>2339</v>
      </c>
      <c r="D111" s="43" t="s">
        <v>133</v>
      </c>
      <c r="E111" s="50" t="s">
        <v>140</v>
      </c>
      <c r="F111" s="50">
        <v>4400</v>
      </c>
      <c r="G111" s="76" t="s">
        <v>2340</v>
      </c>
      <c r="H111" s="50">
        <v>4911</v>
      </c>
      <c r="I111" s="50"/>
      <c r="J111" s="50" t="s">
        <v>3794</v>
      </c>
      <c r="K111" s="51">
        <v>41149</v>
      </c>
      <c r="L111" s="115">
        <v>41139</v>
      </c>
      <c r="N111" s="50" t="s">
        <v>2</v>
      </c>
      <c r="O111" s="131">
        <v>9.4</v>
      </c>
      <c r="P111" s="50">
        <v>6.03</v>
      </c>
      <c r="Q111" s="74">
        <v>5.9</v>
      </c>
      <c r="R111" s="117">
        <v>26.9</v>
      </c>
      <c r="S111" s="50">
        <v>4</v>
      </c>
      <c r="T111" s="50">
        <v>0.1</v>
      </c>
      <c r="U111" s="74">
        <v>0.96</v>
      </c>
      <c r="V111" s="50">
        <v>0.4</v>
      </c>
      <c r="W111" s="74">
        <v>0.01</v>
      </c>
      <c r="X111" s="50">
        <v>0.05</v>
      </c>
      <c r="Y111" s="50">
        <v>0.02</v>
      </c>
      <c r="Z111" s="164"/>
      <c r="AA111" s="164"/>
      <c r="AE111" s="50">
        <v>0.76</v>
      </c>
    </row>
    <row r="112" spans="1:39" ht="14">
      <c r="A112" s="41" t="s">
        <v>92</v>
      </c>
      <c r="B112" s="50" t="s">
        <v>2339</v>
      </c>
      <c r="C112" s="50" t="s">
        <v>2339</v>
      </c>
      <c r="D112" s="43" t="s">
        <v>133</v>
      </c>
      <c r="E112" s="50" t="s">
        <v>140</v>
      </c>
      <c r="F112" s="50">
        <v>4400</v>
      </c>
      <c r="G112" s="76" t="s">
        <v>2340</v>
      </c>
      <c r="H112" s="50">
        <v>4911</v>
      </c>
      <c r="I112" s="50"/>
      <c r="J112" s="50" t="s">
        <v>2342</v>
      </c>
      <c r="K112" s="51">
        <v>41149</v>
      </c>
      <c r="L112" s="115">
        <v>41139</v>
      </c>
      <c r="N112" s="50" t="s">
        <v>2</v>
      </c>
      <c r="O112" s="131">
        <v>5.8</v>
      </c>
      <c r="P112" s="50">
        <v>5.66</v>
      </c>
      <c r="Q112" s="74">
        <v>5.85</v>
      </c>
      <c r="R112" s="117">
        <v>13.8</v>
      </c>
      <c r="S112" s="74">
        <f>1/2</f>
        <v>0.5</v>
      </c>
      <c r="T112" s="50">
        <f>0.05/2</f>
        <v>2.5000000000000001E-2</v>
      </c>
      <c r="U112" s="74">
        <v>1.32</v>
      </c>
      <c r="V112" s="50">
        <v>0.44</v>
      </c>
      <c r="W112" s="74">
        <v>0.02</v>
      </c>
      <c r="X112" s="50">
        <v>0.41</v>
      </c>
      <c r="Y112" s="50">
        <f>0.02/2</f>
        <v>0.01</v>
      </c>
      <c r="Z112" s="164"/>
      <c r="AA112" s="165"/>
      <c r="AE112" s="50">
        <v>0.08</v>
      </c>
    </row>
    <row r="113" spans="1:39" ht="14">
      <c r="A113" s="41" t="s">
        <v>92</v>
      </c>
      <c r="B113" s="54" t="s">
        <v>396</v>
      </c>
      <c r="C113" s="50" t="s">
        <v>396</v>
      </c>
      <c r="D113" s="48" t="s">
        <v>397</v>
      </c>
      <c r="E113" s="50" t="s">
        <v>398</v>
      </c>
      <c r="G113" s="61" t="s">
        <v>399</v>
      </c>
      <c r="H113" s="54">
        <v>4931</v>
      </c>
      <c r="I113" s="50"/>
      <c r="J113" s="50" t="s">
        <v>401</v>
      </c>
      <c r="K113" s="51">
        <v>41021</v>
      </c>
      <c r="L113" s="115">
        <v>41000</v>
      </c>
      <c r="N113" s="50" t="s">
        <v>2</v>
      </c>
      <c r="O113" s="131">
        <f>1/2</f>
        <v>0.5</v>
      </c>
      <c r="P113" s="50">
        <v>6.68</v>
      </c>
      <c r="Q113" s="74">
        <v>6.8</v>
      </c>
      <c r="R113" s="117">
        <v>86</v>
      </c>
      <c r="S113" s="74">
        <v>4.5</v>
      </c>
      <c r="T113" s="50">
        <v>7.0000000000000007E-2</v>
      </c>
      <c r="U113" s="74">
        <v>1.91</v>
      </c>
      <c r="V113" s="50">
        <v>5.4</v>
      </c>
      <c r="W113" s="74">
        <v>0.08</v>
      </c>
      <c r="X113" s="50">
        <v>2.08</v>
      </c>
      <c r="Y113" s="50">
        <f>0.02/2</f>
        <v>0.01</v>
      </c>
      <c r="Z113" s="164">
        <v>0.218</v>
      </c>
      <c r="AA113" s="165">
        <v>0.11700000000000001</v>
      </c>
      <c r="AB113" s="50">
        <v>50.3</v>
      </c>
      <c r="AC113" s="74">
        <v>91.6</v>
      </c>
      <c r="AD113" s="271">
        <f>0/20</f>
        <v>0</v>
      </c>
      <c r="AE113" s="50">
        <v>0.28999999999999998</v>
      </c>
    </row>
    <row r="114" spans="1:39" ht="14">
      <c r="A114" s="41" t="s">
        <v>92</v>
      </c>
      <c r="B114" s="54" t="s">
        <v>396</v>
      </c>
      <c r="C114" s="50" t="s">
        <v>396</v>
      </c>
      <c r="D114" s="48" t="s">
        <v>397</v>
      </c>
      <c r="E114" s="50" t="s">
        <v>398</v>
      </c>
      <c r="G114" s="61" t="s">
        <v>399</v>
      </c>
      <c r="H114" s="54">
        <v>4931</v>
      </c>
      <c r="I114" s="50"/>
      <c r="J114" s="50" t="s">
        <v>402</v>
      </c>
      <c r="K114" s="51">
        <v>41021</v>
      </c>
      <c r="L114" s="115">
        <v>41000</v>
      </c>
      <c r="N114" s="50" t="s">
        <v>2</v>
      </c>
      <c r="O114" s="131">
        <v>3</v>
      </c>
      <c r="P114" s="50">
        <v>6.68</v>
      </c>
      <c r="Q114" s="74">
        <v>6.48</v>
      </c>
      <c r="R114" s="117">
        <v>41.6</v>
      </c>
      <c r="S114" s="74">
        <v>8</v>
      </c>
      <c r="T114" s="50">
        <v>0.11</v>
      </c>
      <c r="U114" s="74">
        <v>1.96</v>
      </c>
      <c r="V114" s="50">
        <v>0.57999999999999996</v>
      </c>
      <c r="W114" s="74">
        <v>0.02</v>
      </c>
      <c r="X114" s="50">
        <v>0.47</v>
      </c>
      <c r="Y114" s="50">
        <f>0.02/2</f>
        <v>0.01</v>
      </c>
      <c r="Z114" s="164">
        <v>1</v>
      </c>
      <c r="AA114" s="165">
        <v>0.91700000000000004</v>
      </c>
      <c r="AB114" s="50">
        <v>12.1</v>
      </c>
      <c r="AC114" s="74">
        <v>33.9</v>
      </c>
      <c r="AD114" s="271">
        <f>8/20</f>
        <v>0.4</v>
      </c>
      <c r="AE114" s="50">
        <v>0.53</v>
      </c>
    </row>
    <row r="115" spans="1:39" ht="14">
      <c r="A115" s="41" t="s">
        <v>92</v>
      </c>
      <c r="B115" s="54" t="s">
        <v>396</v>
      </c>
      <c r="C115" s="50" t="s">
        <v>396</v>
      </c>
      <c r="D115" s="48" t="s">
        <v>397</v>
      </c>
      <c r="E115" s="50" t="s">
        <v>398</v>
      </c>
      <c r="G115" s="61" t="s">
        <v>399</v>
      </c>
      <c r="H115" s="54">
        <v>4931</v>
      </c>
      <c r="I115" s="50"/>
      <c r="J115" s="50" t="s">
        <v>403</v>
      </c>
      <c r="K115" s="51">
        <v>41021</v>
      </c>
      <c r="L115" s="115">
        <v>41000</v>
      </c>
      <c r="N115" s="50" t="s">
        <v>2</v>
      </c>
      <c r="O115" s="131">
        <v>5</v>
      </c>
      <c r="P115" s="50">
        <v>6.8</v>
      </c>
      <c r="Q115" s="74">
        <v>6.74</v>
      </c>
      <c r="R115" s="117">
        <v>142.6</v>
      </c>
      <c r="S115" s="74">
        <v>11</v>
      </c>
      <c r="T115" s="50">
        <v>0.11</v>
      </c>
      <c r="U115" s="74">
        <v>2.25</v>
      </c>
      <c r="V115" s="50">
        <v>1.1000000000000001</v>
      </c>
      <c r="W115" s="74">
        <v>0.03</v>
      </c>
      <c r="X115" s="50">
        <v>0.2</v>
      </c>
      <c r="Y115" s="50">
        <f>0.02/2</f>
        <v>0.01</v>
      </c>
      <c r="Z115" s="164">
        <v>1</v>
      </c>
      <c r="AA115" s="165">
        <v>1</v>
      </c>
      <c r="AB115" s="50">
        <v>43.7</v>
      </c>
      <c r="AC115" s="74">
        <v>103</v>
      </c>
      <c r="AD115" s="164">
        <f>19/20</f>
        <v>0.95</v>
      </c>
      <c r="AE115" s="50">
        <v>0.98</v>
      </c>
    </row>
    <row r="116" spans="1:39" ht="14">
      <c r="A116" s="41" t="s">
        <v>92</v>
      </c>
      <c r="B116" s="54" t="s">
        <v>396</v>
      </c>
      <c r="C116" s="50" t="s">
        <v>396</v>
      </c>
      <c r="D116" s="48" t="s">
        <v>397</v>
      </c>
      <c r="E116" s="50" t="s">
        <v>398</v>
      </c>
      <c r="G116" s="61" t="s">
        <v>399</v>
      </c>
      <c r="H116" s="54">
        <v>4931</v>
      </c>
      <c r="J116" s="50" t="s">
        <v>400</v>
      </c>
      <c r="K116" s="51">
        <v>41021</v>
      </c>
      <c r="L116" s="115">
        <v>41000</v>
      </c>
      <c r="N116" s="50" t="s">
        <v>2</v>
      </c>
      <c r="O116" s="131">
        <f>1/2</f>
        <v>0.5</v>
      </c>
      <c r="P116" s="50">
        <v>6.68</v>
      </c>
      <c r="Q116" s="74">
        <v>6.75</v>
      </c>
      <c r="R116" s="117">
        <v>104.4</v>
      </c>
      <c r="S116" s="74">
        <v>24.5</v>
      </c>
      <c r="T116" s="50">
        <v>0.5</v>
      </c>
      <c r="U116" s="74">
        <v>2.87</v>
      </c>
      <c r="V116" s="50">
        <v>1.8</v>
      </c>
      <c r="W116" s="74">
        <v>0.03</v>
      </c>
      <c r="X116" s="50">
        <v>0.84</v>
      </c>
      <c r="Y116" s="50">
        <f>0.02</f>
        <v>0.02</v>
      </c>
      <c r="Z116" s="164">
        <v>1</v>
      </c>
      <c r="AA116" s="164">
        <v>1</v>
      </c>
      <c r="AB116" s="50">
        <v>49.1</v>
      </c>
      <c r="AC116" s="50">
        <v>111.3</v>
      </c>
      <c r="AD116" s="164">
        <f>14/20</f>
        <v>0.7</v>
      </c>
      <c r="AE116" s="50">
        <v>0.8</v>
      </c>
    </row>
    <row r="117" spans="1:39" ht="14">
      <c r="A117" s="41" t="s">
        <v>92</v>
      </c>
      <c r="B117" s="50" t="s">
        <v>2343</v>
      </c>
      <c r="C117" s="50" t="s">
        <v>2343</v>
      </c>
      <c r="D117" s="48" t="s">
        <v>262</v>
      </c>
      <c r="E117" s="50" t="s">
        <v>874</v>
      </c>
      <c r="G117" s="76" t="s">
        <v>2344</v>
      </c>
      <c r="H117" s="50">
        <v>4911</v>
      </c>
      <c r="I117" s="49" t="s">
        <v>1</v>
      </c>
      <c r="J117" s="50" t="s">
        <v>2034</v>
      </c>
      <c r="K117" s="51">
        <v>41240</v>
      </c>
      <c r="L117" s="115">
        <v>41221</v>
      </c>
      <c r="N117" s="50" t="s">
        <v>2</v>
      </c>
      <c r="O117" s="131">
        <f>2/2</f>
        <v>1</v>
      </c>
      <c r="P117" s="50">
        <v>7.8</v>
      </c>
      <c r="Q117" s="74">
        <v>7.3</v>
      </c>
      <c r="R117" s="117">
        <v>124</v>
      </c>
      <c r="S117" s="74">
        <v>39</v>
      </c>
      <c r="T117" s="50">
        <v>0.09</v>
      </c>
      <c r="U117" s="74">
        <v>0.91</v>
      </c>
      <c r="V117" s="50">
        <v>0.7</v>
      </c>
      <c r="W117" s="74">
        <v>9.7000000000000003E-2</v>
      </c>
      <c r="X117" s="50">
        <v>0.04</v>
      </c>
      <c r="Y117" s="50">
        <v>0.03</v>
      </c>
      <c r="Z117" s="164">
        <v>0.31900000000000001</v>
      </c>
      <c r="AA117" s="164">
        <v>0.15</v>
      </c>
      <c r="AB117" s="50">
        <v>2885</v>
      </c>
      <c r="AC117" s="50">
        <v>15670</v>
      </c>
      <c r="AD117" s="164">
        <f>0/20</f>
        <v>0</v>
      </c>
      <c r="AE117" s="50">
        <v>1.6</v>
      </c>
      <c r="AH117" s="50">
        <f>1/2</f>
        <v>0.5</v>
      </c>
      <c r="AM117" s="402">
        <f>100/2</f>
        <v>50</v>
      </c>
    </row>
    <row r="118" spans="1:39" ht="14">
      <c r="A118" s="41" t="s">
        <v>92</v>
      </c>
      <c r="B118" s="50" t="s">
        <v>2343</v>
      </c>
      <c r="C118" s="50" t="s">
        <v>2343</v>
      </c>
      <c r="D118" s="48" t="s">
        <v>262</v>
      </c>
      <c r="E118" s="50" t="s">
        <v>874</v>
      </c>
      <c r="G118" s="76" t="s">
        <v>2344</v>
      </c>
      <c r="H118" s="50">
        <v>4911</v>
      </c>
      <c r="I118" s="49" t="s">
        <v>1</v>
      </c>
      <c r="J118" s="50" t="s">
        <v>2345</v>
      </c>
      <c r="K118" s="51">
        <v>41072</v>
      </c>
      <c r="L118" s="115">
        <v>41067</v>
      </c>
      <c r="N118" s="50" t="s">
        <v>2</v>
      </c>
      <c r="O118" s="131">
        <f>2/2</f>
        <v>1</v>
      </c>
      <c r="Q118" s="74">
        <v>6.6</v>
      </c>
      <c r="R118" s="117">
        <v>9</v>
      </c>
      <c r="S118" s="74">
        <v>2</v>
      </c>
      <c r="T118" s="50">
        <f>0.05/2</f>
        <v>2.5000000000000001E-2</v>
      </c>
      <c r="U118" s="74">
        <v>0.74</v>
      </c>
      <c r="V118" s="50">
        <v>0.74</v>
      </c>
      <c r="W118" s="74">
        <v>1.2E-2</v>
      </c>
      <c r="X118" s="50">
        <v>0.58299999999999996</v>
      </c>
      <c r="Y118" s="50">
        <f>0.03/2</f>
        <v>1.4999999999999999E-2</v>
      </c>
      <c r="Z118" s="164"/>
      <c r="AA118" s="165"/>
      <c r="AE118" s="50">
        <v>0.15</v>
      </c>
      <c r="AH118" s="50">
        <f>5/2</f>
        <v>2.5</v>
      </c>
      <c r="AI118" s="74">
        <f>50/2</f>
        <v>25</v>
      </c>
      <c r="AM118" s="402">
        <f>50/2</f>
        <v>25</v>
      </c>
    </row>
    <row r="119" spans="1:39" ht="14">
      <c r="A119" s="41" t="s">
        <v>92</v>
      </c>
      <c r="B119" s="50" t="s">
        <v>2343</v>
      </c>
      <c r="C119" s="50" t="s">
        <v>2343</v>
      </c>
      <c r="D119" s="48" t="s">
        <v>262</v>
      </c>
      <c r="E119" s="50" t="s">
        <v>874</v>
      </c>
      <c r="G119" s="76" t="s">
        <v>2344</v>
      </c>
      <c r="H119" s="50">
        <v>4911</v>
      </c>
      <c r="I119" s="49" t="s">
        <v>1</v>
      </c>
      <c r="J119" s="50" t="s">
        <v>2345</v>
      </c>
      <c r="K119" s="51">
        <v>41240</v>
      </c>
      <c r="L119" s="115">
        <v>41220</v>
      </c>
      <c r="N119" s="50" t="s">
        <v>2</v>
      </c>
      <c r="O119" s="131">
        <f>2/2</f>
        <v>1</v>
      </c>
      <c r="P119" s="50">
        <v>7.7</v>
      </c>
      <c r="Q119" s="74">
        <v>7.5</v>
      </c>
      <c r="R119" s="117">
        <v>56</v>
      </c>
      <c r="S119" s="74">
        <v>62</v>
      </c>
      <c r="T119" s="50">
        <v>0.12</v>
      </c>
      <c r="U119" s="74">
        <v>3.56</v>
      </c>
      <c r="V119" s="50">
        <v>1.1100000000000001</v>
      </c>
      <c r="W119" s="74">
        <v>7.3999999999999996E-2</v>
      </c>
      <c r="X119" s="50">
        <v>0.49399999999999999</v>
      </c>
      <c r="Y119" s="50">
        <f>0.03/2</f>
        <v>1.4999999999999999E-2</v>
      </c>
      <c r="Z119" s="164">
        <v>1</v>
      </c>
      <c r="AA119" s="165">
        <v>0.64600000000000002</v>
      </c>
      <c r="AB119" s="50">
        <v>675</v>
      </c>
      <c r="AC119" s="74">
        <v>4820</v>
      </c>
      <c r="AD119" s="164">
        <f>4/20</f>
        <v>0.2</v>
      </c>
      <c r="AE119" s="50">
        <v>1.93</v>
      </c>
      <c r="AH119" s="50">
        <f>10/2</f>
        <v>5</v>
      </c>
      <c r="AI119" s="74">
        <f>100/2</f>
        <v>50</v>
      </c>
    </row>
    <row r="120" spans="1:39" ht="14">
      <c r="A120" s="41" t="s">
        <v>92</v>
      </c>
      <c r="B120" s="50" t="s">
        <v>478</v>
      </c>
      <c r="C120" s="50" t="s">
        <v>479</v>
      </c>
      <c r="D120" s="48" t="s">
        <v>480</v>
      </c>
      <c r="E120" s="50" t="s">
        <v>1546</v>
      </c>
      <c r="G120" s="76" t="s">
        <v>481</v>
      </c>
      <c r="H120" s="50">
        <v>4911</v>
      </c>
      <c r="I120" s="49" t="s">
        <v>1</v>
      </c>
      <c r="J120" s="50" t="s">
        <v>485</v>
      </c>
      <c r="K120" s="51">
        <v>41030</v>
      </c>
      <c r="L120" s="115">
        <v>41025</v>
      </c>
      <c r="N120" s="50" t="s">
        <v>2</v>
      </c>
      <c r="O120" s="131">
        <f>1.4/2</f>
        <v>0.7</v>
      </c>
      <c r="P120" s="50">
        <v>5.0999999999999996</v>
      </c>
      <c r="Q120" s="74">
        <v>8.1999999999999993</v>
      </c>
      <c r="R120" s="117">
        <f>10/2</f>
        <v>5</v>
      </c>
      <c r="S120" s="74">
        <f>5/2</f>
        <v>2.5</v>
      </c>
      <c r="T120" s="50">
        <v>0.26</v>
      </c>
      <c r="U120" s="74">
        <v>0.27</v>
      </c>
      <c r="V120" s="50">
        <v>0.06</v>
      </c>
      <c r="W120" s="74">
        <f>0.005/2</f>
        <v>2.5000000000000001E-3</v>
      </c>
      <c r="X120" s="50">
        <f>0.002/2</f>
        <v>1E-3</v>
      </c>
      <c r="Y120" s="50">
        <f>0.002/2</f>
        <v>1E-3</v>
      </c>
      <c r="Z120" s="164"/>
      <c r="AA120" s="165"/>
      <c r="AE120" s="50">
        <v>6.0999999999999999E-2</v>
      </c>
      <c r="AH120" s="74"/>
    </row>
    <row r="121" spans="1:39" ht="14">
      <c r="A121" s="41" t="s">
        <v>92</v>
      </c>
      <c r="B121" s="50" t="s">
        <v>478</v>
      </c>
      <c r="C121" s="50" t="s">
        <v>479</v>
      </c>
      <c r="D121" s="48" t="s">
        <v>480</v>
      </c>
      <c r="E121" s="50" t="s">
        <v>1546</v>
      </c>
      <c r="G121" s="76" t="s">
        <v>481</v>
      </c>
      <c r="H121" s="50">
        <v>4911</v>
      </c>
      <c r="I121" s="49" t="s">
        <v>1</v>
      </c>
      <c r="J121" s="50" t="s">
        <v>485</v>
      </c>
      <c r="K121" s="51">
        <v>41345</v>
      </c>
      <c r="L121" s="115">
        <v>41341</v>
      </c>
      <c r="N121" s="50" t="s">
        <v>2</v>
      </c>
      <c r="O121" s="131">
        <f>1.4/2</f>
        <v>0.7</v>
      </c>
      <c r="P121" s="50">
        <v>5.0999999999999996</v>
      </c>
      <c r="Q121" s="74">
        <v>7</v>
      </c>
      <c r="R121" s="117">
        <f>10/2</f>
        <v>5</v>
      </c>
      <c r="S121" s="74">
        <f>5/2</f>
        <v>2.5</v>
      </c>
      <c r="T121" s="50">
        <v>0.03</v>
      </c>
      <c r="U121" s="74">
        <v>0.22</v>
      </c>
      <c r="V121" s="50">
        <v>0.02</v>
      </c>
      <c r="W121" s="74">
        <f>0.005/2</f>
        <v>2.5000000000000001E-3</v>
      </c>
      <c r="X121" s="50">
        <v>8.9999999999999993E-3</v>
      </c>
      <c r="Y121" s="50">
        <f>0.002/2</f>
        <v>1E-3</v>
      </c>
      <c r="Z121" s="164">
        <v>1</v>
      </c>
      <c r="AA121" s="165">
        <v>1</v>
      </c>
      <c r="AB121" s="50">
        <v>18</v>
      </c>
      <c r="AC121" s="74">
        <v>69</v>
      </c>
      <c r="AD121" s="271">
        <f>20/20</f>
        <v>1</v>
      </c>
      <c r="AE121" s="50">
        <v>9.2999999999999999E-2</v>
      </c>
      <c r="AH121" s="74"/>
    </row>
    <row r="122" spans="1:39" ht="14">
      <c r="A122" s="41" t="s">
        <v>92</v>
      </c>
      <c r="B122" s="50" t="s">
        <v>478</v>
      </c>
      <c r="C122" s="50" t="s">
        <v>479</v>
      </c>
      <c r="D122" s="48" t="s">
        <v>480</v>
      </c>
      <c r="E122" s="50" t="s">
        <v>1546</v>
      </c>
      <c r="G122" s="76" t="s">
        <v>481</v>
      </c>
      <c r="H122" s="50">
        <v>4911</v>
      </c>
      <c r="I122" s="49" t="s">
        <v>1</v>
      </c>
      <c r="J122" s="50" t="s">
        <v>484</v>
      </c>
      <c r="K122" s="51">
        <v>41030</v>
      </c>
      <c r="L122" s="115">
        <v>41025</v>
      </c>
      <c r="N122" s="50" t="s">
        <v>2</v>
      </c>
      <c r="O122" s="131">
        <f>1.4/2</f>
        <v>0.7</v>
      </c>
      <c r="P122" s="50">
        <v>5.0999999999999996</v>
      </c>
      <c r="Q122" s="74">
        <v>5.8</v>
      </c>
      <c r="R122" s="117">
        <v>32</v>
      </c>
      <c r="S122" s="74">
        <v>5</v>
      </c>
      <c r="T122" s="50">
        <v>0.06</v>
      </c>
      <c r="U122" s="74">
        <v>2.94</v>
      </c>
      <c r="V122" s="50">
        <v>2.66</v>
      </c>
      <c r="W122" s="74">
        <v>8.8999999999999996E-2</v>
      </c>
      <c r="X122" s="50">
        <v>0.61199999999999999</v>
      </c>
      <c r="Y122" s="50">
        <v>1.4999999999999999E-2</v>
      </c>
      <c r="Z122" s="164"/>
      <c r="AA122" s="165"/>
      <c r="AE122" s="50">
        <v>0.35199999999999998</v>
      </c>
      <c r="AH122" s="74">
        <f>0.5/2</f>
        <v>0.25</v>
      </c>
    </row>
    <row r="123" spans="1:39" ht="14">
      <c r="A123" s="41" t="s">
        <v>92</v>
      </c>
      <c r="B123" s="50" t="s">
        <v>478</v>
      </c>
      <c r="C123" s="50" t="s">
        <v>479</v>
      </c>
      <c r="D123" s="48" t="s">
        <v>480</v>
      </c>
      <c r="E123" s="50" t="s">
        <v>1546</v>
      </c>
      <c r="G123" s="76" t="s">
        <v>481</v>
      </c>
      <c r="H123" s="50">
        <v>4911</v>
      </c>
      <c r="I123" s="49" t="s">
        <v>1</v>
      </c>
      <c r="J123" s="50" t="s">
        <v>484</v>
      </c>
      <c r="K123" s="51">
        <v>41122</v>
      </c>
      <c r="L123" s="115">
        <v>41118</v>
      </c>
      <c r="N123" s="50" t="s">
        <v>2</v>
      </c>
      <c r="O123" s="131"/>
      <c r="R123" s="117"/>
      <c r="Z123" s="164"/>
      <c r="AA123" s="165"/>
      <c r="AE123" s="50">
        <v>0.246</v>
      </c>
      <c r="AH123" s="74"/>
    </row>
    <row r="124" spans="1:39" ht="14">
      <c r="A124" s="41" t="s">
        <v>92</v>
      </c>
      <c r="B124" s="50" t="s">
        <v>478</v>
      </c>
      <c r="C124" s="50" t="s">
        <v>479</v>
      </c>
      <c r="D124" s="48" t="s">
        <v>480</v>
      </c>
      <c r="E124" s="50" t="s">
        <v>1546</v>
      </c>
      <c r="G124" s="76" t="s">
        <v>481</v>
      </c>
      <c r="H124" s="50">
        <v>4911</v>
      </c>
      <c r="I124" s="49" t="s">
        <v>1</v>
      </c>
      <c r="J124" s="50" t="s">
        <v>484</v>
      </c>
      <c r="K124" s="51">
        <v>41201</v>
      </c>
      <c r="L124" s="115">
        <v>41198</v>
      </c>
      <c r="N124" s="50" t="s">
        <v>2</v>
      </c>
      <c r="O124" s="131">
        <f>1.4/2</f>
        <v>0.7</v>
      </c>
      <c r="P124" s="50">
        <v>5.59</v>
      </c>
      <c r="Q124" s="74">
        <v>5.64</v>
      </c>
      <c r="R124" s="117">
        <v>10</v>
      </c>
      <c r="S124" s="74">
        <f>5/2</f>
        <v>2.5</v>
      </c>
      <c r="T124" s="50">
        <v>0.01</v>
      </c>
      <c r="U124" s="74">
        <v>0.41</v>
      </c>
      <c r="V124" s="50">
        <v>1.37</v>
      </c>
      <c r="W124" s="74">
        <v>3.9E-2</v>
      </c>
      <c r="X124" s="50">
        <v>0.61399999999999999</v>
      </c>
      <c r="Y124" s="50">
        <f>0.002/2</f>
        <v>1E-3</v>
      </c>
      <c r="Z124" s="164"/>
      <c r="AA124" s="165"/>
    </row>
    <row r="125" spans="1:39" ht="14">
      <c r="A125" s="41" t="s">
        <v>92</v>
      </c>
      <c r="B125" s="50" t="s">
        <v>478</v>
      </c>
      <c r="C125" s="50" t="s">
        <v>479</v>
      </c>
      <c r="D125" s="48" t="s">
        <v>480</v>
      </c>
      <c r="E125" s="50" t="s">
        <v>1546</v>
      </c>
      <c r="G125" s="76" t="s">
        <v>481</v>
      </c>
      <c r="H125" s="50">
        <v>4911</v>
      </c>
      <c r="I125" s="49" t="s">
        <v>1</v>
      </c>
      <c r="J125" s="50" t="s">
        <v>483</v>
      </c>
      <c r="K125" s="51">
        <v>41030</v>
      </c>
      <c r="L125" s="115">
        <v>41025</v>
      </c>
      <c r="N125" s="50" t="s">
        <v>2</v>
      </c>
      <c r="O125" s="131">
        <f>1.4/2</f>
        <v>0.7</v>
      </c>
      <c r="P125" s="50">
        <v>5.0999999999999996</v>
      </c>
      <c r="Q125" s="74">
        <v>7</v>
      </c>
      <c r="R125" s="117">
        <v>11</v>
      </c>
      <c r="S125" s="74">
        <v>7.5</v>
      </c>
      <c r="T125" s="50">
        <v>0.04</v>
      </c>
      <c r="U125" s="74">
        <v>0.52</v>
      </c>
      <c r="V125" s="50">
        <v>0.43</v>
      </c>
      <c r="W125" s="74">
        <v>6.0000000000000001E-3</v>
      </c>
      <c r="X125" s="50">
        <v>7.2999999999999995E-2</v>
      </c>
      <c r="Y125" s="50">
        <v>3.0000000000000001E-3</v>
      </c>
      <c r="Z125" s="164"/>
      <c r="AA125" s="165"/>
      <c r="AE125" s="50">
        <v>0.47299999999999998</v>
      </c>
      <c r="AH125" s="50">
        <f>0.5/2</f>
        <v>0.25</v>
      </c>
    </row>
    <row r="126" spans="1:39" ht="14">
      <c r="A126" s="41" t="s">
        <v>92</v>
      </c>
      <c r="B126" s="50" t="s">
        <v>478</v>
      </c>
      <c r="C126" s="50" t="s">
        <v>479</v>
      </c>
      <c r="D126" s="48" t="s">
        <v>480</v>
      </c>
      <c r="E126" s="50" t="s">
        <v>1546</v>
      </c>
      <c r="G126" s="76" t="s">
        <v>481</v>
      </c>
      <c r="H126" s="50">
        <v>4911</v>
      </c>
      <c r="I126" s="49" t="s">
        <v>1</v>
      </c>
      <c r="J126" s="50" t="s">
        <v>483</v>
      </c>
      <c r="K126" s="51">
        <v>41122</v>
      </c>
      <c r="L126" s="115">
        <v>41118</v>
      </c>
      <c r="N126" s="50" t="s">
        <v>2</v>
      </c>
      <c r="O126" s="131"/>
      <c r="R126" s="117"/>
      <c r="Z126" s="164"/>
      <c r="AA126" s="165"/>
      <c r="AE126" s="50">
        <v>0.50600000000000001</v>
      </c>
      <c r="AH126" s="50">
        <f>0.5/2</f>
        <v>0.25</v>
      </c>
    </row>
    <row r="127" spans="1:39" ht="14">
      <c r="A127" s="41" t="s">
        <v>92</v>
      </c>
      <c r="B127" s="50" t="s">
        <v>478</v>
      </c>
      <c r="C127" s="50" t="s">
        <v>479</v>
      </c>
      <c r="D127" s="48" t="s">
        <v>480</v>
      </c>
      <c r="E127" s="50" t="s">
        <v>1546</v>
      </c>
      <c r="G127" s="76" t="s">
        <v>481</v>
      </c>
      <c r="H127" s="50">
        <v>4911</v>
      </c>
      <c r="I127" s="49" t="s">
        <v>1</v>
      </c>
      <c r="J127" s="50" t="s">
        <v>483</v>
      </c>
      <c r="K127" s="51">
        <v>41201</v>
      </c>
      <c r="L127" s="115">
        <v>41198</v>
      </c>
      <c r="N127" s="50" t="s">
        <v>2</v>
      </c>
      <c r="O127" s="131">
        <f>1.4/2</f>
        <v>0.7</v>
      </c>
      <c r="P127" s="50">
        <v>5.59</v>
      </c>
      <c r="Q127" s="74">
        <v>7.07</v>
      </c>
      <c r="R127" s="117">
        <f>10/2</f>
        <v>5</v>
      </c>
      <c r="S127" s="74">
        <f>5/2</f>
        <v>2.5</v>
      </c>
      <c r="T127" s="50">
        <v>0.02</v>
      </c>
      <c r="U127" s="74">
        <v>0.32</v>
      </c>
      <c r="V127" s="50">
        <v>0.48</v>
      </c>
      <c r="W127" s="74">
        <f>0.005/2</f>
        <v>2.5000000000000001E-3</v>
      </c>
      <c r="X127" s="50">
        <v>0.19500000000000001</v>
      </c>
      <c r="Y127" s="50">
        <f>0.002/2</f>
        <v>1E-3</v>
      </c>
      <c r="Z127" s="164"/>
      <c r="AA127" s="165"/>
      <c r="AH127" s="50">
        <f>0.5/2</f>
        <v>0.25</v>
      </c>
    </row>
    <row r="128" spans="1:39" ht="14">
      <c r="A128" s="41" t="s">
        <v>92</v>
      </c>
      <c r="B128" s="50" t="s">
        <v>478</v>
      </c>
      <c r="C128" s="50" t="s">
        <v>479</v>
      </c>
      <c r="D128" s="48" t="s">
        <v>480</v>
      </c>
      <c r="E128" s="50" t="s">
        <v>1546</v>
      </c>
      <c r="G128" s="76" t="s">
        <v>481</v>
      </c>
      <c r="H128" s="50">
        <v>4911</v>
      </c>
      <c r="I128" s="49" t="s">
        <v>1</v>
      </c>
      <c r="J128" s="50" t="s">
        <v>482</v>
      </c>
      <c r="K128" s="51">
        <v>41030</v>
      </c>
      <c r="L128" s="115">
        <v>41025</v>
      </c>
      <c r="N128" s="50" t="s">
        <v>2</v>
      </c>
      <c r="O128" s="131">
        <f>1.4/2</f>
        <v>0.7</v>
      </c>
      <c r="P128" s="50">
        <v>5.0999999999999996</v>
      </c>
      <c r="Q128" s="74">
        <v>6.7</v>
      </c>
      <c r="R128" s="117">
        <v>13</v>
      </c>
      <c r="S128" s="74">
        <f>5/2</f>
        <v>2.5</v>
      </c>
      <c r="T128" s="50">
        <v>0.04</v>
      </c>
      <c r="U128" s="74">
        <v>0.46</v>
      </c>
      <c r="V128" s="50">
        <v>0.11</v>
      </c>
      <c r="W128" s="74">
        <v>6.0000000000000001E-3</v>
      </c>
      <c r="X128" s="50">
        <v>4.2000000000000003E-2</v>
      </c>
      <c r="Y128" s="50">
        <v>3.0000000000000001E-3</v>
      </c>
      <c r="Z128" s="164"/>
      <c r="AA128" s="165"/>
      <c r="AE128" s="50">
        <v>0.34</v>
      </c>
    </row>
    <row r="129" spans="1:45" ht="14">
      <c r="A129" s="41" t="s">
        <v>92</v>
      </c>
      <c r="B129" s="50" t="s">
        <v>478</v>
      </c>
      <c r="C129" s="50" t="s">
        <v>479</v>
      </c>
      <c r="D129" s="48" t="s">
        <v>480</v>
      </c>
      <c r="E129" s="50" t="s">
        <v>1546</v>
      </c>
      <c r="G129" s="76" t="s">
        <v>481</v>
      </c>
      <c r="H129" s="50">
        <v>4911</v>
      </c>
      <c r="I129" s="49" t="s">
        <v>1</v>
      </c>
      <c r="J129" s="50" t="s">
        <v>482</v>
      </c>
      <c r="K129" s="51">
        <v>41122</v>
      </c>
      <c r="L129" s="115">
        <v>41118</v>
      </c>
      <c r="N129" s="50" t="s">
        <v>2</v>
      </c>
      <c r="O129" s="131"/>
      <c r="R129" s="117"/>
      <c r="Z129" s="164"/>
      <c r="AA129" s="165"/>
      <c r="AE129" s="50">
        <v>2.5099999999999998</v>
      </c>
    </row>
    <row r="130" spans="1:45" ht="14">
      <c r="A130" s="41" t="s">
        <v>92</v>
      </c>
      <c r="B130" s="50" t="s">
        <v>478</v>
      </c>
      <c r="C130" s="50" t="s">
        <v>479</v>
      </c>
      <c r="D130" s="48" t="s">
        <v>480</v>
      </c>
      <c r="E130" s="50" t="s">
        <v>1546</v>
      </c>
      <c r="G130" s="76" t="s">
        <v>481</v>
      </c>
      <c r="H130" s="50">
        <v>4911</v>
      </c>
      <c r="I130" s="49" t="s">
        <v>1</v>
      </c>
      <c r="J130" s="50" t="s">
        <v>482</v>
      </c>
      <c r="K130" s="51">
        <v>41201</v>
      </c>
      <c r="L130" s="115">
        <v>41198</v>
      </c>
      <c r="N130" s="50" t="s">
        <v>2</v>
      </c>
      <c r="O130" s="131">
        <f>1.4/2</f>
        <v>0.7</v>
      </c>
      <c r="P130" s="50">
        <v>5.59</v>
      </c>
      <c r="Q130" s="74">
        <v>7.18</v>
      </c>
      <c r="R130" s="117">
        <f>10/2</f>
        <v>5</v>
      </c>
      <c r="S130" s="74">
        <f>5/2</f>
        <v>2.5</v>
      </c>
      <c r="T130" s="50">
        <v>0.03</v>
      </c>
      <c r="U130" s="74">
        <v>0.28999999999999998</v>
      </c>
      <c r="V130" s="50">
        <v>1.23</v>
      </c>
      <c r="W130" s="74">
        <v>0.01</v>
      </c>
      <c r="X130" s="50">
        <v>0.16300000000000001</v>
      </c>
      <c r="Y130" s="50">
        <f>0.002/2</f>
        <v>1E-3</v>
      </c>
      <c r="Z130" s="164"/>
      <c r="AA130" s="165"/>
    </row>
    <row r="131" spans="1:45" ht="14">
      <c r="A131" s="41" t="s">
        <v>92</v>
      </c>
      <c r="B131" s="50" t="s">
        <v>163</v>
      </c>
      <c r="C131" s="50" t="s">
        <v>164</v>
      </c>
      <c r="D131" s="48" t="s">
        <v>165</v>
      </c>
      <c r="E131" s="50" t="s">
        <v>3795</v>
      </c>
      <c r="G131" s="76" t="s">
        <v>168</v>
      </c>
      <c r="H131" s="50">
        <v>4911</v>
      </c>
      <c r="I131" s="49" t="s">
        <v>1</v>
      </c>
      <c r="J131" s="50" t="s">
        <v>169</v>
      </c>
      <c r="K131" s="51">
        <v>41021</v>
      </c>
      <c r="L131" s="115">
        <v>41011</v>
      </c>
      <c r="N131" s="50" t="s">
        <v>2</v>
      </c>
      <c r="O131" s="131">
        <v>2.1</v>
      </c>
      <c r="P131" s="50">
        <v>4.7</v>
      </c>
      <c r="Q131" s="74">
        <v>7</v>
      </c>
      <c r="R131" s="117">
        <v>56.5</v>
      </c>
      <c r="S131" s="74">
        <v>12.3</v>
      </c>
      <c r="T131" s="50">
        <v>6.37</v>
      </c>
      <c r="U131" s="74">
        <v>51.8</v>
      </c>
      <c r="V131" s="50">
        <v>3.57</v>
      </c>
      <c r="W131" s="74">
        <v>7.2999999999999995E-2</v>
      </c>
      <c r="X131" s="50">
        <v>0.65300000000000002</v>
      </c>
      <c r="Y131" s="50">
        <v>8.9999999999999993E-3</v>
      </c>
      <c r="Z131" s="164"/>
      <c r="AA131" s="165"/>
      <c r="AE131" s="50">
        <v>0.55200000000000005</v>
      </c>
    </row>
    <row r="132" spans="1:45" ht="14">
      <c r="A132" s="41" t="s">
        <v>92</v>
      </c>
      <c r="B132" s="50" t="s">
        <v>163</v>
      </c>
      <c r="C132" s="50" t="s">
        <v>164</v>
      </c>
      <c r="D132" s="48" t="s">
        <v>165</v>
      </c>
      <c r="E132" s="50" t="s">
        <v>1534</v>
      </c>
      <c r="G132" s="76" t="s">
        <v>168</v>
      </c>
      <c r="H132" s="50">
        <v>4911</v>
      </c>
      <c r="I132" s="49" t="s">
        <v>1</v>
      </c>
      <c r="J132" s="50" t="s">
        <v>169</v>
      </c>
      <c r="K132" s="51">
        <v>41201</v>
      </c>
      <c r="L132" s="115">
        <v>41198</v>
      </c>
      <c r="N132" s="50" t="s">
        <v>2</v>
      </c>
      <c r="O132" s="131">
        <f>1/2</f>
        <v>0.5</v>
      </c>
      <c r="P132" s="50">
        <v>4.7</v>
      </c>
      <c r="Q132" s="74">
        <v>7.3</v>
      </c>
      <c r="R132" s="117">
        <v>41.4</v>
      </c>
      <c r="S132" s="74">
        <v>7.6</v>
      </c>
      <c r="T132" s="50">
        <v>3.66</v>
      </c>
      <c r="U132" s="74">
        <v>14.1</v>
      </c>
      <c r="V132" s="50">
        <v>1.41</v>
      </c>
      <c r="W132" s="74">
        <v>1.2999999999999999E-2</v>
      </c>
      <c r="X132" s="50">
        <v>0.2</v>
      </c>
      <c r="Y132" s="50">
        <f>0.005/2</f>
        <v>2.5000000000000001E-3</v>
      </c>
      <c r="Z132" s="164">
        <v>1</v>
      </c>
      <c r="AA132" s="165">
        <v>1</v>
      </c>
      <c r="AB132" s="50">
        <v>24</v>
      </c>
      <c r="AC132" s="74">
        <v>157</v>
      </c>
      <c r="AD132" s="271">
        <f>17/20</f>
        <v>0.85</v>
      </c>
      <c r="AI132" s="74" t="s">
        <v>1535</v>
      </c>
    </row>
    <row r="133" spans="1:45" ht="14">
      <c r="A133" s="41" t="s">
        <v>92</v>
      </c>
      <c r="B133" s="50" t="s">
        <v>163</v>
      </c>
      <c r="C133" s="50" t="s">
        <v>164</v>
      </c>
      <c r="D133" s="48" t="s">
        <v>165</v>
      </c>
      <c r="E133" s="50" t="s">
        <v>1534</v>
      </c>
      <c r="G133" s="76" t="s">
        <v>168</v>
      </c>
      <c r="H133" s="50">
        <v>4911</v>
      </c>
      <c r="I133" s="49" t="s">
        <v>1</v>
      </c>
      <c r="J133" s="50" t="s">
        <v>170</v>
      </c>
      <c r="K133" s="51">
        <v>41021</v>
      </c>
      <c r="L133" s="115">
        <v>41011</v>
      </c>
      <c r="N133" s="50" t="s">
        <v>2</v>
      </c>
      <c r="O133" s="131">
        <v>1.2</v>
      </c>
      <c r="P133" s="50">
        <v>4.7</v>
      </c>
      <c r="Q133" s="74">
        <v>7.2</v>
      </c>
      <c r="R133" s="117">
        <v>22</v>
      </c>
      <c r="S133" s="74">
        <v>18.8</v>
      </c>
      <c r="T133" s="50">
        <v>0.44</v>
      </c>
      <c r="U133" s="74">
        <v>3.28</v>
      </c>
      <c r="V133" s="50">
        <f>0.01/2</f>
        <v>5.0000000000000001E-3</v>
      </c>
      <c r="W133" s="74">
        <v>0.01</v>
      </c>
      <c r="X133" s="50">
        <v>0.17699999999999999</v>
      </c>
      <c r="Y133" s="50">
        <f>0.005/2</f>
        <v>2.5000000000000001E-3</v>
      </c>
      <c r="Z133" s="164"/>
      <c r="AA133" s="165"/>
      <c r="AE133" s="50">
        <v>0.25900000000000001</v>
      </c>
    </row>
    <row r="134" spans="1:45" ht="14">
      <c r="A134" s="41" t="s">
        <v>92</v>
      </c>
      <c r="B134" s="50" t="s">
        <v>163</v>
      </c>
      <c r="C134" s="50" t="s">
        <v>164</v>
      </c>
      <c r="D134" s="48" t="s">
        <v>165</v>
      </c>
      <c r="E134" s="50" t="s">
        <v>1534</v>
      </c>
      <c r="G134" s="76" t="s">
        <v>168</v>
      </c>
      <c r="H134" s="50">
        <v>4911</v>
      </c>
      <c r="I134" s="49" t="s">
        <v>1</v>
      </c>
      <c r="J134" s="50" t="s">
        <v>170</v>
      </c>
      <c r="K134" s="51">
        <v>41030</v>
      </c>
      <c r="L134" s="115">
        <v>41026</v>
      </c>
      <c r="N134" s="50" t="s">
        <v>2</v>
      </c>
      <c r="O134" s="131"/>
      <c r="P134" s="50">
        <v>4.5999999999999996</v>
      </c>
      <c r="Q134" s="74">
        <v>6.7</v>
      </c>
      <c r="R134" s="117"/>
      <c r="Z134" s="164"/>
      <c r="AA134" s="165"/>
      <c r="AE134" s="50">
        <v>0.13100000000000001</v>
      </c>
    </row>
    <row r="135" spans="1:45" ht="14">
      <c r="A135" s="41" t="s">
        <v>92</v>
      </c>
      <c r="B135" s="50" t="s">
        <v>163</v>
      </c>
      <c r="C135" s="50" t="s">
        <v>164</v>
      </c>
      <c r="D135" s="48" t="s">
        <v>165</v>
      </c>
      <c r="E135" s="50" t="s">
        <v>1534</v>
      </c>
      <c r="G135" s="76" t="s">
        <v>168</v>
      </c>
      <c r="H135" s="50">
        <v>4911</v>
      </c>
      <c r="I135" s="49" t="s">
        <v>1</v>
      </c>
      <c r="J135" s="50" t="s">
        <v>170</v>
      </c>
      <c r="K135" s="51">
        <v>41201</v>
      </c>
      <c r="L135" s="115">
        <v>41198</v>
      </c>
      <c r="N135" s="50" t="s">
        <v>2</v>
      </c>
      <c r="O135" s="131">
        <f>1/2</f>
        <v>0.5</v>
      </c>
      <c r="P135" s="50">
        <v>4.7</v>
      </c>
      <c r="Q135" s="74">
        <v>7.6</v>
      </c>
      <c r="R135" s="117">
        <v>10.5</v>
      </c>
      <c r="S135" s="74">
        <v>8</v>
      </c>
      <c r="T135" s="50">
        <v>0.86</v>
      </c>
      <c r="U135" s="74">
        <v>1.47</v>
      </c>
      <c r="V135" s="50">
        <v>0.36</v>
      </c>
      <c r="W135" s="74">
        <f>0.005</f>
        <v>5.0000000000000001E-3</v>
      </c>
      <c r="X135" s="50">
        <v>0.192</v>
      </c>
      <c r="Y135" s="50">
        <f>0.005/2</f>
        <v>2.5000000000000001E-3</v>
      </c>
      <c r="Z135" s="164">
        <v>1</v>
      </c>
      <c r="AA135" s="165">
        <v>0.70699999999999996</v>
      </c>
      <c r="AB135" s="50">
        <v>8</v>
      </c>
      <c r="AC135" s="74">
        <v>30</v>
      </c>
      <c r="AD135" s="271">
        <f>0/20</f>
        <v>0</v>
      </c>
    </row>
    <row r="136" spans="1:45" ht="14">
      <c r="A136" s="41" t="s">
        <v>92</v>
      </c>
      <c r="B136" s="50" t="s">
        <v>163</v>
      </c>
      <c r="C136" s="50" t="s">
        <v>164</v>
      </c>
      <c r="D136" s="48" t="s">
        <v>165</v>
      </c>
      <c r="E136" s="50" t="s">
        <v>1534</v>
      </c>
      <c r="G136" s="76" t="s">
        <v>168</v>
      </c>
      <c r="H136" s="50">
        <v>4911</v>
      </c>
      <c r="I136" s="49" t="s">
        <v>1</v>
      </c>
      <c r="J136" s="50" t="s">
        <v>171</v>
      </c>
      <c r="K136" s="51">
        <v>41021</v>
      </c>
      <c r="L136" s="115">
        <v>41011</v>
      </c>
      <c r="N136" s="50" t="s">
        <v>2</v>
      </c>
      <c r="O136" s="131">
        <f>1/2</f>
        <v>0.5</v>
      </c>
      <c r="P136" s="50">
        <v>4.7</v>
      </c>
      <c r="Q136" s="74">
        <v>7</v>
      </c>
      <c r="R136" s="117">
        <v>24.8</v>
      </c>
      <c r="S136" s="74">
        <f>2.5/2</f>
        <v>1.25</v>
      </c>
      <c r="T136" s="50">
        <v>0.21</v>
      </c>
      <c r="U136" s="74">
        <v>2.34</v>
      </c>
      <c r="V136" s="50">
        <v>1.85</v>
      </c>
      <c r="W136" s="74">
        <v>1.4999999999999999E-2</v>
      </c>
      <c r="X136" s="50">
        <v>0.434</v>
      </c>
      <c r="Y136" s="50">
        <f>0.005/2</f>
        <v>2.5000000000000001E-3</v>
      </c>
      <c r="Z136" s="164"/>
      <c r="AA136" s="165"/>
      <c r="AE136" s="50">
        <v>0.113</v>
      </c>
    </row>
    <row r="137" spans="1:45" ht="14">
      <c r="A137" s="41" t="s">
        <v>92</v>
      </c>
      <c r="B137" s="50" t="s">
        <v>163</v>
      </c>
      <c r="C137" s="50" t="s">
        <v>164</v>
      </c>
      <c r="D137" s="48" t="s">
        <v>165</v>
      </c>
      <c r="E137" s="50" t="s">
        <v>1534</v>
      </c>
      <c r="G137" s="76" t="s">
        <v>168</v>
      </c>
      <c r="H137" s="50">
        <v>4911</v>
      </c>
      <c r="I137" s="49" t="s">
        <v>1</v>
      </c>
      <c r="J137" s="50" t="s">
        <v>171</v>
      </c>
      <c r="K137" s="51">
        <v>41201</v>
      </c>
      <c r="L137" s="115">
        <v>41198</v>
      </c>
      <c r="N137" s="50" t="s">
        <v>2</v>
      </c>
      <c r="O137" s="131">
        <v>1.9</v>
      </c>
      <c r="P137" s="50">
        <v>4.7</v>
      </c>
      <c r="Q137" s="74">
        <v>6.4</v>
      </c>
      <c r="R137" s="117">
        <v>33.799999999999997</v>
      </c>
      <c r="S137" s="74">
        <v>25.8</v>
      </c>
      <c r="T137" s="50">
        <v>0.88</v>
      </c>
      <c r="U137" s="74">
        <v>4.3600000000000003</v>
      </c>
      <c r="V137" s="50">
        <v>0.6</v>
      </c>
      <c r="W137" s="74">
        <v>1.0999999999999999E-2</v>
      </c>
      <c r="X137" s="50">
        <v>0.377</v>
      </c>
      <c r="Y137" s="50">
        <v>8.9999999999999993E-3</v>
      </c>
      <c r="Z137" s="164">
        <v>1</v>
      </c>
      <c r="AA137" s="165">
        <v>1</v>
      </c>
      <c r="AB137" s="50">
        <v>16</v>
      </c>
      <c r="AC137" s="74">
        <v>280</v>
      </c>
      <c r="AD137" s="271">
        <f>18/20</f>
        <v>0.9</v>
      </c>
      <c r="AE137" s="50">
        <v>1.728</v>
      </c>
      <c r="AI137" s="74">
        <v>110</v>
      </c>
    </row>
    <row r="138" spans="1:45" ht="14">
      <c r="A138" s="41" t="s">
        <v>92</v>
      </c>
      <c r="B138" s="50" t="s">
        <v>163</v>
      </c>
      <c r="C138" s="50" t="s">
        <v>164</v>
      </c>
      <c r="D138" s="48" t="s">
        <v>165</v>
      </c>
      <c r="E138" s="50" t="s">
        <v>1534</v>
      </c>
      <c r="G138" s="76" t="s">
        <v>168</v>
      </c>
      <c r="H138" s="50">
        <v>4911</v>
      </c>
      <c r="I138" s="49" t="s">
        <v>1</v>
      </c>
      <c r="J138" s="50" t="s">
        <v>171</v>
      </c>
      <c r="K138" s="51">
        <v>41324</v>
      </c>
      <c r="L138" s="115">
        <v>41319</v>
      </c>
      <c r="N138" s="50" t="s">
        <v>1</v>
      </c>
      <c r="O138" s="131"/>
      <c r="R138" s="117"/>
      <c r="U138" s="74" t="s">
        <v>2667</v>
      </c>
      <c r="Z138" s="164"/>
      <c r="AA138" s="165"/>
      <c r="AE138" s="50">
        <v>0.81499999999999995</v>
      </c>
    </row>
    <row r="139" spans="1:45" ht="14">
      <c r="A139" s="41" t="s">
        <v>92</v>
      </c>
      <c r="B139" s="50" t="s">
        <v>163</v>
      </c>
      <c r="C139" s="50" t="s">
        <v>164</v>
      </c>
      <c r="D139" s="48" t="s">
        <v>165</v>
      </c>
      <c r="E139" s="50" t="s">
        <v>1534</v>
      </c>
      <c r="G139" s="76" t="s">
        <v>168</v>
      </c>
      <c r="H139" s="50">
        <v>4911</v>
      </c>
      <c r="I139" s="49" t="s">
        <v>1</v>
      </c>
      <c r="J139" s="50" t="s">
        <v>172</v>
      </c>
      <c r="K139" s="51">
        <v>41021</v>
      </c>
      <c r="L139" s="115">
        <v>41011</v>
      </c>
      <c r="N139" s="50" t="s">
        <v>2</v>
      </c>
      <c r="O139" s="131">
        <f>1/2</f>
        <v>0.5</v>
      </c>
      <c r="P139" s="50">
        <v>4.7</v>
      </c>
      <c r="Q139" s="74">
        <v>8</v>
      </c>
      <c r="R139" s="117">
        <v>16.399999999999999</v>
      </c>
      <c r="S139" s="74">
        <v>5.4</v>
      </c>
      <c r="T139" s="50">
        <v>0.21</v>
      </c>
      <c r="U139" s="74">
        <v>0.52</v>
      </c>
      <c r="V139" s="50">
        <v>0.35</v>
      </c>
      <c r="W139" s="74">
        <f>0.005/2</f>
        <v>2.5000000000000001E-3</v>
      </c>
      <c r="X139" s="50">
        <v>1.7000000000000001E-2</v>
      </c>
      <c r="Y139" s="50">
        <v>8.0000000000000002E-3</v>
      </c>
      <c r="Z139" s="164"/>
      <c r="AA139" s="165"/>
      <c r="AE139" s="50">
        <v>1.76</v>
      </c>
    </row>
    <row r="140" spans="1:45" ht="14">
      <c r="A140" s="41" t="s">
        <v>92</v>
      </c>
      <c r="B140" s="50" t="s">
        <v>163</v>
      </c>
      <c r="C140" s="50" t="s">
        <v>164</v>
      </c>
      <c r="D140" s="48" t="s">
        <v>165</v>
      </c>
      <c r="E140" s="50" t="s">
        <v>1534</v>
      </c>
      <c r="G140" s="76" t="s">
        <v>168</v>
      </c>
      <c r="H140" s="50">
        <v>4911</v>
      </c>
      <c r="I140" s="49" t="s">
        <v>1</v>
      </c>
      <c r="J140" s="50" t="s">
        <v>172</v>
      </c>
      <c r="K140" s="51">
        <v>41201</v>
      </c>
      <c r="L140" s="115">
        <v>41198</v>
      </c>
      <c r="N140" s="50" t="s">
        <v>2</v>
      </c>
      <c r="O140" s="131">
        <f>1/2</f>
        <v>0.5</v>
      </c>
      <c r="P140" s="50">
        <v>4.7</v>
      </c>
      <c r="Q140" s="74">
        <v>7.9</v>
      </c>
      <c r="R140" s="117">
        <v>3.7</v>
      </c>
      <c r="S140" s="74">
        <v>2.6</v>
      </c>
      <c r="T140" s="50">
        <v>0.06</v>
      </c>
      <c r="U140" s="74">
        <v>0.24</v>
      </c>
      <c r="V140" s="50">
        <v>0.7</v>
      </c>
      <c r="W140" s="74">
        <f>0.005/2</f>
        <v>2.5000000000000001E-3</v>
      </c>
      <c r="X140" s="50">
        <v>1.7999999999999999E-2</v>
      </c>
      <c r="Y140" s="50">
        <f>0.005/2</f>
        <v>2.5000000000000001E-3</v>
      </c>
      <c r="Z140" s="164">
        <v>1</v>
      </c>
      <c r="AA140" s="165">
        <v>1</v>
      </c>
      <c r="AB140" s="50">
        <v>76</v>
      </c>
      <c r="AC140" s="74">
        <v>408</v>
      </c>
      <c r="AD140" s="271">
        <f>20/20</f>
        <v>1</v>
      </c>
      <c r="AE140" s="50">
        <v>0.223</v>
      </c>
    </row>
    <row r="141" spans="1:45" ht="14">
      <c r="A141" s="41" t="s">
        <v>92</v>
      </c>
      <c r="B141" s="50" t="s">
        <v>163</v>
      </c>
      <c r="C141" s="50" t="s">
        <v>164</v>
      </c>
      <c r="D141" s="48" t="s">
        <v>165</v>
      </c>
      <c r="E141" s="50" t="s">
        <v>1534</v>
      </c>
      <c r="G141" s="76" t="s">
        <v>168</v>
      </c>
      <c r="H141" s="50">
        <v>4911</v>
      </c>
      <c r="I141" s="49" t="s">
        <v>1</v>
      </c>
      <c r="J141" s="50" t="s">
        <v>173</v>
      </c>
      <c r="K141" s="51">
        <v>41021</v>
      </c>
      <c r="L141" s="115">
        <v>41011</v>
      </c>
      <c r="N141" s="50" t="s">
        <v>2</v>
      </c>
      <c r="O141" s="131">
        <v>1.6</v>
      </c>
      <c r="P141" s="50">
        <v>4.7</v>
      </c>
      <c r="Q141" s="74">
        <v>6.9</v>
      </c>
      <c r="R141" s="117">
        <v>51.3</v>
      </c>
      <c r="S141" s="74">
        <v>20</v>
      </c>
      <c r="T141" s="50">
        <v>0.2</v>
      </c>
      <c r="U141" s="74">
        <v>1.82</v>
      </c>
      <c r="V141" s="50">
        <v>1.1399999999999999</v>
      </c>
      <c r="W141" s="74">
        <v>1.7999999999999999E-2</v>
      </c>
      <c r="X141" s="50">
        <v>0.33</v>
      </c>
      <c r="Y141" s="50">
        <f>0.005/2</f>
        <v>2.5000000000000001E-3</v>
      </c>
      <c r="Z141" s="164"/>
      <c r="AA141" s="165"/>
      <c r="AE141" s="50">
        <v>0.745</v>
      </c>
    </row>
    <row r="142" spans="1:45" ht="14">
      <c r="A142" s="41" t="s">
        <v>92</v>
      </c>
      <c r="B142" s="50" t="s">
        <v>163</v>
      </c>
      <c r="C142" s="50" t="s">
        <v>164</v>
      </c>
      <c r="D142" s="48" t="s">
        <v>165</v>
      </c>
      <c r="E142" s="50" t="s">
        <v>1534</v>
      </c>
      <c r="G142" s="76" t="s">
        <v>168</v>
      </c>
      <c r="H142" s="50">
        <v>4911</v>
      </c>
      <c r="I142" s="49" t="s">
        <v>1</v>
      </c>
      <c r="J142" s="50" t="s">
        <v>173</v>
      </c>
      <c r="K142" s="51">
        <v>41201</v>
      </c>
      <c r="L142" s="115">
        <v>41198</v>
      </c>
      <c r="N142" s="50" t="s">
        <v>2</v>
      </c>
      <c r="O142" s="131">
        <v>2.4</v>
      </c>
      <c r="P142" s="50">
        <v>4.7</v>
      </c>
      <c r="Q142" s="74">
        <v>6.8</v>
      </c>
      <c r="R142" s="117">
        <v>26.6</v>
      </c>
      <c r="S142" s="74">
        <v>18</v>
      </c>
      <c r="T142" s="50">
        <v>0.14000000000000001</v>
      </c>
      <c r="U142" s="74">
        <v>0.56000000000000005</v>
      </c>
      <c r="V142" s="50">
        <v>0.23</v>
      </c>
      <c r="W142" s="74">
        <v>8.0000000000000002E-3</v>
      </c>
      <c r="X142" s="50">
        <v>0.13700000000000001</v>
      </c>
      <c r="Y142" s="50">
        <f>0.005/2</f>
        <v>2.5000000000000001E-3</v>
      </c>
      <c r="Z142" s="164">
        <v>1</v>
      </c>
      <c r="AA142" s="165">
        <v>1</v>
      </c>
      <c r="AB142" s="50">
        <v>6</v>
      </c>
      <c r="AC142" s="74">
        <v>25</v>
      </c>
      <c r="AD142" s="271">
        <f>20/20</f>
        <v>1</v>
      </c>
      <c r="AE142" s="50">
        <v>1.1579999999999999</v>
      </c>
      <c r="AI142" s="74" t="s">
        <v>1535</v>
      </c>
    </row>
    <row r="143" spans="1:45" ht="14">
      <c r="A143" s="41" t="s">
        <v>92</v>
      </c>
      <c r="B143" s="50" t="s">
        <v>163</v>
      </c>
      <c r="C143" s="50" t="s">
        <v>164</v>
      </c>
      <c r="D143" s="48" t="s">
        <v>165</v>
      </c>
      <c r="E143" s="50" t="s">
        <v>1534</v>
      </c>
      <c r="G143" s="76" t="s">
        <v>168</v>
      </c>
      <c r="H143" s="50">
        <v>4911</v>
      </c>
      <c r="I143" s="49" t="s">
        <v>1</v>
      </c>
      <c r="J143" s="50" t="s">
        <v>173</v>
      </c>
      <c r="K143" s="51">
        <v>41285</v>
      </c>
      <c r="L143" s="115">
        <v>41280</v>
      </c>
      <c r="N143" s="50" t="s">
        <v>1</v>
      </c>
      <c r="O143" s="131"/>
      <c r="R143" s="117"/>
      <c r="Z143" s="164"/>
      <c r="AA143" s="165"/>
      <c r="AE143" s="50">
        <v>2.181</v>
      </c>
    </row>
    <row r="144" spans="1:45" s="1" customFormat="1" ht="14">
      <c r="A144" s="41" t="s">
        <v>92</v>
      </c>
      <c r="B144" s="50" t="s">
        <v>163</v>
      </c>
      <c r="C144" s="50" t="s">
        <v>164</v>
      </c>
      <c r="D144" s="48" t="s">
        <v>165</v>
      </c>
      <c r="E144" s="50" t="s">
        <v>1534</v>
      </c>
      <c r="F144" s="50"/>
      <c r="G144" s="76" t="s">
        <v>168</v>
      </c>
      <c r="H144" s="50">
        <v>4911</v>
      </c>
      <c r="I144" s="49" t="s">
        <v>1</v>
      </c>
      <c r="J144" s="50" t="s">
        <v>174</v>
      </c>
      <c r="K144" s="51">
        <v>41021</v>
      </c>
      <c r="L144" s="115">
        <v>41011</v>
      </c>
      <c r="M144" s="50"/>
      <c r="N144" s="50" t="s">
        <v>2</v>
      </c>
      <c r="O144" s="152">
        <f>1/2</f>
        <v>0.5</v>
      </c>
      <c r="P144" s="50">
        <v>4.7</v>
      </c>
      <c r="Q144" s="49">
        <v>7.2</v>
      </c>
      <c r="R144" s="117">
        <v>36.299999999999997</v>
      </c>
      <c r="S144" s="49">
        <v>12.7</v>
      </c>
      <c r="T144" s="50">
        <v>0.35</v>
      </c>
      <c r="U144" s="49">
        <v>2.36</v>
      </c>
      <c r="V144" s="50">
        <v>0.84</v>
      </c>
      <c r="W144" s="49">
        <v>1.6E-2</v>
      </c>
      <c r="X144" s="50">
        <v>8.5000000000000006E-2</v>
      </c>
      <c r="Y144" s="50">
        <v>5.0000000000000001E-3</v>
      </c>
      <c r="Z144" s="164"/>
      <c r="AA144" s="269"/>
      <c r="AB144" s="50"/>
      <c r="AC144" s="49"/>
      <c r="AD144" s="271"/>
      <c r="AE144" s="50">
        <v>0.67</v>
      </c>
      <c r="AF144" s="50"/>
      <c r="AG144" s="50"/>
      <c r="AH144" s="50"/>
      <c r="AI144" s="49"/>
      <c r="AJ144" s="50"/>
      <c r="AK144" s="50"/>
      <c r="AL144" s="113"/>
      <c r="AM144" s="402"/>
      <c r="AN144" s="49"/>
      <c r="AO144" s="49"/>
      <c r="AP144" s="49"/>
      <c r="AQ144" s="49"/>
      <c r="AR144" s="49"/>
      <c r="AS144" s="49"/>
    </row>
    <row r="145" spans="1:35" ht="14">
      <c r="A145" s="41" t="s">
        <v>92</v>
      </c>
      <c r="B145" s="50" t="s">
        <v>163</v>
      </c>
      <c r="C145" s="50" t="s">
        <v>164</v>
      </c>
      <c r="D145" s="48" t="s">
        <v>165</v>
      </c>
      <c r="E145" s="50" t="s">
        <v>1534</v>
      </c>
      <c r="G145" s="76" t="s">
        <v>168</v>
      </c>
      <c r="H145" s="50">
        <v>4911</v>
      </c>
      <c r="I145" s="49" t="s">
        <v>1</v>
      </c>
      <c r="J145" s="50" t="s">
        <v>174</v>
      </c>
      <c r="K145" s="51">
        <v>41201</v>
      </c>
      <c r="L145" s="115">
        <v>41198</v>
      </c>
      <c r="N145" s="50" t="s">
        <v>2</v>
      </c>
      <c r="O145" s="131">
        <f>1/2</f>
        <v>0.5</v>
      </c>
      <c r="P145" s="50">
        <v>4.7</v>
      </c>
      <c r="Q145" s="74">
        <v>6.5</v>
      </c>
      <c r="R145" s="117">
        <v>8.6</v>
      </c>
      <c r="S145" s="74">
        <f>2.5/2</f>
        <v>1.25</v>
      </c>
      <c r="T145" s="50">
        <v>0.09</v>
      </c>
      <c r="U145" s="74">
        <v>0.45</v>
      </c>
      <c r="V145" s="50">
        <v>0.21</v>
      </c>
      <c r="W145" s="74">
        <f>0.005/2</f>
        <v>2.5000000000000001E-3</v>
      </c>
      <c r="X145" s="50">
        <v>1.6E-2</v>
      </c>
      <c r="Y145" s="50">
        <f>0.005/2</f>
        <v>2.5000000000000001E-3</v>
      </c>
      <c r="Z145" s="164">
        <v>1</v>
      </c>
      <c r="AA145" s="165">
        <v>1</v>
      </c>
      <c r="AB145" s="50">
        <v>4</v>
      </c>
      <c r="AC145" s="74">
        <v>27</v>
      </c>
      <c r="AD145" s="271">
        <f>20/20</f>
        <v>1</v>
      </c>
      <c r="AI145" s="74" t="s">
        <v>1535</v>
      </c>
    </row>
    <row r="146" spans="1:35" ht="14">
      <c r="A146" s="41" t="s">
        <v>92</v>
      </c>
      <c r="B146" s="50" t="s">
        <v>163</v>
      </c>
      <c r="C146" s="50" t="s">
        <v>164</v>
      </c>
      <c r="D146" s="48" t="s">
        <v>165</v>
      </c>
      <c r="E146" s="50" t="s">
        <v>1534</v>
      </c>
      <c r="G146" s="76" t="s">
        <v>168</v>
      </c>
      <c r="H146" s="50">
        <v>4911</v>
      </c>
      <c r="I146" s="49" t="s">
        <v>1</v>
      </c>
      <c r="J146" s="50" t="s">
        <v>175</v>
      </c>
      <c r="K146" s="51">
        <v>41021</v>
      </c>
      <c r="L146" s="115">
        <v>41011</v>
      </c>
      <c r="N146" s="50" t="s">
        <v>2</v>
      </c>
      <c r="O146" s="131">
        <v>1.8</v>
      </c>
      <c r="P146" s="50">
        <v>4.7</v>
      </c>
      <c r="Q146" s="74">
        <v>7.2</v>
      </c>
      <c r="R146" s="117">
        <v>75.3</v>
      </c>
      <c r="S146" s="74">
        <v>33.6</v>
      </c>
      <c r="T146" s="50">
        <v>4.3499999999999996</v>
      </c>
      <c r="U146" s="74">
        <v>35.799999999999997</v>
      </c>
      <c r="V146" s="50">
        <v>2.94</v>
      </c>
      <c r="W146" s="74">
        <v>5.0999999999999997E-2</v>
      </c>
      <c r="X146" s="50">
        <v>0.442</v>
      </c>
      <c r="Y146" s="50">
        <v>7.0000000000000001E-3</v>
      </c>
      <c r="Z146" s="164"/>
      <c r="AA146" s="165"/>
      <c r="AE146" s="50">
        <v>1.63</v>
      </c>
    </row>
    <row r="147" spans="1:35" ht="14">
      <c r="A147" s="41" t="s">
        <v>92</v>
      </c>
      <c r="B147" s="50" t="s">
        <v>163</v>
      </c>
      <c r="C147" s="50" t="s">
        <v>164</v>
      </c>
      <c r="D147" s="48" t="s">
        <v>165</v>
      </c>
      <c r="E147" s="50" t="s">
        <v>1534</v>
      </c>
      <c r="G147" s="76" t="s">
        <v>168</v>
      </c>
      <c r="H147" s="50">
        <v>4911</v>
      </c>
      <c r="I147" s="49" t="s">
        <v>1</v>
      </c>
      <c r="J147" s="50" t="s">
        <v>175</v>
      </c>
      <c r="K147" s="51">
        <v>41201</v>
      </c>
      <c r="L147" s="115">
        <v>41198</v>
      </c>
      <c r="N147" s="50" t="s">
        <v>2</v>
      </c>
      <c r="O147" s="131">
        <v>1.6</v>
      </c>
      <c r="P147" s="50">
        <v>4.7</v>
      </c>
      <c r="Q147" s="74">
        <v>7.2</v>
      </c>
      <c r="R147" s="117">
        <v>25.9</v>
      </c>
      <c r="S147" s="74">
        <v>8.6</v>
      </c>
      <c r="T147" s="50">
        <v>0.89</v>
      </c>
      <c r="U147" s="74">
        <v>8.58</v>
      </c>
      <c r="V147" s="50">
        <v>0.48</v>
      </c>
      <c r="W147" s="74">
        <v>8.0000000000000002E-3</v>
      </c>
      <c r="X147" s="50">
        <v>8.5000000000000006E-2</v>
      </c>
      <c r="Y147" s="50">
        <f>0.005/2</f>
        <v>2.5000000000000001E-3</v>
      </c>
      <c r="Z147" s="164">
        <v>1</v>
      </c>
      <c r="AA147" s="165">
        <v>1</v>
      </c>
      <c r="AB147" s="50">
        <v>12</v>
      </c>
      <c r="AC147" s="74">
        <v>86</v>
      </c>
      <c r="AD147" s="271">
        <f>20/20</f>
        <v>1</v>
      </c>
      <c r="AE147" s="50">
        <v>0.34300000000000003</v>
      </c>
    </row>
    <row r="148" spans="1:35" ht="14">
      <c r="A148" s="41" t="s">
        <v>92</v>
      </c>
      <c r="B148" s="50" t="s">
        <v>163</v>
      </c>
      <c r="C148" s="50" t="s">
        <v>164</v>
      </c>
      <c r="D148" s="48" t="s">
        <v>165</v>
      </c>
      <c r="E148" s="50" t="s">
        <v>1534</v>
      </c>
      <c r="G148" s="76" t="s">
        <v>168</v>
      </c>
      <c r="H148" s="50">
        <v>4911</v>
      </c>
      <c r="I148" s="49" t="s">
        <v>1</v>
      </c>
      <c r="J148" s="50" t="s">
        <v>175</v>
      </c>
      <c r="K148" s="51">
        <v>41324</v>
      </c>
      <c r="L148" s="115">
        <v>41319</v>
      </c>
      <c r="N148" s="50" t="s">
        <v>1</v>
      </c>
      <c r="O148" s="131"/>
      <c r="R148" s="117"/>
      <c r="Z148" s="164"/>
      <c r="AA148" s="165"/>
      <c r="AE148" s="50">
        <v>0.28299999999999997</v>
      </c>
    </row>
    <row r="149" spans="1:35" ht="14">
      <c r="A149" s="41" t="s">
        <v>92</v>
      </c>
      <c r="B149" s="50" t="s">
        <v>163</v>
      </c>
      <c r="C149" s="50" t="s">
        <v>164</v>
      </c>
      <c r="D149" s="48" t="s">
        <v>165</v>
      </c>
      <c r="E149" s="50" t="s">
        <v>1534</v>
      </c>
      <c r="G149" s="76" t="s">
        <v>168</v>
      </c>
      <c r="H149" s="50">
        <v>4911</v>
      </c>
      <c r="I149" s="49" t="s">
        <v>1</v>
      </c>
      <c r="J149" s="50" t="s">
        <v>176</v>
      </c>
      <c r="K149" s="51">
        <v>41021</v>
      </c>
      <c r="L149" s="115">
        <v>41011</v>
      </c>
      <c r="N149" s="50" t="s">
        <v>2</v>
      </c>
      <c r="O149" s="131">
        <v>1.7</v>
      </c>
      <c r="P149" s="50">
        <v>4.7</v>
      </c>
      <c r="Q149" s="74">
        <v>7.1</v>
      </c>
      <c r="R149" s="117">
        <v>163</v>
      </c>
      <c r="S149" s="74">
        <v>12.1</v>
      </c>
      <c r="T149" s="50">
        <v>1.53</v>
      </c>
      <c r="U149" s="74">
        <v>11.5</v>
      </c>
      <c r="V149" s="50">
        <v>1.8</v>
      </c>
      <c r="W149" s="74">
        <v>3.5000000000000003E-2</v>
      </c>
      <c r="X149" s="50">
        <v>0.34</v>
      </c>
      <c r="Y149" s="50">
        <v>0.01</v>
      </c>
      <c r="Z149" s="164"/>
      <c r="AA149" s="165"/>
      <c r="AE149" s="50">
        <v>0.66300000000000003</v>
      </c>
    </row>
    <row r="150" spans="1:35" ht="14">
      <c r="A150" s="41" t="s">
        <v>92</v>
      </c>
      <c r="B150" s="50" t="s">
        <v>163</v>
      </c>
      <c r="C150" s="50" t="s">
        <v>164</v>
      </c>
      <c r="D150" s="48" t="s">
        <v>165</v>
      </c>
      <c r="E150" s="50" t="s">
        <v>1534</v>
      </c>
      <c r="G150" s="76" t="s">
        <v>168</v>
      </c>
      <c r="H150" s="50">
        <v>4911</v>
      </c>
      <c r="I150" s="50" t="s">
        <v>1</v>
      </c>
      <c r="J150" s="50" t="s">
        <v>176</v>
      </c>
      <c r="K150" s="51">
        <v>41201</v>
      </c>
      <c r="L150" s="115">
        <v>41198</v>
      </c>
      <c r="N150" s="50" t="s">
        <v>2</v>
      </c>
      <c r="O150" s="131">
        <v>1</v>
      </c>
      <c r="P150" s="50">
        <v>4.7</v>
      </c>
      <c r="Q150" s="74">
        <v>7.9</v>
      </c>
      <c r="R150" s="117">
        <v>37.700000000000003</v>
      </c>
      <c r="S150" s="74">
        <v>7.6</v>
      </c>
      <c r="T150" s="50">
        <v>1.42</v>
      </c>
      <c r="U150" s="74">
        <v>12.9</v>
      </c>
      <c r="V150" s="50">
        <v>0.64</v>
      </c>
      <c r="W150" s="74">
        <v>1.2999999999999999E-2</v>
      </c>
      <c r="X150" s="50">
        <v>6.6000000000000003E-2</v>
      </c>
      <c r="Y150" s="50">
        <f t="shared" ref="Y150:Y156" si="3">0.005/2</f>
        <v>2.5000000000000001E-3</v>
      </c>
      <c r="Z150" s="164">
        <v>1</v>
      </c>
      <c r="AA150" s="165">
        <v>1</v>
      </c>
      <c r="AB150" s="50">
        <v>22</v>
      </c>
      <c r="AC150" s="74">
        <v>175</v>
      </c>
      <c r="AD150" s="271">
        <f>20/20</f>
        <v>1</v>
      </c>
    </row>
    <row r="151" spans="1:35" ht="14">
      <c r="A151" s="41" t="s">
        <v>92</v>
      </c>
      <c r="B151" s="50" t="s">
        <v>163</v>
      </c>
      <c r="C151" s="50" t="s">
        <v>164</v>
      </c>
      <c r="D151" s="48" t="s">
        <v>165</v>
      </c>
      <c r="E151" s="50" t="s">
        <v>1534</v>
      </c>
      <c r="G151" s="76" t="s">
        <v>168</v>
      </c>
      <c r="H151" s="50">
        <v>4911</v>
      </c>
      <c r="I151" s="49" t="s">
        <v>1</v>
      </c>
      <c r="J151" s="50" t="s">
        <v>177</v>
      </c>
      <c r="K151" s="51">
        <v>41021</v>
      </c>
      <c r="L151" s="115">
        <v>41011</v>
      </c>
      <c r="N151" s="50" t="s">
        <v>2</v>
      </c>
      <c r="O151" s="131">
        <f>1/2</f>
        <v>0.5</v>
      </c>
      <c r="P151" s="50">
        <v>4.7</v>
      </c>
      <c r="Q151" s="74">
        <v>8.5</v>
      </c>
      <c r="R151" s="117">
        <f>2/2</f>
        <v>1</v>
      </c>
      <c r="S151" s="74">
        <f>2.5/2</f>
        <v>1.25</v>
      </c>
      <c r="T151" s="50">
        <v>0.03</v>
      </c>
      <c r="U151" s="74">
        <v>0.26</v>
      </c>
      <c r="V151" s="50">
        <v>1.89</v>
      </c>
      <c r="W151" s="74">
        <v>5.0000000000000001E-3</v>
      </c>
      <c r="X151" s="50">
        <f>0.01/2</f>
        <v>5.0000000000000001E-3</v>
      </c>
      <c r="Y151" s="50">
        <f t="shared" si="3"/>
        <v>2.5000000000000001E-3</v>
      </c>
      <c r="Z151" s="164"/>
      <c r="AA151" s="165"/>
      <c r="AE151" s="50">
        <v>8.5000000000000006E-2</v>
      </c>
    </row>
    <row r="152" spans="1:35" ht="14">
      <c r="A152" s="41" t="s">
        <v>92</v>
      </c>
      <c r="B152" s="50" t="s">
        <v>163</v>
      </c>
      <c r="C152" s="50" t="s">
        <v>164</v>
      </c>
      <c r="D152" s="48" t="s">
        <v>165</v>
      </c>
      <c r="E152" s="50" t="s">
        <v>1534</v>
      </c>
      <c r="G152" s="76" t="s">
        <v>168</v>
      </c>
      <c r="H152" s="50">
        <v>4911</v>
      </c>
      <c r="I152" s="49" t="s">
        <v>1</v>
      </c>
      <c r="J152" s="50" t="s">
        <v>177</v>
      </c>
      <c r="K152" s="51">
        <v>41201</v>
      </c>
      <c r="L152" s="115">
        <v>41198</v>
      </c>
      <c r="N152" s="50" t="s">
        <v>2</v>
      </c>
      <c r="O152" s="131">
        <f>1/2</f>
        <v>0.5</v>
      </c>
      <c r="P152" s="50">
        <v>4.7</v>
      </c>
      <c r="Q152" s="74">
        <v>6.9</v>
      </c>
      <c r="R152" s="117">
        <f>2/2</f>
        <v>1</v>
      </c>
      <c r="S152" s="74">
        <f>2.5/2</f>
        <v>1.25</v>
      </c>
      <c r="T152" s="50">
        <v>0.04</v>
      </c>
      <c r="U152" s="74">
        <v>0.44</v>
      </c>
      <c r="V152" s="50">
        <v>2.4700000000000002</v>
      </c>
      <c r="W152" s="74">
        <v>7.0000000000000001E-3</v>
      </c>
      <c r="X152" s="50">
        <f>0.01/2</f>
        <v>5.0000000000000001E-3</v>
      </c>
      <c r="Y152" s="50">
        <f t="shared" si="3"/>
        <v>2.5000000000000001E-3</v>
      </c>
      <c r="Z152" s="164">
        <v>1</v>
      </c>
      <c r="AA152" s="165">
        <v>1</v>
      </c>
      <c r="AB152" s="50">
        <v>26</v>
      </c>
      <c r="AC152" s="74">
        <v>260</v>
      </c>
      <c r="AD152" s="271">
        <f>20/20</f>
        <v>1</v>
      </c>
    </row>
    <row r="153" spans="1:35" ht="14">
      <c r="A153" s="41" t="s">
        <v>92</v>
      </c>
      <c r="B153" s="50" t="s">
        <v>163</v>
      </c>
      <c r="C153" s="50" t="s">
        <v>164</v>
      </c>
      <c r="D153" s="48" t="s">
        <v>165</v>
      </c>
      <c r="E153" s="50" t="s">
        <v>1534</v>
      </c>
      <c r="G153" s="76" t="s">
        <v>168</v>
      </c>
      <c r="H153" s="50">
        <v>4911</v>
      </c>
      <c r="I153" s="49" t="s">
        <v>1</v>
      </c>
      <c r="J153" s="50" t="s">
        <v>178</v>
      </c>
      <c r="K153" s="51">
        <v>41021</v>
      </c>
      <c r="L153" s="115">
        <v>41011</v>
      </c>
      <c r="N153" s="50" t="s">
        <v>2</v>
      </c>
      <c r="O153" s="131">
        <v>1.2</v>
      </c>
      <c r="P153" s="50">
        <v>4.7</v>
      </c>
      <c r="Q153" s="74">
        <v>6.7</v>
      </c>
      <c r="R153" s="117">
        <v>27</v>
      </c>
      <c r="S153" s="74">
        <v>12.1</v>
      </c>
      <c r="T153" s="50">
        <v>0.17</v>
      </c>
      <c r="U153" s="74">
        <v>2.2400000000000002</v>
      </c>
      <c r="V153" s="50">
        <v>1.02</v>
      </c>
      <c r="W153" s="74">
        <v>7.0000000000000001E-3</v>
      </c>
      <c r="X153" s="50">
        <v>0.68300000000000005</v>
      </c>
      <c r="Y153" s="50">
        <f t="shared" si="3"/>
        <v>2.5000000000000001E-3</v>
      </c>
      <c r="Z153" s="164"/>
      <c r="AA153" s="165"/>
      <c r="AE153" s="50">
        <v>0.32</v>
      </c>
    </row>
    <row r="154" spans="1:35" ht="14">
      <c r="A154" s="41" t="s">
        <v>92</v>
      </c>
      <c r="B154" s="50" t="s">
        <v>163</v>
      </c>
      <c r="C154" s="50" t="s">
        <v>164</v>
      </c>
      <c r="D154" s="48" t="s">
        <v>165</v>
      </c>
      <c r="E154" s="50" t="s">
        <v>1534</v>
      </c>
      <c r="G154" s="76" t="s">
        <v>168</v>
      </c>
      <c r="H154" s="50">
        <v>4911</v>
      </c>
      <c r="I154" s="49" t="s">
        <v>1</v>
      </c>
      <c r="J154" s="50" t="s">
        <v>178</v>
      </c>
      <c r="K154" s="51">
        <v>41201</v>
      </c>
      <c r="L154" s="115">
        <v>41198</v>
      </c>
      <c r="N154" s="50" t="s">
        <v>2</v>
      </c>
      <c r="O154" s="131">
        <f>1/2</f>
        <v>0.5</v>
      </c>
      <c r="P154" s="50">
        <v>4.7</v>
      </c>
      <c r="Q154" s="74">
        <v>5.2</v>
      </c>
      <c r="R154" s="117">
        <v>7.3</v>
      </c>
      <c r="S154" s="74">
        <v>8.3000000000000007</v>
      </c>
      <c r="T154" s="50">
        <v>0.06</v>
      </c>
      <c r="U154" s="74">
        <v>0.48</v>
      </c>
      <c r="V154" s="50">
        <v>0.18</v>
      </c>
      <c r="W154" s="74">
        <f>0.005/2</f>
        <v>2.5000000000000001E-3</v>
      </c>
      <c r="X154" s="50">
        <v>0.41499999999999998</v>
      </c>
      <c r="Y154" s="50">
        <f t="shared" si="3"/>
        <v>2.5000000000000001E-3</v>
      </c>
      <c r="Z154" s="164">
        <v>0.93899999999999995</v>
      </c>
      <c r="AA154" s="165">
        <v>0.40600000000000003</v>
      </c>
      <c r="AB154" s="50">
        <v>2</v>
      </c>
      <c r="AC154" s="74">
        <v>15</v>
      </c>
      <c r="AD154" s="271">
        <f>0/20</f>
        <v>0</v>
      </c>
    </row>
    <row r="155" spans="1:35" ht="14">
      <c r="A155" s="41" t="s">
        <v>92</v>
      </c>
      <c r="B155" s="50" t="s">
        <v>163</v>
      </c>
      <c r="C155" s="50" t="s">
        <v>164</v>
      </c>
      <c r="D155" s="48" t="s">
        <v>165</v>
      </c>
      <c r="E155" s="50" t="s">
        <v>1534</v>
      </c>
      <c r="G155" s="76" t="s">
        <v>168</v>
      </c>
      <c r="H155" s="50">
        <v>4911</v>
      </c>
      <c r="I155" s="49" t="s">
        <v>1</v>
      </c>
      <c r="J155" s="50" t="s">
        <v>179</v>
      </c>
      <c r="K155" s="51">
        <v>41021</v>
      </c>
      <c r="L155" s="115">
        <v>41011</v>
      </c>
      <c r="N155" s="50" t="s">
        <v>2</v>
      </c>
      <c r="O155" s="131">
        <v>1.8</v>
      </c>
      <c r="P155" s="50">
        <v>4.7</v>
      </c>
      <c r="Q155" s="74">
        <v>5.4</v>
      </c>
      <c r="R155" s="117">
        <v>61.6</v>
      </c>
      <c r="S155" s="74">
        <v>31.8</v>
      </c>
      <c r="T155" s="50">
        <v>0.2</v>
      </c>
      <c r="U155" s="74">
        <v>3.11</v>
      </c>
      <c r="V155" s="50">
        <v>1.49</v>
      </c>
      <c r="W155" s="74">
        <v>0.03</v>
      </c>
      <c r="X155" s="50">
        <v>0.14000000000000001</v>
      </c>
      <c r="Y155" s="50">
        <f t="shared" si="3"/>
        <v>2.5000000000000001E-3</v>
      </c>
      <c r="Z155" s="164"/>
      <c r="AA155" s="165"/>
      <c r="AE155" s="50">
        <v>2.67</v>
      </c>
    </row>
    <row r="156" spans="1:35" ht="14">
      <c r="A156" s="41" t="s">
        <v>92</v>
      </c>
      <c r="B156" s="50" t="s">
        <v>163</v>
      </c>
      <c r="C156" s="50" t="s">
        <v>164</v>
      </c>
      <c r="D156" s="48" t="s">
        <v>165</v>
      </c>
      <c r="E156" s="50" t="s">
        <v>1534</v>
      </c>
      <c r="G156" s="76" t="s">
        <v>168</v>
      </c>
      <c r="H156" s="50">
        <v>4911</v>
      </c>
      <c r="I156" s="49" t="s">
        <v>1</v>
      </c>
      <c r="J156" s="50" t="s">
        <v>179</v>
      </c>
      <c r="K156" s="51">
        <v>41201</v>
      </c>
      <c r="L156" s="115">
        <v>41198</v>
      </c>
      <c r="N156" s="50" t="s">
        <v>2</v>
      </c>
      <c r="O156" s="131">
        <v>5.9</v>
      </c>
      <c r="P156" s="50">
        <v>4.7</v>
      </c>
      <c r="Q156" s="74">
        <v>6.7</v>
      </c>
      <c r="R156" s="117">
        <v>37.4</v>
      </c>
      <c r="S156" s="74">
        <v>44.9</v>
      </c>
      <c r="T156" s="50">
        <v>0.08</v>
      </c>
      <c r="U156" s="74">
        <v>0.83</v>
      </c>
      <c r="V156" s="50">
        <v>0.21</v>
      </c>
      <c r="W156" s="74">
        <v>1.2999999999999999E-2</v>
      </c>
      <c r="X156" s="50">
        <v>7.8E-2</v>
      </c>
      <c r="Y156" s="50">
        <f t="shared" si="3"/>
        <v>2.5000000000000001E-3</v>
      </c>
      <c r="Z156" s="164">
        <v>1</v>
      </c>
      <c r="AA156" s="165">
        <v>1</v>
      </c>
      <c r="AB156" s="50">
        <v>4</v>
      </c>
      <c r="AC156" s="74">
        <v>19</v>
      </c>
      <c r="AD156" s="271">
        <f>16/20</f>
        <v>0.8</v>
      </c>
      <c r="AE156" s="50">
        <v>1.4379999999999999</v>
      </c>
    </row>
    <row r="157" spans="1:35" ht="14">
      <c r="A157" s="41" t="s">
        <v>92</v>
      </c>
      <c r="B157" s="50" t="s">
        <v>163</v>
      </c>
      <c r="C157" s="50" t="s">
        <v>164</v>
      </c>
      <c r="D157" s="48" t="s">
        <v>165</v>
      </c>
      <c r="E157" s="50" t="s">
        <v>1534</v>
      </c>
      <c r="G157" s="76" t="s">
        <v>168</v>
      </c>
      <c r="H157" s="50">
        <v>4911</v>
      </c>
      <c r="I157" s="49" t="s">
        <v>1</v>
      </c>
      <c r="J157" s="50" t="s">
        <v>179</v>
      </c>
      <c r="K157" s="51">
        <v>41285</v>
      </c>
      <c r="L157" s="115">
        <v>41280</v>
      </c>
      <c r="N157" s="50" t="s">
        <v>1</v>
      </c>
      <c r="O157" s="131"/>
      <c r="R157" s="117"/>
      <c r="Z157" s="164"/>
      <c r="AA157" s="165"/>
      <c r="AE157" s="50">
        <v>4.6260000000000003</v>
      </c>
    </row>
    <row r="158" spans="1:35" ht="14">
      <c r="A158" s="41" t="s">
        <v>92</v>
      </c>
      <c r="B158" s="50" t="s">
        <v>163</v>
      </c>
      <c r="C158" s="50" t="s">
        <v>164</v>
      </c>
      <c r="D158" s="48" t="s">
        <v>165</v>
      </c>
      <c r="E158" s="50" t="s">
        <v>1534</v>
      </c>
      <c r="G158" s="76" t="s">
        <v>168</v>
      </c>
      <c r="H158" s="50">
        <v>4911</v>
      </c>
      <c r="I158" s="49" t="s">
        <v>1</v>
      </c>
      <c r="J158" s="50" t="s">
        <v>180</v>
      </c>
      <c r="K158" s="51">
        <v>41021</v>
      </c>
      <c r="L158" s="115">
        <v>41011</v>
      </c>
      <c r="N158" s="50" t="s">
        <v>2</v>
      </c>
      <c r="O158" s="131">
        <f>1/2</f>
        <v>0.5</v>
      </c>
      <c r="P158" s="50">
        <v>4.7</v>
      </c>
      <c r="Q158" s="74">
        <v>6.8</v>
      </c>
      <c r="R158" s="117">
        <v>31.8</v>
      </c>
      <c r="S158" s="74">
        <v>3.8</v>
      </c>
      <c r="T158" s="50">
        <v>1.1200000000000001</v>
      </c>
      <c r="U158" s="74">
        <v>11.2</v>
      </c>
      <c r="V158" s="50">
        <v>0.02</v>
      </c>
      <c r="W158" s="74">
        <v>8.0000000000000002E-3</v>
      </c>
      <c r="X158" s="50">
        <v>0.23400000000000001</v>
      </c>
      <c r="Y158" s="50">
        <f t="shared" ref="Y158:Y163" si="4">0.005/2</f>
        <v>2.5000000000000001E-3</v>
      </c>
      <c r="Z158" s="164"/>
      <c r="AA158" s="165"/>
      <c r="AE158" s="50">
        <v>0.84599999999999997</v>
      </c>
    </row>
    <row r="159" spans="1:35" ht="14">
      <c r="A159" s="41" t="s">
        <v>92</v>
      </c>
      <c r="B159" s="50" t="s">
        <v>163</v>
      </c>
      <c r="C159" s="50" t="s">
        <v>164</v>
      </c>
      <c r="D159" s="48" t="s">
        <v>165</v>
      </c>
      <c r="E159" s="50" t="s">
        <v>1534</v>
      </c>
      <c r="G159" s="76" t="s">
        <v>168</v>
      </c>
      <c r="H159" s="50">
        <v>4911</v>
      </c>
      <c r="I159" s="49" t="s">
        <v>1</v>
      </c>
      <c r="J159" s="50" t="s">
        <v>180</v>
      </c>
      <c r="K159" s="51">
        <v>41201</v>
      </c>
      <c r="L159" s="115">
        <v>41198</v>
      </c>
      <c r="N159" s="50" t="s">
        <v>2</v>
      </c>
      <c r="O159" s="131">
        <v>1.9</v>
      </c>
      <c r="P159" s="50">
        <v>4.7</v>
      </c>
      <c r="Q159" s="74">
        <v>7</v>
      </c>
      <c r="R159" s="117">
        <v>34.4</v>
      </c>
      <c r="S159" s="74">
        <v>11.5</v>
      </c>
      <c r="T159" s="50">
        <v>0.76</v>
      </c>
      <c r="U159" s="74">
        <v>9.08</v>
      </c>
      <c r="V159" s="50">
        <v>0.28999999999999998</v>
      </c>
      <c r="W159" s="74">
        <v>8.9999999999999993E-3</v>
      </c>
      <c r="X159" s="50">
        <v>0.48199999999999998</v>
      </c>
      <c r="Y159" s="50">
        <f t="shared" si="4"/>
        <v>2.5000000000000001E-3</v>
      </c>
      <c r="Z159" s="164">
        <v>1</v>
      </c>
      <c r="AA159" s="165">
        <v>0.73099999999999998</v>
      </c>
      <c r="AB159" s="50">
        <v>8</v>
      </c>
      <c r="AC159" s="74">
        <v>106</v>
      </c>
      <c r="AD159" s="271">
        <f>2/20</f>
        <v>0.1</v>
      </c>
      <c r="AE159" s="50">
        <v>0.54100000000000004</v>
      </c>
      <c r="AI159" s="74">
        <v>350</v>
      </c>
    </row>
    <row r="160" spans="1:35" ht="14">
      <c r="A160" s="41" t="s">
        <v>92</v>
      </c>
      <c r="B160" s="50" t="s">
        <v>163</v>
      </c>
      <c r="C160" s="50" t="s">
        <v>164</v>
      </c>
      <c r="D160" s="48" t="s">
        <v>165</v>
      </c>
      <c r="E160" s="50" t="s">
        <v>1534</v>
      </c>
      <c r="G160" s="76" t="s">
        <v>168</v>
      </c>
      <c r="H160" s="50">
        <v>4911</v>
      </c>
      <c r="I160" s="49" t="s">
        <v>1</v>
      </c>
      <c r="J160" s="50" t="s">
        <v>181</v>
      </c>
      <c r="K160" s="51">
        <v>41021</v>
      </c>
      <c r="L160" s="115">
        <v>41011</v>
      </c>
      <c r="N160" s="50" t="s">
        <v>2</v>
      </c>
      <c r="O160" s="131">
        <v>1.9</v>
      </c>
      <c r="P160" s="50">
        <v>4.7</v>
      </c>
      <c r="Q160" s="74">
        <v>6.9</v>
      </c>
      <c r="R160" s="117">
        <v>16</v>
      </c>
      <c r="S160" s="74">
        <v>54.3</v>
      </c>
      <c r="T160" s="50">
        <v>0.49</v>
      </c>
      <c r="U160" s="74">
        <v>1.02</v>
      </c>
      <c r="V160" s="50">
        <v>0.3</v>
      </c>
      <c r="W160" s="74">
        <v>1.2999999999999999E-2</v>
      </c>
      <c r="X160" s="50">
        <v>0.255</v>
      </c>
      <c r="Y160" s="50">
        <f t="shared" si="4"/>
        <v>2.5000000000000001E-3</v>
      </c>
      <c r="Z160" s="164"/>
      <c r="AA160" s="165"/>
      <c r="AE160" s="50">
        <v>2.4700000000000002</v>
      </c>
    </row>
    <row r="161" spans="1:39" ht="14">
      <c r="A161" s="41" t="s">
        <v>92</v>
      </c>
      <c r="B161" s="50" t="s">
        <v>163</v>
      </c>
      <c r="C161" s="50" t="s">
        <v>164</v>
      </c>
      <c r="D161" s="48" t="s">
        <v>165</v>
      </c>
      <c r="E161" s="50" t="s">
        <v>1534</v>
      </c>
      <c r="G161" s="76" t="s">
        <v>168</v>
      </c>
      <c r="H161" s="50">
        <v>4911</v>
      </c>
      <c r="I161" s="49" t="s">
        <v>1</v>
      </c>
      <c r="J161" s="50" t="s">
        <v>181</v>
      </c>
      <c r="K161" s="51">
        <v>41201</v>
      </c>
      <c r="L161" s="115">
        <v>41198</v>
      </c>
      <c r="N161" s="50" t="s">
        <v>2</v>
      </c>
      <c r="O161" s="131">
        <f>1/2</f>
        <v>0.5</v>
      </c>
      <c r="P161" s="50">
        <v>4.7</v>
      </c>
      <c r="Q161" s="74">
        <v>4.5</v>
      </c>
      <c r="R161" s="117">
        <v>8.6</v>
      </c>
      <c r="S161" s="74">
        <v>5.0999999999999996</v>
      </c>
      <c r="T161" s="50">
        <v>0.11</v>
      </c>
      <c r="U161" s="74">
        <v>0.54</v>
      </c>
      <c r="V161" s="50">
        <v>0.17</v>
      </c>
      <c r="W161" s="74">
        <f>0.005/2</f>
        <v>2.5000000000000001E-3</v>
      </c>
      <c r="X161" s="50">
        <v>0.14000000000000001</v>
      </c>
      <c r="Y161" s="50">
        <f t="shared" si="4"/>
        <v>2.5000000000000001E-3</v>
      </c>
      <c r="Z161" s="164">
        <v>1</v>
      </c>
      <c r="AA161" s="165">
        <v>0.70699999999999996</v>
      </c>
      <c r="AB161" s="50">
        <v>4</v>
      </c>
      <c r="AC161" s="74">
        <v>22</v>
      </c>
      <c r="AD161" s="271">
        <f>0/20</f>
        <v>0</v>
      </c>
      <c r="AE161" s="50">
        <v>0.23</v>
      </c>
    </row>
    <row r="162" spans="1:39" ht="14">
      <c r="A162" s="41" t="s">
        <v>92</v>
      </c>
      <c r="B162" s="50" t="s">
        <v>163</v>
      </c>
      <c r="C162" s="50" t="s">
        <v>164</v>
      </c>
      <c r="D162" s="48" t="s">
        <v>165</v>
      </c>
      <c r="E162" s="50" t="s">
        <v>1534</v>
      </c>
      <c r="G162" s="76" t="s">
        <v>168</v>
      </c>
      <c r="H162" s="50">
        <v>4911</v>
      </c>
      <c r="I162" s="49" t="s">
        <v>1</v>
      </c>
      <c r="J162" s="50" t="s">
        <v>182</v>
      </c>
      <c r="K162" s="51">
        <v>41021</v>
      </c>
      <c r="L162" s="115">
        <v>41011</v>
      </c>
      <c r="N162" s="50" t="s">
        <v>2</v>
      </c>
      <c r="O162" s="131">
        <v>1.2</v>
      </c>
      <c r="P162" s="50">
        <v>4.7</v>
      </c>
      <c r="Q162" s="74">
        <v>7.4</v>
      </c>
      <c r="R162" s="117">
        <v>14.3</v>
      </c>
      <c r="S162" s="74">
        <v>9.5</v>
      </c>
      <c r="T162" s="50">
        <v>0.15</v>
      </c>
      <c r="U162" s="74">
        <v>0.8</v>
      </c>
      <c r="V162" s="50">
        <v>0.19</v>
      </c>
      <c r="W162" s="74">
        <v>8.0000000000000002E-3</v>
      </c>
      <c r="X162" s="50">
        <v>3.3000000000000002E-2</v>
      </c>
      <c r="Y162" s="50">
        <f t="shared" si="4"/>
        <v>2.5000000000000001E-3</v>
      </c>
      <c r="Z162" s="164"/>
      <c r="AA162" s="165"/>
      <c r="AE162" s="50">
        <v>0.251</v>
      </c>
    </row>
    <row r="163" spans="1:39" ht="14">
      <c r="A163" s="41" t="s">
        <v>92</v>
      </c>
      <c r="B163" s="50" t="s">
        <v>163</v>
      </c>
      <c r="C163" s="50" t="s">
        <v>164</v>
      </c>
      <c r="D163" s="48" t="s">
        <v>165</v>
      </c>
      <c r="E163" s="50" t="s">
        <v>1534</v>
      </c>
      <c r="G163" s="76" t="s">
        <v>168</v>
      </c>
      <c r="H163" s="50">
        <v>4911</v>
      </c>
      <c r="I163" s="49" t="s">
        <v>1</v>
      </c>
      <c r="J163" s="50" t="s">
        <v>182</v>
      </c>
      <c r="K163" s="51">
        <v>41201</v>
      </c>
      <c r="L163" s="115">
        <v>41198</v>
      </c>
      <c r="N163" s="50" t="s">
        <v>2</v>
      </c>
      <c r="O163" s="131">
        <f>1/2</f>
        <v>0.5</v>
      </c>
      <c r="P163" s="50">
        <v>4.7</v>
      </c>
      <c r="Q163" s="74">
        <v>6.4</v>
      </c>
      <c r="R163" s="117">
        <v>38.1</v>
      </c>
      <c r="S163" s="74">
        <v>3.6</v>
      </c>
      <c r="T163" s="50">
        <v>0.28000000000000003</v>
      </c>
      <c r="U163" s="74">
        <v>0.7</v>
      </c>
      <c r="V163" s="50">
        <v>0.16</v>
      </c>
      <c r="W163" s="74">
        <f>0.005/2</f>
        <v>2.5000000000000001E-3</v>
      </c>
      <c r="X163" s="50">
        <v>2.8000000000000001E-2</v>
      </c>
      <c r="Y163" s="50">
        <f t="shared" si="4"/>
        <v>2.5000000000000001E-3</v>
      </c>
      <c r="Z163" s="164">
        <v>1</v>
      </c>
      <c r="AA163" s="165">
        <v>1</v>
      </c>
      <c r="AB163" s="50">
        <v>10</v>
      </c>
      <c r="AC163" s="74">
        <v>51</v>
      </c>
      <c r="AD163" s="271">
        <f>20/20</f>
        <v>1</v>
      </c>
    </row>
    <row r="164" spans="1:39" ht="14">
      <c r="A164" s="41" t="s">
        <v>92</v>
      </c>
      <c r="B164" s="50" t="s">
        <v>1536</v>
      </c>
      <c r="C164" s="50" t="s">
        <v>1196</v>
      </c>
      <c r="D164" s="48" t="s">
        <v>1537</v>
      </c>
      <c r="E164" s="50" t="s">
        <v>1538</v>
      </c>
      <c r="G164" s="76" t="s">
        <v>1198</v>
      </c>
      <c r="H164" s="50">
        <v>4911</v>
      </c>
      <c r="I164" s="49" t="s">
        <v>1</v>
      </c>
      <c r="J164" s="50" t="s">
        <v>172</v>
      </c>
      <c r="K164" s="51">
        <v>41261</v>
      </c>
      <c r="L164" s="115">
        <v>41244</v>
      </c>
      <c r="N164" s="50" t="s">
        <v>2</v>
      </c>
      <c r="O164" s="131">
        <f>1.4/2</f>
        <v>0.7</v>
      </c>
      <c r="Q164" s="74">
        <v>6.8</v>
      </c>
      <c r="R164" s="117">
        <v>15</v>
      </c>
      <c r="S164" s="74">
        <f>5/2</f>
        <v>2.5</v>
      </c>
      <c r="T164" s="50">
        <v>0.04</v>
      </c>
      <c r="U164" s="74">
        <v>0.6</v>
      </c>
      <c r="V164" s="50">
        <v>0.57999999999999996</v>
      </c>
      <c r="W164" s="74">
        <v>6.0000000000000001E-3</v>
      </c>
      <c r="X164" s="50">
        <v>9.0999999999999998E-2</v>
      </c>
      <c r="Y164" s="50">
        <v>3.0000000000000001E-3</v>
      </c>
      <c r="Z164" s="164">
        <v>1</v>
      </c>
      <c r="AA164" s="165">
        <v>1</v>
      </c>
      <c r="AB164" s="50">
        <v>28</v>
      </c>
      <c r="AC164" s="74">
        <v>295</v>
      </c>
      <c r="AD164" s="271">
        <f>20/20</f>
        <v>1</v>
      </c>
      <c r="AE164" s="50">
        <v>0.61299999999999999</v>
      </c>
    </row>
    <row r="165" spans="1:39" ht="14">
      <c r="A165" s="41" t="s">
        <v>92</v>
      </c>
      <c r="B165" s="50" t="s">
        <v>1536</v>
      </c>
      <c r="C165" s="50" t="s">
        <v>1196</v>
      </c>
      <c r="D165" s="48" t="s">
        <v>1537</v>
      </c>
      <c r="E165" s="50" t="s">
        <v>1538</v>
      </c>
      <c r="G165" s="76" t="s">
        <v>1198</v>
      </c>
      <c r="H165" s="50">
        <v>4911</v>
      </c>
      <c r="I165" s="49" t="s">
        <v>1</v>
      </c>
      <c r="J165" s="50" t="s">
        <v>1199</v>
      </c>
      <c r="K165" s="51">
        <v>41261</v>
      </c>
      <c r="L165" s="115">
        <v>41244</v>
      </c>
      <c r="N165" s="50" t="s">
        <v>2</v>
      </c>
      <c r="O165" s="131">
        <f>1.4/2</f>
        <v>0.7</v>
      </c>
      <c r="Q165" s="74">
        <v>7.61</v>
      </c>
      <c r="R165" s="117">
        <v>53</v>
      </c>
      <c r="S165" s="74">
        <v>6.5</v>
      </c>
      <c r="T165" s="50">
        <v>0.24</v>
      </c>
      <c r="U165" s="74">
        <v>1.22</v>
      </c>
      <c r="V165" s="50">
        <f>0.01/2</f>
        <v>5.0000000000000001E-3</v>
      </c>
      <c r="W165" s="74">
        <v>2.1999999999999999E-2</v>
      </c>
      <c r="X165" s="50">
        <v>1.2999999999999999E-2</v>
      </c>
      <c r="Y165" s="50">
        <v>1.2E-2</v>
      </c>
      <c r="Z165" s="164">
        <v>1</v>
      </c>
      <c r="AA165" s="165">
        <v>1</v>
      </c>
      <c r="AB165" s="50">
        <v>28</v>
      </c>
      <c r="AC165" s="74">
        <v>342</v>
      </c>
      <c r="AD165" s="271">
        <f>20/20</f>
        <v>1</v>
      </c>
      <c r="AE165" s="50">
        <v>0.79900000000000004</v>
      </c>
    </row>
    <row r="166" spans="1:39" ht="14">
      <c r="A166" s="41" t="s">
        <v>92</v>
      </c>
      <c r="B166" s="50" t="s">
        <v>1536</v>
      </c>
      <c r="C166" s="50" t="s">
        <v>1196</v>
      </c>
      <c r="D166" s="48" t="s">
        <v>1537</v>
      </c>
      <c r="E166" s="50" t="s">
        <v>1538</v>
      </c>
      <c r="G166" s="76" t="s">
        <v>1198</v>
      </c>
      <c r="H166" s="50">
        <v>4911</v>
      </c>
      <c r="I166" s="49" t="s">
        <v>1</v>
      </c>
      <c r="J166" s="50" t="s">
        <v>1200</v>
      </c>
      <c r="K166" s="51">
        <v>41261</v>
      </c>
      <c r="L166" s="115">
        <v>41244</v>
      </c>
      <c r="N166" s="50" t="s">
        <v>2</v>
      </c>
      <c r="O166" s="131">
        <f>1.4/2</f>
        <v>0.7</v>
      </c>
      <c r="Q166" s="74">
        <v>6.9</v>
      </c>
      <c r="R166" s="117">
        <v>15</v>
      </c>
      <c r="S166" s="74">
        <f>5/2</f>
        <v>2.5</v>
      </c>
      <c r="T166" s="50">
        <v>7.0000000000000007E-2</v>
      </c>
      <c r="U166" s="74">
        <v>0.53</v>
      </c>
      <c r="V166" s="50">
        <f>0.01/2</f>
        <v>5.0000000000000001E-3</v>
      </c>
      <c r="W166" s="74">
        <v>8.0000000000000002E-3</v>
      </c>
      <c r="X166" s="50">
        <v>9.1999999999999998E-2</v>
      </c>
      <c r="Y166" s="50">
        <v>5.0000000000000001E-3</v>
      </c>
      <c r="Z166" s="164">
        <v>1</v>
      </c>
      <c r="AA166" s="165">
        <v>1</v>
      </c>
      <c r="AB166" s="50">
        <v>26</v>
      </c>
      <c r="AC166" s="74">
        <v>286</v>
      </c>
      <c r="AD166" s="271">
        <f>20/20</f>
        <v>1</v>
      </c>
      <c r="AE166" s="50">
        <v>0.63</v>
      </c>
    </row>
    <row r="167" spans="1:39" ht="14">
      <c r="A167" s="41" t="s">
        <v>92</v>
      </c>
      <c r="B167" s="50" t="s">
        <v>93</v>
      </c>
      <c r="C167" s="50" t="s">
        <v>94</v>
      </c>
      <c r="D167" s="48" t="s">
        <v>56</v>
      </c>
      <c r="E167" s="50" t="s">
        <v>95</v>
      </c>
      <c r="G167" s="76" t="s">
        <v>167</v>
      </c>
      <c r="H167" s="50">
        <v>4911</v>
      </c>
      <c r="I167" s="49" t="s">
        <v>1</v>
      </c>
      <c r="J167" s="50" t="s">
        <v>96</v>
      </c>
      <c r="K167" s="51">
        <v>41030</v>
      </c>
      <c r="L167" s="115">
        <v>41022</v>
      </c>
      <c r="N167" s="50" t="s">
        <v>2</v>
      </c>
      <c r="O167" s="131">
        <f>1/2</f>
        <v>0.5</v>
      </c>
      <c r="P167" s="50">
        <v>7.58</v>
      </c>
      <c r="Q167" s="74">
        <v>5.52</v>
      </c>
      <c r="R167" s="117">
        <v>11.3</v>
      </c>
      <c r="S167" s="74">
        <v>17</v>
      </c>
      <c r="T167" s="50">
        <v>0.38</v>
      </c>
      <c r="U167" s="74">
        <v>1.1599999999999999</v>
      </c>
      <c r="V167" s="50">
        <v>0.21</v>
      </c>
      <c r="W167" s="74">
        <v>3.2000000000000001E-2</v>
      </c>
      <c r="X167" s="50">
        <v>0.153</v>
      </c>
      <c r="Y167" s="50">
        <v>8.9999999999999993E-3</v>
      </c>
      <c r="Z167" s="164"/>
      <c r="AA167" s="165"/>
      <c r="AE167" s="50">
        <v>1.21</v>
      </c>
      <c r="AI167" s="74">
        <v>470</v>
      </c>
      <c r="AK167" s="50">
        <v>180</v>
      </c>
    </row>
    <row r="168" spans="1:39" ht="14">
      <c r="A168" s="41" t="s">
        <v>92</v>
      </c>
      <c r="B168" s="50" t="s">
        <v>93</v>
      </c>
      <c r="C168" s="50" t="s">
        <v>94</v>
      </c>
      <c r="D168" s="48" t="s">
        <v>56</v>
      </c>
      <c r="E168" s="50" t="s">
        <v>95</v>
      </c>
      <c r="G168" s="76" t="s">
        <v>167</v>
      </c>
      <c r="H168" s="50">
        <v>4911</v>
      </c>
      <c r="I168" s="49" t="s">
        <v>1</v>
      </c>
      <c r="J168" s="50" t="s">
        <v>96</v>
      </c>
      <c r="K168" s="51">
        <v>41201</v>
      </c>
      <c r="L168" s="115">
        <v>41198</v>
      </c>
      <c r="N168" s="50" t="s">
        <v>2</v>
      </c>
      <c r="O168" s="131">
        <f>1/2</f>
        <v>0.5</v>
      </c>
      <c r="P168" s="50">
        <v>6.45</v>
      </c>
      <c r="Q168" s="74">
        <v>6.29</v>
      </c>
      <c r="R168" s="117">
        <v>3.7</v>
      </c>
      <c r="S168" s="74">
        <v>7</v>
      </c>
      <c r="T168" s="50">
        <v>0.14000000000000001</v>
      </c>
      <c r="U168" s="74">
        <v>0.59</v>
      </c>
      <c r="V168" s="50">
        <f>0.1/2</f>
        <v>0.05</v>
      </c>
      <c r="W168" s="74">
        <v>0.01</v>
      </c>
      <c r="X168" s="50">
        <v>0.105</v>
      </c>
      <c r="Y168" s="50">
        <f>0.002/2</f>
        <v>1E-3</v>
      </c>
      <c r="Z168" s="164">
        <v>1</v>
      </c>
      <c r="AA168" s="165">
        <v>1</v>
      </c>
      <c r="AB168" s="50">
        <v>156.19999999999999</v>
      </c>
      <c r="AC168" s="74">
        <v>1670</v>
      </c>
      <c r="AD168" s="271">
        <f>20/20</f>
        <v>1</v>
      </c>
      <c r="AI168" s="74">
        <v>2700</v>
      </c>
      <c r="AK168" s="50">
        <v>1980</v>
      </c>
    </row>
    <row r="169" spans="1:39" ht="14">
      <c r="A169" s="41" t="s">
        <v>92</v>
      </c>
      <c r="B169" s="50" t="s">
        <v>93</v>
      </c>
      <c r="C169" s="50" t="s">
        <v>94</v>
      </c>
      <c r="D169" s="48" t="s">
        <v>56</v>
      </c>
      <c r="E169" s="50" t="s">
        <v>95</v>
      </c>
      <c r="G169" s="76" t="s">
        <v>167</v>
      </c>
      <c r="H169" s="50">
        <v>4911</v>
      </c>
      <c r="I169" s="49" t="s">
        <v>1</v>
      </c>
      <c r="J169" s="50" t="s">
        <v>169</v>
      </c>
      <c r="K169" s="51">
        <v>41030</v>
      </c>
      <c r="L169" s="115">
        <v>41022</v>
      </c>
      <c r="N169" s="50" t="s">
        <v>2</v>
      </c>
      <c r="O169" s="131">
        <f>1/2</f>
        <v>0.5</v>
      </c>
      <c r="P169" s="50">
        <v>7.58</v>
      </c>
      <c r="Q169" s="74">
        <v>7.4</v>
      </c>
      <c r="R169" s="117">
        <v>44.4</v>
      </c>
      <c r="S169" s="74">
        <v>203</v>
      </c>
      <c r="T169" s="50">
        <v>0.48</v>
      </c>
      <c r="U169" s="74">
        <v>1.68</v>
      </c>
      <c r="V169" s="50">
        <v>1.17</v>
      </c>
      <c r="W169" s="74">
        <v>3.1E-2</v>
      </c>
      <c r="X169" s="50">
        <v>0.14499999999999999</v>
      </c>
      <c r="Y169" s="50">
        <v>1.4E-2</v>
      </c>
      <c r="Z169" s="164"/>
      <c r="AA169" s="165"/>
      <c r="AE169" s="50">
        <v>9.77</v>
      </c>
    </row>
    <row r="170" spans="1:39" ht="14">
      <c r="A170" s="41" t="s">
        <v>92</v>
      </c>
      <c r="B170" s="50" t="s">
        <v>93</v>
      </c>
      <c r="C170" s="50" t="s">
        <v>94</v>
      </c>
      <c r="D170" s="48" t="s">
        <v>56</v>
      </c>
      <c r="E170" s="50" t="s">
        <v>95</v>
      </c>
      <c r="G170" s="76" t="s">
        <v>167</v>
      </c>
      <c r="H170" s="50">
        <v>4911</v>
      </c>
      <c r="I170" s="49" t="s">
        <v>1</v>
      </c>
      <c r="J170" s="50" t="s">
        <v>169</v>
      </c>
      <c r="K170" s="51">
        <v>41201</v>
      </c>
      <c r="L170" s="115">
        <v>41198</v>
      </c>
      <c r="N170" s="50" t="s">
        <v>2</v>
      </c>
      <c r="O170" s="131">
        <f>1/2</f>
        <v>0.5</v>
      </c>
      <c r="P170" s="50">
        <v>6.35</v>
      </c>
      <c r="Q170" s="74">
        <v>7.08</v>
      </c>
      <c r="R170" s="117">
        <v>28.9</v>
      </c>
      <c r="S170" s="74">
        <v>86</v>
      </c>
      <c r="T170" s="50">
        <v>0.19</v>
      </c>
      <c r="U170" s="74">
        <v>0.39</v>
      </c>
      <c r="V170" s="50">
        <v>0.5</v>
      </c>
      <c r="W170" s="74">
        <v>1.2E-2</v>
      </c>
      <c r="X170" s="50">
        <v>7.5999999999999998E-2</v>
      </c>
      <c r="Y170" s="50">
        <v>8.0000000000000002E-3</v>
      </c>
      <c r="Z170" s="164">
        <v>1</v>
      </c>
      <c r="AA170" s="165">
        <v>1</v>
      </c>
      <c r="AB170" s="50">
        <v>107.1</v>
      </c>
      <c r="AC170" s="74">
        <v>774</v>
      </c>
      <c r="AD170" s="271">
        <f>17/20</f>
        <v>0.85</v>
      </c>
      <c r="AE170" s="50">
        <v>3.29</v>
      </c>
      <c r="AI170" s="74">
        <v>4800</v>
      </c>
      <c r="AK170" s="50">
        <v>2300</v>
      </c>
    </row>
    <row r="171" spans="1:39" ht="14">
      <c r="A171" s="41" t="s">
        <v>92</v>
      </c>
      <c r="B171" s="50" t="s">
        <v>93</v>
      </c>
      <c r="C171" s="50" t="s">
        <v>94</v>
      </c>
      <c r="D171" s="48" t="s">
        <v>56</v>
      </c>
      <c r="E171" s="50" t="s">
        <v>95</v>
      </c>
      <c r="G171" s="76" t="s">
        <v>167</v>
      </c>
      <c r="H171" s="50">
        <v>4911</v>
      </c>
      <c r="I171" s="49" t="s">
        <v>1</v>
      </c>
      <c r="J171" s="50" t="s">
        <v>169</v>
      </c>
      <c r="K171" s="51">
        <v>41332</v>
      </c>
      <c r="L171" s="115">
        <v>41328</v>
      </c>
      <c r="N171" s="50" t="s">
        <v>1</v>
      </c>
      <c r="O171" s="131"/>
      <c r="R171" s="117"/>
      <c r="Z171" s="164"/>
      <c r="AA171" s="165"/>
      <c r="AE171" s="50">
        <v>2.29</v>
      </c>
    </row>
    <row r="172" spans="1:39" ht="14">
      <c r="A172" s="41" t="s">
        <v>92</v>
      </c>
      <c r="B172" s="50" t="s">
        <v>93</v>
      </c>
      <c r="C172" s="50" t="s">
        <v>873</v>
      </c>
      <c r="D172" s="48" t="s">
        <v>262</v>
      </c>
      <c r="E172" s="50" t="s">
        <v>874</v>
      </c>
      <c r="G172" s="76" t="s">
        <v>875</v>
      </c>
      <c r="H172" s="50">
        <v>4911</v>
      </c>
      <c r="I172" s="49" t="s">
        <v>1</v>
      </c>
      <c r="J172" s="50" t="s">
        <v>876</v>
      </c>
      <c r="K172" s="51">
        <v>41044</v>
      </c>
      <c r="L172" s="115">
        <v>41038</v>
      </c>
      <c r="N172" s="50" t="s">
        <v>2</v>
      </c>
      <c r="O172" s="131">
        <f>1/2</f>
        <v>0.5</v>
      </c>
      <c r="P172" s="50">
        <v>7.35</v>
      </c>
      <c r="Q172" s="74">
        <v>6.3</v>
      </c>
      <c r="R172" s="117">
        <v>15</v>
      </c>
      <c r="S172" s="74">
        <v>3</v>
      </c>
      <c r="T172" s="50">
        <v>7.0000000000000007E-2</v>
      </c>
      <c r="U172" s="74">
        <v>0.68</v>
      </c>
      <c r="V172" s="50">
        <v>0.19</v>
      </c>
      <c r="W172" s="74">
        <v>6.0000000000000001E-3</v>
      </c>
      <c r="X172" s="50">
        <v>3.2000000000000001E-2</v>
      </c>
      <c r="Y172" s="50">
        <v>3.0000000000000001E-3</v>
      </c>
      <c r="Z172" s="164"/>
      <c r="AA172" s="165"/>
      <c r="AE172" s="50">
        <v>0.36</v>
      </c>
      <c r="AI172" s="74">
        <v>826</v>
      </c>
      <c r="AK172" s="50">
        <v>14</v>
      </c>
      <c r="AM172" s="402">
        <f>5/2</f>
        <v>2.5</v>
      </c>
    </row>
    <row r="173" spans="1:39" ht="14">
      <c r="A173" s="41" t="s">
        <v>92</v>
      </c>
      <c r="B173" s="50" t="s">
        <v>93</v>
      </c>
      <c r="C173" s="50" t="s">
        <v>873</v>
      </c>
      <c r="D173" s="48" t="s">
        <v>262</v>
      </c>
      <c r="E173" s="50" t="s">
        <v>874</v>
      </c>
      <c r="G173" s="76" t="s">
        <v>875</v>
      </c>
      <c r="H173" s="50">
        <v>4911</v>
      </c>
      <c r="I173" s="49" t="s">
        <v>1</v>
      </c>
      <c r="J173" s="50" t="s">
        <v>876</v>
      </c>
      <c r="K173" s="51">
        <v>41240</v>
      </c>
      <c r="L173" s="115">
        <v>41236</v>
      </c>
      <c r="N173" s="50" t="s">
        <v>2</v>
      </c>
      <c r="O173" s="131">
        <v>1.2</v>
      </c>
      <c r="P173" s="50">
        <v>7.22</v>
      </c>
      <c r="Q173" s="74">
        <v>7.03</v>
      </c>
      <c r="R173" s="117">
        <v>2.6</v>
      </c>
      <c r="S173" s="74">
        <v>19</v>
      </c>
      <c r="T173" s="50">
        <v>0.12</v>
      </c>
      <c r="U173" s="74">
        <v>0.83</v>
      </c>
      <c r="V173" s="50">
        <v>0.4</v>
      </c>
      <c r="W173" s="74">
        <v>2.3E-2</v>
      </c>
      <c r="X173" s="50">
        <v>0.127</v>
      </c>
      <c r="Y173" s="50">
        <v>6.0000000000000001E-3</v>
      </c>
      <c r="Z173" s="164">
        <v>1</v>
      </c>
      <c r="AA173" s="165">
        <v>1</v>
      </c>
      <c r="AB173" s="50">
        <v>27.77</v>
      </c>
      <c r="AC173" s="74">
        <v>112</v>
      </c>
      <c r="AD173" s="271">
        <f>20/20</f>
        <v>1</v>
      </c>
      <c r="AE173" s="50">
        <v>0.65</v>
      </c>
      <c r="AM173" s="402">
        <f>5/2</f>
        <v>2.5</v>
      </c>
    </row>
    <row r="174" spans="1:39" ht="14">
      <c r="A174" s="41" t="s">
        <v>92</v>
      </c>
      <c r="B174" s="50" t="s">
        <v>93</v>
      </c>
      <c r="C174" s="50" t="s">
        <v>873</v>
      </c>
      <c r="D174" s="48" t="s">
        <v>262</v>
      </c>
      <c r="E174" s="50" t="s">
        <v>874</v>
      </c>
      <c r="G174" s="76" t="s">
        <v>875</v>
      </c>
      <c r="H174" s="50">
        <v>4911</v>
      </c>
      <c r="I174" s="49" t="s">
        <v>1</v>
      </c>
      <c r="J174" s="50" t="s">
        <v>877</v>
      </c>
      <c r="K174" s="51">
        <v>41044</v>
      </c>
      <c r="L174" s="115">
        <v>41038</v>
      </c>
      <c r="N174" s="50" t="s">
        <v>2</v>
      </c>
      <c r="O174" s="131">
        <f>1/2</f>
        <v>0.5</v>
      </c>
      <c r="P174" s="50">
        <v>7.35</v>
      </c>
      <c r="Q174" s="74">
        <v>6.25</v>
      </c>
      <c r="R174" s="117">
        <v>15</v>
      </c>
      <c r="S174" s="74">
        <v>5</v>
      </c>
      <c r="T174" s="50">
        <v>0.09</v>
      </c>
      <c r="U174" s="74">
        <v>0.76</v>
      </c>
      <c r="V174" s="50">
        <v>0.19</v>
      </c>
      <c r="W174" s="74">
        <v>5.0000000000000001E-3</v>
      </c>
      <c r="X174" s="50">
        <v>0.03</v>
      </c>
      <c r="Y174" s="50">
        <v>4.0000000000000001E-3</v>
      </c>
      <c r="Z174" s="164"/>
      <c r="AA174" s="165"/>
      <c r="AE174" s="50">
        <v>0.37</v>
      </c>
      <c r="AI174" s="74">
        <v>986</v>
      </c>
      <c r="AK174" s="50">
        <v>268</v>
      </c>
      <c r="AM174" s="402">
        <f>5/2</f>
        <v>2.5</v>
      </c>
    </row>
    <row r="175" spans="1:39" ht="14">
      <c r="A175" s="41" t="s">
        <v>92</v>
      </c>
      <c r="B175" s="50" t="s">
        <v>93</v>
      </c>
      <c r="C175" s="50" t="s">
        <v>873</v>
      </c>
      <c r="D175" s="48" t="s">
        <v>262</v>
      </c>
      <c r="E175" s="50" t="s">
        <v>874</v>
      </c>
      <c r="G175" s="76" t="s">
        <v>875</v>
      </c>
      <c r="H175" s="50">
        <v>4911</v>
      </c>
      <c r="I175" s="49" t="s">
        <v>1</v>
      </c>
      <c r="J175" s="50" t="s">
        <v>877</v>
      </c>
      <c r="K175" s="51">
        <v>41240</v>
      </c>
      <c r="L175" s="115">
        <v>41236</v>
      </c>
      <c r="N175" s="50" t="s">
        <v>2</v>
      </c>
      <c r="O175" s="131">
        <v>2</v>
      </c>
      <c r="P175" s="50">
        <v>7.5</v>
      </c>
      <c r="Q175" s="74">
        <v>6.95</v>
      </c>
      <c r="R175" s="117">
        <v>22.2</v>
      </c>
      <c r="S175" s="74">
        <v>14</v>
      </c>
      <c r="T175" s="50">
        <v>0.06</v>
      </c>
      <c r="U175" s="74">
        <v>0.47</v>
      </c>
      <c r="V175" s="50">
        <v>0.38</v>
      </c>
      <c r="W175" s="74">
        <v>0.01</v>
      </c>
      <c r="X175" s="50">
        <v>0.04</v>
      </c>
      <c r="Y175" s="50">
        <v>7.0000000000000001E-3</v>
      </c>
      <c r="Z175" s="164">
        <v>1</v>
      </c>
      <c r="AA175" s="165">
        <v>1</v>
      </c>
      <c r="AB175" s="50">
        <v>6.94</v>
      </c>
      <c r="AC175" s="74">
        <v>63</v>
      </c>
      <c r="AD175" s="271">
        <f>20/20</f>
        <v>1</v>
      </c>
      <c r="AE175" s="50">
        <v>0.51</v>
      </c>
      <c r="AM175" s="402">
        <f>5/2</f>
        <v>2.5</v>
      </c>
    </row>
    <row r="176" spans="1:39" ht="14">
      <c r="A176" s="41" t="s">
        <v>92</v>
      </c>
      <c r="B176" s="50" t="s">
        <v>93</v>
      </c>
      <c r="C176" s="50" t="s">
        <v>873</v>
      </c>
      <c r="D176" s="48" t="s">
        <v>262</v>
      </c>
      <c r="E176" s="50" t="s">
        <v>874</v>
      </c>
      <c r="G176" s="76" t="s">
        <v>875</v>
      </c>
      <c r="H176" s="50">
        <v>4911</v>
      </c>
      <c r="I176" s="49" t="s">
        <v>1</v>
      </c>
      <c r="J176" s="50" t="s">
        <v>1542</v>
      </c>
      <c r="K176" s="51">
        <v>41240</v>
      </c>
      <c r="L176" s="115">
        <v>41236</v>
      </c>
      <c r="N176" s="50" t="s">
        <v>2</v>
      </c>
      <c r="O176" s="131">
        <v>1.6</v>
      </c>
      <c r="P176" s="50">
        <v>7.22</v>
      </c>
      <c r="Q176" s="74">
        <v>7.13</v>
      </c>
      <c r="R176" s="117">
        <v>44.4</v>
      </c>
      <c r="S176" s="74">
        <v>123</v>
      </c>
      <c r="T176" s="50">
        <v>0.4</v>
      </c>
      <c r="U176" s="74">
        <v>1.17</v>
      </c>
      <c r="V176" s="50">
        <v>0.64</v>
      </c>
      <c r="W176" s="74">
        <v>3.9E-2</v>
      </c>
      <c r="X176" s="50">
        <v>8.7999999999999995E-2</v>
      </c>
      <c r="Y176" s="50">
        <v>4.1000000000000002E-2</v>
      </c>
      <c r="Z176" s="164">
        <v>1</v>
      </c>
      <c r="AA176" s="165">
        <v>1</v>
      </c>
      <c r="AB176" s="50">
        <v>90.26</v>
      </c>
      <c r="AC176" s="74">
        <v>532</v>
      </c>
      <c r="AD176" s="271">
        <f>20/20</f>
        <v>1</v>
      </c>
      <c r="AE176" s="50">
        <v>2.7</v>
      </c>
      <c r="AM176" s="402">
        <f>5/2</f>
        <v>2.5</v>
      </c>
    </row>
    <row r="177" spans="1:45" ht="14">
      <c r="A177" s="41" t="s">
        <v>92</v>
      </c>
      <c r="B177" s="50" t="s">
        <v>93</v>
      </c>
      <c r="C177" s="50" t="s">
        <v>873</v>
      </c>
      <c r="D177" s="48" t="s">
        <v>262</v>
      </c>
      <c r="E177" s="50" t="s">
        <v>874</v>
      </c>
      <c r="G177" s="76" t="s">
        <v>875</v>
      </c>
      <c r="H177" s="50">
        <v>4911</v>
      </c>
      <c r="I177" s="49" t="s">
        <v>1</v>
      </c>
      <c r="J177" s="50" t="s">
        <v>1542</v>
      </c>
      <c r="K177" s="51">
        <v>41332</v>
      </c>
      <c r="L177" s="115">
        <v>41328</v>
      </c>
      <c r="N177" s="50" t="s">
        <v>1</v>
      </c>
      <c r="O177" s="131"/>
      <c r="P177" s="50">
        <v>6.4</v>
      </c>
      <c r="Q177" s="74">
        <v>7.34</v>
      </c>
      <c r="R177" s="117"/>
      <c r="Z177" s="164"/>
      <c r="AA177" s="165"/>
      <c r="AE177" s="50">
        <v>3.43</v>
      </c>
    </row>
    <row r="178" spans="1:45" ht="14">
      <c r="A178" s="41" t="s">
        <v>92</v>
      </c>
      <c r="B178" s="54" t="s">
        <v>302</v>
      </c>
      <c r="C178" s="54" t="s">
        <v>302</v>
      </c>
      <c r="D178" s="48" t="s">
        <v>303</v>
      </c>
      <c r="E178" s="50" t="s">
        <v>304</v>
      </c>
      <c r="G178" s="76" t="s">
        <v>305</v>
      </c>
      <c r="H178" s="50">
        <v>4911</v>
      </c>
      <c r="I178" s="49" t="s">
        <v>2</v>
      </c>
      <c r="J178" s="50" t="s">
        <v>306</v>
      </c>
      <c r="K178" s="51">
        <v>41030</v>
      </c>
      <c r="L178" s="115">
        <v>41026</v>
      </c>
      <c r="N178" s="50" t="s">
        <v>2</v>
      </c>
      <c r="O178" s="131">
        <f>1.4/2</f>
        <v>0.7</v>
      </c>
      <c r="P178" s="50">
        <v>7.33</v>
      </c>
      <c r="R178" s="117">
        <v>27</v>
      </c>
      <c r="S178" s="74">
        <v>83</v>
      </c>
      <c r="T178" s="50">
        <v>0.2</v>
      </c>
      <c r="U178" s="74">
        <v>0.91</v>
      </c>
      <c r="V178" s="50">
        <v>0.45</v>
      </c>
      <c r="W178" s="74">
        <v>2.7E-2</v>
      </c>
      <c r="X178" s="50">
        <v>6.7000000000000004E-2</v>
      </c>
      <c r="Y178" s="50">
        <v>2.4E-2</v>
      </c>
      <c r="Z178" s="164">
        <v>1</v>
      </c>
      <c r="AA178" s="165">
        <v>1</v>
      </c>
      <c r="AB178" s="50">
        <v>34</v>
      </c>
      <c r="AC178" s="74">
        <v>253</v>
      </c>
      <c r="AD178" s="271">
        <f>20/20</f>
        <v>1</v>
      </c>
      <c r="AE178" s="50">
        <v>2.56</v>
      </c>
    </row>
    <row r="179" spans="1:45" ht="14">
      <c r="A179" s="41" t="s">
        <v>92</v>
      </c>
      <c r="B179" s="54" t="s">
        <v>302</v>
      </c>
      <c r="C179" s="54" t="s">
        <v>302</v>
      </c>
      <c r="D179" s="48" t="s">
        <v>303</v>
      </c>
      <c r="E179" s="50" t="s">
        <v>304</v>
      </c>
      <c r="G179" s="76" t="s">
        <v>305</v>
      </c>
      <c r="H179" s="50">
        <v>4911</v>
      </c>
      <c r="I179" s="49" t="s">
        <v>2</v>
      </c>
      <c r="J179" s="50" t="s">
        <v>306</v>
      </c>
      <c r="K179" s="51">
        <v>41184</v>
      </c>
      <c r="L179" s="115">
        <v>41181</v>
      </c>
      <c r="N179" s="50" t="s">
        <v>2</v>
      </c>
      <c r="O179" s="131">
        <v>1.8</v>
      </c>
      <c r="P179" s="50">
        <v>7.05</v>
      </c>
      <c r="R179" s="117">
        <v>61</v>
      </c>
      <c r="S179" s="74">
        <v>240</v>
      </c>
      <c r="T179" s="50">
        <v>0.44</v>
      </c>
      <c r="U179" s="74">
        <v>3.32</v>
      </c>
      <c r="V179" s="50">
        <v>0.38</v>
      </c>
      <c r="W179" s="74">
        <v>3.3000000000000002E-2</v>
      </c>
      <c r="X179" s="50">
        <v>6.2E-2</v>
      </c>
      <c r="Y179" s="50">
        <v>0.01</v>
      </c>
      <c r="Z179" s="164"/>
      <c r="AA179" s="165"/>
      <c r="AE179" s="50">
        <v>12.6</v>
      </c>
      <c r="AJ179" s="49"/>
    </row>
    <row r="180" spans="1:45" ht="14">
      <c r="A180" s="41" t="s">
        <v>92</v>
      </c>
      <c r="B180" s="50" t="s">
        <v>2333</v>
      </c>
      <c r="C180" s="50" t="s">
        <v>2334</v>
      </c>
      <c r="D180" s="48" t="s">
        <v>480</v>
      </c>
      <c r="E180" s="50" t="s">
        <v>1546</v>
      </c>
      <c r="G180" s="76" t="s">
        <v>2335</v>
      </c>
      <c r="H180" s="50">
        <v>4911</v>
      </c>
      <c r="I180" s="49" t="s">
        <v>1</v>
      </c>
      <c r="J180" s="50" t="s">
        <v>255</v>
      </c>
      <c r="K180" s="51">
        <v>41170</v>
      </c>
      <c r="L180" s="115">
        <v>41160</v>
      </c>
      <c r="N180" s="50" t="s">
        <v>2</v>
      </c>
      <c r="O180" s="74">
        <f>2/2</f>
        <v>1</v>
      </c>
      <c r="P180" s="117">
        <v>7.1</v>
      </c>
      <c r="Q180" s="131">
        <v>7.6</v>
      </c>
      <c r="R180" s="50">
        <f>10/2</f>
        <v>5</v>
      </c>
      <c r="S180" s="74">
        <v>8</v>
      </c>
      <c r="T180" s="50">
        <f>0.05/2</f>
        <v>2.5000000000000001E-2</v>
      </c>
      <c r="U180" s="74">
        <v>0.59</v>
      </c>
      <c r="V180" s="50">
        <v>0.59</v>
      </c>
      <c r="W180" s="227">
        <f>0.01/2</f>
        <v>5.0000000000000001E-3</v>
      </c>
      <c r="X180" s="226">
        <v>0.24</v>
      </c>
      <c r="Y180" s="226">
        <v>0.182</v>
      </c>
      <c r="Z180" s="164">
        <v>1</v>
      </c>
      <c r="AA180" s="165">
        <v>1</v>
      </c>
      <c r="AB180" s="50">
        <v>52</v>
      </c>
      <c r="AC180" s="74">
        <v>165</v>
      </c>
      <c r="AD180" s="271">
        <f>20/20</f>
        <v>1</v>
      </c>
      <c r="AE180" s="50">
        <v>0.83</v>
      </c>
      <c r="AF180" s="273"/>
    </row>
    <row r="181" spans="1:45" ht="14">
      <c r="A181" s="41" t="s">
        <v>92</v>
      </c>
      <c r="B181" s="50" t="s">
        <v>2333</v>
      </c>
      <c r="C181" s="50" t="s">
        <v>2334</v>
      </c>
      <c r="D181" s="48" t="s">
        <v>480</v>
      </c>
      <c r="E181" s="50" t="s">
        <v>1546</v>
      </c>
      <c r="G181" s="76" t="s">
        <v>2335</v>
      </c>
      <c r="H181" s="50">
        <v>4911</v>
      </c>
      <c r="I181" s="49" t="s">
        <v>1</v>
      </c>
      <c r="J181" s="50" t="s">
        <v>254</v>
      </c>
      <c r="K181" s="51">
        <v>41170</v>
      </c>
      <c r="L181" s="115">
        <v>41160</v>
      </c>
      <c r="N181" s="50" t="s">
        <v>2</v>
      </c>
      <c r="O181" s="74">
        <f>2/2</f>
        <v>1</v>
      </c>
      <c r="P181" s="117">
        <v>7.4</v>
      </c>
      <c r="Q181" s="131">
        <v>6.2</v>
      </c>
      <c r="R181" s="50">
        <v>11</v>
      </c>
      <c r="S181" s="74">
        <v>21</v>
      </c>
      <c r="T181" s="50">
        <f>0.05/2</f>
        <v>2.5000000000000001E-2</v>
      </c>
      <c r="U181" s="74">
        <v>1.1100000000000001</v>
      </c>
      <c r="V181" s="50">
        <v>0.67</v>
      </c>
      <c r="W181" s="227">
        <f>0.01/2</f>
        <v>5.0000000000000001E-3</v>
      </c>
      <c r="X181" s="226">
        <f>0.03/2</f>
        <v>1.4999999999999999E-2</v>
      </c>
      <c r="Y181" s="226">
        <f t="shared" ref="Y181:Y187" si="5">0.03/2</f>
        <v>1.4999999999999999E-2</v>
      </c>
      <c r="Z181" s="164">
        <v>1</v>
      </c>
      <c r="AA181" s="165">
        <v>1</v>
      </c>
      <c r="AB181" s="50">
        <v>17</v>
      </c>
      <c r="AC181" s="74">
        <v>81</v>
      </c>
      <c r="AD181" s="271">
        <f>15/20</f>
        <v>0.75</v>
      </c>
      <c r="AE181" s="50">
        <v>0.36</v>
      </c>
      <c r="AF181" s="273"/>
    </row>
    <row r="182" spans="1:45" ht="14">
      <c r="A182" s="41" t="s">
        <v>92</v>
      </c>
      <c r="B182" s="50" t="s">
        <v>2333</v>
      </c>
      <c r="C182" s="50" t="s">
        <v>2334</v>
      </c>
      <c r="D182" s="48" t="s">
        <v>480</v>
      </c>
      <c r="E182" s="50" t="s">
        <v>1546</v>
      </c>
      <c r="G182" s="76" t="s">
        <v>2335</v>
      </c>
      <c r="H182" s="50">
        <v>4911</v>
      </c>
      <c r="I182" s="49" t="s">
        <v>1</v>
      </c>
      <c r="J182" s="50" t="s">
        <v>2097</v>
      </c>
      <c r="K182" s="51">
        <v>41170</v>
      </c>
      <c r="L182" s="115">
        <v>41160</v>
      </c>
      <c r="N182" s="50" t="s">
        <v>2</v>
      </c>
      <c r="O182" s="74">
        <f>2/2</f>
        <v>1</v>
      </c>
      <c r="P182" s="117">
        <v>7.1</v>
      </c>
      <c r="Q182" s="131">
        <v>6.7</v>
      </c>
      <c r="R182" s="50">
        <v>17</v>
      </c>
      <c r="S182" s="74">
        <v>2</v>
      </c>
      <c r="T182" s="50">
        <f>0.05/2</f>
        <v>2.5000000000000001E-2</v>
      </c>
      <c r="U182" s="74">
        <v>1.06</v>
      </c>
      <c r="V182" s="50">
        <v>0.8</v>
      </c>
      <c r="W182" s="227">
        <f>0.01/2</f>
        <v>5.0000000000000001E-3</v>
      </c>
      <c r="X182" s="226">
        <v>3.5999999999999997E-2</v>
      </c>
      <c r="Y182" s="226">
        <f t="shared" si="5"/>
        <v>1.4999999999999999E-2</v>
      </c>
      <c r="Z182" s="164">
        <v>1</v>
      </c>
      <c r="AA182" s="165">
        <v>1</v>
      </c>
      <c r="AB182" s="50">
        <v>9</v>
      </c>
      <c r="AC182" s="74">
        <v>55</v>
      </c>
      <c r="AD182" s="271">
        <f>20/20</f>
        <v>1</v>
      </c>
      <c r="AE182" s="50">
        <v>0.37</v>
      </c>
      <c r="AF182" s="273"/>
    </row>
    <row r="183" spans="1:45" ht="14">
      <c r="A183" s="41" t="s">
        <v>92</v>
      </c>
      <c r="B183" s="50" t="s">
        <v>2333</v>
      </c>
      <c r="C183" s="50" t="s">
        <v>2334</v>
      </c>
      <c r="D183" s="48" t="s">
        <v>480</v>
      </c>
      <c r="E183" s="50" t="s">
        <v>1546</v>
      </c>
      <c r="G183" s="76" t="s">
        <v>2335</v>
      </c>
      <c r="H183" s="50">
        <v>4911</v>
      </c>
      <c r="I183" s="49" t="s">
        <v>1</v>
      </c>
      <c r="J183" s="50" t="s">
        <v>171</v>
      </c>
      <c r="K183" s="51">
        <v>41170</v>
      </c>
      <c r="L183" s="115">
        <v>41160</v>
      </c>
      <c r="N183" s="50" t="s">
        <v>2</v>
      </c>
      <c r="O183" s="74">
        <f>2/2</f>
        <v>1</v>
      </c>
      <c r="P183" s="117">
        <v>7.1</v>
      </c>
      <c r="Q183" s="131">
        <v>7.5</v>
      </c>
      <c r="R183" s="50">
        <f>10/2</f>
        <v>5</v>
      </c>
      <c r="S183" s="74">
        <f>1/2</f>
        <v>0.5</v>
      </c>
      <c r="T183" s="50">
        <f>0.05/2</f>
        <v>2.5000000000000001E-2</v>
      </c>
      <c r="U183" s="74">
        <v>0.38</v>
      </c>
      <c r="V183" s="50">
        <f>0.1/2</f>
        <v>0.05</v>
      </c>
      <c r="W183" s="227">
        <f>0.01/2</f>
        <v>5.0000000000000001E-3</v>
      </c>
      <c r="X183" s="226">
        <f>0.03/2</f>
        <v>1.4999999999999999E-2</v>
      </c>
      <c r="Y183" s="226">
        <f t="shared" si="5"/>
        <v>1.4999999999999999E-2</v>
      </c>
      <c r="Z183" s="164">
        <v>1</v>
      </c>
      <c r="AA183" s="165">
        <v>1</v>
      </c>
      <c r="AB183" s="50">
        <v>458</v>
      </c>
      <c r="AC183" s="74">
        <v>929</v>
      </c>
      <c r="AD183" s="271">
        <f>20/20</f>
        <v>1</v>
      </c>
      <c r="AE183" s="50">
        <v>0.17</v>
      </c>
      <c r="AF183" s="273"/>
    </row>
    <row r="184" spans="1:45" ht="14">
      <c r="A184" s="41" t="s">
        <v>92</v>
      </c>
      <c r="B184" s="50" t="s">
        <v>2333</v>
      </c>
      <c r="C184" s="50" t="s">
        <v>2334</v>
      </c>
      <c r="D184" s="48" t="s">
        <v>480</v>
      </c>
      <c r="E184" s="50" t="s">
        <v>1546</v>
      </c>
      <c r="G184" s="76" t="s">
        <v>2335</v>
      </c>
      <c r="H184" s="50">
        <v>4911</v>
      </c>
      <c r="I184" s="49" t="s">
        <v>1</v>
      </c>
      <c r="J184" s="50" t="s">
        <v>2159</v>
      </c>
      <c r="K184" s="51">
        <v>41170</v>
      </c>
      <c r="L184" s="115">
        <v>41160</v>
      </c>
      <c r="N184" s="50" t="s">
        <v>2</v>
      </c>
      <c r="O184" s="74">
        <f>2/2</f>
        <v>1</v>
      </c>
      <c r="P184" s="117">
        <v>7.1</v>
      </c>
      <c r="Q184" s="131">
        <v>7.9</v>
      </c>
      <c r="R184" s="50">
        <f>10/2</f>
        <v>5</v>
      </c>
      <c r="S184" s="74">
        <v>24</v>
      </c>
      <c r="T184" s="50">
        <f>0.05/2</f>
        <v>2.5000000000000001E-2</v>
      </c>
      <c r="U184" s="74">
        <v>0.22</v>
      </c>
      <c r="V184" s="50">
        <v>0.74</v>
      </c>
      <c r="W184" s="227">
        <v>2.3E-2</v>
      </c>
      <c r="X184" s="226">
        <v>0.159</v>
      </c>
      <c r="Y184" s="226">
        <f t="shared" si="5"/>
        <v>1.4999999999999999E-2</v>
      </c>
      <c r="Z184" s="164">
        <v>1</v>
      </c>
      <c r="AA184" s="165">
        <v>1</v>
      </c>
      <c r="AB184" s="50">
        <v>66</v>
      </c>
      <c r="AC184" s="74">
        <v>185</v>
      </c>
      <c r="AD184" s="271">
        <f>20/20</f>
        <v>1</v>
      </c>
      <c r="AE184" s="50">
        <v>8.57</v>
      </c>
      <c r="AF184" s="273"/>
    </row>
    <row r="185" spans="1:45" ht="14">
      <c r="A185" s="41" t="s">
        <v>92</v>
      </c>
      <c r="B185" s="50" t="s">
        <v>3672</v>
      </c>
      <c r="C185" s="50" t="s">
        <v>3673</v>
      </c>
      <c r="D185" s="48" t="s">
        <v>640</v>
      </c>
      <c r="E185" s="50" t="s">
        <v>3674</v>
      </c>
      <c r="G185" s="76" t="s">
        <v>3675</v>
      </c>
      <c r="H185" s="50">
        <v>4911</v>
      </c>
      <c r="I185" s="49" t="s">
        <v>2</v>
      </c>
      <c r="J185" s="77" t="s">
        <v>1943</v>
      </c>
      <c r="K185" s="51">
        <v>41345</v>
      </c>
      <c r="L185" s="115">
        <v>40976</v>
      </c>
      <c r="N185" s="50" t="s">
        <v>1</v>
      </c>
      <c r="O185" s="131">
        <v>5.9</v>
      </c>
      <c r="P185" s="50">
        <v>5.5</v>
      </c>
      <c r="Q185" s="74">
        <v>7.4</v>
      </c>
      <c r="R185" s="117">
        <v>54</v>
      </c>
      <c r="S185" s="74">
        <v>246</v>
      </c>
      <c r="T185" s="50">
        <v>0.28000000000000003</v>
      </c>
      <c r="U185" s="74">
        <v>1.2</v>
      </c>
      <c r="V185" s="50">
        <v>0.35</v>
      </c>
      <c r="W185" s="74">
        <v>3.9E-2</v>
      </c>
      <c r="X185" s="50">
        <v>0.63900000000000001</v>
      </c>
      <c r="Y185" s="50">
        <f t="shared" si="5"/>
        <v>1.4999999999999999E-2</v>
      </c>
      <c r="Z185" s="164">
        <v>0.70699999999999996</v>
      </c>
      <c r="AA185" s="165">
        <v>0.53600000000000003</v>
      </c>
      <c r="AB185" s="50">
        <v>148</v>
      </c>
      <c r="AC185" s="74">
        <v>5460</v>
      </c>
      <c r="AD185" s="271">
        <f>0/20</f>
        <v>0</v>
      </c>
      <c r="AE185" s="50">
        <v>11.3</v>
      </c>
    </row>
    <row r="186" spans="1:45" ht="14">
      <c r="A186" s="41" t="s">
        <v>92</v>
      </c>
      <c r="B186" s="50" t="s">
        <v>3672</v>
      </c>
      <c r="C186" s="50" t="s">
        <v>3673</v>
      </c>
      <c r="D186" s="48" t="s">
        <v>640</v>
      </c>
      <c r="E186" s="50" t="s">
        <v>3674</v>
      </c>
      <c r="G186" s="76" t="s">
        <v>3675</v>
      </c>
      <c r="H186" s="50">
        <v>4911</v>
      </c>
      <c r="I186" s="49" t="s">
        <v>2</v>
      </c>
      <c r="J186" s="77" t="s">
        <v>425</v>
      </c>
      <c r="K186" s="51">
        <v>41345</v>
      </c>
      <c r="L186" s="115">
        <v>41341</v>
      </c>
      <c r="N186" s="50" t="s">
        <v>1</v>
      </c>
      <c r="O186" s="131">
        <f t="shared" ref="O186:O192" si="6">2/2</f>
        <v>1</v>
      </c>
      <c r="P186" s="50">
        <v>5.5</v>
      </c>
      <c r="Q186" s="74">
        <v>6.3</v>
      </c>
      <c r="R186" s="117">
        <v>22</v>
      </c>
      <c r="S186" s="74">
        <v>122</v>
      </c>
      <c r="T186" s="50">
        <f t="shared" ref="T186:T192" si="7">0.05/2</f>
        <v>2.5000000000000001E-2</v>
      </c>
      <c r="U186" s="74">
        <v>0.49</v>
      </c>
      <c r="V186" s="50">
        <v>2.44</v>
      </c>
      <c r="W186" s="74">
        <v>2.7E-2</v>
      </c>
      <c r="X186" s="50">
        <v>0.82499999999999996</v>
      </c>
      <c r="Y186" s="50">
        <f t="shared" si="5"/>
        <v>1.4999999999999999E-2</v>
      </c>
      <c r="Z186" s="164">
        <v>1</v>
      </c>
      <c r="AA186" s="165">
        <v>1</v>
      </c>
      <c r="AB186" s="50">
        <v>459</v>
      </c>
      <c r="AC186" s="74">
        <v>3500</v>
      </c>
      <c r="AD186" s="271">
        <f>16/20</f>
        <v>0.8</v>
      </c>
      <c r="AE186" s="50">
        <v>4.24</v>
      </c>
    </row>
    <row r="187" spans="1:45" ht="14">
      <c r="A187" s="41" t="s">
        <v>92</v>
      </c>
      <c r="B187" s="50" t="s">
        <v>3672</v>
      </c>
      <c r="C187" s="50" t="s">
        <v>3673</v>
      </c>
      <c r="D187" s="48" t="s">
        <v>640</v>
      </c>
      <c r="E187" s="50" t="s">
        <v>3674</v>
      </c>
      <c r="G187" s="76" t="s">
        <v>3675</v>
      </c>
      <c r="H187" s="50">
        <v>4911</v>
      </c>
      <c r="I187" s="49" t="s">
        <v>2</v>
      </c>
      <c r="J187" s="77" t="s">
        <v>1341</v>
      </c>
      <c r="K187" s="51">
        <v>41345</v>
      </c>
      <c r="L187" s="115">
        <v>41341</v>
      </c>
      <c r="N187" s="50" t="s">
        <v>1</v>
      </c>
      <c r="O187" s="131">
        <f t="shared" si="6"/>
        <v>1</v>
      </c>
      <c r="P187" s="50">
        <v>5.5</v>
      </c>
      <c r="Q187" s="74">
        <v>6.7</v>
      </c>
      <c r="R187" s="117">
        <v>22</v>
      </c>
      <c r="S187" s="74">
        <v>20</v>
      </c>
      <c r="T187" s="50">
        <f t="shared" si="7"/>
        <v>2.5000000000000001E-2</v>
      </c>
      <c r="U187" s="74">
        <v>0.44</v>
      </c>
      <c r="V187" s="50">
        <f>0.1/2</f>
        <v>0.05</v>
      </c>
      <c r="W187" s="74">
        <v>1.2999999999999999E-2</v>
      </c>
      <c r="X187" s="50">
        <v>0.14099999999999999</v>
      </c>
      <c r="Y187" s="50">
        <f t="shared" si="5"/>
        <v>1.4999999999999999E-2</v>
      </c>
      <c r="Z187" s="164">
        <v>1</v>
      </c>
      <c r="AA187" s="165">
        <v>1</v>
      </c>
      <c r="AB187" s="50">
        <v>27</v>
      </c>
      <c r="AC187" s="74">
        <v>2810</v>
      </c>
      <c r="AD187" s="271">
        <f>14/20</f>
        <v>0.7</v>
      </c>
      <c r="AE187" s="50">
        <v>0.45</v>
      </c>
    </row>
    <row r="188" spans="1:45" ht="14">
      <c r="A188" s="41" t="s">
        <v>92</v>
      </c>
      <c r="B188" s="50" t="s">
        <v>2333</v>
      </c>
      <c r="C188" s="50" t="s">
        <v>2334</v>
      </c>
      <c r="D188" s="48" t="s">
        <v>480</v>
      </c>
      <c r="E188" s="50" t="s">
        <v>1546</v>
      </c>
      <c r="G188" s="76" t="s">
        <v>2335</v>
      </c>
      <c r="H188" s="50">
        <v>4911</v>
      </c>
      <c r="I188" s="49" t="s">
        <v>1</v>
      </c>
      <c r="J188" s="50" t="s">
        <v>255</v>
      </c>
      <c r="K188" s="51">
        <v>41345</v>
      </c>
      <c r="L188" s="115">
        <v>41341</v>
      </c>
      <c r="N188" s="50" t="s">
        <v>1</v>
      </c>
      <c r="O188" s="131">
        <f t="shared" si="6"/>
        <v>1</v>
      </c>
      <c r="P188" s="50">
        <v>7.1</v>
      </c>
      <c r="Q188" s="74">
        <v>7.3</v>
      </c>
      <c r="R188" s="117">
        <f>10/2</f>
        <v>5</v>
      </c>
      <c r="S188" s="74">
        <v>4</v>
      </c>
      <c r="T188" s="50">
        <f t="shared" si="7"/>
        <v>2.5000000000000001E-2</v>
      </c>
      <c r="U188" s="74">
        <v>0.16</v>
      </c>
      <c r="V188" s="50">
        <f>0.1/2</f>
        <v>0.05</v>
      </c>
      <c r="W188" s="74">
        <v>1.0999999999999999E-2</v>
      </c>
      <c r="X188" s="50">
        <f t="shared" ref="X188:Y190" si="8">0.03/2</f>
        <v>1.4999999999999999E-2</v>
      </c>
      <c r="Y188" s="50">
        <f t="shared" si="8"/>
        <v>1.4999999999999999E-2</v>
      </c>
      <c r="Z188" s="164">
        <v>1</v>
      </c>
      <c r="AA188" s="165">
        <v>1</v>
      </c>
      <c r="AB188" s="50">
        <v>32</v>
      </c>
      <c r="AC188" s="74">
        <v>180</v>
      </c>
      <c r="AD188" s="271">
        <f t="shared" ref="AD188:AD190" si="9">20/20</f>
        <v>1</v>
      </c>
      <c r="AE188" s="50">
        <v>0.3</v>
      </c>
      <c r="AJ188" s="50">
        <f>50/2</f>
        <v>25</v>
      </c>
    </row>
    <row r="189" spans="1:45" ht="14">
      <c r="A189" s="41" t="s">
        <v>92</v>
      </c>
      <c r="B189" s="50" t="s">
        <v>2333</v>
      </c>
      <c r="C189" s="50" t="s">
        <v>2334</v>
      </c>
      <c r="D189" s="48" t="s">
        <v>480</v>
      </c>
      <c r="E189" s="50" t="s">
        <v>1546</v>
      </c>
      <c r="G189" s="76" t="s">
        <v>2335</v>
      </c>
      <c r="H189" s="50">
        <v>4911</v>
      </c>
      <c r="I189" s="49" t="s">
        <v>1</v>
      </c>
      <c r="J189" s="50" t="s">
        <v>254</v>
      </c>
      <c r="K189" s="51">
        <v>41345</v>
      </c>
      <c r="L189" s="115">
        <v>41341</v>
      </c>
      <c r="N189" s="50" t="s">
        <v>1</v>
      </c>
      <c r="O189" s="131">
        <f t="shared" si="6"/>
        <v>1</v>
      </c>
      <c r="P189" s="50">
        <v>7.1</v>
      </c>
      <c r="Q189" s="74">
        <v>6.7</v>
      </c>
      <c r="R189" s="117">
        <f>10/2</f>
        <v>5</v>
      </c>
      <c r="S189" s="74">
        <v>3</v>
      </c>
      <c r="T189" s="50">
        <f t="shared" si="7"/>
        <v>2.5000000000000001E-2</v>
      </c>
      <c r="U189" s="74">
        <v>0.4</v>
      </c>
      <c r="V189" s="50">
        <v>0.27</v>
      </c>
      <c r="W189" s="74">
        <v>1.2E-2</v>
      </c>
      <c r="X189" s="50">
        <f t="shared" si="8"/>
        <v>1.4999999999999999E-2</v>
      </c>
      <c r="Y189" s="50">
        <f t="shared" si="8"/>
        <v>1.4999999999999999E-2</v>
      </c>
      <c r="Z189" s="164">
        <v>1</v>
      </c>
      <c r="AA189" s="165">
        <v>1</v>
      </c>
      <c r="AB189" s="50">
        <v>11</v>
      </c>
      <c r="AC189" s="74">
        <v>172</v>
      </c>
      <c r="AD189" s="271">
        <f t="shared" si="9"/>
        <v>1</v>
      </c>
      <c r="AE189" s="50">
        <v>1.23</v>
      </c>
      <c r="AJ189" s="50">
        <f>50/2</f>
        <v>25</v>
      </c>
    </row>
    <row r="190" spans="1:45" ht="14">
      <c r="A190" s="41" t="s">
        <v>92</v>
      </c>
      <c r="B190" s="50" t="s">
        <v>2333</v>
      </c>
      <c r="C190" s="50" t="s">
        <v>2334</v>
      </c>
      <c r="D190" s="48" t="s">
        <v>480</v>
      </c>
      <c r="E190" s="50" t="s">
        <v>1546</v>
      </c>
      <c r="G190" s="76" t="s">
        <v>2335</v>
      </c>
      <c r="H190" s="50">
        <v>4911</v>
      </c>
      <c r="I190" s="49" t="s">
        <v>1</v>
      </c>
      <c r="J190" s="50" t="s">
        <v>2097</v>
      </c>
      <c r="K190" s="51">
        <v>41345</v>
      </c>
      <c r="L190" s="115">
        <v>41341</v>
      </c>
      <c r="N190" s="50" t="s">
        <v>1</v>
      </c>
      <c r="O190" s="131">
        <f t="shared" si="6"/>
        <v>1</v>
      </c>
      <c r="P190" s="50">
        <v>7.1</v>
      </c>
      <c r="Q190" s="74">
        <v>6.9</v>
      </c>
      <c r="R190" s="117">
        <v>14</v>
      </c>
      <c r="S190" s="74">
        <v>12</v>
      </c>
      <c r="T190" s="50">
        <f t="shared" si="7"/>
        <v>2.5000000000000001E-2</v>
      </c>
      <c r="U190" s="74">
        <v>0.44</v>
      </c>
      <c r="V190" s="50">
        <v>0.46</v>
      </c>
      <c r="W190" s="74">
        <f>0.01/2</f>
        <v>5.0000000000000001E-3</v>
      </c>
      <c r="X190" s="50">
        <f t="shared" si="8"/>
        <v>1.4999999999999999E-2</v>
      </c>
      <c r="Y190" s="50">
        <f t="shared" si="8"/>
        <v>1.4999999999999999E-2</v>
      </c>
      <c r="Z190" s="164">
        <v>1</v>
      </c>
      <c r="AA190" s="165">
        <v>1</v>
      </c>
      <c r="AB190" s="50">
        <v>64</v>
      </c>
      <c r="AC190" s="74">
        <v>521</v>
      </c>
      <c r="AD190" s="271">
        <f t="shared" si="9"/>
        <v>1</v>
      </c>
      <c r="AE190" s="50">
        <v>0.97</v>
      </c>
      <c r="AJ190" s="50">
        <f>50/2</f>
        <v>25</v>
      </c>
    </row>
    <row r="191" spans="1:45" ht="14">
      <c r="A191" s="41" t="s">
        <v>92</v>
      </c>
      <c r="B191" s="50" t="s">
        <v>2333</v>
      </c>
      <c r="C191" s="50" t="s">
        <v>2334</v>
      </c>
      <c r="D191" s="48" t="s">
        <v>480</v>
      </c>
      <c r="E191" s="50" t="s">
        <v>1546</v>
      </c>
      <c r="G191" s="76" t="s">
        <v>2335</v>
      </c>
      <c r="H191" s="50">
        <v>4911</v>
      </c>
      <c r="I191" s="49" t="s">
        <v>1</v>
      </c>
      <c r="J191" s="50" t="s">
        <v>171</v>
      </c>
      <c r="K191" s="51">
        <v>41345</v>
      </c>
      <c r="L191" s="115">
        <v>41341</v>
      </c>
      <c r="N191" s="50" t="s">
        <v>1</v>
      </c>
      <c r="O191" s="131">
        <f t="shared" si="6"/>
        <v>1</v>
      </c>
      <c r="P191" s="50">
        <v>7.1</v>
      </c>
      <c r="Q191" s="74">
        <v>7.5</v>
      </c>
      <c r="R191" s="117">
        <f>10/2</f>
        <v>5</v>
      </c>
      <c r="S191" s="74">
        <v>3</v>
      </c>
      <c r="T191" s="50">
        <f t="shared" si="7"/>
        <v>2.5000000000000001E-2</v>
      </c>
      <c r="U191" s="74">
        <f>0.1/2</f>
        <v>0.05</v>
      </c>
      <c r="V191" s="50">
        <v>0.22</v>
      </c>
      <c r="W191" s="74">
        <v>1.7999999999999999E-2</v>
      </c>
      <c r="X191" s="50">
        <f>0.03/2</f>
        <v>1.4999999999999999E-2</v>
      </c>
      <c r="Y191" s="50">
        <f>0.03/2</f>
        <v>1.4999999999999999E-2</v>
      </c>
      <c r="Z191" s="164">
        <v>1</v>
      </c>
      <c r="AA191" s="165">
        <v>1</v>
      </c>
      <c r="AB191" s="50">
        <v>140</v>
      </c>
      <c r="AC191" s="74">
        <v>607</v>
      </c>
      <c r="AD191" s="271">
        <f>20/20</f>
        <v>1</v>
      </c>
      <c r="AE191" s="50">
        <v>0.25</v>
      </c>
      <c r="AJ191" s="50">
        <v>150</v>
      </c>
    </row>
    <row r="192" spans="1:45" s="32" customFormat="1" ht="14">
      <c r="A192" s="41" t="s">
        <v>92</v>
      </c>
      <c r="B192" s="50" t="s">
        <v>2333</v>
      </c>
      <c r="C192" s="50" t="s">
        <v>2334</v>
      </c>
      <c r="D192" s="48" t="s">
        <v>480</v>
      </c>
      <c r="E192" s="50" t="s">
        <v>1546</v>
      </c>
      <c r="F192" s="50"/>
      <c r="G192" s="76" t="s">
        <v>2335</v>
      </c>
      <c r="H192" s="50">
        <v>4911</v>
      </c>
      <c r="I192" s="49" t="s">
        <v>1</v>
      </c>
      <c r="J192" s="50" t="s">
        <v>2159</v>
      </c>
      <c r="K192" s="51">
        <v>41345</v>
      </c>
      <c r="L192" s="115">
        <v>41341</v>
      </c>
      <c r="M192" s="50"/>
      <c r="N192" s="50" t="s">
        <v>1</v>
      </c>
      <c r="O192" s="131">
        <f t="shared" si="6"/>
        <v>1</v>
      </c>
      <c r="P192" s="50">
        <v>7.1</v>
      </c>
      <c r="Q192" s="74">
        <v>8.1999999999999993</v>
      </c>
      <c r="R192" s="117">
        <f>10/2</f>
        <v>5</v>
      </c>
      <c r="S192" s="74">
        <v>17</v>
      </c>
      <c r="T192" s="50">
        <f t="shared" si="7"/>
        <v>2.5000000000000001E-2</v>
      </c>
      <c r="U192" s="74">
        <v>0.18</v>
      </c>
      <c r="V192" s="50">
        <v>0.3</v>
      </c>
      <c r="W192" s="74">
        <v>0.26900000000000002</v>
      </c>
      <c r="X192" s="50">
        <v>7.6999999999999999E-2</v>
      </c>
      <c r="Y192" s="50">
        <f>0.03/2</f>
        <v>1.4999999999999999E-2</v>
      </c>
      <c r="Z192" s="164">
        <v>0.14899999999999999</v>
      </c>
      <c r="AA192" s="165">
        <v>6.25E-2</v>
      </c>
      <c r="AB192" s="50">
        <v>11</v>
      </c>
      <c r="AC192" s="74">
        <v>322</v>
      </c>
      <c r="AD192" s="271">
        <v>0</v>
      </c>
      <c r="AE192" s="50">
        <v>1.57</v>
      </c>
      <c r="AF192" s="50"/>
      <c r="AG192" s="50"/>
      <c r="AH192" s="50"/>
      <c r="AI192" s="74"/>
      <c r="AJ192" s="50">
        <f>50/2</f>
        <v>25</v>
      </c>
      <c r="AK192" s="50"/>
      <c r="AL192" s="113"/>
      <c r="AM192" s="402"/>
      <c r="AN192" s="74"/>
      <c r="AO192" s="74"/>
      <c r="AP192" s="74"/>
      <c r="AQ192" s="74"/>
      <c r="AR192" s="74"/>
      <c r="AS192" s="74"/>
    </row>
    <row r="193" spans="1:39" ht="14">
      <c r="A193" s="41" t="s">
        <v>92</v>
      </c>
      <c r="B193" s="50" t="s">
        <v>1536</v>
      </c>
      <c r="C193" s="50" t="s">
        <v>1196</v>
      </c>
      <c r="D193" s="48" t="s">
        <v>1537</v>
      </c>
      <c r="E193" s="50" t="s">
        <v>1538</v>
      </c>
      <c r="G193" s="76" t="s">
        <v>1198</v>
      </c>
      <c r="H193" s="50">
        <v>4911</v>
      </c>
      <c r="J193" s="50" t="s">
        <v>172</v>
      </c>
      <c r="K193" s="51">
        <v>41402</v>
      </c>
      <c r="L193" s="115">
        <v>41395</v>
      </c>
      <c r="N193" s="50" t="s">
        <v>2</v>
      </c>
      <c r="O193" s="131">
        <f>1.4/2</f>
        <v>0.7</v>
      </c>
      <c r="Q193" s="74">
        <v>7.04</v>
      </c>
      <c r="R193" s="117">
        <v>75</v>
      </c>
      <c r="S193" s="74">
        <v>130</v>
      </c>
      <c r="T193" s="50">
        <v>0.28000000000000003</v>
      </c>
      <c r="U193" s="74">
        <v>1.54</v>
      </c>
      <c r="V193" s="50">
        <v>0.16</v>
      </c>
      <c r="W193" s="74">
        <v>2.9000000000000001E-2</v>
      </c>
      <c r="X193" s="50">
        <v>5.2999999999999999E-2</v>
      </c>
      <c r="Y193" s="50">
        <v>3.7999999999999999E-2</v>
      </c>
      <c r="Z193" s="164">
        <v>1</v>
      </c>
      <c r="AA193" s="165">
        <v>1</v>
      </c>
      <c r="AB193" s="50">
        <v>30</v>
      </c>
      <c r="AC193" s="74">
        <v>257</v>
      </c>
      <c r="AD193" s="271">
        <f>20/20</f>
        <v>1</v>
      </c>
      <c r="AE193" s="50">
        <v>5.51</v>
      </c>
    </row>
    <row r="194" spans="1:39" ht="14">
      <c r="A194" s="41" t="s">
        <v>92</v>
      </c>
      <c r="B194" s="50" t="s">
        <v>1536</v>
      </c>
      <c r="C194" s="50" t="s">
        <v>1196</v>
      </c>
      <c r="D194" s="48" t="s">
        <v>1537</v>
      </c>
      <c r="E194" s="50" t="s">
        <v>1538</v>
      </c>
      <c r="G194" s="76" t="s">
        <v>1198</v>
      </c>
      <c r="H194" s="50">
        <v>4911</v>
      </c>
      <c r="I194" s="49" t="s">
        <v>1</v>
      </c>
      <c r="J194" s="50" t="s">
        <v>1199</v>
      </c>
      <c r="K194" s="51">
        <v>41402</v>
      </c>
      <c r="L194" s="115">
        <v>41395</v>
      </c>
      <c r="N194" s="50" t="s">
        <v>2</v>
      </c>
      <c r="O194" s="131">
        <f>1.4/2</f>
        <v>0.7</v>
      </c>
      <c r="Q194" s="74">
        <v>6</v>
      </c>
      <c r="R194" s="117">
        <v>92</v>
      </c>
      <c r="S194" s="74">
        <v>130</v>
      </c>
      <c r="T194" s="50">
        <v>0.4</v>
      </c>
      <c r="U194" s="74">
        <v>2.68</v>
      </c>
      <c r="V194" s="50">
        <v>0.66</v>
      </c>
      <c r="W194" s="74">
        <v>3.1E-2</v>
      </c>
      <c r="X194" s="50">
        <v>0.10199999999999999</v>
      </c>
      <c r="Y194" s="50">
        <v>3.1E-2</v>
      </c>
      <c r="Z194" s="164">
        <v>1</v>
      </c>
      <c r="AA194" s="165">
        <v>1</v>
      </c>
      <c r="AB194" s="50">
        <v>38</v>
      </c>
      <c r="AC194" s="74">
        <v>243</v>
      </c>
      <c r="AD194" s="271">
        <f>20/20</f>
        <v>1</v>
      </c>
      <c r="AE194" s="50">
        <v>4.76</v>
      </c>
    </row>
    <row r="195" spans="1:39" ht="14">
      <c r="A195" s="41" t="s">
        <v>92</v>
      </c>
      <c r="B195" s="50" t="s">
        <v>1536</v>
      </c>
      <c r="C195" s="50" t="s">
        <v>1196</v>
      </c>
      <c r="D195" s="48" t="s">
        <v>1537</v>
      </c>
      <c r="E195" s="50" t="s">
        <v>1538</v>
      </c>
      <c r="G195" s="76" t="s">
        <v>1198</v>
      </c>
      <c r="H195" s="50">
        <v>4911</v>
      </c>
      <c r="I195" s="49" t="s">
        <v>1</v>
      </c>
      <c r="J195" s="50" t="s">
        <v>1200</v>
      </c>
      <c r="K195" s="51">
        <v>41402</v>
      </c>
      <c r="L195" s="115">
        <v>41395</v>
      </c>
      <c r="N195" s="50" t="s">
        <v>2</v>
      </c>
      <c r="O195" s="131">
        <f>1.4/2</f>
        <v>0.7</v>
      </c>
      <c r="Q195" s="74">
        <v>7</v>
      </c>
      <c r="R195" s="117">
        <v>103</v>
      </c>
      <c r="S195" s="74">
        <v>130</v>
      </c>
      <c r="T195" s="50">
        <v>0.28999999999999998</v>
      </c>
      <c r="U195" s="74">
        <v>2.65</v>
      </c>
      <c r="V195" s="50">
        <v>0.16</v>
      </c>
      <c r="W195" s="74">
        <v>2.9000000000000001E-2</v>
      </c>
      <c r="X195" s="50">
        <v>9.9000000000000005E-2</v>
      </c>
      <c r="Y195" s="50">
        <v>0.03</v>
      </c>
      <c r="Z195" s="164">
        <v>1</v>
      </c>
      <c r="AA195" s="165">
        <v>1</v>
      </c>
      <c r="AB195" s="50">
        <v>30</v>
      </c>
      <c r="AC195" s="74">
        <v>115</v>
      </c>
      <c r="AD195" s="271">
        <f>20/20</f>
        <v>1</v>
      </c>
      <c r="AE195" s="50">
        <v>4.05</v>
      </c>
    </row>
    <row r="196" spans="1:39" ht="14">
      <c r="A196" s="41" t="s">
        <v>92</v>
      </c>
      <c r="B196" s="7" t="s">
        <v>93</v>
      </c>
      <c r="C196" s="7" t="s">
        <v>873</v>
      </c>
      <c r="D196" s="14" t="s">
        <v>262</v>
      </c>
      <c r="E196" s="7" t="s">
        <v>874</v>
      </c>
      <c r="F196" s="7"/>
      <c r="G196" s="15" t="s">
        <v>875</v>
      </c>
      <c r="H196" s="7">
        <v>4911</v>
      </c>
      <c r="I196" s="19" t="s">
        <v>1</v>
      </c>
      <c r="J196" s="7" t="s">
        <v>876</v>
      </c>
      <c r="K196" s="16">
        <v>41402</v>
      </c>
      <c r="L196" s="17">
        <v>41384</v>
      </c>
      <c r="M196" s="7"/>
      <c r="N196" s="7" t="s">
        <v>2</v>
      </c>
      <c r="O196" s="8">
        <v>0.5</v>
      </c>
      <c r="P196" s="7">
        <v>9.23</v>
      </c>
      <c r="Q196" s="6">
        <v>6.87</v>
      </c>
      <c r="R196" s="9">
        <v>92.1</v>
      </c>
      <c r="S196" s="6">
        <v>56</v>
      </c>
      <c r="T196" s="7">
        <v>0.28999999999999998</v>
      </c>
      <c r="U196" s="6">
        <v>1.56</v>
      </c>
      <c r="V196" s="7">
        <v>0.51</v>
      </c>
      <c r="W196" s="6">
        <v>2.1999999999999999E-2</v>
      </c>
      <c r="X196" s="7">
        <v>0.17199999999999999</v>
      </c>
      <c r="Y196" s="7">
        <v>2.8000000000000001E-2</v>
      </c>
      <c r="Z196" s="12"/>
      <c r="AA196" s="13"/>
      <c r="AB196" s="7"/>
      <c r="AC196" s="6"/>
      <c r="AD196" s="323"/>
      <c r="AE196" s="7"/>
      <c r="AF196" s="7"/>
      <c r="AG196" s="7"/>
      <c r="AH196" s="5"/>
      <c r="AI196">
        <v>560</v>
      </c>
      <c r="AJ196" s="5"/>
      <c r="AK196" s="5">
        <v>0</v>
      </c>
      <c r="AL196" s="1"/>
      <c r="AM196" s="5">
        <v>2.5</v>
      </c>
    </row>
    <row r="197" spans="1:39" ht="14">
      <c r="A197" s="41" t="s">
        <v>92</v>
      </c>
      <c r="B197" s="7" t="s">
        <v>93</v>
      </c>
      <c r="C197" s="7" t="s">
        <v>873</v>
      </c>
      <c r="D197" s="14" t="s">
        <v>262</v>
      </c>
      <c r="E197" s="7" t="s">
        <v>874</v>
      </c>
      <c r="F197" s="7"/>
      <c r="G197" s="15" t="s">
        <v>875</v>
      </c>
      <c r="H197" s="7">
        <v>4911</v>
      </c>
      <c r="I197" s="19" t="s">
        <v>1</v>
      </c>
      <c r="J197" s="7" t="s">
        <v>877</v>
      </c>
      <c r="K197" s="16">
        <v>41402</v>
      </c>
      <c r="L197" s="17">
        <v>41384</v>
      </c>
      <c r="M197" s="7"/>
      <c r="N197" s="7" t="s">
        <v>2</v>
      </c>
      <c r="O197" s="8">
        <v>0.5</v>
      </c>
      <c r="P197" s="7">
        <v>9.23</v>
      </c>
      <c r="Q197" s="6">
        <v>6.98</v>
      </c>
      <c r="R197" s="9">
        <v>124.5</v>
      </c>
      <c r="S197" s="6">
        <v>149</v>
      </c>
      <c r="T197" s="7">
        <v>0.39</v>
      </c>
      <c r="U197" s="6">
        <v>2.0699999999999998</v>
      </c>
      <c r="V197" s="7">
        <v>0.75</v>
      </c>
      <c r="W197" s="6">
        <v>2.8000000000000001E-2</v>
      </c>
      <c r="X197" s="7">
        <v>0.29099999999999998</v>
      </c>
      <c r="Y197" s="7">
        <v>1.2999999999999999E-2</v>
      </c>
      <c r="Z197" s="12"/>
      <c r="AA197" s="13"/>
      <c r="AB197" s="7"/>
      <c r="AC197" s="6"/>
      <c r="AD197" s="323"/>
      <c r="AE197" s="7"/>
      <c r="AF197" s="7"/>
      <c r="AG197" s="7"/>
      <c r="AH197" s="5"/>
      <c r="AI197">
        <v>1300</v>
      </c>
      <c r="AJ197" s="5"/>
      <c r="AK197" s="5">
        <v>380</v>
      </c>
      <c r="AL197" s="1"/>
      <c r="AM197" s="5">
        <v>2.5</v>
      </c>
    </row>
    <row r="198" spans="1:39" ht="14">
      <c r="A198" s="41" t="s">
        <v>92</v>
      </c>
      <c r="B198" s="7" t="s">
        <v>93</v>
      </c>
      <c r="C198" s="7" t="s">
        <v>873</v>
      </c>
      <c r="D198" s="14" t="s">
        <v>262</v>
      </c>
      <c r="E198" s="7" t="s">
        <v>874</v>
      </c>
      <c r="F198" s="7"/>
      <c r="G198" s="15" t="s">
        <v>875</v>
      </c>
      <c r="H198" s="7">
        <v>4911</v>
      </c>
      <c r="I198" s="19" t="s">
        <v>1</v>
      </c>
      <c r="J198" s="7" t="s">
        <v>1542</v>
      </c>
      <c r="K198" s="16">
        <v>41402</v>
      </c>
      <c r="L198" s="17">
        <v>41384</v>
      </c>
      <c r="M198" s="7"/>
      <c r="N198" s="7" t="s">
        <v>2</v>
      </c>
      <c r="O198" s="8">
        <v>0.5</v>
      </c>
      <c r="P198" s="7">
        <v>9.23</v>
      </c>
      <c r="Q198" s="6">
        <v>7.22</v>
      </c>
      <c r="R198" s="9">
        <v>674</v>
      </c>
      <c r="S198" s="6">
        <v>69</v>
      </c>
      <c r="T198" s="7">
        <v>0.36</v>
      </c>
      <c r="U198" s="6">
        <v>2.21</v>
      </c>
      <c r="V198" s="7">
        <v>0.4</v>
      </c>
      <c r="W198" s="6">
        <v>1.7999999999999999E-2</v>
      </c>
      <c r="X198" s="7">
        <v>6.6000000000000003E-2</v>
      </c>
      <c r="Y198" s="7">
        <v>1.2E-2</v>
      </c>
      <c r="Z198" s="12"/>
      <c r="AA198" s="13"/>
      <c r="AB198" s="7"/>
      <c r="AC198" s="6"/>
      <c r="AD198" s="323"/>
      <c r="AE198" s="7">
        <v>1.27</v>
      </c>
      <c r="AF198" s="7"/>
      <c r="AG198" s="7"/>
      <c r="AH198" s="5"/>
      <c r="AI198">
        <v>4500</v>
      </c>
      <c r="AJ198" s="5"/>
      <c r="AK198" s="5">
        <v>250</v>
      </c>
      <c r="AL198" s="1"/>
      <c r="AM198" s="5">
        <v>2.5</v>
      </c>
    </row>
    <row r="199" spans="1:39" ht="14">
      <c r="A199" s="41" t="s">
        <v>92</v>
      </c>
      <c r="B199" s="7" t="s">
        <v>478</v>
      </c>
      <c r="C199" s="7" t="s">
        <v>479</v>
      </c>
      <c r="D199" s="14" t="s">
        <v>480</v>
      </c>
      <c r="E199" s="7" t="s">
        <v>1546</v>
      </c>
      <c r="F199" s="7"/>
      <c r="G199" s="15" t="s">
        <v>481</v>
      </c>
      <c r="H199" s="7">
        <v>4911</v>
      </c>
      <c r="I199" s="19" t="s">
        <v>1</v>
      </c>
      <c r="J199" s="7" t="s">
        <v>482</v>
      </c>
      <c r="K199" s="16">
        <v>41392</v>
      </c>
      <c r="L199" s="17">
        <v>41384</v>
      </c>
      <c r="M199" s="7"/>
      <c r="N199" s="7" t="s">
        <v>2</v>
      </c>
      <c r="O199" s="8">
        <v>0.7</v>
      </c>
      <c r="P199" s="7">
        <v>5.3</v>
      </c>
      <c r="Q199" s="6">
        <v>6.2</v>
      </c>
      <c r="R199" s="9">
        <v>111</v>
      </c>
      <c r="S199" s="6">
        <v>250</v>
      </c>
      <c r="T199" s="7">
        <v>0.41</v>
      </c>
      <c r="U199" s="6">
        <v>2.92</v>
      </c>
      <c r="V199" s="7">
        <v>0.36</v>
      </c>
      <c r="W199" s="6">
        <v>0.14799999999999999</v>
      </c>
      <c r="X199" s="7">
        <v>1.18</v>
      </c>
      <c r="Y199" s="7">
        <v>5.3999999999999999E-2</v>
      </c>
      <c r="Z199" s="12">
        <v>0.91700000000000004</v>
      </c>
      <c r="AA199" s="13">
        <v>0.35099999999999998</v>
      </c>
      <c r="AB199" s="7">
        <v>10</v>
      </c>
      <c r="AC199" s="6">
        <v>52</v>
      </c>
      <c r="AD199" s="323">
        <v>0</v>
      </c>
      <c r="AE199" s="7"/>
      <c r="AF199" s="7"/>
      <c r="AG199" s="7"/>
      <c r="AH199" s="5"/>
      <c r="AI199"/>
      <c r="AJ199" s="5"/>
      <c r="AK199" s="5"/>
      <c r="AL199" s="1"/>
      <c r="AM199" s="5"/>
    </row>
    <row r="200" spans="1:39" ht="14">
      <c r="A200" s="41" t="s">
        <v>92</v>
      </c>
      <c r="B200" s="7" t="s">
        <v>478</v>
      </c>
      <c r="C200" s="7" t="s">
        <v>479</v>
      </c>
      <c r="D200" s="14" t="s">
        <v>480</v>
      </c>
      <c r="E200" s="7" t="s">
        <v>1546</v>
      </c>
      <c r="F200" s="7"/>
      <c r="G200" s="15" t="s">
        <v>481</v>
      </c>
      <c r="H200" s="7">
        <v>4911</v>
      </c>
      <c r="I200" s="19" t="s">
        <v>1</v>
      </c>
      <c r="J200" s="7" t="s">
        <v>483</v>
      </c>
      <c r="K200" s="16">
        <v>41402</v>
      </c>
      <c r="L200" s="17">
        <v>41384</v>
      </c>
      <c r="M200" s="7"/>
      <c r="N200" s="7" t="s">
        <v>2</v>
      </c>
      <c r="O200" s="8">
        <v>0.7</v>
      </c>
      <c r="P200" s="7">
        <v>5.3</v>
      </c>
      <c r="Q200" s="6">
        <v>7.3</v>
      </c>
      <c r="R200" s="9">
        <v>129</v>
      </c>
      <c r="S200" s="6">
        <v>180</v>
      </c>
      <c r="T200" s="7">
        <v>0.28999999999999998</v>
      </c>
      <c r="U200" s="6">
        <v>2.34</v>
      </c>
      <c r="V200" s="7">
        <v>0.51</v>
      </c>
      <c r="W200" s="6">
        <v>0.28999999999999998</v>
      </c>
      <c r="X200" s="7">
        <v>9.9000000000000005E-2</v>
      </c>
      <c r="Y200" s="7">
        <v>2.4E-2</v>
      </c>
      <c r="Z200" s="12">
        <v>0.79100000000000004</v>
      </c>
      <c r="AA200" s="13">
        <v>0.67300000000000004</v>
      </c>
      <c r="AB200" s="7">
        <v>28</v>
      </c>
      <c r="AC200" s="6">
        <v>103</v>
      </c>
      <c r="AD200" s="323">
        <v>0.2</v>
      </c>
      <c r="AE200" s="7"/>
      <c r="AF200" s="7"/>
      <c r="AG200" s="7"/>
      <c r="AH200" s="5"/>
      <c r="AI200"/>
      <c r="AJ200" s="5"/>
      <c r="AK200" s="5"/>
      <c r="AL200" s="1"/>
      <c r="AM200" s="5"/>
    </row>
    <row r="201" spans="1:39" ht="14">
      <c r="A201" s="41" t="s">
        <v>92</v>
      </c>
      <c r="B201" s="7" t="s">
        <v>478</v>
      </c>
      <c r="C201" s="7" t="s">
        <v>479</v>
      </c>
      <c r="D201" s="14" t="s">
        <v>480</v>
      </c>
      <c r="E201" s="7" t="s">
        <v>1546</v>
      </c>
      <c r="F201" s="7"/>
      <c r="G201" s="15" t="s">
        <v>481</v>
      </c>
      <c r="H201" s="7">
        <v>4911</v>
      </c>
      <c r="I201" s="19" t="s">
        <v>1</v>
      </c>
      <c r="J201" s="7" t="s">
        <v>484</v>
      </c>
      <c r="K201" s="16">
        <v>41402</v>
      </c>
      <c r="L201" s="17">
        <v>41384</v>
      </c>
      <c r="M201" s="7"/>
      <c r="N201" s="7" t="s">
        <v>2</v>
      </c>
      <c r="O201" s="8">
        <v>1.5</v>
      </c>
      <c r="P201" s="7">
        <v>5.3</v>
      </c>
      <c r="Q201" s="6">
        <v>6.8</v>
      </c>
      <c r="R201" s="9">
        <v>88</v>
      </c>
      <c r="S201" s="6">
        <v>68</v>
      </c>
      <c r="T201" s="7">
        <v>0.38</v>
      </c>
      <c r="U201" s="6">
        <v>4.0199999999999996</v>
      </c>
      <c r="V201" s="7">
        <v>0.72</v>
      </c>
      <c r="W201" s="6">
        <v>8.1000000000000003E-2</v>
      </c>
      <c r="X201" s="7">
        <v>0.36599999999999999</v>
      </c>
      <c r="Y201" s="7">
        <v>7.3999999999999996E-2</v>
      </c>
      <c r="Z201" s="12">
        <v>1</v>
      </c>
      <c r="AA201" s="13">
        <v>0.82</v>
      </c>
      <c r="AB201" s="7">
        <v>10</v>
      </c>
      <c r="AC201" s="6">
        <v>59</v>
      </c>
      <c r="AD201" s="323">
        <v>0.3</v>
      </c>
      <c r="AE201" s="7"/>
      <c r="AF201" s="7"/>
      <c r="AG201" s="7"/>
      <c r="AH201" s="5"/>
      <c r="AI201"/>
      <c r="AJ201" s="5"/>
      <c r="AK201" s="5"/>
      <c r="AL201" s="1"/>
      <c r="AM201" s="5"/>
    </row>
    <row r="202" spans="1:39" ht="14">
      <c r="A202" s="41" t="s">
        <v>92</v>
      </c>
      <c r="B202" s="7" t="s">
        <v>478</v>
      </c>
      <c r="C202" s="7" t="s">
        <v>479</v>
      </c>
      <c r="D202" s="14" t="s">
        <v>480</v>
      </c>
      <c r="E202" s="7" t="s">
        <v>1546</v>
      </c>
      <c r="F202" s="7"/>
      <c r="G202" s="15" t="s">
        <v>481</v>
      </c>
      <c r="H202" s="7">
        <v>4911</v>
      </c>
      <c r="I202" s="19" t="s">
        <v>1</v>
      </c>
      <c r="J202" s="7" t="s">
        <v>485</v>
      </c>
      <c r="K202" s="16">
        <v>41452</v>
      </c>
      <c r="L202" s="17">
        <v>41443</v>
      </c>
      <c r="M202" s="7"/>
      <c r="N202" s="7" t="s">
        <v>2</v>
      </c>
      <c r="O202" s="8">
        <v>0.7</v>
      </c>
      <c r="P202" s="7">
        <v>4.3</v>
      </c>
      <c r="Q202" s="6">
        <v>6.99</v>
      </c>
      <c r="R202" s="9">
        <v>5</v>
      </c>
      <c r="S202" s="6">
        <v>2.5</v>
      </c>
      <c r="T202" s="7">
        <v>0.1</v>
      </c>
      <c r="U202" s="6">
        <v>0.47</v>
      </c>
      <c r="V202" s="7">
        <v>5.0000000000000001E-3</v>
      </c>
      <c r="W202" s="6">
        <v>2.5000000000000001E-3</v>
      </c>
      <c r="X202" s="7">
        <v>1E-3</v>
      </c>
      <c r="Y202" s="7">
        <v>1E-3</v>
      </c>
      <c r="Z202" s="12">
        <v>1</v>
      </c>
      <c r="AA202" s="13">
        <v>0.752</v>
      </c>
      <c r="AB202" s="7">
        <v>64</v>
      </c>
      <c r="AC202" s="6">
        <v>153</v>
      </c>
      <c r="AD202" s="323">
        <v>0.15</v>
      </c>
      <c r="AE202" s="7"/>
      <c r="AF202" s="7"/>
      <c r="AG202" s="7"/>
      <c r="AH202" s="5"/>
      <c r="AI202"/>
      <c r="AJ202" s="5"/>
      <c r="AK202" s="5"/>
      <c r="AL202" s="1"/>
      <c r="AM202" s="5"/>
    </row>
    <row r="203" spans="1:39" ht="14">
      <c r="A203" s="41" t="s">
        <v>92</v>
      </c>
      <c r="B203" s="7" t="s">
        <v>2343</v>
      </c>
      <c r="C203" s="7" t="s">
        <v>2343</v>
      </c>
      <c r="D203" s="14" t="s">
        <v>262</v>
      </c>
      <c r="E203" s="7" t="s">
        <v>874</v>
      </c>
      <c r="F203" s="7"/>
      <c r="G203" s="15" t="s">
        <v>2344</v>
      </c>
      <c r="H203" s="7">
        <v>4911</v>
      </c>
      <c r="I203" s="19" t="s">
        <v>1</v>
      </c>
      <c r="J203" s="7" t="s">
        <v>2034</v>
      </c>
      <c r="K203" s="16">
        <v>41402</v>
      </c>
      <c r="L203" s="17">
        <v>41384</v>
      </c>
      <c r="M203" s="7"/>
      <c r="N203" s="7" t="s">
        <v>2</v>
      </c>
      <c r="O203" s="8">
        <v>1</v>
      </c>
      <c r="P203" s="7">
        <v>7.4</v>
      </c>
      <c r="Q203" s="6">
        <v>7.6</v>
      </c>
      <c r="R203" s="9">
        <v>8.3000000000000007</v>
      </c>
      <c r="S203" s="6">
        <v>23</v>
      </c>
      <c r="T203" s="7">
        <v>0.08</v>
      </c>
      <c r="U203" s="6">
        <v>0.93</v>
      </c>
      <c r="V203" s="7">
        <v>0.24</v>
      </c>
      <c r="W203" s="6">
        <v>5.7000000000000002E-2</v>
      </c>
      <c r="X203" s="7">
        <v>0.03</v>
      </c>
      <c r="Y203" s="7">
        <f>0.03/2</f>
        <v>1.4999999999999999E-2</v>
      </c>
      <c r="Z203" s="12">
        <v>0.308</v>
      </c>
      <c r="AA203" s="13">
        <v>0.308</v>
      </c>
      <c r="AB203" s="7">
        <v>2190</v>
      </c>
      <c r="AC203" s="6">
        <v>13</v>
      </c>
      <c r="AD203" s="323">
        <v>0</v>
      </c>
      <c r="AE203" s="7">
        <v>1.93</v>
      </c>
      <c r="AF203" s="7"/>
      <c r="AG203" s="7"/>
      <c r="AH203" s="5"/>
      <c r="AI203"/>
      <c r="AJ203" s="5"/>
      <c r="AK203" s="5"/>
      <c r="AL203" s="1"/>
      <c r="AM203" s="5"/>
    </row>
    <row r="204" spans="1:39" ht="14">
      <c r="A204" s="41" t="s">
        <v>92</v>
      </c>
      <c r="B204" s="7" t="s">
        <v>2343</v>
      </c>
      <c r="C204" s="7" t="s">
        <v>2343</v>
      </c>
      <c r="D204" s="14" t="s">
        <v>262</v>
      </c>
      <c r="E204" s="7" t="s">
        <v>874</v>
      </c>
      <c r="F204" s="7"/>
      <c r="G204" s="15" t="s">
        <v>2344</v>
      </c>
      <c r="H204" s="7">
        <v>4911</v>
      </c>
      <c r="I204" s="19" t="s">
        <v>1</v>
      </c>
      <c r="J204" s="7" t="s">
        <v>2345</v>
      </c>
      <c r="K204" s="16">
        <v>41402</v>
      </c>
      <c r="L204" s="17">
        <v>41384</v>
      </c>
      <c r="M204" s="7"/>
      <c r="N204" s="7" t="s">
        <v>2</v>
      </c>
      <c r="O204" s="8">
        <v>2.2000000000000002</v>
      </c>
      <c r="P204" s="7">
        <v>7.4</v>
      </c>
      <c r="Q204" s="6">
        <v>6.3</v>
      </c>
      <c r="R204" s="9">
        <v>43</v>
      </c>
      <c r="S204" s="6">
        <v>34</v>
      </c>
      <c r="T204" s="7">
        <v>0.11</v>
      </c>
      <c r="U204" s="6">
        <v>0.95</v>
      </c>
      <c r="V204" s="7">
        <v>0.21</v>
      </c>
      <c r="W204" s="6">
        <v>2.1999999999999999E-2</v>
      </c>
      <c r="X204" s="7">
        <v>0.24399999999999999</v>
      </c>
      <c r="Y204" s="7">
        <v>1.4999999999999999E-2</v>
      </c>
      <c r="Z204" s="12">
        <v>1</v>
      </c>
      <c r="AA204" s="13">
        <v>1</v>
      </c>
      <c r="AB204" s="7">
        <v>11</v>
      </c>
      <c r="AC204" s="6">
        <v>51</v>
      </c>
      <c r="AD204" s="323">
        <v>1</v>
      </c>
      <c r="AE204" s="7"/>
      <c r="AF204" s="7"/>
      <c r="AG204" s="7"/>
      <c r="AH204" s="5"/>
      <c r="AI204"/>
      <c r="AJ204" s="5"/>
      <c r="AK204" s="5"/>
      <c r="AL204" s="1"/>
      <c r="AM204" s="5"/>
    </row>
    <row r="205" spans="1:39" ht="14">
      <c r="A205" s="41" t="s">
        <v>92</v>
      </c>
      <c r="B205" s="7" t="s">
        <v>1192</v>
      </c>
      <c r="C205" s="7" t="s">
        <v>4193</v>
      </c>
      <c r="D205" s="14" t="s">
        <v>397</v>
      </c>
      <c r="E205" s="7" t="s">
        <v>398</v>
      </c>
      <c r="F205" s="7"/>
      <c r="G205" s="15" t="s">
        <v>1194</v>
      </c>
      <c r="H205" s="7">
        <v>4911</v>
      </c>
      <c r="I205" s="19" t="s">
        <v>1</v>
      </c>
      <c r="J205" s="7" t="s">
        <v>1530</v>
      </c>
      <c r="K205" s="16">
        <v>41428</v>
      </c>
      <c r="L205" s="17">
        <v>41418</v>
      </c>
      <c r="M205" s="50">
        <f>K205-L205</f>
        <v>10</v>
      </c>
      <c r="N205" s="7" t="s">
        <v>2</v>
      </c>
      <c r="O205" s="8"/>
      <c r="P205" s="7"/>
      <c r="Q205" s="6"/>
      <c r="R205" s="9"/>
      <c r="S205" s="6"/>
      <c r="T205" s="7"/>
      <c r="U205" s="6"/>
      <c r="V205" s="7"/>
      <c r="W205" s="6"/>
      <c r="X205" s="7"/>
      <c r="Y205" s="7"/>
      <c r="Z205" s="12"/>
      <c r="AA205" s="13"/>
      <c r="AB205" s="7"/>
      <c r="AC205" s="6"/>
      <c r="AD205" s="323"/>
      <c r="AE205" s="7">
        <v>1.43</v>
      </c>
      <c r="AF205" s="7"/>
      <c r="AG205" s="7"/>
      <c r="AH205" s="5"/>
      <c r="AI205"/>
      <c r="AJ205" s="5"/>
      <c r="AK205" s="5"/>
      <c r="AL205" s="1"/>
      <c r="AM205" s="5"/>
    </row>
    <row r="206" spans="1:39" ht="14">
      <c r="A206" s="41" t="s">
        <v>92</v>
      </c>
      <c r="B206" s="7" t="s">
        <v>93</v>
      </c>
      <c r="C206" s="7" t="s">
        <v>94</v>
      </c>
      <c r="D206" s="14" t="s">
        <v>56</v>
      </c>
      <c r="E206" s="7" t="s">
        <v>95</v>
      </c>
      <c r="F206" s="7"/>
      <c r="G206" s="15" t="s">
        <v>167</v>
      </c>
      <c r="H206" s="7">
        <v>4911</v>
      </c>
      <c r="I206" s="19" t="s">
        <v>1</v>
      </c>
      <c r="J206" s="7" t="s">
        <v>169</v>
      </c>
      <c r="K206" s="16">
        <v>41402</v>
      </c>
      <c r="L206" s="17">
        <v>41384</v>
      </c>
      <c r="M206" s="7"/>
      <c r="N206" s="7" t="s">
        <v>2</v>
      </c>
      <c r="O206" s="8">
        <v>0.5</v>
      </c>
      <c r="P206" s="7">
        <v>9.23</v>
      </c>
      <c r="Q206" s="6">
        <v>7.77</v>
      </c>
      <c r="R206" s="9">
        <v>58.5</v>
      </c>
      <c r="S206" s="6">
        <v>34</v>
      </c>
      <c r="T206" s="7">
        <v>0.18</v>
      </c>
      <c r="U206" s="6">
        <v>1.1399999999999999</v>
      </c>
      <c r="V206" s="7">
        <v>0.44</v>
      </c>
      <c r="W206" s="6">
        <v>0.01</v>
      </c>
      <c r="X206" s="7">
        <v>5.5E-2</v>
      </c>
      <c r="Y206" s="7">
        <v>1E-3</v>
      </c>
      <c r="Z206" s="12"/>
      <c r="AA206" s="13"/>
      <c r="AB206" s="7"/>
      <c r="AC206" s="6"/>
      <c r="AD206" s="323"/>
      <c r="AE206" s="7">
        <v>1.1499999999999999</v>
      </c>
      <c r="AF206" s="7"/>
      <c r="AG206" s="7"/>
      <c r="AH206" s="5"/>
      <c r="AI206"/>
      <c r="AJ206" s="5"/>
      <c r="AK206" s="5"/>
      <c r="AL206" s="1"/>
      <c r="AM206" s="5"/>
    </row>
    <row r="207" spans="1:39" ht="14">
      <c r="A207" s="41" t="s">
        <v>92</v>
      </c>
      <c r="B207" s="7" t="s">
        <v>93</v>
      </c>
      <c r="C207" s="7" t="s">
        <v>94</v>
      </c>
      <c r="D207" s="14" t="s">
        <v>56</v>
      </c>
      <c r="E207" s="7" t="s">
        <v>95</v>
      </c>
      <c r="F207" s="7"/>
      <c r="G207" s="15" t="s">
        <v>167</v>
      </c>
      <c r="H207" s="7">
        <v>4911</v>
      </c>
      <c r="I207" s="19" t="s">
        <v>1</v>
      </c>
      <c r="J207" s="7" t="s">
        <v>96</v>
      </c>
      <c r="K207" s="16">
        <v>41402</v>
      </c>
      <c r="L207" s="17">
        <v>41384</v>
      </c>
      <c r="M207" s="7"/>
      <c r="N207" s="7" t="s">
        <v>2</v>
      </c>
      <c r="O207" s="8">
        <v>0.5</v>
      </c>
      <c r="P207" s="7">
        <v>9.23</v>
      </c>
      <c r="Q207" s="6">
        <v>7.28</v>
      </c>
      <c r="R207" s="9">
        <v>58.5</v>
      </c>
      <c r="S207" s="6">
        <v>164</v>
      </c>
      <c r="T207" s="7">
        <v>0.56000000000000005</v>
      </c>
      <c r="U207" s="6">
        <v>1.89</v>
      </c>
      <c r="V207" s="7">
        <v>0.61</v>
      </c>
      <c r="W207" s="6">
        <v>2.8000000000000001E-2</v>
      </c>
      <c r="X207" s="7">
        <v>0.11799999999999999</v>
      </c>
      <c r="Y207" s="7">
        <v>1E-3</v>
      </c>
      <c r="Z207" s="12"/>
      <c r="AA207" s="13"/>
      <c r="AB207" s="7"/>
      <c r="AC207" s="6"/>
      <c r="AD207" s="323"/>
      <c r="AE207" s="7"/>
      <c r="AF207" s="7"/>
      <c r="AG207" s="7"/>
      <c r="AH207" s="5"/>
      <c r="AI207"/>
      <c r="AJ207" s="5"/>
      <c r="AK207" s="5"/>
      <c r="AL207" s="1"/>
      <c r="AM207" s="5"/>
    </row>
    <row r="208" spans="1:39" ht="14">
      <c r="A208" s="41" t="s">
        <v>92</v>
      </c>
      <c r="B208" s="50" t="s">
        <v>2339</v>
      </c>
      <c r="C208" s="50" t="s">
        <v>2339</v>
      </c>
      <c r="D208" s="48" t="s">
        <v>133</v>
      </c>
      <c r="E208" s="50" t="s">
        <v>140</v>
      </c>
      <c r="F208" s="50">
        <v>4400</v>
      </c>
      <c r="G208" s="76" t="s">
        <v>2340</v>
      </c>
      <c r="H208" s="50">
        <v>4911</v>
      </c>
      <c r="I208" s="49" t="s">
        <v>1</v>
      </c>
      <c r="J208" s="50" t="s">
        <v>4283</v>
      </c>
      <c r="K208" s="51">
        <v>41417</v>
      </c>
      <c r="L208" s="115">
        <v>41416</v>
      </c>
      <c r="N208" s="50" t="s">
        <v>2</v>
      </c>
      <c r="O208" s="131"/>
      <c r="R208" s="117"/>
      <c r="AE208" s="50">
        <v>0.66</v>
      </c>
    </row>
    <row r="209" spans="1:38" ht="14">
      <c r="A209" s="41" t="s">
        <v>92</v>
      </c>
      <c r="B209" s="50" t="s">
        <v>4698</v>
      </c>
      <c r="C209" s="50" t="s">
        <v>164</v>
      </c>
      <c r="D209" s="48" t="s">
        <v>165</v>
      </c>
      <c r="E209" s="50" t="s">
        <v>4699</v>
      </c>
      <c r="G209" s="76" t="s">
        <v>168</v>
      </c>
      <c r="H209" s="50">
        <v>4911</v>
      </c>
      <c r="I209" s="49" t="s">
        <v>1</v>
      </c>
      <c r="J209" s="50" t="s">
        <v>171</v>
      </c>
      <c r="K209" s="51">
        <v>41499</v>
      </c>
      <c r="L209" s="115">
        <v>41495</v>
      </c>
      <c r="N209" s="50" t="s">
        <v>2</v>
      </c>
      <c r="R209" s="117"/>
      <c r="AE209" s="50">
        <v>0.24</v>
      </c>
    </row>
    <row r="210" spans="1:38" ht="14">
      <c r="A210" s="41" t="s">
        <v>92</v>
      </c>
      <c r="B210" s="50" t="s">
        <v>4698</v>
      </c>
      <c r="C210" s="50" t="s">
        <v>164</v>
      </c>
      <c r="D210" s="48" t="s">
        <v>165</v>
      </c>
      <c r="E210" s="50" t="s">
        <v>4699</v>
      </c>
      <c r="G210" s="76" t="s">
        <v>168</v>
      </c>
      <c r="H210" s="50">
        <v>4911</v>
      </c>
      <c r="I210" s="49" t="s">
        <v>1</v>
      </c>
      <c r="J210" s="50" t="s">
        <v>173</v>
      </c>
      <c r="K210" s="51">
        <v>41499</v>
      </c>
      <c r="L210" s="115">
        <v>41495</v>
      </c>
      <c r="N210" s="50" t="s">
        <v>2</v>
      </c>
      <c r="R210" s="117"/>
      <c r="AE210" s="50">
        <v>0.14099999999999999</v>
      </c>
    </row>
    <row r="211" spans="1:38" ht="14">
      <c r="A211" s="41" t="s">
        <v>92</v>
      </c>
      <c r="B211" s="50" t="s">
        <v>4698</v>
      </c>
      <c r="C211" s="50" t="s">
        <v>164</v>
      </c>
      <c r="D211" s="48" t="s">
        <v>165</v>
      </c>
      <c r="E211" s="50" t="s">
        <v>4699</v>
      </c>
      <c r="G211" s="76" t="s">
        <v>168</v>
      </c>
      <c r="H211" s="50">
        <v>4911</v>
      </c>
      <c r="I211" s="49" t="s">
        <v>1</v>
      </c>
      <c r="J211" s="50" t="s">
        <v>175</v>
      </c>
      <c r="K211" s="51">
        <v>41465</v>
      </c>
      <c r="L211" s="115">
        <v>41456</v>
      </c>
      <c r="N211" s="50" t="s">
        <v>2</v>
      </c>
      <c r="R211" s="117"/>
      <c r="AI211" s="74">
        <f>2000/2</f>
        <v>1000</v>
      </c>
    </row>
    <row r="212" spans="1:38" ht="14">
      <c r="A212" s="41" t="s">
        <v>92</v>
      </c>
      <c r="B212" s="50" t="s">
        <v>4698</v>
      </c>
      <c r="C212" s="50" t="s">
        <v>164</v>
      </c>
      <c r="D212" s="48" t="s">
        <v>165</v>
      </c>
      <c r="E212" s="50" t="s">
        <v>4699</v>
      </c>
      <c r="G212" s="76" t="s">
        <v>168</v>
      </c>
      <c r="H212" s="50">
        <v>4911</v>
      </c>
      <c r="I212" s="49" t="s">
        <v>1</v>
      </c>
      <c r="J212" s="50" t="s">
        <v>176</v>
      </c>
      <c r="K212" s="51">
        <v>41499</v>
      </c>
      <c r="L212" s="115">
        <v>41495</v>
      </c>
      <c r="N212" s="50" t="s">
        <v>2</v>
      </c>
      <c r="R212" s="117"/>
      <c r="AI212" s="74">
        <f>2000/2</f>
        <v>1000</v>
      </c>
    </row>
    <row r="213" spans="1:38" ht="14">
      <c r="A213" s="41" t="s">
        <v>92</v>
      </c>
      <c r="B213" s="50" t="s">
        <v>4698</v>
      </c>
      <c r="C213" s="50" t="s">
        <v>164</v>
      </c>
      <c r="D213" s="48" t="s">
        <v>165</v>
      </c>
      <c r="E213" s="50" t="s">
        <v>4699</v>
      </c>
      <c r="G213" s="76" t="s">
        <v>168</v>
      </c>
      <c r="H213" s="50">
        <v>4911</v>
      </c>
      <c r="I213" s="49" t="s">
        <v>1</v>
      </c>
      <c r="J213" s="50" t="s">
        <v>179</v>
      </c>
      <c r="K213" s="51">
        <v>41499</v>
      </c>
      <c r="L213" s="115">
        <v>41495</v>
      </c>
      <c r="N213" s="50" t="s">
        <v>2</v>
      </c>
      <c r="R213" s="117"/>
      <c r="AE213" s="50">
        <v>7.1210000000000004</v>
      </c>
      <c r="AI213" s="84"/>
    </row>
    <row r="214" spans="1:38" ht="14">
      <c r="A214" s="41" t="s">
        <v>92</v>
      </c>
      <c r="B214" s="50" t="s">
        <v>4698</v>
      </c>
      <c r="C214" s="50" t="s">
        <v>164</v>
      </c>
      <c r="D214" s="48" t="s">
        <v>165</v>
      </c>
      <c r="E214" s="50" t="s">
        <v>4699</v>
      </c>
      <c r="G214" s="76" t="s">
        <v>168</v>
      </c>
      <c r="H214" s="50">
        <v>4911</v>
      </c>
      <c r="I214" s="49" t="s">
        <v>1</v>
      </c>
      <c r="J214" s="50" t="s">
        <v>182</v>
      </c>
      <c r="K214" s="51">
        <v>41465</v>
      </c>
      <c r="L214" s="115">
        <v>41456</v>
      </c>
      <c r="N214" s="50" t="s">
        <v>2</v>
      </c>
      <c r="R214" s="117"/>
      <c r="AI214" s="74">
        <f>2000/2</f>
        <v>1000</v>
      </c>
    </row>
    <row r="215" spans="1:38" ht="14">
      <c r="A215" s="41" t="s">
        <v>92</v>
      </c>
      <c r="B215" s="50" t="s">
        <v>93</v>
      </c>
      <c r="C215" s="50" t="s">
        <v>94</v>
      </c>
      <c r="D215" s="48" t="s">
        <v>56</v>
      </c>
      <c r="E215" s="50" t="s">
        <v>95</v>
      </c>
      <c r="G215" s="76" t="s">
        <v>167</v>
      </c>
      <c r="H215" s="50">
        <v>4911</v>
      </c>
      <c r="I215" s="49" t="s">
        <v>1</v>
      </c>
      <c r="J215" s="50" t="s">
        <v>169</v>
      </c>
      <c r="K215" s="51">
        <v>41478</v>
      </c>
      <c r="L215" s="115">
        <v>41466</v>
      </c>
      <c r="N215" s="50" t="s">
        <v>2</v>
      </c>
      <c r="R215" s="117"/>
      <c r="AE215" s="50">
        <v>0.75</v>
      </c>
    </row>
    <row r="216" spans="1:38" ht="14">
      <c r="A216" s="41" t="s">
        <v>92</v>
      </c>
      <c r="B216" s="50" t="s">
        <v>3672</v>
      </c>
      <c r="C216" s="50" t="s">
        <v>3673</v>
      </c>
      <c r="D216" s="48">
        <v>107</v>
      </c>
      <c r="E216" s="50" t="s">
        <v>4820</v>
      </c>
      <c r="G216" s="76" t="s">
        <v>3675</v>
      </c>
      <c r="H216" s="50">
        <v>4911</v>
      </c>
      <c r="I216" s="49" t="s">
        <v>2</v>
      </c>
      <c r="J216" s="48" t="s">
        <v>1943</v>
      </c>
      <c r="K216" s="51">
        <v>41442</v>
      </c>
      <c r="L216" s="115">
        <v>41439</v>
      </c>
      <c r="N216" s="50" t="s">
        <v>2</v>
      </c>
      <c r="R216" s="117"/>
      <c r="AE216" s="50">
        <v>1.49</v>
      </c>
    </row>
    <row r="217" spans="1:38" ht="14">
      <c r="A217" s="41" t="s">
        <v>92</v>
      </c>
      <c r="B217" s="50" t="s">
        <v>3672</v>
      </c>
      <c r="C217" s="50" t="s">
        <v>3673</v>
      </c>
      <c r="D217" s="48">
        <v>107</v>
      </c>
      <c r="E217" s="50" t="s">
        <v>4820</v>
      </c>
      <c r="G217" s="76" t="s">
        <v>3675</v>
      </c>
      <c r="H217" s="50">
        <v>4911</v>
      </c>
      <c r="I217" s="49" t="s">
        <v>2</v>
      </c>
      <c r="J217" s="48" t="s">
        <v>425</v>
      </c>
      <c r="K217" s="51">
        <v>41442</v>
      </c>
      <c r="L217" s="115">
        <v>41439</v>
      </c>
      <c r="N217" s="50" t="s">
        <v>2</v>
      </c>
      <c r="R217" s="117"/>
      <c r="AE217" s="50">
        <v>0.63</v>
      </c>
    </row>
    <row r="218" spans="1:38" ht="14">
      <c r="A218" s="41" t="s">
        <v>92</v>
      </c>
      <c r="B218" s="50" t="s">
        <v>3672</v>
      </c>
      <c r="C218" s="50" t="s">
        <v>3673</v>
      </c>
      <c r="D218" s="48">
        <v>107</v>
      </c>
      <c r="E218" s="50" t="s">
        <v>4820</v>
      </c>
      <c r="G218" s="76" t="s">
        <v>3675</v>
      </c>
      <c r="H218" s="50">
        <v>4911</v>
      </c>
      <c r="I218" s="49" t="s">
        <v>2</v>
      </c>
      <c r="J218" s="48" t="s">
        <v>1341</v>
      </c>
      <c r="K218" s="51">
        <v>41442</v>
      </c>
      <c r="L218" s="115">
        <v>41439</v>
      </c>
      <c r="N218" s="50" t="s">
        <v>2</v>
      </c>
      <c r="R218" s="117"/>
      <c r="AE218" s="50">
        <v>0.68</v>
      </c>
    </row>
    <row r="219" spans="1:38" ht="14">
      <c r="A219" s="41" t="s">
        <v>92</v>
      </c>
      <c r="B219" s="50" t="s">
        <v>93</v>
      </c>
      <c r="C219" s="50" t="s">
        <v>873</v>
      </c>
      <c r="D219" s="48" t="s">
        <v>262</v>
      </c>
      <c r="E219" s="50" t="s">
        <v>874</v>
      </c>
      <c r="G219" s="76" t="s">
        <v>875</v>
      </c>
      <c r="H219" s="50">
        <v>4911</v>
      </c>
      <c r="I219" s="49" t="s">
        <v>1</v>
      </c>
      <c r="J219" s="50" t="s">
        <v>1542</v>
      </c>
      <c r="K219" s="51">
        <v>41478</v>
      </c>
      <c r="L219" s="115">
        <v>41468</v>
      </c>
      <c r="N219" s="50" t="s">
        <v>2</v>
      </c>
      <c r="O219" s="131"/>
      <c r="P219" s="50">
        <v>6.43</v>
      </c>
      <c r="Q219" s="74">
        <v>6.95</v>
      </c>
      <c r="R219" s="117">
        <v>655</v>
      </c>
      <c r="S219" s="74">
        <v>336</v>
      </c>
      <c r="AE219" s="50">
        <v>2.79</v>
      </c>
    </row>
    <row r="220" spans="1:38" ht="14">
      <c r="A220" s="41" t="s">
        <v>92</v>
      </c>
      <c r="B220" s="50" t="s">
        <v>2343</v>
      </c>
      <c r="C220" s="50" t="s">
        <v>5053</v>
      </c>
      <c r="D220" s="48" t="s">
        <v>262</v>
      </c>
      <c r="E220" s="50" t="s">
        <v>874</v>
      </c>
      <c r="G220" s="76" t="s">
        <v>2344</v>
      </c>
      <c r="H220" s="50">
        <v>4911</v>
      </c>
      <c r="I220" s="49" t="s">
        <v>1</v>
      </c>
      <c r="J220" s="50" t="s">
        <v>2034</v>
      </c>
      <c r="K220" s="51">
        <v>41508</v>
      </c>
      <c r="L220" s="115">
        <v>41499</v>
      </c>
      <c r="N220" s="50" t="s">
        <v>2</v>
      </c>
      <c r="R220" s="117"/>
      <c r="AE220" s="50">
        <v>35.200000000000003</v>
      </c>
      <c r="AH220" s="50">
        <f>10/2</f>
        <v>5</v>
      </c>
      <c r="AL220" s="113">
        <f>100/2</f>
        <v>50</v>
      </c>
    </row>
    <row r="221" spans="1:38" ht="14">
      <c r="A221" s="41" t="s">
        <v>92</v>
      </c>
      <c r="B221" s="50" t="s">
        <v>2343</v>
      </c>
      <c r="C221" s="50" t="s">
        <v>5053</v>
      </c>
      <c r="D221" s="48" t="s">
        <v>262</v>
      </c>
      <c r="E221" s="50" t="s">
        <v>874</v>
      </c>
      <c r="G221" s="76" t="s">
        <v>2344</v>
      </c>
      <c r="H221" s="50">
        <v>4911</v>
      </c>
      <c r="I221" s="49" t="s">
        <v>1</v>
      </c>
      <c r="J221" s="50" t="s">
        <v>2345</v>
      </c>
      <c r="K221" s="51">
        <v>41508</v>
      </c>
      <c r="L221" s="115">
        <v>41499</v>
      </c>
      <c r="N221" s="50" t="s">
        <v>2</v>
      </c>
      <c r="O221" s="74">
        <f>2/2</f>
        <v>1</v>
      </c>
      <c r="P221" s="50">
        <v>4.8</v>
      </c>
      <c r="Q221" s="74">
        <v>7.1</v>
      </c>
      <c r="R221" s="117">
        <v>40</v>
      </c>
      <c r="S221" s="74">
        <v>39</v>
      </c>
      <c r="T221" s="50">
        <v>0.14000000000000001</v>
      </c>
      <c r="U221" s="74">
        <v>1.81</v>
      </c>
      <c r="V221" s="50">
        <v>1.1000000000000001</v>
      </c>
      <c r="W221" s="74">
        <f>0.01/2</f>
        <v>5.0000000000000001E-3</v>
      </c>
      <c r="X221" s="50">
        <f>0.03/2</f>
        <v>1.4999999999999999E-2</v>
      </c>
      <c r="Y221" s="50">
        <f>0.03/2</f>
        <v>1.4999999999999999E-2</v>
      </c>
      <c r="AH221" s="50">
        <f>10/2</f>
        <v>5</v>
      </c>
      <c r="AL221" s="113">
        <f>100/2</f>
        <v>50</v>
      </c>
    </row>
    <row r="222" spans="1:38" ht="14">
      <c r="A222" s="41" t="s">
        <v>92</v>
      </c>
      <c r="B222" s="50" t="s">
        <v>5054</v>
      </c>
      <c r="C222" s="50" t="s">
        <v>5054</v>
      </c>
      <c r="D222" s="48" t="s">
        <v>133</v>
      </c>
      <c r="E222" s="50" t="s">
        <v>140</v>
      </c>
      <c r="F222" s="50">
        <v>4400</v>
      </c>
      <c r="G222" s="76" t="s">
        <v>5055</v>
      </c>
      <c r="H222" s="50">
        <v>4931</v>
      </c>
      <c r="I222" s="49" t="s">
        <v>1</v>
      </c>
      <c r="J222" s="50" t="s">
        <v>5056</v>
      </c>
      <c r="K222" s="51">
        <v>41519</v>
      </c>
      <c r="L222" s="115"/>
      <c r="N222" s="50" t="s">
        <v>2</v>
      </c>
      <c r="O222" s="74">
        <f>1/2</f>
        <v>0.5</v>
      </c>
      <c r="P222" s="50">
        <v>5.67</v>
      </c>
      <c r="Q222" s="74">
        <v>5.9</v>
      </c>
      <c r="R222" s="117">
        <v>8.6</v>
      </c>
      <c r="S222" s="74">
        <f>1/2</f>
        <v>0.5</v>
      </c>
      <c r="T222" s="50">
        <f>0.05/2</f>
        <v>2.5000000000000001E-2</v>
      </c>
      <c r="U222" s="74">
        <v>0.44</v>
      </c>
      <c r="V222" s="50">
        <f>0.2/2</f>
        <v>0.1</v>
      </c>
      <c r="W222" s="74">
        <v>0.01</v>
      </c>
      <c r="X222" s="50">
        <v>0.12</v>
      </c>
      <c r="Y222" s="50">
        <f>0.02/2</f>
        <v>0.01</v>
      </c>
    </row>
    <row r="223" spans="1:38" ht="14">
      <c r="A223" s="41" t="s">
        <v>92</v>
      </c>
      <c r="B223" s="50" t="s">
        <v>5054</v>
      </c>
      <c r="C223" s="50" t="s">
        <v>5054</v>
      </c>
      <c r="D223" s="48" t="s">
        <v>133</v>
      </c>
      <c r="E223" s="50" t="s">
        <v>140</v>
      </c>
      <c r="F223" s="50">
        <v>4400</v>
      </c>
      <c r="G223" s="76" t="s">
        <v>5055</v>
      </c>
      <c r="H223" s="50">
        <v>4932</v>
      </c>
      <c r="I223" s="49" t="s">
        <v>1</v>
      </c>
      <c r="J223" s="50" t="s">
        <v>5057</v>
      </c>
      <c r="K223" s="51">
        <v>41519</v>
      </c>
      <c r="L223" s="115"/>
      <c r="N223" s="50" t="s">
        <v>2</v>
      </c>
      <c r="O223" s="74">
        <f>1/2</f>
        <v>0.5</v>
      </c>
      <c r="P223" s="50">
        <v>5.68</v>
      </c>
      <c r="Q223" s="74">
        <v>7.83</v>
      </c>
      <c r="R223" s="117">
        <v>38.799999999999997</v>
      </c>
      <c r="S223" s="74">
        <v>24</v>
      </c>
      <c r="T223" s="50">
        <v>0.09</v>
      </c>
      <c r="U223" s="74">
        <v>0.67</v>
      </c>
      <c r="V223" s="50">
        <f>0.2/2</f>
        <v>0.1</v>
      </c>
      <c r="W223" s="74">
        <v>0.02</v>
      </c>
      <c r="X223" s="50">
        <f>0.01/2</f>
        <v>5.0000000000000001E-3</v>
      </c>
      <c r="Y223" s="50">
        <f>0.02/2</f>
        <v>0.01</v>
      </c>
      <c r="AE223" s="50">
        <v>3.68</v>
      </c>
    </row>
    <row r="224" spans="1:38" ht="14">
      <c r="A224" s="41" t="s">
        <v>92</v>
      </c>
      <c r="B224" s="50" t="s">
        <v>2333</v>
      </c>
      <c r="C224" s="50" t="s">
        <v>2334</v>
      </c>
      <c r="D224" s="48" t="s">
        <v>480</v>
      </c>
      <c r="E224" s="50" t="s">
        <v>1546</v>
      </c>
      <c r="G224" s="76" t="s">
        <v>2335</v>
      </c>
      <c r="H224" s="50">
        <v>4911</v>
      </c>
      <c r="I224" s="49" t="s">
        <v>1</v>
      </c>
      <c r="J224" s="50" t="s">
        <v>255</v>
      </c>
      <c r="K224" s="51">
        <v>40898</v>
      </c>
      <c r="L224" s="115">
        <v>40885</v>
      </c>
      <c r="N224" s="50" t="s">
        <v>2</v>
      </c>
      <c r="O224" s="131"/>
      <c r="P224" s="50">
        <v>6.9</v>
      </c>
      <c r="R224" s="117"/>
      <c r="AE224" s="50">
        <v>0.54</v>
      </c>
    </row>
    <row r="225" spans="1:39" ht="14">
      <c r="A225" s="41" t="s">
        <v>92</v>
      </c>
      <c r="B225" s="50" t="s">
        <v>2333</v>
      </c>
      <c r="C225" s="50" t="s">
        <v>2334</v>
      </c>
      <c r="D225" s="48" t="s">
        <v>480</v>
      </c>
      <c r="E225" s="50" t="s">
        <v>1546</v>
      </c>
      <c r="G225" s="76" t="s">
        <v>2335</v>
      </c>
      <c r="H225" s="50">
        <v>4911</v>
      </c>
      <c r="I225" s="49" t="s">
        <v>1</v>
      </c>
      <c r="J225" s="50" t="s">
        <v>254</v>
      </c>
      <c r="K225" s="51">
        <v>40898</v>
      </c>
      <c r="L225" s="115">
        <v>40885</v>
      </c>
      <c r="N225" s="50" t="s">
        <v>2</v>
      </c>
      <c r="O225" s="131"/>
      <c r="P225" s="50">
        <v>6.9</v>
      </c>
      <c r="R225" s="117"/>
      <c r="AE225" s="50">
        <v>69.099999999999994</v>
      </c>
    </row>
    <row r="226" spans="1:39" ht="14">
      <c r="A226" s="41" t="s">
        <v>92</v>
      </c>
      <c r="B226" s="50" t="s">
        <v>2333</v>
      </c>
      <c r="C226" s="50" t="s">
        <v>2334</v>
      </c>
      <c r="D226" s="48" t="s">
        <v>480</v>
      </c>
      <c r="E226" s="50" t="s">
        <v>1546</v>
      </c>
      <c r="G226" s="76" t="s">
        <v>2335</v>
      </c>
      <c r="H226" s="50">
        <v>4911</v>
      </c>
      <c r="I226" s="49" t="s">
        <v>1</v>
      </c>
      <c r="J226" s="50" t="s">
        <v>2097</v>
      </c>
      <c r="K226" s="51">
        <v>40898</v>
      </c>
      <c r="L226" s="115">
        <v>40885</v>
      </c>
      <c r="N226" s="50" t="s">
        <v>2</v>
      </c>
      <c r="O226" s="131"/>
      <c r="P226" s="50">
        <v>6.9</v>
      </c>
      <c r="R226" s="117"/>
      <c r="AE226" s="50">
        <v>2.06</v>
      </c>
    </row>
    <row r="227" spans="1:39" ht="14">
      <c r="A227" s="41" t="s">
        <v>92</v>
      </c>
      <c r="B227" s="50" t="s">
        <v>2333</v>
      </c>
      <c r="C227" s="50" t="s">
        <v>2334</v>
      </c>
      <c r="D227" s="48" t="s">
        <v>480</v>
      </c>
      <c r="E227" s="50" t="s">
        <v>1546</v>
      </c>
      <c r="G227" s="76" t="s">
        <v>2335</v>
      </c>
      <c r="H227" s="50">
        <v>4911</v>
      </c>
      <c r="I227" s="49" t="s">
        <v>1</v>
      </c>
      <c r="J227" s="50" t="s">
        <v>171</v>
      </c>
      <c r="K227" s="51">
        <v>40898</v>
      </c>
      <c r="L227" s="115">
        <v>40885</v>
      </c>
      <c r="N227" s="50" t="s">
        <v>2</v>
      </c>
      <c r="O227" s="131"/>
      <c r="P227" s="50">
        <v>6.9</v>
      </c>
      <c r="R227" s="117"/>
      <c r="AE227" s="50">
        <f>0.01/2</f>
        <v>5.0000000000000001E-3</v>
      </c>
    </row>
    <row r="228" spans="1:39" ht="14">
      <c r="A228" s="41" t="s">
        <v>92</v>
      </c>
      <c r="B228" s="50" t="s">
        <v>2333</v>
      </c>
      <c r="C228" s="50" t="s">
        <v>2334</v>
      </c>
      <c r="D228" s="48" t="s">
        <v>480</v>
      </c>
      <c r="E228" s="50" t="s">
        <v>1546</v>
      </c>
      <c r="G228" s="76" t="s">
        <v>2335</v>
      </c>
      <c r="H228" s="50">
        <v>4911</v>
      </c>
      <c r="I228" s="49" t="s">
        <v>1</v>
      </c>
      <c r="J228" s="50" t="s">
        <v>2159</v>
      </c>
      <c r="K228" s="51">
        <v>40898</v>
      </c>
      <c r="L228" s="115">
        <v>40885</v>
      </c>
      <c r="N228" s="50" t="s">
        <v>2</v>
      </c>
      <c r="O228" s="131"/>
      <c r="P228" s="50">
        <v>6.9</v>
      </c>
      <c r="R228" s="117"/>
      <c r="AE228" s="50">
        <v>0.40400000000000003</v>
      </c>
    </row>
    <row r="229" spans="1:39" ht="14">
      <c r="A229" s="41" t="s">
        <v>92</v>
      </c>
      <c r="B229" s="50" t="s">
        <v>2333</v>
      </c>
      <c r="C229" s="50" t="s">
        <v>2334</v>
      </c>
      <c r="D229" s="48" t="s">
        <v>480</v>
      </c>
      <c r="E229" s="50" t="s">
        <v>1546</v>
      </c>
      <c r="G229" s="76" t="s">
        <v>2335</v>
      </c>
      <c r="H229" s="50">
        <v>4911</v>
      </c>
      <c r="I229" s="49" t="s">
        <v>1</v>
      </c>
      <c r="J229" s="50" t="s">
        <v>255</v>
      </c>
      <c r="K229" s="51">
        <v>41085</v>
      </c>
      <c r="L229" s="115">
        <v>41082</v>
      </c>
      <c r="N229" s="50" t="s">
        <v>2</v>
      </c>
      <c r="O229" s="131"/>
      <c r="P229" s="50">
        <v>7.1</v>
      </c>
      <c r="R229" s="117"/>
      <c r="AE229" s="50">
        <v>8.6999999999999994E-2</v>
      </c>
    </row>
    <row r="230" spans="1:39" ht="14">
      <c r="A230" s="41" t="s">
        <v>92</v>
      </c>
      <c r="B230" s="50" t="s">
        <v>2333</v>
      </c>
      <c r="C230" s="50" t="s">
        <v>2334</v>
      </c>
      <c r="D230" s="48" t="s">
        <v>480</v>
      </c>
      <c r="E230" s="50" t="s">
        <v>1546</v>
      </c>
      <c r="G230" s="76" t="s">
        <v>2335</v>
      </c>
      <c r="H230" s="50">
        <v>4911</v>
      </c>
      <c r="I230" s="49" t="s">
        <v>1</v>
      </c>
      <c r="J230" s="50" t="s">
        <v>254</v>
      </c>
      <c r="K230" s="51">
        <v>41085</v>
      </c>
      <c r="L230" s="115">
        <v>41082</v>
      </c>
      <c r="N230" s="50" t="s">
        <v>2</v>
      </c>
      <c r="O230" s="131"/>
      <c r="P230" s="50">
        <v>7.1</v>
      </c>
      <c r="R230" s="117"/>
      <c r="AE230" s="50">
        <v>0.64400000000000002</v>
      </c>
    </row>
    <row r="231" spans="1:39" ht="14">
      <c r="A231" s="41" t="s">
        <v>92</v>
      </c>
      <c r="B231" s="50" t="s">
        <v>2333</v>
      </c>
      <c r="C231" s="50" t="s">
        <v>2334</v>
      </c>
      <c r="D231" s="48" t="s">
        <v>480</v>
      </c>
      <c r="E231" s="50" t="s">
        <v>1546</v>
      </c>
      <c r="G231" s="76" t="s">
        <v>2335</v>
      </c>
      <c r="H231" s="50">
        <v>4911</v>
      </c>
      <c r="I231" s="49" t="s">
        <v>1</v>
      </c>
      <c r="J231" s="50" t="s">
        <v>2097</v>
      </c>
      <c r="K231" s="51">
        <v>41085</v>
      </c>
      <c r="L231" s="115">
        <v>41082</v>
      </c>
      <c r="N231" s="50" t="s">
        <v>2</v>
      </c>
      <c r="O231" s="131"/>
      <c r="P231" s="50">
        <v>7.1</v>
      </c>
      <c r="R231" s="117"/>
      <c r="AE231" s="50">
        <v>0.38200000000000001</v>
      </c>
    </row>
    <row r="232" spans="1:39" ht="14">
      <c r="A232" s="41" t="s">
        <v>92</v>
      </c>
      <c r="B232" s="50" t="s">
        <v>2333</v>
      </c>
      <c r="C232" s="50" t="s">
        <v>2334</v>
      </c>
      <c r="D232" s="48" t="s">
        <v>480</v>
      </c>
      <c r="E232" s="50" t="s">
        <v>1546</v>
      </c>
      <c r="G232" s="76" t="s">
        <v>2335</v>
      </c>
      <c r="H232" s="50">
        <v>4911</v>
      </c>
      <c r="I232" s="49" t="s">
        <v>1</v>
      </c>
      <c r="J232" s="50" t="s">
        <v>171</v>
      </c>
      <c r="K232" s="51">
        <v>41085</v>
      </c>
      <c r="L232" s="115">
        <v>41082</v>
      </c>
      <c r="N232" s="50" t="s">
        <v>2</v>
      </c>
      <c r="O232" s="131"/>
      <c r="P232" s="50">
        <v>7.1</v>
      </c>
      <c r="R232" s="117"/>
      <c r="AE232" s="50">
        <v>5.2999999999999999E-2</v>
      </c>
    </row>
    <row r="233" spans="1:39" ht="14">
      <c r="A233" s="41" t="s">
        <v>92</v>
      </c>
      <c r="B233" s="50" t="s">
        <v>2333</v>
      </c>
      <c r="C233" s="50" t="s">
        <v>2334</v>
      </c>
      <c r="D233" s="48" t="s">
        <v>480</v>
      </c>
      <c r="E233" s="50" t="s">
        <v>1546</v>
      </c>
      <c r="G233" s="76" t="s">
        <v>2335</v>
      </c>
      <c r="H233" s="50">
        <v>4911</v>
      </c>
      <c r="I233" s="49" t="s">
        <v>1</v>
      </c>
      <c r="J233" s="50" t="s">
        <v>2159</v>
      </c>
      <c r="K233" s="51">
        <v>41085</v>
      </c>
      <c r="L233" s="115">
        <v>41082</v>
      </c>
      <c r="N233" s="50" t="s">
        <v>2</v>
      </c>
      <c r="O233" s="131"/>
      <c r="P233" s="50">
        <v>7.1</v>
      </c>
      <c r="R233" s="117"/>
      <c r="AE233" s="50">
        <v>0.45500000000000002</v>
      </c>
    </row>
    <row r="234" spans="1:39" ht="14">
      <c r="A234" s="41" t="s">
        <v>92</v>
      </c>
      <c r="B234" s="50" t="s">
        <v>2333</v>
      </c>
      <c r="C234" s="50" t="s">
        <v>2334</v>
      </c>
      <c r="D234" s="48" t="s">
        <v>480</v>
      </c>
      <c r="E234" s="50" t="s">
        <v>1546</v>
      </c>
      <c r="G234" s="76" t="s">
        <v>2335</v>
      </c>
      <c r="H234" s="50">
        <v>4911</v>
      </c>
      <c r="I234" s="49" t="s">
        <v>1</v>
      </c>
      <c r="J234" s="50" t="s">
        <v>254</v>
      </c>
      <c r="K234" s="51">
        <v>41264</v>
      </c>
      <c r="L234" s="115">
        <v>41261</v>
      </c>
      <c r="N234" s="50" t="s">
        <v>2</v>
      </c>
      <c r="O234" s="131"/>
      <c r="P234" s="50">
        <v>7</v>
      </c>
      <c r="R234" s="117"/>
      <c r="AE234" s="50">
        <v>0.192</v>
      </c>
    </row>
    <row r="235" spans="1:39" ht="14">
      <c r="A235" s="41" t="s">
        <v>92</v>
      </c>
      <c r="B235" s="50" t="s">
        <v>2333</v>
      </c>
      <c r="C235" s="50" t="s">
        <v>2334</v>
      </c>
      <c r="D235" s="48" t="s">
        <v>480</v>
      </c>
      <c r="E235" s="50" t="s">
        <v>1546</v>
      </c>
      <c r="G235" s="76" t="s">
        <v>2335</v>
      </c>
      <c r="H235" s="50">
        <v>4911</v>
      </c>
      <c r="I235" s="49" t="s">
        <v>1</v>
      </c>
      <c r="J235" s="50" t="s">
        <v>2159</v>
      </c>
      <c r="K235" s="51">
        <v>41264</v>
      </c>
      <c r="L235" s="115">
        <v>41261</v>
      </c>
      <c r="N235" s="50" t="s">
        <v>2</v>
      </c>
      <c r="O235" s="131"/>
      <c r="P235" s="50">
        <v>7</v>
      </c>
      <c r="R235" s="117"/>
      <c r="AE235" s="50">
        <v>0.24299999999999999</v>
      </c>
    </row>
    <row r="236" spans="1:39" ht="14">
      <c r="A236" s="41" t="s">
        <v>92</v>
      </c>
      <c r="B236" s="50" t="s">
        <v>93</v>
      </c>
      <c r="C236" s="50" t="s">
        <v>873</v>
      </c>
      <c r="D236" s="48" t="s">
        <v>262</v>
      </c>
      <c r="E236" s="50" t="s">
        <v>874</v>
      </c>
      <c r="G236" s="76" t="s">
        <v>875</v>
      </c>
      <c r="H236" s="50">
        <v>4911</v>
      </c>
      <c r="I236" s="49" t="s">
        <v>1</v>
      </c>
      <c r="J236" s="50" t="s">
        <v>1542</v>
      </c>
      <c r="K236" s="51">
        <v>41554</v>
      </c>
      <c r="L236" s="115">
        <v>41539</v>
      </c>
      <c r="N236" s="50" t="s">
        <v>2</v>
      </c>
      <c r="O236" s="131"/>
      <c r="P236" s="50">
        <v>7.35</v>
      </c>
      <c r="Q236" s="74">
        <v>7.55</v>
      </c>
      <c r="R236" s="117">
        <v>3.7</v>
      </c>
      <c r="S236" s="74">
        <v>64</v>
      </c>
      <c r="AE236" s="50">
        <v>0.35</v>
      </c>
    </row>
    <row r="237" spans="1:39" ht="14">
      <c r="A237" s="41" t="s">
        <v>92</v>
      </c>
      <c r="B237" s="50" t="s">
        <v>93</v>
      </c>
      <c r="C237" s="50" t="s">
        <v>873</v>
      </c>
      <c r="D237" s="48" t="s">
        <v>262</v>
      </c>
      <c r="E237" s="50" t="s">
        <v>874</v>
      </c>
      <c r="G237" s="76" t="s">
        <v>875</v>
      </c>
      <c r="H237" s="50">
        <v>4911</v>
      </c>
      <c r="I237" s="49" t="s">
        <v>1</v>
      </c>
      <c r="J237" s="50" t="s">
        <v>1542</v>
      </c>
      <c r="K237" s="51">
        <v>41710</v>
      </c>
      <c r="L237" s="115">
        <v>41691</v>
      </c>
      <c r="N237" s="50" t="s">
        <v>2</v>
      </c>
      <c r="O237" s="131"/>
      <c r="P237" s="50">
        <v>6.35</v>
      </c>
      <c r="Q237" s="74">
        <v>7.44</v>
      </c>
      <c r="R237" s="117"/>
      <c r="AE237" s="50">
        <v>1.0900000000000001</v>
      </c>
    </row>
    <row r="238" spans="1:39" ht="14">
      <c r="A238" s="41" t="s">
        <v>92</v>
      </c>
      <c r="B238" s="50" t="s">
        <v>93</v>
      </c>
      <c r="C238" s="50" t="s">
        <v>873</v>
      </c>
      <c r="D238" s="48" t="s">
        <v>262</v>
      </c>
      <c r="E238" s="50" t="s">
        <v>874</v>
      </c>
      <c r="G238" s="76" t="s">
        <v>875</v>
      </c>
      <c r="H238" s="50">
        <v>4911</v>
      </c>
      <c r="I238" s="49" t="s">
        <v>1</v>
      </c>
      <c r="J238" s="50" t="s">
        <v>876</v>
      </c>
      <c r="K238" s="51">
        <v>41744</v>
      </c>
      <c r="L238" s="115">
        <v>41737</v>
      </c>
      <c r="N238" s="50" t="s">
        <v>2</v>
      </c>
      <c r="O238" s="131"/>
      <c r="R238" s="117"/>
      <c r="AI238" s="74">
        <v>0</v>
      </c>
      <c r="AK238" s="50">
        <v>10</v>
      </c>
      <c r="AM238" s="5">
        <f>5/2</f>
        <v>2.5</v>
      </c>
    </row>
    <row r="239" spans="1:39" ht="14">
      <c r="A239" s="41" t="s">
        <v>92</v>
      </c>
      <c r="B239" s="50" t="s">
        <v>93</v>
      </c>
      <c r="C239" s="50" t="s">
        <v>873</v>
      </c>
      <c r="D239" s="48" t="s">
        <v>262</v>
      </c>
      <c r="E239" s="50" t="s">
        <v>874</v>
      </c>
      <c r="G239" s="76" t="s">
        <v>875</v>
      </c>
      <c r="H239" s="50">
        <v>4911</v>
      </c>
      <c r="I239" s="49" t="s">
        <v>1</v>
      </c>
      <c r="J239" s="50" t="s">
        <v>877</v>
      </c>
      <c r="K239" s="51">
        <v>41744</v>
      </c>
      <c r="L239" s="115">
        <v>41737</v>
      </c>
      <c r="N239" s="50" t="s">
        <v>2</v>
      </c>
      <c r="O239" s="131"/>
      <c r="R239" s="117"/>
      <c r="AI239" s="74">
        <v>74</v>
      </c>
      <c r="AK239" s="50">
        <v>160</v>
      </c>
      <c r="AM239" s="5">
        <f>5/2</f>
        <v>2.5</v>
      </c>
    </row>
    <row r="240" spans="1:39" ht="14">
      <c r="A240" s="41" t="s">
        <v>92</v>
      </c>
      <c r="B240" s="50" t="s">
        <v>93</v>
      </c>
      <c r="C240" s="50" t="s">
        <v>873</v>
      </c>
      <c r="D240" s="48" t="s">
        <v>262</v>
      </c>
      <c r="E240" s="50" t="s">
        <v>874</v>
      </c>
      <c r="G240" s="76" t="s">
        <v>875</v>
      </c>
      <c r="H240" s="50">
        <v>4911</v>
      </c>
      <c r="I240" s="49" t="s">
        <v>1</v>
      </c>
      <c r="J240" s="50" t="s">
        <v>1542</v>
      </c>
      <c r="K240" s="51">
        <v>41744</v>
      </c>
      <c r="L240" s="115">
        <v>41737</v>
      </c>
      <c r="N240" s="50" t="s">
        <v>2</v>
      </c>
      <c r="O240" s="131"/>
      <c r="P240" s="50">
        <v>6.45</v>
      </c>
      <c r="Q240" s="74">
        <v>7.3</v>
      </c>
      <c r="R240" s="117">
        <v>1515</v>
      </c>
      <c r="S240" s="74">
        <v>30</v>
      </c>
    </row>
    <row r="241" spans="1:38" ht="14">
      <c r="A241" s="41" t="s">
        <v>92</v>
      </c>
      <c r="B241" s="50" t="s">
        <v>93</v>
      </c>
      <c r="C241" s="50" t="s">
        <v>94</v>
      </c>
      <c r="D241" s="48" t="s">
        <v>56</v>
      </c>
      <c r="E241" s="50" t="s">
        <v>95</v>
      </c>
      <c r="G241" s="76" t="s">
        <v>167</v>
      </c>
      <c r="H241" s="50">
        <v>4911</v>
      </c>
      <c r="I241" s="49" t="s">
        <v>1</v>
      </c>
      <c r="J241" s="50" t="s">
        <v>169</v>
      </c>
      <c r="K241" s="51">
        <v>41710</v>
      </c>
      <c r="L241" s="115">
        <v>41689</v>
      </c>
      <c r="N241" s="50" t="s">
        <v>2</v>
      </c>
      <c r="O241" s="131"/>
      <c r="P241" s="50">
        <v>6.35</v>
      </c>
      <c r="R241" s="117"/>
      <c r="AE241" s="50">
        <v>1.28</v>
      </c>
    </row>
    <row r="242" spans="1:38" ht="14">
      <c r="A242" s="41" t="s">
        <v>92</v>
      </c>
      <c r="B242" s="50" t="s">
        <v>5054</v>
      </c>
      <c r="C242" s="50" t="s">
        <v>5054</v>
      </c>
      <c r="D242" s="48" t="s">
        <v>133</v>
      </c>
      <c r="E242" s="50" t="s">
        <v>140</v>
      </c>
      <c r="G242" s="76" t="s">
        <v>5055</v>
      </c>
      <c r="H242" s="50">
        <v>4931</v>
      </c>
      <c r="I242" s="49" t="s">
        <v>1</v>
      </c>
      <c r="J242" s="50" t="s">
        <v>5913</v>
      </c>
      <c r="K242" s="51">
        <v>41710</v>
      </c>
      <c r="L242" s="115">
        <v>41691</v>
      </c>
      <c r="N242" s="50" t="s">
        <v>2</v>
      </c>
      <c r="O242" s="131"/>
      <c r="R242" s="117"/>
      <c r="X242" s="50">
        <v>0.14499999999999999</v>
      </c>
      <c r="AE242" s="50">
        <v>5.35</v>
      </c>
    </row>
    <row r="243" spans="1:38" ht="14">
      <c r="A243" s="41" t="s">
        <v>92</v>
      </c>
      <c r="B243" s="50" t="s">
        <v>1192</v>
      </c>
      <c r="C243" s="50" t="s">
        <v>1193</v>
      </c>
      <c r="D243" s="48" t="s">
        <v>397</v>
      </c>
      <c r="E243" s="50" t="s">
        <v>398</v>
      </c>
      <c r="G243" s="76" t="s">
        <v>1194</v>
      </c>
      <c r="H243" s="50">
        <v>4911</v>
      </c>
      <c r="I243" s="49" t="s">
        <v>1</v>
      </c>
      <c r="J243" s="50" t="s">
        <v>1529</v>
      </c>
      <c r="K243" s="51">
        <v>41345</v>
      </c>
      <c r="L243" s="115">
        <v>41332</v>
      </c>
      <c r="N243" s="50" t="s">
        <v>2</v>
      </c>
      <c r="O243" s="131">
        <f>1.4/2</f>
        <v>0.7</v>
      </c>
      <c r="P243" s="50">
        <v>6.2</v>
      </c>
      <c r="Q243" s="74">
        <v>7.6</v>
      </c>
      <c r="R243" s="117">
        <v>19</v>
      </c>
      <c r="S243" s="74">
        <f>5/2</f>
        <v>2.5</v>
      </c>
      <c r="T243" s="50">
        <v>0.03</v>
      </c>
      <c r="U243" s="74">
        <v>0.5</v>
      </c>
      <c r="V243" s="50">
        <v>0.71</v>
      </c>
      <c r="W243" s="74">
        <v>5.7000000000000002E-2</v>
      </c>
      <c r="X243" s="50">
        <v>0.183</v>
      </c>
      <c r="Y243" s="50">
        <v>2.3E-2</v>
      </c>
      <c r="Z243" s="164">
        <v>1</v>
      </c>
      <c r="AA243" s="165">
        <v>0.70699999999999996</v>
      </c>
      <c r="AB243" s="50">
        <v>24</v>
      </c>
      <c r="AC243" s="74">
        <v>128</v>
      </c>
      <c r="AD243" s="271">
        <v>0</v>
      </c>
      <c r="AE243" s="50">
        <v>0.21199999999999999</v>
      </c>
      <c r="AI243" s="74">
        <f>10/2</f>
        <v>5</v>
      </c>
      <c r="AK243" s="50">
        <f>10/2</f>
        <v>5</v>
      </c>
    </row>
    <row r="244" spans="1:38" ht="14">
      <c r="A244" s="41" t="s">
        <v>92</v>
      </c>
      <c r="B244" s="50" t="s">
        <v>1192</v>
      </c>
      <c r="C244" s="50" t="s">
        <v>1193</v>
      </c>
      <c r="D244" s="48" t="s">
        <v>397</v>
      </c>
      <c r="E244" s="50" t="s">
        <v>398</v>
      </c>
      <c r="G244" s="76" t="s">
        <v>1194</v>
      </c>
      <c r="H244" s="50">
        <v>4911</v>
      </c>
      <c r="I244" s="49" t="s">
        <v>1</v>
      </c>
      <c r="J244" s="50" t="s">
        <v>1530</v>
      </c>
      <c r="K244" s="51">
        <v>41345</v>
      </c>
      <c r="L244" s="115">
        <v>41332</v>
      </c>
      <c r="M244" s="50">
        <f>K244-L244</f>
        <v>13</v>
      </c>
      <c r="N244" s="50" t="s">
        <v>2</v>
      </c>
      <c r="O244" s="131">
        <f>1.4/2</f>
        <v>0.7</v>
      </c>
      <c r="P244" s="50">
        <v>6.2</v>
      </c>
      <c r="Q244" s="74">
        <v>7.9</v>
      </c>
      <c r="R244" s="117">
        <f>10/2</f>
        <v>5</v>
      </c>
      <c r="S244" s="74">
        <v>22</v>
      </c>
      <c r="T244" s="50">
        <v>0.08</v>
      </c>
      <c r="U244" s="74">
        <v>0.45</v>
      </c>
      <c r="V244" s="50">
        <v>0.08</v>
      </c>
      <c r="W244" s="74">
        <v>1.0999999999999999E-2</v>
      </c>
      <c r="X244" s="50">
        <v>0.34200000000000003</v>
      </c>
      <c r="Y244" s="50">
        <v>2.5999999999999999E-2</v>
      </c>
      <c r="Z244" s="164">
        <v>1</v>
      </c>
      <c r="AA244" s="164">
        <v>1</v>
      </c>
      <c r="AB244" s="50">
        <v>18</v>
      </c>
      <c r="AC244" s="74">
        <v>82</v>
      </c>
      <c r="AD244" s="271">
        <v>1</v>
      </c>
      <c r="AE244" s="50">
        <v>1.7</v>
      </c>
      <c r="AI244" s="74">
        <v>10</v>
      </c>
      <c r="AK244" s="50">
        <f>10/2</f>
        <v>5</v>
      </c>
    </row>
    <row r="245" spans="1:38" ht="14">
      <c r="A245" s="41" t="s">
        <v>92</v>
      </c>
      <c r="B245" s="50" t="s">
        <v>1192</v>
      </c>
      <c r="C245" s="50" t="s">
        <v>1193</v>
      </c>
      <c r="D245" s="48" t="s">
        <v>397</v>
      </c>
      <c r="E245" s="50" t="s">
        <v>398</v>
      </c>
      <c r="G245" s="76" t="s">
        <v>1194</v>
      </c>
      <c r="H245" s="50">
        <v>4911</v>
      </c>
      <c r="I245" s="49" t="s">
        <v>1</v>
      </c>
      <c r="J245" s="50" t="s">
        <v>1531</v>
      </c>
      <c r="K245" s="51">
        <v>41345</v>
      </c>
      <c r="L245" s="115">
        <v>41332</v>
      </c>
      <c r="N245" s="50" t="s">
        <v>2</v>
      </c>
      <c r="O245" s="131">
        <f>1.4/2</f>
        <v>0.7</v>
      </c>
      <c r="P245" s="50">
        <v>6.2</v>
      </c>
      <c r="Q245" s="74">
        <v>7.1</v>
      </c>
      <c r="R245" s="117">
        <f>10/2</f>
        <v>5</v>
      </c>
      <c r="S245" s="74">
        <v>51</v>
      </c>
      <c r="T245" s="50">
        <v>0.09</v>
      </c>
      <c r="U245" s="74">
        <v>0.36</v>
      </c>
      <c r="V245" s="50">
        <f>0.01/2</f>
        <v>5.0000000000000001E-3</v>
      </c>
      <c r="W245" s="74">
        <v>1.7999999999999999E-2</v>
      </c>
      <c r="X245" s="50">
        <v>0.27700000000000002</v>
      </c>
      <c r="Y245" s="50">
        <v>2.3E-2</v>
      </c>
      <c r="Z245" s="164">
        <v>1</v>
      </c>
      <c r="AA245" s="164">
        <v>1</v>
      </c>
      <c r="AB245" s="50">
        <v>4</v>
      </c>
      <c r="AC245" s="74">
        <v>29</v>
      </c>
      <c r="AD245" s="271">
        <v>1</v>
      </c>
      <c r="AE245" s="50">
        <v>1.79</v>
      </c>
      <c r="AI245" s="74">
        <v>10</v>
      </c>
      <c r="AK245" s="50">
        <v>20</v>
      </c>
    </row>
    <row r="246" spans="1:38" ht="14">
      <c r="A246" s="41" t="s">
        <v>92</v>
      </c>
      <c r="B246" s="50" t="s">
        <v>1192</v>
      </c>
      <c r="C246" s="50" t="s">
        <v>1193</v>
      </c>
      <c r="D246" s="48" t="s">
        <v>397</v>
      </c>
      <c r="E246" s="50" t="s">
        <v>398</v>
      </c>
      <c r="G246" s="76" t="s">
        <v>1194</v>
      </c>
      <c r="H246" s="50">
        <v>4911</v>
      </c>
      <c r="I246" s="49" t="s">
        <v>1</v>
      </c>
      <c r="J246" s="50" t="s">
        <v>1532</v>
      </c>
      <c r="K246" s="51">
        <v>41345</v>
      </c>
      <c r="L246" s="115">
        <v>41332</v>
      </c>
      <c r="N246" s="50" t="s">
        <v>2</v>
      </c>
      <c r="O246" s="131">
        <f>1.4/2</f>
        <v>0.7</v>
      </c>
      <c r="P246" s="50">
        <v>6.2</v>
      </c>
      <c r="Q246" s="74">
        <v>6.5</v>
      </c>
      <c r="R246" s="117">
        <f>10/2</f>
        <v>5</v>
      </c>
      <c r="S246" s="74">
        <f>5/2</f>
        <v>2.5</v>
      </c>
      <c r="T246" s="50">
        <v>0.02</v>
      </c>
      <c r="U246" s="74">
        <v>0.26</v>
      </c>
      <c r="V246" s="50">
        <v>1.87</v>
      </c>
      <c r="W246" s="74">
        <f>0.005/2</f>
        <v>2.5000000000000001E-3</v>
      </c>
      <c r="X246" s="50">
        <v>4.3999999999999997E-2</v>
      </c>
      <c r="Y246" s="50">
        <f>0.001/2</f>
        <v>5.0000000000000001E-4</v>
      </c>
      <c r="Z246" s="164">
        <v>1</v>
      </c>
      <c r="AA246" s="164">
        <v>1</v>
      </c>
      <c r="AB246" s="402">
        <v>28</v>
      </c>
      <c r="AC246" s="404">
        <v>186</v>
      </c>
      <c r="AD246" s="399">
        <v>1</v>
      </c>
      <c r="AE246" s="50">
        <v>7.0999999999999994E-2</v>
      </c>
      <c r="AI246" s="74">
        <f>10/2</f>
        <v>5</v>
      </c>
      <c r="AK246" s="50">
        <f>10/2</f>
        <v>5</v>
      </c>
    </row>
    <row r="247" spans="1:38" ht="14">
      <c r="A247" s="41" t="s">
        <v>92</v>
      </c>
      <c r="B247" s="50" t="s">
        <v>2343</v>
      </c>
      <c r="C247" s="50" t="s">
        <v>2343</v>
      </c>
      <c r="D247" s="48" t="s">
        <v>262</v>
      </c>
      <c r="E247" s="50" t="s">
        <v>874</v>
      </c>
      <c r="G247" s="76" t="s">
        <v>2344</v>
      </c>
      <c r="H247" s="50">
        <v>4911</v>
      </c>
      <c r="I247" s="49" t="s">
        <v>1</v>
      </c>
      <c r="J247" s="50" t="s">
        <v>2034</v>
      </c>
      <c r="K247" s="51">
        <v>41637</v>
      </c>
      <c r="L247" s="115">
        <v>41631</v>
      </c>
      <c r="N247" s="50" t="s">
        <v>2</v>
      </c>
      <c r="O247" s="131">
        <f>2/2</f>
        <v>1</v>
      </c>
      <c r="P247" s="50">
        <v>8.1999999999999993</v>
      </c>
      <c r="Q247" s="74">
        <v>7.6</v>
      </c>
      <c r="R247" s="117">
        <v>150</v>
      </c>
      <c r="S247" s="74">
        <v>32</v>
      </c>
      <c r="T247" s="50">
        <v>0.1</v>
      </c>
      <c r="U247" s="74">
        <v>0.51</v>
      </c>
      <c r="V247" s="50">
        <v>0.28000000000000003</v>
      </c>
      <c r="W247" s="74">
        <v>0.108</v>
      </c>
      <c r="X247" s="50">
        <v>5.1999999999999998E-2</v>
      </c>
      <c r="Y247" s="50">
        <v>4.2999999999999997E-2</v>
      </c>
      <c r="AE247" s="50">
        <v>0.96</v>
      </c>
      <c r="AH247" s="50">
        <f>1/2</f>
        <v>0.5</v>
      </c>
      <c r="AL247" s="113">
        <f>2/2</f>
        <v>1</v>
      </c>
    </row>
    <row r="248" spans="1:38" ht="14">
      <c r="A248" s="41" t="s">
        <v>92</v>
      </c>
      <c r="B248" s="50" t="s">
        <v>2343</v>
      </c>
      <c r="C248" s="50" t="s">
        <v>2343</v>
      </c>
      <c r="D248" s="48" t="s">
        <v>262</v>
      </c>
      <c r="E248" s="50" t="s">
        <v>874</v>
      </c>
      <c r="G248" s="76" t="s">
        <v>2344</v>
      </c>
      <c r="H248" s="50">
        <v>4911</v>
      </c>
      <c r="I248" s="49" t="s">
        <v>1</v>
      </c>
      <c r="J248" s="50" t="s">
        <v>2345</v>
      </c>
      <c r="K248" s="51">
        <v>41637</v>
      </c>
      <c r="L248" s="115">
        <v>41631</v>
      </c>
      <c r="N248" s="50" t="s">
        <v>2</v>
      </c>
      <c r="O248" s="131">
        <f>2/2</f>
        <v>1</v>
      </c>
      <c r="P248" s="50">
        <v>8.1999999999999993</v>
      </c>
      <c r="Q248" s="74">
        <v>6.4</v>
      </c>
      <c r="R248" s="117">
        <v>90</v>
      </c>
      <c r="S248" s="74">
        <v>74</v>
      </c>
      <c r="T248" s="50">
        <v>0.25</v>
      </c>
      <c r="U248" s="74">
        <v>3.51</v>
      </c>
      <c r="V248" s="50">
        <v>0.68</v>
      </c>
      <c r="W248" s="74">
        <v>5.6000000000000001E-2</v>
      </c>
      <c r="X248" s="50">
        <v>1.51</v>
      </c>
      <c r="Y248" s="50">
        <f>0.03/2</f>
        <v>1.4999999999999999E-2</v>
      </c>
      <c r="AH248" s="50">
        <f>10/2</f>
        <v>5</v>
      </c>
      <c r="AL248" s="113">
        <f>100/2</f>
        <v>50</v>
      </c>
    </row>
    <row r="249" spans="1:38" ht="14">
      <c r="A249" s="41" t="s">
        <v>92</v>
      </c>
      <c r="B249" s="50" t="s">
        <v>1192</v>
      </c>
      <c r="C249" s="50" t="s">
        <v>1193</v>
      </c>
      <c r="D249" s="48" t="s">
        <v>397</v>
      </c>
      <c r="E249" s="50" t="s">
        <v>398</v>
      </c>
      <c r="G249" s="76" t="s">
        <v>1194</v>
      </c>
      <c r="H249" s="50">
        <v>4911</v>
      </c>
      <c r="I249" s="49" t="s">
        <v>1</v>
      </c>
      <c r="J249" s="50" t="s">
        <v>1529</v>
      </c>
      <c r="K249" s="51">
        <v>41495</v>
      </c>
      <c r="L249" s="115">
        <v>41490</v>
      </c>
      <c r="N249" s="50" t="s">
        <v>2</v>
      </c>
      <c r="O249" s="131">
        <f>0.7</f>
        <v>0.7</v>
      </c>
      <c r="P249" s="50">
        <v>5.28</v>
      </c>
      <c r="R249" s="117">
        <v>10</v>
      </c>
      <c r="S249" s="74">
        <v>47</v>
      </c>
      <c r="T249" s="50">
        <v>0.02</v>
      </c>
      <c r="U249" s="74">
        <v>0.32</v>
      </c>
      <c r="V249" s="50">
        <v>0.2</v>
      </c>
      <c r="W249" s="74">
        <v>8.9999999999999993E-3</v>
      </c>
      <c r="X249" s="50">
        <v>9.2999999999999999E-2</v>
      </c>
      <c r="Y249" s="50">
        <v>1.4E-2</v>
      </c>
    </row>
    <row r="250" spans="1:38" ht="14">
      <c r="A250" s="41" t="s">
        <v>92</v>
      </c>
      <c r="B250" s="50" t="s">
        <v>1192</v>
      </c>
      <c r="C250" s="50" t="s">
        <v>1193</v>
      </c>
      <c r="D250" s="48" t="s">
        <v>397</v>
      </c>
      <c r="E250" s="50" t="s">
        <v>398</v>
      </c>
      <c r="G250" s="76" t="s">
        <v>1194</v>
      </c>
      <c r="H250" s="50">
        <v>4911</v>
      </c>
      <c r="I250" s="49" t="s">
        <v>1</v>
      </c>
      <c r="J250" s="50" t="s">
        <v>1530</v>
      </c>
      <c r="K250" s="51">
        <v>41495</v>
      </c>
      <c r="L250" s="115">
        <v>41490</v>
      </c>
      <c r="M250" s="50">
        <f>K250-L250</f>
        <v>5</v>
      </c>
      <c r="N250" s="50" t="s">
        <v>2</v>
      </c>
      <c r="O250" s="131">
        <v>0.7</v>
      </c>
      <c r="P250" s="50">
        <v>5.28</v>
      </c>
      <c r="R250" s="117">
        <v>5</v>
      </c>
      <c r="S250" s="74">
        <v>2.5</v>
      </c>
      <c r="T250" s="50">
        <v>0.13</v>
      </c>
      <c r="U250" s="74">
        <v>0.47</v>
      </c>
      <c r="V250" s="50">
        <v>0.18</v>
      </c>
      <c r="W250" s="74">
        <v>0.01</v>
      </c>
      <c r="X250" s="50">
        <v>0.32</v>
      </c>
      <c r="Y250" s="50">
        <v>2.9000000000000001E-2</v>
      </c>
      <c r="AE250" s="50">
        <v>1.17</v>
      </c>
    </row>
    <row r="251" spans="1:38" ht="14">
      <c r="A251" s="41" t="s">
        <v>92</v>
      </c>
      <c r="B251" s="50" t="s">
        <v>1192</v>
      </c>
      <c r="C251" s="50" t="s">
        <v>1193</v>
      </c>
      <c r="D251" s="48" t="s">
        <v>397</v>
      </c>
      <c r="E251" s="50" t="s">
        <v>398</v>
      </c>
      <c r="G251" s="76" t="s">
        <v>1194</v>
      </c>
      <c r="H251" s="50">
        <v>4911</v>
      </c>
      <c r="I251" s="49" t="s">
        <v>1</v>
      </c>
      <c r="J251" s="50" t="s">
        <v>1531</v>
      </c>
      <c r="K251" s="51">
        <v>41495</v>
      </c>
      <c r="L251" s="115">
        <v>41490</v>
      </c>
      <c r="N251" s="50" t="s">
        <v>2</v>
      </c>
      <c r="O251" s="131">
        <v>0.7</v>
      </c>
      <c r="P251" s="50">
        <v>5.28</v>
      </c>
      <c r="R251" s="117">
        <v>19</v>
      </c>
      <c r="T251" s="50">
        <v>7.0000000000000007E-2</v>
      </c>
      <c r="U251" s="74">
        <v>0.6</v>
      </c>
      <c r="V251" s="50">
        <v>0.22</v>
      </c>
      <c r="W251" s="74">
        <v>2.1000000000000001E-2</v>
      </c>
      <c r="X251" s="50">
        <v>8.8999999999999996E-2</v>
      </c>
      <c r="Y251" s="50">
        <v>8.9999999999999993E-3</v>
      </c>
    </row>
    <row r="252" spans="1:38" ht="14">
      <c r="A252" s="41" t="s">
        <v>92</v>
      </c>
      <c r="B252" s="50" t="s">
        <v>1192</v>
      </c>
      <c r="C252" s="50" t="s">
        <v>1193</v>
      </c>
      <c r="D252" s="48" t="s">
        <v>397</v>
      </c>
      <c r="E252" s="50" t="s">
        <v>398</v>
      </c>
      <c r="G252" s="76" t="s">
        <v>1194</v>
      </c>
      <c r="H252" s="50">
        <v>4911</v>
      </c>
      <c r="I252" s="49" t="s">
        <v>1</v>
      </c>
      <c r="J252" s="50" t="s">
        <v>1531</v>
      </c>
      <c r="K252" s="51">
        <v>41579</v>
      </c>
      <c r="L252" s="115">
        <v>41552</v>
      </c>
      <c r="N252" s="50" t="s">
        <v>2</v>
      </c>
      <c r="O252" s="131"/>
      <c r="R252" s="117"/>
      <c r="S252" s="74">
        <v>2.5</v>
      </c>
    </row>
    <row r="253" spans="1:38" ht="14">
      <c r="A253" s="41" t="s">
        <v>92</v>
      </c>
      <c r="B253" s="50" t="s">
        <v>1192</v>
      </c>
      <c r="C253" s="50" t="s">
        <v>1193</v>
      </c>
      <c r="D253" s="48" t="s">
        <v>397</v>
      </c>
      <c r="E253" s="50" t="s">
        <v>398</v>
      </c>
      <c r="G253" s="76" t="s">
        <v>1194</v>
      </c>
      <c r="H253" s="50">
        <v>4911</v>
      </c>
      <c r="I253" s="49" t="s">
        <v>1</v>
      </c>
      <c r="J253" s="50" t="s">
        <v>1532</v>
      </c>
      <c r="K253" s="51">
        <v>41495</v>
      </c>
      <c r="L253" s="115">
        <v>41521</v>
      </c>
      <c r="N253" s="50" t="s">
        <v>2</v>
      </c>
      <c r="O253" s="131">
        <v>0.7</v>
      </c>
      <c r="P253" s="50">
        <v>5.3</v>
      </c>
      <c r="R253" s="117">
        <v>5</v>
      </c>
      <c r="S253" s="74">
        <v>16</v>
      </c>
      <c r="T253" s="50">
        <v>0.05</v>
      </c>
      <c r="U253" s="74">
        <v>0.39</v>
      </c>
      <c r="V253" s="50">
        <v>0.6</v>
      </c>
      <c r="W253" s="74">
        <v>6.0000000000000001E-3</v>
      </c>
      <c r="X253" s="50">
        <v>0.105</v>
      </c>
      <c r="Y253" s="50">
        <v>6.0000000000000001E-3</v>
      </c>
    </row>
    <row r="254" spans="1:38" ht="14">
      <c r="A254" s="41" t="s">
        <v>92</v>
      </c>
      <c r="B254" s="50" t="s">
        <v>5800</v>
      </c>
      <c r="C254" s="50" t="s">
        <v>164</v>
      </c>
      <c r="D254" s="48" t="s">
        <v>165</v>
      </c>
      <c r="E254" s="50" t="s">
        <v>3795</v>
      </c>
      <c r="G254" s="76" t="s">
        <v>168</v>
      </c>
      <c r="H254" s="50">
        <v>4911</v>
      </c>
      <c r="I254" s="49" t="s">
        <v>1</v>
      </c>
      <c r="J254" s="50" t="s">
        <v>169</v>
      </c>
      <c r="K254" s="51">
        <v>41585</v>
      </c>
      <c r="L254" s="115">
        <v>41579</v>
      </c>
      <c r="N254" s="50" t="s">
        <v>2</v>
      </c>
      <c r="O254" s="131"/>
      <c r="R254" s="117">
        <v>70.599999999999994</v>
      </c>
      <c r="T254" s="50">
        <v>2.52</v>
      </c>
      <c r="U254" s="74">
        <v>13.9</v>
      </c>
      <c r="V254" s="50">
        <v>6.74</v>
      </c>
      <c r="X254" s="50">
        <v>0.33500000000000002</v>
      </c>
    </row>
    <row r="255" spans="1:38" ht="14">
      <c r="A255" s="41" t="s">
        <v>92</v>
      </c>
      <c r="B255" s="50" t="s">
        <v>5800</v>
      </c>
      <c r="C255" s="50" t="s">
        <v>164</v>
      </c>
      <c r="D255" s="48" t="s">
        <v>165</v>
      </c>
      <c r="E255" s="50" t="s">
        <v>3795</v>
      </c>
      <c r="G255" s="76" t="s">
        <v>168</v>
      </c>
      <c r="H255" s="50">
        <v>4911</v>
      </c>
      <c r="I255" s="49" t="s">
        <v>1</v>
      </c>
      <c r="J255" s="50" t="s">
        <v>169</v>
      </c>
      <c r="K255" s="51">
        <v>41961</v>
      </c>
      <c r="L255" s="115">
        <v>41588</v>
      </c>
      <c r="N255" s="50" t="s">
        <v>2</v>
      </c>
      <c r="O255" s="131"/>
      <c r="R255" s="117">
        <v>42.4</v>
      </c>
      <c r="T255" s="50">
        <v>1.35</v>
      </c>
      <c r="U255" s="74">
        <v>4</v>
      </c>
      <c r="V255" s="50">
        <v>2.0499999999999998</v>
      </c>
      <c r="X255" s="50">
        <v>0.215</v>
      </c>
    </row>
    <row r="256" spans="1:38" ht="14">
      <c r="A256" s="41" t="s">
        <v>92</v>
      </c>
      <c r="B256" s="50" t="s">
        <v>5800</v>
      </c>
      <c r="C256" s="50" t="s">
        <v>164</v>
      </c>
      <c r="D256" s="48" t="s">
        <v>165</v>
      </c>
      <c r="E256" s="50" t="s">
        <v>3795</v>
      </c>
      <c r="G256" s="76" t="s">
        <v>168</v>
      </c>
      <c r="H256" s="50">
        <v>4911</v>
      </c>
      <c r="J256" s="50" t="s">
        <v>170</v>
      </c>
      <c r="K256" s="51">
        <v>41585</v>
      </c>
      <c r="L256" s="115">
        <v>41579</v>
      </c>
      <c r="N256" s="50" t="s">
        <v>2</v>
      </c>
      <c r="O256" s="131"/>
      <c r="R256" s="117"/>
      <c r="T256" s="50">
        <v>0.88</v>
      </c>
      <c r="X256" s="50">
        <v>0.155</v>
      </c>
    </row>
    <row r="257" spans="1:31" ht="14">
      <c r="A257" s="41" t="s">
        <v>92</v>
      </c>
      <c r="B257" s="50" t="s">
        <v>5800</v>
      </c>
      <c r="C257" s="50" t="s">
        <v>164</v>
      </c>
      <c r="D257" s="48" t="s">
        <v>165</v>
      </c>
      <c r="E257" s="50" t="s">
        <v>3795</v>
      </c>
      <c r="G257" s="76" t="s">
        <v>168</v>
      </c>
      <c r="H257" s="50">
        <v>4911</v>
      </c>
      <c r="I257" s="49" t="s">
        <v>1</v>
      </c>
      <c r="J257" s="50" t="s">
        <v>171</v>
      </c>
      <c r="K257" s="51">
        <v>41585</v>
      </c>
      <c r="L257" s="115">
        <v>41579</v>
      </c>
      <c r="N257" s="50" t="s">
        <v>2</v>
      </c>
      <c r="O257" s="131"/>
      <c r="R257" s="117"/>
      <c r="T257" s="50">
        <v>1.5</v>
      </c>
      <c r="U257" s="74">
        <v>11.2</v>
      </c>
      <c r="X257" s="50">
        <v>0.28699999999999998</v>
      </c>
      <c r="AE257" s="50">
        <v>0.56499999999999995</v>
      </c>
    </row>
    <row r="258" spans="1:31" ht="14">
      <c r="A258" s="41" t="s">
        <v>92</v>
      </c>
      <c r="B258" s="50" t="s">
        <v>5800</v>
      </c>
      <c r="C258" s="50" t="s">
        <v>164</v>
      </c>
      <c r="D258" s="48" t="s">
        <v>165</v>
      </c>
      <c r="E258" s="50" t="s">
        <v>3795</v>
      </c>
      <c r="G258" s="76" t="s">
        <v>168</v>
      </c>
      <c r="H258" s="50">
        <v>4911</v>
      </c>
      <c r="I258" s="49" t="s">
        <v>1</v>
      </c>
      <c r="J258" s="50" t="s">
        <v>171</v>
      </c>
      <c r="K258" s="51">
        <v>41596</v>
      </c>
      <c r="L258" s="115">
        <v>41588</v>
      </c>
      <c r="N258" s="50" t="s">
        <v>2</v>
      </c>
      <c r="O258" s="131"/>
      <c r="R258" s="117"/>
      <c r="T258" s="50">
        <v>0.42</v>
      </c>
      <c r="U258" s="74">
        <v>1.3</v>
      </c>
      <c r="X258" s="50">
        <v>0.55000000000000004</v>
      </c>
      <c r="AE258" s="50">
        <v>0.08</v>
      </c>
    </row>
    <row r="259" spans="1:31" ht="14">
      <c r="A259" s="41" t="s">
        <v>92</v>
      </c>
      <c r="B259" s="50" t="s">
        <v>5800</v>
      </c>
      <c r="C259" s="50" t="s">
        <v>164</v>
      </c>
      <c r="D259" s="48" t="s">
        <v>165</v>
      </c>
      <c r="E259" s="50" t="s">
        <v>3795</v>
      </c>
      <c r="G259" s="76" t="s">
        <v>168</v>
      </c>
      <c r="H259" s="50">
        <v>4911</v>
      </c>
      <c r="I259" s="49" t="s">
        <v>1</v>
      </c>
      <c r="J259" s="50" t="s">
        <v>173</v>
      </c>
      <c r="K259" s="51">
        <v>41585</v>
      </c>
      <c r="L259" s="115">
        <v>41579</v>
      </c>
      <c r="N259" s="50" t="s">
        <v>2</v>
      </c>
      <c r="O259" s="131"/>
      <c r="R259" s="117"/>
      <c r="X259" s="50">
        <v>9.6000000000000002E-2</v>
      </c>
      <c r="AE259" s="50">
        <v>0.437</v>
      </c>
    </row>
    <row r="260" spans="1:31" ht="14">
      <c r="A260" s="41" t="s">
        <v>92</v>
      </c>
      <c r="B260" s="50" t="s">
        <v>5800</v>
      </c>
      <c r="C260" s="50" t="s">
        <v>164</v>
      </c>
      <c r="D260" s="48" t="s">
        <v>165</v>
      </c>
      <c r="E260" s="50" t="s">
        <v>3795</v>
      </c>
      <c r="G260" s="76" t="s">
        <v>168</v>
      </c>
      <c r="H260" s="50">
        <v>4911</v>
      </c>
      <c r="I260" s="49" t="s">
        <v>1</v>
      </c>
      <c r="J260" s="50" t="s">
        <v>173</v>
      </c>
      <c r="K260" s="51">
        <v>41596</v>
      </c>
      <c r="L260" s="115">
        <v>41588</v>
      </c>
      <c r="N260" s="50" t="s">
        <v>2</v>
      </c>
      <c r="O260" s="131"/>
      <c r="R260" s="117"/>
      <c r="X260" s="50">
        <v>0.159</v>
      </c>
      <c r="AE260" s="50">
        <v>0.29499999999999998</v>
      </c>
    </row>
    <row r="261" spans="1:31" ht="14">
      <c r="A261" s="41" t="s">
        <v>92</v>
      </c>
      <c r="B261" s="50" t="s">
        <v>5800</v>
      </c>
      <c r="C261" s="50" t="s">
        <v>164</v>
      </c>
      <c r="D261" s="48" t="s">
        <v>165</v>
      </c>
      <c r="E261" s="50" t="s">
        <v>3795</v>
      </c>
      <c r="G261" s="76" t="s">
        <v>168</v>
      </c>
      <c r="H261" s="50">
        <v>4911</v>
      </c>
      <c r="I261" s="49" t="s">
        <v>1</v>
      </c>
      <c r="J261" s="50" t="s">
        <v>175</v>
      </c>
      <c r="K261" s="51">
        <v>41585</v>
      </c>
      <c r="L261" s="115">
        <v>41579</v>
      </c>
      <c r="N261" s="50" t="s">
        <v>2</v>
      </c>
      <c r="O261" s="131"/>
      <c r="R261" s="117">
        <v>23.4</v>
      </c>
      <c r="T261" s="50">
        <v>1.39</v>
      </c>
      <c r="U261" s="74">
        <v>5.73</v>
      </c>
      <c r="V261" s="50">
        <v>0.71</v>
      </c>
      <c r="X261" s="50">
        <v>6.8000000000000005E-2</v>
      </c>
    </row>
    <row r="262" spans="1:31" ht="14">
      <c r="A262" s="41" t="s">
        <v>92</v>
      </c>
      <c r="B262" s="50" t="s">
        <v>5800</v>
      </c>
      <c r="C262" s="50" t="s">
        <v>164</v>
      </c>
      <c r="D262" s="48" t="s">
        <v>165</v>
      </c>
      <c r="E262" s="50" t="s">
        <v>3795</v>
      </c>
      <c r="G262" s="76" t="s">
        <v>168</v>
      </c>
      <c r="H262" s="50">
        <v>4911</v>
      </c>
      <c r="I262" s="49" t="s">
        <v>1</v>
      </c>
      <c r="J262" s="50" t="s">
        <v>175</v>
      </c>
      <c r="K262" s="51">
        <v>41614</v>
      </c>
      <c r="L262" s="115">
        <v>41609</v>
      </c>
      <c r="N262" s="50" t="s">
        <v>2</v>
      </c>
      <c r="O262" s="131"/>
      <c r="R262" s="117">
        <v>87</v>
      </c>
      <c r="T262" s="50">
        <v>2.6</v>
      </c>
      <c r="U262" s="74">
        <v>7.7</v>
      </c>
      <c r="V262" s="50">
        <v>3.71</v>
      </c>
      <c r="X262" s="50">
        <v>0.105</v>
      </c>
    </row>
    <row r="263" spans="1:31" ht="14">
      <c r="A263" s="41" t="s">
        <v>92</v>
      </c>
      <c r="B263" s="50" t="s">
        <v>5800</v>
      </c>
      <c r="C263" s="50" t="s">
        <v>164</v>
      </c>
      <c r="D263" s="48" t="s">
        <v>165</v>
      </c>
      <c r="E263" s="50" t="s">
        <v>3795</v>
      </c>
      <c r="G263" s="76" t="s">
        <v>168</v>
      </c>
      <c r="H263" s="50">
        <v>4911</v>
      </c>
      <c r="I263" s="49" t="s">
        <v>1</v>
      </c>
      <c r="J263" s="50" t="s">
        <v>176</v>
      </c>
      <c r="K263" s="51">
        <v>41585</v>
      </c>
      <c r="L263" s="115">
        <v>41579</v>
      </c>
      <c r="N263" s="50" t="s">
        <v>2</v>
      </c>
      <c r="O263" s="131"/>
      <c r="R263" s="117"/>
      <c r="T263" s="50">
        <v>1.49</v>
      </c>
      <c r="U263" s="74">
        <v>5.55</v>
      </c>
      <c r="X263" s="50">
        <v>6.6000000000000003E-2</v>
      </c>
    </row>
    <row r="264" spans="1:31" ht="14">
      <c r="A264" s="41" t="s">
        <v>92</v>
      </c>
      <c r="B264" s="50" t="s">
        <v>5800</v>
      </c>
      <c r="C264" s="50" t="s">
        <v>164</v>
      </c>
      <c r="D264" s="48" t="s">
        <v>165</v>
      </c>
      <c r="E264" s="50" t="s">
        <v>3795</v>
      </c>
      <c r="G264" s="76" t="s">
        <v>168</v>
      </c>
      <c r="H264" s="50">
        <v>4911</v>
      </c>
      <c r="I264" s="49" t="s">
        <v>1</v>
      </c>
      <c r="J264" s="50" t="s">
        <v>176</v>
      </c>
      <c r="K264" s="51">
        <v>41614</v>
      </c>
      <c r="L264" s="115">
        <v>41609</v>
      </c>
      <c r="N264" s="50" t="s">
        <v>2</v>
      </c>
      <c r="O264" s="131"/>
      <c r="R264" s="117"/>
      <c r="T264" s="50">
        <v>2.4</v>
      </c>
      <c r="U264" s="74">
        <v>4.3899999999999997</v>
      </c>
      <c r="X264" s="50">
        <v>9.2999999999999999E-2</v>
      </c>
    </row>
    <row r="265" spans="1:31" ht="14">
      <c r="A265" s="41" t="s">
        <v>92</v>
      </c>
      <c r="B265" s="50" t="s">
        <v>5800</v>
      </c>
      <c r="C265" s="50" t="s">
        <v>164</v>
      </c>
      <c r="D265" s="48" t="s">
        <v>165</v>
      </c>
      <c r="E265" s="50" t="s">
        <v>3795</v>
      </c>
      <c r="G265" s="76" t="s">
        <v>168</v>
      </c>
      <c r="H265" s="50">
        <v>4911</v>
      </c>
      <c r="I265" s="49" t="s">
        <v>2</v>
      </c>
      <c r="J265" s="50" t="s">
        <v>177</v>
      </c>
      <c r="K265" s="51">
        <v>41585</v>
      </c>
      <c r="L265" s="115">
        <v>41579</v>
      </c>
      <c r="N265" s="50" t="s">
        <v>2</v>
      </c>
      <c r="O265" s="131"/>
      <c r="R265" s="117"/>
      <c r="V265" s="50">
        <v>2.92</v>
      </c>
    </row>
    <row r="266" spans="1:31" ht="14">
      <c r="A266" s="41" t="s">
        <v>92</v>
      </c>
      <c r="B266" s="50" t="s">
        <v>5800</v>
      </c>
      <c r="C266" s="50" t="s">
        <v>164</v>
      </c>
      <c r="D266" s="48" t="s">
        <v>165</v>
      </c>
      <c r="E266" s="50" t="s">
        <v>3795</v>
      </c>
      <c r="G266" s="76" t="s">
        <v>168</v>
      </c>
      <c r="H266" s="50">
        <v>4911</v>
      </c>
      <c r="I266" s="49" t="s">
        <v>1</v>
      </c>
      <c r="J266" s="50" t="s">
        <v>178</v>
      </c>
      <c r="K266" s="51">
        <v>41585</v>
      </c>
      <c r="L266" s="115">
        <v>41579</v>
      </c>
      <c r="N266" s="50" t="s">
        <v>2</v>
      </c>
      <c r="O266" s="131"/>
      <c r="R266" s="117"/>
      <c r="X266" s="50">
        <v>0.78500000000000003</v>
      </c>
    </row>
    <row r="267" spans="1:31" ht="14">
      <c r="A267" s="41" t="s">
        <v>92</v>
      </c>
      <c r="B267" s="50" t="s">
        <v>5800</v>
      </c>
      <c r="C267" s="50" t="s">
        <v>164</v>
      </c>
      <c r="D267" s="48" t="s">
        <v>165</v>
      </c>
      <c r="E267" s="50" t="s">
        <v>3795</v>
      </c>
      <c r="G267" s="76" t="s">
        <v>168</v>
      </c>
      <c r="H267" s="50">
        <v>4911</v>
      </c>
      <c r="I267" s="49" t="s">
        <v>1</v>
      </c>
      <c r="J267" s="50" t="s">
        <v>179</v>
      </c>
      <c r="K267" s="51">
        <v>41585</v>
      </c>
      <c r="L267" s="115">
        <v>41579</v>
      </c>
      <c r="N267" s="50" t="s">
        <v>2</v>
      </c>
      <c r="O267" s="131">
        <v>2.6</v>
      </c>
      <c r="R267" s="117">
        <v>51.4</v>
      </c>
      <c r="S267" s="74">
        <v>31.8</v>
      </c>
      <c r="X267" s="50">
        <v>8.4000000000000005E-2</v>
      </c>
      <c r="AE267" s="50">
        <v>1.78</v>
      </c>
    </row>
    <row r="268" spans="1:31" ht="14">
      <c r="A268" s="41" t="s">
        <v>92</v>
      </c>
      <c r="B268" s="50" t="s">
        <v>5800</v>
      </c>
      <c r="C268" s="50" t="s">
        <v>164</v>
      </c>
      <c r="D268" s="48" t="s">
        <v>165</v>
      </c>
      <c r="E268" s="50" t="s">
        <v>3795</v>
      </c>
      <c r="G268" s="76" t="s">
        <v>168</v>
      </c>
      <c r="H268" s="50">
        <v>4911</v>
      </c>
      <c r="I268" s="49" t="s">
        <v>1</v>
      </c>
      <c r="J268" s="50" t="s">
        <v>180</v>
      </c>
      <c r="K268" s="51">
        <v>41585</v>
      </c>
      <c r="L268" s="115">
        <v>41579</v>
      </c>
      <c r="N268" s="50" t="s">
        <v>2</v>
      </c>
      <c r="O268" s="131"/>
      <c r="R268" s="117"/>
      <c r="T268" s="50">
        <v>0.4</v>
      </c>
      <c r="U268" s="74">
        <v>1.8</v>
      </c>
      <c r="X268" s="50">
        <v>0.48899999999999999</v>
      </c>
    </row>
    <row r="269" spans="1:31" ht="14">
      <c r="A269" s="41" t="s">
        <v>92</v>
      </c>
      <c r="B269" s="50" t="s">
        <v>5800</v>
      </c>
      <c r="C269" s="50" t="s">
        <v>164</v>
      </c>
      <c r="D269" s="48" t="s">
        <v>165</v>
      </c>
      <c r="E269" s="50" t="s">
        <v>3795</v>
      </c>
      <c r="G269" s="76" t="s">
        <v>168</v>
      </c>
      <c r="H269" s="50">
        <v>4911</v>
      </c>
      <c r="I269" s="49" t="s">
        <v>2</v>
      </c>
      <c r="J269" s="50" t="s">
        <v>181</v>
      </c>
      <c r="K269" s="51">
        <v>41585</v>
      </c>
      <c r="L269" s="115">
        <v>41579</v>
      </c>
      <c r="N269" s="50" t="s">
        <v>2</v>
      </c>
      <c r="O269" s="131"/>
      <c r="P269" s="50">
        <v>4.8</v>
      </c>
      <c r="Q269" s="74">
        <v>6.9</v>
      </c>
      <c r="R269" s="117"/>
      <c r="X269" s="50">
        <v>3.4000000000000002E-2</v>
      </c>
    </row>
    <row r="270" spans="1:31" ht="14">
      <c r="A270" s="41" t="s">
        <v>92</v>
      </c>
      <c r="B270" s="50" t="s">
        <v>478</v>
      </c>
      <c r="C270" s="50" t="s">
        <v>479</v>
      </c>
      <c r="D270" s="48" t="s">
        <v>480</v>
      </c>
      <c r="E270" s="50" t="s">
        <v>1546</v>
      </c>
      <c r="G270" s="76" t="s">
        <v>481</v>
      </c>
      <c r="H270" s="50">
        <v>4911</v>
      </c>
      <c r="I270" s="49" t="s">
        <v>1</v>
      </c>
      <c r="J270" s="50" t="s">
        <v>484</v>
      </c>
      <c r="K270" s="51">
        <v>41595</v>
      </c>
      <c r="L270" s="115">
        <v>41579</v>
      </c>
      <c r="N270" s="50" t="s">
        <v>2</v>
      </c>
      <c r="O270" s="131"/>
      <c r="R270" s="117"/>
      <c r="V270" s="50">
        <v>1.84</v>
      </c>
      <c r="W270" s="74">
        <v>2.8000000000000001E-2</v>
      </c>
      <c r="X270" s="50">
        <v>0.13900000000000001</v>
      </c>
    </row>
    <row r="271" spans="1:31" ht="14">
      <c r="A271" s="41" t="s">
        <v>92</v>
      </c>
      <c r="B271" s="50" t="s">
        <v>478</v>
      </c>
      <c r="C271" s="50" t="s">
        <v>479</v>
      </c>
      <c r="D271" s="48" t="s">
        <v>480</v>
      </c>
      <c r="E271" s="50" t="s">
        <v>1546</v>
      </c>
      <c r="G271" s="76" t="s">
        <v>481</v>
      </c>
      <c r="H271" s="50">
        <v>4911</v>
      </c>
      <c r="I271" s="49" t="s">
        <v>1</v>
      </c>
      <c r="J271" s="50" t="s">
        <v>483</v>
      </c>
      <c r="K271" s="51">
        <v>41585</v>
      </c>
      <c r="L271" s="115">
        <v>41579</v>
      </c>
      <c r="N271" s="50" t="s">
        <v>2</v>
      </c>
      <c r="O271" s="131"/>
      <c r="R271" s="117"/>
      <c r="X271" s="50">
        <v>0.20699999999999999</v>
      </c>
    </row>
    <row r="272" spans="1:31" ht="14">
      <c r="A272" s="41" t="s">
        <v>92</v>
      </c>
      <c r="B272" s="50" t="s">
        <v>478</v>
      </c>
      <c r="C272" s="50" t="s">
        <v>479</v>
      </c>
      <c r="D272" s="48" t="s">
        <v>480</v>
      </c>
      <c r="E272" s="50" t="s">
        <v>1546</v>
      </c>
      <c r="G272" s="76" t="s">
        <v>481</v>
      </c>
      <c r="H272" s="50">
        <v>4911</v>
      </c>
      <c r="I272" s="49" t="s">
        <v>1</v>
      </c>
      <c r="J272" s="50" t="s">
        <v>482</v>
      </c>
      <c r="K272" s="51">
        <v>41585</v>
      </c>
      <c r="L272" s="115">
        <v>41579</v>
      </c>
      <c r="N272" s="50" t="s">
        <v>2</v>
      </c>
      <c r="O272" s="131"/>
      <c r="R272" s="117"/>
      <c r="X272" s="50">
        <v>0.17100000000000001</v>
      </c>
    </row>
    <row r="273" spans="1:45" s="400" customFormat="1" ht="14">
      <c r="A273" s="41" t="s">
        <v>6517</v>
      </c>
      <c r="B273" s="402" t="s">
        <v>1192</v>
      </c>
      <c r="C273" s="402" t="s">
        <v>1193</v>
      </c>
      <c r="D273" s="401" t="s">
        <v>397</v>
      </c>
      <c r="E273" s="402" t="s">
        <v>398</v>
      </c>
      <c r="F273" s="402"/>
      <c r="G273" s="393" t="s">
        <v>1194</v>
      </c>
      <c r="H273" s="402">
        <v>4911</v>
      </c>
      <c r="I273" s="391" t="s">
        <v>1</v>
      </c>
      <c r="J273" s="402" t="s">
        <v>1529</v>
      </c>
      <c r="K273" s="403">
        <v>41595</v>
      </c>
      <c r="L273" s="379">
        <v>41585</v>
      </c>
      <c r="M273" s="402">
        <f>K273-L273</f>
        <v>10</v>
      </c>
      <c r="N273" s="402" t="s">
        <v>2</v>
      </c>
      <c r="O273" s="395"/>
      <c r="P273" s="402"/>
      <c r="Q273" s="404"/>
      <c r="R273" s="380"/>
      <c r="S273" s="404"/>
      <c r="T273" s="402"/>
      <c r="U273" s="404"/>
      <c r="V273" s="402"/>
      <c r="W273" s="404"/>
      <c r="X273" s="402">
        <v>8.8999999999999996E-2</v>
      </c>
      <c r="Y273" s="402"/>
      <c r="Z273" s="402"/>
      <c r="AA273" s="404"/>
      <c r="AB273" s="402"/>
      <c r="AC273" s="404"/>
      <c r="AD273" s="399"/>
      <c r="AE273" s="402"/>
      <c r="AF273" s="402"/>
      <c r="AG273" s="402"/>
      <c r="AH273" s="402"/>
      <c r="AI273" s="404"/>
      <c r="AJ273" s="402"/>
      <c r="AK273" s="402"/>
      <c r="AL273" s="113"/>
      <c r="AM273" s="402"/>
      <c r="AN273" s="404"/>
      <c r="AO273" s="404"/>
      <c r="AP273" s="404"/>
      <c r="AQ273" s="404"/>
      <c r="AR273" s="404"/>
      <c r="AS273" s="404"/>
    </row>
    <row r="274" spans="1:45" ht="14">
      <c r="A274" s="41" t="s">
        <v>92</v>
      </c>
      <c r="B274" s="50" t="s">
        <v>1192</v>
      </c>
      <c r="C274" s="50" t="s">
        <v>1193</v>
      </c>
      <c r="D274" s="48" t="s">
        <v>397</v>
      </c>
      <c r="E274" s="50" t="s">
        <v>398</v>
      </c>
      <c r="G274" s="76" t="s">
        <v>1194</v>
      </c>
      <c r="H274" s="50">
        <v>4911</v>
      </c>
      <c r="I274" s="49" t="s">
        <v>1</v>
      </c>
      <c r="J274" s="50" t="s">
        <v>1530</v>
      </c>
      <c r="K274" s="51">
        <v>41595</v>
      </c>
      <c r="L274" s="115">
        <v>41585</v>
      </c>
      <c r="M274" s="50">
        <f>K274-L274</f>
        <v>10</v>
      </c>
      <c r="N274" s="50" t="s">
        <v>2</v>
      </c>
      <c r="O274" s="131"/>
      <c r="R274" s="117"/>
      <c r="S274" s="74">
        <v>5.5</v>
      </c>
      <c r="T274" s="50">
        <v>0.19</v>
      </c>
      <c r="W274" s="74">
        <v>1.2E-2</v>
      </c>
      <c r="X274" s="50">
        <v>0.63</v>
      </c>
      <c r="Y274" s="50">
        <v>1.9E-2</v>
      </c>
      <c r="AE274" s="50">
        <v>0.89500000000000002</v>
      </c>
    </row>
    <row r="275" spans="1:45" s="400" customFormat="1" ht="14">
      <c r="A275" s="41" t="s">
        <v>92</v>
      </c>
      <c r="B275" s="402" t="s">
        <v>1192</v>
      </c>
      <c r="C275" s="402" t="s">
        <v>1193</v>
      </c>
      <c r="D275" s="401" t="s">
        <v>397</v>
      </c>
      <c r="E275" s="402" t="s">
        <v>398</v>
      </c>
      <c r="F275" s="402"/>
      <c r="G275" s="393" t="s">
        <v>1194</v>
      </c>
      <c r="H275" s="402">
        <v>4911</v>
      </c>
      <c r="I275" s="391"/>
      <c r="J275" s="402" t="s">
        <v>1531</v>
      </c>
      <c r="K275" s="403">
        <v>41637</v>
      </c>
      <c r="L275" s="379"/>
      <c r="M275" s="402"/>
      <c r="N275" s="402"/>
      <c r="O275" s="395"/>
      <c r="P275" s="402"/>
      <c r="Q275" s="404"/>
      <c r="R275" s="380"/>
      <c r="S275" s="404"/>
      <c r="T275" s="402"/>
      <c r="U275" s="404"/>
      <c r="V275" s="402"/>
      <c r="W275" s="404"/>
      <c r="X275" s="402"/>
      <c r="Y275" s="402"/>
      <c r="Z275" s="402"/>
      <c r="AA275" s="404"/>
      <c r="AB275" s="402"/>
      <c r="AC275" s="404"/>
      <c r="AD275" s="399"/>
      <c r="AE275" s="402"/>
      <c r="AF275" s="402"/>
      <c r="AG275" s="402"/>
      <c r="AH275" s="402"/>
      <c r="AI275" s="404"/>
      <c r="AJ275" s="402"/>
      <c r="AK275" s="402"/>
      <c r="AL275" s="113"/>
      <c r="AM275" s="402"/>
      <c r="AN275" s="404"/>
      <c r="AO275" s="404"/>
      <c r="AP275" s="404"/>
      <c r="AQ275" s="404"/>
      <c r="AR275" s="404"/>
      <c r="AS275" s="404"/>
    </row>
    <row r="276" spans="1:45" ht="14">
      <c r="A276" s="41" t="s">
        <v>92</v>
      </c>
      <c r="B276" s="50" t="s">
        <v>5054</v>
      </c>
      <c r="C276" s="50" t="s">
        <v>5054</v>
      </c>
      <c r="D276" s="48" t="s">
        <v>133</v>
      </c>
      <c r="E276" s="50" t="s">
        <v>140</v>
      </c>
      <c r="G276" s="76" t="s">
        <v>5055</v>
      </c>
      <c r="H276" s="50">
        <v>4931</v>
      </c>
      <c r="I276" s="49" t="s">
        <v>1</v>
      </c>
      <c r="J276" s="50" t="s">
        <v>5913</v>
      </c>
      <c r="K276" s="51">
        <v>41605</v>
      </c>
      <c r="L276" s="115">
        <v>41601</v>
      </c>
      <c r="N276" s="50" t="s">
        <v>2</v>
      </c>
      <c r="O276" s="131"/>
      <c r="R276" s="117"/>
      <c r="AE276" s="50">
        <v>3.01</v>
      </c>
    </row>
    <row r="277" spans="1:45" ht="14">
      <c r="A277" s="41" t="s">
        <v>92</v>
      </c>
      <c r="B277" s="50" t="s">
        <v>93</v>
      </c>
      <c r="C277" s="50" t="s">
        <v>94</v>
      </c>
      <c r="D277" s="48" t="s">
        <v>56</v>
      </c>
      <c r="E277" s="50" t="s">
        <v>95</v>
      </c>
      <c r="G277" s="76" t="s">
        <v>167</v>
      </c>
      <c r="H277" s="50">
        <v>4911</v>
      </c>
      <c r="I277" s="49" t="s">
        <v>1</v>
      </c>
      <c r="J277" s="50" t="s">
        <v>96</v>
      </c>
      <c r="K277" s="51">
        <v>41744</v>
      </c>
      <c r="L277" s="115">
        <v>41737</v>
      </c>
      <c r="N277" s="50" t="s">
        <v>2</v>
      </c>
      <c r="O277" s="131"/>
      <c r="P277" s="50">
        <v>6.45</v>
      </c>
      <c r="R277" s="117"/>
      <c r="X277" s="50">
        <v>0.35699999999999998</v>
      </c>
      <c r="AI277" s="74">
        <v>5</v>
      </c>
      <c r="AK277" s="50">
        <v>118</v>
      </c>
    </row>
    <row r="278" spans="1:45" ht="14">
      <c r="A278" s="41" t="s">
        <v>92</v>
      </c>
      <c r="B278" s="50" t="s">
        <v>93</v>
      </c>
      <c r="C278" s="50" t="s">
        <v>94</v>
      </c>
      <c r="D278" s="48" t="s">
        <v>56</v>
      </c>
      <c r="E278" s="50" t="s">
        <v>95</v>
      </c>
      <c r="G278" s="76" t="s">
        <v>167</v>
      </c>
      <c r="H278" s="50">
        <v>4911</v>
      </c>
      <c r="I278" s="49" t="s">
        <v>1</v>
      </c>
      <c r="J278" s="50" t="s">
        <v>169</v>
      </c>
      <c r="K278" s="51">
        <v>41744</v>
      </c>
      <c r="L278" s="115">
        <v>41737</v>
      </c>
      <c r="N278" s="50" t="s">
        <v>2</v>
      </c>
      <c r="O278" s="131"/>
      <c r="P278" s="50">
        <v>6.45</v>
      </c>
      <c r="R278" s="117"/>
      <c r="AI278" s="74">
        <v>560</v>
      </c>
      <c r="AK278" s="50">
        <v>48</v>
      </c>
    </row>
    <row r="279" spans="1:45" ht="14">
      <c r="A279" s="41" t="s">
        <v>92</v>
      </c>
      <c r="B279" s="50" t="s">
        <v>2333</v>
      </c>
      <c r="C279" s="50" t="s">
        <v>2334</v>
      </c>
      <c r="D279" s="48" t="s">
        <v>480</v>
      </c>
      <c r="E279" s="50" t="s">
        <v>1546</v>
      </c>
      <c r="G279" s="76" t="s">
        <v>2335</v>
      </c>
      <c r="H279" s="50">
        <v>4911</v>
      </c>
      <c r="I279" s="49" t="s">
        <v>1</v>
      </c>
      <c r="J279" s="50" t="s">
        <v>255</v>
      </c>
      <c r="K279" s="51">
        <v>41585</v>
      </c>
      <c r="L279" s="115">
        <v>41579</v>
      </c>
      <c r="N279" s="50" t="s">
        <v>2</v>
      </c>
      <c r="O279" s="131">
        <f>2/2</f>
        <v>1</v>
      </c>
      <c r="P279" s="50">
        <v>8.1999999999999993</v>
      </c>
      <c r="Q279" s="74">
        <v>7.8</v>
      </c>
      <c r="R279" s="117">
        <v>15</v>
      </c>
      <c r="S279" s="74">
        <v>2</v>
      </c>
      <c r="T279" s="50">
        <f>0.05/2</f>
        <v>2.5000000000000001E-2</v>
      </c>
      <c r="U279" s="74">
        <v>0.71</v>
      </c>
      <c r="V279" s="50">
        <v>0.43</v>
      </c>
      <c r="W279" s="74">
        <f>0.01/2</f>
        <v>5.0000000000000001E-3</v>
      </c>
      <c r="X279" s="50">
        <v>4.4999999999999998E-2</v>
      </c>
      <c r="Y279" s="50">
        <f>0.03/2</f>
        <v>1.4999999999999999E-2</v>
      </c>
    </row>
    <row r="280" spans="1:45" ht="14">
      <c r="A280" s="41" t="s">
        <v>92</v>
      </c>
      <c r="B280" s="50" t="s">
        <v>2333</v>
      </c>
      <c r="C280" s="50" t="s">
        <v>2334</v>
      </c>
      <c r="D280" s="48" t="s">
        <v>480</v>
      </c>
      <c r="E280" s="50" t="s">
        <v>1546</v>
      </c>
      <c r="G280" s="76" t="s">
        <v>2335</v>
      </c>
      <c r="H280" s="50">
        <v>4911</v>
      </c>
      <c r="I280" s="49" t="s">
        <v>1</v>
      </c>
      <c r="J280" s="50" t="s">
        <v>254</v>
      </c>
      <c r="K280" s="51">
        <v>41579</v>
      </c>
      <c r="L280" s="115">
        <v>41554</v>
      </c>
      <c r="N280" s="50" t="s">
        <v>2</v>
      </c>
      <c r="O280" s="131">
        <f>2/2</f>
        <v>1</v>
      </c>
      <c r="P280" s="50">
        <v>8.3000000000000007</v>
      </c>
      <c r="Q280" s="74">
        <v>6.5</v>
      </c>
      <c r="R280" s="117">
        <v>10</v>
      </c>
      <c r="S280" s="74">
        <v>7</v>
      </c>
      <c r="T280" s="50">
        <f>0.05/2</f>
        <v>2.5000000000000001E-2</v>
      </c>
      <c r="U280" s="74">
        <v>0.59</v>
      </c>
      <c r="V280" s="50">
        <v>0.32</v>
      </c>
      <c r="W280" s="74">
        <f>0.01/2</f>
        <v>5.0000000000000001E-3</v>
      </c>
      <c r="X280" s="50">
        <f>0.03/2</f>
        <v>1.4999999999999999E-2</v>
      </c>
      <c r="Y280" s="50">
        <f>0.03/2</f>
        <v>1.4999999999999999E-2</v>
      </c>
    </row>
    <row r="281" spans="1:45" ht="14">
      <c r="A281" s="41" t="s">
        <v>92</v>
      </c>
      <c r="B281" s="50" t="s">
        <v>2333</v>
      </c>
      <c r="C281" s="50" t="s">
        <v>2334</v>
      </c>
      <c r="D281" s="48" t="s">
        <v>480</v>
      </c>
      <c r="E281" s="50" t="s">
        <v>1546</v>
      </c>
      <c r="G281" s="76" t="s">
        <v>2335</v>
      </c>
      <c r="H281" s="50">
        <v>4911</v>
      </c>
      <c r="I281" s="49" t="s">
        <v>1</v>
      </c>
      <c r="J281" s="50" t="s">
        <v>2097</v>
      </c>
      <c r="K281" s="51">
        <v>41579</v>
      </c>
      <c r="L281" s="115">
        <v>41554</v>
      </c>
      <c r="N281" s="50" t="s">
        <v>2</v>
      </c>
      <c r="O281" s="131">
        <f>2/2</f>
        <v>1</v>
      </c>
      <c r="P281" s="50">
        <v>8.3000000000000007</v>
      </c>
      <c r="Q281" s="74">
        <v>6.7</v>
      </c>
      <c r="R281" s="117">
        <f>10/2</f>
        <v>5</v>
      </c>
      <c r="S281" s="74">
        <v>5</v>
      </c>
      <c r="T281" s="50">
        <f>0.05/2</f>
        <v>2.5000000000000001E-2</v>
      </c>
      <c r="U281" s="74">
        <v>0.51</v>
      </c>
      <c r="V281" s="50">
        <v>0.43</v>
      </c>
      <c r="W281" s="74">
        <f>0.01/2</f>
        <v>5.0000000000000001E-3</v>
      </c>
      <c r="X281" s="50">
        <f>0.03/2</f>
        <v>1.4999999999999999E-2</v>
      </c>
      <c r="Y281" s="50">
        <f>0.03/2</f>
        <v>1.4999999999999999E-2</v>
      </c>
    </row>
    <row r="282" spans="1:45" ht="14">
      <c r="A282" s="41" t="s">
        <v>92</v>
      </c>
      <c r="B282" s="50" t="s">
        <v>2333</v>
      </c>
      <c r="C282" s="50" t="s">
        <v>2334</v>
      </c>
      <c r="D282" s="48" t="s">
        <v>480</v>
      </c>
      <c r="E282" s="50" t="s">
        <v>1546</v>
      </c>
      <c r="G282" s="76" t="s">
        <v>2335</v>
      </c>
      <c r="H282" s="50">
        <v>4911</v>
      </c>
      <c r="I282" s="49" t="s">
        <v>1</v>
      </c>
      <c r="J282" s="50" t="s">
        <v>2159</v>
      </c>
      <c r="K282" s="51">
        <v>41579</v>
      </c>
      <c r="L282" s="115"/>
      <c r="N282" s="50" t="s">
        <v>2</v>
      </c>
      <c r="O282" s="131">
        <f>2/2</f>
        <v>1</v>
      </c>
      <c r="P282" s="50">
        <v>8.3000000000000007</v>
      </c>
      <c r="Q282" s="74">
        <v>8.1999999999999993</v>
      </c>
      <c r="R282" s="117">
        <f>10/2</f>
        <v>5</v>
      </c>
      <c r="S282" s="74">
        <v>17</v>
      </c>
      <c r="T282" s="50">
        <f>0.05/2</f>
        <v>2.5000000000000001E-2</v>
      </c>
      <c r="U282" s="74">
        <v>0.33</v>
      </c>
      <c r="V282" s="50">
        <v>1.44</v>
      </c>
      <c r="W282" s="74">
        <v>0.01</v>
      </c>
      <c r="X282" s="50">
        <v>0.72199999999999998</v>
      </c>
      <c r="Y282" s="50">
        <f>0.03/2</f>
        <v>1.4999999999999999E-2</v>
      </c>
      <c r="AE282" s="50">
        <v>1.28</v>
      </c>
    </row>
    <row r="283" spans="1:45" ht="14">
      <c r="A283" s="41" t="s">
        <v>92</v>
      </c>
      <c r="B283" s="50" t="s">
        <v>1192</v>
      </c>
      <c r="C283" s="50" t="s">
        <v>1193</v>
      </c>
      <c r="D283" s="48" t="s">
        <v>397</v>
      </c>
      <c r="E283" s="50" t="s">
        <v>398</v>
      </c>
      <c r="G283" s="76" t="s">
        <v>1194</v>
      </c>
      <c r="H283" s="50">
        <v>4911</v>
      </c>
      <c r="I283" s="49" t="s">
        <v>1</v>
      </c>
      <c r="J283" s="50" t="s">
        <v>1530</v>
      </c>
      <c r="K283" s="51">
        <v>41710</v>
      </c>
      <c r="L283" s="115">
        <v>41689</v>
      </c>
      <c r="M283" s="50">
        <f>K283-L283</f>
        <v>21</v>
      </c>
      <c r="N283" s="50" t="s">
        <v>2</v>
      </c>
      <c r="O283" s="131"/>
      <c r="R283" s="117"/>
      <c r="AE283" s="50">
        <v>3.59</v>
      </c>
    </row>
    <row r="284" spans="1:45" ht="14">
      <c r="A284" s="41" t="s">
        <v>92</v>
      </c>
      <c r="B284" s="50" t="s">
        <v>5054</v>
      </c>
      <c r="C284" s="50" t="s">
        <v>5054</v>
      </c>
      <c r="D284" s="48" t="s">
        <v>133</v>
      </c>
      <c r="E284" s="50" t="s">
        <v>140</v>
      </c>
      <c r="G284" s="76" t="s">
        <v>5055</v>
      </c>
      <c r="H284" s="50">
        <v>4931</v>
      </c>
      <c r="I284" s="49" t="s">
        <v>1</v>
      </c>
      <c r="J284" s="50" t="s">
        <v>5056</v>
      </c>
      <c r="K284" s="51">
        <v>41781</v>
      </c>
      <c r="L284" s="115">
        <v>41776</v>
      </c>
      <c r="N284" s="50" t="s">
        <v>2</v>
      </c>
      <c r="O284" s="131"/>
      <c r="R284" s="117"/>
      <c r="X284" s="50">
        <v>9.1999999999999998E-2</v>
      </c>
    </row>
    <row r="285" spans="1:45" ht="14">
      <c r="A285" s="41" t="s">
        <v>92</v>
      </c>
      <c r="B285" s="50" t="s">
        <v>5054</v>
      </c>
      <c r="C285" s="50" t="s">
        <v>5054</v>
      </c>
      <c r="D285" s="48" t="s">
        <v>133</v>
      </c>
      <c r="E285" s="50" t="s">
        <v>140</v>
      </c>
      <c r="G285" s="76" t="s">
        <v>5055</v>
      </c>
      <c r="H285" s="50">
        <v>4931</v>
      </c>
      <c r="I285" s="49" t="s">
        <v>1</v>
      </c>
      <c r="J285" s="50" t="s">
        <v>5913</v>
      </c>
      <c r="K285" s="51">
        <v>41781</v>
      </c>
      <c r="L285" s="115">
        <v>41776</v>
      </c>
      <c r="N285" s="50" t="s">
        <v>2</v>
      </c>
      <c r="O285" s="131"/>
      <c r="R285" s="117"/>
      <c r="AE285" s="50">
        <v>12.5</v>
      </c>
    </row>
    <row r="286" spans="1:45" ht="14">
      <c r="A286" s="41" t="s">
        <v>92</v>
      </c>
      <c r="B286" s="50" t="s">
        <v>5800</v>
      </c>
      <c r="C286" s="50" t="s">
        <v>164</v>
      </c>
      <c r="D286" s="48" t="s">
        <v>165</v>
      </c>
      <c r="E286" s="50" t="s">
        <v>3795</v>
      </c>
      <c r="G286" s="76" t="s">
        <v>168</v>
      </c>
      <c r="H286" s="50">
        <v>4911</v>
      </c>
      <c r="I286" s="49" t="s">
        <v>1</v>
      </c>
      <c r="J286" s="50" t="s">
        <v>169</v>
      </c>
      <c r="K286" s="51">
        <v>41744</v>
      </c>
      <c r="L286" s="115">
        <v>41737</v>
      </c>
      <c r="N286" s="50" t="s">
        <v>2</v>
      </c>
      <c r="O286" s="131"/>
      <c r="R286" s="117">
        <v>348</v>
      </c>
      <c r="T286" s="50">
        <v>3.32</v>
      </c>
      <c r="U286" s="74">
        <v>34.700000000000003</v>
      </c>
      <c r="V286" s="50">
        <v>2.2599999999999998</v>
      </c>
      <c r="X286" s="50">
        <v>0.65400000000000003</v>
      </c>
      <c r="AI286" s="74" t="s">
        <v>1535</v>
      </c>
    </row>
    <row r="287" spans="1:45" ht="14">
      <c r="A287" s="41" t="s">
        <v>92</v>
      </c>
      <c r="B287" s="50" t="s">
        <v>5800</v>
      </c>
      <c r="C287" s="50" t="s">
        <v>164</v>
      </c>
      <c r="D287" s="48" t="s">
        <v>165</v>
      </c>
      <c r="E287" s="50" t="s">
        <v>3795</v>
      </c>
      <c r="G287" s="76" t="s">
        <v>168</v>
      </c>
      <c r="H287" s="50">
        <v>4911</v>
      </c>
      <c r="J287" s="50" t="s">
        <v>170</v>
      </c>
      <c r="K287" s="51">
        <v>41744</v>
      </c>
      <c r="L287" s="115">
        <v>41737</v>
      </c>
      <c r="N287" s="50" t="s">
        <v>2</v>
      </c>
      <c r="O287" s="131"/>
      <c r="R287" s="117"/>
      <c r="T287" s="50">
        <v>1.68</v>
      </c>
      <c r="X287" s="50">
        <v>0.16300000000000001</v>
      </c>
    </row>
    <row r="288" spans="1:45" ht="14">
      <c r="A288" s="41" t="s">
        <v>92</v>
      </c>
      <c r="B288" s="50" t="s">
        <v>5800</v>
      </c>
      <c r="C288" s="50" t="s">
        <v>164</v>
      </c>
      <c r="D288" s="48" t="s">
        <v>165</v>
      </c>
      <c r="E288" s="50" t="s">
        <v>3795</v>
      </c>
      <c r="G288" s="76" t="s">
        <v>168</v>
      </c>
      <c r="H288" s="50">
        <v>4911</v>
      </c>
      <c r="I288" s="49" t="s">
        <v>1</v>
      </c>
      <c r="J288" s="50" t="s">
        <v>171</v>
      </c>
      <c r="K288" s="51">
        <v>41744</v>
      </c>
      <c r="L288" s="115">
        <v>41737</v>
      </c>
      <c r="N288" s="50" t="s">
        <v>2</v>
      </c>
      <c r="O288" s="131"/>
      <c r="R288" s="117"/>
      <c r="T288" s="50">
        <v>0.61</v>
      </c>
      <c r="U288" s="74">
        <v>6.62</v>
      </c>
      <c r="X288" s="50">
        <v>0.54300000000000004</v>
      </c>
      <c r="AE288" s="50">
        <v>0.245</v>
      </c>
      <c r="AI288" s="74">
        <v>1160</v>
      </c>
    </row>
    <row r="289" spans="1:37" ht="14">
      <c r="A289" s="41" t="s">
        <v>92</v>
      </c>
      <c r="B289" s="50" t="s">
        <v>5800</v>
      </c>
      <c r="C289" s="50" t="s">
        <v>164</v>
      </c>
      <c r="D289" s="48" t="s">
        <v>165</v>
      </c>
      <c r="E289" s="50" t="s">
        <v>3795</v>
      </c>
      <c r="G289" s="76" t="s">
        <v>168</v>
      </c>
      <c r="H289" s="50">
        <v>4911</v>
      </c>
      <c r="I289" s="49" t="s">
        <v>1</v>
      </c>
      <c r="J289" s="50" t="s">
        <v>173</v>
      </c>
      <c r="K289" s="51">
        <v>41744</v>
      </c>
      <c r="L289" s="115">
        <v>41737</v>
      </c>
      <c r="N289" s="50" t="s">
        <v>2</v>
      </c>
      <c r="O289" s="131"/>
      <c r="R289" s="117"/>
      <c r="X289" s="50">
        <v>0.35799999999999998</v>
      </c>
      <c r="AE289" s="50">
        <v>1.2050000000000001</v>
      </c>
      <c r="AI289" s="74">
        <v>50</v>
      </c>
    </row>
    <row r="290" spans="1:37" ht="14">
      <c r="A290" s="41" t="s">
        <v>92</v>
      </c>
      <c r="B290" s="50" t="s">
        <v>5800</v>
      </c>
      <c r="C290" s="50" t="s">
        <v>164</v>
      </c>
      <c r="D290" s="48" t="s">
        <v>165</v>
      </c>
      <c r="E290" s="50" t="s">
        <v>3795</v>
      </c>
      <c r="G290" s="76" t="s">
        <v>168</v>
      </c>
      <c r="H290" s="50">
        <v>4911</v>
      </c>
      <c r="I290" s="49" t="s">
        <v>1</v>
      </c>
      <c r="J290" s="50" t="s">
        <v>175</v>
      </c>
      <c r="K290" s="51">
        <v>41744</v>
      </c>
      <c r="L290" s="115">
        <v>41737</v>
      </c>
      <c r="N290" s="50" t="s">
        <v>2</v>
      </c>
      <c r="O290" s="131"/>
      <c r="R290" s="117">
        <v>84.8</v>
      </c>
      <c r="T290" s="50">
        <v>1.65</v>
      </c>
      <c r="U290" s="74">
        <v>5.7</v>
      </c>
      <c r="V290" s="50">
        <v>2.5</v>
      </c>
      <c r="X290" s="50">
        <v>0.32300000000000001</v>
      </c>
    </row>
    <row r="291" spans="1:37" ht="14">
      <c r="A291" s="41" t="s">
        <v>92</v>
      </c>
      <c r="B291" s="50" t="s">
        <v>5800</v>
      </c>
      <c r="C291" s="50" t="s">
        <v>164</v>
      </c>
      <c r="D291" s="48" t="s">
        <v>165</v>
      </c>
      <c r="E291" s="50" t="s">
        <v>3795</v>
      </c>
      <c r="G291" s="76" t="s">
        <v>168</v>
      </c>
      <c r="H291" s="50">
        <v>4911</v>
      </c>
      <c r="I291" s="49" t="s">
        <v>1</v>
      </c>
      <c r="J291" s="50" t="s">
        <v>176</v>
      </c>
      <c r="K291" s="51">
        <v>41744</v>
      </c>
      <c r="L291" s="115">
        <v>41737</v>
      </c>
      <c r="N291" s="50" t="s">
        <v>2</v>
      </c>
      <c r="O291" s="131"/>
      <c r="R291" s="117"/>
      <c r="T291" s="50">
        <v>1</v>
      </c>
      <c r="U291" s="74">
        <v>2.88</v>
      </c>
      <c r="X291" s="50">
        <v>0.21199999999999999</v>
      </c>
      <c r="AI291" s="74" t="s">
        <v>1535</v>
      </c>
    </row>
    <row r="292" spans="1:37" ht="14">
      <c r="A292" s="41" t="s">
        <v>92</v>
      </c>
      <c r="B292" s="50" t="s">
        <v>5800</v>
      </c>
      <c r="C292" s="50" t="s">
        <v>164</v>
      </c>
      <c r="D292" s="48" t="s">
        <v>165</v>
      </c>
      <c r="E292" s="50" t="s">
        <v>3795</v>
      </c>
      <c r="G292" s="76" t="s">
        <v>168</v>
      </c>
      <c r="H292" s="50">
        <v>4911</v>
      </c>
      <c r="I292" s="49" t="s">
        <v>1</v>
      </c>
      <c r="J292" s="50" t="s">
        <v>177</v>
      </c>
      <c r="K292" s="51">
        <v>41744</v>
      </c>
      <c r="L292" s="115">
        <v>41737</v>
      </c>
      <c r="N292" s="50" t="s">
        <v>2</v>
      </c>
      <c r="O292" s="131"/>
      <c r="R292" s="117"/>
      <c r="V292" s="50">
        <v>0.76</v>
      </c>
    </row>
    <row r="293" spans="1:37" ht="14">
      <c r="A293" s="41" t="s">
        <v>92</v>
      </c>
      <c r="B293" s="50" t="s">
        <v>5800</v>
      </c>
      <c r="C293" s="50" t="s">
        <v>164</v>
      </c>
      <c r="D293" s="48" t="s">
        <v>165</v>
      </c>
      <c r="E293" s="50" t="s">
        <v>3795</v>
      </c>
      <c r="G293" s="76" t="s">
        <v>168</v>
      </c>
      <c r="H293" s="50">
        <v>4911</v>
      </c>
      <c r="I293" s="49" t="s">
        <v>1</v>
      </c>
      <c r="J293" s="50" t="s">
        <v>178</v>
      </c>
      <c r="K293" s="51">
        <v>41744</v>
      </c>
      <c r="L293" s="115">
        <v>41737</v>
      </c>
      <c r="N293" s="50" t="s">
        <v>2</v>
      </c>
      <c r="O293" s="131"/>
      <c r="R293" s="117"/>
      <c r="X293" s="50">
        <v>0.17399999999999999</v>
      </c>
    </row>
    <row r="294" spans="1:37" ht="14">
      <c r="A294" s="41" t="s">
        <v>92</v>
      </c>
      <c r="B294" s="50" t="s">
        <v>5800</v>
      </c>
      <c r="C294" s="50" t="s">
        <v>164</v>
      </c>
      <c r="D294" s="48" t="s">
        <v>165</v>
      </c>
      <c r="E294" s="50" t="s">
        <v>3795</v>
      </c>
      <c r="G294" s="76" t="s">
        <v>168</v>
      </c>
      <c r="H294" s="50">
        <v>4911</v>
      </c>
      <c r="I294" s="49" t="s">
        <v>1</v>
      </c>
      <c r="J294" s="50" t="s">
        <v>179</v>
      </c>
      <c r="K294" s="51">
        <v>41744</v>
      </c>
      <c r="L294" s="115">
        <v>41737</v>
      </c>
      <c r="N294" s="50" t="s">
        <v>2</v>
      </c>
      <c r="O294" s="131">
        <v>5.3</v>
      </c>
      <c r="R294" s="117">
        <v>139</v>
      </c>
      <c r="S294" s="74">
        <v>397</v>
      </c>
      <c r="X294" s="50">
        <v>0.154</v>
      </c>
      <c r="AE294" s="50">
        <v>19.384</v>
      </c>
    </row>
    <row r="295" spans="1:37" ht="14">
      <c r="A295" s="41" t="s">
        <v>92</v>
      </c>
      <c r="B295" s="50" t="s">
        <v>5800</v>
      </c>
      <c r="C295" s="50" t="s">
        <v>164</v>
      </c>
      <c r="D295" s="48" t="s">
        <v>165</v>
      </c>
      <c r="E295" s="50" t="s">
        <v>3795</v>
      </c>
      <c r="G295" s="76" t="s">
        <v>168</v>
      </c>
      <c r="H295" s="50">
        <v>4911</v>
      </c>
      <c r="I295" s="49" t="s">
        <v>1</v>
      </c>
      <c r="J295" s="50" t="s">
        <v>180</v>
      </c>
      <c r="K295" s="51">
        <v>41744</v>
      </c>
      <c r="L295" s="115">
        <v>41737</v>
      </c>
      <c r="N295" s="50" t="s">
        <v>2</v>
      </c>
      <c r="O295" s="131"/>
      <c r="R295" s="117"/>
      <c r="T295" s="50">
        <v>0.31</v>
      </c>
      <c r="U295" s="74">
        <v>1.39</v>
      </c>
      <c r="X295" s="50">
        <v>9.6000000000000002E-2</v>
      </c>
    </row>
    <row r="296" spans="1:37" ht="14">
      <c r="A296" s="41" t="s">
        <v>92</v>
      </c>
      <c r="B296" s="50" t="s">
        <v>5800</v>
      </c>
      <c r="C296" s="50" t="s">
        <v>164</v>
      </c>
      <c r="D296" s="48" t="s">
        <v>165</v>
      </c>
      <c r="E296" s="50" t="s">
        <v>3795</v>
      </c>
      <c r="G296" s="76" t="s">
        <v>168</v>
      </c>
      <c r="H296" s="50">
        <v>4911</v>
      </c>
      <c r="I296" s="49" t="s">
        <v>2</v>
      </c>
      <c r="J296" s="50" t="s">
        <v>181</v>
      </c>
      <c r="K296" s="51">
        <v>41744</v>
      </c>
      <c r="L296" s="115">
        <v>41737</v>
      </c>
      <c r="N296" s="50" t="s">
        <v>2</v>
      </c>
      <c r="O296" s="131"/>
      <c r="P296" s="50">
        <v>4.8</v>
      </c>
      <c r="Q296" s="74">
        <v>7.3</v>
      </c>
      <c r="R296" s="117"/>
      <c r="X296" s="50">
        <v>0.155</v>
      </c>
    </row>
    <row r="297" spans="1:37" ht="14">
      <c r="A297" s="41" t="s">
        <v>92</v>
      </c>
      <c r="B297" s="50" t="s">
        <v>5800</v>
      </c>
      <c r="C297" s="50" t="s">
        <v>164</v>
      </c>
      <c r="D297" s="48" t="s">
        <v>165</v>
      </c>
      <c r="E297" s="50" t="s">
        <v>3795</v>
      </c>
      <c r="G297" s="76" t="s">
        <v>168</v>
      </c>
      <c r="H297" s="50">
        <v>4911</v>
      </c>
      <c r="I297" s="49" t="s">
        <v>1</v>
      </c>
      <c r="J297" s="50" t="s">
        <v>182</v>
      </c>
      <c r="K297" s="51">
        <v>41809</v>
      </c>
      <c r="L297" s="115">
        <v>41803</v>
      </c>
      <c r="N297" s="50" t="s">
        <v>2</v>
      </c>
      <c r="O297" s="131"/>
      <c r="R297" s="117"/>
      <c r="AI297" s="74">
        <v>1480</v>
      </c>
    </row>
    <row r="298" spans="1:37" ht="14">
      <c r="A298" s="41" t="s">
        <v>92</v>
      </c>
      <c r="B298" s="50" t="s">
        <v>2333</v>
      </c>
      <c r="C298" s="50" t="s">
        <v>2334</v>
      </c>
      <c r="D298" s="48" t="s">
        <v>480</v>
      </c>
      <c r="E298" s="50" t="s">
        <v>1546</v>
      </c>
      <c r="G298" s="76" t="s">
        <v>2335</v>
      </c>
      <c r="H298" s="50">
        <v>4911</v>
      </c>
      <c r="I298" s="49" t="s">
        <v>1</v>
      </c>
      <c r="J298" s="50" t="s">
        <v>255</v>
      </c>
      <c r="K298" s="51">
        <v>41759</v>
      </c>
      <c r="L298" s="115">
        <v>41744</v>
      </c>
      <c r="N298" s="50" t="s">
        <v>2</v>
      </c>
      <c r="O298" s="131">
        <f>2/2</f>
        <v>1</v>
      </c>
      <c r="P298" s="50">
        <v>7.1</v>
      </c>
      <c r="Q298" s="74">
        <v>7.4</v>
      </c>
      <c r="R298" s="117">
        <f>10/2</f>
        <v>5</v>
      </c>
      <c r="S298" s="74">
        <v>5</v>
      </c>
      <c r="T298" s="50">
        <f>0.01/2</f>
        <v>5.0000000000000001E-3</v>
      </c>
      <c r="U298" s="74">
        <v>0.36</v>
      </c>
      <c r="V298" s="50">
        <f>0.1/2</f>
        <v>0.05</v>
      </c>
      <c r="W298" s="74">
        <f>0.01/2</f>
        <v>5.0000000000000001E-3</v>
      </c>
      <c r="X298" s="50">
        <f>0.03/2</f>
        <v>1.4999999999999999E-2</v>
      </c>
      <c r="Y298" s="50">
        <f>0.03/2</f>
        <v>1.4999999999999999E-2</v>
      </c>
    </row>
    <row r="299" spans="1:37" ht="14">
      <c r="A299" s="41" t="s">
        <v>92</v>
      </c>
      <c r="B299" s="50" t="s">
        <v>2333</v>
      </c>
      <c r="C299" s="50" t="s">
        <v>2334</v>
      </c>
      <c r="D299" s="48" t="s">
        <v>480</v>
      </c>
      <c r="E299" s="50" t="s">
        <v>1546</v>
      </c>
      <c r="G299" s="76" t="s">
        <v>2335</v>
      </c>
      <c r="H299" s="50">
        <v>4911</v>
      </c>
      <c r="I299" s="49" t="s">
        <v>1</v>
      </c>
      <c r="J299" s="50" t="s">
        <v>254</v>
      </c>
      <c r="K299" s="51">
        <v>41759</v>
      </c>
      <c r="L299" s="115">
        <v>41744</v>
      </c>
      <c r="N299" s="50" t="s">
        <v>2</v>
      </c>
      <c r="O299" s="131">
        <f>2/2</f>
        <v>1</v>
      </c>
      <c r="P299" s="50">
        <v>7.1</v>
      </c>
      <c r="Q299" s="74">
        <v>6.8</v>
      </c>
      <c r="R299" s="117">
        <f>10/2</f>
        <v>5</v>
      </c>
      <c r="S299" s="74">
        <v>4</v>
      </c>
      <c r="T299" s="50">
        <f>0.05/2</f>
        <v>2.5000000000000001E-2</v>
      </c>
      <c r="U299" s="74">
        <v>0.35</v>
      </c>
      <c r="V299" s="50">
        <v>0.15</v>
      </c>
      <c r="W299" s="74">
        <f>0.01/2</f>
        <v>5.0000000000000001E-3</v>
      </c>
      <c r="X299" s="50">
        <f>0.03/2</f>
        <v>1.4999999999999999E-2</v>
      </c>
      <c r="Y299" s="50">
        <f>0.03/2</f>
        <v>1.4999999999999999E-2</v>
      </c>
      <c r="AE299" s="50">
        <v>0.3</v>
      </c>
    </row>
    <row r="300" spans="1:37" ht="14">
      <c r="A300" s="41" t="s">
        <v>92</v>
      </c>
      <c r="B300" s="50" t="s">
        <v>2333</v>
      </c>
      <c r="C300" s="50" t="s">
        <v>2334</v>
      </c>
      <c r="D300" s="48" t="s">
        <v>480</v>
      </c>
      <c r="E300" s="50" t="s">
        <v>1546</v>
      </c>
      <c r="G300" s="76" t="s">
        <v>2335</v>
      </c>
      <c r="H300" s="50">
        <v>4911</v>
      </c>
      <c r="I300" s="49" t="s">
        <v>1</v>
      </c>
      <c r="J300" s="50" t="s">
        <v>2097</v>
      </c>
      <c r="K300" s="51">
        <v>41759</v>
      </c>
      <c r="L300" s="115">
        <v>41744</v>
      </c>
      <c r="N300" s="50" t="s">
        <v>2</v>
      </c>
      <c r="O300" s="131">
        <f t="shared" ref="O300:O302" si="10">2/2</f>
        <v>1</v>
      </c>
      <c r="P300" s="50">
        <v>7.1</v>
      </c>
      <c r="Q300" s="74">
        <v>6.7</v>
      </c>
      <c r="R300" s="117">
        <f>10/2</f>
        <v>5</v>
      </c>
      <c r="S300" s="74">
        <v>9</v>
      </c>
      <c r="T300" s="50">
        <f t="shared" ref="T300:T302" si="11">0.05/2</f>
        <v>2.5000000000000001E-2</v>
      </c>
      <c r="U300" s="74">
        <v>0.36</v>
      </c>
      <c r="V300" s="50">
        <v>0.17</v>
      </c>
      <c r="W300" s="74">
        <f t="shared" ref="W300:W302" si="12">0.01/2</f>
        <v>5.0000000000000001E-3</v>
      </c>
      <c r="X300" s="50">
        <f t="shared" ref="X300:Y302" si="13">0.03/2</f>
        <v>1.4999999999999999E-2</v>
      </c>
      <c r="Y300" s="50">
        <f t="shared" si="13"/>
        <v>1.4999999999999999E-2</v>
      </c>
    </row>
    <row r="301" spans="1:37" ht="14">
      <c r="A301" s="41" t="s">
        <v>92</v>
      </c>
      <c r="B301" s="50" t="s">
        <v>2333</v>
      </c>
      <c r="C301" s="50" t="s">
        <v>2334</v>
      </c>
      <c r="D301" s="48" t="s">
        <v>480</v>
      </c>
      <c r="E301" s="50" t="s">
        <v>1546</v>
      </c>
      <c r="G301" s="76" t="s">
        <v>2335</v>
      </c>
      <c r="H301" s="50">
        <v>4911</v>
      </c>
      <c r="I301" s="49" t="s">
        <v>1</v>
      </c>
      <c r="J301" s="50" t="s">
        <v>171</v>
      </c>
      <c r="K301" s="51">
        <v>41759</v>
      </c>
      <c r="L301" s="115">
        <v>11063</v>
      </c>
      <c r="N301" s="50" t="s">
        <v>2</v>
      </c>
      <c r="O301" s="131">
        <f t="shared" si="10"/>
        <v>1</v>
      </c>
      <c r="P301" s="50">
        <v>7.1</v>
      </c>
      <c r="Q301" s="74">
        <v>7.6</v>
      </c>
      <c r="R301" s="117">
        <f>10/2</f>
        <v>5</v>
      </c>
      <c r="S301" s="74">
        <v>1</v>
      </c>
      <c r="T301" s="50">
        <f t="shared" si="11"/>
        <v>2.5000000000000001E-2</v>
      </c>
      <c r="U301" s="74">
        <v>0.3</v>
      </c>
      <c r="V301" s="50">
        <v>0.13</v>
      </c>
      <c r="W301" s="74">
        <f t="shared" si="12"/>
        <v>5.0000000000000001E-3</v>
      </c>
      <c r="X301" s="50">
        <f t="shared" si="13"/>
        <v>1.4999999999999999E-2</v>
      </c>
      <c r="Y301" s="50">
        <f t="shared" si="13"/>
        <v>1.4999999999999999E-2</v>
      </c>
      <c r="AJ301" s="50">
        <f>100/2</f>
        <v>50</v>
      </c>
    </row>
    <row r="302" spans="1:37" ht="14">
      <c r="A302" s="41" t="s">
        <v>92</v>
      </c>
      <c r="B302" s="50" t="s">
        <v>2333</v>
      </c>
      <c r="C302" s="50" t="s">
        <v>2334</v>
      </c>
      <c r="D302" s="48" t="s">
        <v>480</v>
      </c>
      <c r="E302" s="50" t="s">
        <v>1546</v>
      </c>
      <c r="G302" s="76" t="s">
        <v>2335</v>
      </c>
      <c r="H302" s="50">
        <v>4911</v>
      </c>
      <c r="I302" s="49" t="s">
        <v>1</v>
      </c>
      <c r="J302" s="50" t="s">
        <v>2159</v>
      </c>
      <c r="K302" s="51">
        <v>41759</v>
      </c>
      <c r="L302" s="115">
        <v>41744</v>
      </c>
      <c r="N302" s="50" t="s">
        <v>2</v>
      </c>
      <c r="O302" s="131">
        <f t="shared" si="10"/>
        <v>1</v>
      </c>
      <c r="P302" s="50">
        <v>7.1</v>
      </c>
      <c r="Q302" s="74">
        <v>7.8</v>
      </c>
      <c r="R302" s="117">
        <f>10/2</f>
        <v>5</v>
      </c>
      <c r="S302" s="74">
        <v>9</v>
      </c>
      <c r="T302" s="50">
        <f t="shared" si="11"/>
        <v>2.5000000000000001E-2</v>
      </c>
      <c r="U302" s="74">
        <v>0.25</v>
      </c>
      <c r="V302" s="50">
        <v>0.64</v>
      </c>
      <c r="W302" s="74">
        <f t="shared" si="12"/>
        <v>5.0000000000000001E-3</v>
      </c>
      <c r="X302" s="50">
        <f t="shared" si="13"/>
        <v>1.4999999999999999E-2</v>
      </c>
      <c r="Y302" s="50">
        <f t="shared" si="13"/>
        <v>1.4999999999999999E-2</v>
      </c>
      <c r="AE302" s="50">
        <v>1.54</v>
      </c>
    </row>
    <row r="303" spans="1:37" ht="14">
      <c r="A303" s="41" t="s">
        <v>92</v>
      </c>
      <c r="B303" s="50" t="s">
        <v>1192</v>
      </c>
      <c r="C303" s="50" t="s">
        <v>1193</v>
      </c>
      <c r="D303" s="48" t="s">
        <v>397</v>
      </c>
      <c r="E303" s="50" t="s">
        <v>398</v>
      </c>
      <c r="G303" s="76" t="s">
        <v>1194</v>
      </c>
      <c r="H303" s="50">
        <v>4911</v>
      </c>
      <c r="I303" s="49" t="s">
        <v>1</v>
      </c>
      <c r="J303" s="48" t="s">
        <v>1529</v>
      </c>
      <c r="K303" s="51">
        <v>41180</v>
      </c>
      <c r="L303" s="115">
        <v>41175</v>
      </c>
      <c r="M303" s="50">
        <f t="shared" ref="M303:M308" si="14">K303-L303</f>
        <v>5</v>
      </c>
      <c r="N303" s="50" t="s">
        <v>2</v>
      </c>
      <c r="O303" s="131">
        <f>1.4/2</f>
        <v>0.7</v>
      </c>
      <c r="R303" s="117">
        <v>92</v>
      </c>
      <c r="S303" s="74">
        <v>5</v>
      </c>
      <c r="T303" s="50">
        <v>0.02</v>
      </c>
      <c r="U303" s="74">
        <v>1.08</v>
      </c>
      <c r="V303" s="50">
        <v>2.5</v>
      </c>
      <c r="W303" s="74">
        <v>9.1999999999999998E-2</v>
      </c>
      <c r="X303" s="50">
        <v>0.26</v>
      </c>
      <c r="Y303" s="50">
        <v>6.2E-2</v>
      </c>
      <c r="Z303" s="164">
        <v>1</v>
      </c>
      <c r="AA303" s="164">
        <v>1</v>
      </c>
      <c r="AB303" s="50">
        <v>36</v>
      </c>
      <c r="AC303" s="74">
        <v>142</v>
      </c>
      <c r="AD303" s="271">
        <v>0.95</v>
      </c>
      <c r="AI303" s="74">
        <f>10/2</f>
        <v>5</v>
      </c>
      <c r="AK303" s="50">
        <v>40</v>
      </c>
    </row>
    <row r="304" spans="1:37" ht="14">
      <c r="A304" s="41" t="s">
        <v>92</v>
      </c>
      <c r="B304" s="50" t="s">
        <v>1192</v>
      </c>
      <c r="C304" s="50" t="s">
        <v>1193</v>
      </c>
      <c r="D304" s="48" t="s">
        <v>397</v>
      </c>
      <c r="E304" s="50" t="s">
        <v>398</v>
      </c>
      <c r="G304" s="76" t="s">
        <v>1194</v>
      </c>
      <c r="H304" s="50">
        <v>4911</v>
      </c>
      <c r="I304" s="49" t="s">
        <v>1</v>
      </c>
      <c r="J304" s="48" t="s">
        <v>1530</v>
      </c>
      <c r="K304" s="51">
        <v>41180</v>
      </c>
      <c r="L304" s="115">
        <v>41175</v>
      </c>
      <c r="M304" s="50">
        <f t="shared" si="14"/>
        <v>5</v>
      </c>
      <c r="N304" s="50" t="s">
        <v>2</v>
      </c>
      <c r="O304" s="131">
        <f>1.4/2</f>
        <v>0.7</v>
      </c>
      <c r="R304" s="117">
        <v>37</v>
      </c>
      <c r="S304" s="74">
        <v>17</v>
      </c>
      <c r="T304" s="50">
        <v>7.0000000000000007E-2</v>
      </c>
      <c r="U304" s="74">
        <v>1.8</v>
      </c>
      <c r="V304" s="50">
        <v>1.86</v>
      </c>
      <c r="W304" s="74">
        <v>6.5000000000000002E-2</v>
      </c>
      <c r="X304" s="50">
        <v>1.05</v>
      </c>
      <c r="Y304" s="50">
        <v>2.9000000000000001E-2</v>
      </c>
      <c r="Z304" s="164">
        <v>9.8100000000000007E-2</v>
      </c>
      <c r="AA304" s="164">
        <v>9.4700000000000006E-2</v>
      </c>
      <c r="AB304" s="50">
        <v>28</v>
      </c>
      <c r="AC304" s="74">
        <v>104</v>
      </c>
      <c r="AD304" s="271">
        <v>0</v>
      </c>
      <c r="AI304" s="74">
        <v>620</v>
      </c>
      <c r="AK304" s="50">
        <v>1200</v>
      </c>
    </row>
    <row r="305" spans="1:38" ht="14">
      <c r="A305" s="41" t="s">
        <v>92</v>
      </c>
      <c r="B305" s="50" t="s">
        <v>1192</v>
      </c>
      <c r="C305" s="50" t="s">
        <v>1193</v>
      </c>
      <c r="D305" s="48" t="s">
        <v>397</v>
      </c>
      <c r="E305" s="50" t="s">
        <v>398</v>
      </c>
      <c r="G305" s="76" t="s">
        <v>1194</v>
      </c>
      <c r="H305" s="50">
        <v>4911</v>
      </c>
      <c r="I305" s="49" t="s">
        <v>1</v>
      </c>
      <c r="J305" s="48" t="s">
        <v>1531</v>
      </c>
      <c r="K305" s="51">
        <v>41180</v>
      </c>
      <c r="L305" s="115">
        <v>41175</v>
      </c>
      <c r="M305" s="50">
        <f t="shared" si="14"/>
        <v>5</v>
      </c>
      <c r="N305" s="50" t="s">
        <v>2</v>
      </c>
      <c r="O305" s="131">
        <f>1.4/2</f>
        <v>0.7</v>
      </c>
      <c r="R305" s="117">
        <v>27</v>
      </c>
      <c r="S305" s="74">
        <v>11</v>
      </c>
      <c r="T305" s="50">
        <v>0.03</v>
      </c>
      <c r="U305" s="74">
        <v>1.22</v>
      </c>
      <c r="V305" s="50">
        <v>1.34</v>
      </c>
      <c r="W305" s="74">
        <v>2.5999999999999999E-2</v>
      </c>
      <c r="X305" s="50">
        <v>0.191</v>
      </c>
      <c r="Y305" s="50">
        <v>5.0000000000000001E-3</v>
      </c>
      <c r="Z305" s="164">
        <v>0.76</v>
      </c>
      <c r="AA305" s="164">
        <v>0.5</v>
      </c>
      <c r="AB305" s="50">
        <v>12</v>
      </c>
      <c r="AC305" s="74">
        <v>49</v>
      </c>
      <c r="AD305" s="271">
        <v>0</v>
      </c>
      <c r="AI305" s="74">
        <v>1100</v>
      </c>
      <c r="AK305" s="50">
        <v>1000</v>
      </c>
    </row>
    <row r="306" spans="1:38" ht="14">
      <c r="A306" s="41" t="s">
        <v>92</v>
      </c>
      <c r="B306" s="50" t="s">
        <v>1192</v>
      </c>
      <c r="C306" s="50" t="s">
        <v>1193</v>
      </c>
      <c r="D306" s="48" t="s">
        <v>397</v>
      </c>
      <c r="E306" s="50" t="s">
        <v>398</v>
      </c>
      <c r="G306" s="76" t="s">
        <v>1194</v>
      </c>
      <c r="H306" s="50">
        <v>4911</v>
      </c>
      <c r="I306" s="49" t="s">
        <v>1</v>
      </c>
      <c r="J306" s="48" t="s">
        <v>1532</v>
      </c>
      <c r="K306" s="51">
        <v>41180</v>
      </c>
      <c r="L306" s="115">
        <v>41175</v>
      </c>
      <c r="M306" s="50">
        <f t="shared" si="14"/>
        <v>5</v>
      </c>
      <c r="N306" s="50" t="s">
        <v>2</v>
      </c>
      <c r="O306" s="131">
        <f>1.4/2</f>
        <v>0.7</v>
      </c>
      <c r="R306" s="117">
        <v>12</v>
      </c>
      <c r="S306" s="74">
        <v>11</v>
      </c>
      <c r="T306" s="50">
        <v>0.02</v>
      </c>
      <c r="U306" s="74">
        <v>0.5</v>
      </c>
      <c r="V306" s="50">
        <v>2.2599999999999998</v>
      </c>
      <c r="W306" s="74">
        <v>1.0999999999999999E-2</v>
      </c>
      <c r="X306" s="50">
        <v>7.3999999999999996E-2</v>
      </c>
      <c r="Y306" s="50">
        <v>4.0000000000000001E-3</v>
      </c>
      <c r="Z306" s="164">
        <v>1</v>
      </c>
      <c r="AA306" s="164">
        <v>1</v>
      </c>
      <c r="AB306" s="50">
        <v>38</v>
      </c>
      <c r="AC306" s="74">
        <v>209</v>
      </c>
      <c r="AD306" s="271">
        <v>0.9</v>
      </c>
      <c r="AI306" s="74">
        <v>10</v>
      </c>
      <c r="AK306" s="50">
        <v>20</v>
      </c>
    </row>
    <row r="307" spans="1:38" ht="14">
      <c r="A307" s="41" t="s">
        <v>92</v>
      </c>
      <c r="B307" s="402" t="s">
        <v>1192</v>
      </c>
      <c r="C307" s="402" t="s">
        <v>1193</v>
      </c>
      <c r="D307" s="401" t="s">
        <v>397</v>
      </c>
      <c r="E307" s="402" t="s">
        <v>398</v>
      </c>
      <c r="F307" s="402"/>
      <c r="G307" s="393" t="s">
        <v>1194</v>
      </c>
      <c r="H307" s="402">
        <v>4911</v>
      </c>
      <c r="I307" s="391" t="s">
        <v>1</v>
      </c>
      <c r="J307" s="401" t="s">
        <v>1530</v>
      </c>
      <c r="K307" s="51">
        <v>41776</v>
      </c>
      <c r="L307" s="115">
        <v>41760</v>
      </c>
      <c r="M307" s="50">
        <f t="shared" si="14"/>
        <v>16</v>
      </c>
      <c r="N307" s="50" t="s">
        <v>2</v>
      </c>
      <c r="O307" s="131"/>
      <c r="R307" s="117"/>
      <c r="AE307" s="50">
        <v>2.5299999999999998</v>
      </c>
    </row>
    <row r="308" spans="1:38" ht="14">
      <c r="A308" s="41" t="s">
        <v>92</v>
      </c>
      <c r="B308" s="402" t="s">
        <v>1192</v>
      </c>
      <c r="C308" s="402" t="s">
        <v>1193</v>
      </c>
      <c r="D308" s="401" t="s">
        <v>397</v>
      </c>
      <c r="E308" s="402" t="s">
        <v>398</v>
      </c>
      <c r="F308" s="402"/>
      <c r="G308" s="393" t="s">
        <v>1194</v>
      </c>
      <c r="H308" s="402">
        <v>4911</v>
      </c>
      <c r="I308" s="391" t="s">
        <v>1</v>
      </c>
      <c r="J308" s="401" t="s">
        <v>1529</v>
      </c>
      <c r="K308" s="51">
        <v>41834</v>
      </c>
      <c r="L308" s="115">
        <v>41824</v>
      </c>
      <c r="M308" s="50">
        <f t="shared" si="14"/>
        <v>10</v>
      </c>
      <c r="N308" s="50" t="s">
        <v>2</v>
      </c>
      <c r="O308" s="131"/>
      <c r="R308" s="117"/>
      <c r="AI308" s="74">
        <f>10/2</f>
        <v>5</v>
      </c>
      <c r="AK308" s="50">
        <v>150</v>
      </c>
    </row>
    <row r="309" spans="1:38" ht="14">
      <c r="A309" s="41" t="s">
        <v>92</v>
      </c>
      <c r="B309" s="402" t="s">
        <v>1192</v>
      </c>
      <c r="C309" s="402" t="s">
        <v>1193</v>
      </c>
      <c r="D309" s="401" t="s">
        <v>397</v>
      </c>
      <c r="E309" s="402" t="s">
        <v>398</v>
      </c>
      <c r="F309" s="402"/>
      <c r="G309" s="393" t="s">
        <v>1194</v>
      </c>
      <c r="H309" s="402">
        <v>4911</v>
      </c>
      <c r="I309" s="391" t="s">
        <v>1</v>
      </c>
      <c r="J309" s="401" t="s">
        <v>1530</v>
      </c>
      <c r="K309" s="403">
        <v>41834</v>
      </c>
      <c r="L309" s="379">
        <v>41824</v>
      </c>
      <c r="M309" s="402">
        <f t="shared" ref="M309:M313" si="15">K309-L309</f>
        <v>10</v>
      </c>
      <c r="N309" s="50" t="s">
        <v>2</v>
      </c>
      <c r="O309" s="131"/>
      <c r="R309" s="117"/>
      <c r="X309" s="50">
        <v>0.33300000000000002</v>
      </c>
      <c r="AE309" s="50">
        <v>1.29</v>
      </c>
      <c r="AI309" s="74">
        <v>40</v>
      </c>
      <c r="AK309" s="50">
        <v>340</v>
      </c>
    </row>
    <row r="310" spans="1:38" ht="14">
      <c r="A310" s="41" t="s">
        <v>92</v>
      </c>
      <c r="B310" s="402" t="s">
        <v>1192</v>
      </c>
      <c r="C310" s="402" t="s">
        <v>1193</v>
      </c>
      <c r="D310" s="401" t="s">
        <v>397</v>
      </c>
      <c r="E310" s="402" t="s">
        <v>398</v>
      </c>
      <c r="F310" s="402"/>
      <c r="G310" s="393" t="s">
        <v>1194</v>
      </c>
      <c r="H310" s="402">
        <v>4911</v>
      </c>
      <c r="I310" s="391" t="s">
        <v>1</v>
      </c>
      <c r="J310" s="401" t="s">
        <v>1531</v>
      </c>
      <c r="K310" s="403">
        <v>41834</v>
      </c>
      <c r="L310" s="379">
        <v>41824</v>
      </c>
      <c r="M310" s="402">
        <f t="shared" si="15"/>
        <v>10</v>
      </c>
      <c r="N310" s="50" t="s">
        <v>2</v>
      </c>
      <c r="O310" s="131"/>
      <c r="R310" s="117"/>
      <c r="AI310" s="74">
        <v>180</v>
      </c>
      <c r="AK310" s="50">
        <v>50</v>
      </c>
    </row>
    <row r="311" spans="1:38" ht="14">
      <c r="A311" s="41" t="s">
        <v>92</v>
      </c>
      <c r="B311" s="402" t="s">
        <v>1192</v>
      </c>
      <c r="C311" s="402" t="s">
        <v>1193</v>
      </c>
      <c r="D311" s="401" t="s">
        <v>397</v>
      </c>
      <c r="E311" s="402" t="s">
        <v>398</v>
      </c>
      <c r="F311" s="402"/>
      <c r="G311" s="393" t="s">
        <v>1194</v>
      </c>
      <c r="H311" s="402">
        <v>4911</v>
      </c>
      <c r="I311" s="391" t="s">
        <v>1</v>
      </c>
      <c r="J311" s="401" t="s">
        <v>1532</v>
      </c>
      <c r="K311" s="403">
        <v>41834</v>
      </c>
      <c r="L311" s="379">
        <v>41824</v>
      </c>
      <c r="M311" s="402">
        <f t="shared" si="15"/>
        <v>10</v>
      </c>
      <c r="N311" s="50" t="s">
        <v>2</v>
      </c>
      <c r="O311" s="131"/>
      <c r="R311" s="117"/>
      <c r="AI311" s="388" t="s">
        <v>1535</v>
      </c>
      <c r="AK311" s="50">
        <v>1400</v>
      </c>
    </row>
    <row r="312" spans="1:38" ht="14">
      <c r="A312" s="41" t="s">
        <v>92</v>
      </c>
      <c r="B312" s="402" t="s">
        <v>5054</v>
      </c>
      <c r="C312" s="402" t="s">
        <v>5054</v>
      </c>
      <c r="D312" s="401" t="s">
        <v>133</v>
      </c>
      <c r="E312" s="402" t="s">
        <v>140</v>
      </c>
      <c r="F312" s="402"/>
      <c r="G312" s="393" t="s">
        <v>5055</v>
      </c>
      <c r="H312" s="402">
        <v>4931</v>
      </c>
      <c r="I312" s="391" t="s">
        <v>1</v>
      </c>
      <c r="J312" s="402" t="s">
        <v>5056</v>
      </c>
      <c r="K312" s="51">
        <v>41809</v>
      </c>
      <c r="L312" s="115">
        <v>41803</v>
      </c>
      <c r="M312" s="402">
        <f t="shared" si="15"/>
        <v>6</v>
      </c>
      <c r="N312" s="50" t="s">
        <v>2</v>
      </c>
      <c r="O312" s="131"/>
      <c r="R312" s="117"/>
      <c r="AJ312" s="50">
        <v>40</v>
      </c>
    </row>
    <row r="313" spans="1:38" ht="14">
      <c r="A313" s="41" t="s">
        <v>92</v>
      </c>
      <c r="B313" s="402" t="s">
        <v>5054</v>
      </c>
      <c r="C313" s="402" t="s">
        <v>5054</v>
      </c>
      <c r="D313" s="401" t="s">
        <v>133</v>
      </c>
      <c r="E313" s="402" t="s">
        <v>140</v>
      </c>
      <c r="F313" s="402"/>
      <c r="G313" s="393" t="s">
        <v>5055</v>
      </c>
      <c r="H313" s="402">
        <v>4931</v>
      </c>
      <c r="I313" s="391" t="s">
        <v>1</v>
      </c>
      <c r="J313" s="402" t="s">
        <v>5913</v>
      </c>
      <c r="K313" s="51">
        <v>41809</v>
      </c>
      <c r="L313" s="115">
        <v>41803</v>
      </c>
      <c r="M313" s="402">
        <f t="shared" si="15"/>
        <v>6</v>
      </c>
      <c r="N313" s="50" t="s">
        <v>2</v>
      </c>
      <c r="O313" s="131"/>
      <c r="R313" s="117"/>
      <c r="AJ313" s="50">
        <v>10</v>
      </c>
    </row>
    <row r="314" spans="1:38" ht="14">
      <c r="A314" s="41" t="s">
        <v>92</v>
      </c>
      <c r="B314" s="402" t="s">
        <v>5800</v>
      </c>
      <c r="C314" s="113" t="s">
        <v>164</v>
      </c>
      <c r="D314" s="393" t="s">
        <v>165</v>
      </c>
      <c r="E314" s="394" t="s">
        <v>5801</v>
      </c>
      <c r="F314" s="402"/>
      <c r="G314" s="405" t="s">
        <v>168</v>
      </c>
      <c r="H314" s="404">
        <v>4911</v>
      </c>
      <c r="I314" s="402" t="s">
        <v>1</v>
      </c>
      <c r="J314" s="406" t="s">
        <v>169</v>
      </c>
      <c r="K314" s="403">
        <v>41402</v>
      </c>
      <c r="L314" s="398">
        <v>41389</v>
      </c>
      <c r="M314" s="402">
        <v>13</v>
      </c>
      <c r="N314" s="402" t="s">
        <v>2</v>
      </c>
      <c r="O314" s="404">
        <v>1.8</v>
      </c>
      <c r="P314" s="402">
        <v>4.8</v>
      </c>
      <c r="Q314" s="404">
        <v>7.3</v>
      </c>
      <c r="R314" s="402">
        <v>351</v>
      </c>
      <c r="S314" s="404">
        <v>18</v>
      </c>
      <c r="T314" s="402">
        <v>5.03</v>
      </c>
      <c r="U314" s="395">
        <v>67.8</v>
      </c>
      <c r="V314" s="402">
        <v>1.6</v>
      </c>
      <c r="W314" s="404">
        <v>3.7999999999999999E-2</v>
      </c>
      <c r="X314" s="402">
        <v>0.437</v>
      </c>
      <c r="Y314" s="404">
        <v>0.01</v>
      </c>
      <c r="Z314" s="397"/>
      <c r="AA314" s="399"/>
      <c r="AB314" s="394"/>
      <c r="AC314" s="402"/>
      <c r="AD314" s="399"/>
      <c r="AE314" s="394"/>
      <c r="AF314" s="391"/>
      <c r="AG314" s="394"/>
      <c r="AH314" s="394"/>
      <c r="AI314" s="394"/>
      <c r="AJ314" s="394"/>
      <c r="AK314" s="394"/>
      <c r="AL314" s="394"/>
    </row>
    <row r="315" spans="1:38" ht="14">
      <c r="A315" s="41" t="s">
        <v>92</v>
      </c>
      <c r="B315" s="402" t="s">
        <v>5800</v>
      </c>
      <c r="C315" s="113" t="s">
        <v>164</v>
      </c>
      <c r="D315" s="393" t="s">
        <v>165</v>
      </c>
      <c r="E315" s="394" t="s">
        <v>5801</v>
      </c>
      <c r="F315" s="402"/>
      <c r="G315" s="405" t="s">
        <v>168</v>
      </c>
      <c r="H315" s="404">
        <v>4911</v>
      </c>
      <c r="I315" s="402" t="s">
        <v>1</v>
      </c>
      <c r="J315" s="406" t="s">
        <v>170</v>
      </c>
      <c r="K315" s="403">
        <v>41402</v>
      </c>
      <c r="L315" s="398">
        <v>41389</v>
      </c>
      <c r="M315" s="402">
        <v>13</v>
      </c>
      <c r="N315" s="402" t="s">
        <v>2</v>
      </c>
      <c r="O315" s="404">
        <v>0.5</v>
      </c>
      <c r="P315" s="402">
        <v>4.8</v>
      </c>
      <c r="Q315" s="404">
        <v>6.7</v>
      </c>
      <c r="R315" s="402">
        <v>31.5</v>
      </c>
      <c r="S315" s="404">
        <v>15.3</v>
      </c>
      <c r="T315" s="402">
        <v>1.1000000000000001</v>
      </c>
      <c r="U315" s="395">
        <v>1.95</v>
      </c>
      <c r="V315" s="402">
        <v>0.12</v>
      </c>
      <c r="W315" s="404">
        <v>1.2E-2</v>
      </c>
      <c r="X315" s="402">
        <v>0.19</v>
      </c>
      <c r="Y315" s="404">
        <v>2.5000000000000001E-3</v>
      </c>
      <c r="Z315" s="397"/>
      <c r="AA315" s="399"/>
      <c r="AB315" s="394"/>
      <c r="AC315" s="402"/>
      <c r="AD315" s="399"/>
      <c r="AE315" s="394"/>
      <c r="AF315" s="391"/>
      <c r="AG315" s="394"/>
      <c r="AH315" s="394"/>
      <c r="AI315" s="394"/>
      <c r="AJ315" s="394"/>
      <c r="AK315" s="394"/>
      <c r="AL315" s="394"/>
    </row>
    <row r="316" spans="1:38" ht="14">
      <c r="A316" s="41" t="s">
        <v>92</v>
      </c>
      <c r="B316" s="402" t="s">
        <v>5800</v>
      </c>
      <c r="C316" s="113" t="s">
        <v>164</v>
      </c>
      <c r="D316" s="393" t="s">
        <v>165</v>
      </c>
      <c r="E316" s="394" t="s">
        <v>5801</v>
      </c>
      <c r="F316" s="402"/>
      <c r="G316" s="405" t="s">
        <v>168</v>
      </c>
      <c r="H316" s="404">
        <v>4911</v>
      </c>
      <c r="I316" s="402" t="s">
        <v>1</v>
      </c>
      <c r="J316" s="406" t="s">
        <v>171</v>
      </c>
      <c r="K316" s="403">
        <v>41402</v>
      </c>
      <c r="L316" s="398">
        <v>41389</v>
      </c>
      <c r="M316" s="402">
        <v>13</v>
      </c>
      <c r="N316" s="402" t="s">
        <v>2</v>
      </c>
      <c r="O316" s="404">
        <v>3.3</v>
      </c>
      <c r="P316" s="402">
        <v>4.8</v>
      </c>
      <c r="Q316" s="404">
        <v>6.8</v>
      </c>
      <c r="R316" s="402">
        <v>66.2</v>
      </c>
      <c r="S316" s="404">
        <v>116.6</v>
      </c>
      <c r="T316" s="402">
        <v>0.49</v>
      </c>
      <c r="U316" s="395">
        <v>3.95</v>
      </c>
      <c r="V316" s="402">
        <v>0.6</v>
      </c>
      <c r="W316" s="404">
        <v>2.7E-2</v>
      </c>
      <c r="X316" s="402">
        <v>0.63300000000000001</v>
      </c>
      <c r="Y316" s="404">
        <v>1.2E-2</v>
      </c>
      <c r="Z316" s="397"/>
      <c r="AA316" s="399"/>
      <c r="AB316" s="394"/>
      <c r="AC316" s="402"/>
      <c r="AD316" s="399"/>
      <c r="AE316" s="394">
        <v>4.6989999999999998</v>
      </c>
      <c r="AF316" s="391"/>
      <c r="AG316" s="394"/>
      <c r="AH316" s="394"/>
      <c r="AI316" s="394"/>
      <c r="AJ316" s="394"/>
      <c r="AK316" s="394"/>
      <c r="AL316" s="394"/>
    </row>
    <row r="317" spans="1:38" ht="14">
      <c r="A317" s="41" t="s">
        <v>92</v>
      </c>
      <c r="B317" s="402" t="s">
        <v>5800</v>
      </c>
      <c r="C317" s="113" t="s">
        <v>164</v>
      </c>
      <c r="D317" s="393" t="s">
        <v>165</v>
      </c>
      <c r="E317" s="394" t="s">
        <v>5801</v>
      </c>
      <c r="F317" s="402"/>
      <c r="G317" s="405" t="s">
        <v>168</v>
      </c>
      <c r="H317" s="404">
        <v>4911</v>
      </c>
      <c r="I317" s="402" t="s">
        <v>1</v>
      </c>
      <c r="J317" s="406" t="s">
        <v>172</v>
      </c>
      <c r="K317" s="403">
        <v>41402</v>
      </c>
      <c r="L317" s="398">
        <v>41389</v>
      </c>
      <c r="M317" s="402">
        <v>13</v>
      </c>
      <c r="N317" s="402" t="s">
        <v>2</v>
      </c>
      <c r="O317" s="404">
        <v>0.5</v>
      </c>
      <c r="P317" s="402">
        <v>4.8</v>
      </c>
      <c r="Q317" s="404">
        <v>7.7</v>
      </c>
      <c r="R317" s="402">
        <v>26.3</v>
      </c>
      <c r="S317" s="404">
        <v>12.6</v>
      </c>
      <c r="T317" s="402">
        <v>0.14000000000000001</v>
      </c>
      <c r="U317" s="395">
        <v>0.66</v>
      </c>
      <c r="V317" s="402">
        <v>0.35</v>
      </c>
      <c r="W317" s="404">
        <v>7.0000000000000001E-3</v>
      </c>
      <c r="X317" s="402">
        <v>2.7E-2</v>
      </c>
      <c r="Y317" s="404">
        <v>2.5000000000000001E-3</v>
      </c>
      <c r="Z317" s="397"/>
      <c r="AA317" s="399"/>
      <c r="AB317" s="394"/>
      <c r="AC317" s="402"/>
      <c r="AD317" s="399"/>
      <c r="AE317" s="394"/>
      <c r="AF317" s="391"/>
      <c r="AG317" s="394"/>
      <c r="AH317" s="394"/>
      <c r="AI317" s="394"/>
      <c r="AJ317" s="394"/>
      <c r="AK317" s="394"/>
      <c r="AL317" s="394"/>
    </row>
    <row r="318" spans="1:38" ht="14">
      <c r="A318" s="41" t="s">
        <v>92</v>
      </c>
      <c r="B318" s="402" t="s">
        <v>5800</v>
      </c>
      <c r="C318" s="113" t="s">
        <v>164</v>
      </c>
      <c r="D318" s="393" t="s">
        <v>165</v>
      </c>
      <c r="E318" s="394" t="s">
        <v>5801</v>
      </c>
      <c r="F318" s="402"/>
      <c r="G318" s="405" t="s">
        <v>168</v>
      </c>
      <c r="H318" s="404">
        <v>4911</v>
      </c>
      <c r="I318" s="402" t="s">
        <v>1</v>
      </c>
      <c r="J318" s="406" t="s">
        <v>173</v>
      </c>
      <c r="K318" s="403">
        <v>41402</v>
      </c>
      <c r="L318" s="398">
        <v>41389</v>
      </c>
      <c r="M318" s="402">
        <v>13</v>
      </c>
      <c r="N318" s="402" t="s">
        <v>2</v>
      </c>
      <c r="O318" s="404">
        <v>2.1</v>
      </c>
      <c r="P318" s="402">
        <v>4.8</v>
      </c>
      <c r="Q318" s="404">
        <v>6.4</v>
      </c>
      <c r="R318" s="402">
        <v>42.4</v>
      </c>
      <c r="S318" s="404">
        <v>76.599999999999994</v>
      </c>
      <c r="T318" s="402">
        <v>0.3</v>
      </c>
      <c r="U318" s="395">
        <v>1.1499999999999999</v>
      </c>
      <c r="V318" s="402">
        <v>0.32</v>
      </c>
      <c r="W318" s="404">
        <v>1.9E-2</v>
      </c>
      <c r="X318" s="402">
        <v>0.215</v>
      </c>
      <c r="Y318" s="404">
        <v>8.0000000000000002E-3</v>
      </c>
      <c r="Z318" s="397"/>
      <c r="AA318" s="399"/>
      <c r="AB318" s="394"/>
      <c r="AC318" s="402"/>
      <c r="AD318" s="399"/>
      <c r="AE318" s="394">
        <v>3.3570000000000002</v>
      </c>
      <c r="AF318" s="391"/>
      <c r="AG318" s="394"/>
      <c r="AH318" s="394"/>
      <c r="AI318" s="394"/>
      <c r="AJ318" s="394"/>
      <c r="AK318" s="394"/>
      <c r="AL318" s="394"/>
    </row>
    <row r="319" spans="1:38" ht="14">
      <c r="A319" s="41" t="s">
        <v>92</v>
      </c>
      <c r="B319" s="402" t="s">
        <v>5800</v>
      </c>
      <c r="C319" s="113" t="s">
        <v>164</v>
      </c>
      <c r="D319" s="393" t="s">
        <v>165</v>
      </c>
      <c r="E319" s="394" t="s">
        <v>5801</v>
      </c>
      <c r="F319" s="402"/>
      <c r="G319" s="405" t="s">
        <v>168</v>
      </c>
      <c r="H319" s="404">
        <v>4911</v>
      </c>
      <c r="I319" s="402" t="s">
        <v>1</v>
      </c>
      <c r="J319" s="406" t="s">
        <v>174</v>
      </c>
      <c r="K319" s="403">
        <v>41402</v>
      </c>
      <c r="L319" s="398">
        <v>41389</v>
      </c>
      <c r="M319" s="402">
        <v>13</v>
      </c>
      <c r="N319" s="402" t="s">
        <v>2</v>
      </c>
      <c r="O319" s="404">
        <v>1.6</v>
      </c>
      <c r="P319" s="402">
        <v>4.8</v>
      </c>
      <c r="Q319" s="404">
        <v>6.6</v>
      </c>
      <c r="R319" s="402">
        <v>37.9</v>
      </c>
      <c r="S319" s="404">
        <v>42</v>
      </c>
      <c r="T319" s="402">
        <v>0.25</v>
      </c>
      <c r="U319" s="395">
        <v>1.42</v>
      </c>
      <c r="V319" s="402">
        <v>0.28000000000000003</v>
      </c>
      <c r="W319" s="404">
        <v>1.0999999999999999E-2</v>
      </c>
      <c r="X319" s="402">
        <v>4.9000000000000002E-2</v>
      </c>
      <c r="Y319" s="404">
        <v>8.9999999999999993E-3</v>
      </c>
      <c r="Z319" s="397"/>
      <c r="AA319" s="399"/>
      <c r="AB319" s="394"/>
      <c r="AC319" s="402"/>
      <c r="AD319" s="399"/>
      <c r="AE319" s="394"/>
      <c r="AF319" s="391"/>
      <c r="AG319" s="394"/>
      <c r="AH319" s="394"/>
      <c r="AI319" s="394"/>
      <c r="AJ319" s="394"/>
      <c r="AK319" s="394"/>
      <c r="AL319" s="394"/>
    </row>
    <row r="320" spans="1:38" ht="14">
      <c r="A320" s="41" t="s">
        <v>92</v>
      </c>
      <c r="B320" s="402" t="s">
        <v>5800</v>
      </c>
      <c r="C320" s="113" t="s">
        <v>164</v>
      </c>
      <c r="D320" s="393" t="s">
        <v>165</v>
      </c>
      <c r="E320" s="394" t="s">
        <v>5801</v>
      </c>
      <c r="F320" s="402"/>
      <c r="G320" s="405" t="s">
        <v>168</v>
      </c>
      <c r="H320" s="404">
        <v>4911</v>
      </c>
      <c r="I320" s="402" t="s">
        <v>1</v>
      </c>
      <c r="J320" s="406" t="s">
        <v>175</v>
      </c>
      <c r="K320" s="403">
        <v>41402</v>
      </c>
      <c r="L320" s="398">
        <v>41389</v>
      </c>
      <c r="M320" s="402">
        <v>13</v>
      </c>
      <c r="N320" s="402" t="s">
        <v>2</v>
      </c>
      <c r="O320" s="404">
        <v>5.2</v>
      </c>
      <c r="P320" s="402">
        <v>4.8</v>
      </c>
      <c r="Q320" s="404">
        <v>7.4</v>
      </c>
      <c r="R320" s="402">
        <v>334</v>
      </c>
      <c r="S320" s="404">
        <v>113.7</v>
      </c>
      <c r="T320" s="402">
        <v>6.99</v>
      </c>
      <c r="U320" s="395">
        <v>77.3</v>
      </c>
      <c r="V320" s="402">
        <v>1.6</v>
      </c>
      <c r="W320" s="404">
        <v>0.05</v>
      </c>
      <c r="X320" s="402">
        <v>0.68300000000000005</v>
      </c>
      <c r="Y320" s="404">
        <v>1.7000000000000001E-2</v>
      </c>
      <c r="Z320" s="397"/>
      <c r="AA320" s="399"/>
      <c r="AB320" s="394"/>
      <c r="AC320" s="402"/>
      <c r="AD320" s="399"/>
      <c r="AE320" s="394"/>
      <c r="AF320" s="391"/>
      <c r="AG320" s="394"/>
      <c r="AH320" s="394"/>
      <c r="AI320" s="394"/>
      <c r="AJ320" s="394"/>
      <c r="AK320" s="394"/>
      <c r="AL320" s="394"/>
    </row>
    <row r="321" spans="1:38" ht="14">
      <c r="A321" s="41" t="s">
        <v>92</v>
      </c>
      <c r="B321" s="402" t="s">
        <v>5800</v>
      </c>
      <c r="C321" s="113" t="s">
        <v>164</v>
      </c>
      <c r="D321" s="393" t="s">
        <v>165</v>
      </c>
      <c r="E321" s="394" t="s">
        <v>5801</v>
      </c>
      <c r="F321" s="402"/>
      <c r="G321" s="405" t="s">
        <v>168</v>
      </c>
      <c r="H321" s="404">
        <v>4911</v>
      </c>
      <c r="I321" s="402" t="s">
        <v>1</v>
      </c>
      <c r="J321" s="406" t="s">
        <v>176</v>
      </c>
      <c r="K321" s="403">
        <v>41402</v>
      </c>
      <c r="L321" s="398">
        <v>41389</v>
      </c>
      <c r="M321" s="402">
        <v>13</v>
      </c>
      <c r="N321" s="402" t="s">
        <v>2</v>
      </c>
      <c r="O321" s="404">
        <v>1.8</v>
      </c>
      <c r="P321" s="402">
        <v>4.8</v>
      </c>
      <c r="Q321" s="404">
        <v>6.4</v>
      </c>
      <c r="R321" s="402">
        <v>64.2</v>
      </c>
      <c r="S321" s="404">
        <v>53.7</v>
      </c>
      <c r="T321" s="402">
        <v>0.84</v>
      </c>
      <c r="U321" s="395">
        <v>5.9</v>
      </c>
      <c r="V321" s="402">
        <v>0.52</v>
      </c>
      <c r="W321" s="404">
        <v>2.1000000000000001E-2</v>
      </c>
      <c r="X321" s="402">
        <v>0.19800000000000001</v>
      </c>
      <c r="Y321" s="404">
        <v>1.0999999999999999E-2</v>
      </c>
      <c r="Z321" s="397"/>
      <c r="AA321" s="399"/>
      <c r="AB321" s="394"/>
      <c r="AC321" s="402"/>
      <c r="AD321" s="399"/>
      <c r="AE321" s="394"/>
      <c r="AF321" s="391"/>
      <c r="AG321" s="394"/>
      <c r="AH321" s="394"/>
      <c r="AI321" s="394"/>
      <c r="AJ321" s="394"/>
      <c r="AK321" s="394"/>
      <c r="AL321" s="394"/>
    </row>
    <row r="322" spans="1:38" ht="14">
      <c r="A322" s="41" t="s">
        <v>92</v>
      </c>
      <c r="B322" s="402" t="s">
        <v>5800</v>
      </c>
      <c r="C322" s="113" t="s">
        <v>164</v>
      </c>
      <c r="D322" s="393" t="s">
        <v>165</v>
      </c>
      <c r="E322" s="394" t="s">
        <v>5801</v>
      </c>
      <c r="F322" s="402"/>
      <c r="G322" s="405" t="s">
        <v>168</v>
      </c>
      <c r="H322" s="404">
        <v>4911</v>
      </c>
      <c r="I322" s="402" t="s">
        <v>1</v>
      </c>
      <c r="J322" s="406" t="s">
        <v>177</v>
      </c>
      <c r="K322" s="403">
        <v>41402</v>
      </c>
      <c r="L322" s="398">
        <v>41389</v>
      </c>
      <c r="M322" s="402">
        <v>13</v>
      </c>
      <c r="N322" s="402" t="s">
        <v>2</v>
      </c>
      <c r="O322" s="404">
        <v>0.5</v>
      </c>
      <c r="P322" s="402">
        <v>4.8</v>
      </c>
      <c r="Q322" s="404">
        <v>8</v>
      </c>
      <c r="R322" s="402">
        <v>8</v>
      </c>
      <c r="S322" s="404">
        <v>5.2</v>
      </c>
      <c r="T322" s="402">
        <v>0.08</v>
      </c>
      <c r="U322" s="395">
        <v>0.67</v>
      </c>
      <c r="V322" s="402">
        <v>1.43</v>
      </c>
      <c r="W322" s="404">
        <v>8.0000000000000002E-3</v>
      </c>
      <c r="X322" s="402">
        <v>5.0000000000000001E-3</v>
      </c>
      <c r="Y322" s="404">
        <v>2.5000000000000001E-3</v>
      </c>
      <c r="Z322" s="397"/>
      <c r="AA322" s="399"/>
      <c r="AB322" s="394"/>
      <c r="AC322" s="402"/>
      <c r="AD322" s="399"/>
      <c r="AE322" s="394"/>
      <c r="AF322" s="391"/>
      <c r="AG322" s="394"/>
      <c r="AH322" s="394"/>
      <c r="AI322" s="394"/>
      <c r="AJ322" s="394"/>
      <c r="AK322" s="394"/>
      <c r="AL322" s="394"/>
    </row>
    <row r="323" spans="1:38" ht="14">
      <c r="A323" s="41" t="s">
        <v>92</v>
      </c>
      <c r="B323" s="402" t="s">
        <v>5800</v>
      </c>
      <c r="C323" s="113" t="s">
        <v>164</v>
      </c>
      <c r="D323" s="393" t="s">
        <v>165</v>
      </c>
      <c r="E323" s="394" t="s">
        <v>5801</v>
      </c>
      <c r="F323" s="402"/>
      <c r="G323" s="405" t="s">
        <v>168</v>
      </c>
      <c r="H323" s="404">
        <v>4911</v>
      </c>
      <c r="I323" s="402" t="s">
        <v>1</v>
      </c>
      <c r="J323" s="406" t="s">
        <v>178</v>
      </c>
      <c r="K323" s="403">
        <v>41402</v>
      </c>
      <c r="L323" s="398">
        <v>41389</v>
      </c>
      <c r="M323" s="402">
        <v>13</v>
      </c>
      <c r="N323" s="402" t="s">
        <v>2</v>
      </c>
      <c r="O323" s="404">
        <v>1.7</v>
      </c>
      <c r="P323" s="402">
        <v>4.8</v>
      </c>
      <c r="Q323" s="404">
        <v>6.3</v>
      </c>
      <c r="R323" s="402">
        <v>148</v>
      </c>
      <c r="S323" s="404">
        <v>92.9</v>
      </c>
      <c r="T323" s="402">
        <v>0.33</v>
      </c>
      <c r="U323" s="395">
        <v>2.82</v>
      </c>
      <c r="V323" s="402">
        <v>0.37</v>
      </c>
      <c r="W323" s="404">
        <v>1.0999999999999999E-2</v>
      </c>
      <c r="X323" s="402">
        <v>0.80200000000000005</v>
      </c>
      <c r="Y323" s="404">
        <v>2.5000000000000001E-3</v>
      </c>
      <c r="Z323" s="397"/>
      <c r="AA323" s="399"/>
      <c r="AB323" s="394"/>
      <c r="AC323" s="402"/>
      <c r="AD323" s="399"/>
      <c r="AE323" s="394"/>
      <c r="AF323" s="391"/>
      <c r="AG323" s="394"/>
      <c r="AH323" s="394"/>
      <c r="AI323" s="394"/>
      <c r="AJ323" s="394"/>
      <c r="AK323" s="394"/>
      <c r="AL323" s="394"/>
    </row>
    <row r="324" spans="1:38" ht="14">
      <c r="A324" s="41" t="s">
        <v>92</v>
      </c>
      <c r="B324" s="402" t="s">
        <v>5800</v>
      </c>
      <c r="C324" s="113" t="s">
        <v>164</v>
      </c>
      <c r="D324" s="393" t="s">
        <v>165</v>
      </c>
      <c r="E324" s="394" t="s">
        <v>5801</v>
      </c>
      <c r="F324" s="402"/>
      <c r="G324" s="405" t="s">
        <v>168</v>
      </c>
      <c r="H324" s="404">
        <v>4911</v>
      </c>
      <c r="I324" s="402" t="s">
        <v>1</v>
      </c>
      <c r="J324" s="406" t="s">
        <v>179</v>
      </c>
      <c r="K324" s="403">
        <v>41402</v>
      </c>
      <c r="L324" s="398">
        <v>41389</v>
      </c>
      <c r="M324" s="402">
        <v>13</v>
      </c>
      <c r="N324" s="402" t="s">
        <v>2</v>
      </c>
      <c r="O324" s="404">
        <v>13.2</v>
      </c>
      <c r="P324" s="402">
        <v>4.8</v>
      </c>
      <c r="Q324" s="404">
        <v>6.5</v>
      </c>
      <c r="R324" s="402">
        <v>315</v>
      </c>
      <c r="S324" s="404">
        <v>1244</v>
      </c>
      <c r="T324" s="402">
        <v>1.1599999999999999</v>
      </c>
      <c r="U324" s="395">
        <v>3.38</v>
      </c>
      <c r="V324" s="402">
        <v>0.74</v>
      </c>
      <c r="W324" s="404">
        <v>0.11600000000000001</v>
      </c>
      <c r="X324" s="402">
        <v>43.71</v>
      </c>
      <c r="Y324" s="404">
        <v>3.6999999999999998E-2</v>
      </c>
      <c r="Z324" s="397"/>
      <c r="AA324" s="399"/>
      <c r="AB324" s="394"/>
      <c r="AC324" s="402"/>
      <c r="AD324" s="399"/>
      <c r="AE324" s="394">
        <v>43.71</v>
      </c>
      <c r="AF324" s="391"/>
      <c r="AG324" s="394"/>
      <c r="AH324" s="394"/>
      <c r="AI324" s="394"/>
      <c r="AJ324" s="394"/>
      <c r="AK324" s="394"/>
      <c r="AL324" s="394"/>
    </row>
    <row r="325" spans="1:38" ht="14">
      <c r="A325" s="41" t="s">
        <v>92</v>
      </c>
      <c r="B325" s="402" t="s">
        <v>5800</v>
      </c>
      <c r="C325" s="113" t="s">
        <v>164</v>
      </c>
      <c r="D325" s="393" t="s">
        <v>165</v>
      </c>
      <c r="E325" s="394" t="s">
        <v>5801</v>
      </c>
      <c r="F325" s="402"/>
      <c r="G325" s="405" t="s">
        <v>168</v>
      </c>
      <c r="H325" s="404">
        <v>4911</v>
      </c>
      <c r="I325" s="402" t="s">
        <v>1</v>
      </c>
      <c r="J325" s="406" t="s">
        <v>180</v>
      </c>
      <c r="K325" s="403">
        <v>41402</v>
      </c>
      <c r="L325" s="398">
        <v>41389</v>
      </c>
      <c r="M325" s="402">
        <v>13</v>
      </c>
      <c r="N325" s="402" t="s">
        <v>2</v>
      </c>
      <c r="O325" s="404">
        <v>0.5</v>
      </c>
      <c r="P325" s="402">
        <v>4.8</v>
      </c>
      <c r="Q325" s="404">
        <v>6.6</v>
      </c>
      <c r="R325" s="402">
        <v>34.700000000000003</v>
      </c>
      <c r="S325" s="404">
        <v>17.600000000000001</v>
      </c>
      <c r="T325" s="402">
        <v>2.5499999999999998</v>
      </c>
      <c r="U325" s="395">
        <v>5.34</v>
      </c>
      <c r="V325" s="402">
        <v>0.03</v>
      </c>
      <c r="W325" s="404">
        <v>6.0000000000000001E-3</v>
      </c>
      <c r="X325" s="402">
        <v>0.218</v>
      </c>
      <c r="Y325" s="404">
        <v>2.5000000000000001E-3</v>
      </c>
      <c r="Z325" s="397"/>
      <c r="AA325" s="399"/>
      <c r="AB325" s="394"/>
      <c r="AC325" s="402"/>
      <c r="AD325" s="399"/>
      <c r="AE325" s="394"/>
      <c r="AF325" s="391"/>
      <c r="AG325" s="394"/>
      <c r="AH325" s="394"/>
      <c r="AI325" s="394"/>
      <c r="AJ325" s="394"/>
      <c r="AK325" s="394"/>
      <c r="AL325" s="394"/>
    </row>
    <row r="326" spans="1:38" ht="14">
      <c r="A326" s="41" t="s">
        <v>92</v>
      </c>
      <c r="B326" s="402" t="s">
        <v>5800</v>
      </c>
      <c r="C326" s="113" t="s">
        <v>164</v>
      </c>
      <c r="D326" s="393" t="s">
        <v>165</v>
      </c>
      <c r="E326" s="394" t="s">
        <v>5801</v>
      </c>
      <c r="F326" s="402"/>
      <c r="G326" s="405" t="s">
        <v>168</v>
      </c>
      <c r="H326" s="404">
        <v>4911</v>
      </c>
      <c r="I326" s="402" t="s">
        <v>1</v>
      </c>
      <c r="J326" s="406" t="s">
        <v>181</v>
      </c>
      <c r="K326" s="403">
        <v>41402</v>
      </c>
      <c r="L326" s="398">
        <v>41389</v>
      </c>
      <c r="M326" s="402">
        <v>13</v>
      </c>
      <c r="N326" s="402" t="s">
        <v>2</v>
      </c>
      <c r="O326" s="404">
        <v>0.5</v>
      </c>
      <c r="P326" s="402">
        <v>4.8</v>
      </c>
      <c r="Q326" s="404">
        <v>7.2</v>
      </c>
      <c r="R326" s="402">
        <v>20.9</v>
      </c>
      <c r="S326" s="404">
        <v>3.1</v>
      </c>
      <c r="T326" s="402">
        <v>0.33</v>
      </c>
      <c r="U326" s="395">
        <v>0.86</v>
      </c>
      <c r="V326" s="402">
        <v>0.56999999999999995</v>
      </c>
      <c r="W326" s="404">
        <v>1.0999999999999999E-2</v>
      </c>
      <c r="X326" s="402">
        <v>0.311</v>
      </c>
      <c r="Y326" s="404">
        <v>2.5000000000000001E-3</v>
      </c>
      <c r="Z326" s="397"/>
      <c r="AA326" s="399"/>
      <c r="AB326" s="394"/>
      <c r="AC326" s="402"/>
      <c r="AD326" s="399"/>
      <c r="AE326" s="394"/>
      <c r="AF326" s="391"/>
      <c r="AG326" s="394"/>
      <c r="AH326" s="394"/>
      <c r="AI326" s="394"/>
      <c r="AJ326" s="394"/>
      <c r="AK326" s="394"/>
      <c r="AL326" s="394"/>
    </row>
    <row r="327" spans="1:38" ht="14">
      <c r="A327" s="41" t="s">
        <v>92</v>
      </c>
      <c r="B327" s="402" t="s">
        <v>5800</v>
      </c>
      <c r="C327" s="113" t="s">
        <v>164</v>
      </c>
      <c r="D327" s="393" t="s">
        <v>165</v>
      </c>
      <c r="E327" s="394" t="s">
        <v>5801</v>
      </c>
      <c r="F327" s="402"/>
      <c r="G327" s="405" t="s">
        <v>168</v>
      </c>
      <c r="H327" s="404">
        <v>4911</v>
      </c>
      <c r="I327" s="402" t="s">
        <v>1</v>
      </c>
      <c r="J327" s="406" t="s">
        <v>182</v>
      </c>
      <c r="K327" s="403">
        <v>41402</v>
      </c>
      <c r="L327" s="398">
        <v>41389</v>
      </c>
      <c r="M327" s="402">
        <v>13</v>
      </c>
      <c r="N327" s="402" t="s">
        <v>2</v>
      </c>
      <c r="O327" s="404">
        <v>1.4</v>
      </c>
      <c r="P327" s="402">
        <v>4.8</v>
      </c>
      <c r="Q327" s="404">
        <v>7.8</v>
      </c>
      <c r="R327" s="402">
        <v>40.5</v>
      </c>
      <c r="S327" s="404">
        <v>39.4</v>
      </c>
      <c r="T327" s="402">
        <v>0.23</v>
      </c>
      <c r="U327" s="395">
        <v>1.42</v>
      </c>
      <c r="V327" s="402">
        <v>0.32</v>
      </c>
      <c r="W327" s="404">
        <v>1.0999999999999999E-2</v>
      </c>
      <c r="X327" s="402">
        <v>6.2E-2</v>
      </c>
      <c r="Y327" s="404">
        <v>2.5000000000000001E-3</v>
      </c>
      <c r="Z327" s="397"/>
      <c r="AA327" s="399"/>
      <c r="AB327" s="394"/>
      <c r="AC327" s="402"/>
      <c r="AD327" s="399"/>
      <c r="AE327" s="394"/>
      <c r="AF327" s="391"/>
      <c r="AG327" s="394"/>
      <c r="AH327" s="394"/>
      <c r="AI327" s="394"/>
      <c r="AJ327" s="394"/>
      <c r="AK327" s="394"/>
      <c r="AL327" s="394"/>
    </row>
    <row r="331" spans="1:38" ht="15" customHeight="1">
      <c r="K331" s="51"/>
    </row>
    <row r="332" spans="1:38" ht="15" customHeight="1">
      <c r="K332" s="51"/>
    </row>
    <row r="333" spans="1:38" ht="15" customHeight="1">
      <c r="K333" s="403"/>
    </row>
    <row r="334" spans="1:38" ht="15" customHeight="1">
      <c r="K334" s="403"/>
    </row>
    <row r="335" spans="1:38" ht="15" customHeight="1">
      <c r="K335" s="403"/>
    </row>
    <row r="336" spans="1:38" ht="15" customHeight="1">
      <c r="K336" s="403"/>
      <c r="L336" s="402"/>
    </row>
    <row r="337" spans="11:12" ht="15" customHeight="1">
      <c r="K337" s="403"/>
      <c r="L337" s="402"/>
    </row>
    <row r="338" spans="11:12" ht="15" customHeight="1">
      <c r="K338" s="403"/>
      <c r="L338" s="402"/>
    </row>
    <row r="339" spans="11:12" ht="15" customHeight="1">
      <c r="K339" s="403"/>
      <c r="L339" s="402"/>
    </row>
    <row r="340" spans="11:12" ht="15" customHeight="1">
      <c r="L340" s="402"/>
    </row>
  </sheetData>
  <autoFilter ref="A1:AM327"/>
  <sortState ref="K9957:L9960">
    <sortCondition ref="K9957:K9960"/>
  </sortState>
  <conditionalFormatting sqref="O2:O269 O274:O283 O300:O313">
    <cfRule type="cellIs" dxfId="973" priority="818" stopIfTrue="1" operator="greaterThan">
      <formula>5</formula>
    </cfRule>
  </conditionalFormatting>
  <conditionalFormatting sqref="Q2:Q269 Q274:Q283 Q300:Q313">
    <cfRule type="cellIs" dxfId="972" priority="817" stopIfTrue="1" operator="notBetween">
      <formula>5</formula>
      <formula>9</formula>
    </cfRule>
  </conditionalFormatting>
  <conditionalFormatting sqref="R2:R269 R274:R283 R300:R313">
    <cfRule type="cellIs" dxfId="971" priority="816" stopIfTrue="1" operator="greaterThan">
      <formula>75</formula>
    </cfRule>
  </conditionalFormatting>
  <conditionalFormatting sqref="S2:S269 S274:S283 S300:S313">
    <cfRule type="cellIs" dxfId="970" priority="815" stopIfTrue="1" operator="greaterThan">
      <formula>90</formula>
    </cfRule>
  </conditionalFormatting>
  <conditionalFormatting sqref="T2:T269 T274:T283 T300:T313">
    <cfRule type="cellIs" dxfId="969" priority="814" stopIfTrue="1" operator="greaterThan">
      <formula>0.4</formula>
    </cfRule>
  </conditionalFormatting>
  <conditionalFormatting sqref="U2:U269 U274:U283 U300:U313">
    <cfRule type="cellIs" dxfId="968" priority="813" stopIfTrue="1" operator="greaterThan">
      <formula>2.3</formula>
    </cfRule>
  </conditionalFormatting>
  <conditionalFormatting sqref="V2:V269 V274:V283 V300:V313">
    <cfRule type="cellIs" dxfId="967" priority="812" stopIfTrue="1" operator="greaterThan">
      <formula>1.1</formula>
    </cfRule>
  </conditionalFormatting>
  <conditionalFormatting sqref="W2:W269 W274:W283 W300:W313">
    <cfRule type="cellIs" dxfId="966" priority="811" stopIfTrue="1" operator="greaterThan">
      <formula>0.059</formula>
    </cfRule>
  </conditionalFormatting>
  <conditionalFormatting sqref="X2:X269 X274:X283 X300:X313">
    <cfRule type="cellIs" dxfId="965" priority="810" stopIfTrue="1" operator="greaterThan">
      <formula>0.16</formula>
    </cfRule>
  </conditionalFormatting>
  <conditionalFormatting sqref="Y2:Y269 Y274:Y283 Y300:Y313">
    <cfRule type="cellIs" dxfId="964" priority="809" stopIfTrue="1" operator="greaterThan">
      <formula>0.076</formula>
    </cfRule>
  </conditionalFormatting>
  <conditionalFormatting sqref="AE2:AE269 AE274:AE283 AE300:AE313">
    <cfRule type="cellIs" dxfId="963" priority="803" operator="greaterThan">
      <formula>1</formula>
    </cfRule>
  </conditionalFormatting>
  <conditionalFormatting sqref="O286:O297">
    <cfRule type="cellIs" dxfId="962" priority="168" stopIfTrue="1" operator="greaterThan">
      <formula>5</formula>
    </cfRule>
  </conditionalFormatting>
  <conditionalFormatting sqref="Q286:Q297">
    <cfRule type="cellIs" dxfId="961" priority="167" stopIfTrue="1" operator="notBetween">
      <formula>5</formula>
      <formula>9</formula>
    </cfRule>
  </conditionalFormatting>
  <conditionalFormatting sqref="R286:R297">
    <cfRule type="cellIs" dxfId="960" priority="166" stopIfTrue="1" operator="greaterThan">
      <formula>75</formula>
    </cfRule>
  </conditionalFormatting>
  <conditionalFormatting sqref="S286:S297">
    <cfRule type="cellIs" dxfId="959" priority="165" stopIfTrue="1" operator="greaterThan">
      <formula>90</formula>
    </cfRule>
  </conditionalFormatting>
  <conditionalFormatting sqref="T286:T297">
    <cfRule type="cellIs" dxfId="958" priority="164" stopIfTrue="1" operator="greaterThan">
      <formula>0.4</formula>
    </cfRule>
  </conditionalFormatting>
  <conditionalFormatting sqref="U286:U297">
    <cfRule type="cellIs" dxfId="957" priority="163" stopIfTrue="1" operator="greaterThan">
      <formula>2.3</formula>
    </cfRule>
  </conditionalFormatting>
  <conditionalFormatting sqref="V286:V297">
    <cfRule type="cellIs" dxfId="956" priority="162" stopIfTrue="1" operator="greaterThan">
      <formula>1.1</formula>
    </cfRule>
  </conditionalFormatting>
  <conditionalFormatting sqref="W286:W297">
    <cfRule type="cellIs" dxfId="955" priority="161" stopIfTrue="1" operator="greaterThan">
      <formula>0.059</formula>
    </cfRule>
  </conditionalFormatting>
  <conditionalFormatting sqref="X286:X297">
    <cfRule type="cellIs" dxfId="954" priority="160" stopIfTrue="1" operator="greaterThan">
      <formula>0.16</formula>
    </cfRule>
  </conditionalFormatting>
  <conditionalFormatting sqref="Y286:Y297">
    <cfRule type="cellIs" dxfId="953" priority="159" stopIfTrue="1" operator="greaterThan">
      <formula>0.076</formula>
    </cfRule>
  </conditionalFormatting>
  <conditionalFormatting sqref="AE286:AE297">
    <cfRule type="cellIs" dxfId="952" priority="158" operator="greaterThan">
      <formula>1</formula>
    </cfRule>
  </conditionalFormatting>
  <conditionalFormatting sqref="O286:O297">
    <cfRule type="cellIs" dxfId="951" priority="157" stopIfTrue="1" operator="greaterThan">
      <formula>5</formula>
    </cfRule>
  </conditionalFormatting>
  <conditionalFormatting sqref="Q286:Q297">
    <cfRule type="cellIs" dxfId="950" priority="156" stopIfTrue="1" operator="notBetween">
      <formula>5</formula>
      <formula>9</formula>
    </cfRule>
  </conditionalFormatting>
  <conditionalFormatting sqref="R286:R297">
    <cfRule type="cellIs" dxfId="949" priority="155" stopIfTrue="1" operator="greaterThan">
      <formula>75</formula>
    </cfRule>
  </conditionalFormatting>
  <conditionalFormatting sqref="S286:S297">
    <cfRule type="cellIs" dxfId="948" priority="154" stopIfTrue="1" operator="greaterThan">
      <formula>90</formula>
    </cfRule>
  </conditionalFormatting>
  <conditionalFormatting sqref="T286:T297">
    <cfRule type="cellIs" dxfId="947" priority="153" stopIfTrue="1" operator="greaterThan">
      <formula>0.4</formula>
    </cfRule>
  </conditionalFormatting>
  <conditionalFormatting sqref="U286:U297">
    <cfRule type="cellIs" dxfId="946" priority="152" stopIfTrue="1" operator="greaterThan">
      <formula>2.3</formula>
    </cfRule>
  </conditionalFormatting>
  <conditionalFormatting sqref="V286:V297">
    <cfRule type="cellIs" dxfId="945" priority="151" stopIfTrue="1" operator="greaterThan">
      <formula>1.1</formula>
    </cfRule>
  </conditionalFormatting>
  <conditionalFormatting sqref="W286:W297">
    <cfRule type="cellIs" dxfId="944" priority="150" stopIfTrue="1" operator="greaterThan">
      <formula>0.059</formula>
    </cfRule>
  </conditionalFormatting>
  <conditionalFormatting sqref="X286:X297">
    <cfRule type="cellIs" dxfId="943" priority="149" stopIfTrue="1" operator="greaterThan">
      <formula>0.16</formula>
    </cfRule>
  </conditionalFormatting>
  <conditionalFormatting sqref="Y286:Y297">
    <cfRule type="cellIs" dxfId="942" priority="148" stopIfTrue="1" operator="greaterThan">
      <formula>0.076</formula>
    </cfRule>
  </conditionalFormatting>
  <conditionalFormatting sqref="AE286:AE297">
    <cfRule type="cellIs" dxfId="941" priority="147" operator="greaterThan">
      <formula>1</formula>
    </cfRule>
  </conditionalFormatting>
  <conditionalFormatting sqref="O270:O272">
    <cfRule type="cellIs" dxfId="940" priority="138" stopIfTrue="1" operator="greaterThan">
      <formula>5</formula>
    </cfRule>
  </conditionalFormatting>
  <conditionalFormatting sqref="Q270:Q272">
    <cfRule type="cellIs" dxfId="939" priority="137" stopIfTrue="1" operator="notBetween">
      <formula>5</formula>
      <formula>9</formula>
    </cfRule>
  </conditionalFormatting>
  <conditionalFormatting sqref="R270:R272">
    <cfRule type="cellIs" dxfId="938" priority="136" stopIfTrue="1" operator="greaterThan">
      <formula>75</formula>
    </cfRule>
  </conditionalFormatting>
  <conditionalFormatting sqref="S270:S272">
    <cfRule type="cellIs" dxfId="937" priority="135" stopIfTrue="1" operator="greaterThan">
      <formula>90</formula>
    </cfRule>
  </conditionalFormatting>
  <conditionalFormatting sqref="T270:T272">
    <cfRule type="cellIs" dxfId="936" priority="134" stopIfTrue="1" operator="greaterThan">
      <formula>0.4</formula>
    </cfRule>
  </conditionalFormatting>
  <conditionalFormatting sqref="U270:U272">
    <cfRule type="cellIs" dxfId="935" priority="133" stopIfTrue="1" operator="greaterThan">
      <formula>2.3</formula>
    </cfRule>
  </conditionalFormatting>
  <conditionalFormatting sqref="V270:V272">
    <cfRule type="cellIs" dxfId="934" priority="132" stopIfTrue="1" operator="greaterThan">
      <formula>1.1</formula>
    </cfRule>
  </conditionalFormatting>
  <conditionalFormatting sqref="W270:W272">
    <cfRule type="cellIs" dxfId="933" priority="131" stopIfTrue="1" operator="greaterThan">
      <formula>0.059</formula>
    </cfRule>
  </conditionalFormatting>
  <conditionalFormatting sqref="X270:X272">
    <cfRule type="cellIs" dxfId="932" priority="130" stopIfTrue="1" operator="greaterThan">
      <formula>0.16</formula>
    </cfRule>
  </conditionalFormatting>
  <conditionalFormatting sqref="Y270:Y272">
    <cfRule type="cellIs" dxfId="931" priority="129" stopIfTrue="1" operator="greaterThan">
      <formula>0.076</formula>
    </cfRule>
  </conditionalFormatting>
  <conditionalFormatting sqref="AE270:AE272">
    <cfRule type="cellIs" dxfId="930" priority="128" operator="greaterThan">
      <formula>1</formula>
    </cfRule>
  </conditionalFormatting>
  <conditionalFormatting sqref="O270:O272">
    <cfRule type="cellIs" dxfId="929" priority="127" stopIfTrue="1" operator="greaterThan">
      <formula>5</formula>
    </cfRule>
  </conditionalFormatting>
  <conditionalFormatting sqref="Q270:Q272">
    <cfRule type="cellIs" dxfId="928" priority="126" stopIfTrue="1" operator="notBetween">
      <formula>5</formula>
      <formula>9</formula>
    </cfRule>
  </conditionalFormatting>
  <conditionalFormatting sqref="R270:R272">
    <cfRule type="cellIs" dxfId="927" priority="125" stopIfTrue="1" operator="greaterThan">
      <formula>75</formula>
    </cfRule>
  </conditionalFormatting>
  <conditionalFormatting sqref="S270:S272">
    <cfRule type="cellIs" dxfId="926" priority="124" stopIfTrue="1" operator="greaterThan">
      <formula>90</formula>
    </cfRule>
  </conditionalFormatting>
  <conditionalFormatting sqref="T270:T272">
    <cfRule type="cellIs" dxfId="925" priority="123" stopIfTrue="1" operator="greaterThan">
      <formula>0.4</formula>
    </cfRule>
  </conditionalFormatting>
  <conditionalFormatting sqref="U270:U272">
    <cfRule type="cellIs" dxfId="924" priority="122" stopIfTrue="1" operator="greaterThan">
      <formula>2.3</formula>
    </cfRule>
  </conditionalFormatting>
  <conditionalFormatting sqref="V270:V272">
    <cfRule type="cellIs" dxfId="923" priority="121" stopIfTrue="1" operator="greaterThan">
      <formula>1.1</formula>
    </cfRule>
  </conditionalFormatting>
  <conditionalFormatting sqref="W270:W272">
    <cfRule type="cellIs" dxfId="922" priority="120" stopIfTrue="1" operator="greaterThan">
      <formula>0.059</formula>
    </cfRule>
  </conditionalFormatting>
  <conditionalFormatting sqref="X270:X272">
    <cfRule type="cellIs" dxfId="921" priority="119" stopIfTrue="1" operator="greaterThan">
      <formula>0.16</formula>
    </cfRule>
  </conditionalFormatting>
  <conditionalFormatting sqref="Y270:Y272">
    <cfRule type="cellIs" dxfId="920" priority="118" stopIfTrue="1" operator="greaterThan">
      <formula>0.076</formula>
    </cfRule>
  </conditionalFormatting>
  <conditionalFormatting sqref="AE270:AE272">
    <cfRule type="cellIs" dxfId="919" priority="117" operator="greaterThan">
      <formula>1</formula>
    </cfRule>
  </conditionalFormatting>
  <conditionalFormatting sqref="O284:O285">
    <cfRule type="cellIs" dxfId="918" priority="78" stopIfTrue="1" operator="greaterThan">
      <formula>5</formula>
    </cfRule>
  </conditionalFormatting>
  <conditionalFormatting sqref="Q284:Q285">
    <cfRule type="cellIs" dxfId="917" priority="77" stopIfTrue="1" operator="notBetween">
      <formula>5</formula>
      <formula>9</formula>
    </cfRule>
  </conditionalFormatting>
  <conditionalFormatting sqref="R284:R285">
    <cfRule type="cellIs" dxfId="916" priority="76" stopIfTrue="1" operator="greaterThan">
      <formula>75</formula>
    </cfRule>
  </conditionalFormatting>
  <conditionalFormatting sqref="S284:S285">
    <cfRule type="cellIs" dxfId="915" priority="75" stopIfTrue="1" operator="greaterThan">
      <formula>90</formula>
    </cfRule>
  </conditionalFormatting>
  <conditionalFormatting sqref="T284:T285">
    <cfRule type="cellIs" dxfId="914" priority="74" stopIfTrue="1" operator="greaterThan">
      <formula>0.4</formula>
    </cfRule>
  </conditionalFormatting>
  <conditionalFormatting sqref="U284:U285">
    <cfRule type="cellIs" dxfId="913" priority="73" stopIfTrue="1" operator="greaterThan">
      <formula>2.3</formula>
    </cfRule>
  </conditionalFormatting>
  <conditionalFormatting sqref="V284:V285">
    <cfRule type="cellIs" dxfId="912" priority="72" stopIfTrue="1" operator="greaterThan">
      <formula>1.1</formula>
    </cfRule>
  </conditionalFormatting>
  <conditionalFormatting sqref="W284:W285">
    <cfRule type="cellIs" dxfId="911" priority="71" stopIfTrue="1" operator="greaterThan">
      <formula>0.059</formula>
    </cfRule>
  </conditionalFormatting>
  <conditionalFormatting sqref="X284:X285">
    <cfRule type="cellIs" dxfId="910" priority="70" stopIfTrue="1" operator="greaterThan">
      <formula>0.16</formula>
    </cfRule>
  </conditionalFormatting>
  <conditionalFormatting sqref="Y284:Y285">
    <cfRule type="cellIs" dxfId="909" priority="69" stopIfTrue="1" operator="greaterThan">
      <formula>0.076</formula>
    </cfRule>
  </conditionalFormatting>
  <conditionalFormatting sqref="AE284:AE285">
    <cfRule type="cellIs" dxfId="908" priority="68" operator="greaterThan">
      <formula>1</formula>
    </cfRule>
  </conditionalFormatting>
  <conditionalFormatting sqref="O284:O285">
    <cfRule type="cellIs" dxfId="907" priority="67" stopIfTrue="1" operator="greaterThan">
      <formula>5</formula>
    </cfRule>
  </conditionalFormatting>
  <conditionalFormatting sqref="Q284:Q285">
    <cfRule type="cellIs" dxfId="906" priority="66" stopIfTrue="1" operator="notBetween">
      <formula>5</formula>
      <formula>9</formula>
    </cfRule>
  </conditionalFormatting>
  <conditionalFormatting sqref="R284:R285">
    <cfRule type="cellIs" dxfId="905" priority="65" stopIfTrue="1" operator="greaterThan">
      <formula>75</formula>
    </cfRule>
  </conditionalFormatting>
  <conditionalFormatting sqref="S284:S285">
    <cfRule type="cellIs" dxfId="904" priority="64" stopIfTrue="1" operator="greaterThan">
      <formula>90</formula>
    </cfRule>
  </conditionalFormatting>
  <conditionalFormatting sqref="T284:T285">
    <cfRule type="cellIs" dxfId="903" priority="63" stopIfTrue="1" operator="greaterThan">
      <formula>0.4</formula>
    </cfRule>
  </conditionalFormatting>
  <conditionalFormatting sqref="U284:U285">
    <cfRule type="cellIs" dxfId="902" priority="62" stopIfTrue="1" operator="greaterThan">
      <formula>2.3</formula>
    </cfRule>
  </conditionalFormatting>
  <conditionalFormatting sqref="V284:V285">
    <cfRule type="cellIs" dxfId="901" priority="61" stopIfTrue="1" operator="greaterThan">
      <formula>1.1</formula>
    </cfRule>
  </conditionalFormatting>
  <conditionalFormatting sqref="W284:W285">
    <cfRule type="cellIs" dxfId="900" priority="60" stopIfTrue="1" operator="greaterThan">
      <formula>0.059</formula>
    </cfRule>
  </conditionalFormatting>
  <conditionalFormatting sqref="X284:X285">
    <cfRule type="cellIs" dxfId="899" priority="59" stopIfTrue="1" operator="greaterThan">
      <formula>0.16</formula>
    </cfRule>
  </conditionalFormatting>
  <conditionalFormatting sqref="Y284:Y285">
    <cfRule type="cellIs" dxfId="898" priority="58" stopIfTrue="1" operator="greaterThan">
      <formula>0.076</formula>
    </cfRule>
  </conditionalFormatting>
  <conditionalFormatting sqref="AE284:AE285">
    <cfRule type="cellIs" dxfId="897" priority="57" operator="greaterThan">
      <formula>1</formula>
    </cfRule>
  </conditionalFormatting>
  <conditionalFormatting sqref="O298:O299">
    <cfRule type="cellIs" dxfId="896" priority="48" stopIfTrue="1" operator="greaterThan">
      <formula>5</formula>
    </cfRule>
  </conditionalFormatting>
  <conditionalFormatting sqref="Q298:Q299">
    <cfRule type="cellIs" dxfId="895" priority="47" stopIfTrue="1" operator="notBetween">
      <formula>5</formula>
      <formula>9</formula>
    </cfRule>
  </conditionalFormatting>
  <conditionalFormatting sqref="R298:R299">
    <cfRule type="cellIs" dxfId="894" priority="46" stopIfTrue="1" operator="greaterThan">
      <formula>75</formula>
    </cfRule>
  </conditionalFormatting>
  <conditionalFormatting sqref="S298:S299">
    <cfRule type="cellIs" dxfId="893" priority="45" stopIfTrue="1" operator="greaterThan">
      <formula>90</formula>
    </cfRule>
  </conditionalFormatting>
  <conditionalFormatting sqref="T298:T299">
    <cfRule type="cellIs" dxfId="892" priority="44" stopIfTrue="1" operator="greaterThan">
      <formula>0.4</formula>
    </cfRule>
  </conditionalFormatting>
  <conditionalFormatting sqref="U298:U299">
    <cfRule type="cellIs" dxfId="891" priority="43" stopIfTrue="1" operator="greaterThan">
      <formula>2.3</formula>
    </cfRule>
  </conditionalFormatting>
  <conditionalFormatting sqref="V298:V299">
    <cfRule type="cellIs" dxfId="890" priority="42" stopIfTrue="1" operator="greaterThan">
      <formula>1.1</formula>
    </cfRule>
  </conditionalFormatting>
  <conditionalFormatting sqref="W298:W299">
    <cfRule type="cellIs" dxfId="889" priority="41" stopIfTrue="1" operator="greaterThan">
      <formula>0.059</formula>
    </cfRule>
  </conditionalFormatting>
  <conditionalFormatting sqref="X298:X299">
    <cfRule type="cellIs" dxfId="888" priority="40" stopIfTrue="1" operator="greaterThan">
      <formula>0.16</formula>
    </cfRule>
  </conditionalFormatting>
  <conditionalFormatting sqref="Y298:Y299">
    <cfRule type="cellIs" dxfId="887" priority="39" stopIfTrue="1" operator="greaterThan">
      <formula>0.076</formula>
    </cfRule>
  </conditionalFormatting>
  <conditionalFormatting sqref="AE298:AE299">
    <cfRule type="cellIs" dxfId="886" priority="38" operator="greaterThan">
      <formula>1</formula>
    </cfRule>
  </conditionalFormatting>
  <conditionalFormatting sqref="O298:O299">
    <cfRule type="cellIs" dxfId="885" priority="37" stopIfTrue="1" operator="greaterThan">
      <formula>5</formula>
    </cfRule>
  </conditionalFormatting>
  <conditionalFormatting sqref="Q298:Q299">
    <cfRule type="cellIs" dxfId="884" priority="36" stopIfTrue="1" operator="notBetween">
      <formula>5</formula>
      <formula>9</formula>
    </cfRule>
  </conditionalFormatting>
  <conditionalFormatting sqref="R298:R299">
    <cfRule type="cellIs" dxfId="883" priority="35" stopIfTrue="1" operator="greaterThan">
      <formula>75</formula>
    </cfRule>
  </conditionalFormatting>
  <conditionalFormatting sqref="S298:S299">
    <cfRule type="cellIs" dxfId="882" priority="34" stopIfTrue="1" operator="greaterThan">
      <formula>90</formula>
    </cfRule>
  </conditionalFormatting>
  <conditionalFormatting sqref="T298:T299">
    <cfRule type="cellIs" dxfId="881" priority="33" stopIfTrue="1" operator="greaterThan">
      <formula>0.4</formula>
    </cfRule>
  </conditionalFormatting>
  <conditionalFormatting sqref="U298:U299">
    <cfRule type="cellIs" dxfId="880" priority="32" stopIfTrue="1" operator="greaterThan">
      <formula>2.3</formula>
    </cfRule>
  </conditionalFormatting>
  <conditionalFormatting sqref="V298:V299">
    <cfRule type="cellIs" dxfId="879" priority="31" stopIfTrue="1" operator="greaterThan">
      <formula>1.1</formula>
    </cfRule>
  </conditionalFormatting>
  <conditionalFormatting sqref="W298:W299">
    <cfRule type="cellIs" dxfId="878" priority="30" stopIfTrue="1" operator="greaterThan">
      <formula>0.059</formula>
    </cfRule>
  </conditionalFormatting>
  <conditionalFormatting sqref="X298:X299">
    <cfRule type="cellIs" dxfId="877" priority="29" stopIfTrue="1" operator="greaterThan">
      <formula>0.16</formula>
    </cfRule>
  </conditionalFormatting>
  <conditionalFormatting sqref="Y298:Y299">
    <cfRule type="cellIs" dxfId="876" priority="28" stopIfTrue="1" operator="greaterThan">
      <formula>0.076</formula>
    </cfRule>
  </conditionalFormatting>
  <conditionalFormatting sqref="AE298:AE299">
    <cfRule type="cellIs" dxfId="875" priority="27" operator="greaterThan">
      <formula>1</formula>
    </cfRule>
  </conditionalFormatting>
  <conditionalFormatting sqref="L336:L339">
    <cfRule type="cellIs" dxfId="874" priority="22" stopIfTrue="1" operator="greaterThan">
      <formula>0.16</formula>
    </cfRule>
  </conditionalFormatting>
  <conditionalFormatting sqref="O273">
    <cfRule type="cellIs" dxfId="873" priority="21" stopIfTrue="1" operator="greaterThan">
      <formula>5</formula>
    </cfRule>
  </conditionalFormatting>
  <conditionalFormatting sqref="Q273">
    <cfRule type="cellIs" dxfId="872" priority="20" stopIfTrue="1" operator="notBetween">
      <formula>5</formula>
      <formula>9</formula>
    </cfRule>
  </conditionalFormatting>
  <conditionalFormatting sqref="R273">
    <cfRule type="cellIs" dxfId="871" priority="19" stopIfTrue="1" operator="greaterThan">
      <formula>75</formula>
    </cfRule>
  </conditionalFormatting>
  <conditionalFormatting sqref="S273">
    <cfRule type="cellIs" dxfId="870" priority="18" stopIfTrue="1" operator="greaterThan">
      <formula>90</formula>
    </cfRule>
  </conditionalFormatting>
  <conditionalFormatting sqref="T273">
    <cfRule type="cellIs" dxfId="869" priority="17" stopIfTrue="1" operator="greaterThan">
      <formula>0.4</formula>
    </cfRule>
  </conditionalFormatting>
  <conditionalFormatting sqref="U273">
    <cfRule type="cellIs" dxfId="868" priority="16" stopIfTrue="1" operator="greaterThan">
      <formula>2.3</formula>
    </cfRule>
  </conditionalFormatting>
  <conditionalFormatting sqref="V273">
    <cfRule type="cellIs" dxfId="867" priority="15" stopIfTrue="1" operator="greaterThan">
      <formula>1.1</formula>
    </cfRule>
  </conditionalFormatting>
  <conditionalFormatting sqref="W273">
    <cfRule type="cellIs" dxfId="866" priority="14" stopIfTrue="1" operator="greaterThan">
      <formula>0.059</formula>
    </cfRule>
  </conditionalFormatting>
  <conditionalFormatting sqref="X273">
    <cfRule type="cellIs" dxfId="865" priority="13" stopIfTrue="1" operator="greaterThan">
      <formula>0.16</formula>
    </cfRule>
  </conditionalFormatting>
  <conditionalFormatting sqref="Y273">
    <cfRule type="cellIs" dxfId="864" priority="12" stopIfTrue="1" operator="greaterThan">
      <formula>0.076</formula>
    </cfRule>
  </conditionalFormatting>
  <conditionalFormatting sqref="AE273">
    <cfRule type="cellIs" dxfId="863" priority="11" operator="greaterThan">
      <formula>1</formula>
    </cfRule>
  </conditionalFormatting>
  <conditionalFormatting sqref="Y314:Y327">
    <cfRule type="cellIs" dxfId="862" priority="1" stopIfTrue="1" operator="greaterThan">
      <formula>0.076</formula>
    </cfRule>
  </conditionalFormatting>
  <conditionalFormatting sqref="O314:O327">
    <cfRule type="cellIs" dxfId="861" priority="10" stopIfTrue="1" operator="greaterThan">
      <formula>5</formula>
    </cfRule>
  </conditionalFormatting>
  <conditionalFormatting sqref="Q314:Q327">
    <cfRule type="cellIs" dxfId="860" priority="9" stopIfTrue="1" operator="notBetween">
      <formula>5</formula>
      <formula>9</formula>
    </cfRule>
  </conditionalFormatting>
  <conditionalFormatting sqref="R314:R327">
    <cfRule type="cellIs" dxfId="859" priority="8" stopIfTrue="1" operator="greaterThan">
      <formula>75</formula>
    </cfRule>
  </conditionalFormatting>
  <conditionalFormatting sqref="S314:S327">
    <cfRule type="cellIs" dxfId="858" priority="7" stopIfTrue="1" operator="greaterThan">
      <formula>90</formula>
    </cfRule>
  </conditionalFormatting>
  <conditionalFormatting sqref="T314:T327">
    <cfRule type="cellIs" dxfId="857" priority="6" stopIfTrue="1" operator="greaterThan">
      <formula>0.4</formula>
    </cfRule>
  </conditionalFormatting>
  <conditionalFormatting sqref="U314:U327">
    <cfRule type="cellIs" dxfId="856" priority="5" stopIfTrue="1" operator="greaterThan">
      <formula>2.3</formula>
    </cfRule>
  </conditionalFormatting>
  <conditionalFormatting sqref="V314:V327">
    <cfRule type="cellIs" dxfId="855" priority="4" stopIfTrue="1" operator="greaterThan">
      <formula>1.1</formula>
    </cfRule>
  </conditionalFormatting>
  <conditionalFormatting sqref="W314:W327">
    <cfRule type="cellIs" dxfId="854" priority="3" stopIfTrue="1" operator="greaterThan">
      <formula>0.059</formula>
    </cfRule>
  </conditionalFormatting>
  <conditionalFormatting sqref="X314:X327">
    <cfRule type="cellIs" dxfId="853" priority="2" stopIfTrue="1" operator="greaterThan">
      <formula>0.16</formula>
    </cfRule>
  </conditionalFormatting>
  <pageMargins left="0.7" right="0.7" top="0.75" bottom="0.75" header="0.3" footer="0.3"/>
  <pageSetup orientation="portrait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/>
  <dimension ref="A1:AT34"/>
  <sheetViews>
    <sheetView showGridLines="0" workbookViewId="0">
      <pane ySplit="1" topLeftCell="A20" activePane="bottomLeft" state="frozen"/>
      <selection activeCell="A27" sqref="A27"/>
      <selection pane="bottomLeft" activeCell="A34" sqref="A34"/>
    </sheetView>
  </sheetViews>
  <sheetFormatPr baseColWidth="10" defaultColWidth="8.83203125" defaultRowHeight="15" customHeight="1" x14ac:dyDescent="0"/>
  <cols>
    <col min="1" max="1" width="29.1640625" style="74" bestFit="1" customWidth="1"/>
    <col min="2" max="2" width="21.83203125" style="50" bestFit="1" customWidth="1"/>
    <col min="3" max="3" width="22.1640625" style="50" bestFit="1" customWidth="1"/>
    <col min="4" max="4" width="5.1640625" style="50" bestFit="1" customWidth="1"/>
    <col min="5" max="6" width="10.6640625" style="50" customWidth="1"/>
    <col min="7" max="7" width="8.83203125" style="49"/>
    <col min="8" max="8" width="8.83203125" style="50"/>
    <col min="9" max="9" width="8.5" style="49" customWidth="1"/>
    <col min="10" max="10" width="9.1640625" style="50" customWidth="1"/>
    <col min="11" max="11" width="10" style="50" customWidth="1"/>
    <col min="12" max="12" width="17.6640625" style="49" customWidth="1"/>
    <col min="13" max="13" width="10.5" style="50" customWidth="1"/>
    <col min="14" max="14" width="8.83203125" style="50"/>
    <col min="15" max="15" width="8.83203125" style="74"/>
    <col min="16" max="16" width="8.83203125" style="50"/>
    <col min="17" max="17" width="8.83203125" style="74"/>
    <col min="18" max="18" width="8.83203125" style="50"/>
    <col min="19" max="19" width="8.83203125" style="74"/>
    <col min="20" max="20" width="8.83203125" style="50"/>
    <col min="21" max="21" width="8.83203125" style="74"/>
    <col min="22" max="22" width="8.83203125" style="50"/>
    <col min="23" max="23" width="8.83203125" style="74"/>
    <col min="24" max="24" width="8.83203125" style="50"/>
    <col min="25" max="25" width="8.83203125" style="74"/>
    <col min="26" max="26" width="8.83203125" style="164"/>
    <col min="27" max="27" width="8.83203125" style="165"/>
    <col min="28" max="28" width="10" style="50" customWidth="1"/>
    <col min="29" max="29" width="12.1640625" style="74" customWidth="1"/>
    <col min="30" max="30" width="14.33203125" style="164" customWidth="1"/>
    <col min="31" max="31" width="9.1640625" style="50" customWidth="1"/>
    <col min="32" max="35" width="8.83203125" style="50"/>
    <col min="36" max="36" width="8.83203125" style="402"/>
    <col min="37" max="46" width="8.83203125" style="74"/>
  </cols>
  <sheetData>
    <row r="1" spans="1:36" ht="49" thickBot="1">
      <c r="A1" s="215" t="s">
        <v>32</v>
      </c>
      <c r="B1" s="37" t="s">
        <v>3</v>
      </c>
      <c r="C1" s="37" t="s">
        <v>4</v>
      </c>
      <c r="D1" s="37" t="s">
        <v>5</v>
      </c>
      <c r="E1" s="37" t="s">
        <v>6</v>
      </c>
      <c r="F1" s="37" t="s">
        <v>7</v>
      </c>
      <c r="G1" s="37" t="s">
        <v>0</v>
      </c>
      <c r="H1" s="37" t="s">
        <v>20</v>
      </c>
      <c r="I1" s="37" t="s">
        <v>8</v>
      </c>
      <c r="J1" s="37" t="s">
        <v>9</v>
      </c>
      <c r="K1" s="37" t="s">
        <v>10</v>
      </c>
      <c r="L1" s="37" t="s">
        <v>11</v>
      </c>
      <c r="M1" s="37" t="s">
        <v>12</v>
      </c>
      <c r="N1" s="37" t="s">
        <v>13</v>
      </c>
      <c r="O1" s="37" t="s">
        <v>4098</v>
      </c>
      <c r="P1" s="37" t="s">
        <v>14</v>
      </c>
      <c r="Q1" s="37" t="s">
        <v>4099</v>
      </c>
      <c r="R1" s="37" t="s">
        <v>4093</v>
      </c>
      <c r="S1" s="37" t="s">
        <v>4094</v>
      </c>
      <c r="T1" s="37" t="s">
        <v>4095</v>
      </c>
      <c r="U1" s="37" t="s">
        <v>4096</v>
      </c>
      <c r="V1" s="37" t="s">
        <v>4097</v>
      </c>
      <c r="W1" s="37" t="s">
        <v>4106</v>
      </c>
      <c r="X1" s="37" t="s">
        <v>4101</v>
      </c>
      <c r="Y1" s="37" t="s">
        <v>4102</v>
      </c>
      <c r="Z1" s="95" t="s">
        <v>15</v>
      </c>
      <c r="AA1" s="95" t="s">
        <v>16</v>
      </c>
      <c r="AB1" s="37" t="s">
        <v>17</v>
      </c>
      <c r="AC1" s="37" t="s">
        <v>18</v>
      </c>
      <c r="AD1" s="95" t="s">
        <v>19</v>
      </c>
      <c r="AE1" s="184" t="s">
        <v>24</v>
      </c>
      <c r="AF1" s="184" t="s">
        <v>25</v>
      </c>
      <c r="AG1" s="184" t="s">
        <v>26</v>
      </c>
      <c r="AH1" s="184" t="s">
        <v>27</v>
      </c>
      <c r="AI1" s="184" t="s">
        <v>1003</v>
      </c>
      <c r="AJ1" s="96" t="s">
        <v>3190</v>
      </c>
    </row>
    <row r="2" spans="1:36" ht="14">
      <c r="A2" s="74" t="s">
        <v>35</v>
      </c>
      <c r="B2" s="42" t="s">
        <v>2549</v>
      </c>
      <c r="C2" s="42" t="s">
        <v>2550</v>
      </c>
      <c r="D2" s="56" t="s">
        <v>150</v>
      </c>
      <c r="E2" s="42" t="s">
        <v>686</v>
      </c>
      <c r="F2" s="42"/>
      <c r="G2" s="267" t="s">
        <v>4956</v>
      </c>
      <c r="H2" s="45">
        <v>4581</v>
      </c>
      <c r="I2" s="44" t="s">
        <v>2</v>
      </c>
      <c r="J2" s="45" t="s">
        <v>2551</v>
      </c>
      <c r="K2" s="216">
        <v>40935</v>
      </c>
      <c r="L2" s="217">
        <v>40931</v>
      </c>
      <c r="M2" s="45"/>
      <c r="N2" s="45" t="s">
        <v>1</v>
      </c>
      <c r="O2" s="107">
        <f>1.4/2</f>
        <v>0.7</v>
      </c>
      <c r="P2" s="45">
        <v>4.5999999999999996</v>
      </c>
      <c r="Q2" s="44">
        <v>7.14</v>
      </c>
      <c r="R2" s="218">
        <v>13</v>
      </c>
      <c r="S2" s="219">
        <v>23</v>
      </c>
      <c r="T2" s="220">
        <f>0.01/2</f>
        <v>5.0000000000000001E-3</v>
      </c>
      <c r="U2" s="221">
        <v>0.51</v>
      </c>
      <c r="V2" s="220">
        <v>0.82</v>
      </c>
      <c r="W2" s="221">
        <f>0.005/2</f>
        <v>2.5000000000000001E-3</v>
      </c>
      <c r="X2" s="220">
        <v>0.20899999999999999</v>
      </c>
      <c r="Y2" s="221">
        <f>0.002/2</f>
        <v>1E-3</v>
      </c>
      <c r="Z2" s="315">
        <v>1</v>
      </c>
      <c r="AA2" s="316">
        <v>1</v>
      </c>
      <c r="AB2" s="45">
        <v>10</v>
      </c>
      <c r="AC2" s="44">
        <v>46</v>
      </c>
      <c r="AD2" s="315">
        <v>1</v>
      </c>
    </row>
    <row r="3" spans="1:36" ht="14">
      <c r="A3" s="74" t="s">
        <v>35</v>
      </c>
      <c r="B3" s="50" t="s">
        <v>2549</v>
      </c>
      <c r="C3" s="50" t="s">
        <v>2550</v>
      </c>
      <c r="D3" s="56" t="s">
        <v>150</v>
      </c>
      <c r="E3" s="50" t="s">
        <v>686</v>
      </c>
      <c r="G3" s="48" t="s">
        <v>4956</v>
      </c>
      <c r="H3" s="50">
        <v>4581</v>
      </c>
      <c r="I3" s="52" t="s">
        <v>2</v>
      </c>
      <c r="J3" s="50" t="s">
        <v>2552</v>
      </c>
      <c r="K3" s="72">
        <v>40934</v>
      </c>
      <c r="L3" s="71">
        <v>40931</v>
      </c>
      <c r="N3" s="50" t="s">
        <v>1</v>
      </c>
      <c r="O3" s="131">
        <f>1.4/2</f>
        <v>0.7</v>
      </c>
      <c r="P3" s="50">
        <v>4.6100000000000003</v>
      </c>
      <c r="Q3" s="74">
        <v>6.64</v>
      </c>
      <c r="R3" s="224">
        <v>26</v>
      </c>
      <c r="S3" s="225">
        <v>20</v>
      </c>
      <c r="T3" s="226">
        <v>0.11</v>
      </c>
      <c r="U3" s="227">
        <v>0.92</v>
      </c>
      <c r="V3" s="226">
        <v>0.21</v>
      </c>
      <c r="W3" s="227">
        <f>0.005/2</f>
        <v>2.5000000000000001E-3</v>
      </c>
      <c r="X3" s="226">
        <v>0.217</v>
      </c>
      <c r="Y3" s="227">
        <f>0.002/2</f>
        <v>1E-3</v>
      </c>
      <c r="Z3" s="166">
        <v>1</v>
      </c>
      <c r="AA3" s="167">
        <v>1</v>
      </c>
      <c r="AB3" s="50">
        <v>30</v>
      </c>
      <c r="AC3" s="74">
        <v>1136</v>
      </c>
      <c r="AD3" s="317">
        <v>1</v>
      </c>
    </row>
    <row r="4" spans="1:36" ht="14">
      <c r="A4" s="74" t="s">
        <v>35</v>
      </c>
      <c r="B4" s="50" t="s">
        <v>2549</v>
      </c>
      <c r="C4" s="50" t="s">
        <v>2550</v>
      </c>
      <c r="D4" s="56">
        <v>108</v>
      </c>
      <c r="E4" s="50" t="s">
        <v>686</v>
      </c>
      <c r="G4" s="48" t="s">
        <v>4956</v>
      </c>
      <c r="H4" s="50">
        <v>4581</v>
      </c>
      <c r="I4" s="52" t="s">
        <v>2</v>
      </c>
      <c r="J4" s="50" t="s">
        <v>2553</v>
      </c>
      <c r="K4" s="72">
        <v>40935</v>
      </c>
      <c r="L4" s="71">
        <v>40931</v>
      </c>
      <c r="N4" s="50" t="s">
        <v>1</v>
      </c>
      <c r="O4" s="131">
        <f>1.4/2</f>
        <v>0.7</v>
      </c>
      <c r="P4" s="50">
        <v>4.6100000000000003</v>
      </c>
      <c r="Q4" s="74">
        <v>7.18</v>
      </c>
      <c r="R4" s="224">
        <v>15</v>
      </c>
      <c r="S4" s="225">
        <v>7</v>
      </c>
      <c r="T4" s="226">
        <v>0.02</v>
      </c>
      <c r="U4" s="227">
        <v>0.54</v>
      </c>
      <c r="V4" s="226">
        <v>0.38</v>
      </c>
      <c r="W4" s="227">
        <f>0.005/2</f>
        <v>2.5000000000000001E-3</v>
      </c>
      <c r="X4" s="226">
        <v>1.0999999999999999E-2</v>
      </c>
      <c r="Y4" s="227">
        <f>0.002/2</f>
        <v>1E-3</v>
      </c>
      <c r="Z4" s="166">
        <v>1</v>
      </c>
      <c r="AA4" s="167">
        <v>1</v>
      </c>
      <c r="AB4" s="50">
        <v>30</v>
      </c>
      <c r="AC4" s="74">
        <v>106</v>
      </c>
      <c r="AD4" s="317">
        <v>1</v>
      </c>
    </row>
    <row r="5" spans="1:36" ht="14">
      <c r="A5" s="74" t="s">
        <v>35</v>
      </c>
      <c r="B5" s="50" t="s">
        <v>2549</v>
      </c>
      <c r="C5" s="50" t="s">
        <v>2554</v>
      </c>
      <c r="D5" s="56" t="s">
        <v>406</v>
      </c>
      <c r="E5" s="50" t="s">
        <v>2555</v>
      </c>
      <c r="G5" s="48" t="s">
        <v>2787</v>
      </c>
      <c r="H5" s="50">
        <v>4581</v>
      </c>
      <c r="I5" s="52" t="s">
        <v>2</v>
      </c>
      <c r="J5" s="50" t="s">
        <v>2556</v>
      </c>
      <c r="K5" s="72">
        <v>41156</v>
      </c>
      <c r="L5" s="71">
        <v>41139</v>
      </c>
      <c r="N5" s="50" t="s">
        <v>2</v>
      </c>
      <c r="O5" s="131">
        <v>12</v>
      </c>
      <c r="P5" s="50">
        <v>5.6</v>
      </c>
      <c r="Q5" s="74">
        <v>5.61</v>
      </c>
      <c r="R5" s="224">
        <v>140</v>
      </c>
      <c r="S5" s="225">
        <v>84</v>
      </c>
      <c r="T5" s="226">
        <v>0.98</v>
      </c>
      <c r="U5" s="227">
        <v>5.65</v>
      </c>
      <c r="V5" s="226">
        <v>1.94</v>
      </c>
      <c r="W5" s="227">
        <v>4.4999999999999998E-2</v>
      </c>
      <c r="X5" s="226">
        <v>1.44</v>
      </c>
      <c r="Y5" s="227">
        <v>6.0000000000000001E-3</v>
      </c>
      <c r="Z5" s="166">
        <v>0.41099999999999998</v>
      </c>
      <c r="AA5" s="167">
        <v>0.158</v>
      </c>
      <c r="AB5" s="50">
        <v>22</v>
      </c>
      <c r="AC5" s="74">
        <v>91</v>
      </c>
      <c r="AD5" s="166">
        <v>0</v>
      </c>
    </row>
    <row r="6" spans="1:36" ht="14">
      <c r="A6" s="74" t="s">
        <v>35</v>
      </c>
      <c r="B6" s="50" t="s">
        <v>2549</v>
      </c>
      <c r="C6" s="50" t="s">
        <v>2554</v>
      </c>
      <c r="D6" s="56" t="s">
        <v>406</v>
      </c>
      <c r="E6" s="50" t="s">
        <v>2555</v>
      </c>
      <c r="G6" s="48" t="s">
        <v>2787</v>
      </c>
      <c r="H6" s="50">
        <v>4581</v>
      </c>
      <c r="I6" s="52" t="s">
        <v>2</v>
      </c>
      <c r="J6" s="50" t="s">
        <v>2557</v>
      </c>
      <c r="K6" s="72">
        <v>41156</v>
      </c>
      <c r="L6" s="71">
        <v>41139</v>
      </c>
      <c r="N6" s="50" t="s">
        <v>2</v>
      </c>
      <c r="O6" s="131">
        <f t="shared" ref="O6:O12" si="0">1.4/2</f>
        <v>0.7</v>
      </c>
      <c r="P6" s="50">
        <v>5.6</v>
      </c>
      <c r="Q6" s="74">
        <v>6.3</v>
      </c>
      <c r="R6" s="224">
        <v>41</v>
      </c>
      <c r="S6" s="225">
        <v>96</v>
      </c>
      <c r="T6" s="226">
        <v>0.34</v>
      </c>
      <c r="U6" s="227">
        <v>1.57</v>
      </c>
      <c r="V6" s="226">
        <v>0.99</v>
      </c>
      <c r="W6" s="227">
        <v>4.3999999999999997E-2</v>
      </c>
      <c r="X6" s="226">
        <v>0.20200000000000001</v>
      </c>
      <c r="Y6" s="227">
        <v>5.0000000000000001E-3</v>
      </c>
      <c r="Z6" s="166">
        <v>0.43099999999999999</v>
      </c>
      <c r="AA6" s="167">
        <v>0.36099999999999999</v>
      </c>
      <c r="AB6" s="50">
        <v>8</v>
      </c>
      <c r="AC6" s="74">
        <v>70</v>
      </c>
      <c r="AD6" s="166">
        <v>0</v>
      </c>
    </row>
    <row r="7" spans="1:36" ht="14">
      <c r="A7" s="74" t="s">
        <v>35</v>
      </c>
      <c r="B7" s="50" t="s">
        <v>2549</v>
      </c>
      <c r="C7" s="50" t="s">
        <v>2554</v>
      </c>
      <c r="D7" s="56" t="s">
        <v>406</v>
      </c>
      <c r="E7" s="50" t="s">
        <v>2555</v>
      </c>
      <c r="G7" s="48" t="s">
        <v>2787</v>
      </c>
      <c r="H7" s="50">
        <v>4581</v>
      </c>
      <c r="I7" s="52" t="s">
        <v>1</v>
      </c>
      <c r="J7" s="50" t="s">
        <v>2558</v>
      </c>
      <c r="K7" s="72">
        <v>41156</v>
      </c>
      <c r="L7" s="71">
        <v>41139</v>
      </c>
      <c r="N7" s="50" t="s">
        <v>2</v>
      </c>
      <c r="O7" s="131">
        <f t="shared" si="0"/>
        <v>0.7</v>
      </c>
      <c r="P7" s="50">
        <v>5.6</v>
      </c>
      <c r="Q7" s="74">
        <v>7.17</v>
      </c>
      <c r="R7" s="224">
        <v>430</v>
      </c>
      <c r="S7" s="225">
        <v>15</v>
      </c>
      <c r="T7" s="226">
        <v>7.0000000000000007E-2</v>
      </c>
      <c r="U7" s="227">
        <v>0.88</v>
      </c>
      <c r="V7" s="226">
        <v>0.62</v>
      </c>
      <c r="W7" s="227">
        <v>1.0999999999999999E-2</v>
      </c>
      <c r="X7" s="226">
        <v>0.05</v>
      </c>
      <c r="Y7" s="227">
        <v>1.0999999999999999E-2</v>
      </c>
      <c r="Z7" s="166">
        <v>0.35399999999999998</v>
      </c>
      <c r="AA7" s="167">
        <v>0.35399999999999998</v>
      </c>
      <c r="AB7" s="50">
        <v>2700</v>
      </c>
      <c r="AC7" s="74">
        <v>22700</v>
      </c>
      <c r="AD7" s="166">
        <v>0</v>
      </c>
      <c r="AI7" s="50">
        <f>10/2</f>
        <v>5</v>
      </c>
    </row>
    <row r="8" spans="1:36" ht="14">
      <c r="A8" s="74" t="s">
        <v>35</v>
      </c>
      <c r="B8" s="50" t="s">
        <v>2549</v>
      </c>
      <c r="C8" s="50" t="s">
        <v>2554</v>
      </c>
      <c r="D8" s="56" t="s">
        <v>406</v>
      </c>
      <c r="E8" s="50" t="s">
        <v>2555</v>
      </c>
      <c r="G8" s="48" t="s">
        <v>2787</v>
      </c>
      <c r="H8" s="50">
        <v>4581</v>
      </c>
      <c r="I8" s="52" t="s">
        <v>1</v>
      </c>
      <c r="J8" s="50" t="s">
        <v>2559</v>
      </c>
      <c r="K8" s="72">
        <v>41156</v>
      </c>
      <c r="L8" s="71">
        <v>41139</v>
      </c>
      <c r="N8" s="50" t="s">
        <v>2</v>
      </c>
      <c r="O8" s="131">
        <f t="shared" si="0"/>
        <v>0.7</v>
      </c>
      <c r="P8" s="50">
        <v>5.6</v>
      </c>
      <c r="Q8" s="74">
        <v>6.98</v>
      </c>
      <c r="R8" s="224">
        <v>55</v>
      </c>
      <c r="S8" s="225">
        <v>15</v>
      </c>
      <c r="T8" s="226">
        <v>0.05</v>
      </c>
      <c r="U8" s="227">
        <v>2.58</v>
      </c>
      <c r="V8" s="226">
        <v>2.0499999999999998</v>
      </c>
      <c r="W8" s="227">
        <v>0.01</v>
      </c>
      <c r="X8" s="226">
        <v>7.0000000000000007E-2</v>
      </c>
      <c r="Y8" s="227">
        <f>0.002/2</f>
        <v>1E-3</v>
      </c>
      <c r="Z8" s="166">
        <v>1</v>
      </c>
      <c r="AA8" s="167">
        <v>1</v>
      </c>
      <c r="AB8" s="50">
        <v>48</v>
      </c>
      <c r="AC8" s="74">
        <v>167</v>
      </c>
      <c r="AD8" s="166">
        <v>0.95</v>
      </c>
      <c r="AI8" s="50">
        <v>260</v>
      </c>
    </row>
    <row r="9" spans="1:36" ht="14">
      <c r="A9" s="74" t="s">
        <v>35</v>
      </c>
      <c r="B9" s="50" t="s">
        <v>2549</v>
      </c>
      <c r="C9" s="50" t="s">
        <v>2560</v>
      </c>
      <c r="D9" s="56">
        <v>163</v>
      </c>
      <c r="E9" s="50" t="s">
        <v>2561</v>
      </c>
      <c r="F9" s="50" t="s">
        <v>2562</v>
      </c>
      <c r="G9" s="48" t="s">
        <v>4957</v>
      </c>
      <c r="H9" s="50">
        <v>4581</v>
      </c>
      <c r="I9" s="52" t="s">
        <v>2</v>
      </c>
      <c r="J9" s="50" t="s">
        <v>2563</v>
      </c>
      <c r="K9" s="72">
        <v>41156</v>
      </c>
      <c r="L9" s="71">
        <v>41153</v>
      </c>
      <c r="N9" s="50" t="s">
        <v>2</v>
      </c>
      <c r="O9" s="131">
        <f t="shared" si="0"/>
        <v>0.7</v>
      </c>
      <c r="P9" s="50">
        <v>6.52</v>
      </c>
      <c r="Q9" s="74">
        <v>6.47</v>
      </c>
      <c r="R9" s="224">
        <v>22</v>
      </c>
      <c r="S9" s="225">
        <v>29</v>
      </c>
      <c r="T9" s="226">
        <v>0.15</v>
      </c>
      <c r="U9" s="227">
        <v>0.55000000000000004</v>
      </c>
      <c r="V9" s="226">
        <v>0.11</v>
      </c>
      <c r="W9" s="227">
        <v>5.0000000000000001E-3</v>
      </c>
      <c r="X9" s="226">
        <v>4.5999999999999999E-2</v>
      </c>
      <c r="Y9" s="227">
        <v>3.0000000000000001E-3</v>
      </c>
      <c r="Z9" s="166">
        <v>1</v>
      </c>
      <c r="AA9" s="167">
        <v>1</v>
      </c>
      <c r="AB9" s="50">
        <v>4</v>
      </c>
      <c r="AC9" s="74">
        <v>41</v>
      </c>
      <c r="AD9" s="166">
        <v>0.95</v>
      </c>
    </row>
    <row r="10" spans="1:36" ht="14">
      <c r="A10" s="74" t="s">
        <v>35</v>
      </c>
      <c r="B10" s="50" t="s">
        <v>2549</v>
      </c>
      <c r="C10" s="50" t="s">
        <v>2564</v>
      </c>
      <c r="D10" s="56" t="s">
        <v>133</v>
      </c>
      <c r="E10" s="50" t="s">
        <v>2519</v>
      </c>
      <c r="G10" s="48" t="s">
        <v>3188</v>
      </c>
      <c r="H10" s="50">
        <v>4581</v>
      </c>
      <c r="I10" s="52" t="s">
        <v>1</v>
      </c>
      <c r="J10" s="50" t="s">
        <v>2565</v>
      </c>
      <c r="K10" s="72">
        <v>41170</v>
      </c>
      <c r="L10" s="71">
        <v>41160</v>
      </c>
      <c r="N10" s="50" t="s">
        <v>2</v>
      </c>
      <c r="O10" s="131">
        <f t="shared" si="0"/>
        <v>0.7</v>
      </c>
      <c r="P10" s="50">
        <v>5.34</v>
      </c>
      <c r="Q10" s="74">
        <v>7.29</v>
      </c>
      <c r="R10" s="224">
        <v>51</v>
      </c>
      <c r="S10" s="225">
        <v>5</v>
      </c>
      <c r="T10" s="226">
        <v>0.39</v>
      </c>
      <c r="U10" s="227">
        <v>1.2</v>
      </c>
      <c r="V10" s="226">
        <v>0.56000000000000005</v>
      </c>
      <c r="W10" s="227">
        <f>0.005/2</f>
        <v>2.5000000000000001E-3</v>
      </c>
      <c r="X10" s="226">
        <v>6.4000000000000001E-2</v>
      </c>
      <c r="Y10" s="227">
        <v>3.0000000000000001E-3</v>
      </c>
      <c r="Z10" s="166">
        <v>1</v>
      </c>
      <c r="AA10" s="167">
        <v>1</v>
      </c>
      <c r="AB10" s="50">
        <v>16</v>
      </c>
      <c r="AC10" s="74">
        <v>51</v>
      </c>
      <c r="AD10" s="166">
        <v>1</v>
      </c>
    </row>
    <row r="11" spans="1:36" ht="14">
      <c r="A11" s="74" t="s">
        <v>35</v>
      </c>
      <c r="B11" s="50" t="s">
        <v>2549</v>
      </c>
      <c r="C11" s="50" t="s">
        <v>2564</v>
      </c>
      <c r="D11" s="56" t="s">
        <v>133</v>
      </c>
      <c r="E11" s="50" t="s">
        <v>2519</v>
      </c>
      <c r="G11" s="48" t="s">
        <v>3188</v>
      </c>
      <c r="H11" s="50">
        <v>4581</v>
      </c>
      <c r="I11" s="52" t="s">
        <v>2</v>
      </c>
      <c r="J11" s="50" t="s">
        <v>2566</v>
      </c>
      <c r="K11" s="72">
        <v>41170</v>
      </c>
      <c r="L11" s="71">
        <v>41160</v>
      </c>
      <c r="N11" s="50" t="s">
        <v>2</v>
      </c>
      <c r="O11" s="131">
        <f t="shared" si="0"/>
        <v>0.7</v>
      </c>
      <c r="P11" s="50">
        <v>5.34</v>
      </c>
      <c r="Q11" s="74">
        <v>6.51</v>
      </c>
      <c r="R11" s="224">
        <v>120</v>
      </c>
      <c r="S11" s="225">
        <v>22</v>
      </c>
      <c r="T11" s="226">
        <v>0.27</v>
      </c>
      <c r="U11" s="227">
        <v>4.3</v>
      </c>
      <c r="V11" s="226">
        <v>1.36</v>
      </c>
      <c r="W11" s="227">
        <v>3.5999999999999997E-2</v>
      </c>
      <c r="X11" s="226">
        <v>0.222</v>
      </c>
      <c r="Y11" s="227">
        <v>1.4E-2</v>
      </c>
      <c r="Z11" s="166">
        <v>1</v>
      </c>
      <c r="AA11" s="167">
        <v>1</v>
      </c>
      <c r="AB11" s="50">
        <v>46</v>
      </c>
      <c r="AC11" s="74">
        <v>129</v>
      </c>
      <c r="AD11" s="166">
        <v>1</v>
      </c>
    </row>
    <row r="12" spans="1:36" ht="14">
      <c r="A12" s="74" t="s">
        <v>35</v>
      </c>
      <c r="B12" s="50" t="s">
        <v>2549</v>
      </c>
      <c r="C12" s="50" t="s">
        <v>2564</v>
      </c>
      <c r="D12" s="56" t="s">
        <v>133</v>
      </c>
      <c r="E12" s="50" t="s">
        <v>2519</v>
      </c>
      <c r="G12" s="48" t="s">
        <v>3188</v>
      </c>
      <c r="H12" s="50">
        <v>4581</v>
      </c>
      <c r="I12" s="52" t="s">
        <v>1</v>
      </c>
      <c r="J12" s="50" t="s">
        <v>2567</v>
      </c>
      <c r="K12" s="72">
        <v>41170</v>
      </c>
      <c r="L12" s="71">
        <v>41160</v>
      </c>
      <c r="N12" s="50" t="s">
        <v>2</v>
      </c>
      <c r="O12" s="131">
        <f t="shared" si="0"/>
        <v>0.7</v>
      </c>
      <c r="P12" s="50">
        <v>5.34</v>
      </c>
      <c r="Q12" s="74">
        <v>7.59</v>
      </c>
      <c r="R12" s="224">
        <f>10/2</f>
        <v>5</v>
      </c>
      <c r="S12" s="225">
        <f>5/2</f>
        <v>2.5</v>
      </c>
      <c r="T12" s="226">
        <v>0.02</v>
      </c>
      <c r="U12" s="227">
        <v>0.45</v>
      </c>
      <c r="V12" s="226">
        <v>0.24</v>
      </c>
      <c r="W12" s="227">
        <f>0.005/2</f>
        <v>2.5000000000000001E-3</v>
      </c>
      <c r="X12" s="226">
        <v>4.0000000000000001E-3</v>
      </c>
      <c r="Y12" s="227">
        <v>8.0000000000000002E-3</v>
      </c>
      <c r="Z12" s="166">
        <v>1</v>
      </c>
      <c r="AA12" s="167">
        <v>1</v>
      </c>
      <c r="AB12" s="50">
        <v>106</v>
      </c>
      <c r="AC12" s="74">
        <v>259</v>
      </c>
      <c r="AD12" s="166">
        <v>0.75</v>
      </c>
    </row>
    <row r="13" spans="1:36" ht="14">
      <c r="A13" s="74" t="s">
        <v>35</v>
      </c>
      <c r="B13" s="50" t="s">
        <v>2549</v>
      </c>
      <c r="C13" s="50" t="s">
        <v>2564</v>
      </c>
      <c r="D13" s="56" t="s">
        <v>133</v>
      </c>
      <c r="E13" s="50" t="s">
        <v>2519</v>
      </c>
      <c r="G13" s="48" t="s">
        <v>3188</v>
      </c>
      <c r="H13" s="50">
        <v>4581</v>
      </c>
      <c r="I13" s="52" t="s">
        <v>1</v>
      </c>
      <c r="J13" s="50" t="s">
        <v>366</v>
      </c>
      <c r="K13" s="72">
        <v>41264</v>
      </c>
      <c r="L13" s="71">
        <v>41261</v>
      </c>
      <c r="N13" s="50" t="s">
        <v>2</v>
      </c>
      <c r="O13" s="131"/>
      <c r="R13" s="224"/>
      <c r="S13" s="225"/>
      <c r="T13" s="226"/>
      <c r="U13" s="227"/>
      <c r="V13" s="226"/>
      <c r="W13" s="227"/>
      <c r="X13" s="226"/>
      <c r="Y13" s="227"/>
      <c r="Z13" s="166"/>
      <c r="AA13" s="167"/>
      <c r="AD13" s="166"/>
      <c r="AJ13" s="402">
        <f>10/2</f>
        <v>5</v>
      </c>
    </row>
    <row r="14" spans="1:36" ht="14">
      <c r="A14" s="74" t="s">
        <v>35</v>
      </c>
      <c r="B14" s="50" t="s">
        <v>2549</v>
      </c>
      <c r="C14" s="50" t="s">
        <v>2564</v>
      </c>
      <c r="D14" s="56" t="s">
        <v>133</v>
      </c>
      <c r="E14" s="50" t="s">
        <v>2519</v>
      </c>
      <c r="G14" s="48" t="s">
        <v>3188</v>
      </c>
      <c r="H14" s="50">
        <v>4581</v>
      </c>
      <c r="I14" s="52" t="s">
        <v>1</v>
      </c>
      <c r="J14" s="50" t="s">
        <v>477</v>
      </c>
      <c r="K14" s="72">
        <v>41264</v>
      </c>
      <c r="L14" s="71">
        <v>41261</v>
      </c>
      <c r="N14" s="50" t="s">
        <v>2</v>
      </c>
      <c r="O14" s="131"/>
      <c r="R14" s="224"/>
      <c r="S14" s="225"/>
      <c r="T14" s="226"/>
      <c r="U14" s="227"/>
      <c r="V14" s="226"/>
      <c r="W14" s="227"/>
      <c r="X14" s="226"/>
      <c r="Y14" s="227"/>
      <c r="Z14" s="166"/>
      <c r="AA14" s="167"/>
      <c r="AD14" s="166"/>
      <c r="AJ14" s="402">
        <f>10/2</f>
        <v>5</v>
      </c>
    </row>
    <row r="15" spans="1:36" ht="14">
      <c r="A15" s="74" t="s">
        <v>35</v>
      </c>
      <c r="B15" s="50" t="s">
        <v>2568</v>
      </c>
      <c r="D15" s="56" t="s">
        <v>56</v>
      </c>
      <c r="E15" s="50" t="s">
        <v>2569</v>
      </c>
      <c r="G15" s="48" t="s">
        <v>4958</v>
      </c>
      <c r="H15" s="50">
        <v>4581</v>
      </c>
      <c r="I15" s="52" t="s">
        <v>2</v>
      </c>
      <c r="J15" s="50" t="s">
        <v>2569</v>
      </c>
      <c r="K15" s="72">
        <v>40955</v>
      </c>
      <c r="L15" s="71"/>
      <c r="N15" s="50" t="s">
        <v>2</v>
      </c>
      <c r="O15" s="131">
        <f>2/2</f>
        <v>1</v>
      </c>
      <c r="Q15" s="74">
        <v>7.7</v>
      </c>
      <c r="R15" s="224">
        <v>290</v>
      </c>
      <c r="S15" s="225">
        <v>28</v>
      </c>
      <c r="T15" s="226">
        <f>0.05/2</f>
        <v>2.5000000000000001E-2</v>
      </c>
      <c r="U15" s="227">
        <v>0.61</v>
      </c>
      <c r="V15" s="226">
        <v>0.67</v>
      </c>
      <c r="W15" s="227">
        <v>0.05</v>
      </c>
      <c r="X15" s="226">
        <f>0.03/2</f>
        <v>1.4999999999999999E-2</v>
      </c>
      <c r="Y15" s="227">
        <f>0.03/2</f>
        <v>1.4999999999999999E-2</v>
      </c>
      <c r="Z15" s="166">
        <v>0.25900000000000001</v>
      </c>
      <c r="AA15" s="167">
        <v>0.109</v>
      </c>
      <c r="AB15" s="50">
        <v>2195</v>
      </c>
      <c r="AC15" s="74">
        <v>12800</v>
      </c>
      <c r="AD15" s="166">
        <v>0</v>
      </c>
      <c r="AE15" s="50">
        <v>160</v>
      </c>
      <c r="AF15" s="50">
        <f>0.1/2</f>
        <v>0.05</v>
      </c>
      <c r="AG15" s="50">
        <f>10/2</f>
        <v>5</v>
      </c>
      <c r="AH15" s="50">
        <f>10/2</f>
        <v>5</v>
      </c>
    </row>
    <row r="16" spans="1:36" ht="14">
      <c r="A16" s="74" t="s">
        <v>35</v>
      </c>
      <c r="B16" s="50" t="s">
        <v>2568</v>
      </c>
      <c r="D16" s="56" t="s">
        <v>56</v>
      </c>
      <c r="E16" s="50" t="s">
        <v>2569</v>
      </c>
      <c r="G16" s="48" t="s">
        <v>4958</v>
      </c>
      <c r="H16" s="50">
        <v>4581</v>
      </c>
      <c r="J16" s="50" t="s">
        <v>2569</v>
      </c>
      <c r="K16" s="72">
        <v>41309</v>
      </c>
      <c r="L16" s="71">
        <v>41305</v>
      </c>
      <c r="N16" s="50" t="s">
        <v>1</v>
      </c>
      <c r="O16" s="74">
        <f>2/2</f>
        <v>1</v>
      </c>
      <c r="P16" s="50">
        <v>8.3000000000000007</v>
      </c>
      <c r="Q16" s="74">
        <v>8.1999999999999993</v>
      </c>
      <c r="R16" s="50">
        <v>182</v>
      </c>
      <c r="S16" s="74">
        <v>22</v>
      </c>
      <c r="T16" s="50">
        <f>0.05/2</f>
        <v>2.5000000000000001E-2</v>
      </c>
      <c r="U16" s="74">
        <v>0.44</v>
      </c>
      <c r="V16" s="50">
        <v>0.55000000000000004</v>
      </c>
      <c r="W16" s="74">
        <v>5.8999999999999997E-2</v>
      </c>
      <c r="X16" s="50">
        <f>0.03/2</f>
        <v>1.4999999999999999E-2</v>
      </c>
      <c r="Y16" s="74">
        <f>0.03/2</f>
        <v>1.4999999999999999E-2</v>
      </c>
      <c r="Z16" s="166">
        <v>0.34200000000000003</v>
      </c>
      <c r="AA16" s="167">
        <v>0.25</v>
      </c>
      <c r="AB16" s="50">
        <v>2850</v>
      </c>
      <c r="AC16" s="74">
        <v>16190</v>
      </c>
      <c r="AD16" s="164">
        <v>0</v>
      </c>
      <c r="AE16" s="50">
        <f>3/2</f>
        <v>1.5</v>
      </c>
      <c r="AG16" s="50">
        <f>10/2</f>
        <v>5</v>
      </c>
      <c r="AH16" s="50">
        <f>10/2</f>
        <v>5</v>
      </c>
    </row>
    <row r="17" spans="1:35" ht="14">
      <c r="A17" s="74" t="s">
        <v>35</v>
      </c>
      <c r="B17" s="50" t="s">
        <v>2549</v>
      </c>
      <c r="C17" s="50" t="s">
        <v>2554</v>
      </c>
      <c r="D17" s="56" t="s">
        <v>406</v>
      </c>
      <c r="E17" s="50" t="s">
        <v>2555</v>
      </c>
      <c r="G17" s="48" t="s">
        <v>2787</v>
      </c>
      <c r="H17" s="50">
        <v>4581</v>
      </c>
      <c r="I17" s="52" t="s">
        <v>2</v>
      </c>
      <c r="J17" s="50" t="s">
        <v>366</v>
      </c>
      <c r="K17" s="72">
        <v>41352</v>
      </c>
      <c r="L17" s="71">
        <v>41345</v>
      </c>
      <c r="N17" s="50" t="s">
        <v>2</v>
      </c>
      <c r="O17" s="131">
        <v>8.4</v>
      </c>
      <c r="P17" s="50">
        <v>6.9</v>
      </c>
      <c r="R17" s="224">
        <v>140</v>
      </c>
      <c r="S17" s="225"/>
      <c r="T17" s="226">
        <v>0.38</v>
      </c>
      <c r="U17" s="227">
        <v>1.96</v>
      </c>
      <c r="V17" s="226">
        <v>0.04</v>
      </c>
      <c r="W17" s="227"/>
      <c r="X17" s="226">
        <v>0.222</v>
      </c>
      <c r="Y17" s="227"/>
      <c r="Z17" s="166">
        <v>1</v>
      </c>
      <c r="AA17" s="167">
        <v>1</v>
      </c>
      <c r="AB17" s="50">
        <v>2</v>
      </c>
      <c r="AC17" s="74">
        <v>14</v>
      </c>
      <c r="AD17" s="166">
        <v>1</v>
      </c>
    </row>
    <row r="18" spans="1:35" ht="14">
      <c r="A18" s="74" t="s">
        <v>35</v>
      </c>
      <c r="B18" s="50" t="s">
        <v>2549</v>
      </c>
      <c r="C18" s="50" t="s">
        <v>2554</v>
      </c>
      <c r="D18" s="56" t="s">
        <v>406</v>
      </c>
      <c r="E18" s="50" t="s">
        <v>2555</v>
      </c>
      <c r="G18" s="48" t="s">
        <v>2787</v>
      </c>
      <c r="H18" s="50">
        <v>4581</v>
      </c>
      <c r="I18" s="52" t="s">
        <v>2</v>
      </c>
      <c r="J18" s="50" t="s">
        <v>593</v>
      </c>
      <c r="K18" s="72">
        <v>41352</v>
      </c>
      <c r="L18" s="337">
        <v>41345</v>
      </c>
      <c r="N18" s="50" t="s">
        <v>2</v>
      </c>
      <c r="O18" s="131"/>
      <c r="P18" s="50">
        <v>6.9</v>
      </c>
      <c r="R18" s="224"/>
      <c r="S18" s="225">
        <f>5/2</f>
        <v>2.5</v>
      </c>
      <c r="T18" s="226"/>
      <c r="U18" s="227"/>
      <c r="V18" s="226"/>
      <c r="W18" s="227"/>
      <c r="X18" s="226">
        <v>3.0000000000000001E-3</v>
      </c>
      <c r="Y18" s="227"/>
      <c r="Z18" s="166">
        <v>1</v>
      </c>
      <c r="AA18" s="167">
        <v>1</v>
      </c>
      <c r="AB18" s="50">
        <v>8</v>
      </c>
      <c r="AC18" s="74">
        <v>28</v>
      </c>
      <c r="AD18" s="166">
        <v>1</v>
      </c>
    </row>
    <row r="19" spans="1:35" ht="14">
      <c r="A19" s="74" t="s">
        <v>35</v>
      </c>
      <c r="B19" s="50" t="s">
        <v>2549</v>
      </c>
      <c r="C19" s="50" t="s">
        <v>2554</v>
      </c>
      <c r="D19" s="56" t="s">
        <v>406</v>
      </c>
      <c r="E19" s="50" t="s">
        <v>2555</v>
      </c>
      <c r="G19" s="48" t="s">
        <v>2787</v>
      </c>
      <c r="H19" s="50">
        <v>4581</v>
      </c>
      <c r="I19" s="52" t="s">
        <v>1</v>
      </c>
      <c r="J19" s="50" t="s">
        <v>477</v>
      </c>
      <c r="K19" s="72">
        <v>41352</v>
      </c>
      <c r="L19" s="71">
        <v>41345</v>
      </c>
      <c r="N19" s="50" t="s">
        <v>2</v>
      </c>
      <c r="O19" s="131"/>
      <c r="P19" s="50">
        <v>6.9</v>
      </c>
      <c r="R19" s="224">
        <f>10/2</f>
        <v>5</v>
      </c>
      <c r="S19" s="225"/>
      <c r="T19" s="226"/>
      <c r="U19" s="227"/>
      <c r="V19" s="226"/>
      <c r="W19" s="227"/>
      <c r="X19" s="226"/>
      <c r="Y19" s="227"/>
      <c r="Z19" s="166">
        <v>1</v>
      </c>
      <c r="AA19" s="167">
        <v>1</v>
      </c>
      <c r="AB19" s="50">
        <v>44</v>
      </c>
      <c r="AC19" s="74">
        <v>433</v>
      </c>
      <c r="AD19" s="166">
        <v>1</v>
      </c>
    </row>
    <row r="20" spans="1:35" ht="14">
      <c r="A20" s="74" t="s">
        <v>35</v>
      </c>
      <c r="B20" s="50" t="s">
        <v>2549</v>
      </c>
      <c r="C20" s="50" t="s">
        <v>2554</v>
      </c>
      <c r="D20" s="56" t="s">
        <v>406</v>
      </c>
      <c r="E20" s="50" t="s">
        <v>2555</v>
      </c>
      <c r="G20" s="48" t="s">
        <v>2787</v>
      </c>
      <c r="H20" s="50">
        <v>4581</v>
      </c>
      <c r="I20" s="52" t="s">
        <v>1</v>
      </c>
      <c r="J20" s="50" t="s">
        <v>473</v>
      </c>
      <c r="K20" s="72">
        <v>41352</v>
      </c>
      <c r="L20" s="71">
        <v>41345</v>
      </c>
      <c r="N20" s="50" t="s">
        <v>2</v>
      </c>
      <c r="O20" s="131"/>
      <c r="P20" s="50">
        <v>6.9</v>
      </c>
      <c r="R20" s="224"/>
      <c r="S20" s="225"/>
      <c r="T20" s="226"/>
      <c r="U20" s="227">
        <v>0.72</v>
      </c>
      <c r="V20" s="226">
        <v>0.02</v>
      </c>
      <c r="W20" s="227"/>
      <c r="X20" s="226"/>
      <c r="Y20" s="227"/>
      <c r="Z20" s="166">
        <v>1</v>
      </c>
      <c r="AA20" s="167">
        <v>1</v>
      </c>
      <c r="AB20" s="50">
        <v>14</v>
      </c>
      <c r="AC20" s="74">
        <v>37</v>
      </c>
      <c r="AD20" s="166">
        <v>1</v>
      </c>
      <c r="AE20" s="50">
        <v>5.2</v>
      </c>
      <c r="AH20" s="50">
        <f>7/2</f>
        <v>3.5</v>
      </c>
      <c r="AI20" s="50">
        <f>10/2</f>
        <v>5</v>
      </c>
    </row>
    <row r="21" spans="1:35" ht="14">
      <c r="A21" s="74" t="s">
        <v>35</v>
      </c>
      <c r="B21" s="50" t="s">
        <v>2549</v>
      </c>
      <c r="C21" s="50" t="s">
        <v>2560</v>
      </c>
      <c r="D21" s="56">
        <v>163</v>
      </c>
      <c r="E21" s="50" t="s">
        <v>5114</v>
      </c>
      <c r="F21" s="50" t="s">
        <v>2562</v>
      </c>
      <c r="G21" s="48" t="s">
        <v>4957</v>
      </c>
      <c r="H21" s="50">
        <v>4581</v>
      </c>
      <c r="I21" s="52" t="s">
        <v>2</v>
      </c>
      <c r="J21" s="50" t="s">
        <v>5115</v>
      </c>
      <c r="K21" s="72">
        <v>41539</v>
      </c>
      <c r="L21" s="71">
        <v>41529</v>
      </c>
      <c r="N21" s="50" t="s">
        <v>2</v>
      </c>
      <c r="Z21" s="166">
        <v>1</v>
      </c>
      <c r="AA21" s="167">
        <v>1</v>
      </c>
      <c r="AB21" s="50">
        <f>2/2</f>
        <v>1</v>
      </c>
      <c r="AC21" s="74">
        <v>7</v>
      </c>
      <c r="AD21" s="164">
        <v>1</v>
      </c>
    </row>
    <row r="22" spans="1:35" ht="14">
      <c r="A22" s="74" t="s">
        <v>35</v>
      </c>
      <c r="B22" s="50" t="s">
        <v>2549</v>
      </c>
      <c r="C22" s="50" t="s">
        <v>2564</v>
      </c>
      <c r="D22" s="56" t="s">
        <v>133</v>
      </c>
      <c r="E22" s="50" t="s">
        <v>2519</v>
      </c>
      <c r="G22" s="48" t="s">
        <v>3188</v>
      </c>
      <c r="H22" s="50">
        <v>4581</v>
      </c>
      <c r="I22" s="52" t="s">
        <v>1</v>
      </c>
      <c r="J22" s="50" t="s">
        <v>366</v>
      </c>
      <c r="K22" s="72">
        <v>41539</v>
      </c>
      <c r="L22" s="71">
        <v>41529</v>
      </c>
      <c r="N22" s="50" t="s">
        <v>2</v>
      </c>
      <c r="Z22" s="166">
        <v>1</v>
      </c>
      <c r="AA22" s="167">
        <v>1</v>
      </c>
      <c r="AB22" s="50">
        <f>2/2</f>
        <v>1</v>
      </c>
      <c r="AC22" s="74">
        <v>6</v>
      </c>
      <c r="AD22" s="164">
        <v>0.95</v>
      </c>
    </row>
    <row r="23" spans="1:35" ht="14">
      <c r="A23" s="74" t="s">
        <v>35</v>
      </c>
      <c r="B23" s="50" t="s">
        <v>2549</v>
      </c>
      <c r="C23" s="50" t="s">
        <v>2564</v>
      </c>
      <c r="D23" s="56" t="s">
        <v>133</v>
      </c>
      <c r="E23" s="50" t="s">
        <v>2519</v>
      </c>
      <c r="G23" s="48" t="s">
        <v>3188</v>
      </c>
      <c r="H23" s="50">
        <v>4581</v>
      </c>
      <c r="I23" s="52" t="s">
        <v>1</v>
      </c>
      <c r="J23" s="50" t="s">
        <v>477</v>
      </c>
      <c r="K23" s="72">
        <v>41539</v>
      </c>
      <c r="L23" s="71">
        <v>41529</v>
      </c>
      <c r="N23" s="50" t="s">
        <v>2</v>
      </c>
      <c r="Z23" s="166">
        <v>1</v>
      </c>
      <c r="AA23" s="167">
        <v>1</v>
      </c>
      <c r="AB23" s="50">
        <v>36</v>
      </c>
      <c r="AC23" s="74">
        <v>96</v>
      </c>
      <c r="AD23" s="164">
        <v>0.9</v>
      </c>
    </row>
    <row r="24" spans="1:35" ht="14">
      <c r="A24" s="404" t="s">
        <v>35</v>
      </c>
      <c r="B24" s="50" t="s">
        <v>5194</v>
      </c>
      <c r="D24" s="56" t="s">
        <v>89</v>
      </c>
      <c r="G24" s="48" t="s">
        <v>5195</v>
      </c>
      <c r="I24" s="52"/>
      <c r="J24" s="50" t="s">
        <v>5196</v>
      </c>
      <c r="K24" s="72">
        <v>41201</v>
      </c>
      <c r="L24" s="71">
        <v>41197</v>
      </c>
      <c r="N24" s="50" t="s">
        <v>2</v>
      </c>
      <c r="O24" s="74">
        <f>1/2</f>
        <v>0.5</v>
      </c>
      <c r="P24" s="50">
        <v>6.3</v>
      </c>
      <c r="Q24" s="74">
        <v>6.8</v>
      </c>
      <c r="R24" s="50">
        <f>5/2</f>
        <v>2.5</v>
      </c>
      <c r="S24" s="74">
        <v>1.2</v>
      </c>
      <c r="T24" s="50">
        <f>0.01/2</f>
        <v>5.0000000000000001E-3</v>
      </c>
      <c r="U24" s="74">
        <f>0.2/2</f>
        <v>0.1</v>
      </c>
      <c r="V24" s="50">
        <f>0.5/2</f>
        <v>0.25</v>
      </c>
      <c r="W24" s="74">
        <f>0.005/2</f>
        <v>2.5000000000000001E-3</v>
      </c>
      <c r="X24" s="50">
        <v>8.0000000000000002E-3</v>
      </c>
      <c r="Y24" s="74">
        <f>0.001/2</f>
        <v>5.0000000000000001E-4</v>
      </c>
      <c r="Z24" s="166">
        <v>1</v>
      </c>
      <c r="AA24" s="167">
        <v>1</v>
      </c>
      <c r="AB24" s="50">
        <v>4</v>
      </c>
      <c r="AC24" s="74">
        <v>13</v>
      </c>
      <c r="AD24" s="164">
        <v>0.9</v>
      </c>
    </row>
    <row r="25" spans="1:35" ht="14">
      <c r="A25" s="404" t="s">
        <v>35</v>
      </c>
      <c r="B25" s="50" t="s">
        <v>5194</v>
      </c>
      <c r="D25" s="56" t="s">
        <v>89</v>
      </c>
      <c r="G25" s="48" t="s">
        <v>5195</v>
      </c>
      <c r="I25" s="52"/>
      <c r="J25" s="50" t="s">
        <v>5197</v>
      </c>
      <c r="K25" s="72">
        <v>41201</v>
      </c>
      <c r="L25" s="71">
        <v>41197</v>
      </c>
      <c r="N25" s="50" t="s">
        <v>2</v>
      </c>
      <c r="O25" s="74">
        <f>1/2</f>
        <v>0.5</v>
      </c>
      <c r="P25" s="50">
        <v>6.3</v>
      </c>
      <c r="Q25" s="74">
        <v>7.7</v>
      </c>
      <c r="R25" s="50">
        <v>27</v>
      </c>
      <c r="S25" s="74">
        <v>4.5</v>
      </c>
      <c r="T25" s="50">
        <v>0.08</v>
      </c>
      <c r="U25" s="74">
        <v>0.31</v>
      </c>
      <c r="V25" s="50">
        <v>0.54</v>
      </c>
      <c r="W25" s="74">
        <f>0.005/2</f>
        <v>2.5000000000000001E-3</v>
      </c>
      <c r="X25" s="50">
        <f>0.005/2</f>
        <v>2.5000000000000001E-3</v>
      </c>
      <c r="Y25" s="74">
        <f>0.001/2</f>
        <v>5.0000000000000001E-4</v>
      </c>
      <c r="Z25" s="166">
        <v>1</v>
      </c>
      <c r="AA25" s="167">
        <v>1</v>
      </c>
      <c r="AB25" s="50">
        <v>98</v>
      </c>
      <c r="AC25" s="74">
        <v>323</v>
      </c>
      <c r="AD25" s="164">
        <v>1</v>
      </c>
    </row>
    <row r="26" spans="1:35" ht="14">
      <c r="A26" s="404" t="s">
        <v>35</v>
      </c>
      <c r="B26" s="50" t="s">
        <v>2549</v>
      </c>
      <c r="C26" s="50" t="s">
        <v>5205</v>
      </c>
      <c r="D26" s="56">
        <v>108</v>
      </c>
      <c r="E26" s="50" t="s">
        <v>5206</v>
      </c>
      <c r="G26" s="48" t="s">
        <v>4956</v>
      </c>
      <c r="H26" s="50">
        <v>4581</v>
      </c>
      <c r="I26" s="52" t="s">
        <v>2</v>
      </c>
      <c r="J26" s="50" t="s">
        <v>5207</v>
      </c>
      <c r="K26" s="72">
        <v>41495</v>
      </c>
      <c r="L26" s="71">
        <v>41488</v>
      </c>
      <c r="N26" s="50" t="s">
        <v>2</v>
      </c>
      <c r="X26" s="50">
        <v>1.7000000000000001E-2</v>
      </c>
      <c r="Z26" s="166">
        <v>1</v>
      </c>
      <c r="AA26" s="167">
        <v>1</v>
      </c>
      <c r="AB26" s="50">
        <v>18</v>
      </c>
      <c r="AC26" s="74">
        <v>14</v>
      </c>
      <c r="AD26" s="164">
        <v>1</v>
      </c>
    </row>
    <row r="27" spans="1:35" ht="14">
      <c r="A27" s="404" t="s">
        <v>35</v>
      </c>
      <c r="B27" s="50" t="s">
        <v>2549</v>
      </c>
      <c r="C27" s="50" t="s">
        <v>5205</v>
      </c>
      <c r="D27" s="56" t="s">
        <v>150</v>
      </c>
      <c r="E27" s="50" t="s">
        <v>5206</v>
      </c>
      <c r="G27" s="48" t="s">
        <v>4956</v>
      </c>
      <c r="H27" s="50">
        <v>4581</v>
      </c>
      <c r="I27" s="52" t="s">
        <v>2</v>
      </c>
      <c r="J27" s="50" t="s">
        <v>5208</v>
      </c>
      <c r="K27" s="72">
        <v>41495</v>
      </c>
      <c r="L27" s="71">
        <v>41488</v>
      </c>
      <c r="N27" s="50" t="s">
        <v>2</v>
      </c>
      <c r="X27" s="50">
        <v>2.1999999999999999E-2</v>
      </c>
      <c r="Z27" s="166">
        <v>1</v>
      </c>
      <c r="AA27" s="167">
        <v>1</v>
      </c>
      <c r="AB27" s="50">
        <v>52</v>
      </c>
      <c r="AC27" s="74">
        <v>150</v>
      </c>
      <c r="AD27" s="164">
        <f>17/20</f>
        <v>0.85</v>
      </c>
    </row>
    <row r="28" spans="1:35" ht="14">
      <c r="A28" s="404" t="s">
        <v>35</v>
      </c>
      <c r="B28" s="50" t="s">
        <v>2549</v>
      </c>
      <c r="C28" s="50" t="s">
        <v>5205</v>
      </c>
      <c r="D28" s="56" t="s">
        <v>150</v>
      </c>
      <c r="E28" s="50" t="s">
        <v>5206</v>
      </c>
      <c r="G28" s="48" t="s">
        <v>4956</v>
      </c>
      <c r="H28" s="50">
        <v>4581</v>
      </c>
      <c r="I28" s="52" t="s">
        <v>2</v>
      </c>
      <c r="J28" s="50" t="s">
        <v>5209</v>
      </c>
      <c r="K28" s="72">
        <v>41495</v>
      </c>
      <c r="L28" s="71">
        <v>41488</v>
      </c>
      <c r="N28" s="50" t="s">
        <v>2</v>
      </c>
      <c r="Z28" s="166">
        <v>1</v>
      </c>
      <c r="AA28" s="167">
        <v>1</v>
      </c>
      <c r="AB28" s="50">
        <v>64</v>
      </c>
      <c r="AC28" s="74">
        <v>234</v>
      </c>
      <c r="AD28" s="164">
        <v>1</v>
      </c>
    </row>
    <row r="29" spans="1:35" ht="14">
      <c r="A29" s="404" t="s">
        <v>35</v>
      </c>
      <c r="B29" s="50" t="s">
        <v>5322</v>
      </c>
      <c r="D29" s="56" t="s">
        <v>443</v>
      </c>
      <c r="G29" s="48" t="s">
        <v>5323</v>
      </c>
      <c r="I29" s="52" t="s">
        <v>2</v>
      </c>
      <c r="J29" s="50" t="s">
        <v>5324</v>
      </c>
      <c r="K29" s="72">
        <v>41179</v>
      </c>
      <c r="L29" s="71">
        <v>41174</v>
      </c>
      <c r="N29" s="50" t="s">
        <v>2</v>
      </c>
      <c r="O29" s="74">
        <f>2/2</f>
        <v>1</v>
      </c>
      <c r="P29" s="50">
        <v>5.4</v>
      </c>
      <c r="Q29" s="74">
        <v>7.1</v>
      </c>
      <c r="R29" s="50">
        <v>8</v>
      </c>
      <c r="S29" s="74">
        <f>5/2</f>
        <v>2.5</v>
      </c>
      <c r="T29" s="50">
        <v>3.2000000000000001E-2</v>
      </c>
      <c r="U29" s="74">
        <v>0.56999999999999995</v>
      </c>
      <c r="V29" s="50">
        <v>1.9</v>
      </c>
      <c r="W29" s="74">
        <v>2.5999999999999999E-3</v>
      </c>
      <c r="X29" s="50">
        <v>0.55000000000000004</v>
      </c>
      <c r="Y29" s="74">
        <f>0.002/2</f>
        <v>1E-3</v>
      </c>
      <c r="Z29" s="166">
        <v>1</v>
      </c>
      <c r="AA29" s="167">
        <v>0.23200000000000001</v>
      </c>
      <c r="AB29" s="50">
        <v>25</v>
      </c>
      <c r="AC29" s="74">
        <v>73</v>
      </c>
      <c r="AD29" s="164">
        <v>0.15</v>
      </c>
    </row>
    <row r="30" spans="1:35" ht="14">
      <c r="A30" s="404" t="s">
        <v>35</v>
      </c>
      <c r="B30" s="50" t="s">
        <v>5322</v>
      </c>
      <c r="D30" s="56" t="s">
        <v>443</v>
      </c>
      <c r="G30" s="48" t="s">
        <v>5323</v>
      </c>
      <c r="I30" s="52" t="s">
        <v>2</v>
      </c>
      <c r="J30" s="50" t="s">
        <v>5325</v>
      </c>
      <c r="K30" s="72">
        <v>41179</v>
      </c>
      <c r="L30" s="71">
        <v>41174</v>
      </c>
      <c r="N30" s="50" t="s">
        <v>2</v>
      </c>
      <c r="O30" s="74">
        <f>2/2</f>
        <v>1</v>
      </c>
      <c r="P30" s="50">
        <v>5.4</v>
      </c>
      <c r="Q30" s="74">
        <v>7.1</v>
      </c>
      <c r="R30" s="50">
        <v>9.1</v>
      </c>
      <c r="S30" s="74">
        <f>5/2</f>
        <v>2.5</v>
      </c>
      <c r="T30" s="50">
        <v>3.2000000000000001E-2</v>
      </c>
      <c r="U30" s="74">
        <v>0.55000000000000004</v>
      </c>
      <c r="V30" s="50">
        <v>1.8</v>
      </c>
      <c r="W30" s="74">
        <v>2.8999999999999998E-3</v>
      </c>
      <c r="X30" s="50">
        <v>0.55000000000000004</v>
      </c>
      <c r="Y30" s="74">
        <f>0.002/2</f>
        <v>1E-3</v>
      </c>
      <c r="Z30" s="166">
        <v>1</v>
      </c>
      <c r="AA30" s="167">
        <v>0.46700000000000003</v>
      </c>
      <c r="AB30" s="50">
        <v>25</v>
      </c>
      <c r="AC30" s="74">
        <v>77</v>
      </c>
      <c r="AD30" s="164">
        <v>0.05</v>
      </c>
    </row>
    <row r="31" spans="1:35" ht="14">
      <c r="A31" s="404" t="s">
        <v>35</v>
      </c>
      <c r="B31" s="50" t="s">
        <v>5322</v>
      </c>
      <c r="D31" s="56" t="s">
        <v>443</v>
      </c>
      <c r="G31" s="48" t="s">
        <v>5323</v>
      </c>
      <c r="I31" s="52" t="s">
        <v>2</v>
      </c>
      <c r="J31" s="50" t="s">
        <v>5324</v>
      </c>
      <c r="K31" s="72">
        <v>41527</v>
      </c>
      <c r="L31" s="71">
        <v>41522</v>
      </c>
      <c r="N31" s="50" t="s">
        <v>2</v>
      </c>
      <c r="O31" s="74">
        <f>1.4/2</f>
        <v>0.7</v>
      </c>
      <c r="P31" s="50">
        <v>5.7</v>
      </c>
      <c r="Q31" s="74">
        <v>7</v>
      </c>
      <c r="R31" s="50">
        <f>10/2</f>
        <v>5</v>
      </c>
      <c r="S31" s="74">
        <v>12</v>
      </c>
      <c r="T31" s="50">
        <v>0.03</v>
      </c>
      <c r="U31" s="74">
        <v>0.43</v>
      </c>
      <c r="V31" s="50">
        <v>2.5</v>
      </c>
      <c r="W31" s="74">
        <f>0.005/2</f>
        <v>2.5000000000000001E-3</v>
      </c>
      <c r="X31" s="50">
        <v>0.27</v>
      </c>
      <c r="Y31" s="74">
        <v>3.0000000000000001E-3</v>
      </c>
      <c r="Z31" s="166">
        <v>1</v>
      </c>
      <c r="AA31" s="167">
        <v>1</v>
      </c>
      <c r="AB31" s="50">
        <v>76</v>
      </c>
      <c r="AC31" s="74">
        <v>127</v>
      </c>
      <c r="AD31" s="164">
        <v>1</v>
      </c>
    </row>
    <row r="32" spans="1:35" ht="14">
      <c r="A32" s="404" t="s">
        <v>35</v>
      </c>
      <c r="B32" s="50" t="s">
        <v>5322</v>
      </c>
      <c r="D32" s="56" t="s">
        <v>443</v>
      </c>
      <c r="G32" s="48" t="s">
        <v>5323</v>
      </c>
      <c r="I32" s="52" t="s">
        <v>2</v>
      </c>
      <c r="J32" s="50" t="s">
        <v>5325</v>
      </c>
      <c r="K32" s="72">
        <v>41527</v>
      </c>
      <c r="L32" s="71">
        <v>41522</v>
      </c>
      <c r="N32" s="50" t="s">
        <v>2</v>
      </c>
      <c r="O32" s="74">
        <f>1.4/2</f>
        <v>0.7</v>
      </c>
      <c r="P32" s="50">
        <v>5.7</v>
      </c>
      <c r="Q32" s="74">
        <v>7.3</v>
      </c>
      <c r="R32" s="50">
        <f>10/2</f>
        <v>5</v>
      </c>
      <c r="S32" s="74">
        <v>9</v>
      </c>
      <c r="T32" s="50">
        <v>0.06</v>
      </c>
      <c r="U32" s="74">
        <v>0.54</v>
      </c>
      <c r="V32" s="50">
        <v>2.5</v>
      </c>
      <c r="W32" s="74">
        <f>0.005/2</f>
        <v>2.5000000000000001E-3</v>
      </c>
      <c r="X32" s="50">
        <v>0.29199999999999998</v>
      </c>
      <c r="Y32" s="74">
        <v>4.0000000000000001E-3</v>
      </c>
      <c r="Z32" s="166">
        <v>1</v>
      </c>
      <c r="AA32" s="167">
        <v>1</v>
      </c>
      <c r="AB32" s="50">
        <v>73</v>
      </c>
      <c r="AC32" s="74">
        <v>127</v>
      </c>
      <c r="AD32" s="164">
        <v>1</v>
      </c>
    </row>
    <row r="33" spans="1:27" ht="14">
      <c r="A33" s="404" t="s">
        <v>35</v>
      </c>
      <c r="B33" s="50" t="s">
        <v>5322</v>
      </c>
      <c r="D33" s="56" t="s">
        <v>443</v>
      </c>
      <c r="G33" s="48" t="s">
        <v>5323</v>
      </c>
      <c r="I33" s="52" t="s">
        <v>2</v>
      </c>
      <c r="J33" s="50" t="s">
        <v>5324</v>
      </c>
      <c r="K33" s="72">
        <v>41737</v>
      </c>
      <c r="L33" s="71">
        <v>41729</v>
      </c>
      <c r="N33" s="50" t="s">
        <v>2</v>
      </c>
      <c r="O33" s="74">
        <f>1.5/2</f>
        <v>0.75</v>
      </c>
      <c r="P33" s="50">
        <v>4.7</v>
      </c>
      <c r="Q33" s="74">
        <v>6.4</v>
      </c>
      <c r="R33" s="50">
        <f>10/2</f>
        <v>5</v>
      </c>
      <c r="S33" s="74">
        <f>5/2</f>
        <v>2.5</v>
      </c>
      <c r="T33" s="50">
        <v>0.02</v>
      </c>
      <c r="U33" s="74">
        <v>0.39</v>
      </c>
      <c r="V33" s="50">
        <v>1.1000000000000001</v>
      </c>
      <c r="W33" s="74">
        <f>0.005/2</f>
        <v>2.5000000000000001E-3</v>
      </c>
      <c r="X33" s="50">
        <v>8.3000000000000004E-2</v>
      </c>
      <c r="Y33" s="74">
        <f>0.002/2</f>
        <v>1E-3</v>
      </c>
      <c r="Z33" s="166"/>
      <c r="AA33" s="167"/>
    </row>
    <row r="34" spans="1:27" ht="14">
      <c r="A34" s="404" t="s">
        <v>35</v>
      </c>
      <c r="B34" s="50" t="s">
        <v>5322</v>
      </c>
      <c r="D34" s="56" t="s">
        <v>443</v>
      </c>
      <c r="G34" s="48" t="s">
        <v>5323</v>
      </c>
      <c r="I34" s="52" t="s">
        <v>2</v>
      </c>
      <c r="J34" s="50" t="s">
        <v>5325</v>
      </c>
      <c r="K34" s="72">
        <v>41737</v>
      </c>
      <c r="L34" s="71">
        <v>41729</v>
      </c>
      <c r="N34" s="50" t="s">
        <v>2</v>
      </c>
      <c r="O34" s="74">
        <f>1.5/2</f>
        <v>0.75</v>
      </c>
      <c r="P34" s="50">
        <v>4.7</v>
      </c>
      <c r="Q34" s="74">
        <v>6.4</v>
      </c>
      <c r="R34" s="50">
        <f>10/2</f>
        <v>5</v>
      </c>
      <c r="S34" s="74">
        <f>5/2</f>
        <v>2.5</v>
      </c>
      <c r="T34" s="50">
        <v>0.02</v>
      </c>
      <c r="U34" s="74">
        <v>0.45</v>
      </c>
      <c r="V34" s="50">
        <v>1.4</v>
      </c>
      <c r="W34" s="74">
        <f>0.005/2</f>
        <v>2.5000000000000001E-3</v>
      </c>
      <c r="X34" s="50">
        <v>9.1999999999999998E-2</v>
      </c>
      <c r="Y34" s="74">
        <f>0.002/2</f>
        <v>1E-3</v>
      </c>
      <c r="Z34" s="166"/>
      <c r="AA34" s="167"/>
    </row>
  </sheetData>
  <autoFilter ref="A1:AJ34"/>
  <conditionalFormatting sqref="O2:O34">
    <cfRule type="cellIs" dxfId="852" priority="61" stopIfTrue="1" operator="greaterThan">
      <formula>5</formula>
    </cfRule>
  </conditionalFormatting>
  <conditionalFormatting sqref="Q2:Q34">
    <cfRule type="cellIs" dxfId="851" priority="60" stopIfTrue="1" operator="notBetween">
      <formula>5</formula>
      <formula>9</formula>
    </cfRule>
  </conditionalFormatting>
  <conditionalFormatting sqref="R2:R34">
    <cfRule type="cellIs" dxfId="850" priority="59" stopIfTrue="1" operator="greaterThan">
      <formula>75</formula>
    </cfRule>
  </conditionalFormatting>
  <conditionalFormatting sqref="T2:T34">
    <cfRule type="cellIs" dxfId="849" priority="47" stopIfTrue="1" operator="greaterThan">
      <formula>0.4</formula>
    </cfRule>
  </conditionalFormatting>
  <conditionalFormatting sqref="U2:U34">
    <cfRule type="cellIs" dxfId="848" priority="46" stopIfTrue="1" operator="greaterThan">
      <formula>2.3</formula>
    </cfRule>
  </conditionalFormatting>
  <conditionalFormatting sqref="V2:V34">
    <cfRule type="cellIs" dxfId="847" priority="45" stopIfTrue="1" operator="greaterThan">
      <formula>1.1</formula>
    </cfRule>
  </conditionalFormatting>
  <conditionalFormatting sqref="W2:W34">
    <cfRule type="cellIs" dxfId="846" priority="44" stopIfTrue="1" operator="greaterThan">
      <formula>0.059</formula>
    </cfRule>
  </conditionalFormatting>
  <conditionalFormatting sqref="X2:X34">
    <cfRule type="cellIs" dxfId="845" priority="43" stopIfTrue="1" operator="greaterThan">
      <formula>0.16</formula>
    </cfRule>
  </conditionalFormatting>
  <conditionalFormatting sqref="Y2:Y34">
    <cfRule type="cellIs" dxfId="844" priority="42" stopIfTrue="1" operator="greaterThan">
      <formula>0.076</formula>
    </cfRule>
  </conditionalFormatting>
  <conditionalFormatting sqref="S2:S34">
    <cfRule type="cellIs" dxfId="843" priority="41" operator="greaterThan">
      <formula>90</formula>
    </cfRule>
  </conditionalFormatting>
  <conditionalFormatting sqref="O26:O28">
    <cfRule type="cellIs" dxfId="842" priority="20" stopIfTrue="1" operator="greaterThan">
      <formula>5</formula>
    </cfRule>
  </conditionalFormatting>
  <conditionalFormatting sqref="Q26:Q28">
    <cfRule type="cellIs" dxfId="841" priority="19" stopIfTrue="1" operator="notBetween">
      <formula>5</formula>
      <formula>9</formula>
    </cfRule>
  </conditionalFormatting>
  <conditionalFormatting sqref="R26:R28">
    <cfRule type="cellIs" dxfId="840" priority="18" stopIfTrue="1" operator="greaterThan">
      <formula>75</formula>
    </cfRule>
  </conditionalFormatting>
  <conditionalFormatting sqref="T26:T28">
    <cfRule type="cellIs" dxfId="839" priority="17" stopIfTrue="1" operator="greaterThan">
      <formula>0.4</formula>
    </cfRule>
  </conditionalFormatting>
  <conditionalFormatting sqref="U26:U28">
    <cfRule type="cellIs" dxfId="838" priority="16" stopIfTrue="1" operator="greaterThan">
      <formula>2.3</formula>
    </cfRule>
  </conditionalFormatting>
  <conditionalFormatting sqref="V26:V28">
    <cfRule type="cellIs" dxfId="837" priority="15" stopIfTrue="1" operator="greaterThan">
      <formula>1.1</formula>
    </cfRule>
  </conditionalFormatting>
  <conditionalFormatting sqref="W26:W28">
    <cfRule type="cellIs" dxfId="836" priority="14" stopIfTrue="1" operator="greaterThan">
      <formula>0.059</formula>
    </cfRule>
  </conditionalFormatting>
  <conditionalFormatting sqref="X26:X28">
    <cfRule type="cellIs" dxfId="835" priority="13" stopIfTrue="1" operator="greaterThan">
      <formula>0.16</formula>
    </cfRule>
  </conditionalFormatting>
  <conditionalFormatting sqref="Y26:Y28">
    <cfRule type="cellIs" dxfId="834" priority="12" stopIfTrue="1" operator="greaterThan">
      <formula>0.076</formula>
    </cfRule>
  </conditionalFormatting>
  <conditionalFormatting sqref="S26:S28">
    <cfRule type="cellIs" dxfId="833" priority="11" operator="greaterThan">
      <formula>90</formula>
    </cfRule>
  </conditionalFormatting>
  <conditionalFormatting sqref="O29:O34">
    <cfRule type="cellIs" dxfId="832" priority="10" stopIfTrue="1" operator="greaterThan">
      <formula>5</formula>
    </cfRule>
  </conditionalFormatting>
  <conditionalFormatting sqref="Q29:Q34">
    <cfRule type="cellIs" dxfId="831" priority="9" stopIfTrue="1" operator="notBetween">
      <formula>5</formula>
      <formula>9</formula>
    </cfRule>
  </conditionalFormatting>
  <conditionalFormatting sqref="R29:R34">
    <cfRule type="cellIs" dxfId="830" priority="8" stopIfTrue="1" operator="greaterThan">
      <formula>75</formula>
    </cfRule>
  </conditionalFormatting>
  <conditionalFormatting sqref="T29:T34">
    <cfRule type="cellIs" dxfId="829" priority="7" stopIfTrue="1" operator="greaterThan">
      <formula>0.4</formula>
    </cfRule>
  </conditionalFormatting>
  <conditionalFormatting sqref="U29:U34">
    <cfRule type="cellIs" dxfId="828" priority="6" stopIfTrue="1" operator="greaterThan">
      <formula>2.3</formula>
    </cfRule>
  </conditionalFormatting>
  <conditionalFormatting sqref="V29:V34">
    <cfRule type="cellIs" dxfId="827" priority="5" stopIfTrue="1" operator="greaterThan">
      <formula>1.1</formula>
    </cfRule>
  </conditionalFormatting>
  <conditionalFormatting sqref="W29:W34">
    <cfRule type="cellIs" dxfId="826" priority="4" stopIfTrue="1" operator="greaterThan">
      <formula>0.059</formula>
    </cfRule>
  </conditionalFormatting>
  <conditionalFormatting sqref="X29:X34">
    <cfRule type="cellIs" dxfId="825" priority="3" stopIfTrue="1" operator="greaterThan">
      <formula>0.16</formula>
    </cfRule>
  </conditionalFormatting>
  <conditionalFormatting sqref="Y29:Y34">
    <cfRule type="cellIs" dxfId="824" priority="2" stopIfTrue="1" operator="greaterThan">
      <formula>0.076</formula>
    </cfRule>
  </conditionalFormatting>
  <conditionalFormatting sqref="S29:S34">
    <cfRule type="cellIs" dxfId="823" priority="1" operator="greaterThan">
      <formula>90</formula>
    </cfRule>
  </conditionalFormatting>
  <pageMargins left="0.7" right="0.7" top="0.75" bottom="0.75" header="0.3" footer="0.3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 enableFormatConditionsCalculation="0">
    <tabColor theme="0" tint="-0.249977111117893"/>
  </sheetPr>
  <dimension ref="A1:CA724"/>
  <sheetViews>
    <sheetView showGridLines="0" zoomScale="101" zoomScaleNormal="101" zoomScalePageLayoutView="101" workbookViewId="0">
      <pane ySplit="1" topLeftCell="A695" activePane="bottomLeft" state="frozen"/>
      <selection activeCell="L35" sqref="L35"/>
      <selection pane="bottomLeft" activeCell="A724" sqref="A724"/>
    </sheetView>
  </sheetViews>
  <sheetFormatPr baseColWidth="10" defaultColWidth="8.83203125" defaultRowHeight="15" customHeight="1" x14ac:dyDescent="0"/>
  <cols>
    <col min="1" max="1" width="19" style="74" bestFit="1" customWidth="1"/>
    <col min="2" max="2" width="17.33203125" style="50" customWidth="1"/>
    <col min="3" max="3" width="22.1640625" style="50" customWidth="1"/>
    <col min="4" max="4" width="8.33203125" style="48" customWidth="1"/>
    <col min="5" max="5" width="18" style="50" customWidth="1"/>
    <col min="6" max="6" width="10.6640625" style="50" customWidth="1"/>
    <col min="7" max="7" width="8.83203125" style="76"/>
    <col min="8" max="8" width="8.83203125" style="50"/>
    <col min="9" max="9" width="8.83203125" style="49"/>
    <col min="10" max="10" width="36.1640625" style="50" bestFit="1" customWidth="1"/>
    <col min="11" max="11" width="10" style="50" customWidth="1"/>
    <col min="12" max="12" width="10.83203125" style="49" customWidth="1"/>
    <col min="13" max="13" width="10.5" style="50" customWidth="1"/>
    <col min="14" max="14" width="8.83203125" style="50"/>
    <col min="15" max="15" width="8.83203125" style="74"/>
    <col min="16" max="16" width="8.83203125" style="50"/>
    <col min="17" max="17" width="8.83203125" style="74"/>
    <col min="18" max="18" width="8.83203125" style="50"/>
    <col min="19" max="19" width="8.83203125" style="74"/>
    <col min="20" max="20" width="8.83203125" style="50"/>
    <col min="21" max="21" width="8.83203125" style="74"/>
    <col min="22" max="22" width="12.6640625" style="50" customWidth="1"/>
    <col min="23" max="23" width="16" style="74" customWidth="1"/>
    <col min="24" max="24" width="8.83203125" style="50"/>
    <col min="25" max="25" width="8.83203125" style="74"/>
    <col min="26" max="26" width="8.83203125" style="164"/>
    <col min="27" max="27" width="8.83203125" style="165"/>
    <col min="28" max="28" width="10" style="50" customWidth="1"/>
    <col min="29" max="29" width="12.1640625" style="74" customWidth="1"/>
    <col min="30" max="30" width="14.33203125" style="164" customWidth="1"/>
    <col min="31" max="32" width="11.1640625" style="50" customWidth="1"/>
    <col min="33" max="34" width="8.83203125" style="402"/>
    <col min="35" max="35" width="13.1640625" style="402" bestFit="1" customWidth="1"/>
    <col min="36" max="36" width="13.83203125" style="402" bestFit="1" customWidth="1"/>
    <col min="37" max="37" width="10.6640625" style="402" bestFit="1" customWidth="1"/>
    <col min="38" max="38" width="6.5" style="402" bestFit="1" customWidth="1"/>
    <col min="39" max="39" width="5.6640625" style="402" bestFit="1" customWidth="1"/>
    <col min="40" max="40" width="10.5" style="402" bestFit="1" customWidth="1"/>
    <col min="41" max="41" width="15.83203125" style="402" bestFit="1" customWidth="1"/>
    <col min="42" max="42" width="12.83203125" style="402" bestFit="1" customWidth="1"/>
    <col min="43" max="43" width="9.5" style="402" bestFit="1" customWidth="1"/>
    <col min="44" max="44" width="8.5" style="402" bestFit="1" customWidth="1"/>
    <col min="45" max="45" width="10.6640625" style="402" bestFit="1" customWidth="1"/>
    <col min="46" max="46" width="11.5" style="402" bestFit="1" customWidth="1"/>
    <col min="47" max="47" width="8.83203125" style="74"/>
  </cols>
  <sheetData>
    <row r="1" spans="1:46" ht="37" thickBot="1">
      <c r="A1" s="233" t="s">
        <v>32</v>
      </c>
      <c r="B1" s="37" t="s">
        <v>3</v>
      </c>
      <c r="C1" s="37" t="s">
        <v>4</v>
      </c>
      <c r="D1" s="39" t="s">
        <v>5</v>
      </c>
      <c r="E1" s="37" t="s">
        <v>6</v>
      </c>
      <c r="F1" s="37" t="s">
        <v>7</v>
      </c>
      <c r="G1" s="39" t="s">
        <v>0</v>
      </c>
      <c r="H1" s="37" t="s">
        <v>20</v>
      </c>
      <c r="I1" s="37" t="s">
        <v>8</v>
      </c>
      <c r="J1" s="37" t="s">
        <v>9</v>
      </c>
      <c r="K1" s="37" t="s">
        <v>10</v>
      </c>
      <c r="L1" s="37" t="s">
        <v>11</v>
      </c>
      <c r="M1" s="37" t="s">
        <v>12</v>
      </c>
      <c r="N1" s="37" t="s">
        <v>13</v>
      </c>
      <c r="O1" s="37" t="s">
        <v>4098</v>
      </c>
      <c r="P1" s="37" t="s">
        <v>14</v>
      </c>
      <c r="Q1" s="37" t="s">
        <v>4099</v>
      </c>
      <c r="R1" s="37" t="s">
        <v>4093</v>
      </c>
      <c r="S1" s="37" t="s">
        <v>4094</v>
      </c>
      <c r="T1" s="37" t="s">
        <v>4095</v>
      </c>
      <c r="U1" s="37" t="s">
        <v>4096</v>
      </c>
      <c r="V1" s="37" t="s">
        <v>4097</v>
      </c>
      <c r="W1" s="37" t="s">
        <v>4106</v>
      </c>
      <c r="X1" s="37" t="s">
        <v>4101</v>
      </c>
      <c r="Y1" s="37" t="s">
        <v>4102</v>
      </c>
      <c r="Z1" s="95" t="s">
        <v>15</v>
      </c>
      <c r="AA1" s="95" t="s">
        <v>16</v>
      </c>
      <c r="AB1" s="37" t="s">
        <v>17</v>
      </c>
      <c r="AC1" s="37" t="s">
        <v>18</v>
      </c>
      <c r="AD1" s="95" t="s">
        <v>19</v>
      </c>
      <c r="AE1" s="184" t="s">
        <v>28</v>
      </c>
      <c r="AF1" s="184" t="s">
        <v>29</v>
      </c>
      <c r="AG1" s="246" t="s">
        <v>1001</v>
      </c>
      <c r="AH1" s="246" t="s">
        <v>963</v>
      </c>
      <c r="AI1" s="402" t="s">
        <v>1004</v>
      </c>
      <c r="AJ1" s="402" t="s">
        <v>1013</v>
      </c>
      <c r="AK1" s="247" t="s">
        <v>4053</v>
      </c>
      <c r="AL1" s="247" t="s">
        <v>4054</v>
      </c>
      <c r="AM1" s="247" t="s">
        <v>4055</v>
      </c>
      <c r="AN1" s="247" t="s">
        <v>4056</v>
      </c>
      <c r="AO1" s="247" t="s">
        <v>4057</v>
      </c>
      <c r="AP1" s="247" t="s">
        <v>4058</v>
      </c>
      <c r="AQ1" s="247" t="s">
        <v>4059</v>
      </c>
      <c r="AR1" s="247" t="s">
        <v>4060</v>
      </c>
      <c r="AS1" s="247" t="s">
        <v>4061</v>
      </c>
      <c r="AT1" s="247" t="s">
        <v>4062</v>
      </c>
    </row>
    <row r="2" spans="1:46" ht="14">
      <c r="A2" s="53" t="s">
        <v>36</v>
      </c>
      <c r="B2" s="186" t="s">
        <v>131</v>
      </c>
      <c r="C2" s="186" t="s">
        <v>132</v>
      </c>
      <c r="D2" s="187" t="s">
        <v>133</v>
      </c>
      <c r="E2" s="186" t="s">
        <v>44</v>
      </c>
      <c r="F2" s="186"/>
      <c r="G2" s="188" t="s">
        <v>134</v>
      </c>
      <c r="H2" s="189">
        <v>7699</v>
      </c>
      <c r="I2" s="190" t="s">
        <v>1</v>
      </c>
      <c r="J2" s="189" t="s">
        <v>74</v>
      </c>
      <c r="K2" s="191">
        <v>40857</v>
      </c>
      <c r="L2" s="192">
        <v>40845</v>
      </c>
      <c r="M2" s="189">
        <v>12</v>
      </c>
      <c r="N2" s="189" t="s">
        <v>2</v>
      </c>
      <c r="O2" s="193">
        <v>15</v>
      </c>
      <c r="P2" s="194">
        <v>5.55</v>
      </c>
      <c r="Q2" s="195">
        <v>6.64</v>
      </c>
      <c r="R2" s="248">
        <v>270</v>
      </c>
      <c r="S2" s="249">
        <v>230</v>
      </c>
      <c r="T2" s="198">
        <v>0.45</v>
      </c>
      <c r="U2" s="199">
        <v>2.8</v>
      </c>
      <c r="V2" s="198">
        <v>0.31</v>
      </c>
      <c r="W2" s="199">
        <v>5.1999999999999998E-2</v>
      </c>
      <c r="X2" s="198">
        <v>0.3</v>
      </c>
      <c r="Y2" s="199">
        <v>6.5000000000000002E-2</v>
      </c>
      <c r="Z2" s="250">
        <v>1</v>
      </c>
      <c r="AA2" s="251">
        <v>1</v>
      </c>
      <c r="AB2" s="189">
        <v>52</v>
      </c>
      <c r="AC2" s="190">
        <v>738</v>
      </c>
      <c r="AD2" s="200">
        <v>1</v>
      </c>
      <c r="AE2" s="54">
        <v>280</v>
      </c>
      <c r="AF2" s="54">
        <f>0.01/2</f>
        <v>5.0000000000000001E-3</v>
      </c>
      <c r="AG2" s="54">
        <f>0.5/2</f>
        <v>0.25</v>
      </c>
      <c r="AH2" s="54">
        <v>340</v>
      </c>
      <c r="AI2" s="113"/>
      <c r="AJ2" s="50"/>
      <c r="AK2" s="74"/>
      <c r="AL2" s="74"/>
      <c r="AM2" s="74"/>
      <c r="AN2" s="74"/>
      <c r="AO2" s="74"/>
      <c r="AP2" s="74"/>
      <c r="AQ2" s="74"/>
      <c r="AR2" s="74"/>
      <c r="AS2" s="74"/>
      <c r="AT2" s="74"/>
    </row>
    <row r="3" spans="1:46" ht="14">
      <c r="A3" s="53" t="s">
        <v>36</v>
      </c>
      <c r="B3" s="252" t="s">
        <v>131</v>
      </c>
      <c r="C3" s="252" t="s">
        <v>132</v>
      </c>
      <c r="D3" s="56" t="s">
        <v>133</v>
      </c>
      <c r="E3" s="252" t="s">
        <v>44</v>
      </c>
      <c r="F3" s="252"/>
      <c r="G3" s="61" t="s">
        <v>134</v>
      </c>
      <c r="H3" s="54">
        <v>7699</v>
      </c>
      <c r="I3" s="55" t="s">
        <v>1</v>
      </c>
      <c r="J3" s="54" t="s">
        <v>135</v>
      </c>
      <c r="K3" s="57">
        <v>40857</v>
      </c>
      <c r="L3" s="132">
        <v>40845</v>
      </c>
      <c r="M3" s="54">
        <v>12</v>
      </c>
      <c r="N3" s="54" t="s">
        <v>2</v>
      </c>
      <c r="O3" s="135">
        <v>57</v>
      </c>
      <c r="P3" s="134">
        <v>5.55</v>
      </c>
      <c r="Q3" s="135">
        <v>6.65</v>
      </c>
      <c r="R3" s="161">
        <v>470</v>
      </c>
      <c r="S3" s="253">
        <v>420</v>
      </c>
      <c r="T3" s="203">
        <v>0.78</v>
      </c>
      <c r="U3" s="204">
        <v>4.9000000000000004</v>
      </c>
      <c r="V3" s="203">
        <v>0.25</v>
      </c>
      <c r="W3" s="204">
        <v>5.8000000000000003E-2</v>
      </c>
      <c r="X3" s="203">
        <v>0.36599999999999999</v>
      </c>
      <c r="Y3" s="204">
        <v>7.0999999999999994E-2</v>
      </c>
      <c r="Z3" s="144">
        <v>0.70699999999999996</v>
      </c>
      <c r="AA3" s="145">
        <v>0.70699999999999996</v>
      </c>
      <c r="AB3" s="54">
        <v>228</v>
      </c>
      <c r="AC3" s="155">
        <v>3850</v>
      </c>
      <c r="AD3" s="157">
        <v>0</v>
      </c>
      <c r="AE3" s="54">
        <v>650</v>
      </c>
      <c r="AF3" s="54">
        <v>0.13</v>
      </c>
      <c r="AG3" s="54">
        <f>0.5/2</f>
        <v>0.25</v>
      </c>
      <c r="AH3" s="54">
        <v>480</v>
      </c>
      <c r="AI3" s="113"/>
      <c r="AJ3" s="50"/>
      <c r="AK3" s="74"/>
      <c r="AL3" s="74"/>
      <c r="AM3" s="74"/>
      <c r="AN3" s="74"/>
      <c r="AO3" s="74"/>
      <c r="AP3" s="74"/>
      <c r="AQ3" s="74"/>
      <c r="AR3" s="74"/>
      <c r="AS3" s="74"/>
      <c r="AT3" s="74"/>
    </row>
    <row r="4" spans="1:46" ht="14">
      <c r="A4" s="53" t="s">
        <v>36</v>
      </c>
      <c r="B4" s="54" t="s">
        <v>149</v>
      </c>
      <c r="C4" s="54" t="s">
        <v>972</v>
      </c>
      <c r="D4" s="56" t="s">
        <v>150</v>
      </c>
      <c r="E4" s="54" t="s">
        <v>973</v>
      </c>
      <c r="F4" s="64" t="s">
        <v>974</v>
      </c>
      <c r="G4" s="61" t="s">
        <v>2827</v>
      </c>
      <c r="H4" s="54">
        <v>9199</v>
      </c>
      <c r="I4" s="55" t="s">
        <v>1</v>
      </c>
      <c r="J4" s="54" t="s">
        <v>151</v>
      </c>
      <c r="K4" s="57">
        <v>40843</v>
      </c>
      <c r="L4" s="132">
        <v>40836</v>
      </c>
      <c r="M4" s="54">
        <v>7</v>
      </c>
      <c r="N4" s="54" t="s">
        <v>2</v>
      </c>
      <c r="O4" s="155">
        <v>2.4</v>
      </c>
      <c r="P4" s="134">
        <v>4.7300000000000004</v>
      </c>
      <c r="Q4" s="135">
        <v>7</v>
      </c>
      <c r="R4" s="54">
        <v>43</v>
      </c>
      <c r="S4" s="155">
        <v>21</v>
      </c>
      <c r="T4" s="54">
        <v>0.09</v>
      </c>
      <c r="U4" s="155">
        <v>2.11</v>
      </c>
      <c r="V4" s="54">
        <v>1.9</v>
      </c>
      <c r="W4" s="155">
        <v>0.01</v>
      </c>
      <c r="X4" s="54">
        <v>2</v>
      </c>
      <c r="Y4" s="155">
        <v>4.8000000000000001E-2</v>
      </c>
      <c r="Z4" s="157">
        <v>1</v>
      </c>
      <c r="AA4" s="145">
        <v>0.27800000000000002</v>
      </c>
      <c r="AB4" s="54">
        <v>46</v>
      </c>
      <c r="AC4" s="155">
        <v>1254</v>
      </c>
      <c r="AD4" s="157">
        <v>0.15</v>
      </c>
      <c r="AE4" s="54">
        <v>707</v>
      </c>
      <c r="AF4" s="142">
        <f>0.05/2</f>
        <v>2.5000000000000001E-2</v>
      </c>
      <c r="AG4" s="54"/>
      <c r="AH4" s="54"/>
      <c r="AI4" s="113"/>
      <c r="AJ4" s="50"/>
      <c r="AK4" s="74"/>
      <c r="AL4" s="74"/>
      <c r="AM4" s="74"/>
      <c r="AN4" s="74"/>
      <c r="AO4" s="74"/>
      <c r="AP4" s="74"/>
      <c r="AQ4" s="74"/>
      <c r="AR4" s="74"/>
      <c r="AS4" s="74"/>
      <c r="AT4" s="74"/>
    </row>
    <row r="5" spans="1:46" ht="14">
      <c r="A5" s="53" t="s">
        <v>36</v>
      </c>
      <c r="B5" s="54" t="s">
        <v>149</v>
      </c>
      <c r="C5" s="54" t="s">
        <v>972</v>
      </c>
      <c r="D5" s="56" t="s">
        <v>150</v>
      </c>
      <c r="E5" s="54" t="s">
        <v>973</v>
      </c>
      <c r="F5" s="54" t="s">
        <v>974</v>
      </c>
      <c r="G5" s="61" t="s">
        <v>2827</v>
      </c>
      <c r="H5" s="54">
        <v>9199</v>
      </c>
      <c r="I5" s="55" t="s">
        <v>1</v>
      </c>
      <c r="J5" s="54" t="s">
        <v>152</v>
      </c>
      <c r="K5" s="57">
        <v>40843</v>
      </c>
      <c r="L5" s="132">
        <v>40836</v>
      </c>
      <c r="M5" s="54">
        <v>7</v>
      </c>
      <c r="N5" s="54" t="s">
        <v>2</v>
      </c>
      <c r="O5" s="155">
        <v>2.6</v>
      </c>
      <c r="P5" s="134">
        <v>4.7300000000000004</v>
      </c>
      <c r="Q5" s="135">
        <v>6.5</v>
      </c>
      <c r="R5" s="54">
        <v>123</v>
      </c>
      <c r="S5" s="155">
        <v>42</v>
      </c>
      <c r="T5" s="54">
        <v>0.37</v>
      </c>
      <c r="U5" s="155">
        <v>3.28</v>
      </c>
      <c r="V5" s="54">
        <v>2.1</v>
      </c>
      <c r="W5" s="155">
        <v>3.3000000000000002E-2</v>
      </c>
      <c r="X5" s="54">
        <v>0.184</v>
      </c>
      <c r="Y5" s="155">
        <f>0.03/2</f>
        <v>1.4999999999999999E-2</v>
      </c>
      <c r="Z5" s="157">
        <v>1</v>
      </c>
      <c r="AA5" s="157">
        <v>1</v>
      </c>
      <c r="AB5" s="54">
        <v>46</v>
      </c>
      <c r="AC5" s="155">
        <v>1254</v>
      </c>
      <c r="AD5" s="157">
        <v>1</v>
      </c>
      <c r="AE5" s="54">
        <v>350</v>
      </c>
      <c r="AF5" s="142">
        <f>0.05/2</f>
        <v>2.5000000000000001E-2</v>
      </c>
      <c r="AG5" s="54"/>
      <c r="AH5" s="54"/>
      <c r="AI5" s="113"/>
      <c r="AJ5" s="50"/>
      <c r="AK5" s="74"/>
      <c r="AL5" s="74"/>
      <c r="AM5" s="74"/>
      <c r="AN5" s="74"/>
      <c r="AO5" s="74"/>
      <c r="AP5" s="74"/>
      <c r="AQ5" s="74"/>
      <c r="AR5" s="74"/>
      <c r="AS5" s="74"/>
      <c r="AT5" s="74"/>
    </row>
    <row r="6" spans="1:46" ht="14">
      <c r="A6" s="53" t="s">
        <v>36</v>
      </c>
      <c r="B6" s="54" t="s">
        <v>187</v>
      </c>
      <c r="C6" s="54" t="s">
        <v>996</v>
      </c>
      <c r="D6" s="56" t="s">
        <v>188</v>
      </c>
      <c r="E6" s="54" t="s">
        <v>977</v>
      </c>
      <c r="F6" s="54" t="s">
        <v>997</v>
      </c>
      <c r="G6" s="61" t="s">
        <v>189</v>
      </c>
      <c r="H6" s="54">
        <v>9199</v>
      </c>
      <c r="I6" s="55" t="s">
        <v>1</v>
      </c>
      <c r="J6" s="54" t="s">
        <v>190</v>
      </c>
      <c r="K6" s="57">
        <v>40829</v>
      </c>
      <c r="L6" s="132">
        <v>40820</v>
      </c>
      <c r="M6" s="54">
        <v>9</v>
      </c>
      <c r="N6" s="54" t="s">
        <v>1</v>
      </c>
      <c r="O6" s="155">
        <v>2.2000000000000002</v>
      </c>
      <c r="P6" s="134">
        <v>5.03</v>
      </c>
      <c r="Q6" s="135">
        <v>6.6</v>
      </c>
      <c r="R6" s="54">
        <f>10/2</f>
        <v>5</v>
      </c>
      <c r="S6" s="155">
        <v>26</v>
      </c>
      <c r="T6" s="54">
        <v>7.0000000000000007E-2</v>
      </c>
      <c r="U6" s="155">
        <v>0.3</v>
      </c>
      <c r="V6" s="54">
        <v>0.7</v>
      </c>
      <c r="W6" s="155">
        <f>0.01/2</f>
        <v>5.0000000000000001E-3</v>
      </c>
      <c r="X6" s="54">
        <f>0.03/2</f>
        <v>1.4999999999999999E-2</v>
      </c>
      <c r="Y6" s="155">
        <f>0.03/2</f>
        <v>1.4999999999999999E-2</v>
      </c>
      <c r="Z6" s="144">
        <v>0.67300000000000004</v>
      </c>
      <c r="AA6" s="145">
        <v>0.38400000000000001</v>
      </c>
      <c r="AB6" s="54">
        <v>22</v>
      </c>
      <c r="AC6" s="155">
        <v>58</v>
      </c>
      <c r="AD6" s="157">
        <v>0</v>
      </c>
      <c r="AE6" s="54">
        <v>2.6</v>
      </c>
      <c r="AF6" s="142">
        <f>0.05/2</f>
        <v>2.5000000000000001E-2</v>
      </c>
      <c r="AG6" s="54"/>
      <c r="AH6" s="54"/>
      <c r="AI6" s="113"/>
      <c r="AJ6" s="50"/>
      <c r="AK6" s="74"/>
      <c r="AL6" s="74"/>
      <c r="AM6" s="74"/>
      <c r="AN6" s="74"/>
      <c r="AO6" s="74"/>
      <c r="AP6" s="74"/>
      <c r="AQ6" s="74"/>
      <c r="AR6" s="74"/>
      <c r="AS6" s="74"/>
      <c r="AT6" s="74"/>
    </row>
    <row r="7" spans="1:46" ht="14">
      <c r="A7" s="53" t="s">
        <v>36</v>
      </c>
      <c r="B7" s="54" t="s">
        <v>470</v>
      </c>
      <c r="C7" s="54" t="s">
        <v>132</v>
      </c>
      <c r="D7" s="56" t="s">
        <v>471</v>
      </c>
      <c r="E7" s="54" t="s">
        <v>975</v>
      </c>
      <c r="F7" s="54">
        <v>6402</v>
      </c>
      <c r="G7" s="61" t="s">
        <v>472</v>
      </c>
      <c r="H7" s="54">
        <v>9199</v>
      </c>
      <c r="I7" s="55" t="s">
        <v>2</v>
      </c>
      <c r="J7" s="54" t="s">
        <v>473</v>
      </c>
      <c r="K7" s="57">
        <v>40904</v>
      </c>
      <c r="L7" s="132">
        <v>40900</v>
      </c>
      <c r="M7" s="54">
        <v>4</v>
      </c>
      <c r="N7" s="54" t="s">
        <v>2</v>
      </c>
      <c r="O7" s="155">
        <v>5.9</v>
      </c>
      <c r="P7" s="134">
        <v>5.5</v>
      </c>
      <c r="Q7" s="135">
        <v>6.98</v>
      </c>
      <c r="R7" s="54">
        <v>64</v>
      </c>
      <c r="S7" s="155">
        <v>100</v>
      </c>
      <c r="T7" s="54">
        <v>0.24</v>
      </c>
      <c r="U7" s="155">
        <v>0.71</v>
      </c>
      <c r="V7" s="54">
        <v>0.41</v>
      </c>
      <c r="W7" s="155">
        <v>2.1999999999999999E-2</v>
      </c>
      <c r="X7" s="54">
        <v>0.90800000000000003</v>
      </c>
      <c r="Y7" s="155">
        <v>5.0000000000000001E-3</v>
      </c>
      <c r="Z7" s="157">
        <v>1</v>
      </c>
      <c r="AA7" s="158">
        <v>0.877</v>
      </c>
      <c r="AB7" s="54">
        <v>20</v>
      </c>
      <c r="AC7" s="155">
        <v>511</v>
      </c>
      <c r="AD7" s="157">
        <v>0.35</v>
      </c>
      <c r="AE7" s="54">
        <v>149</v>
      </c>
      <c r="AF7" s="142">
        <f>0.01/2</f>
        <v>5.0000000000000001E-3</v>
      </c>
      <c r="AG7" s="54"/>
      <c r="AH7" s="54"/>
      <c r="AI7" s="113"/>
      <c r="AJ7" s="50"/>
      <c r="AK7" s="74"/>
      <c r="AL7" s="74"/>
      <c r="AM7" s="74"/>
      <c r="AN7" s="74"/>
      <c r="AO7" s="74"/>
      <c r="AP7" s="74"/>
      <c r="AQ7" s="74"/>
      <c r="AR7" s="74"/>
      <c r="AS7" s="74"/>
      <c r="AT7" s="74"/>
    </row>
    <row r="8" spans="1:46" ht="14">
      <c r="A8" s="53" t="s">
        <v>36</v>
      </c>
      <c r="B8" s="54" t="s">
        <v>470</v>
      </c>
      <c r="C8" s="54" t="s">
        <v>132</v>
      </c>
      <c r="D8" s="56" t="s">
        <v>471</v>
      </c>
      <c r="E8" s="54" t="s">
        <v>975</v>
      </c>
      <c r="F8" s="54">
        <v>6402</v>
      </c>
      <c r="G8" s="61" t="s">
        <v>472</v>
      </c>
      <c r="H8" s="54">
        <v>9199</v>
      </c>
      <c r="I8" s="55" t="s">
        <v>2</v>
      </c>
      <c r="J8" s="54" t="s">
        <v>474</v>
      </c>
      <c r="K8" s="57">
        <v>40904</v>
      </c>
      <c r="L8" s="132">
        <v>40900</v>
      </c>
      <c r="M8" s="54">
        <v>4</v>
      </c>
      <c r="N8" s="54" t="s">
        <v>2</v>
      </c>
      <c r="O8" s="155">
        <v>4.9000000000000004</v>
      </c>
      <c r="P8" s="134">
        <v>5.5</v>
      </c>
      <c r="Q8" s="135">
        <v>7.04</v>
      </c>
      <c r="R8" s="54">
        <v>66</v>
      </c>
      <c r="S8" s="155">
        <v>210</v>
      </c>
      <c r="T8" s="54">
        <v>0.52</v>
      </c>
      <c r="U8" s="155">
        <v>0.9</v>
      </c>
      <c r="V8" s="54">
        <v>0.38</v>
      </c>
      <c r="W8" s="155">
        <v>5.2999999999999999E-2</v>
      </c>
      <c r="X8" s="54">
        <v>0.20499999999999999</v>
      </c>
      <c r="Y8" s="155">
        <v>1.4E-2</v>
      </c>
      <c r="Z8" s="157">
        <v>1</v>
      </c>
      <c r="AA8" s="157">
        <v>1</v>
      </c>
      <c r="AB8" s="54">
        <v>32</v>
      </c>
      <c r="AC8" s="155">
        <v>157</v>
      </c>
      <c r="AD8" s="157">
        <v>0.95</v>
      </c>
      <c r="AE8" s="54"/>
      <c r="AF8" s="54"/>
      <c r="AG8" s="54"/>
      <c r="AH8" s="54"/>
      <c r="AI8" s="113"/>
      <c r="AJ8" s="50"/>
      <c r="AK8" s="74"/>
      <c r="AL8" s="74"/>
      <c r="AM8" s="74"/>
      <c r="AN8" s="74"/>
      <c r="AO8" s="74"/>
      <c r="AP8" s="74"/>
      <c r="AQ8" s="74"/>
      <c r="AR8" s="74"/>
      <c r="AS8" s="74"/>
      <c r="AT8" s="74"/>
    </row>
    <row r="9" spans="1:46" ht="14">
      <c r="A9" s="53" t="s">
        <v>36</v>
      </c>
      <c r="B9" s="54" t="s">
        <v>519</v>
      </c>
      <c r="C9" s="54" t="s">
        <v>520</v>
      </c>
      <c r="D9" s="56" t="s">
        <v>499</v>
      </c>
      <c r="E9" s="54" t="s">
        <v>49</v>
      </c>
      <c r="F9" s="54">
        <v>4500</v>
      </c>
      <c r="G9" s="61" t="s">
        <v>521</v>
      </c>
      <c r="H9" s="54">
        <v>7538</v>
      </c>
      <c r="I9" s="55" t="s">
        <v>1</v>
      </c>
      <c r="J9" s="54" t="s">
        <v>522</v>
      </c>
      <c r="K9" s="57">
        <v>40835</v>
      </c>
      <c r="L9" s="132">
        <v>40830</v>
      </c>
      <c r="M9" s="54">
        <v>5</v>
      </c>
      <c r="N9" s="54" t="s">
        <v>2</v>
      </c>
      <c r="O9" s="155">
        <f>5/2</f>
        <v>2.5</v>
      </c>
      <c r="P9" s="134">
        <v>5.7</v>
      </c>
      <c r="Q9" s="135">
        <v>7.54</v>
      </c>
      <c r="R9" s="54">
        <v>230</v>
      </c>
      <c r="S9" s="155">
        <v>250</v>
      </c>
      <c r="T9" s="54">
        <v>0.14000000000000001</v>
      </c>
      <c r="U9" s="155">
        <v>1.8</v>
      </c>
      <c r="V9" s="54">
        <v>0.27</v>
      </c>
      <c r="W9" s="155">
        <v>9.2999999999999999E-2</v>
      </c>
      <c r="X9" s="54">
        <v>0.67</v>
      </c>
      <c r="Y9" s="155">
        <v>0.15</v>
      </c>
      <c r="Z9" s="157">
        <v>1</v>
      </c>
      <c r="AA9" s="157">
        <v>1</v>
      </c>
      <c r="AB9" s="54">
        <v>69</v>
      </c>
      <c r="AC9" s="155">
        <v>159</v>
      </c>
      <c r="AD9" s="157">
        <v>1</v>
      </c>
      <c r="AE9" s="54"/>
      <c r="AF9" s="54"/>
      <c r="AG9" s="54"/>
      <c r="AH9" s="54"/>
      <c r="AI9" s="113"/>
      <c r="AJ9" s="50"/>
      <c r="AK9" s="74"/>
      <c r="AL9" s="74"/>
      <c r="AM9" s="74"/>
      <c r="AN9" s="74"/>
      <c r="AO9" s="74"/>
      <c r="AP9" s="74"/>
      <c r="AQ9" s="74"/>
      <c r="AR9" s="74"/>
      <c r="AS9" s="74"/>
      <c r="AT9" s="74"/>
    </row>
    <row r="10" spans="1:46" ht="14">
      <c r="A10" s="53" t="s">
        <v>36</v>
      </c>
      <c r="B10" s="54" t="s">
        <v>404</v>
      </c>
      <c r="C10" s="54" t="s">
        <v>607</v>
      </c>
      <c r="D10" s="56" t="s">
        <v>406</v>
      </c>
      <c r="E10" s="54" t="s">
        <v>608</v>
      </c>
      <c r="F10" s="54"/>
      <c r="G10" s="61" t="s">
        <v>609</v>
      </c>
      <c r="H10" s="54">
        <v>9199</v>
      </c>
      <c r="I10" s="55" t="s">
        <v>2</v>
      </c>
      <c r="J10" s="54" t="s">
        <v>610</v>
      </c>
      <c r="K10" s="57">
        <v>40857</v>
      </c>
      <c r="L10" s="132">
        <v>40846</v>
      </c>
      <c r="M10" s="54">
        <v>11</v>
      </c>
      <c r="N10" s="54" t="s">
        <v>2</v>
      </c>
      <c r="O10" s="155">
        <v>2.1</v>
      </c>
      <c r="P10" s="134">
        <v>8.0399999999999991</v>
      </c>
      <c r="Q10" s="135">
        <v>6.6</v>
      </c>
      <c r="R10" s="54">
        <f>10/2</f>
        <v>5</v>
      </c>
      <c r="S10" s="155">
        <v>19</v>
      </c>
      <c r="T10" s="54">
        <v>0.06</v>
      </c>
      <c r="U10" s="155">
        <v>0.38</v>
      </c>
      <c r="V10" s="54">
        <f>0.1/2</f>
        <v>0.05</v>
      </c>
      <c r="W10" s="155">
        <f>0.01/2</f>
        <v>5.0000000000000001E-3</v>
      </c>
      <c r="X10" s="54">
        <f t="shared" ref="X10:Y12" si="0">0.03/2</f>
        <v>1.4999999999999999E-2</v>
      </c>
      <c r="Y10" s="155">
        <f t="shared" si="0"/>
        <v>1.4999999999999999E-2</v>
      </c>
      <c r="Z10" s="157">
        <v>1</v>
      </c>
      <c r="AA10" s="157">
        <v>1</v>
      </c>
      <c r="AB10" s="54">
        <v>6</v>
      </c>
      <c r="AC10" s="155">
        <v>88</v>
      </c>
      <c r="AD10" s="157">
        <v>1</v>
      </c>
      <c r="AE10" s="54">
        <v>23.7</v>
      </c>
      <c r="AF10" s="54">
        <f>0.05/2</f>
        <v>2.5000000000000001E-2</v>
      </c>
      <c r="AG10" s="54"/>
      <c r="AH10" s="54"/>
      <c r="AI10" s="113"/>
      <c r="AJ10" s="50"/>
      <c r="AK10" s="74"/>
      <c r="AL10" s="74"/>
      <c r="AM10" s="74"/>
      <c r="AN10" s="74"/>
      <c r="AO10" s="74"/>
      <c r="AP10" s="74"/>
      <c r="AQ10" s="74"/>
      <c r="AR10" s="74"/>
      <c r="AS10" s="74"/>
      <c r="AT10" s="74"/>
    </row>
    <row r="11" spans="1:46" ht="14">
      <c r="A11" s="53" t="s">
        <v>36</v>
      </c>
      <c r="B11" s="54" t="s">
        <v>404</v>
      </c>
      <c r="C11" s="54" t="s">
        <v>607</v>
      </c>
      <c r="D11" s="56" t="s">
        <v>406</v>
      </c>
      <c r="E11" s="54" t="s">
        <v>608</v>
      </c>
      <c r="F11" s="54"/>
      <c r="G11" s="61" t="s">
        <v>609</v>
      </c>
      <c r="H11" s="54">
        <v>9199</v>
      </c>
      <c r="I11" s="55" t="s">
        <v>2</v>
      </c>
      <c r="J11" s="54" t="s">
        <v>611</v>
      </c>
      <c r="K11" s="57">
        <v>40857</v>
      </c>
      <c r="L11" s="132">
        <v>40846</v>
      </c>
      <c r="M11" s="54">
        <v>11</v>
      </c>
      <c r="N11" s="54" t="s">
        <v>2</v>
      </c>
      <c r="O11" s="155">
        <f>2/2</f>
        <v>1</v>
      </c>
      <c r="P11" s="134">
        <v>8.0399999999999991</v>
      </c>
      <c r="Q11" s="135">
        <v>6.7</v>
      </c>
      <c r="R11" s="54">
        <f>10/2</f>
        <v>5</v>
      </c>
      <c r="S11" s="155">
        <v>21</v>
      </c>
      <c r="T11" s="54">
        <v>7.0000000000000007E-2</v>
      </c>
      <c r="U11" s="155">
        <v>0.43</v>
      </c>
      <c r="V11" s="54">
        <f>0.1/2</f>
        <v>0.05</v>
      </c>
      <c r="W11" s="155">
        <f>0.01/2</f>
        <v>5.0000000000000001E-3</v>
      </c>
      <c r="X11" s="54">
        <f t="shared" si="0"/>
        <v>1.4999999999999999E-2</v>
      </c>
      <c r="Y11" s="155">
        <f t="shared" si="0"/>
        <v>1.4999999999999999E-2</v>
      </c>
      <c r="Z11" s="157">
        <v>1</v>
      </c>
      <c r="AA11" s="157">
        <v>1</v>
      </c>
      <c r="AB11" s="54">
        <v>8</v>
      </c>
      <c r="AC11" s="155">
        <v>91</v>
      </c>
      <c r="AD11" s="157">
        <v>0.95</v>
      </c>
      <c r="AE11" s="54"/>
      <c r="AF11" s="54"/>
      <c r="AG11" s="54"/>
      <c r="AH11" s="54"/>
      <c r="AI11" s="113"/>
      <c r="AJ11" s="50"/>
      <c r="AK11" s="74"/>
      <c r="AL11" s="74"/>
      <c r="AM11" s="74"/>
      <c r="AN11" s="74"/>
      <c r="AO11" s="74"/>
      <c r="AP11" s="74"/>
      <c r="AQ11" s="74"/>
      <c r="AR11" s="74"/>
      <c r="AS11" s="74"/>
      <c r="AT11" s="74"/>
    </row>
    <row r="12" spans="1:46" ht="14">
      <c r="A12" s="53" t="s">
        <v>36</v>
      </c>
      <c r="B12" s="54" t="s">
        <v>404</v>
      </c>
      <c r="C12" s="54" t="s">
        <v>607</v>
      </c>
      <c r="D12" s="56" t="s">
        <v>406</v>
      </c>
      <c r="E12" s="54" t="s">
        <v>608</v>
      </c>
      <c r="F12" s="54"/>
      <c r="G12" s="61" t="s">
        <v>609</v>
      </c>
      <c r="H12" s="54">
        <v>9199</v>
      </c>
      <c r="I12" s="55" t="s">
        <v>2</v>
      </c>
      <c r="J12" s="54" t="s">
        <v>612</v>
      </c>
      <c r="K12" s="57">
        <v>40857</v>
      </c>
      <c r="L12" s="132">
        <v>40846</v>
      </c>
      <c r="M12" s="54">
        <v>11</v>
      </c>
      <c r="N12" s="54" t="s">
        <v>2</v>
      </c>
      <c r="O12" s="155">
        <f>2/2</f>
        <v>1</v>
      </c>
      <c r="P12" s="134">
        <v>8.0399999999999991</v>
      </c>
      <c r="Q12" s="135">
        <v>6.8</v>
      </c>
      <c r="R12" s="54">
        <f>10/2</f>
        <v>5</v>
      </c>
      <c r="S12" s="155">
        <v>53</v>
      </c>
      <c r="T12" s="54">
        <v>0.28000000000000003</v>
      </c>
      <c r="U12" s="155">
        <v>0.96</v>
      </c>
      <c r="V12" s="54">
        <v>0.2</v>
      </c>
      <c r="W12" s="155">
        <v>2.7E-2</v>
      </c>
      <c r="X12" s="54">
        <f t="shared" si="0"/>
        <v>1.4999999999999999E-2</v>
      </c>
      <c r="Y12" s="155">
        <f t="shared" si="0"/>
        <v>1.4999999999999999E-2</v>
      </c>
      <c r="Z12" s="157">
        <v>1</v>
      </c>
      <c r="AA12" s="157">
        <v>1</v>
      </c>
      <c r="AB12" s="54">
        <v>10</v>
      </c>
      <c r="AC12" s="155">
        <v>13</v>
      </c>
      <c r="AD12" s="157">
        <v>1</v>
      </c>
      <c r="AE12" s="54"/>
      <c r="AF12" s="54"/>
      <c r="AG12" s="54"/>
      <c r="AH12" s="54"/>
      <c r="AI12" s="113"/>
      <c r="AJ12" s="50"/>
      <c r="AK12" s="74"/>
      <c r="AL12" s="74"/>
      <c r="AM12" s="74"/>
      <c r="AN12" s="74"/>
      <c r="AO12" s="74"/>
      <c r="AP12" s="74"/>
      <c r="AQ12" s="74"/>
      <c r="AR12" s="74"/>
      <c r="AS12" s="74"/>
      <c r="AT12" s="74"/>
    </row>
    <row r="13" spans="1:46" ht="14">
      <c r="A13" s="53" t="s">
        <v>36</v>
      </c>
      <c r="B13" s="54" t="s">
        <v>404</v>
      </c>
      <c r="C13" s="54" t="s">
        <v>607</v>
      </c>
      <c r="D13" s="56" t="s">
        <v>406</v>
      </c>
      <c r="E13" s="54" t="s">
        <v>608</v>
      </c>
      <c r="F13" s="54"/>
      <c r="G13" s="61" t="s">
        <v>609</v>
      </c>
      <c r="H13" s="54">
        <v>9199</v>
      </c>
      <c r="I13" s="55" t="s">
        <v>2</v>
      </c>
      <c r="J13" s="54" t="s">
        <v>613</v>
      </c>
      <c r="K13" s="57">
        <v>40857</v>
      </c>
      <c r="L13" s="132">
        <v>40846</v>
      </c>
      <c r="M13" s="54">
        <v>11</v>
      </c>
      <c r="N13" s="54" t="s">
        <v>2</v>
      </c>
      <c r="O13" s="155">
        <v>4.8</v>
      </c>
      <c r="P13" s="134">
        <v>8.0399999999999991</v>
      </c>
      <c r="Q13" s="135">
        <v>6.7</v>
      </c>
      <c r="R13" s="54">
        <f>10/2</f>
        <v>5</v>
      </c>
      <c r="S13" s="155">
        <v>4</v>
      </c>
      <c r="T13" s="54">
        <v>0.06</v>
      </c>
      <c r="U13" s="155">
        <v>0.44</v>
      </c>
      <c r="V13" s="54">
        <v>0.1</v>
      </c>
      <c r="W13" s="155">
        <f>0.01/2</f>
        <v>5.0000000000000001E-3</v>
      </c>
      <c r="X13" s="54">
        <v>6.5000000000000002E-2</v>
      </c>
      <c r="Y13" s="155">
        <f>0.03/2</f>
        <v>1.4999999999999999E-2</v>
      </c>
      <c r="Z13" s="157">
        <v>1</v>
      </c>
      <c r="AA13" s="157">
        <v>1</v>
      </c>
      <c r="AB13" s="54">
        <v>8</v>
      </c>
      <c r="AC13" s="155">
        <v>58</v>
      </c>
      <c r="AD13" s="157">
        <v>1</v>
      </c>
      <c r="AE13" s="54"/>
      <c r="AF13" s="54"/>
      <c r="AG13" s="54"/>
      <c r="AH13" s="54"/>
      <c r="AI13" s="113"/>
      <c r="AJ13" s="50"/>
      <c r="AK13" s="74"/>
      <c r="AL13" s="74"/>
      <c r="AM13" s="74"/>
      <c r="AN13" s="74"/>
      <c r="AO13" s="74"/>
      <c r="AP13" s="74"/>
      <c r="AQ13" s="74"/>
      <c r="AR13" s="74"/>
      <c r="AS13" s="74"/>
      <c r="AT13" s="74"/>
    </row>
    <row r="14" spans="1:46" ht="14">
      <c r="A14" s="53" t="s">
        <v>36</v>
      </c>
      <c r="B14" s="54" t="s">
        <v>639</v>
      </c>
      <c r="C14" s="54" t="s">
        <v>644</v>
      </c>
      <c r="D14" s="56" t="s">
        <v>640</v>
      </c>
      <c r="E14" s="54" t="s">
        <v>645</v>
      </c>
      <c r="F14" s="54"/>
      <c r="G14" s="61" t="s">
        <v>646</v>
      </c>
      <c r="H14" s="54">
        <v>9199</v>
      </c>
      <c r="I14" s="55" t="s">
        <v>2</v>
      </c>
      <c r="J14" s="54" t="s">
        <v>647</v>
      </c>
      <c r="K14" s="57">
        <v>40835</v>
      </c>
      <c r="L14" s="132">
        <v>40830</v>
      </c>
      <c r="M14" s="54">
        <v>5</v>
      </c>
      <c r="N14" s="54" t="s">
        <v>2</v>
      </c>
      <c r="O14" s="155">
        <v>1.2</v>
      </c>
      <c r="P14" s="134">
        <v>4.63</v>
      </c>
      <c r="Q14" s="135">
        <v>7.02</v>
      </c>
      <c r="R14" s="54">
        <v>139.30000000000001</v>
      </c>
      <c r="S14" s="155">
        <v>1426</v>
      </c>
      <c r="T14" s="54">
        <v>0.64</v>
      </c>
      <c r="U14" s="155">
        <v>3.6</v>
      </c>
      <c r="V14" s="54">
        <f>0.1/2</f>
        <v>0.05</v>
      </c>
      <c r="W14" s="155">
        <v>0.435</v>
      </c>
      <c r="X14" s="54">
        <v>0.748</v>
      </c>
      <c r="Y14" s="155">
        <v>0.124</v>
      </c>
      <c r="Z14" s="157">
        <v>1</v>
      </c>
      <c r="AA14" s="157">
        <v>1</v>
      </c>
      <c r="AB14" s="54">
        <v>35.5</v>
      </c>
      <c r="AC14" s="155">
        <v>56</v>
      </c>
      <c r="AD14" s="157">
        <v>0.65</v>
      </c>
      <c r="AE14" s="54">
        <v>9.11</v>
      </c>
      <c r="AF14" s="54">
        <f>0.01/2</f>
        <v>5.0000000000000001E-3</v>
      </c>
      <c r="AG14" s="54"/>
      <c r="AH14" s="54"/>
      <c r="AI14" s="113"/>
      <c r="AJ14" s="50"/>
      <c r="AK14" s="74"/>
      <c r="AL14" s="74"/>
      <c r="AM14" s="74"/>
      <c r="AN14" s="74"/>
      <c r="AO14" s="74"/>
      <c r="AP14" s="74"/>
      <c r="AQ14" s="74"/>
      <c r="AR14" s="74"/>
      <c r="AS14" s="74"/>
      <c r="AT14" s="74"/>
    </row>
    <row r="15" spans="1:46" ht="14">
      <c r="A15" s="53" t="s">
        <v>36</v>
      </c>
      <c r="B15" s="54" t="s">
        <v>336</v>
      </c>
      <c r="C15" s="54" t="s">
        <v>342</v>
      </c>
      <c r="D15" s="56" t="s">
        <v>338</v>
      </c>
      <c r="E15" s="54" t="s">
        <v>599</v>
      </c>
      <c r="F15" s="54">
        <v>6900</v>
      </c>
      <c r="G15" s="61" t="s">
        <v>998</v>
      </c>
      <c r="H15" s="54">
        <v>4953</v>
      </c>
      <c r="I15" s="55"/>
      <c r="J15" s="54" t="s">
        <v>343</v>
      </c>
      <c r="K15" s="57">
        <v>40876</v>
      </c>
      <c r="L15" s="132">
        <v>40870</v>
      </c>
      <c r="M15" s="54">
        <v>6</v>
      </c>
      <c r="N15" s="54" t="s">
        <v>2</v>
      </c>
      <c r="O15" s="155">
        <v>11</v>
      </c>
      <c r="P15" s="134">
        <v>5.84</v>
      </c>
      <c r="Q15" s="135">
        <v>7.09</v>
      </c>
      <c r="R15" s="54">
        <v>102</v>
      </c>
      <c r="S15" s="155">
        <v>279</v>
      </c>
      <c r="T15" s="54">
        <v>0.53</v>
      </c>
      <c r="U15" s="155">
        <v>2.1</v>
      </c>
      <c r="V15" s="54">
        <f>0.2/2</f>
        <v>0.1</v>
      </c>
      <c r="W15" s="155">
        <v>0.03</v>
      </c>
      <c r="X15" s="54">
        <v>0.25</v>
      </c>
      <c r="Y15" s="155">
        <v>0.03</v>
      </c>
      <c r="Z15" s="157">
        <v>0.317</v>
      </c>
      <c r="AA15" s="157">
        <v>0.215</v>
      </c>
      <c r="AB15" s="54">
        <v>103</v>
      </c>
      <c r="AC15" s="155">
        <v>155300</v>
      </c>
      <c r="AD15" s="157">
        <v>0</v>
      </c>
      <c r="AE15" s="54">
        <v>5200</v>
      </c>
      <c r="AF15" s="54">
        <v>2.9000000000000001E-2</v>
      </c>
      <c r="AG15" s="54"/>
      <c r="AH15" s="54"/>
      <c r="AI15" s="113"/>
      <c r="AJ15" s="50"/>
      <c r="AK15" s="74"/>
      <c r="AL15" s="74"/>
      <c r="AM15" s="74"/>
      <c r="AN15" s="74"/>
      <c r="AO15" s="74"/>
      <c r="AP15" s="74"/>
      <c r="AQ15" s="74"/>
      <c r="AR15" s="74"/>
      <c r="AS15" s="74"/>
      <c r="AT15" s="74"/>
    </row>
    <row r="16" spans="1:46" ht="14">
      <c r="A16" s="53" t="s">
        <v>36</v>
      </c>
      <c r="B16" s="54" t="s">
        <v>336</v>
      </c>
      <c r="C16" s="54" t="s">
        <v>342</v>
      </c>
      <c r="D16" s="56" t="s">
        <v>338</v>
      </c>
      <c r="E16" s="54" t="s">
        <v>599</v>
      </c>
      <c r="F16" s="54">
        <v>6900</v>
      </c>
      <c r="G16" s="61" t="s">
        <v>998</v>
      </c>
      <c r="H16" s="54">
        <v>4953</v>
      </c>
      <c r="I16" s="55"/>
      <c r="J16" s="54" t="s">
        <v>344</v>
      </c>
      <c r="K16" s="57">
        <v>40876</v>
      </c>
      <c r="L16" s="132">
        <v>40870</v>
      </c>
      <c r="M16" s="54">
        <v>6</v>
      </c>
      <c r="N16" s="54" t="s">
        <v>2</v>
      </c>
      <c r="O16" s="155">
        <v>5.0999999999999996</v>
      </c>
      <c r="P16" s="134">
        <v>5.84</v>
      </c>
      <c r="Q16" s="135">
        <v>7.08</v>
      </c>
      <c r="R16" s="54">
        <v>49.6</v>
      </c>
      <c r="S16" s="155">
        <v>77</v>
      </c>
      <c r="T16" s="54">
        <v>0.16</v>
      </c>
      <c r="U16" s="155">
        <v>1.58</v>
      </c>
      <c r="V16" s="54">
        <f>0.2/2</f>
        <v>0.1</v>
      </c>
      <c r="W16" s="155">
        <v>0.02</v>
      </c>
      <c r="X16" s="54">
        <v>0.13</v>
      </c>
      <c r="Y16" s="155">
        <f>0.02/2</f>
        <v>0.01</v>
      </c>
      <c r="Z16" s="157">
        <v>1</v>
      </c>
      <c r="AA16" s="158">
        <v>88.5</v>
      </c>
      <c r="AB16" s="54">
        <v>48.4</v>
      </c>
      <c r="AC16" s="155">
        <v>8050</v>
      </c>
      <c r="AD16" s="157">
        <v>0.35</v>
      </c>
      <c r="AE16" s="54">
        <v>1500</v>
      </c>
      <c r="AF16" s="54">
        <v>1.2999999999999999E-2</v>
      </c>
      <c r="AG16" s="54"/>
      <c r="AH16" s="54"/>
      <c r="AI16" s="113"/>
      <c r="AJ16" s="50"/>
      <c r="AK16" s="74"/>
      <c r="AL16" s="74"/>
      <c r="AM16" s="74"/>
      <c r="AN16" s="74"/>
      <c r="AO16" s="74"/>
      <c r="AP16" s="74"/>
      <c r="AQ16" s="74"/>
      <c r="AR16" s="74"/>
      <c r="AS16" s="74"/>
      <c r="AT16" s="74"/>
    </row>
    <row r="17" spans="1:47" s="1" customFormat="1" ht="14">
      <c r="A17" s="254" t="s">
        <v>36</v>
      </c>
      <c r="B17" s="54" t="s">
        <v>375</v>
      </c>
      <c r="C17" s="54" t="s">
        <v>976</v>
      </c>
      <c r="D17" s="56" t="s">
        <v>286</v>
      </c>
      <c r="E17" s="54" t="s">
        <v>977</v>
      </c>
      <c r="F17" s="54" t="s">
        <v>978</v>
      </c>
      <c r="G17" s="61" t="s">
        <v>376</v>
      </c>
      <c r="H17" s="54">
        <v>9199</v>
      </c>
      <c r="I17" s="55" t="s">
        <v>1</v>
      </c>
      <c r="J17" s="54" t="s">
        <v>377</v>
      </c>
      <c r="K17" s="57">
        <v>40843</v>
      </c>
      <c r="L17" s="156">
        <v>40836</v>
      </c>
      <c r="M17" s="142">
        <v>7</v>
      </c>
      <c r="N17" s="54" t="s">
        <v>1</v>
      </c>
      <c r="O17" s="154">
        <f>2/2</f>
        <v>1</v>
      </c>
      <c r="P17" s="134">
        <v>4.7300000000000004</v>
      </c>
      <c r="Q17" s="154">
        <v>6.7</v>
      </c>
      <c r="R17" s="136">
        <v>32</v>
      </c>
      <c r="S17" s="255">
        <v>26</v>
      </c>
      <c r="T17" s="134">
        <v>7.0000000000000007E-2</v>
      </c>
      <c r="U17" s="154">
        <v>1.43</v>
      </c>
      <c r="V17" s="54">
        <v>0.8</v>
      </c>
      <c r="W17" s="55">
        <f>0.01/2</f>
        <v>5.0000000000000001E-3</v>
      </c>
      <c r="X17" s="54">
        <v>4.5999999999999999E-2</v>
      </c>
      <c r="Y17" s="55">
        <f>0.03/2</f>
        <v>1.4999999999999999E-2</v>
      </c>
      <c r="Z17" s="157">
        <v>1</v>
      </c>
      <c r="AA17" s="157">
        <v>1</v>
      </c>
      <c r="AB17" s="142">
        <v>22</v>
      </c>
      <c r="AC17" s="256">
        <v>58</v>
      </c>
      <c r="AD17" s="144">
        <v>0.95</v>
      </c>
      <c r="AE17" s="258">
        <v>159</v>
      </c>
      <c r="AF17" s="54">
        <f>0.05/2</f>
        <v>2.5000000000000001E-2</v>
      </c>
      <c r="AG17" s="54"/>
      <c r="AH17" s="54"/>
      <c r="AI17" s="113"/>
      <c r="AJ17" s="50"/>
      <c r="AK17" s="49"/>
      <c r="AL17" s="49"/>
      <c r="AM17" s="49"/>
      <c r="AN17" s="49"/>
      <c r="AO17" s="49"/>
      <c r="AP17" s="49"/>
      <c r="AQ17" s="49"/>
      <c r="AR17" s="49"/>
      <c r="AS17" s="49"/>
      <c r="AT17" s="49"/>
      <c r="AU17" s="49"/>
    </row>
    <row r="18" spans="1:47" ht="15" customHeight="1">
      <c r="A18" s="41" t="s">
        <v>36</v>
      </c>
      <c r="B18" s="50" t="s">
        <v>1442</v>
      </c>
      <c r="C18" s="50" t="s">
        <v>393</v>
      </c>
      <c r="D18" s="48" t="s">
        <v>356</v>
      </c>
      <c r="E18" s="50" t="s">
        <v>359</v>
      </c>
      <c r="F18" s="50">
        <v>4009</v>
      </c>
      <c r="G18" s="76" t="s">
        <v>1447</v>
      </c>
      <c r="H18" s="50">
        <v>9919</v>
      </c>
      <c r="I18" s="49" t="s">
        <v>2</v>
      </c>
      <c r="J18" s="50" t="s">
        <v>1448</v>
      </c>
      <c r="K18" s="51">
        <v>40843</v>
      </c>
      <c r="L18" s="115">
        <v>40835</v>
      </c>
      <c r="M18" s="50">
        <f>K18-L18</f>
        <v>8</v>
      </c>
      <c r="N18" s="50" t="s">
        <v>2</v>
      </c>
      <c r="O18" s="131">
        <v>1.6</v>
      </c>
      <c r="P18" s="117"/>
      <c r="Q18" s="131">
        <v>7.06</v>
      </c>
      <c r="R18" s="50">
        <v>46</v>
      </c>
      <c r="S18" s="74">
        <v>15</v>
      </c>
      <c r="T18" s="50">
        <v>0.08</v>
      </c>
      <c r="U18" s="74">
        <v>0.51</v>
      </c>
      <c r="V18" s="50">
        <v>3.4</v>
      </c>
      <c r="W18" s="74">
        <v>4.0000000000000001E-3</v>
      </c>
      <c r="X18" s="50">
        <v>1.4999999999999999E-2</v>
      </c>
      <c r="Y18" s="74">
        <f>0.002/2</f>
        <v>1E-3</v>
      </c>
      <c r="Z18" s="164">
        <v>1</v>
      </c>
      <c r="AA18" s="165">
        <v>1</v>
      </c>
      <c r="AB18" s="50">
        <v>66</v>
      </c>
      <c r="AC18" s="74">
        <v>216</v>
      </c>
      <c r="AD18" s="164">
        <v>1</v>
      </c>
      <c r="AE18" s="50">
        <v>31</v>
      </c>
      <c r="AF18" s="113">
        <f>0.01/2</f>
        <v>5.0000000000000001E-3</v>
      </c>
      <c r="AG18" s="54"/>
      <c r="AH18" s="54"/>
      <c r="AI18" s="113"/>
      <c r="AJ18" s="50"/>
      <c r="AK18" s="74"/>
      <c r="AL18" s="74"/>
      <c r="AM18" s="74"/>
      <c r="AN18" s="74"/>
      <c r="AO18" s="74"/>
      <c r="AP18" s="74"/>
      <c r="AQ18" s="74"/>
      <c r="AR18" s="74"/>
      <c r="AS18" s="74"/>
      <c r="AT18" s="74"/>
    </row>
    <row r="19" spans="1:47" ht="15" customHeight="1">
      <c r="A19" s="41" t="s">
        <v>36</v>
      </c>
      <c r="B19" s="50" t="s">
        <v>1442</v>
      </c>
      <c r="C19" s="50" t="s">
        <v>393</v>
      </c>
      <c r="D19" s="48" t="s">
        <v>356</v>
      </c>
      <c r="E19" s="50" t="s">
        <v>359</v>
      </c>
      <c r="F19" s="50">
        <v>4009</v>
      </c>
      <c r="G19" s="76" t="s">
        <v>1447</v>
      </c>
      <c r="H19" s="50">
        <v>9919</v>
      </c>
      <c r="I19" s="49" t="s">
        <v>2</v>
      </c>
      <c r="J19" s="50" t="s">
        <v>1449</v>
      </c>
      <c r="K19" s="51">
        <v>40843</v>
      </c>
      <c r="L19" s="115">
        <v>40835</v>
      </c>
      <c r="M19" s="50">
        <f>K19-L19</f>
        <v>8</v>
      </c>
      <c r="N19" s="50" t="s">
        <v>2</v>
      </c>
      <c r="O19" s="131">
        <v>3.3</v>
      </c>
      <c r="P19" s="117"/>
      <c r="Q19" s="131">
        <v>7.56</v>
      </c>
      <c r="R19" s="50">
        <v>140</v>
      </c>
      <c r="S19" s="74">
        <v>140</v>
      </c>
      <c r="T19" s="50">
        <v>0.33</v>
      </c>
      <c r="U19" s="74">
        <v>1.6</v>
      </c>
      <c r="V19" s="50">
        <v>1.7</v>
      </c>
      <c r="W19" s="74">
        <v>1.9E-2</v>
      </c>
      <c r="X19" s="50">
        <v>8.1000000000000003E-2</v>
      </c>
      <c r="Y19" s="74">
        <v>1.4999999999999999E-2</v>
      </c>
      <c r="Z19" s="164">
        <v>1</v>
      </c>
      <c r="AA19" s="165">
        <v>1</v>
      </c>
      <c r="AB19" s="50">
        <v>148</v>
      </c>
      <c r="AC19" s="74">
        <v>3680</v>
      </c>
      <c r="AD19" s="164">
        <v>1</v>
      </c>
      <c r="AE19" s="50">
        <v>1100</v>
      </c>
      <c r="AF19" s="113">
        <f>0.01/2</f>
        <v>5.0000000000000001E-3</v>
      </c>
      <c r="AG19" s="54"/>
      <c r="AH19" s="54"/>
      <c r="AI19" s="113"/>
      <c r="AJ19" s="50"/>
      <c r="AK19" s="74"/>
      <c r="AL19" s="74"/>
      <c r="AM19" s="74"/>
      <c r="AN19" s="74"/>
      <c r="AO19" s="74"/>
      <c r="AP19" s="74"/>
      <c r="AQ19" s="74"/>
      <c r="AR19" s="74"/>
      <c r="AS19" s="74"/>
      <c r="AT19" s="74"/>
    </row>
    <row r="20" spans="1:47" ht="14">
      <c r="A20" s="41" t="s">
        <v>36</v>
      </c>
      <c r="B20" s="50" t="s">
        <v>1488</v>
      </c>
      <c r="C20" s="50" t="s">
        <v>393</v>
      </c>
      <c r="D20" s="48" t="s">
        <v>1490</v>
      </c>
      <c r="E20" s="50" t="s">
        <v>1687</v>
      </c>
      <c r="G20" s="76" t="s">
        <v>1688</v>
      </c>
      <c r="I20" s="49" t="s">
        <v>2</v>
      </c>
      <c r="J20" s="50" t="s">
        <v>1689</v>
      </c>
      <c r="K20" s="51">
        <v>41136</v>
      </c>
      <c r="L20" s="115"/>
      <c r="N20" s="50" t="s">
        <v>2</v>
      </c>
      <c r="O20" s="74">
        <f>2/2</f>
        <v>1</v>
      </c>
      <c r="P20" s="117">
        <v>5.5</v>
      </c>
      <c r="Q20" s="131">
        <v>5.7</v>
      </c>
      <c r="R20" s="50">
        <v>100</v>
      </c>
      <c r="S20" s="74">
        <v>430</v>
      </c>
      <c r="T20" s="50">
        <v>0.71</v>
      </c>
      <c r="U20" s="74">
        <v>1.2</v>
      </c>
      <c r="V20" s="50">
        <v>0.21</v>
      </c>
      <c r="W20" s="74">
        <v>8.2000000000000003E-2</v>
      </c>
      <c r="X20" s="50">
        <v>0.24</v>
      </c>
      <c r="Y20" s="74">
        <v>7.6999999999999999E-2</v>
      </c>
      <c r="Z20" s="164">
        <v>1</v>
      </c>
      <c r="AA20" s="165">
        <v>1</v>
      </c>
      <c r="AB20" s="50">
        <v>16</v>
      </c>
      <c r="AC20" s="74">
        <v>214</v>
      </c>
      <c r="AD20" s="164">
        <v>1</v>
      </c>
      <c r="AG20" s="54"/>
      <c r="AH20" s="54"/>
      <c r="AI20" s="113"/>
      <c r="AJ20" s="50"/>
      <c r="AK20" s="74"/>
      <c r="AL20" s="74"/>
      <c r="AM20" s="74"/>
      <c r="AN20" s="74"/>
      <c r="AO20" s="74"/>
      <c r="AP20" s="74"/>
      <c r="AQ20" s="74"/>
      <c r="AR20" s="74"/>
      <c r="AS20" s="74"/>
      <c r="AT20" s="74"/>
    </row>
    <row r="21" spans="1:47" ht="14">
      <c r="A21" s="41" t="s">
        <v>36</v>
      </c>
      <c r="B21" s="50" t="s">
        <v>1488</v>
      </c>
      <c r="C21" s="50" t="s">
        <v>393</v>
      </c>
      <c r="D21" s="48" t="s">
        <v>1490</v>
      </c>
      <c r="E21" s="50" t="s">
        <v>1687</v>
      </c>
      <c r="G21" s="76" t="s">
        <v>1688</v>
      </c>
      <c r="I21" s="49" t="s">
        <v>2</v>
      </c>
      <c r="J21" s="50" t="s">
        <v>1690</v>
      </c>
      <c r="K21" s="51">
        <v>41136</v>
      </c>
      <c r="L21" s="115"/>
      <c r="N21" s="50" t="s">
        <v>2</v>
      </c>
      <c r="O21" s="74">
        <f>2/2</f>
        <v>1</v>
      </c>
      <c r="P21" s="117">
        <v>5.5</v>
      </c>
      <c r="Q21" s="131">
        <v>5.6</v>
      </c>
      <c r="R21" s="50">
        <v>66</v>
      </c>
      <c r="S21" s="74">
        <v>680</v>
      </c>
      <c r="T21" s="50">
        <v>1</v>
      </c>
      <c r="U21" s="74">
        <v>1.7</v>
      </c>
      <c r="V21" s="50">
        <v>0.12</v>
      </c>
      <c r="W21" s="74">
        <v>2.5000000000000001E-2</v>
      </c>
      <c r="X21" s="50">
        <v>0.11</v>
      </c>
      <c r="Y21" s="74">
        <v>1.4999999999999999E-2</v>
      </c>
      <c r="Z21" s="164">
        <v>1</v>
      </c>
      <c r="AA21" s="165">
        <v>1</v>
      </c>
      <c r="AB21" s="50">
        <v>10</v>
      </c>
      <c r="AC21" s="74">
        <v>104</v>
      </c>
      <c r="AD21" s="164">
        <v>1</v>
      </c>
      <c r="AG21" s="54"/>
      <c r="AH21" s="54"/>
      <c r="AI21" s="113"/>
      <c r="AJ21" s="50"/>
      <c r="AK21" s="74"/>
      <c r="AL21" s="74"/>
      <c r="AM21" s="74"/>
      <c r="AN21" s="74"/>
      <c r="AO21" s="74"/>
      <c r="AP21" s="74"/>
      <c r="AQ21" s="74"/>
      <c r="AR21" s="74"/>
      <c r="AS21" s="74"/>
      <c r="AT21" s="74"/>
    </row>
    <row r="22" spans="1:47" ht="14">
      <c r="A22" s="41" t="s">
        <v>36</v>
      </c>
      <c r="B22" s="50" t="s">
        <v>1488</v>
      </c>
      <c r="C22" s="50" t="s">
        <v>393</v>
      </c>
      <c r="D22" s="48" t="s">
        <v>1490</v>
      </c>
      <c r="E22" s="50" t="s">
        <v>1687</v>
      </c>
      <c r="G22" s="76" t="s">
        <v>1688</v>
      </c>
      <c r="I22" s="49" t="s">
        <v>2</v>
      </c>
      <c r="J22" s="50" t="s">
        <v>1691</v>
      </c>
      <c r="K22" s="51">
        <v>41136</v>
      </c>
      <c r="L22" s="115"/>
      <c r="N22" s="50" t="s">
        <v>2</v>
      </c>
      <c r="O22" s="74">
        <f>2/2</f>
        <v>1</v>
      </c>
      <c r="P22" s="117">
        <v>5.5</v>
      </c>
      <c r="Q22" s="131">
        <v>5.7</v>
      </c>
      <c r="R22" s="50">
        <v>64</v>
      </c>
      <c r="S22" s="74">
        <v>190</v>
      </c>
      <c r="T22" s="50">
        <v>0.56000000000000005</v>
      </c>
      <c r="U22" s="74">
        <v>1.4</v>
      </c>
      <c r="V22" s="50">
        <v>0.1</v>
      </c>
      <c r="W22" s="74">
        <v>8.6E-3</v>
      </c>
      <c r="X22" s="50">
        <v>3.7999999999999999E-2</v>
      </c>
      <c r="Y22" s="74">
        <v>4.1999999999999997E-3</v>
      </c>
      <c r="Z22" s="164">
        <v>1</v>
      </c>
      <c r="AA22" s="165">
        <v>1</v>
      </c>
      <c r="AB22" s="50">
        <v>4</v>
      </c>
      <c r="AC22" s="74">
        <v>114</v>
      </c>
      <c r="AD22" s="164">
        <v>1</v>
      </c>
      <c r="AG22" s="54"/>
      <c r="AH22" s="54"/>
      <c r="AI22" s="113"/>
      <c r="AJ22" s="50"/>
      <c r="AK22" s="74"/>
      <c r="AL22" s="74"/>
      <c r="AM22" s="74"/>
      <c r="AN22" s="74"/>
      <c r="AO22" s="74"/>
      <c r="AP22" s="74"/>
      <c r="AQ22" s="74"/>
      <c r="AR22" s="74"/>
      <c r="AS22" s="74"/>
      <c r="AT22" s="74"/>
    </row>
    <row r="23" spans="1:47" s="26" customFormat="1" ht="14">
      <c r="A23" s="41" t="s">
        <v>36</v>
      </c>
      <c r="B23" s="52" t="s">
        <v>1692</v>
      </c>
      <c r="C23" s="52" t="s">
        <v>1693</v>
      </c>
      <c r="D23" s="259" t="s">
        <v>276</v>
      </c>
      <c r="E23" s="52" t="s">
        <v>214</v>
      </c>
      <c r="F23" s="52"/>
      <c r="G23" s="260" t="s">
        <v>1694</v>
      </c>
      <c r="H23" s="52">
        <v>4952</v>
      </c>
      <c r="I23" s="75"/>
      <c r="J23" s="52" t="s">
        <v>1508</v>
      </c>
      <c r="K23" s="261">
        <v>41170</v>
      </c>
      <c r="L23" s="262">
        <v>41160</v>
      </c>
      <c r="M23" s="52">
        <v>10</v>
      </c>
      <c r="N23" s="52" t="s">
        <v>2</v>
      </c>
      <c r="O23" s="41">
        <v>3.9</v>
      </c>
      <c r="P23" s="263">
        <v>5.62</v>
      </c>
      <c r="Q23" s="264">
        <v>6.15</v>
      </c>
      <c r="R23" s="52">
        <f>2/2</f>
        <v>1</v>
      </c>
      <c r="S23" s="41">
        <v>11</v>
      </c>
      <c r="T23" s="52">
        <v>0.05</v>
      </c>
      <c r="U23" s="41">
        <v>0.62</v>
      </c>
      <c r="V23" s="52">
        <f>0.2/2</f>
        <v>0.1</v>
      </c>
      <c r="W23" s="41">
        <f>0.01/2</f>
        <v>5.0000000000000001E-3</v>
      </c>
      <c r="X23" s="52">
        <f>0.01/2</f>
        <v>5.0000000000000001E-3</v>
      </c>
      <c r="Y23" s="41">
        <f>0.02/2</f>
        <v>0.01</v>
      </c>
      <c r="Z23" s="229"/>
      <c r="AA23" s="318"/>
      <c r="AB23" s="52"/>
      <c r="AC23" s="41"/>
      <c r="AD23" s="229"/>
      <c r="AE23" s="52">
        <v>0.19</v>
      </c>
      <c r="AF23" s="52">
        <f>0.005/2</f>
        <v>2.5000000000000001E-3</v>
      </c>
      <c r="AG23" s="54"/>
      <c r="AH23" s="54"/>
      <c r="AI23" s="265"/>
      <c r="AJ23" s="52"/>
      <c r="AK23" s="41"/>
      <c r="AL23" s="41"/>
      <c r="AM23" s="41"/>
      <c r="AN23" s="41"/>
      <c r="AO23" s="41"/>
      <c r="AP23" s="41"/>
      <c r="AQ23" s="41"/>
      <c r="AR23" s="41"/>
      <c r="AS23" s="41"/>
      <c r="AT23" s="41"/>
      <c r="AU23" s="41"/>
    </row>
    <row r="24" spans="1:47" ht="15" customHeight="1">
      <c r="A24" s="41" t="s">
        <v>36</v>
      </c>
      <c r="B24" s="50" t="s">
        <v>2305</v>
      </c>
      <c r="C24" s="50" t="s">
        <v>2306</v>
      </c>
      <c r="D24" s="48" t="s">
        <v>56</v>
      </c>
      <c r="F24" s="50" t="s">
        <v>2307</v>
      </c>
      <c r="G24" s="76" t="s">
        <v>2308</v>
      </c>
      <c r="H24" s="50">
        <v>9199</v>
      </c>
      <c r="I24" s="49" t="s">
        <v>1</v>
      </c>
      <c r="J24" s="50" t="s">
        <v>2309</v>
      </c>
      <c r="K24" s="51">
        <v>40968</v>
      </c>
      <c r="L24" s="115">
        <v>40963</v>
      </c>
      <c r="M24" s="50">
        <v>5</v>
      </c>
      <c r="N24" s="50" t="s">
        <v>2</v>
      </c>
      <c r="O24" s="131">
        <f>1/2</f>
        <v>0.5</v>
      </c>
      <c r="P24" s="117">
        <v>6.23</v>
      </c>
      <c r="Q24" s="131">
        <v>7.06</v>
      </c>
      <c r="R24" s="50">
        <v>83.2</v>
      </c>
      <c r="S24" s="74">
        <v>200</v>
      </c>
      <c r="T24" s="50">
        <v>0.85</v>
      </c>
      <c r="U24" s="74">
        <v>2.4</v>
      </c>
      <c r="V24" s="50">
        <v>0.41</v>
      </c>
      <c r="W24" s="74">
        <v>6.5000000000000002E-2</v>
      </c>
      <c r="X24" s="50">
        <v>0.1</v>
      </c>
      <c r="Y24" s="74">
        <v>0.05</v>
      </c>
      <c r="AE24" s="50">
        <v>179.4</v>
      </c>
      <c r="AF24" s="113">
        <f>0.01/2</f>
        <v>5.0000000000000001E-3</v>
      </c>
      <c r="AG24" s="54"/>
      <c r="AH24" s="54"/>
      <c r="AI24" s="113"/>
      <c r="AJ24" s="50"/>
      <c r="AK24" s="74"/>
      <c r="AL24" s="74"/>
      <c r="AM24" s="74"/>
      <c r="AN24" s="74"/>
      <c r="AO24" s="74"/>
      <c r="AP24" s="74"/>
      <c r="AQ24" s="74"/>
      <c r="AR24" s="74"/>
      <c r="AS24" s="74"/>
      <c r="AT24" s="74"/>
    </row>
    <row r="25" spans="1:47" ht="15" customHeight="1">
      <c r="A25" s="41" t="s">
        <v>36</v>
      </c>
      <c r="B25" s="50" t="s">
        <v>2305</v>
      </c>
      <c r="C25" s="50" t="s">
        <v>2306</v>
      </c>
      <c r="D25" s="48" t="s">
        <v>56</v>
      </c>
      <c r="F25" s="50" t="s">
        <v>2307</v>
      </c>
      <c r="G25" s="76" t="s">
        <v>2308</v>
      </c>
      <c r="H25" s="50">
        <v>9199</v>
      </c>
      <c r="I25" s="49" t="s">
        <v>1</v>
      </c>
      <c r="J25" s="50" t="s">
        <v>2310</v>
      </c>
      <c r="K25" s="51">
        <v>40968</v>
      </c>
      <c r="L25" s="115">
        <v>40963</v>
      </c>
      <c r="M25" s="50">
        <v>5</v>
      </c>
      <c r="N25" s="50" t="s">
        <v>2</v>
      </c>
      <c r="O25" s="131">
        <v>2.4</v>
      </c>
      <c r="P25" s="117">
        <v>6.23</v>
      </c>
      <c r="Q25" s="131">
        <v>6.21</v>
      </c>
      <c r="R25" s="50">
        <v>73.8</v>
      </c>
      <c r="S25" s="74">
        <v>84</v>
      </c>
      <c r="T25" s="50">
        <v>0.16</v>
      </c>
      <c r="U25" s="74">
        <v>0.92</v>
      </c>
      <c r="V25" s="50">
        <v>0.44</v>
      </c>
      <c r="W25" s="74">
        <v>3.6999999999999998E-2</v>
      </c>
      <c r="X25" s="50">
        <v>5.8999999999999997E-2</v>
      </c>
      <c r="Y25" s="74">
        <v>8.9999999999999993E-3</v>
      </c>
      <c r="AE25" s="50">
        <v>119.4</v>
      </c>
      <c r="AF25" s="113">
        <f>0.01/2</f>
        <v>5.0000000000000001E-3</v>
      </c>
      <c r="AG25" s="54"/>
      <c r="AH25" s="54"/>
      <c r="AI25" s="113"/>
      <c r="AJ25" s="50"/>
      <c r="AK25" s="74"/>
      <c r="AL25" s="74"/>
      <c r="AM25" s="74"/>
      <c r="AN25" s="74"/>
      <c r="AO25" s="74"/>
      <c r="AP25" s="74"/>
      <c r="AQ25" s="74"/>
      <c r="AR25" s="74"/>
      <c r="AS25" s="74"/>
      <c r="AT25" s="74"/>
    </row>
    <row r="26" spans="1:47" ht="15" customHeight="1">
      <c r="A26" s="41" t="s">
        <v>36</v>
      </c>
      <c r="B26" s="50" t="s">
        <v>2327</v>
      </c>
      <c r="C26" s="50" t="s">
        <v>2306</v>
      </c>
      <c r="D26" s="48" t="s">
        <v>2328</v>
      </c>
      <c r="E26" s="50" t="s">
        <v>2329</v>
      </c>
      <c r="F26" s="50">
        <v>4607</v>
      </c>
      <c r="G26" s="76" t="s">
        <v>2330</v>
      </c>
      <c r="H26" s="50">
        <v>9199</v>
      </c>
      <c r="J26" s="50" t="s">
        <v>2331</v>
      </c>
      <c r="K26" s="51">
        <v>40863</v>
      </c>
      <c r="L26" s="115">
        <v>40857</v>
      </c>
      <c r="M26" s="50">
        <v>6</v>
      </c>
      <c r="O26" s="131">
        <f>1.4/2</f>
        <v>0.7</v>
      </c>
      <c r="P26" s="117">
        <v>4.8</v>
      </c>
      <c r="Q26" s="131">
        <v>6.91</v>
      </c>
      <c r="R26" s="50">
        <v>30</v>
      </c>
      <c r="S26" s="74">
        <v>37</v>
      </c>
      <c r="T26" s="50">
        <v>0.14000000000000001</v>
      </c>
      <c r="U26" s="74">
        <v>1.1000000000000001</v>
      </c>
      <c r="V26" s="50">
        <v>0.31</v>
      </c>
      <c r="W26" s="74">
        <v>8.9999999999999993E-3</v>
      </c>
      <c r="X26" s="50">
        <v>2.4E-2</v>
      </c>
      <c r="Y26" s="74">
        <f>0.002/2</f>
        <v>1E-3</v>
      </c>
      <c r="Z26" s="164">
        <v>1</v>
      </c>
      <c r="AA26" s="165">
        <v>1</v>
      </c>
      <c r="AB26" s="50">
        <v>70</v>
      </c>
      <c r="AC26" s="74">
        <v>1439</v>
      </c>
      <c r="AD26" s="164">
        <v>1</v>
      </c>
      <c r="AF26" s="113"/>
      <c r="AG26" s="54"/>
      <c r="AH26" s="54"/>
      <c r="AI26" s="113"/>
      <c r="AJ26" s="50"/>
      <c r="AK26" s="74"/>
      <c r="AL26" s="74"/>
      <c r="AM26" s="74"/>
      <c r="AN26" s="74"/>
      <c r="AO26" s="74"/>
      <c r="AP26" s="74"/>
      <c r="AQ26" s="74"/>
      <c r="AR26" s="74"/>
      <c r="AS26" s="74"/>
      <c r="AT26" s="74"/>
    </row>
    <row r="27" spans="1:47" ht="15" customHeight="1">
      <c r="A27" s="41" t="s">
        <v>36</v>
      </c>
      <c r="B27" s="50" t="s">
        <v>2327</v>
      </c>
      <c r="C27" s="50" t="s">
        <v>2306</v>
      </c>
      <c r="D27" s="48" t="s">
        <v>2328</v>
      </c>
      <c r="E27" s="50" t="s">
        <v>2329</v>
      </c>
      <c r="F27" s="50">
        <v>4607</v>
      </c>
      <c r="G27" s="76" t="s">
        <v>2330</v>
      </c>
      <c r="H27" s="50">
        <v>9199</v>
      </c>
      <c r="J27" s="50" t="s">
        <v>2332</v>
      </c>
      <c r="K27" s="51">
        <v>40863</v>
      </c>
      <c r="L27" s="115">
        <v>40857</v>
      </c>
      <c r="M27" s="50">
        <v>6</v>
      </c>
      <c r="O27" s="131">
        <f>1.4/2</f>
        <v>0.7</v>
      </c>
      <c r="P27" s="117">
        <v>4.8</v>
      </c>
      <c r="Q27" s="131">
        <v>7.17</v>
      </c>
      <c r="R27" s="50">
        <v>37</v>
      </c>
      <c r="S27" s="74">
        <v>30</v>
      </c>
      <c r="T27" s="50">
        <v>0.15</v>
      </c>
      <c r="U27" s="74">
        <v>0.69</v>
      </c>
      <c r="V27" s="50">
        <v>0.46</v>
      </c>
      <c r="W27" s="74">
        <v>7.0000000000000001E-3</v>
      </c>
      <c r="X27" s="50">
        <v>1.2999999999999999E-2</v>
      </c>
      <c r="Y27" s="74">
        <f>0.002/2</f>
        <v>1E-3</v>
      </c>
      <c r="Z27" s="164">
        <v>1</v>
      </c>
      <c r="AA27" s="165">
        <v>1</v>
      </c>
      <c r="AB27" s="50">
        <v>72</v>
      </c>
      <c r="AC27" s="74">
        <v>2580</v>
      </c>
      <c r="AD27" s="164">
        <v>1</v>
      </c>
      <c r="AF27" s="113"/>
      <c r="AG27" s="54"/>
      <c r="AH27" s="54"/>
      <c r="AI27" s="113"/>
      <c r="AJ27" s="50"/>
      <c r="AK27" s="74"/>
      <c r="AL27" s="74"/>
      <c r="AM27" s="74"/>
      <c r="AN27" s="74"/>
      <c r="AO27" s="74"/>
      <c r="AP27" s="74"/>
      <c r="AQ27" s="74"/>
      <c r="AR27" s="74"/>
      <c r="AS27" s="74"/>
      <c r="AT27" s="74"/>
    </row>
    <row r="28" spans="1:47" s="1" customFormat="1" ht="14">
      <c r="A28" s="75" t="s">
        <v>36</v>
      </c>
      <c r="B28" s="50" t="s">
        <v>1511</v>
      </c>
      <c r="C28" s="50" t="s">
        <v>1515</v>
      </c>
      <c r="D28" s="48" t="s">
        <v>710</v>
      </c>
      <c r="E28" s="50"/>
      <c r="F28" s="50"/>
      <c r="G28" s="76" t="s">
        <v>1516</v>
      </c>
      <c r="H28" s="50"/>
      <c r="I28" s="49" t="s">
        <v>2</v>
      </c>
      <c r="J28" s="50" t="s">
        <v>1517</v>
      </c>
      <c r="K28" s="51">
        <v>40904</v>
      </c>
      <c r="L28" s="115">
        <v>40900</v>
      </c>
      <c r="M28" s="50">
        <v>4</v>
      </c>
      <c r="N28" s="50" t="s">
        <v>2</v>
      </c>
      <c r="O28" s="49">
        <f>2/2</f>
        <v>1</v>
      </c>
      <c r="P28" s="117">
        <v>5.8</v>
      </c>
      <c r="Q28" s="152">
        <v>6.8</v>
      </c>
      <c r="R28" s="50">
        <v>120</v>
      </c>
      <c r="S28" s="49">
        <v>140</v>
      </c>
      <c r="T28" s="50">
        <v>0.44</v>
      </c>
      <c r="U28" s="49">
        <v>2</v>
      </c>
      <c r="V28" s="50">
        <v>0.45</v>
      </c>
      <c r="W28" s="280">
        <v>4.1000000000000002E-2</v>
      </c>
      <c r="X28" s="226">
        <v>0.14000000000000001</v>
      </c>
      <c r="Y28" s="226">
        <v>3.2000000000000001E-2</v>
      </c>
      <c r="Z28" s="164">
        <v>1</v>
      </c>
      <c r="AA28" s="269">
        <v>0.75170000000000003</v>
      </c>
      <c r="AB28" s="50">
        <v>15</v>
      </c>
      <c r="AC28" s="49">
        <v>80</v>
      </c>
      <c r="AD28" s="164">
        <v>0.8</v>
      </c>
      <c r="AE28" s="50"/>
      <c r="AF28" s="273"/>
      <c r="AG28" s="50"/>
      <c r="AH28" s="50"/>
      <c r="AI28" s="50"/>
      <c r="AJ28" s="50"/>
      <c r="AK28" s="49"/>
      <c r="AL28" s="49"/>
      <c r="AM28" s="49"/>
      <c r="AN28" s="49"/>
      <c r="AO28" s="49"/>
      <c r="AP28" s="49"/>
      <c r="AQ28" s="49"/>
      <c r="AR28" s="49"/>
      <c r="AS28" s="49"/>
      <c r="AT28" s="49"/>
      <c r="AU28" s="49"/>
    </row>
    <row r="29" spans="1:47" ht="15" customHeight="1">
      <c r="A29" s="41" t="s">
        <v>36</v>
      </c>
      <c r="B29" s="50" t="s">
        <v>2643</v>
      </c>
      <c r="C29" s="50" t="s">
        <v>395</v>
      </c>
      <c r="D29" s="48" t="s">
        <v>290</v>
      </c>
      <c r="E29" s="50" t="s">
        <v>112</v>
      </c>
      <c r="G29" s="76" t="s">
        <v>2644</v>
      </c>
      <c r="H29" s="50">
        <v>4953</v>
      </c>
      <c r="I29" s="49" t="s">
        <v>1</v>
      </c>
      <c r="J29" s="50" t="s">
        <v>2681</v>
      </c>
      <c r="K29" s="51">
        <v>41201</v>
      </c>
      <c r="L29" s="115">
        <v>41198</v>
      </c>
      <c r="M29" s="402">
        <f t="shared" ref="M29:M68" si="1">K29-L29</f>
        <v>3</v>
      </c>
      <c r="N29" s="50" t="s">
        <v>2</v>
      </c>
      <c r="O29" s="131">
        <f>1.4/2</f>
        <v>0.7</v>
      </c>
      <c r="P29" s="117">
        <v>5.18</v>
      </c>
      <c r="Q29" s="131">
        <v>7.17</v>
      </c>
      <c r="R29" s="50">
        <v>42</v>
      </c>
      <c r="S29" s="74">
        <v>30</v>
      </c>
      <c r="T29" s="50">
        <v>0.23</v>
      </c>
      <c r="U29" s="74">
        <v>0.79</v>
      </c>
      <c r="V29" s="50">
        <v>0.1</v>
      </c>
      <c r="W29" s="74">
        <f>0.005/2</f>
        <v>2.5000000000000001E-3</v>
      </c>
      <c r="X29" s="50">
        <v>2.1000000000000001E-2</v>
      </c>
      <c r="Y29" s="74">
        <f>0.002/2</f>
        <v>1E-3</v>
      </c>
      <c r="Z29" s="164">
        <v>1</v>
      </c>
      <c r="AA29" s="165">
        <v>1</v>
      </c>
      <c r="AB29" s="50">
        <v>90</v>
      </c>
      <c r="AC29" s="74">
        <v>1937</v>
      </c>
      <c r="AD29" s="164">
        <v>1</v>
      </c>
      <c r="AE29" s="50">
        <v>610</v>
      </c>
      <c r="AF29" s="113">
        <f>0.01/2</f>
        <v>5.0000000000000001E-3</v>
      </c>
      <c r="AG29" s="54"/>
      <c r="AH29" s="54"/>
      <c r="AI29" s="113"/>
      <c r="AJ29" s="50"/>
      <c r="AK29" s="74"/>
      <c r="AL29" s="74"/>
      <c r="AM29" s="74"/>
      <c r="AN29" s="74"/>
      <c r="AO29" s="74"/>
      <c r="AP29" s="74"/>
      <c r="AQ29" s="74"/>
      <c r="AR29" s="74"/>
      <c r="AS29" s="74"/>
      <c r="AT29" s="74"/>
    </row>
    <row r="30" spans="1:47" ht="15" customHeight="1">
      <c r="A30" s="41" t="s">
        <v>36</v>
      </c>
      <c r="B30" s="50" t="s">
        <v>2684</v>
      </c>
      <c r="C30" s="50" t="s">
        <v>2685</v>
      </c>
      <c r="D30" s="48" t="s">
        <v>836</v>
      </c>
      <c r="E30" s="50" t="s">
        <v>364</v>
      </c>
      <c r="G30" s="76" t="s">
        <v>2686</v>
      </c>
      <c r="H30" s="50">
        <v>9199</v>
      </c>
      <c r="I30" s="49" t="s">
        <v>2</v>
      </c>
      <c r="J30" s="50" t="s">
        <v>2687</v>
      </c>
      <c r="K30" s="51">
        <v>41030</v>
      </c>
      <c r="L30" s="115">
        <v>41022</v>
      </c>
      <c r="M30" s="402">
        <f t="shared" si="1"/>
        <v>8</v>
      </c>
      <c r="N30" s="50" t="s">
        <v>2</v>
      </c>
      <c r="O30" s="131">
        <f>1.4/2</f>
        <v>0.7</v>
      </c>
      <c r="P30" s="117">
        <v>5.8</v>
      </c>
      <c r="Q30" s="131">
        <v>5.81</v>
      </c>
      <c r="R30" s="50">
        <v>16</v>
      </c>
      <c r="S30" s="74">
        <f>5/2</f>
        <v>2.5</v>
      </c>
      <c r="T30" s="50">
        <v>0.05</v>
      </c>
      <c r="U30" s="74">
        <v>0.85</v>
      </c>
      <c r="V30" s="50">
        <v>0.44</v>
      </c>
      <c r="W30" s="74">
        <f>0.005/2</f>
        <v>2.5000000000000001E-3</v>
      </c>
      <c r="X30" s="50">
        <v>0.17100000000000001</v>
      </c>
      <c r="Y30" s="74">
        <f>0.002/2</f>
        <v>1E-3</v>
      </c>
      <c r="AE30" s="50">
        <f>3/2</f>
        <v>1.5</v>
      </c>
      <c r="AF30" s="113">
        <f>0.01/2</f>
        <v>5.0000000000000001E-3</v>
      </c>
      <c r="AG30" s="54"/>
      <c r="AH30" s="54"/>
      <c r="AI30" s="113"/>
      <c r="AJ30" s="50"/>
      <c r="AK30" s="74"/>
      <c r="AL30" s="74"/>
      <c r="AM30" s="74"/>
      <c r="AN30" s="74"/>
      <c r="AO30" s="74"/>
      <c r="AP30" s="74"/>
      <c r="AQ30" s="74"/>
      <c r="AR30" s="74"/>
      <c r="AS30" s="74"/>
      <c r="AT30" s="74"/>
    </row>
    <row r="31" spans="1:47" ht="15" customHeight="1">
      <c r="A31" s="41" t="s">
        <v>36</v>
      </c>
      <c r="B31" s="50" t="s">
        <v>2690</v>
      </c>
      <c r="C31" s="50" t="s">
        <v>1482</v>
      </c>
      <c r="D31" s="48" t="s">
        <v>2691</v>
      </c>
      <c r="E31" s="50" t="s">
        <v>2692</v>
      </c>
      <c r="F31" s="50" t="s">
        <v>2667</v>
      </c>
      <c r="G31" s="76" t="s">
        <v>2693</v>
      </c>
      <c r="H31" s="50">
        <v>9199</v>
      </c>
      <c r="I31" s="49" t="s">
        <v>2</v>
      </c>
      <c r="J31" s="50" t="s">
        <v>2694</v>
      </c>
      <c r="K31" s="51">
        <v>40857</v>
      </c>
      <c r="L31" s="115">
        <v>40846</v>
      </c>
      <c r="M31" s="402">
        <f t="shared" si="1"/>
        <v>11</v>
      </c>
      <c r="N31" s="50" t="s">
        <v>2</v>
      </c>
      <c r="O31" s="131">
        <v>3.4</v>
      </c>
      <c r="P31" s="117">
        <v>4.2</v>
      </c>
      <c r="Q31" s="131">
        <v>4.58</v>
      </c>
      <c r="R31" s="50">
        <v>48</v>
      </c>
      <c r="S31" s="74">
        <v>77</v>
      </c>
      <c r="T31" s="50">
        <v>0.11</v>
      </c>
      <c r="U31" s="74">
        <v>0.45</v>
      </c>
      <c r="V31" s="50">
        <v>0.24</v>
      </c>
      <c r="W31" s="74">
        <v>1.2999999999999999E-2</v>
      </c>
      <c r="X31" s="50">
        <v>0.11</v>
      </c>
      <c r="Y31" s="74">
        <v>5.0000000000000001E-3</v>
      </c>
      <c r="Z31" s="164">
        <v>1</v>
      </c>
      <c r="AA31" s="165">
        <v>0.35399999999999998</v>
      </c>
      <c r="AB31" s="50">
        <v>72</v>
      </c>
      <c r="AC31" s="74">
        <v>1590</v>
      </c>
      <c r="AD31" s="164">
        <v>0</v>
      </c>
      <c r="AE31" s="50">
        <v>460</v>
      </c>
      <c r="AF31" s="113">
        <f>0.01/2</f>
        <v>5.0000000000000001E-3</v>
      </c>
      <c r="AG31" s="54"/>
      <c r="AH31" s="54"/>
      <c r="AI31" s="113"/>
      <c r="AJ31" s="50"/>
      <c r="AK31" s="74"/>
      <c r="AL31" s="74"/>
      <c r="AM31" s="74"/>
      <c r="AN31" s="74"/>
      <c r="AO31" s="74"/>
      <c r="AP31" s="74"/>
      <c r="AQ31" s="74"/>
      <c r="AR31" s="74"/>
      <c r="AS31" s="74"/>
      <c r="AT31" s="74"/>
    </row>
    <row r="32" spans="1:47" ht="15" customHeight="1">
      <c r="A32" s="41" t="s">
        <v>36</v>
      </c>
      <c r="B32" s="50" t="s">
        <v>2690</v>
      </c>
      <c r="C32" s="50" t="s">
        <v>1482</v>
      </c>
      <c r="D32" s="48" t="s">
        <v>2691</v>
      </c>
      <c r="E32" s="50" t="s">
        <v>2692</v>
      </c>
      <c r="F32" s="50" t="s">
        <v>2667</v>
      </c>
      <c r="G32" s="76" t="s">
        <v>2693</v>
      </c>
      <c r="H32" s="50">
        <v>9199</v>
      </c>
      <c r="I32" s="49" t="s">
        <v>2</v>
      </c>
      <c r="J32" s="50" t="s">
        <v>1207</v>
      </c>
      <c r="K32" s="51">
        <v>40857</v>
      </c>
      <c r="L32" s="115">
        <v>40846</v>
      </c>
      <c r="M32" s="402">
        <f t="shared" si="1"/>
        <v>11</v>
      </c>
      <c r="N32" s="50" t="s">
        <v>2</v>
      </c>
      <c r="O32" s="131">
        <f>1.6/2</f>
        <v>0.8</v>
      </c>
      <c r="P32" s="117">
        <v>4.2</v>
      </c>
      <c r="Q32" s="131">
        <v>6.64</v>
      </c>
      <c r="R32" s="50">
        <v>46</v>
      </c>
      <c r="S32" s="74">
        <v>24</v>
      </c>
      <c r="T32" s="50">
        <v>0.17</v>
      </c>
      <c r="U32" s="74">
        <v>0.51</v>
      </c>
      <c r="V32" s="50">
        <v>0.22</v>
      </c>
      <c r="W32" s="74">
        <v>5.0000000000000001E-3</v>
      </c>
      <c r="X32" s="50">
        <v>1.6E-2</v>
      </c>
      <c r="Y32" s="74">
        <v>3.0000000000000001E-3</v>
      </c>
      <c r="Z32" s="164">
        <v>1</v>
      </c>
      <c r="AA32" s="165">
        <v>1</v>
      </c>
      <c r="AB32" s="50">
        <v>18</v>
      </c>
      <c r="AC32" s="74">
        <v>246</v>
      </c>
      <c r="AD32" s="164">
        <v>1</v>
      </c>
      <c r="AF32" s="113"/>
      <c r="AG32" s="54"/>
      <c r="AH32" s="54"/>
      <c r="AI32" s="113"/>
      <c r="AJ32" s="50"/>
      <c r="AK32" s="74"/>
      <c r="AL32" s="74"/>
      <c r="AM32" s="74"/>
      <c r="AN32" s="74"/>
      <c r="AO32" s="74"/>
      <c r="AP32" s="74"/>
      <c r="AQ32" s="74"/>
      <c r="AR32" s="74"/>
      <c r="AS32" s="74"/>
      <c r="AT32" s="74"/>
    </row>
    <row r="33" spans="1:46" ht="15" customHeight="1">
      <c r="A33" s="41" t="s">
        <v>36</v>
      </c>
      <c r="B33" s="50" t="s">
        <v>2690</v>
      </c>
      <c r="C33" s="50" t="s">
        <v>1482</v>
      </c>
      <c r="D33" s="48" t="s">
        <v>2691</v>
      </c>
      <c r="E33" s="50" t="s">
        <v>2692</v>
      </c>
      <c r="F33" s="50" t="s">
        <v>2667</v>
      </c>
      <c r="G33" s="76" t="s">
        <v>2693</v>
      </c>
      <c r="H33" s="50">
        <v>9199</v>
      </c>
      <c r="I33" s="49" t="s">
        <v>2</v>
      </c>
      <c r="J33" s="50" t="s">
        <v>2694</v>
      </c>
      <c r="K33" s="51">
        <v>41201</v>
      </c>
      <c r="L33" s="115">
        <v>41197</v>
      </c>
      <c r="M33" s="402">
        <f t="shared" si="1"/>
        <v>4</v>
      </c>
      <c r="N33" s="50" t="s">
        <v>2</v>
      </c>
      <c r="O33" s="131">
        <f>1.5/2</f>
        <v>0.75</v>
      </c>
      <c r="P33" s="117">
        <v>6.3</v>
      </c>
      <c r="Q33" s="131">
        <v>8.1199999999999992</v>
      </c>
      <c r="R33" s="50">
        <v>12</v>
      </c>
      <c r="S33" s="74">
        <f>5/2</f>
        <v>2.5</v>
      </c>
      <c r="T33" s="50">
        <v>0.02</v>
      </c>
      <c r="U33" s="74">
        <v>0.37</v>
      </c>
      <c r="V33" s="50">
        <v>0.16</v>
      </c>
      <c r="W33" s="74">
        <v>1.0999999999999999E-2</v>
      </c>
      <c r="X33" s="50">
        <v>0.02</v>
      </c>
      <c r="Y33" s="74">
        <v>3.0000000000000001E-3</v>
      </c>
      <c r="AE33" s="50">
        <v>3.7</v>
      </c>
      <c r="AF33" s="113">
        <f>0.01/2</f>
        <v>5.0000000000000001E-3</v>
      </c>
      <c r="AG33" s="54"/>
      <c r="AH33" s="54"/>
      <c r="AI33" s="113"/>
      <c r="AJ33" s="50"/>
      <c r="AK33" s="74"/>
      <c r="AL33" s="74"/>
      <c r="AM33" s="74"/>
      <c r="AN33" s="74"/>
      <c r="AO33" s="74"/>
      <c r="AP33" s="74"/>
      <c r="AQ33" s="74"/>
      <c r="AR33" s="74"/>
      <c r="AS33" s="74"/>
      <c r="AT33" s="74"/>
    </row>
    <row r="34" spans="1:46" ht="15" customHeight="1">
      <c r="A34" s="41" t="s">
        <v>36</v>
      </c>
      <c r="B34" s="50" t="s">
        <v>2690</v>
      </c>
      <c r="C34" s="50" t="s">
        <v>1482</v>
      </c>
      <c r="D34" s="48" t="s">
        <v>2691</v>
      </c>
      <c r="E34" s="50" t="s">
        <v>2692</v>
      </c>
      <c r="F34" s="50" t="s">
        <v>2667</v>
      </c>
      <c r="G34" s="76" t="s">
        <v>2693</v>
      </c>
      <c r="H34" s="50">
        <v>9199</v>
      </c>
      <c r="I34" s="49" t="s">
        <v>2</v>
      </c>
      <c r="J34" s="50" t="s">
        <v>1207</v>
      </c>
      <c r="K34" s="51">
        <v>41201</v>
      </c>
      <c r="L34" s="115">
        <v>41197</v>
      </c>
      <c r="M34" s="402">
        <f t="shared" si="1"/>
        <v>4</v>
      </c>
      <c r="N34" s="50" t="s">
        <v>2</v>
      </c>
      <c r="O34" s="131">
        <f>1.7/2</f>
        <v>0.85</v>
      </c>
      <c r="P34" s="117">
        <v>6.3</v>
      </c>
      <c r="Q34" s="131">
        <v>7.56</v>
      </c>
      <c r="R34" s="50">
        <f>10/2</f>
        <v>5</v>
      </c>
      <c r="S34" s="74">
        <f>5/2</f>
        <v>2.5</v>
      </c>
      <c r="T34" s="50">
        <v>0.03</v>
      </c>
      <c r="U34" s="74">
        <v>0.36</v>
      </c>
      <c r="V34" s="50">
        <v>1.47</v>
      </c>
      <c r="W34" s="74">
        <f>0.005/2</f>
        <v>2.5000000000000001E-3</v>
      </c>
      <c r="X34" s="50">
        <v>8.0000000000000002E-3</v>
      </c>
      <c r="Y34" s="74">
        <f>0.002/2</f>
        <v>1E-3</v>
      </c>
      <c r="AF34" s="113"/>
      <c r="AG34" s="54"/>
      <c r="AH34" s="54"/>
      <c r="AI34" s="113"/>
      <c r="AJ34" s="50"/>
      <c r="AK34" s="74"/>
      <c r="AL34" s="74"/>
      <c r="AM34" s="74"/>
      <c r="AN34" s="74"/>
      <c r="AO34" s="74"/>
      <c r="AP34" s="74"/>
      <c r="AQ34" s="74"/>
      <c r="AR34" s="74"/>
      <c r="AS34" s="74"/>
      <c r="AT34" s="74"/>
    </row>
    <row r="35" spans="1:46" ht="15" customHeight="1">
      <c r="A35" s="41" t="s">
        <v>36</v>
      </c>
      <c r="B35" s="50" t="s">
        <v>2695</v>
      </c>
      <c r="C35" s="50" t="s">
        <v>2696</v>
      </c>
      <c r="D35" s="48" t="s">
        <v>262</v>
      </c>
      <c r="E35" s="50" t="s">
        <v>1538</v>
      </c>
      <c r="G35" s="76" t="s">
        <v>2697</v>
      </c>
      <c r="H35" s="50">
        <v>9199</v>
      </c>
      <c r="I35" s="49" t="s">
        <v>1</v>
      </c>
      <c r="J35" s="50" t="s">
        <v>2698</v>
      </c>
      <c r="K35" s="51">
        <v>41030</v>
      </c>
      <c r="L35" s="115">
        <v>41022</v>
      </c>
      <c r="M35" s="402">
        <f t="shared" si="1"/>
        <v>8</v>
      </c>
      <c r="N35" s="50" t="s">
        <v>2</v>
      </c>
      <c r="O35" s="131">
        <f>1.4/2</f>
        <v>0.7</v>
      </c>
      <c r="P35" s="117"/>
      <c r="Q35" s="131">
        <v>6.78</v>
      </c>
      <c r="R35" s="50">
        <v>16</v>
      </c>
      <c r="S35" s="74">
        <v>9</v>
      </c>
      <c r="T35" s="50">
        <v>0.16</v>
      </c>
      <c r="U35" s="74">
        <v>0.81</v>
      </c>
      <c r="V35" s="50">
        <v>0.35</v>
      </c>
      <c r="W35" s="74">
        <v>2.1000000000000001E-2</v>
      </c>
      <c r="X35" s="50">
        <v>6.6000000000000003E-2</v>
      </c>
      <c r="Y35" s="74">
        <v>8.9999999999999993E-3</v>
      </c>
      <c r="AF35" s="113"/>
      <c r="AG35" s="54"/>
      <c r="AH35" s="54"/>
      <c r="AI35" s="113"/>
      <c r="AJ35" s="50"/>
      <c r="AK35" s="74"/>
      <c r="AL35" s="74"/>
      <c r="AM35" s="74"/>
      <c r="AN35" s="74"/>
      <c r="AO35" s="74"/>
      <c r="AP35" s="74"/>
      <c r="AQ35" s="74"/>
      <c r="AR35" s="74"/>
      <c r="AS35" s="74"/>
      <c r="AT35" s="74"/>
    </row>
    <row r="36" spans="1:46" ht="15" customHeight="1">
      <c r="A36" s="41" t="s">
        <v>36</v>
      </c>
      <c r="B36" s="50" t="s">
        <v>2695</v>
      </c>
      <c r="C36" s="50" t="s">
        <v>2696</v>
      </c>
      <c r="D36" s="48" t="s">
        <v>262</v>
      </c>
      <c r="E36" s="50" t="s">
        <v>1538</v>
      </c>
      <c r="G36" s="76" t="s">
        <v>2697</v>
      </c>
      <c r="H36" s="50">
        <v>9199</v>
      </c>
      <c r="I36" s="49" t="s">
        <v>1</v>
      </c>
      <c r="J36" s="50" t="s">
        <v>2699</v>
      </c>
      <c r="K36" s="51">
        <v>41072</v>
      </c>
      <c r="L36" s="115">
        <v>41061</v>
      </c>
      <c r="M36" s="402">
        <f t="shared" si="1"/>
        <v>11</v>
      </c>
      <c r="N36" s="50" t="s">
        <v>2</v>
      </c>
      <c r="O36" s="131">
        <f>1.4/2</f>
        <v>0.7</v>
      </c>
      <c r="P36" s="117">
        <v>5.28</v>
      </c>
      <c r="Q36" s="131">
        <v>7.56</v>
      </c>
      <c r="R36" s="50">
        <v>29</v>
      </c>
      <c r="S36" s="74">
        <f>5/2</f>
        <v>2.5</v>
      </c>
      <c r="T36" s="50">
        <v>0.69</v>
      </c>
      <c r="U36" s="74">
        <v>1.17</v>
      </c>
      <c r="V36" s="50">
        <v>2.86</v>
      </c>
      <c r="W36" s="74">
        <f>0.005/2</f>
        <v>2.5000000000000001E-3</v>
      </c>
      <c r="X36" s="50">
        <v>5.6000000000000001E-2</v>
      </c>
      <c r="Y36" s="74">
        <f>0.002/2</f>
        <v>1E-3</v>
      </c>
      <c r="Z36" s="164">
        <v>0.28999999999999998</v>
      </c>
      <c r="AA36" s="165">
        <v>0.17100000000000001</v>
      </c>
      <c r="AB36" s="50">
        <v>220</v>
      </c>
      <c r="AC36" s="74">
        <v>2000</v>
      </c>
      <c r="AF36" s="113"/>
      <c r="AG36" s="54"/>
      <c r="AH36" s="54"/>
      <c r="AI36" s="113"/>
      <c r="AJ36" s="50"/>
      <c r="AK36" s="74"/>
      <c r="AL36" s="74"/>
      <c r="AM36" s="74"/>
      <c r="AN36" s="74"/>
      <c r="AO36" s="74"/>
      <c r="AP36" s="74"/>
      <c r="AQ36" s="74"/>
      <c r="AR36" s="74"/>
      <c r="AS36" s="74"/>
      <c r="AT36" s="74"/>
    </row>
    <row r="37" spans="1:46" ht="15" customHeight="1">
      <c r="A37" s="41" t="s">
        <v>36</v>
      </c>
      <c r="B37" s="50" t="s">
        <v>187</v>
      </c>
      <c r="C37" s="50" t="s">
        <v>996</v>
      </c>
      <c r="D37" s="48" t="s">
        <v>188</v>
      </c>
      <c r="E37" s="50" t="s">
        <v>977</v>
      </c>
      <c r="F37" s="50" t="s">
        <v>997</v>
      </c>
      <c r="G37" s="76" t="s">
        <v>3017</v>
      </c>
      <c r="H37" s="50">
        <v>9199</v>
      </c>
      <c r="I37" s="49" t="s">
        <v>1</v>
      </c>
      <c r="J37" s="50" t="s">
        <v>2700</v>
      </c>
      <c r="K37" s="51">
        <v>41030</v>
      </c>
      <c r="L37" s="115"/>
      <c r="M37" s="402"/>
      <c r="N37" s="50" t="s">
        <v>2</v>
      </c>
      <c r="O37" s="131">
        <f>2/2</f>
        <v>1</v>
      </c>
      <c r="P37" s="117">
        <v>4.32</v>
      </c>
      <c r="Q37" s="131">
        <v>7</v>
      </c>
      <c r="R37" s="50">
        <v>86</v>
      </c>
      <c r="S37" s="74">
        <v>44</v>
      </c>
      <c r="T37" s="50">
        <v>0.14000000000000001</v>
      </c>
      <c r="U37" s="74">
        <v>0.34</v>
      </c>
      <c r="V37" s="50">
        <v>0.7</v>
      </c>
      <c r="W37" s="74">
        <v>1.9E-2</v>
      </c>
      <c r="X37" s="50">
        <v>0.113</v>
      </c>
      <c r="Y37" s="74">
        <f>0.03/2</f>
        <v>1.4999999999999999E-2</v>
      </c>
      <c r="AE37" s="50">
        <v>19.5</v>
      </c>
      <c r="AF37" s="113">
        <f>0.05/2</f>
        <v>2.5000000000000001E-2</v>
      </c>
      <c r="AG37" s="54"/>
      <c r="AH37" s="54"/>
      <c r="AI37" s="113"/>
      <c r="AJ37" s="50"/>
      <c r="AK37" s="74"/>
      <c r="AL37" s="74"/>
      <c r="AM37" s="74"/>
      <c r="AN37" s="74"/>
      <c r="AO37" s="74"/>
      <c r="AP37" s="74"/>
      <c r="AQ37" s="74"/>
      <c r="AR37" s="74"/>
      <c r="AS37" s="74"/>
      <c r="AT37" s="74"/>
    </row>
    <row r="38" spans="1:46" ht="15" customHeight="1">
      <c r="A38" s="41" t="s">
        <v>36</v>
      </c>
      <c r="B38" s="50" t="s">
        <v>187</v>
      </c>
      <c r="C38" s="50" t="s">
        <v>996</v>
      </c>
      <c r="D38" s="48" t="s">
        <v>188</v>
      </c>
      <c r="E38" s="50" t="s">
        <v>977</v>
      </c>
      <c r="F38" s="50" t="s">
        <v>997</v>
      </c>
      <c r="G38" s="76" t="s">
        <v>3017</v>
      </c>
      <c r="H38" s="50">
        <v>9199</v>
      </c>
      <c r="I38" s="49" t="s">
        <v>1</v>
      </c>
      <c r="J38" s="50" t="s">
        <v>2700</v>
      </c>
      <c r="K38" s="51">
        <v>41264</v>
      </c>
      <c r="L38" s="115">
        <v>41261</v>
      </c>
      <c r="M38" s="402">
        <f t="shared" si="1"/>
        <v>3</v>
      </c>
      <c r="N38" s="50" t="s">
        <v>1</v>
      </c>
      <c r="O38" s="131">
        <v>5.3</v>
      </c>
      <c r="P38" s="117">
        <v>4.3899999999999997</v>
      </c>
      <c r="Q38" s="131">
        <v>6.9</v>
      </c>
      <c r="R38" s="50">
        <v>81</v>
      </c>
      <c r="S38" s="74">
        <v>112</v>
      </c>
      <c r="T38" s="50">
        <v>0.51</v>
      </c>
      <c r="U38" s="74">
        <v>0.93</v>
      </c>
      <c r="V38" s="50">
        <f>0.1/2</f>
        <v>0.05</v>
      </c>
      <c r="W38" s="74">
        <v>2.3E-2</v>
      </c>
      <c r="X38" s="50">
        <v>0.34200000000000003</v>
      </c>
      <c r="Y38" s="74">
        <f>0.03/2</f>
        <v>1.4999999999999999E-2</v>
      </c>
      <c r="Z38" s="164">
        <v>1</v>
      </c>
      <c r="AA38" s="165">
        <v>1</v>
      </c>
      <c r="AB38" s="50">
        <v>11</v>
      </c>
      <c r="AC38" s="74">
        <v>59</v>
      </c>
      <c r="AD38" s="164">
        <v>1</v>
      </c>
      <c r="AE38" s="50">
        <v>18.600000000000001</v>
      </c>
      <c r="AF38" s="113">
        <f>0.05/2</f>
        <v>2.5000000000000001E-2</v>
      </c>
      <c r="AG38" s="54"/>
      <c r="AH38" s="54"/>
      <c r="AI38" s="113"/>
      <c r="AJ38" s="50"/>
      <c r="AK38" s="74"/>
      <c r="AL38" s="74"/>
      <c r="AM38" s="74"/>
      <c r="AN38" s="74"/>
      <c r="AO38" s="74"/>
      <c r="AP38" s="74"/>
      <c r="AQ38" s="74"/>
      <c r="AR38" s="74"/>
      <c r="AS38" s="74"/>
      <c r="AT38" s="74"/>
    </row>
    <row r="39" spans="1:46" ht="15" customHeight="1">
      <c r="A39" s="41" t="s">
        <v>36</v>
      </c>
      <c r="B39" s="50" t="s">
        <v>2701</v>
      </c>
      <c r="D39" s="48" t="s">
        <v>156</v>
      </c>
      <c r="E39" s="50" t="s">
        <v>1305</v>
      </c>
      <c r="F39" s="50" t="s">
        <v>2702</v>
      </c>
      <c r="G39" s="76" t="s">
        <v>2703</v>
      </c>
      <c r="H39" s="50" t="s">
        <v>2704</v>
      </c>
      <c r="I39" s="49" t="s">
        <v>1</v>
      </c>
      <c r="J39" s="50" t="s">
        <v>856</v>
      </c>
      <c r="K39" s="51">
        <v>40996</v>
      </c>
      <c r="L39" s="115">
        <v>40993</v>
      </c>
      <c r="M39" s="402">
        <f t="shared" si="1"/>
        <v>3</v>
      </c>
      <c r="N39" s="50" t="s">
        <v>2</v>
      </c>
      <c r="O39" s="131">
        <v>12.3</v>
      </c>
      <c r="P39" s="117">
        <v>6.7</v>
      </c>
      <c r="Q39" s="131">
        <v>7.5</v>
      </c>
      <c r="R39" s="50">
        <v>28</v>
      </c>
      <c r="S39" s="74">
        <v>262</v>
      </c>
      <c r="T39" s="50">
        <v>0.28999999999999998</v>
      </c>
      <c r="U39" s="74">
        <v>2.15</v>
      </c>
      <c r="V39" s="50">
        <v>0.24</v>
      </c>
      <c r="W39" s="74">
        <v>5.2999999999999999E-2</v>
      </c>
      <c r="X39" s="50">
        <v>0.23400000000000001</v>
      </c>
      <c r="Y39" s="74">
        <f>0.03/2</f>
        <v>1.4999999999999999E-2</v>
      </c>
      <c r="Z39" s="164">
        <v>1</v>
      </c>
      <c r="AA39" s="165">
        <v>1</v>
      </c>
      <c r="AB39" s="50">
        <v>18</v>
      </c>
      <c r="AC39" s="74">
        <v>63</v>
      </c>
      <c r="AD39" s="164">
        <v>1</v>
      </c>
      <c r="AF39" s="113"/>
      <c r="AG39" s="54"/>
      <c r="AH39" s="54"/>
      <c r="AI39" s="113"/>
      <c r="AJ39" s="50"/>
      <c r="AK39" s="74"/>
      <c r="AL39" s="74"/>
      <c r="AM39" s="74"/>
      <c r="AN39" s="74"/>
      <c r="AO39" s="74"/>
      <c r="AP39" s="74"/>
      <c r="AQ39" s="74"/>
      <c r="AR39" s="74"/>
      <c r="AS39" s="74"/>
      <c r="AT39" s="74"/>
    </row>
    <row r="40" spans="1:46" ht="15" customHeight="1">
      <c r="A40" s="41" t="s">
        <v>36</v>
      </c>
      <c r="B40" s="50" t="s">
        <v>2701</v>
      </c>
      <c r="D40" s="48" t="s">
        <v>156</v>
      </c>
      <c r="E40" s="50" t="s">
        <v>1305</v>
      </c>
      <c r="F40" s="50" t="s">
        <v>2702</v>
      </c>
      <c r="G40" s="76" t="s">
        <v>2703</v>
      </c>
      <c r="H40" s="50" t="s">
        <v>2704</v>
      </c>
      <c r="I40" s="49" t="s">
        <v>1</v>
      </c>
      <c r="J40" s="50" t="s">
        <v>2705</v>
      </c>
      <c r="K40" s="51">
        <v>40996</v>
      </c>
      <c r="L40" s="115">
        <v>40993</v>
      </c>
      <c r="M40" s="402">
        <f t="shared" si="1"/>
        <v>3</v>
      </c>
      <c r="N40" s="50" t="s">
        <v>2</v>
      </c>
      <c r="O40" s="131">
        <v>6.9</v>
      </c>
      <c r="P40" s="117">
        <v>6.7</v>
      </c>
      <c r="Q40" s="131">
        <v>6.5</v>
      </c>
      <c r="R40" s="50">
        <v>17</v>
      </c>
      <c r="S40" s="74">
        <v>207</v>
      </c>
      <c r="T40" s="50">
        <v>0.22</v>
      </c>
      <c r="U40" s="74">
        <v>1.5</v>
      </c>
      <c r="V40" s="50">
        <v>0.18</v>
      </c>
      <c r="W40" s="74">
        <v>2.8000000000000001E-2</v>
      </c>
      <c r="X40" s="50">
        <v>0.152</v>
      </c>
      <c r="Y40" s="74">
        <f>0.03/2</f>
        <v>1.4999999999999999E-2</v>
      </c>
      <c r="Z40" s="164">
        <v>1</v>
      </c>
      <c r="AA40" s="165">
        <v>1</v>
      </c>
      <c r="AB40" s="50">
        <v>15</v>
      </c>
      <c r="AC40" s="74">
        <v>39</v>
      </c>
      <c r="AD40" s="164">
        <v>1</v>
      </c>
      <c r="AF40" s="113"/>
      <c r="AG40" s="54"/>
      <c r="AH40" s="54"/>
      <c r="AI40" s="113"/>
      <c r="AJ40" s="50"/>
      <c r="AK40" s="74"/>
      <c r="AL40" s="74"/>
      <c r="AM40" s="74"/>
      <c r="AN40" s="74"/>
      <c r="AO40" s="74"/>
      <c r="AP40" s="74"/>
      <c r="AQ40" s="74"/>
      <c r="AR40" s="74"/>
      <c r="AS40" s="74"/>
      <c r="AT40" s="74"/>
    </row>
    <row r="41" spans="1:46" ht="15" customHeight="1">
      <c r="A41" s="41" t="s">
        <v>36</v>
      </c>
      <c r="B41" s="50" t="s">
        <v>2701</v>
      </c>
      <c r="D41" s="48" t="s">
        <v>156</v>
      </c>
      <c r="E41" s="50" t="s">
        <v>1305</v>
      </c>
      <c r="F41" s="50" t="s">
        <v>2702</v>
      </c>
      <c r="G41" s="76" t="s">
        <v>2703</v>
      </c>
      <c r="H41" s="50" t="s">
        <v>2704</v>
      </c>
      <c r="I41" s="49" t="s">
        <v>1</v>
      </c>
      <c r="J41" s="50" t="s">
        <v>2706</v>
      </c>
      <c r="K41" s="51">
        <v>40996</v>
      </c>
      <c r="L41" s="115">
        <v>40993</v>
      </c>
      <c r="M41" s="402">
        <f t="shared" si="1"/>
        <v>3</v>
      </c>
      <c r="N41" s="50" t="s">
        <v>2</v>
      </c>
      <c r="O41" s="131">
        <v>8.4</v>
      </c>
      <c r="P41" s="117">
        <v>7.4</v>
      </c>
      <c r="Q41" s="131">
        <v>7.4</v>
      </c>
      <c r="R41" s="50">
        <v>36</v>
      </c>
      <c r="S41" s="74">
        <v>1812</v>
      </c>
      <c r="T41" s="50">
        <v>1.69</v>
      </c>
      <c r="U41" s="74">
        <v>5.86</v>
      </c>
      <c r="V41" s="50">
        <v>0.19</v>
      </c>
      <c r="W41" s="74">
        <v>0.1</v>
      </c>
      <c r="X41" s="50">
        <v>0.23300000000000001</v>
      </c>
      <c r="Y41" s="74">
        <v>0.11</v>
      </c>
      <c r="Z41" s="164">
        <v>1</v>
      </c>
      <c r="AA41" s="165">
        <v>1</v>
      </c>
      <c r="AB41" s="50">
        <v>70</v>
      </c>
      <c r="AC41" s="74">
        <v>102</v>
      </c>
      <c r="AD41" s="164">
        <v>1</v>
      </c>
      <c r="AF41" s="113"/>
      <c r="AG41" s="54"/>
      <c r="AH41" s="54"/>
      <c r="AI41" s="113"/>
      <c r="AJ41" s="50"/>
      <c r="AK41" s="74"/>
      <c r="AL41" s="74"/>
      <c r="AM41" s="74"/>
      <c r="AN41" s="74"/>
      <c r="AO41" s="74"/>
      <c r="AP41" s="74"/>
      <c r="AQ41" s="74"/>
      <c r="AR41" s="74"/>
      <c r="AS41" s="74"/>
      <c r="AT41" s="74"/>
    </row>
    <row r="42" spans="1:46" ht="15" customHeight="1">
      <c r="A42" s="41" t="s">
        <v>36</v>
      </c>
      <c r="B42" s="50" t="s">
        <v>2701</v>
      </c>
      <c r="D42" s="48" t="s">
        <v>156</v>
      </c>
      <c r="E42" s="50" t="s">
        <v>1305</v>
      </c>
      <c r="F42" s="50" t="s">
        <v>2702</v>
      </c>
      <c r="G42" s="76" t="s">
        <v>2703</v>
      </c>
      <c r="H42" s="50" t="s">
        <v>2704</v>
      </c>
      <c r="I42" s="49" t="s">
        <v>1</v>
      </c>
      <c r="J42" s="50" t="s">
        <v>856</v>
      </c>
      <c r="K42" s="51">
        <v>41170</v>
      </c>
      <c r="L42" s="115">
        <v>41160</v>
      </c>
      <c r="M42" s="402">
        <f t="shared" si="1"/>
        <v>10</v>
      </c>
      <c r="N42" s="50" t="s">
        <v>2</v>
      </c>
      <c r="O42" s="131">
        <v>5.5</v>
      </c>
      <c r="P42" s="117">
        <v>7.2</v>
      </c>
      <c r="Q42" s="131">
        <v>6.8</v>
      </c>
      <c r="R42" s="50">
        <v>137</v>
      </c>
      <c r="S42" s="74">
        <v>252</v>
      </c>
      <c r="T42" s="50">
        <v>0.37</v>
      </c>
      <c r="U42" s="74">
        <v>3</v>
      </c>
      <c r="V42" s="50">
        <v>0.9</v>
      </c>
      <c r="W42" s="74">
        <v>6.7000000000000004E-2</v>
      </c>
      <c r="X42" s="50">
        <v>0.17399999999999999</v>
      </c>
      <c r="Y42" s="74">
        <f>0.03/2</f>
        <v>1.4999999999999999E-2</v>
      </c>
      <c r="AF42" s="113"/>
      <c r="AG42" s="54"/>
      <c r="AH42" s="64" t="s">
        <v>2371</v>
      </c>
      <c r="AI42" s="113"/>
      <c r="AJ42" s="50"/>
      <c r="AK42" s="74"/>
      <c r="AL42" s="74"/>
      <c r="AM42" s="74"/>
      <c r="AN42" s="74"/>
      <c r="AO42" s="74"/>
      <c r="AP42" s="74"/>
      <c r="AQ42" s="74"/>
      <c r="AR42" s="74"/>
      <c r="AS42" s="74"/>
      <c r="AT42" s="74"/>
    </row>
    <row r="43" spans="1:46" ht="15" customHeight="1">
      <c r="A43" s="41" t="s">
        <v>36</v>
      </c>
      <c r="B43" s="50" t="s">
        <v>2701</v>
      </c>
      <c r="D43" s="48" t="s">
        <v>156</v>
      </c>
      <c r="E43" s="50" t="s">
        <v>1305</v>
      </c>
      <c r="F43" s="50" t="s">
        <v>2702</v>
      </c>
      <c r="G43" s="76" t="s">
        <v>2703</v>
      </c>
      <c r="H43" s="50" t="s">
        <v>2704</v>
      </c>
      <c r="I43" s="49" t="s">
        <v>1</v>
      </c>
      <c r="J43" s="50" t="s">
        <v>2705</v>
      </c>
      <c r="K43" s="51">
        <v>41170</v>
      </c>
      <c r="L43" s="115">
        <v>41160</v>
      </c>
      <c r="M43" s="402">
        <f t="shared" si="1"/>
        <v>10</v>
      </c>
      <c r="N43" s="50" t="s">
        <v>2</v>
      </c>
      <c r="O43" s="131">
        <v>3.1</v>
      </c>
      <c r="P43" s="117">
        <v>7.2</v>
      </c>
      <c r="Q43" s="131">
        <v>6.4</v>
      </c>
      <c r="R43" s="50">
        <v>79</v>
      </c>
      <c r="S43" s="74">
        <v>39</v>
      </c>
      <c r="T43" s="50">
        <v>0.21</v>
      </c>
      <c r="U43" s="74">
        <v>2.52</v>
      </c>
      <c r="V43" s="50">
        <v>1.08</v>
      </c>
      <c r="W43" s="74">
        <v>2.5999999999999999E-2</v>
      </c>
      <c r="X43" s="50">
        <v>5.8999999999999997E-2</v>
      </c>
      <c r="Y43" s="74">
        <f>0.03/2</f>
        <v>1.4999999999999999E-2</v>
      </c>
      <c r="AF43" s="113"/>
      <c r="AG43" s="54"/>
      <c r="AH43" s="64" t="s">
        <v>2371</v>
      </c>
      <c r="AI43" s="113"/>
      <c r="AJ43" s="50"/>
      <c r="AK43" s="74"/>
      <c r="AL43" s="74"/>
      <c r="AM43" s="74"/>
      <c r="AN43" s="74"/>
      <c r="AO43" s="74"/>
      <c r="AP43" s="74"/>
      <c r="AQ43" s="74"/>
      <c r="AR43" s="74"/>
      <c r="AS43" s="74"/>
      <c r="AT43" s="74"/>
    </row>
    <row r="44" spans="1:46" ht="15" customHeight="1">
      <c r="A44" s="41" t="s">
        <v>36</v>
      </c>
      <c r="B44" s="50" t="s">
        <v>2701</v>
      </c>
      <c r="D44" s="48" t="s">
        <v>156</v>
      </c>
      <c r="E44" s="50" t="s">
        <v>1305</v>
      </c>
      <c r="F44" s="50" t="s">
        <v>2702</v>
      </c>
      <c r="G44" s="76" t="s">
        <v>2703</v>
      </c>
      <c r="H44" s="50" t="s">
        <v>2704</v>
      </c>
      <c r="I44" s="49" t="s">
        <v>1</v>
      </c>
      <c r="J44" s="50" t="s">
        <v>2706</v>
      </c>
      <c r="K44" s="51">
        <v>41170</v>
      </c>
      <c r="L44" s="115">
        <v>41160</v>
      </c>
      <c r="M44" s="402">
        <f t="shared" si="1"/>
        <v>10</v>
      </c>
      <c r="N44" s="50" t="s">
        <v>2</v>
      </c>
      <c r="O44" s="131">
        <v>19.100000000000001</v>
      </c>
      <c r="P44" s="117">
        <v>7.2</v>
      </c>
      <c r="Q44" s="131">
        <v>7.4</v>
      </c>
      <c r="R44" s="50">
        <v>161</v>
      </c>
      <c r="S44" s="74">
        <v>210</v>
      </c>
      <c r="T44" s="50">
        <v>2.71</v>
      </c>
      <c r="U44" s="74">
        <v>13.7</v>
      </c>
      <c r="V44" s="50">
        <v>1.02</v>
      </c>
      <c r="W44" s="74">
        <v>9.8000000000000004E-2</v>
      </c>
      <c r="X44" s="50">
        <v>0.154</v>
      </c>
      <c r="Y44" s="74">
        <v>5.8000000000000003E-2</v>
      </c>
      <c r="AF44" s="113"/>
      <c r="AG44" s="54"/>
      <c r="AH44" s="54" t="s">
        <v>2371</v>
      </c>
      <c r="AI44" s="113"/>
      <c r="AJ44" s="50"/>
      <c r="AK44" s="74"/>
      <c r="AL44" s="74"/>
      <c r="AM44" s="74"/>
      <c r="AN44" s="74"/>
      <c r="AO44" s="74"/>
      <c r="AP44" s="74"/>
      <c r="AQ44" s="74"/>
      <c r="AR44" s="74"/>
      <c r="AS44" s="74"/>
      <c r="AT44" s="74"/>
    </row>
    <row r="45" spans="1:46" ht="15" customHeight="1">
      <c r="A45" s="41" t="s">
        <v>36</v>
      </c>
      <c r="B45" s="50" t="s">
        <v>2707</v>
      </c>
      <c r="C45" s="50" t="s">
        <v>2708</v>
      </c>
      <c r="D45" s="48" t="s">
        <v>379</v>
      </c>
      <c r="E45" s="50" t="s">
        <v>2709</v>
      </c>
      <c r="F45" s="50" t="s">
        <v>2667</v>
      </c>
      <c r="G45" s="76" t="s">
        <v>2710</v>
      </c>
      <c r="H45" s="50">
        <v>7538</v>
      </c>
      <c r="I45" s="49" t="s">
        <v>2</v>
      </c>
      <c r="J45" s="50" t="s">
        <v>2711</v>
      </c>
      <c r="K45" s="51">
        <v>40920</v>
      </c>
      <c r="L45" s="115">
        <v>40909</v>
      </c>
      <c r="M45" s="402">
        <f t="shared" si="1"/>
        <v>11</v>
      </c>
      <c r="N45" s="50" t="s">
        <v>2</v>
      </c>
      <c r="O45" s="131">
        <v>11</v>
      </c>
      <c r="P45" s="117">
        <v>5.89</v>
      </c>
      <c r="Q45" s="131">
        <v>7</v>
      </c>
      <c r="R45" s="50">
        <v>250</v>
      </c>
      <c r="S45" s="74">
        <v>210</v>
      </c>
      <c r="T45" s="50">
        <v>0.62</v>
      </c>
      <c r="U45" s="74">
        <v>4.6100000000000003</v>
      </c>
      <c r="W45" s="74">
        <v>6.8000000000000005E-2</v>
      </c>
      <c r="X45" s="50">
        <v>0.20399999999999999</v>
      </c>
      <c r="Y45" s="74">
        <v>3.6999999999999998E-2</v>
      </c>
      <c r="Z45" s="164">
        <v>0.59499999999999997</v>
      </c>
      <c r="AA45" s="165">
        <v>0.44900000000000001</v>
      </c>
      <c r="AB45" s="50">
        <v>196</v>
      </c>
      <c r="AC45" s="74">
        <v>7010</v>
      </c>
      <c r="AD45" s="164">
        <v>0</v>
      </c>
      <c r="AF45" s="113">
        <v>0.13</v>
      </c>
      <c r="AG45" s="54"/>
      <c r="AH45" s="54"/>
      <c r="AI45" s="113"/>
      <c r="AJ45" s="50"/>
      <c r="AK45" s="74"/>
      <c r="AL45" s="74"/>
      <c r="AM45" s="74"/>
      <c r="AN45" s="74"/>
      <c r="AO45" s="74"/>
      <c r="AP45" s="74"/>
      <c r="AQ45" s="74"/>
      <c r="AR45" s="74"/>
      <c r="AS45" s="74"/>
      <c r="AT45" s="74"/>
    </row>
    <row r="46" spans="1:46" ht="15" customHeight="1">
      <c r="A46" s="41" t="s">
        <v>36</v>
      </c>
      <c r="B46" s="50" t="s">
        <v>2712</v>
      </c>
      <c r="C46" s="50" t="s">
        <v>2713</v>
      </c>
      <c r="D46" s="48" t="s">
        <v>2372</v>
      </c>
      <c r="F46" s="50" t="s">
        <v>2714</v>
      </c>
      <c r="G46" s="76" t="s">
        <v>2715</v>
      </c>
      <c r="H46" s="50">
        <v>9199</v>
      </c>
      <c r="I46" s="49" t="s">
        <v>2</v>
      </c>
      <c r="J46" s="50" t="s">
        <v>366</v>
      </c>
      <c r="K46" s="51">
        <v>40935</v>
      </c>
      <c r="L46" s="115">
        <v>40931</v>
      </c>
      <c r="M46" s="402">
        <f t="shared" si="1"/>
        <v>4</v>
      </c>
      <c r="N46" s="50" t="s">
        <v>2</v>
      </c>
      <c r="O46" s="131">
        <f>1.4/2</f>
        <v>0.7</v>
      </c>
      <c r="P46" s="117">
        <v>7.5</v>
      </c>
      <c r="Q46" s="131">
        <v>6.95</v>
      </c>
      <c r="R46" s="50">
        <v>55</v>
      </c>
      <c r="S46" s="74">
        <v>63</v>
      </c>
      <c r="T46" s="50">
        <v>0.2</v>
      </c>
      <c r="U46" s="74">
        <v>0.79</v>
      </c>
      <c r="V46" s="50">
        <v>0.31</v>
      </c>
      <c r="W46" s="74">
        <v>1.2999999999999999E-2</v>
      </c>
      <c r="X46" s="50">
        <v>2.1999999999999999E-2</v>
      </c>
      <c r="Y46" s="74">
        <v>3.0000000000000001E-3</v>
      </c>
      <c r="Z46" s="164">
        <v>1</v>
      </c>
      <c r="AA46" s="165">
        <v>1</v>
      </c>
      <c r="AB46" s="50">
        <v>8</v>
      </c>
      <c r="AC46" s="74">
        <v>1851</v>
      </c>
      <c r="AD46" s="164">
        <v>1</v>
      </c>
      <c r="AE46" s="50">
        <v>535</v>
      </c>
      <c r="AF46" s="113">
        <v>0.02</v>
      </c>
      <c r="AG46" s="54"/>
      <c r="AH46" s="54"/>
      <c r="AI46" s="113"/>
      <c r="AJ46" s="50"/>
      <c r="AK46" s="74"/>
      <c r="AL46" s="74"/>
      <c r="AM46" s="74"/>
      <c r="AN46" s="74"/>
      <c r="AO46" s="74"/>
      <c r="AP46" s="74"/>
      <c r="AQ46" s="74"/>
      <c r="AR46" s="74"/>
      <c r="AS46" s="74"/>
      <c r="AT46" s="74"/>
    </row>
    <row r="47" spans="1:46" ht="15" customHeight="1">
      <c r="A47" s="41" t="s">
        <v>36</v>
      </c>
      <c r="B47" s="50" t="s">
        <v>2712</v>
      </c>
      <c r="C47" s="50" t="s">
        <v>2713</v>
      </c>
      <c r="D47" s="48" t="s">
        <v>2372</v>
      </c>
      <c r="F47" s="50" t="s">
        <v>2714</v>
      </c>
      <c r="G47" s="76" t="s">
        <v>2715</v>
      </c>
      <c r="H47" s="50">
        <v>9199</v>
      </c>
      <c r="I47" s="49" t="s">
        <v>2</v>
      </c>
      <c r="J47" s="50" t="s">
        <v>366</v>
      </c>
      <c r="K47" s="51">
        <v>41226</v>
      </c>
      <c r="L47" s="115">
        <v>41220</v>
      </c>
      <c r="M47" s="402">
        <f t="shared" si="1"/>
        <v>6</v>
      </c>
      <c r="N47" s="50" t="s">
        <v>2</v>
      </c>
      <c r="O47" s="131">
        <v>1.7</v>
      </c>
      <c r="P47" s="117">
        <v>6.5</v>
      </c>
      <c r="Q47" s="131">
        <v>6.64</v>
      </c>
      <c r="R47" s="50">
        <v>71</v>
      </c>
      <c r="S47" s="74">
        <v>71</v>
      </c>
      <c r="T47" s="50">
        <v>0.18</v>
      </c>
      <c r="U47" s="74">
        <v>1.52</v>
      </c>
      <c r="V47" s="50">
        <v>0.31</v>
      </c>
      <c r="W47" s="74">
        <v>2.3E-2</v>
      </c>
      <c r="X47" s="50">
        <v>0.114</v>
      </c>
      <c r="Y47" s="74">
        <v>1.4E-2</v>
      </c>
      <c r="AE47" s="50">
        <v>3220</v>
      </c>
      <c r="AF47" s="113">
        <f>0.01/2</f>
        <v>5.0000000000000001E-3</v>
      </c>
      <c r="AG47" s="54"/>
      <c r="AH47" s="54"/>
      <c r="AI47" s="113"/>
      <c r="AJ47" s="50"/>
      <c r="AK47" s="74"/>
      <c r="AL47" s="74"/>
      <c r="AM47" s="74"/>
      <c r="AN47" s="74"/>
      <c r="AO47" s="74"/>
      <c r="AP47" s="74"/>
      <c r="AQ47" s="74"/>
      <c r="AR47" s="74"/>
      <c r="AS47" s="74"/>
      <c r="AT47" s="74"/>
    </row>
    <row r="48" spans="1:46" ht="15" customHeight="1">
      <c r="A48" s="41" t="s">
        <v>36</v>
      </c>
      <c r="B48" s="50" t="s">
        <v>2716</v>
      </c>
      <c r="C48" s="50" t="s">
        <v>2717</v>
      </c>
      <c r="D48" s="48" t="s">
        <v>443</v>
      </c>
      <c r="E48" s="50" t="s">
        <v>2718</v>
      </c>
      <c r="F48" s="50" t="s">
        <v>2667</v>
      </c>
      <c r="G48" s="76" t="s">
        <v>2719</v>
      </c>
      <c r="H48" s="50">
        <v>9199</v>
      </c>
      <c r="I48" s="49" t="s">
        <v>2</v>
      </c>
      <c r="J48" s="50" t="s">
        <v>1207</v>
      </c>
      <c r="K48" s="51">
        <v>41226</v>
      </c>
      <c r="L48" s="115">
        <v>41221</v>
      </c>
      <c r="M48" s="402">
        <f t="shared" si="1"/>
        <v>5</v>
      </c>
      <c r="N48" s="50" t="s">
        <v>2</v>
      </c>
      <c r="O48" s="131">
        <v>1.8</v>
      </c>
      <c r="P48" s="117">
        <v>6.3</v>
      </c>
      <c r="Q48" s="131">
        <v>6.83</v>
      </c>
      <c r="R48" s="50">
        <v>90</v>
      </c>
      <c r="S48" s="74">
        <v>100</v>
      </c>
      <c r="T48" s="50">
        <v>0.17</v>
      </c>
      <c r="U48" s="74">
        <v>2.21</v>
      </c>
      <c r="V48" s="50">
        <v>1.34</v>
      </c>
      <c r="W48" s="74">
        <v>3.7999999999999999E-2</v>
      </c>
      <c r="X48" s="50">
        <v>0.32300000000000001</v>
      </c>
      <c r="Y48" s="74">
        <v>1.4999999999999999E-2</v>
      </c>
      <c r="AF48" s="113"/>
      <c r="AG48" s="54"/>
      <c r="AH48" s="54"/>
      <c r="AI48" s="113"/>
      <c r="AJ48" s="50"/>
      <c r="AK48" s="74"/>
      <c r="AL48" s="74"/>
      <c r="AM48" s="74"/>
      <c r="AN48" s="74"/>
      <c r="AO48" s="74"/>
      <c r="AP48" s="74"/>
      <c r="AQ48" s="74"/>
      <c r="AR48" s="74"/>
      <c r="AS48" s="74"/>
      <c r="AT48" s="74"/>
    </row>
    <row r="49" spans="1:46" ht="15" customHeight="1">
      <c r="A49" s="41" t="s">
        <v>36</v>
      </c>
      <c r="B49" s="50" t="s">
        <v>2716</v>
      </c>
      <c r="C49" s="50" t="s">
        <v>2717</v>
      </c>
      <c r="D49" s="48" t="s">
        <v>443</v>
      </c>
      <c r="E49" s="50" t="s">
        <v>2718</v>
      </c>
      <c r="F49" s="50" t="s">
        <v>2667</v>
      </c>
      <c r="G49" s="76" t="s">
        <v>2719</v>
      </c>
      <c r="H49" s="50">
        <v>9199</v>
      </c>
      <c r="I49" s="49" t="s">
        <v>2</v>
      </c>
      <c r="J49" s="50" t="s">
        <v>2694</v>
      </c>
      <c r="K49" s="51">
        <v>40835</v>
      </c>
      <c r="L49" s="115">
        <v>40830</v>
      </c>
      <c r="M49" s="402">
        <f t="shared" si="1"/>
        <v>5</v>
      </c>
      <c r="N49" s="50" t="s">
        <v>2</v>
      </c>
      <c r="O49" s="131">
        <f>1.4/2</f>
        <v>0.7</v>
      </c>
      <c r="P49" s="117">
        <v>3.9</v>
      </c>
      <c r="Q49" s="131">
        <v>7.14</v>
      </c>
      <c r="R49" s="50">
        <v>99</v>
      </c>
      <c r="S49" s="74">
        <v>110</v>
      </c>
      <c r="T49" s="50">
        <v>0.35</v>
      </c>
      <c r="U49" s="74">
        <v>1.8</v>
      </c>
      <c r="V49" s="50">
        <v>0.33</v>
      </c>
      <c r="W49" s="74">
        <v>0.02</v>
      </c>
      <c r="X49" s="50">
        <v>5.5E-2</v>
      </c>
      <c r="Y49" s="74">
        <v>8.0000000000000002E-3</v>
      </c>
      <c r="AE49" s="50">
        <v>51</v>
      </c>
      <c r="AF49" s="113">
        <f>0.01/2</f>
        <v>5.0000000000000001E-3</v>
      </c>
      <c r="AG49" s="54"/>
      <c r="AH49" s="54"/>
      <c r="AI49" s="113"/>
      <c r="AJ49" s="50"/>
      <c r="AK49" s="74"/>
      <c r="AL49" s="74"/>
      <c r="AM49" s="74"/>
      <c r="AN49" s="74"/>
      <c r="AO49" s="74"/>
      <c r="AP49" s="74"/>
      <c r="AQ49" s="74"/>
      <c r="AR49" s="74"/>
      <c r="AS49" s="74"/>
      <c r="AT49" s="74"/>
    </row>
    <row r="50" spans="1:46" ht="15" customHeight="1">
      <c r="A50" s="41" t="s">
        <v>36</v>
      </c>
      <c r="B50" s="50" t="s">
        <v>2716</v>
      </c>
      <c r="C50" s="50" t="s">
        <v>2717</v>
      </c>
      <c r="D50" s="48" t="s">
        <v>443</v>
      </c>
      <c r="E50" s="50" t="s">
        <v>2718</v>
      </c>
      <c r="F50" s="50" t="s">
        <v>2667</v>
      </c>
      <c r="G50" s="76" t="s">
        <v>2719</v>
      </c>
      <c r="H50" s="50">
        <v>9199</v>
      </c>
      <c r="I50" s="49" t="s">
        <v>2</v>
      </c>
      <c r="J50" s="50" t="s">
        <v>1207</v>
      </c>
      <c r="K50" s="51">
        <v>40835</v>
      </c>
      <c r="L50" s="115">
        <v>40830</v>
      </c>
      <c r="M50" s="402">
        <f t="shared" si="1"/>
        <v>5</v>
      </c>
      <c r="N50" s="50" t="s">
        <v>2</v>
      </c>
      <c r="O50" s="131">
        <f>1.4/2</f>
        <v>0.7</v>
      </c>
      <c r="P50" s="117">
        <v>3.9</v>
      </c>
      <c r="Q50" s="131">
        <v>6.63</v>
      </c>
      <c r="R50" s="50">
        <v>79</v>
      </c>
      <c r="S50" s="74">
        <v>84</v>
      </c>
      <c r="T50" s="50">
        <v>0.24</v>
      </c>
      <c r="U50" s="74">
        <v>1.5</v>
      </c>
      <c r="V50" s="50">
        <v>0.37</v>
      </c>
      <c r="W50" s="74">
        <v>1.6E-2</v>
      </c>
      <c r="X50" s="50">
        <v>8.3000000000000004E-2</v>
      </c>
      <c r="Y50" s="74">
        <v>8.9999999999999993E-3</v>
      </c>
      <c r="AF50" s="113"/>
      <c r="AG50" s="54"/>
      <c r="AH50" s="54"/>
      <c r="AI50" s="113"/>
      <c r="AJ50" s="50"/>
      <c r="AK50" s="74"/>
      <c r="AL50" s="74"/>
      <c r="AM50" s="74"/>
      <c r="AN50" s="74"/>
      <c r="AO50" s="74"/>
      <c r="AP50" s="74"/>
      <c r="AQ50" s="74"/>
      <c r="AR50" s="74"/>
      <c r="AS50" s="74"/>
      <c r="AT50" s="74"/>
    </row>
    <row r="51" spans="1:46" ht="15" customHeight="1">
      <c r="A51" s="41" t="s">
        <v>36</v>
      </c>
      <c r="B51" s="50" t="s">
        <v>2716</v>
      </c>
      <c r="C51" s="50" t="s">
        <v>2717</v>
      </c>
      <c r="D51" s="48" t="s">
        <v>443</v>
      </c>
      <c r="E51" s="50" t="s">
        <v>2718</v>
      </c>
      <c r="F51" s="50" t="s">
        <v>2667</v>
      </c>
      <c r="G51" s="76" t="s">
        <v>2719</v>
      </c>
      <c r="H51" s="50">
        <v>9199</v>
      </c>
      <c r="I51" s="49" t="s">
        <v>2</v>
      </c>
      <c r="J51" s="50" t="s">
        <v>1207</v>
      </c>
      <c r="K51" s="51">
        <v>41044</v>
      </c>
      <c r="L51" s="115">
        <v>41039</v>
      </c>
      <c r="M51" s="402">
        <f t="shared" si="1"/>
        <v>5</v>
      </c>
      <c r="N51" s="50" t="s">
        <v>2</v>
      </c>
      <c r="O51" s="131">
        <f>1.4/2</f>
        <v>0.7</v>
      </c>
      <c r="P51" s="117">
        <v>5.3</v>
      </c>
      <c r="Q51" s="131">
        <v>6.68</v>
      </c>
      <c r="R51" s="50">
        <v>60</v>
      </c>
      <c r="S51" s="74">
        <v>87</v>
      </c>
      <c r="T51" s="50">
        <v>0.15</v>
      </c>
      <c r="U51" s="74">
        <v>1.25</v>
      </c>
      <c r="V51" s="50">
        <v>0.39</v>
      </c>
      <c r="W51" s="74">
        <v>1.0999999999999999E-2</v>
      </c>
      <c r="X51" s="50">
        <v>6.0000000000000001E-3</v>
      </c>
      <c r="Y51" s="74">
        <f>0.002/2</f>
        <v>1E-3</v>
      </c>
      <c r="Z51" s="164">
        <v>1</v>
      </c>
      <c r="AA51" s="165">
        <v>1</v>
      </c>
      <c r="AB51" s="50">
        <v>10</v>
      </c>
      <c r="AC51" s="74">
        <v>55</v>
      </c>
      <c r="AD51" s="164">
        <v>1</v>
      </c>
      <c r="AF51" s="113"/>
      <c r="AG51" s="54"/>
      <c r="AH51" s="54"/>
      <c r="AI51" s="113"/>
      <c r="AJ51" s="50"/>
      <c r="AK51" s="74"/>
      <c r="AL51" s="74"/>
      <c r="AM51" s="74"/>
      <c r="AN51" s="74"/>
      <c r="AO51" s="74"/>
      <c r="AP51" s="74"/>
      <c r="AQ51" s="74"/>
      <c r="AR51" s="74"/>
      <c r="AS51" s="74"/>
      <c r="AT51" s="74"/>
    </row>
    <row r="52" spans="1:46" ht="15" customHeight="1">
      <c r="A52" s="41" t="s">
        <v>36</v>
      </c>
      <c r="B52" s="50" t="s">
        <v>2716</v>
      </c>
      <c r="C52" s="50" t="s">
        <v>2717</v>
      </c>
      <c r="D52" s="48" t="s">
        <v>443</v>
      </c>
      <c r="E52" s="50" t="s">
        <v>2718</v>
      </c>
      <c r="F52" s="50" t="s">
        <v>2667</v>
      </c>
      <c r="G52" s="76" t="s">
        <v>2719</v>
      </c>
      <c r="H52" s="50">
        <v>9199</v>
      </c>
      <c r="I52" s="49" t="s">
        <v>2</v>
      </c>
      <c r="J52" s="50" t="s">
        <v>2694</v>
      </c>
      <c r="K52" s="51">
        <v>41044</v>
      </c>
      <c r="L52" s="115">
        <v>41039</v>
      </c>
      <c r="M52" s="402">
        <f t="shared" si="1"/>
        <v>5</v>
      </c>
      <c r="N52" s="50" t="s">
        <v>2</v>
      </c>
      <c r="O52" s="131">
        <f>1.6/2</f>
        <v>0.8</v>
      </c>
      <c r="P52" s="117">
        <v>5.3</v>
      </c>
      <c r="Q52" s="131">
        <v>7.63</v>
      </c>
      <c r="R52" s="50">
        <v>46</v>
      </c>
      <c r="S52" s="74">
        <v>68</v>
      </c>
      <c r="T52" s="50">
        <v>0.15</v>
      </c>
      <c r="U52" s="74">
        <v>0.9</v>
      </c>
      <c r="V52" s="50">
        <v>0.47</v>
      </c>
      <c r="W52" s="74">
        <v>1.2E-2</v>
      </c>
      <c r="X52" s="50">
        <v>2.5000000000000001E-2</v>
      </c>
      <c r="Y52" s="74">
        <f>0.002/2</f>
        <v>1E-3</v>
      </c>
      <c r="Z52" s="164">
        <v>1</v>
      </c>
      <c r="AA52" s="165">
        <v>1</v>
      </c>
      <c r="AB52" s="50">
        <v>4</v>
      </c>
      <c r="AC52" s="74">
        <v>70</v>
      </c>
      <c r="AD52" s="164">
        <v>1</v>
      </c>
      <c r="AE52" s="50">
        <v>22.6</v>
      </c>
      <c r="AF52" s="113">
        <f>0.01/2</f>
        <v>5.0000000000000001E-3</v>
      </c>
      <c r="AG52" s="54"/>
      <c r="AH52" s="54"/>
      <c r="AI52" s="113"/>
      <c r="AJ52" s="50"/>
      <c r="AK52" s="74"/>
      <c r="AL52" s="74"/>
      <c r="AM52" s="74"/>
      <c r="AN52" s="74"/>
      <c r="AO52" s="74"/>
      <c r="AP52" s="74"/>
      <c r="AQ52" s="74"/>
      <c r="AR52" s="74"/>
      <c r="AS52" s="74"/>
      <c r="AT52" s="74"/>
    </row>
    <row r="53" spans="1:46" ht="15" customHeight="1">
      <c r="A53" s="41" t="s">
        <v>36</v>
      </c>
      <c r="B53" s="50" t="s">
        <v>2720</v>
      </c>
      <c r="C53" s="50" t="s">
        <v>2721</v>
      </c>
      <c r="D53" s="48" t="s">
        <v>2722</v>
      </c>
      <c r="E53" s="50" t="s">
        <v>2723</v>
      </c>
      <c r="F53" s="50" t="s">
        <v>2667</v>
      </c>
      <c r="G53" s="76" t="s">
        <v>2724</v>
      </c>
      <c r="H53" s="50">
        <v>7699</v>
      </c>
      <c r="I53" s="49" t="s">
        <v>2</v>
      </c>
      <c r="J53" s="50" t="s">
        <v>840</v>
      </c>
      <c r="K53" s="51">
        <v>41136</v>
      </c>
      <c r="L53" s="115">
        <v>41131</v>
      </c>
      <c r="M53" s="402">
        <f t="shared" si="1"/>
        <v>5</v>
      </c>
      <c r="N53" s="50" t="s">
        <v>2</v>
      </c>
      <c r="O53" s="131">
        <f>1.4/2</f>
        <v>0.7</v>
      </c>
      <c r="P53" s="117">
        <v>5.85</v>
      </c>
      <c r="Q53" s="131">
        <v>6.32</v>
      </c>
      <c r="R53" s="50">
        <v>60</v>
      </c>
      <c r="S53" s="74">
        <v>23</v>
      </c>
      <c r="T53" s="50">
        <v>7.0000000000000007E-2</v>
      </c>
      <c r="U53" s="74">
        <v>0.68</v>
      </c>
      <c r="V53" s="50">
        <v>0.21</v>
      </c>
      <c r="W53" s="74">
        <f>0.005/2</f>
        <v>2.5000000000000001E-3</v>
      </c>
      <c r="X53" s="50">
        <v>6.0000000000000001E-3</v>
      </c>
      <c r="Y53" s="74">
        <f>0.002/2</f>
        <v>1E-3</v>
      </c>
      <c r="Z53" s="164">
        <v>1</v>
      </c>
      <c r="AA53" s="165">
        <v>1</v>
      </c>
      <c r="AB53" s="50">
        <v>34</v>
      </c>
      <c r="AC53" s="74">
        <v>159</v>
      </c>
      <c r="AD53" s="164">
        <v>1</v>
      </c>
      <c r="AE53" s="50">
        <v>28.9</v>
      </c>
      <c r="AF53" s="113">
        <f>0.01/2</f>
        <v>5.0000000000000001E-3</v>
      </c>
      <c r="AG53" s="54"/>
      <c r="AH53" s="54"/>
      <c r="AI53" s="113"/>
      <c r="AJ53" s="50"/>
      <c r="AK53" s="74"/>
      <c r="AL53" s="74"/>
      <c r="AM53" s="74"/>
      <c r="AN53" s="74"/>
      <c r="AO53" s="74"/>
      <c r="AP53" s="74"/>
      <c r="AQ53" s="74"/>
      <c r="AR53" s="74"/>
      <c r="AS53" s="74"/>
      <c r="AT53" s="74"/>
    </row>
    <row r="54" spans="1:46" ht="15" customHeight="1">
      <c r="A54" s="41" t="s">
        <v>36</v>
      </c>
      <c r="B54" s="50" t="s">
        <v>2720</v>
      </c>
      <c r="C54" s="50" t="s">
        <v>2721</v>
      </c>
      <c r="D54" s="48" t="s">
        <v>2722</v>
      </c>
      <c r="E54" s="50" t="s">
        <v>2723</v>
      </c>
      <c r="F54" s="50" t="s">
        <v>2667</v>
      </c>
      <c r="G54" s="76" t="s">
        <v>2724</v>
      </c>
      <c r="H54" s="50">
        <v>7699</v>
      </c>
      <c r="I54" s="49" t="s">
        <v>2</v>
      </c>
      <c r="J54" s="50" t="s">
        <v>840</v>
      </c>
      <c r="K54" s="51">
        <v>40996</v>
      </c>
      <c r="L54" s="115">
        <v>40984</v>
      </c>
      <c r="M54" s="402">
        <f t="shared" si="1"/>
        <v>12</v>
      </c>
      <c r="N54" s="50" t="s">
        <v>2</v>
      </c>
      <c r="O54" s="131">
        <f>1.4/2</f>
        <v>0.7</v>
      </c>
      <c r="P54" s="117">
        <v>4.4800000000000004</v>
      </c>
      <c r="Q54" s="131">
        <v>7.09</v>
      </c>
      <c r="R54" s="50">
        <f>10/2</f>
        <v>5</v>
      </c>
      <c r="S54" s="74">
        <f>5/2</f>
        <v>2.5</v>
      </c>
      <c r="T54" s="50">
        <v>0.01</v>
      </c>
      <c r="U54" s="74">
        <v>0.44</v>
      </c>
      <c r="V54" s="50">
        <v>0.13</v>
      </c>
      <c r="W54" s="74">
        <f>0.0005/2</f>
        <v>2.5000000000000001E-4</v>
      </c>
      <c r="X54" s="50">
        <f>0.002/2</f>
        <v>1E-3</v>
      </c>
      <c r="Y54" s="74">
        <f>0.002/2</f>
        <v>1E-3</v>
      </c>
      <c r="AE54" s="50">
        <v>75.400000000000006</v>
      </c>
      <c r="AF54" s="113">
        <f>0.01/2</f>
        <v>5.0000000000000001E-3</v>
      </c>
      <c r="AG54" s="54"/>
      <c r="AH54" s="54"/>
      <c r="AI54" s="113"/>
      <c r="AJ54" s="50"/>
      <c r="AK54" s="74"/>
      <c r="AL54" s="74"/>
      <c r="AM54" s="74"/>
      <c r="AN54" s="74"/>
      <c r="AO54" s="74"/>
      <c r="AP54" s="74"/>
      <c r="AQ54" s="74"/>
      <c r="AR54" s="74"/>
      <c r="AS54" s="74"/>
      <c r="AT54" s="74"/>
    </row>
    <row r="55" spans="1:46" ht="15" customHeight="1">
      <c r="A55" s="41" t="s">
        <v>36</v>
      </c>
      <c r="B55" s="50" t="s">
        <v>2725</v>
      </c>
      <c r="C55" s="50" t="s">
        <v>2726</v>
      </c>
      <c r="D55" s="48" t="s">
        <v>2727</v>
      </c>
      <c r="F55" s="50" t="s">
        <v>2728</v>
      </c>
      <c r="G55" s="76" t="s">
        <v>2729</v>
      </c>
      <c r="H55" s="50">
        <v>4212</v>
      </c>
      <c r="I55" s="49" t="s">
        <v>2</v>
      </c>
      <c r="J55" s="50" t="s">
        <v>460</v>
      </c>
      <c r="K55" s="51">
        <v>40935</v>
      </c>
      <c r="L55" s="115">
        <v>40931</v>
      </c>
      <c r="M55" s="402">
        <f t="shared" si="1"/>
        <v>4</v>
      </c>
      <c r="N55" s="50" t="s">
        <v>2</v>
      </c>
      <c r="O55" s="131">
        <v>3.7</v>
      </c>
      <c r="P55" s="117">
        <v>7.5</v>
      </c>
      <c r="Q55" s="131">
        <v>7.37</v>
      </c>
      <c r="R55" s="50">
        <v>77</v>
      </c>
      <c r="S55" s="74">
        <v>120</v>
      </c>
      <c r="T55" s="50">
        <v>0.37</v>
      </c>
      <c r="U55" s="74">
        <v>1.3</v>
      </c>
      <c r="V55" s="50">
        <v>0.76</v>
      </c>
      <c r="W55" s="74">
        <v>0.02</v>
      </c>
      <c r="X55" s="50">
        <v>7.3999999999999996E-2</v>
      </c>
      <c r="Y55" s="74">
        <v>1.2999999999999999E-2</v>
      </c>
      <c r="Z55" s="164">
        <v>1</v>
      </c>
      <c r="AA55" s="165">
        <v>1</v>
      </c>
      <c r="AE55" s="50">
        <v>7.9</v>
      </c>
      <c r="AF55" s="113">
        <f>0.01/2</f>
        <v>5.0000000000000001E-3</v>
      </c>
      <c r="AG55" s="54"/>
      <c r="AH55" s="54"/>
      <c r="AI55" s="113"/>
      <c r="AJ55" s="50"/>
      <c r="AK55" s="74"/>
      <c r="AL55" s="74"/>
      <c r="AM55" s="74"/>
      <c r="AN55" s="74"/>
      <c r="AO55" s="74"/>
      <c r="AP55" s="74"/>
      <c r="AQ55" s="74"/>
      <c r="AR55" s="74"/>
      <c r="AS55" s="74"/>
      <c r="AT55" s="74"/>
    </row>
    <row r="56" spans="1:46" ht="15" customHeight="1">
      <c r="A56" s="41" t="s">
        <v>36</v>
      </c>
      <c r="B56" s="50" t="s">
        <v>2730</v>
      </c>
      <c r="C56" s="50" t="s">
        <v>2731</v>
      </c>
      <c r="D56" s="48" t="s">
        <v>1541</v>
      </c>
      <c r="E56" s="50" t="s">
        <v>2732</v>
      </c>
      <c r="F56" s="50" t="s">
        <v>2667</v>
      </c>
      <c r="G56" s="76" t="s">
        <v>2733</v>
      </c>
      <c r="H56" s="50">
        <v>9199</v>
      </c>
      <c r="I56" s="49" t="s">
        <v>2</v>
      </c>
      <c r="J56" s="50" t="s">
        <v>2694</v>
      </c>
      <c r="K56" s="51">
        <v>41044</v>
      </c>
      <c r="L56" s="115">
        <v>41039</v>
      </c>
      <c r="M56" s="402">
        <f t="shared" si="1"/>
        <v>5</v>
      </c>
      <c r="N56" s="50" t="s">
        <v>2</v>
      </c>
      <c r="O56" s="131">
        <f>1.5/2</f>
        <v>0.75</v>
      </c>
      <c r="P56" s="117">
        <v>5.3</v>
      </c>
      <c r="Q56" s="131">
        <v>6.49</v>
      </c>
      <c r="R56" s="50">
        <v>32</v>
      </c>
      <c r="S56" s="74">
        <v>16</v>
      </c>
      <c r="T56" s="50">
        <v>7.0000000000000007E-2</v>
      </c>
      <c r="U56" s="74">
        <v>0.9</v>
      </c>
      <c r="V56" s="50">
        <v>0.14000000000000001</v>
      </c>
      <c r="W56" s="74">
        <f>0.005/2</f>
        <v>2.5000000000000001E-3</v>
      </c>
      <c r="X56" s="50">
        <v>1.7999999999999999E-2</v>
      </c>
      <c r="Y56" s="74">
        <v>6.0000000000000001E-3</v>
      </c>
      <c r="Z56" s="164">
        <v>1</v>
      </c>
      <c r="AA56" s="165">
        <v>1</v>
      </c>
      <c r="AB56" s="50">
        <v>12</v>
      </c>
      <c r="AC56" s="74">
        <v>43</v>
      </c>
      <c r="AD56" s="164">
        <v>1</v>
      </c>
      <c r="AF56" s="113"/>
      <c r="AG56" s="54"/>
      <c r="AH56" s="54"/>
      <c r="AI56" s="113"/>
      <c r="AJ56" s="50"/>
      <c r="AK56" s="74"/>
      <c r="AL56" s="74"/>
      <c r="AM56" s="74"/>
      <c r="AN56" s="74"/>
      <c r="AO56" s="74"/>
      <c r="AP56" s="74"/>
      <c r="AQ56" s="74"/>
      <c r="AR56" s="74"/>
      <c r="AS56" s="74"/>
      <c r="AT56" s="74"/>
    </row>
    <row r="57" spans="1:46" ht="15" customHeight="1">
      <c r="A57" s="41" t="s">
        <v>36</v>
      </c>
      <c r="B57" s="50" t="s">
        <v>2730</v>
      </c>
      <c r="C57" s="50" t="s">
        <v>2731</v>
      </c>
      <c r="D57" s="48" t="s">
        <v>1541</v>
      </c>
      <c r="E57" s="50" t="s">
        <v>2732</v>
      </c>
      <c r="F57" s="50" t="s">
        <v>2667</v>
      </c>
      <c r="G57" s="76" t="s">
        <v>2733</v>
      </c>
      <c r="H57" s="50">
        <v>9199</v>
      </c>
      <c r="I57" s="49" t="s">
        <v>2</v>
      </c>
      <c r="J57" s="50" t="s">
        <v>1207</v>
      </c>
      <c r="K57" s="51">
        <v>41044</v>
      </c>
      <c r="L57" s="115">
        <v>41039</v>
      </c>
      <c r="M57" s="402">
        <f t="shared" si="1"/>
        <v>5</v>
      </c>
      <c r="N57" s="50" t="s">
        <v>2</v>
      </c>
      <c r="O57" s="131">
        <f>1.6/2</f>
        <v>0.8</v>
      </c>
      <c r="P57" s="117">
        <v>5.3</v>
      </c>
      <c r="Q57" s="131">
        <v>6.2</v>
      </c>
      <c r="R57" s="50">
        <v>46</v>
      </c>
      <c r="S57" s="74">
        <v>8</v>
      </c>
      <c r="T57" s="50">
        <v>0.12</v>
      </c>
      <c r="U57" s="74">
        <v>1.2</v>
      </c>
      <c r="V57" s="50">
        <v>0.28999999999999998</v>
      </c>
      <c r="W57" s="74">
        <v>1.2999999999999999E-2</v>
      </c>
      <c r="X57" s="50">
        <v>0.04</v>
      </c>
      <c r="Y57" s="74">
        <v>6.0000000000000001E-3</v>
      </c>
      <c r="Z57" s="164">
        <v>1</v>
      </c>
      <c r="AA57" s="165">
        <v>1</v>
      </c>
      <c r="AB57" s="50">
        <v>4</v>
      </c>
      <c r="AC57" s="74">
        <v>59</v>
      </c>
      <c r="AD57" s="164">
        <v>1</v>
      </c>
      <c r="AE57" s="50">
        <v>9</v>
      </c>
      <c r="AF57" s="113">
        <f>0.01/2</f>
        <v>5.0000000000000001E-3</v>
      </c>
      <c r="AG57" s="54"/>
      <c r="AH57" s="54"/>
      <c r="AI57" s="113"/>
      <c r="AJ57" s="50"/>
      <c r="AK57" s="74"/>
      <c r="AL57" s="74"/>
      <c r="AM57" s="74"/>
      <c r="AN57" s="74"/>
      <c r="AO57" s="74"/>
      <c r="AP57" s="74"/>
      <c r="AQ57" s="74"/>
      <c r="AR57" s="74"/>
      <c r="AS57" s="74"/>
      <c r="AT57" s="74"/>
    </row>
    <row r="58" spans="1:46" ht="15" customHeight="1">
      <c r="A58" s="41" t="s">
        <v>36</v>
      </c>
      <c r="B58" s="50" t="s">
        <v>2730</v>
      </c>
      <c r="C58" s="50" t="s">
        <v>2731</v>
      </c>
      <c r="D58" s="48" t="s">
        <v>1541</v>
      </c>
      <c r="E58" s="50" t="s">
        <v>2732</v>
      </c>
      <c r="F58" s="50" t="s">
        <v>2667</v>
      </c>
      <c r="G58" s="76" t="s">
        <v>2733</v>
      </c>
      <c r="H58" s="50">
        <v>9199</v>
      </c>
      <c r="I58" s="49" t="s">
        <v>2</v>
      </c>
      <c r="J58" s="50" t="s">
        <v>2734</v>
      </c>
      <c r="K58" s="51">
        <v>41044</v>
      </c>
      <c r="L58" s="115">
        <v>41039</v>
      </c>
      <c r="M58" s="402">
        <f t="shared" si="1"/>
        <v>5</v>
      </c>
      <c r="N58" s="50" t="s">
        <v>2</v>
      </c>
      <c r="O58" s="131">
        <f>1.4/2</f>
        <v>0.7</v>
      </c>
      <c r="P58" s="117">
        <v>5.3</v>
      </c>
      <c r="Q58" s="131">
        <v>6.04</v>
      </c>
      <c r="R58" s="50">
        <v>22</v>
      </c>
      <c r="S58" s="74">
        <v>13</v>
      </c>
      <c r="T58" s="50">
        <v>0.01</v>
      </c>
      <c r="U58" s="74">
        <v>0.81</v>
      </c>
      <c r="V58" s="50">
        <v>0.15</v>
      </c>
      <c r="W58" s="74">
        <f>0.005/2</f>
        <v>2.5000000000000001E-3</v>
      </c>
      <c r="X58" s="50">
        <v>8.9999999999999993E-3</v>
      </c>
      <c r="Y58" s="74">
        <f>0.002/2</f>
        <v>1E-3</v>
      </c>
      <c r="Z58" s="164">
        <v>1</v>
      </c>
      <c r="AA58" s="165">
        <v>1</v>
      </c>
      <c r="AB58" s="50">
        <v>22</v>
      </c>
      <c r="AC58" s="74">
        <v>67</v>
      </c>
      <c r="AD58" s="164">
        <v>1</v>
      </c>
      <c r="AF58" s="113"/>
      <c r="AG58" s="54"/>
      <c r="AH58" s="54"/>
      <c r="AI58" s="113"/>
      <c r="AJ58" s="50"/>
      <c r="AK58" s="74"/>
      <c r="AL58" s="74"/>
      <c r="AM58" s="74"/>
      <c r="AN58" s="74"/>
      <c r="AO58" s="74"/>
      <c r="AP58" s="74"/>
      <c r="AQ58" s="74"/>
      <c r="AR58" s="74"/>
      <c r="AS58" s="74"/>
      <c r="AT58" s="74"/>
    </row>
    <row r="59" spans="1:46" ht="15" customHeight="1">
      <c r="A59" s="41" t="s">
        <v>36</v>
      </c>
      <c r="B59" s="50" t="s">
        <v>2730</v>
      </c>
      <c r="C59" s="50" t="s">
        <v>2731</v>
      </c>
      <c r="D59" s="48" t="s">
        <v>1541</v>
      </c>
      <c r="E59" s="50" t="s">
        <v>2732</v>
      </c>
      <c r="F59" s="50" t="s">
        <v>2667</v>
      </c>
      <c r="G59" s="76" t="s">
        <v>2733</v>
      </c>
      <c r="H59" s="50">
        <v>9199</v>
      </c>
      <c r="I59" s="49" t="s">
        <v>2</v>
      </c>
      <c r="J59" s="50" t="s">
        <v>2694</v>
      </c>
      <c r="K59" s="51">
        <v>40835</v>
      </c>
      <c r="L59" s="115">
        <v>40830</v>
      </c>
      <c r="M59" s="402">
        <f t="shared" si="1"/>
        <v>5</v>
      </c>
      <c r="N59" s="50" t="s">
        <v>2</v>
      </c>
      <c r="O59" s="131">
        <f>1.4/2</f>
        <v>0.7</v>
      </c>
      <c r="P59" s="117">
        <v>3.9</v>
      </c>
      <c r="Q59" s="131">
        <v>7.17</v>
      </c>
      <c r="R59" s="50">
        <v>24</v>
      </c>
      <c r="S59" s="74">
        <v>16</v>
      </c>
      <c r="T59" s="50">
        <v>0.06</v>
      </c>
      <c r="U59" s="74">
        <v>0.43</v>
      </c>
      <c r="V59" s="50">
        <v>0.14000000000000001</v>
      </c>
      <c r="W59" s="74">
        <v>5.0000000000000001E-3</v>
      </c>
      <c r="X59" s="50">
        <v>1.9E-2</v>
      </c>
      <c r="Y59" s="74">
        <v>4.0000000000000001E-3</v>
      </c>
      <c r="AF59" s="113"/>
      <c r="AG59" s="54"/>
      <c r="AH59" s="54"/>
      <c r="AI59" s="113"/>
      <c r="AJ59" s="50"/>
      <c r="AK59" s="74"/>
      <c r="AL59" s="74"/>
      <c r="AM59" s="74"/>
      <c r="AN59" s="74"/>
      <c r="AO59" s="74"/>
      <c r="AP59" s="74"/>
      <c r="AQ59" s="74"/>
      <c r="AR59" s="74"/>
      <c r="AS59" s="74"/>
      <c r="AT59" s="74"/>
    </row>
    <row r="60" spans="1:46" ht="15" customHeight="1">
      <c r="A60" s="41" t="s">
        <v>36</v>
      </c>
      <c r="B60" s="50" t="s">
        <v>2730</v>
      </c>
      <c r="C60" s="50" t="s">
        <v>2731</v>
      </c>
      <c r="D60" s="48" t="s">
        <v>1541</v>
      </c>
      <c r="E60" s="50" t="s">
        <v>2732</v>
      </c>
      <c r="F60" s="50" t="s">
        <v>2667</v>
      </c>
      <c r="G60" s="76" t="s">
        <v>2733</v>
      </c>
      <c r="H60" s="50">
        <v>9199</v>
      </c>
      <c r="I60" s="49" t="s">
        <v>2</v>
      </c>
      <c r="J60" s="50" t="s">
        <v>1207</v>
      </c>
      <c r="K60" s="51">
        <v>40835</v>
      </c>
      <c r="L60" s="115">
        <v>40830</v>
      </c>
      <c r="M60" s="402">
        <f t="shared" si="1"/>
        <v>5</v>
      </c>
      <c r="N60" s="50" t="s">
        <v>2</v>
      </c>
      <c r="O60" s="131">
        <f>1.4/2</f>
        <v>0.7</v>
      </c>
      <c r="P60" s="117">
        <v>3.9</v>
      </c>
      <c r="Q60" s="131">
        <v>6.38</v>
      </c>
      <c r="R60" s="50">
        <v>24</v>
      </c>
      <c r="S60" s="74">
        <v>7</v>
      </c>
      <c r="T60" s="50">
        <v>0.04</v>
      </c>
      <c r="U60" s="74">
        <v>0.56000000000000005</v>
      </c>
      <c r="V60" s="50">
        <v>0.17</v>
      </c>
      <c r="W60" s="74">
        <v>6.0000000000000001E-3</v>
      </c>
      <c r="X60" s="50">
        <v>1.7000000000000001E-2</v>
      </c>
      <c r="Y60" s="74">
        <f>0.002/2</f>
        <v>1E-3</v>
      </c>
      <c r="AE60" s="50">
        <v>3.9</v>
      </c>
      <c r="AF60" s="113">
        <f>0.01/2</f>
        <v>5.0000000000000001E-3</v>
      </c>
      <c r="AG60" s="54"/>
      <c r="AH60" s="54"/>
      <c r="AI60" s="113"/>
      <c r="AJ60" s="50"/>
      <c r="AK60" s="74"/>
      <c r="AL60" s="74"/>
      <c r="AM60" s="74"/>
      <c r="AN60" s="74"/>
      <c r="AO60" s="74"/>
      <c r="AP60" s="74"/>
      <c r="AQ60" s="74"/>
      <c r="AR60" s="74"/>
      <c r="AS60" s="74"/>
      <c r="AT60" s="74"/>
    </row>
    <row r="61" spans="1:46" ht="15" customHeight="1">
      <c r="A61" s="41" t="s">
        <v>36</v>
      </c>
      <c r="B61" s="50" t="s">
        <v>2730</v>
      </c>
      <c r="C61" s="50" t="s">
        <v>2731</v>
      </c>
      <c r="D61" s="48" t="s">
        <v>1541</v>
      </c>
      <c r="E61" s="50" t="s">
        <v>2732</v>
      </c>
      <c r="F61" s="50" t="s">
        <v>2667</v>
      </c>
      <c r="G61" s="76" t="s">
        <v>2733</v>
      </c>
      <c r="H61" s="50">
        <v>9199</v>
      </c>
      <c r="I61" s="49" t="s">
        <v>2</v>
      </c>
      <c r="J61" s="50" t="s">
        <v>2734</v>
      </c>
      <c r="K61" s="51">
        <v>40835</v>
      </c>
      <c r="L61" s="115">
        <v>40830</v>
      </c>
      <c r="M61" s="402">
        <f t="shared" si="1"/>
        <v>5</v>
      </c>
      <c r="N61" s="50" t="s">
        <v>2</v>
      </c>
      <c r="O61" s="131">
        <f>1.6/2</f>
        <v>0.8</v>
      </c>
      <c r="P61" s="117">
        <v>3.9</v>
      </c>
      <c r="Q61" s="131">
        <v>6.5</v>
      </c>
      <c r="R61" s="50">
        <v>19</v>
      </c>
      <c r="S61" s="74">
        <v>22</v>
      </c>
      <c r="T61" s="50">
        <f>0.01/2</f>
        <v>5.0000000000000001E-3</v>
      </c>
      <c r="U61" s="74">
        <v>0.53</v>
      </c>
      <c r="V61" s="50">
        <v>0.1</v>
      </c>
      <c r="W61" s="74">
        <v>3.0000000000000001E-3</v>
      </c>
      <c r="X61" s="50">
        <v>1.2E-2</v>
      </c>
      <c r="Y61" s="74">
        <f>0.002</f>
        <v>2E-3</v>
      </c>
      <c r="AF61" s="113"/>
      <c r="AG61" s="54"/>
      <c r="AH61" s="54"/>
      <c r="AI61" s="113"/>
      <c r="AJ61" s="50"/>
      <c r="AK61" s="74"/>
      <c r="AL61" s="74"/>
      <c r="AM61" s="74"/>
      <c r="AN61" s="74"/>
      <c r="AO61" s="74"/>
      <c r="AP61" s="74"/>
      <c r="AQ61" s="74"/>
      <c r="AR61" s="74"/>
      <c r="AS61" s="74"/>
      <c r="AT61" s="74"/>
    </row>
    <row r="62" spans="1:46" ht="15" customHeight="1">
      <c r="A62" s="41" t="s">
        <v>36</v>
      </c>
      <c r="B62" s="50" t="s">
        <v>2735</v>
      </c>
      <c r="C62" s="50" t="s">
        <v>2736</v>
      </c>
      <c r="D62" s="48" t="s">
        <v>1748</v>
      </c>
      <c r="E62" s="50" t="s">
        <v>304</v>
      </c>
      <c r="G62" s="76" t="s">
        <v>2737</v>
      </c>
      <c r="J62" s="50" t="s">
        <v>2738</v>
      </c>
      <c r="K62" s="51">
        <v>41170</v>
      </c>
      <c r="L62" s="115">
        <v>41160</v>
      </c>
      <c r="M62" s="402">
        <f t="shared" si="1"/>
        <v>10</v>
      </c>
      <c r="N62" s="50" t="s">
        <v>2</v>
      </c>
      <c r="O62" s="131">
        <v>5.5</v>
      </c>
      <c r="P62" s="117">
        <v>4.9400000000000004</v>
      </c>
      <c r="Q62" s="131">
        <v>5.12</v>
      </c>
      <c r="R62" s="50">
        <v>26.9</v>
      </c>
      <c r="S62" s="74">
        <v>32</v>
      </c>
      <c r="T62" s="50">
        <v>0.08</v>
      </c>
      <c r="U62" s="74">
        <v>1.21</v>
      </c>
      <c r="V62" s="50">
        <v>0.34</v>
      </c>
      <c r="W62" s="74">
        <v>0.04</v>
      </c>
      <c r="X62" s="50">
        <v>0.28000000000000003</v>
      </c>
      <c r="Y62" s="74">
        <v>0.03</v>
      </c>
      <c r="Z62" s="164">
        <v>1</v>
      </c>
      <c r="AA62" s="165">
        <v>0.91700000000000004</v>
      </c>
      <c r="AB62" s="50">
        <v>6.37</v>
      </c>
      <c r="AC62" s="74">
        <v>27.2</v>
      </c>
      <c r="AD62" s="164">
        <v>0.8</v>
      </c>
      <c r="AE62" s="50">
        <v>3.2</v>
      </c>
      <c r="AF62" s="113">
        <f>0.005/2</f>
        <v>2.5000000000000001E-3</v>
      </c>
      <c r="AG62" s="54"/>
      <c r="AH62" s="54"/>
      <c r="AI62" s="113"/>
      <c r="AJ62" s="50"/>
      <c r="AK62" s="74"/>
      <c r="AL62" s="74"/>
      <c r="AM62" s="74"/>
      <c r="AN62" s="74"/>
      <c r="AO62" s="74"/>
      <c r="AP62" s="74"/>
      <c r="AQ62" s="74"/>
      <c r="AR62" s="74"/>
      <c r="AS62" s="74"/>
      <c r="AT62" s="74"/>
    </row>
    <row r="63" spans="1:46" ht="15" customHeight="1">
      <c r="A63" s="41" t="s">
        <v>36</v>
      </c>
      <c r="B63" s="50" t="s">
        <v>457</v>
      </c>
      <c r="C63" s="50" t="s">
        <v>1482</v>
      </c>
      <c r="D63" s="48" t="s">
        <v>458</v>
      </c>
      <c r="E63" s="50" t="s">
        <v>1546</v>
      </c>
      <c r="F63" s="50">
        <v>4000</v>
      </c>
      <c r="G63" s="76" t="s">
        <v>2739</v>
      </c>
      <c r="H63" s="50">
        <v>919</v>
      </c>
      <c r="I63" s="49" t="s">
        <v>2</v>
      </c>
      <c r="J63" s="50" t="s">
        <v>510</v>
      </c>
      <c r="K63" s="51">
        <v>41220</v>
      </c>
      <c r="L63" s="115">
        <v>41205</v>
      </c>
      <c r="M63" s="402">
        <f t="shared" si="1"/>
        <v>15</v>
      </c>
      <c r="N63" s="50" t="s">
        <v>2</v>
      </c>
      <c r="O63" s="131">
        <f>1.4/2</f>
        <v>0.7</v>
      </c>
      <c r="P63" s="117">
        <v>6.5</v>
      </c>
      <c r="Q63" s="131">
        <v>6.4</v>
      </c>
      <c r="R63" s="50">
        <v>130</v>
      </c>
      <c r="S63" s="74">
        <v>15</v>
      </c>
      <c r="T63" s="50">
        <v>0.45</v>
      </c>
      <c r="U63" s="74">
        <v>1.99</v>
      </c>
      <c r="V63" s="50">
        <v>0.28000000000000003</v>
      </c>
      <c r="W63" s="74">
        <v>8.9999999999999993E-3</v>
      </c>
      <c r="X63" s="50">
        <v>0.12</v>
      </c>
      <c r="Y63" s="74">
        <v>3.0000000000000001E-3</v>
      </c>
      <c r="Z63" s="164">
        <v>1</v>
      </c>
      <c r="AA63" s="165">
        <v>1</v>
      </c>
      <c r="AB63" s="50">
        <v>36</v>
      </c>
      <c r="AC63" s="74">
        <v>317</v>
      </c>
      <c r="AD63" s="164">
        <v>0.95</v>
      </c>
      <c r="AF63" s="113">
        <f>0.01/2</f>
        <v>5.0000000000000001E-3</v>
      </c>
      <c r="AG63" s="54"/>
      <c r="AH63" s="54"/>
      <c r="AI63" s="113"/>
      <c r="AJ63" s="50"/>
      <c r="AK63" s="74"/>
      <c r="AL63" s="74"/>
      <c r="AM63" s="74"/>
      <c r="AN63" s="74"/>
      <c r="AO63" s="74"/>
      <c r="AP63" s="74"/>
      <c r="AQ63" s="74"/>
      <c r="AR63" s="74"/>
      <c r="AS63" s="74"/>
      <c r="AT63" s="74"/>
    </row>
    <row r="64" spans="1:46" ht="15" customHeight="1">
      <c r="A64" s="41" t="s">
        <v>36</v>
      </c>
      <c r="B64" s="50" t="s">
        <v>2740</v>
      </c>
      <c r="C64" s="50" t="s">
        <v>1482</v>
      </c>
      <c r="D64" s="48" t="s">
        <v>2741</v>
      </c>
      <c r="E64" s="50" t="s">
        <v>2742</v>
      </c>
      <c r="G64" s="76" t="s">
        <v>2743</v>
      </c>
      <c r="H64" s="50">
        <v>4953</v>
      </c>
      <c r="I64" s="49" t="s">
        <v>2</v>
      </c>
      <c r="J64" s="50" t="s">
        <v>194</v>
      </c>
      <c r="K64" s="51">
        <v>40996</v>
      </c>
      <c r="L64" s="115">
        <v>40993</v>
      </c>
      <c r="M64" s="402">
        <f t="shared" si="1"/>
        <v>3</v>
      </c>
      <c r="N64" s="50" t="s">
        <v>2</v>
      </c>
      <c r="O64" s="131">
        <v>2.1</v>
      </c>
      <c r="P64" s="117">
        <v>6.58</v>
      </c>
      <c r="Q64" s="131">
        <v>7.2</v>
      </c>
      <c r="R64" s="50">
        <v>102</v>
      </c>
      <c r="S64" s="74">
        <v>78</v>
      </c>
      <c r="T64" s="50">
        <v>0.45</v>
      </c>
      <c r="U64" s="74">
        <v>2.82</v>
      </c>
      <c r="V64" s="50">
        <v>0.43</v>
      </c>
      <c r="W64" s="74">
        <v>3.6999999999999998E-2</v>
      </c>
      <c r="X64" s="50">
        <v>0.129</v>
      </c>
      <c r="Y64" s="74">
        <v>5.0000000000000001E-3</v>
      </c>
      <c r="AE64" s="50">
        <v>934</v>
      </c>
      <c r="AF64" s="113">
        <v>0.03</v>
      </c>
      <c r="AG64" s="54"/>
      <c r="AH64" s="54"/>
      <c r="AI64" s="113"/>
      <c r="AJ64" s="50"/>
      <c r="AK64" s="74"/>
      <c r="AL64" s="74"/>
      <c r="AM64" s="74"/>
      <c r="AN64" s="74"/>
      <c r="AO64" s="74"/>
      <c r="AP64" s="74"/>
      <c r="AQ64" s="74"/>
      <c r="AR64" s="74"/>
      <c r="AS64" s="74"/>
      <c r="AT64" s="74"/>
    </row>
    <row r="65" spans="1:46" ht="15" customHeight="1">
      <c r="A65" s="41" t="s">
        <v>36</v>
      </c>
      <c r="B65" s="50" t="s">
        <v>2740</v>
      </c>
      <c r="C65" s="50" t="s">
        <v>1482</v>
      </c>
      <c r="D65" s="48" t="s">
        <v>2741</v>
      </c>
      <c r="E65" s="50" t="s">
        <v>2742</v>
      </c>
      <c r="G65" s="76" t="s">
        <v>2743</v>
      </c>
      <c r="H65" s="50">
        <v>4953</v>
      </c>
      <c r="I65" s="49" t="s">
        <v>2</v>
      </c>
      <c r="J65" s="50" t="s">
        <v>569</v>
      </c>
      <c r="K65" s="51">
        <v>40996</v>
      </c>
      <c r="L65" s="115">
        <v>40993</v>
      </c>
      <c r="M65" s="402">
        <f t="shared" si="1"/>
        <v>3</v>
      </c>
      <c r="N65" s="50" t="s">
        <v>2</v>
      </c>
      <c r="O65" s="131">
        <v>2.2000000000000002</v>
      </c>
      <c r="P65" s="117">
        <v>6.58</v>
      </c>
      <c r="Q65" s="131">
        <v>6.3</v>
      </c>
      <c r="R65" s="50">
        <v>180</v>
      </c>
      <c r="S65" s="74">
        <v>220</v>
      </c>
      <c r="T65" s="50">
        <v>0.71</v>
      </c>
      <c r="U65" s="74">
        <v>3.68</v>
      </c>
      <c r="V65" s="50">
        <v>1.62</v>
      </c>
      <c r="W65" s="74">
        <v>5.8000000000000003E-2</v>
      </c>
      <c r="X65" s="50">
        <v>0.30599999999999999</v>
      </c>
      <c r="Y65" s="74">
        <v>1.2E-2</v>
      </c>
      <c r="AE65" s="50">
        <v>383</v>
      </c>
      <c r="AF65" s="113">
        <v>0.02</v>
      </c>
      <c r="AG65" s="54"/>
      <c r="AH65" s="54"/>
      <c r="AI65" s="113"/>
      <c r="AJ65" s="50"/>
      <c r="AK65" s="74"/>
      <c r="AL65" s="74"/>
      <c r="AM65" s="74"/>
      <c r="AN65" s="74"/>
      <c r="AO65" s="74"/>
      <c r="AP65" s="74"/>
      <c r="AQ65" s="74"/>
      <c r="AR65" s="74"/>
      <c r="AS65" s="74"/>
      <c r="AT65" s="74"/>
    </row>
    <row r="66" spans="1:46" ht="15" customHeight="1">
      <c r="A66" s="41" t="s">
        <v>36</v>
      </c>
      <c r="B66" s="50" t="s">
        <v>2747</v>
      </c>
      <c r="C66" s="50" t="s">
        <v>393</v>
      </c>
      <c r="D66" s="48" t="s">
        <v>1505</v>
      </c>
      <c r="E66" s="50" t="s">
        <v>530</v>
      </c>
      <c r="G66" s="76" t="s">
        <v>2748</v>
      </c>
      <c r="H66" s="50">
        <v>9199</v>
      </c>
      <c r="I66" s="49" t="s">
        <v>2</v>
      </c>
      <c r="J66" s="50" t="s">
        <v>2749</v>
      </c>
      <c r="K66" s="51">
        <v>40920</v>
      </c>
      <c r="L66" s="115">
        <v>40909</v>
      </c>
      <c r="M66" s="402">
        <f t="shared" si="1"/>
        <v>11</v>
      </c>
      <c r="N66" s="50" t="s">
        <v>2</v>
      </c>
      <c r="O66" s="131">
        <f>1.4/2</f>
        <v>0.7</v>
      </c>
      <c r="P66" s="117">
        <v>5.89</v>
      </c>
      <c r="Q66" s="131">
        <v>7.24</v>
      </c>
      <c r="R66" s="50">
        <v>30</v>
      </c>
      <c r="S66" s="74">
        <v>160</v>
      </c>
      <c r="T66" s="50">
        <v>0.14000000000000001</v>
      </c>
      <c r="U66" s="74">
        <v>0.41</v>
      </c>
      <c r="V66" s="50">
        <v>0.51</v>
      </c>
      <c r="W66" s="74">
        <v>0.01</v>
      </c>
      <c r="X66" s="50">
        <v>4.1000000000000002E-2</v>
      </c>
      <c r="Y66" s="74">
        <f>0.002/2</f>
        <v>1E-3</v>
      </c>
      <c r="Z66" s="164">
        <v>1</v>
      </c>
      <c r="AA66" s="165">
        <v>1</v>
      </c>
      <c r="AB66" s="50">
        <v>24</v>
      </c>
      <c r="AC66" s="74">
        <v>32</v>
      </c>
      <c r="AD66" s="164">
        <v>1</v>
      </c>
      <c r="AE66" s="50">
        <v>86.4</v>
      </c>
      <c r="AF66" s="113">
        <f>0.01/2</f>
        <v>5.0000000000000001E-3</v>
      </c>
      <c r="AG66" s="54"/>
      <c r="AH66" s="54"/>
      <c r="AI66" s="113"/>
      <c r="AJ66" s="50"/>
      <c r="AK66" s="74"/>
      <c r="AL66" s="74"/>
      <c r="AM66" s="74"/>
      <c r="AN66" s="74"/>
      <c r="AO66" s="74"/>
      <c r="AP66" s="74"/>
      <c r="AQ66" s="74"/>
      <c r="AR66" s="74"/>
      <c r="AS66" s="74"/>
      <c r="AT66" s="74"/>
    </row>
    <row r="67" spans="1:46" ht="15" customHeight="1">
      <c r="A67" s="41" t="s">
        <v>36</v>
      </c>
      <c r="B67" s="50" t="s">
        <v>2747</v>
      </c>
      <c r="C67" s="50" t="s">
        <v>393</v>
      </c>
      <c r="D67" s="48" t="s">
        <v>1505</v>
      </c>
      <c r="E67" s="50" t="s">
        <v>530</v>
      </c>
      <c r="G67" s="76" t="s">
        <v>2748</v>
      </c>
      <c r="H67" s="50">
        <v>9199</v>
      </c>
      <c r="I67" s="49" t="s">
        <v>2</v>
      </c>
      <c r="J67" s="50" t="s">
        <v>2749</v>
      </c>
      <c r="K67" s="51">
        <v>41051</v>
      </c>
      <c r="L67" s="115">
        <v>41044</v>
      </c>
      <c r="M67" s="402">
        <f t="shared" si="1"/>
        <v>7</v>
      </c>
      <c r="N67" s="50" t="s">
        <v>2</v>
      </c>
      <c r="O67" s="131">
        <f>1.5/2</f>
        <v>0.75</v>
      </c>
      <c r="P67" s="117">
        <v>5.5</v>
      </c>
      <c r="Q67" s="131">
        <v>7.45</v>
      </c>
      <c r="R67" s="50">
        <v>11</v>
      </c>
      <c r="S67" s="74">
        <v>32</v>
      </c>
      <c r="T67" s="50">
        <f>0.01/2</f>
        <v>5.0000000000000001E-3</v>
      </c>
      <c r="U67" s="74">
        <v>0.61</v>
      </c>
      <c r="V67" s="50">
        <v>1.1200000000000001</v>
      </c>
      <c r="W67" s="74">
        <v>0.01</v>
      </c>
      <c r="X67" s="50">
        <v>3.4000000000000002E-2</v>
      </c>
      <c r="Y67" s="74">
        <f>0.002/2</f>
        <v>1E-3</v>
      </c>
      <c r="AE67" s="50">
        <v>159</v>
      </c>
      <c r="AF67" s="113">
        <f>0.01/2</f>
        <v>5.0000000000000001E-3</v>
      </c>
      <c r="AG67" s="54"/>
      <c r="AH67" s="54"/>
      <c r="AI67" s="113"/>
      <c r="AJ67" s="50"/>
      <c r="AK67" s="74"/>
      <c r="AL67" s="74"/>
      <c r="AM67" s="74"/>
      <c r="AN67" s="74"/>
      <c r="AO67" s="74"/>
      <c r="AP67" s="74"/>
      <c r="AQ67" s="74"/>
      <c r="AR67" s="74"/>
      <c r="AS67" s="74"/>
      <c r="AT67" s="74"/>
    </row>
    <row r="68" spans="1:46" ht="15" customHeight="1">
      <c r="A68" s="41" t="s">
        <v>36</v>
      </c>
      <c r="B68" s="50" t="s">
        <v>2750</v>
      </c>
      <c r="C68" s="50" t="s">
        <v>2660</v>
      </c>
      <c r="D68" s="48" t="s">
        <v>247</v>
      </c>
      <c r="G68" s="76" t="s">
        <v>2751</v>
      </c>
      <c r="I68" s="49" t="s">
        <v>2</v>
      </c>
      <c r="K68" s="51">
        <v>41201</v>
      </c>
      <c r="L68" s="115">
        <v>41197</v>
      </c>
      <c r="M68" s="402">
        <f t="shared" si="1"/>
        <v>4</v>
      </c>
      <c r="N68" s="50" t="s">
        <v>2</v>
      </c>
      <c r="O68" s="131">
        <f>1.6/2</f>
        <v>0.8</v>
      </c>
      <c r="P68" s="117">
        <v>7.21</v>
      </c>
      <c r="Q68" s="131">
        <v>6.77</v>
      </c>
      <c r="R68" s="50">
        <v>16</v>
      </c>
      <c r="S68" s="74">
        <v>8.5</v>
      </c>
      <c r="T68" s="50">
        <v>0.06</v>
      </c>
      <c r="U68" s="74">
        <v>0.69</v>
      </c>
      <c r="V68" s="50">
        <v>0.14000000000000001</v>
      </c>
      <c r="W68" s="74">
        <v>6.0000000000000001E-3</v>
      </c>
      <c r="X68" s="50">
        <v>4.2000000000000003E-2</v>
      </c>
      <c r="Y68" s="74">
        <v>2E-3</v>
      </c>
      <c r="Z68" s="164">
        <v>1</v>
      </c>
      <c r="AA68" s="165">
        <v>1</v>
      </c>
      <c r="AB68" s="50">
        <v>4</v>
      </c>
      <c r="AC68" s="74">
        <v>59</v>
      </c>
      <c r="AD68" s="164">
        <v>1</v>
      </c>
      <c r="AF68" s="113"/>
      <c r="AG68" s="54"/>
      <c r="AH68" s="54"/>
      <c r="AI68" s="113"/>
      <c r="AJ68" s="50"/>
      <c r="AK68" s="74"/>
      <c r="AL68" s="74"/>
      <c r="AM68" s="74"/>
      <c r="AN68" s="74"/>
      <c r="AO68" s="74"/>
      <c r="AP68" s="74"/>
      <c r="AQ68" s="74"/>
      <c r="AR68" s="74"/>
      <c r="AS68" s="74"/>
      <c r="AT68" s="74"/>
    </row>
    <row r="69" spans="1:46" ht="15" customHeight="1">
      <c r="A69" s="41" t="s">
        <v>36</v>
      </c>
      <c r="B69" s="50" t="s">
        <v>2752</v>
      </c>
      <c r="C69" s="50" t="s">
        <v>395</v>
      </c>
      <c r="D69" s="48" t="s">
        <v>1550</v>
      </c>
      <c r="G69" s="76" t="s">
        <v>2753</v>
      </c>
      <c r="I69" s="49" t="s">
        <v>2</v>
      </c>
      <c r="J69" s="50" t="s">
        <v>2754</v>
      </c>
      <c r="K69" s="51">
        <v>41180</v>
      </c>
      <c r="L69" s="115"/>
      <c r="N69" s="50" t="s">
        <v>2</v>
      </c>
      <c r="O69" s="131">
        <f>5/2</f>
        <v>2.5</v>
      </c>
      <c r="P69" s="117">
        <v>5</v>
      </c>
      <c r="Q69" s="131">
        <v>6.6</v>
      </c>
      <c r="R69" s="50">
        <v>126</v>
      </c>
      <c r="S69" s="74">
        <v>108</v>
      </c>
      <c r="T69" s="50">
        <v>0.69</v>
      </c>
      <c r="U69" s="74">
        <v>1.1299999999999999</v>
      </c>
      <c r="V69" s="50">
        <v>1.57</v>
      </c>
      <c r="W69" s="74">
        <v>6.7000000000000004E-2</v>
      </c>
      <c r="X69" s="50">
        <v>0.15</v>
      </c>
      <c r="Y69" s="74">
        <v>2.1999999999999999E-2</v>
      </c>
      <c r="Z69" s="164">
        <v>1</v>
      </c>
      <c r="AA69" s="165">
        <v>1</v>
      </c>
      <c r="AB69" s="50">
        <v>22.3</v>
      </c>
      <c r="AC69" s="74">
        <v>97</v>
      </c>
      <c r="AD69" s="164">
        <v>1</v>
      </c>
      <c r="AE69" s="50">
        <v>10.6</v>
      </c>
      <c r="AF69" s="113">
        <f>0.01/2</f>
        <v>5.0000000000000001E-3</v>
      </c>
      <c r="AG69" s="54"/>
      <c r="AH69" s="54"/>
      <c r="AI69" s="113"/>
      <c r="AJ69" s="50"/>
      <c r="AK69" s="74"/>
      <c r="AL69" s="74"/>
      <c r="AM69" s="74"/>
      <c r="AN69" s="74"/>
      <c r="AO69" s="74"/>
      <c r="AP69" s="74"/>
      <c r="AQ69" s="74"/>
      <c r="AR69" s="74"/>
      <c r="AS69" s="74"/>
      <c r="AT69" s="74"/>
    </row>
    <row r="70" spans="1:46" ht="15" customHeight="1">
      <c r="A70" s="41" t="s">
        <v>36</v>
      </c>
      <c r="B70" s="50" t="s">
        <v>2752</v>
      </c>
      <c r="C70" s="50" t="s">
        <v>395</v>
      </c>
      <c r="D70" s="48" t="s">
        <v>1550</v>
      </c>
      <c r="G70" s="76" t="s">
        <v>2753</v>
      </c>
      <c r="I70" s="49" t="s">
        <v>2</v>
      </c>
      <c r="J70" s="50" t="s">
        <v>2755</v>
      </c>
      <c r="K70" s="51">
        <v>41180</v>
      </c>
      <c r="L70" s="115"/>
      <c r="N70" s="50" t="s">
        <v>2</v>
      </c>
      <c r="O70" s="131">
        <f>5/2</f>
        <v>2.5</v>
      </c>
      <c r="P70" s="117">
        <v>5</v>
      </c>
      <c r="Q70" s="131">
        <v>6.2</v>
      </c>
      <c r="R70" s="50">
        <v>191</v>
      </c>
      <c r="S70" s="74">
        <v>9</v>
      </c>
      <c r="T70" s="50">
        <v>0.82</v>
      </c>
      <c r="U70" s="74">
        <v>10.3</v>
      </c>
      <c r="V70" s="50">
        <v>1.48</v>
      </c>
      <c r="W70" s="74">
        <v>3.5000000000000003E-2</v>
      </c>
      <c r="X70" s="50">
        <v>0.06</v>
      </c>
      <c r="Y70" s="74">
        <v>6.0000000000000001E-3</v>
      </c>
      <c r="Z70" s="164">
        <v>1</v>
      </c>
      <c r="AA70" s="165">
        <v>1</v>
      </c>
      <c r="AB70" s="50">
        <v>24.8</v>
      </c>
      <c r="AC70" s="74">
        <v>163</v>
      </c>
      <c r="AD70" s="164">
        <v>1</v>
      </c>
      <c r="AE70" s="50">
        <v>12.6</v>
      </c>
      <c r="AF70" s="113">
        <f>0.01/2</f>
        <v>5.0000000000000001E-3</v>
      </c>
      <c r="AG70" s="54"/>
      <c r="AH70" s="54"/>
      <c r="AI70" s="113"/>
      <c r="AJ70" s="50"/>
      <c r="AK70" s="74"/>
      <c r="AL70" s="74"/>
      <c r="AM70" s="74"/>
      <c r="AN70" s="74"/>
      <c r="AO70" s="74"/>
      <c r="AP70" s="74"/>
      <c r="AQ70" s="74"/>
      <c r="AR70" s="74"/>
      <c r="AS70" s="74"/>
      <c r="AT70" s="74"/>
    </row>
    <row r="71" spans="1:46" ht="15" customHeight="1">
      <c r="A71" s="41" t="s">
        <v>36</v>
      </c>
      <c r="B71" s="50" t="s">
        <v>2752</v>
      </c>
      <c r="C71" s="50" t="s">
        <v>395</v>
      </c>
      <c r="D71" s="48" t="s">
        <v>1550</v>
      </c>
      <c r="G71" s="76" t="s">
        <v>2753</v>
      </c>
      <c r="I71" s="49" t="s">
        <v>2</v>
      </c>
      <c r="J71" s="50" t="s">
        <v>2754</v>
      </c>
      <c r="K71" s="51">
        <v>41030</v>
      </c>
      <c r="L71" s="115"/>
      <c r="N71" s="50" t="s">
        <v>2</v>
      </c>
      <c r="O71" s="131">
        <f>5/2</f>
        <v>2.5</v>
      </c>
      <c r="P71" s="117"/>
      <c r="Q71" s="131">
        <v>6.45</v>
      </c>
      <c r="R71" s="50">
        <v>97.3</v>
      </c>
      <c r="S71" s="74">
        <v>40</v>
      </c>
      <c r="T71" s="50">
        <v>0.2</v>
      </c>
      <c r="U71" s="74">
        <v>1.45</v>
      </c>
      <c r="V71" s="50">
        <v>0.88</v>
      </c>
      <c r="W71" s="74">
        <v>1.9E-2</v>
      </c>
      <c r="X71" s="50">
        <v>0.02</v>
      </c>
      <c r="Y71" s="74">
        <v>7.0000000000000001E-3</v>
      </c>
      <c r="AE71" s="50">
        <v>7.36</v>
      </c>
      <c r="AF71" s="113">
        <f>0.01/2</f>
        <v>5.0000000000000001E-3</v>
      </c>
      <c r="AG71" s="54"/>
      <c r="AH71" s="54"/>
      <c r="AI71" s="113"/>
      <c r="AJ71" s="50"/>
      <c r="AK71" s="74"/>
      <c r="AL71" s="74"/>
      <c r="AM71" s="74"/>
      <c r="AN71" s="74"/>
      <c r="AO71" s="74"/>
      <c r="AP71" s="74"/>
      <c r="AQ71" s="74"/>
      <c r="AR71" s="74"/>
      <c r="AS71" s="74"/>
      <c r="AT71" s="74"/>
    </row>
    <row r="72" spans="1:46" ht="15" customHeight="1">
      <c r="A72" s="41" t="s">
        <v>36</v>
      </c>
      <c r="B72" s="50" t="s">
        <v>2756</v>
      </c>
      <c r="C72" s="50" t="s">
        <v>2757</v>
      </c>
      <c r="D72" s="48" t="s">
        <v>1903</v>
      </c>
      <c r="E72" s="50" t="s">
        <v>2758</v>
      </c>
      <c r="F72" s="50" t="s">
        <v>2667</v>
      </c>
      <c r="G72" s="76" t="s">
        <v>2759</v>
      </c>
      <c r="H72" s="50">
        <v>9199</v>
      </c>
      <c r="I72" s="49" t="s">
        <v>2</v>
      </c>
      <c r="J72" s="50" t="s">
        <v>2760</v>
      </c>
      <c r="K72" s="51">
        <v>41226</v>
      </c>
      <c r="L72" s="115">
        <v>41220</v>
      </c>
      <c r="M72" s="402">
        <f>K72-L72</f>
        <v>6</v>
      </c>
      <c r="N72" s="50" t="s">
        <v>2</v>
      </c>
      <c r="O72" s="131">
        <v>13</v>
      </c>
      <c r="P72" s="117"/>
      <c r="Q72" s="131">
        <v>6.61</v>
      </c>
      <c r="R72" s="50">
        <v>180</v>
      </c>
      <c r="S72" s="74">
        <v>200</v>
      </c>
      <c r="T72" s="50">
        <v>0.44</v>
      </c>
      <c r="U72" s="74">
        <v>2.38</v>
      </c>
      <c r="V72" s="50">
        <v>0.49</v>
      </c>
      <c r="W72" s="74">
        <v>2.1000000000000001E-2</v>
      </c>
      <c r="X72" s="50">
        <v>0.187</v>
      </c>
      <c r="Y72" s="74">
        <v>0.01</v>
      </c>
      <c r="Z72" s="164">
        <v>1</v>
      </c>
      <c r="AA72" s="165">
        <v>1</v>
      </c>
      <c r="AB72" s="50">
        <v>48</v>
      </c>
      <c r="AC72" s="74">
        <v>773</v>
      </c>
      <c r="AD72" s="164">
        <v>1</v>
      </c>
      <c r="AE72" s="50">
        <v>244</v>
      </c>
      <c r="AF72" s="113">
        <f>0.01/2</f>
        <v>5.0000000000000001E-3</v>
      </c>
      <c r="AG72" s="54"/>
      <c r="AH72" s="54"/>
      <c r="AI72" s="113"/>
      <c r="AJ72" s="50"/>
      <c r="AK72" s="74"/>
      <c r="AL72" s="74"/>
      <c r="AM72" s="74"/>
      <c r="AN72" s="74"/>
      <c r="AO72" s="74"/>
      <c r="AP72" s="74"/>
      <c r="AQ72" s="74"/>
      <c r="AR72" s="74"/>
      <c r="AS72" s="74"/>
      <c r="AT72" s="74"/>
    </row>
    <row r="73" spans="1:46" ht="15" customHeight="1">
      <c r="A73" s="41" t="s">
        <v>36</v>
      </c>
      <c r="B73" s="50" t="s">
        <v>404</v>
      </c>
      <c r="C73" s="50" t="s">
        <v>607</v>
      </c>
      <c r="D73" s="48" t="s">
        <v>406</v>
      </c>
      <c r="E73" s="50" t="s">
        <v>608</v>
      </c>
      <c r="G73" s="76" t="s">
        <v>609</v>
      </c>
      <c r="H73" s="50">
        <v>9199</v>
      </c>
      <c r="I73" s="49" t="s">
        <v>2</v>
      </c>
      <c r="J73" s="50" t="s">
        <v>610</v>
      </c>
      <c r="K73" s="51">
        <v>41192</v>
      </c>
      <c r="L73" s="115">
        <v>41188</v>
      </c>
      <c r="M73" s="402">
        <f>K73-L73</f>
        <v>4</v>
      </c>
      <c r="N73" s="50" t="s">
        <v>2</v>
      </c>
      <c r="O73" s="131">
        <f>2/2</f>
        <v>1</v>
      </c>
      <c r="P73" s="117"/>
      <c r="Q73" s="131">
        <v>6.7</v>
      </c>
      <c r="R73" s="50">
        <v>13</v>
      </c>
      <c r="S73" s="74">
        <v>8</v>
      </c>
      <c r="T73" s="50">
        <f>0.05/2</f>
        <v>2.5000000000000001E-2</v>
      </c>
      <c r="U73" s="74">
        <v>0.26</v>
      </c>
      <c r="V73" s="50">
        <v>0.13</v>
      </c>
      <c r="W73" s="74">
        <f>0.01/2</f>
        <v>5.0000000000000001E-3</v>
      </c>
      <c r="X73" s="50">
        <f>0.03/2</f>
        <v>1.4999999999999999E-2</v>
      </c>
      <c r="Y73" s="74">
        <f>0.03/2</f>
        <v>1.4999999999999999E-2</v>
      </c>
      <c r="Z73" s="164">
        <v>1</v>
      </c>
      <c r="AA73" s="165">
        <v>1</v>
      </c>
      <c r="AB73" s="50">
        <v>3</v>
      </c>
      <c r="AC73" s="74">
        <v>29</v>
      </c>
      <c r="AD73" s="164">
        <v>0.65</v>
      </c>
      <c r="AE73" s="50">
        <v>2.9</v>
      </c>
      <c r="AF73" s="113">
        <f>0.05/2</f>
        <v>2.5000000000000001E-2</v>
      </c>
      <c r="AG73" s="54"/>
      <c r="AH73" s="54"/>
      <c r="AI73" s="113"/>
      <c r="AJ73" s="50"/>
      <c r="AK73" s="74"/>
      <c r="AL73" s="74"/>
      <c r="AM73" s="74"/>
      <c r="AN73" s="74"/>
      <c r="AO73" s="74"/>
      <c r="AP73" s="74"/>
      <c r="AQ73" s="74"/>
      <c r="AR73" s="74"/>
      <c r="AS73" s="74"/>
      <c r="AT73" s="74"/>
    </row>
    <row r="74" spans="1:46" ht="15" customHeight="1">
      <c r="A74" s="41" t="s">
        <v>36</v>
      </c>
      <c r="B74" s="50" t="s">
        <v>404</v>
      </c>
      <c r="C74" s="50" t="s">
        <v>607</v>
      </c>
      <c r="D74" s="48" t="s">
        <v>406</v>
      </c>
      <c r="E74" s="50" t="s">
        <v>608</v>
      </c>
      <c r="G74" s="76" t="s">
        <v>609</v>
      </c>
      <c r="H74" s="50">
        <v>9199</v>
      </c>
      <c r="I74" s="49" t="s">
        <v>2</v>
      </c>
      <c r="J74" s="50" t="s">
        <v>612</v>
      </c>
      <c r="K74" s="51">
        <v>41192</v>
      </c>
      <c r="L74" s="115">
        <v>41188</v>
      </c>
      <c r="M74" s="402">
        <f>K74-L74</f>
        <v>4</v>
      </c>
      <c r="N74" s="50" t="s">
        <v>2</v>
      </c>
      <c r="O74" s="131">
        <f>2/2</f>
        <v>1</v>
      </c>
      <c r="P74" s="117"/>
      <c r="Q74" s="131">
        <v>6</v>
      </c>
      <c r="R74" s="50">
        <f>10/2</f>
        <v>5</v>
      </c>
      <c r="S74" s="74">
        <v>4</v>
      </c>
      <c r="T74" s="50">
        <f>0.05/2</f>
        <v>2.5000000000000001E-2</v>
      </c>
      <c r="U74" s="74">
        <v>0.23</v>
      </c>
      <c r="V74" s="50">
        <f>0.1/2</f>
        <v>0.05</v>
      </c>
      <c r="W74" s="74">
        <f>0.01/2</f>
        <v>5.0000000000000001E-3</v>
      </c>
      <c r="X74" s="50">
        <f>0.03/2</f>
        <v>1.4999999999999999E-2</v>
      </c>
      <c r="Y74" s="74">
        <f>0.03/2</f>
        <v>1.4999999999999999E-2</v>
      </c>
      <c r="Z74" s="164">
        <v>1</v>
      </c>
      <c r="AA74" s="165">
        <v>1</v>
      </c>
      <c r="AB74" s="50">
        <v>4</v>
      </c>
      <c r="AC74" s="74">
        <v>30</v>
      </c>
      <c r="AD74" s="164">
        <v>1</v>
      </c>
      <c r="AF74" s="113"/>
      <c r="AG74" s="54"/>
      <c r="AH74" s="54"/>
      <c r="AI74" s="113"/>
      <c r="AJ74" s="50"/>
      <c r="AK74" s="74"/>
      <c r="AL74" s="74"/>
      <c r="AM74" s="74"/>
      <c r="AN74" s="74"/>
      <c r="AO74" s="74"/>
      <c r="AP74" s="74"/>
      <c r="AQ74" s="74"/>
      <c r="AR74" s="74"/>
      <c r="AS74" s="74"/>
      <c r="AT74" s="74"/>
    </row>
    <row r="75" spans="1:46" ht="15" customHeight="1">
      <c r="A75" s="41" t="s">
        <v>36</v>
      </c>
      <c r="B75" s="50" t="s">
        <v>404</v>
      </c>
      <c r="C75" s="50" t="s">
        <v>607</v>
      </c>
      <c r="D75" s="48" t="s">
        <v>406</v>
      </c>
      <c r="E75" s="50" t="s">
        <v>608</v>
      </c>
      <c r="G75" s="76" t="s">
        <v>609</v>
      </c>
      <c r="H75" s="50">
        <v>9199</v>
      </c>
      <c r="I75" s="49" t="s">
        <v>2</v>
      </c>
      <c r="J75" s="50" t="s">
        <v>613</v>
      </c>
      <c r="K75" s="51">
        <v>41192</v>
      </c>
      <c r="L75" s="115">
        <v>41188</v>
      </c>
      <c r="M75" s="402">
        <f>K75-L75</f>
        <v>4</v>
      </c>
      <c r="N75" s="50" t="s">
        <v>2</v>
      </c>
      <c r="O75" s="131">
        <f>2/2</f>
        <v>1</v>
      </c>
      <c r="P75" s="117"/>
      <c r="Q75" s="131">
        <v>6.4</v>
      </c>
      <c r="R75" s="50">
        <v>14</v>
      </c>
      <c r="S75" s="74">
        <v>8</v>
      </c>
      <c r="T75" s="50">
        <v>0.05</v>
      </c>
      <c r="U75" s="74">
        <v>0.33</v>
      </c>
      <c r="V75" s="50">
        <v>0.1</v>
      </c>
      <c r="W75" s="74">
        <f>0.01/2</f>
        <v>5.0000000000000001E-3</v>
      </c>
      <c r="X75" s="50">
        <v>6.6000000000000003E-2</v>
      </c>
      <c r="Y75" s="74">
        <f>0.03/2</f>
        <v>1.4999999999999999E-2</v>
      </c>
      <c r="Z75" s="164">
        <v>1</v>
      </c>
      <c r="AA75" s="165">
        <v>1</v>
      </c>
      <c r="AB75" s="50">
        <f>2/2</f>
        <v>1</v>
      </c>
      <c r="AC75" s="74">
        <v>17</v>
      </c>
      <c r="AD75" s="164">
        <v>1</v>
      </c>
      <c r="AF75" s="113"/>
      <c r="AG75" s="54"/>
      <c r="AH75" s="54"/>
      <c r="AI75" s="113"/>
      <c r="AJ75" s="50"/>
      <c r="AK75" s="74"/>
      <c r="AL75" s="74"/>
      <c r="AM75" s="74"/>
      <c r="AN75" s="74"/>
      <c r="AO75" s="74"/>
      <c r="AP75" s="74"/>
      <c r="AQ75" s="74"/>
      <c r="AR75" s="74"/>
      <c r="AS75" s="74"/>
      <c r="AT75" s="74"/>
    </row>
    <row r="76" spans="1:46" ht="15" customHeight="1">
      <c r="A76" s="41" t="s">
        <v>36</v>
      </c>
      <c r="B76" s="50" t="s">
        <v>2763</v>
      </c>
      <c r="C76" s="50" t="s">
        <v>395</v>
      </c>
      <c r="D76" s="48" t="s">
        <v>2378</v>
      </c>
      <c r="E76" s="50" t="s">
        <v>2764</v>
      </c>
      <c r="G76" s="76" t="s">
        <v>2765</v>
      </c>
      <c r="H76" s="50">
        <v>9199</v>
      </c>
      <c r="I76" s="49" t="s">
        <v>2</v>
      </c>
      <c r="J76" s="50" t="s">
        <v>2766</v>
      </c>
      <c r="K76" s="51">
        <v>41170</v>
      </c>
      <c r="L76" s="115"/>
      <c r="N76" s="50" t="s">
        <v>2</v>
      </c>
      <c r="O76" s="131">
        <v>6.6</v>
      </c>
      <c r="P76" s="117">
        <v>6.78</v>
      </c>
      <c r="Q76" s="131">
        <v>6.26</v>
      </c>
      <c r="R76" s="50">
        <v>78</v>
      </c>
      <c r="S76" s="74">
        <v>130</v>
      </c>
      <c r="T76" s="50">
        <v>1.72</v>
      </c>
      <c r="U76" s="74">
        <v>2.68</v>
      </c>
      <c r="V76" s="50">
        <v>1.04</v>
      </c>
      <c r="W76" s="74">
        <v>0.04</v>
      </c>
      <c r="X76" s="50">
        <v>0.17799999999999999</v>
      </c>
      <c r="Y76" s="74">
        <v>2.1999999999999999E-2</v>
      </c>
      <c r="AE76" s="50">
        <v>17.399999999999999</v>
      </c>
      <c r="AF76" s="113">
        <f>0.01/2</f>
        <v>5.0000000000000001E-3</v>
      </c>
      <c r="AG76" s="54"/>
      <c r="AH76" s="54"/>
      <c r="AI76" s="113"/>
      <c r="AJ76" s="50"/>
      <c r="AK76" s="74"/>
      <c r="AL76" s="74"/>
      <c r="AM76" s="74"/>
      <c r="AN76" s="74"/>
      <c r="AO76" s="74"/>
      <c r="AP76" s="74"/>
      <c r="AQ76" s="74"/>
      <c r="AR76" s="74"/>
      <c r="AS76" s="74"/>
      <c r="AT76" s="74"/>
    </row>
    <row r="77" spans="1:46" ht="15" customHeight="1">
      <c r="A77" s="41" t="s">
        <v>36</v>
      </c>
      <c r="B77" s="50" t="s">
        <v>2763</v>
      </c>
      <c r="C77" s="50" t="s">
        <v>395</v>
      </c>
      <c r="D77" s="48" t="s">
        <v>2378</v>
      </c>
      <c r="E77" s="50" t="s">
        <v>2764</v>
      </c>
      <c r="G77" s="76" t="s">
        <v>2765</v>
      </c>
      <c r="H77" s="50">
        <v>9199</v>
      </c>
      <c r="I77" s="49" t="s">
        <v>2</v>
      </c>
      <c r="J77" s="50" t="s">
        <v>2766</v>
      </c>
      <c r="K77" s="51">
        <v>40996</v>
      </c>
      <c r="L77" s="115">
        <v>40993</v>
      </c>
      <c r="M77" s="402">
        <f t="shared" ref="M77:M88" si="2">K77-L77</f>
        <v>3</v>
      </c>
      <c r="N77" s="50" t="s">
        <v>2</v>
      </c>
      <c r="O77" s="131">
        <v>2.8</v>
      </c>
      <c r="P77" s="117">
        <v>6</v>
      </c>
      <c r="Q77" s="131">
        <v>6.93</v>
      </c>
      <c r="R77" s="50">
        <f>10/2</f>
        <v>5</v>
      </c>
      <c r="S77" s="74">
        <v>920</v>
      </c>
      <c r="T77" s="50">
        <v>0.32</v>
      </c>
      <c r="U77" s="74">
        <v>1.06</v>
      </c>
      <c r="V77" s="50">
        <v>0.03</v>
      </c>
      <c r="W77" s="74">
        <v>2.8000000000000001E-2</v>
      </c>
      <c r="X77" s="50">
        <v>6.3E-2</v>
      </c>
      <c r="Y77" s="74">
        <v>1.7000000000000001E-2</v>
      </c>
      <c r="Z77" s="164">
        <v>1</v>
      </c>
      <c r="AA77" s="165">
        <v>1</v>
      </c>
      <c r="AB77" s="50">
        <v>14</v>
      </c>
      <c r="AC77" s="74">
        <v>136</v>
      </c>
      <c r="AD77" s="164">
        <v>1</v>
      </c>
      <c r="AE77" s="50">
        <v>33.700000000000003</v>
      </c>
      <c r="AF77" s="113">
        <f>0.01/2</f>
        <v>5.0000000000000001E-3</v>
      </c>
      <c r="AG77" s="54"/>
      <c r="AH77" s="54"/>
      <c r="AI77" s="113"/>
      <c r="AJ77" s="50"/>
      <c r="AK77" s="74"/>
      <c r="AL77" s="74"/>
      <c r="AM77" s="74"/>
      <c r="AN77" s="74"/>
      <c r="AO77" s="74"/>
      <c r="AP77" s="74"/>
      <c r="AQ77" s="74"/>
      <c r="AR77" s="74"/>
      <c r="AS77" s="74"/>
      <c r="AT77" s="74"/>
    </row>
    <row r="78" spans="1:46" ht="15" customHeight="1">
      <c r="A78" s="41" t="s">
        <v>36</v>
      </c>
      <c r="B78" s="50" t="s">
        <v>2280</v>
      </c>
      <c r="C78" s="50" t="s">
        <v>393</v>
      </c>
      <c r="D78" s="48" t="s">
        <v>195</v>
      </c>
      <c r="E78" s="50" t="s">
        <v>1831</v>
      </c>
      <c r="F78" s="50">
        <v>5302</v>
      </c>
      <c r="G78" s="76" t="s">
        <v>2767</v>
      </c>
      <c r="H78" s="50">
        <v>9199</v>
      </c>
      <c r="I78" s="49" t="s">
        <v>2</v>
      </c>
      <c r="J78" s="50" t="s">
        <v>81</v>
      </c>
      <c r="K78" s="51">
        <v>41073</v>
      </c>
      <c r="L78" s="115">
        <v>41065</v>
      </c>
      <c r="M78" s="402">
        <f t="shared" si="2"/>
        <v>8</v>
      </c>
      <c r="N78" s="50" t="s">
        <v>2</v>
      </c>
      <c r="O78" s="131">
        <f>2/2</f>
        <v>1</v>
      </c>
      <c r="P78" s="117">
        <v>7.8</v>
      </c>
      <c r="Q78" s="131">
        <v>6.9</v>
      </c>
      <c r="R78" s="50">
        <v>4</v>
      </c>
      <c r="S78" s="74">
        <v>14</v>
      </c>
      <c r="T78" s="50">
        <v>0.05</v>
      </c>
      <c r="U78" s="74">
        <v>0.56000000000000005</v>
      </c>
      <c r="V78" s="50">
        <v>1.21</v>
      </c>
      <c r="W78" s="74">
        <f>0.01/2</f>
        <v>5.0000000000000001E-3</v>
      </c>
      <c r="X78" s="50">
        <f>0.03/2</f>
        <v>1.4999999999999999E-2</v>
      </c>
      <c r="Y78" s="74">
        <f>0.03/2</f>
        <v>1.4999999999999999E-2</v>
      </c>
      <c r="AE78" s="50">
        <v>671</v>
      </c>
      <c r="AF78" s="113">
        <f>0.05/2</f>
        <v>2.5000000000000001E-2</v>
      </c>
      <c r="AG78" s="54"/>
      <c r="AH78" s="54"/>
      <c r="AI78" s="113"/>
      <c r="AJ78" s="50"/>
      <c r="AK78" s="74"/>
      <c r="AL78" s="74"/>
      <c r="AM78" s="74"/>
      <c r="AN78" s="74"/>
      <c r="AO78" s="74"/>
      <c r="AP78" s="74"/>
      <c r="AQ78" s="74"/>
      <c r="AR78" s="74"/>
      <c r="AS78" s="74"/>
      <c r="AT78" s="74"/>
    </row>
    <row r="79" spans="1:46" ht="15" customHeight="1">
      <c r="A79" s="41" t="s">
        <v>36</v>
      </c>
      <c r="B79" s="50" t="s">
        <v>2280</v>
      </c>
      <c r="C79" s="50" t="s">
        <v>393</v>
      </c>
      <c r="D79" s="48" t="s">
        <v>195</v>
      </c>
      <c r="E79" s="50" t="s">
        <v>1831</v>
      </c>
      <c r="F79" s="50">
        <v>5302</v>
      </c>
      <c r="G79" s="76" t="s">
        <v>2767</v>
      </c>
      <c r="H79" s="50">
        <v>9199</v>
      </c>
      <c r="I79" s="49" t="s">
        <v>2</v>
      </c>
      <c r="J79" s="50" t="s">
        <v>81</v>
      </c>
      <c r="K79" s="51">
        <v>41226</v>
      </c>
      <c r="L79" s="115">
        <v>41221</v>
      </c>
      <c r="M79" s="402">
        <f t="shared" si="2"/>
        <v>5</v>
      </c>
      <c r="N79" s="50" t="s">
        <v>2</v>
      </c>
      <c r="O79" s="131">
        <v>56.7</v>
      </c>
      <c r="P79" s="117">
        <v>6.8</v>
      </c>
      <c r="Q79" s="131">
        <v>6.7</v>
      </c>
      <c r="R79" s="50">
        <v>176</v>
      </c>
      <c r="S79" s="74">
        <v>1890</v>
      </c>
      <c r="T79" s="50">
        <v>2.19</v>
      </c>
      <c r="U79" s="74">
        <v>14.4</v>
      </c>
      <c r="V79" s="50">
        <v>0.1</v>
      </c>
      <c r="W79" s="74">
        <v>0.214</v>
      </c>
      <c r="X79" s="50">
        <v>0.30099999999999999</v>
      </c>
      <c r="Y79" s="74">
        <v>0.183</v>
      </c>
      <c r="Z79" s="164">
        <v>0.125</v>
      </c>
      <c r="AA79" s="165">
        <v>9.6799999999999997E-2</v>
      </c>
      <c r="AB79" s="50">
        <v>749</v>
      </c>
      <c r="AC79" s="74">
        <v>17380</v>
      </c>
      <c r="AD79" s="164">
        <v>0</v>
      </c>
      <c r="AE79" s="50">
        <v>9380</v>
      </c>
      <c r="AF79" s="113">
        <f>0.05/2</f>
        <v>2.5000000000000001E-2</v>
      </c>
      <c r="AG79" s="54"/>
      <c r="AH79" s="54"/>
      <c r="AI79" s="113"/>
      <c r="AJ79" s="50"/>
      <c r="AK79" s="74"/>
      <c r="AL79" s="74"/>
      <c r="AM79" s="74"/>
      <c r="AN79" s="74"/>
      <c r="AO79" s="74"/>
      <c r="AP79" s="74"/>
      <c r="AQ79" s="74"/>
      <c r="AR79" s="74"/>
      <c r="AS79" s="74"/>
      <c r="AT79" s="74"/>
    </row>
    <row r="80" spans="1:46" ht="15" customHeight="1">
      <c r="A80" s="41" t="s">
        <v>36</v>
      </c>
      <c r="B80" s="50" t="s">
        <v>2280</v>
      </c>
      <c r="C80" s="50" t="s">
        <v>393</v>
      </c>
      <c r="D80" s="48" t="s">
        <v>195</v>
      </c>
      <c r="E80" s="50" t="s">
        <v>1831</v>
      </c>
      <c r="F80" s="50">
        <v>5302</v>
      </c>
      <c r="G80" s="76" t="s">
        <v>2767</v>
      </c>
      <c r="H80" s="50">
        <v>9199</v>
      </c>
      <c r="I80" s="49" t="s">
        <v>2</v>
      </c>
      <c r="J80" s="50" t="s">
        <v>114</v>
      </c>
      <c r="K80" s="51">
        <v>41226</v>
      </c>
      <c r="L80" s="115">
        <v>41221</v>
      </c>
      <c r="M80" s="402">
        <f t="shared" si="2"/>
        <v>5</v>
      </c>
      <c r="N80" s="50" t="s">
        <v>2</v>
      </c>
      <c r="O80" s="131">
        <v>2.7</v>
      </c>
      <c r="P80" s="117">
        <v>6.8</v>
      </c>
      <c r="Q80" s="131">
        <v>7.2</v>
      </c>
      <c r="R80" s="50">
        <v>14</v>
      </c>
      <c r="S80" s="74">
        <v>48</v>
      </c>
      <c r="T80" s="50">
        <v>7.0000000000000007E-2</v>
      </c>
      <c r="U80" s="74">
        <v>0.95</v>
      </c>
      <c r="V80" s="50">
        <v>0.46</v>
      </c>
      <c r="W80" s="74">
        <f>0.01/2</f>
        <v>5.0000000000000001E-3</v>
      </c>
      <c r="X80" s="50">
        <v>6.8000000000000005E-2</v>
      </c>
      <c r="Y80" s="74">
        <f>0.03/2</f>
        <v>1.4999999999999999E-2</v>
      </c>
      <c r="Z80" s="164">
        <v>1</v>
      </c>
      <c r="AA80" s="165">
        <v>1</v>
      </c>
      <c r="AB80" s="50">
        <v>234</v>
      </c>
      <c r="AC80" s="74">
        <v>1600</v>
      </c>
      <c r="AD80" s="164">
        <v>0.85</v>
      </c>
      <c r="AF80" s="113"/>
      <c r="AG80" s="54"/>
      <c r="AH80" s="54"/>
      <c r="AI80" s="113"/>
      <c r="AJ80" s="50"/>
      <c r="AK80" s="74"/>
      <c r="AL80" s="74"/>
      <c r="AM80" s="74"/>
      <c r="AN80" s="74"/>
      <c r="AO80" s="74"/>
      <c r="AP80" s="74"/>
      <c r="AQ80" s="74"/>
      <c r="AR80" s="74"/>
      <c r="AS80" s="74"/>
      <c r="AT80" s="74"/>
    </row>
    <row r="81" spans="1:46" ht="15" customHeight="1">
      <c r="A81" s="41" t="s">
        <v>36</v>
      </c>
      <c r="B81" s="50" t="s">
        <v>2280</v>
      </c>
      <c r="C81" s="50" t="s">
        <v>393</v>
      </c>
      <c r="D81" s="48" t="s">
        <v>195</v>
      </c>
      <c r="E81" s="50" t="s">
        <v>1831</v>
      </c>
      <c r="F81" s="50">
        <v>5302</v>
      </c>
      <c r="G81" s="76" t="s">
        <v>2768</v>
      </c>
      <c r="H81" s="50">
        <v>9199</v>
      </c>
      <c r="I81" s="49" t="s">
        <v>2</v>
      </c>
      <c r="J81" s="50" t="s">
        <v>925</v>
      </c>
      <c r="K81" s="51">
        <v>41226</v>
      </c>
      <c r="L81" s="115">
        <v>41221</v>
      </c>
      <c r="M81" s="402">
        <f t="shared" si="2"/>
        <v>5</v>
      </c>
      <c r="N81" s="50" t="s">
        <v>2</v>
      </c>
      <c r="O81" s="131">
        <v>3.7</v>
      </c>
      <c r="P81" s="117">
        <v>6.8</v>
      </c>
      <c r="Q81" s="131">
        <v>7.2</v>
      </c>
      <c r="R81" s="50">
        <v>82</v>
      </c>
      <c r="S81" s="74">
        <v>122</v>
      </c>
      <c r="T81" s="50">
        <v>0.5</v>
      </c>
      <c r="U81" s="74">
        <v>2.71</v>
      </c>
      <c r="V81" s="50">
        <v>0.76</v>
      </c>
      <c r="W81" s="74">
        <v>5.1999999999999998E-2</v>
      </c>
      <c r="X81" s="50">
        <v>6.4000000000000001E-2</v>
      </c>
      <c r="Y81" s="74">
        <v>5.2999999999999999E-2</v>
      </c>
      <c r="Z81" s="164">
        <v>1</v>
      </c>
      <c r="AA81" s="165">
        <v>1</v>
      </c>
      <c r="AB81" s="50">
        <v>143</v>
      </c>
      <c r="AC81" s="74">
        <v>1856</v>
      </c>
      <c r="AD81" s="164">
        <v>1</v>
      </c>
      <c r="AF81" s="113"/>
      <c r="AG81" s="54"/>
      <c r="AH81" s="54"/>
      <c r="AI81" s="113"/>
      <c r="AJ81" s="50"/>
      <c r="AK81" s="74"/>
      <c r="AL81" s="74"/>
      <c r="AM81" s="74"/>
      <c r="AN81" s="74"/>
      <c r="AO81" s="74"/>
      <c r="AP81" s="74"/>
      <c r="AQ81" s="74"/>
      <c r="AR81" s="74"/>
      <c r="AS81" s="74"/>
      <c r="AT81" s="74"/>
    </row>
    <row r="82" spans="1:46" ht="15" customHeight="1">
      <c r="A82" s="41" t="s">
        <v>36</v>
      </c>
      <c r="B82" s="50" t="s">
        <v>2280</v>
      </c>
      <c r="C82" s="50" t="s">
        <v>2769</v>
      </c>
      <c r="D82" s="48" t="s">
        <v>195</v>
      </c>
      <c r="E82" s="50" t="s">
        <v>1831</v>
      </c>
      <c r="F82" s="50">
        <v>5302</v>
      </c>
      <c r="G82" s="76" t="s">
        <v>2282</v>
      </c>
      <c r="H82" s="50">
        <v>9199</v>
      </c>
      <c r="I82" s="49" t="s">
        <v>2</v>
      </c>
      <c r="J82" s="50" t="s">
        <v>81</v>
      </c>
      <c r="K82" s="51">
        <v>41226</v>
      </c>
      <c r="L82" s="115">
        <v>41221</v>
      </c>
      <c r="M82" s="402">
        <f t="shared" si="2"/>
        <v>5</v>
      </c>
      <c r="N82" s="50" t="s">
        <v>2</v>
      </c>
      <c r="O82" s="131">
        <v>7.6</v>
      </c>
      <c r="P82" s="117">
        <v>6.3</v>
      </c>
      <c r="Q82" s="131">
        <v>7.1</v>
      </c>
      <c r="R82" s="50">
        <v>12</v>
      </c>
      <c r="S82" s="74">
        <v>6</v>
      </c>
      <c r="T82" s="50">
        <f>0.05/2</f>
        <v>2.5000000000000001E-2</v>
      </c>
      <c r="U82" s="74">
        <v>0.47</v>
      </c>
      <c r="V82" s="50">
        <v>2.02</v>
      </c>
      <c r="W82" s="74">
        <v>6.2E-2</v>
      </c>
      <c r="X82" s="50">
        <f>0.03/2</f>
        <v>1.4999999999999999E-2</v>
      </c>
      <c r="Y82" s="74">
        <f>0.03/2</f>
        <v>1.4999999999999999E-2</v>
      </c>
      <c r="Z82" s="164">
        <v>1</v>
      </c>
      <c r="AA82" s="165">
        <v>0.70699999999999996</v>
      </c>
      <c r="AB82" s="50">
        <v>66</v>
      </c>
      <c r="AC82" s="74">
        <v>225</v>
      </c>
      <c r="AD82" s="164">
        <v>0.35</v>
      </c>
      <c r="AF82" s="113"/>
      <c r="AG82" s="54"/>
      <c r="AH82" s="54"/>
      <c r="AI82" s="113"/>
      <c r="AJ82" s="50"/>
      <c r="AK82" s="74"/>
      <c r="AL82" s="74"/>
      <c r="AM82" s="74"/>
      <c r="AN82" s="74"/>
      <c r="AO82" s="74"/>
      <c r="AP82" s="74"/>
      <c r="AQ82" s="74"/>
      <c r="AR82" s="74"/>
      <c r="AS82" s="74"/>
      <c r="AT82" s="74"/>
    </row>
    <row r="83" spans="1:46" ht="15" customHeight="1">
      <c r="A83" s="41" t="s">
        <v>36</v>
      </c>
      <c r="B83" s="50" t="s">
        <v>2280</v>
      </c>
      <c r="C83" s="50" t="s">
        <v>2769</v>
      </c>
      <c r="D83" s="48" t="s">
        <v>195</v>
      </c>
      <c r="E83" s="50" t="s">
        <v>1831</v>
      </c>
      <c r="F83" s="50">
        <v>5302</v>
      </c>
      <c r="G83" s="76" t="s">
        <v>2282</v>
      </c>
      <c r="H83" s="50">
        <v>9199</v>
      </c>
      <c r="I83" s="49" t="s">
        <v>2</v>
      </c>
      <c r="J83" s="50" t="s">
        <v>115</v>
      </c>
      <c r="K83" s="51">
        <v>41226</v>
      </c>
      <c r="L83" s="115">
        <v>41221</v>
      </c>
      <c r="M83" s="402">
        <f t="shared" si="2"/>
        <v>5</v>
      </c>
      <c r="N83" s="50" t="s">
        <v>2</v>
      </c>
      <c r="O83" s="131">
        <v>5</v>
      </c>
      <c r="P83" s="117">
        <v>6.3</v>
      </c>
      <c r="Q83" s="131">
        <v>7.3</v>
      </c>
      <c r="R83" s="50">
        <v>15</v>
      </c>
      <c r="S83" s="74">
        <v>54</v>
      </c>
      <c r="T83" s="50">
        <v>0.06</v>
      </c>
      <c r="U83" s="74">
        <v>0.77</v>
      </c>
      <c r="V83" s="50">
        <v>1.82</v>
      </c>
      <c r="W83" s="74">
        <v>1.6E-2</v>
      </c>
      <c r="X83" s="50">
        <f>0.03/2</f>
        <v>1.4999999999999999E-2</v>
      </c>
      <c r="Y83" s="74">
        <f>0.03/2</f>
        <v>1.4999999999999999E-2</v>
      </c>
      <c r="Z83" s="164">
        <v>1</v>
      </c>
      <c r="AA83" s="165">
        <v>1</v>
      </c>
      <c r="AB83" s="50">
        <v>93</v>
      </c>
      <c r="AC83" s="74">
        <v>432</v>
      </c>
      <c r="AD83" s="164">
        <v>1</v>
      </c>
      <c r="AF83" s="113"/>
      <c r="AG83" s="54"/>
      <c r="AH83" s="54"/>
      <c r="AI83" s="113"/>
      <c r="AJ83" s="50"/>
      <c r="AK83" s="74"/>
      <c r="AL83" s="74"/>
      <c r="AM83" s="74"/>
      <c r="AN83" s="74"/>
      <c r="AO83" s="74"/>
      <c r="AP83" s="74"/>
      <c r="AQ83" s="74"/>
      <c r="AR83" s="74"/>
      <c r="AS83" s="74"/>
      <c r="AT83" s="74"/>
    </row>
    <row r="84" spans="1:46" ht="15" customHeight="1">
      <c r="A84" s="41" t="s">
        <v>36</v>
      </c>
      <c r="B84" s="50" t="s">
        <v>2280</v>
      </c>
      <c r="C84" s="50" t="s">
        <v>393</v>
      </c>
      <c r="D84" s="48" t="s">
        <v>195</v>
      </c>
      <c r="E84" s="50" t="s">
        <v>1831</v>
      </c>
      <c r="F84" s="50">
        <v>5302</v>
      </c>
      <c r="G84" s="76" t="s">
        <v>2767</v>
      </c>
      <c r="H84" s="50">
        <v>9199</v>
      </c>
      <c r="I84" s="49" t="s">
        <v>2</v>
      </c>
      <c r="J84" s="50" t="s">
        <v>81</v>
      </c>
      <c r="K84" s="51">
        <v>40898</v>
      </c>
      <c r="L84" s="115">
        <v>40892</v>
      </c>
      <c r="M84" s="402">
        <f t="shared" si="2"/>
        <v>6</v>
      </c>
      <c r="N84" s="50" t="s">
        <v>2</v>
      </c>
      <c r="O84" s="131">
        <v>19</v>
      </c>
      <c r="P84" s="117">
        <v>5.5</v>
      </c>
      <c r="Q84" s="131">
        <v>6.6</v>
      </c>
      <c r="R84" s="50">
        <v>360</v>
      </c>
      <c r="S84" s="74">
        <v>216</v>
      </c>
      <c r="T84" s="50">
        <v>3.39</v>
      </c>
      <c r="U84" s="74">
        <v>13</v>
      </c>
      <c r="V84" s="50">
        <f>0.1/2</f>
        <v>0.05</v>
      </c>
      <c r="W84" s="74">
        <v>5.8999999999999997E-2</v>
      </c>
      <c r="X84" s="50">
        <v>0.13100000000000001</v>
      </c>
      <c r="Y84" s="74">
        <v>4.1000000000000002E-2</v>
      </c>
      <c r="Z84" s="164">
        <v>0.53600000000000003</v>
      </c>
      <c r="AA84" s="165">
        <v>0.53600000000000003</v>
      </c>
      <c r="AB84" s="50">
        <v>216</v>
      </c>
      <c r="AC84" s="74">
        <v>4630</v>
      </c>
      <c r="AD84" s="164">
        <v>0</v>
      </c>
      <c r="AE84" s="50">
        <v>1600</v>
      </c>
      <c r="AF84" s="113">
        <f>0.05/2</f>
        <v>2.5000000000000001E-2</v>
      </c>
      <c r="AG84" s="54"/>
      <c r="AH84" s="54"/>
      <c r="AI84" s="113"/>
      <c r="AJ84" s="50"/>
      <c r="AK84" s="74"/>
      <c r="AL84" s="74"/>
      <c r="AM84" s="74"/>
      <c r="AN84" s="74"/>
      <c r="AO84" s="74"/>
      <c r="AP84" s="74"/>
      <c r="AQ84" s="74"/>
      <c r="AR84" s="74"/>
      <c r="AS84" s="74"/>
      <c r="AT84" s="74"/>
    </row>
    <row r="85" spans="1:46" ht="15" customHeight="1">
      <c r="A85" s="41" t="s">
        <v>36</v>
      </c>
      <c r="B85" s="50" t="s">
        <v>131</v>
      </c>
      <c r="C85" s="50" t="s">
        <v>2757</v>
      </c>
      <c r="D85" s="48" t="s">
        <v>133</v>
      </c>
      <c r="E85" s="50" t="s">
        <v>1546</v>
      </c>
      <c r="G85" s="76" t="s">
        <v>134</v>
      </c>
      <c r="H85" s="50">
        <v>7699</v>
      </c>
      <c r="I85" s="49" t="s">
        <v>1</v>
      </c>
      <c r="J85" s="50" t="s">
        <v>74</v>
      </c>
      <c r="K85" s="51">
        <v>41044</v>
      </c>
      <c r="L85" s="115">
        <v>41039</v>
      </c>
      <c r="M85" s="402">
        <f t="shared" si="2"/>
        <v>5</v>
      </c>
      <c r="N85" s="50" t="s">
        <v>2</v>
      </c>
      <c r="O85" s="131">
        <f>1.4/2</f>
        <v>0.7</v>
      </c>
      <c r="P85" s="117">
        <v>5.08</v>
      </c>
      <c r="Q85" s="131">
        <v>7.33</v>
      </c>
      <c r="R85" s="50">
        <v>55</v>
      </c>
      <c r="S85" s="74">
        <v>170</v>
      </c>
      <c r="T85" s="50">
        <v>0.59</v>
      </c>
      <c r="U85" s="74">
        <v>1.48</v>
      </c>
      <c r="V85" s="50">
        <v>0.16</v>
      </c>
      <c r="W85" s="74">
        <v>0.02</v>
      </c>
      <c r="X85" s="50">
        <v>0.105</v>
      </c>
      <c r="Y85" s="74">
        <v>1.7999999999999999E-2</v>
      </c>
      <c r="AE85" s="50">
        <v>17.2</v>
      </c>
      <c r="AF85" s="113">
        <f>0.01/2</f>
        <v>5.0000000000000001E-3</v>
      </c>
      <c r="AG85" s="54"/>
      <c r="AH85" s="54"/>
      <c r="AI85" s="113"/>
      <c r="AJ85" s="50"/>
      <c r="AK85" s="74"/>
      <c r="AL85" s="74"/>
      <c r="AM85" s="74"/>
      <c r="AN85" s="74"/>
      <c r="AO85" s="74"/>
      <c r="AP85" s="74"/>
      <c r="AQ85" s="74"/>
      <c r="AR85" s="74"/>
      <c r="AS85" s="74"/>
      <c r="AT85" s="74"/>
    </row>
    <row r="86" spans="1:46" ht="15" customHeight="1">
      <c r="A86" s="41" t="s">
        <v>36</v>
      </c>
      <c r="B86" s="50" t="s">
        <v>131</v>
      </c>
      <c r="C86" s="50" t="s">
        <v>2757</v>
      </c>
      <c r="D86" s="48" t="s">
        <v>133</v>
      </c>
      <c r="E86" s="50" t="s">
        <v>1546</v>
      </c>
      <c r="G86" s="76" t="s">
        <v>134</v>
      </c>
      <c r="H86" s="50">
        <v>7699</v>
      </c>
      <c r="I86" s="49" t="s">
        <v>1</v>
      </c>
      <c r="J86" s="50" t="s">
        <v>135</v>
      </c>
      <c r="K86" s="51">
        <v>41044</v>
      </c>
      <c r="L86" s="115">
        <v>41039</v>
      </c>
      <c r="M86" s="402">
        <f t="shared" si="2"/>
        <v>5</v>
      </c>
      <c r="N86" s="50" t="s">
        <v>2</v>
      </c>
      <c r="O86" s="131">
        <v>16</v>
      </c>
      <c r="P86" s="117">
        <v>5.08</v>
      </c>
      <c r="Q86" s="131">
        <v>6.89</v>
      </c>
      <c r="R86" s="50">
        <v>285</v>
      </c>
      <c r="S86" s="74">
        <v>220</v>
      </c>
      <c r="T86" s="50">
        <v>0.64</v>
      </c>
      <c r="U86" s="74">
        <v>9.5</v>
      </c>
      <c r="V86" s="50">
        <v>0.3</v>
      </c>
      <c r="W86" s="74">
        <v>6.9000000000000006E-2</v>
      </c>
      <c r="X86" s="50">
        <v>0.34</v>
      </c>
      <c r="Y86" s="74">
        <v>4.5999999999999999E-2</v>
      </c>
      <c r="AE86" s="50">
        <v>105</v>
      </c>
      <c r="AF86" s="113">
        <f>0.01/2</f>
        <v>5.0000000000000001E-3</v>
      </c>
      <c r="AG86" s="54"/>
      <c r="AH86" s="54"/>
      <c r="AI86" s="113"/>
      <c r="AJ86" s="50"/>
      <c r="AK86" s="74"/>
      <c r="AL86" s="74"/>
      <c r="AM86" s="74"/>
      <c r="AN86" s="74"/>
      <c r="AO86" s="74"/>
      <c r="AP86" s="74"/>
      <c r="AQ86" s="74"/>
      <c r="AR86" s="74"/>
      <c r="AS86" s="74"/>
      <c r="AT86" s="74"/>
    </row>
    <row r="87" spans="1:46" ht="15" customHeight="1">
      <c r="A87" s="41" t="s">
        <v>36</v>
      </c>
      <c r="B87" s="50" t="s">
        <v>2770</v>
      </c>
      <c r="C87" s="50" t="s">
        <v>2771</v>
      </c>
      <c r="D87" s="48" t="s">
        <v>2772</v>
      </c>
      <c r="E87" s="50" t="s">
        <v>1941</v>
      </c>
      <c r="G87" s="76" t="s">
        <v>2773</v>
      </c>
      <c r="H87" s="50">
        <v>9199</v>
      </c>
      <c r="I87" s="49" t="s">
        <v>2</v>
      </c>
      <c r="J87" s="50" t="s">
        <v>2694</v>
      </c>
      <c r="K87" s="51">
        <v>40863</v>
      </c>
      <c r="L87" s="115">
        <v>40857</v>
      </c>
      <c r="M87" s="402">
        <f t="shared" si="2"/>
        <v>6</v>
      </c>
      <c r="N87" s="50" t="s">
        <v>2</v>
      </c>
      <c r="O87" s="131">
        <f>1.6/2</f>
        <v>0.8</v>
      </c>
      <c r="P87" s="117">
        <v>5.3</v>
      </c>
      <c r="Q87" s="131">
        <v>7.05</v>
      </c>
      <c r="R87" s="50">
        <v>30</v>
      </c>
      <c r="S87" s="74">
        <v>19</v>
      </c>
      <c r="T87" s="50">
        <v>0.06</v>
      </c>
      <c r="U87" s="74">
        <v>0.62</v>
      </c>
      <c r="V87" s="50">
        <f>0.01/2</f>
        <v>5.0000000000000001E-3</v>
      </c>
      <c r="W87" s="74">
        <v>2E-3</v>
      </c>
      <c r="X87" s="50">
        <v>4.2999999999999997E-2</v>
      </c>
      <c r="Y87" s="74">
        <f>0.002/2</f>
        <v>1E-3</v>
      </c>
      <c r="Z87" s="164">
        <v>1</v>
      </c>
      <c r="AA87" s="165">
        <v>1</v>
      </c>
      <c r="AB87" s="50">
        <v>70</v>
      </c>
      <c r="AC87" s="74">
        <v>1478</v>
      </c>
      <c r="AD87" s="164">
        <v>1</v>
      </c>
      <c r="AE87" s="50">
        <v>410</v>
      </c>
      <c r="AF87" s="113">
        <f>0.01/2</f>
        <v>5.0000000000000001E-3</v>
      </c>
      <c r="AG87" s="54"/>
      <c r="AH87" s="54"/>
      <c r="AI87" s="113"/>
      <c r="AJ87" s="50"/>
      <c r="AK87" s="74"/>
      <c r="AL87" s="74"/>
      <c r="AM87" s="74"/>
      <c r="AN87" s="74"/>
      <c r="AO87" s="74"/>
      <c r="AP87" s="74"/>
      <c r="AQ87" s="74"/>
      <c r="AR87" s="74"/>
      <c r="AS87" s="74"/>
      <c r="AT87" s="74"/>
    </row>
    <row r="88" spans="1:46" ht="15" customHeight="1">
      <c r="A88" s="41" t="s">
        <v>36</v>
      </c>
      <c r="B88" s="50" t="s">
        <v>2770</v>
      </c>
      <c r="C88" s="50" t="s">
        <v>2771</v>
      </c>
      <c r="D88" s="48" t="s">
        <v>2772</v>
      </c>
      <c r="E88" s="50" t="s">
        <v>1941</v>
      </c>
      <c r="G88" s="76" t="s">
        <v>2773</v>
      </c>
      <c r="H88" s="50">
        <v>9199</v>
      </c>
      <c r="I88" s="49" t="s">
        <v>2</v>
      </c>
      <c r="J88" s="50" t="s">
        <v>2694</v>
      </c>
      <c r="K88" s="51">
        <v>41226</v>
      </c>
      <c r="L88" s="115">
        <v>41221</v>
      </c>
      <c r="M88" s="402">
        <f t="shared" si="2"/>
        <v>5</v>
      </c>
      <c r="N88" s="50" t="s">
        <v>2</v>
      </c>
      <c r="O88" s="131">
        <f>1.6/2</f>
        <v>0.8</v>
      </c>
      <c r="P88" s="117">
        <v>6.3</v>
      </c>
      <c r="Q88" s="131">
        <v>6.95</v>
      </c>
      <c r="R88" s="50">
        <v>27</v>
      </c>
      <c r="S88" s="74">
        <v>18</v>
      </c>
      <c r="T88" s="50">
        <v>0.19</v>
      </c>
      <c r="U88" s="74">
        <v>0.6</v>
      </c>
      <c r="V88" s="50">
        <v>0.19</v>
      </c>
      <c r="W88" s="74">
        <v>8.9999999999999993E-3</v>
      </c>
      <c r="X88" s="50">
        <v>7.0000000000000007E-2</v>
      </c>
      <c r="Y88" s="74">
        <f>0.002/2</f>
        <v>1E-3</v>
      </c>
      <c r="AE88" s="50">
        <v>545</v>
      </c>
      <c r="AF88" s="113">
        <v>0.02</v>
      </c>
      <c r="AG88" s="54"/>
      <c r="AH88" s="54"/>
      <c r="AI88" s="113"/>
      <c r="AJ88" s="50"/>
      <c r="AK88" s="74"/>
      <c r="AL88" s="74"/>
      <c r="AM88" s="74"/>
      <c r="AN88" s="74"/>
      <c r="AO88" s="74"/>
      <c r="AP88" s="74"/>
      <c r="AQ88" s="74"/>
      <c r="AR88" s="74"/>
      <c r="AS88" s="74"/>
      <c r="AT88" s="74"/>
    </row>
    <row r="89" spans="1:46" ht="15" customHeight="1">
      <c r="A89" s="41" t="s">
        <v>36</v>
      </c>
      <c r="B89" s="50" t="s">
        <v>1488</v>
      </c>
      <c r="C89" s="50" t="s">
        <v>393</v>
      </c>
      <c r="D89" s="48" t="s">
        <v>1490</v>
      </c>
      <c r="E89" s="50" t="s">
        <v>1687</v>
      </c>
      <c r="F89" s="50" t="s">
        <v>2667</v>
      </c>
      <c r="G89" s="76" t="s">
        <v>1688</v>
      </c>
      <c r="I89" s="49" t="s">
        <v>2</v>
      </c>
      <c r="J89" s="50" t="s">
        <v>1689</v>
      </c>
      <c r="K89" s="51">
        <v>41226</v>
      </c>
      <c r="L89" s="115"/>
      <c r="N89" s="50" t="s">
        <v>2</v>
      </c>
      <c r="O89" s="131">
        <v>3.8</v>
      </c>
      <c r="P89" s="117">
        <v>5.5</v>
      </c>
      <c r="Q89" s="131">
        <v>6.4</v>
      </c>
      <c r="R89" s="50">
        <v>160</v>
      </c>
      <c r="S89" s="74">
        <v>190</v>
      </c>
      <c r="T89" s="50">
        <v>0.41</v>
      </c>
      <c r="U89" s="74">
        <v>1.6</v>
      </c>
      <c r="V89" s="50">
        <v>0.49</v>
      </c>
      <c r="W89" s="74">
        <v>2.4E-2</v>
      </c>
      <c r="X89" s="50">
        <v>0.15</v>
      </c>
      <c r="Y89" s="74">
        <v>1.2E-2</v>
      </c>
      <c r="Z89" s="164">
        <v>1</v>
      </c>
      <c r="AA89" s="165">
        <v>1</v>
      </c>
      <c r="AB89" s="50">
        <v>38</v>
      </c>
      <c r="AC89" s="74">
        <v>490</v>
      </c>
      <c r="AD89" s="164">
        <v>1</v>
      </c>
      <c r="AF89" s="113"/>
      <c r="AG89" s="54"/>
      <c r="AH89" s="54"/>
      <c r="AI89" s="113"/>
      <c r="AJ89" s="50"/>
      <c r="AK89" s="74"/>
      <c r="AL89" s="74"/>
      <c r="AM89" s="74"/>
      <c r="AN89" s="74"/>
      <c r="AO89" s="74"/>
      <c r="AP89" s="74"/>
      <c r="AQ89" s="74"/>
      <c r="AR89" s="74"/>
      <c r="AS89" s="74"/>
      <c r="AT89" s="74"/>
    </row>
    <row r="90" spans="1:46" ht="15" customHeight="1">
      <c r="A90" s="41" t="s">
        <v>36</v>
      </c>
      <c r="B90" s="50" t="s">
        <v>1488</v>
      </c>
      <c r="C90" s="50" t="s">
        <v>393</v>
      </c>
      <c r="D90" s="48" t="s">
        <v>1490</v>
      </c>
      <c r="E90" s="50" t="s">
        <v>1687</v>
      </c>
      <c r="F90" s="50" t="s">
        <v>2667</v>
      </c>
      <c r="G90" s="76" t="s">
        <v>1688</v>
      </c>
      <c r="I90" s="49" t="s">
        <v>2</v>
      </c>
      <c r="J90" s="50" t="s">
        <v>1690</v>
      </c>
      <c r="K90" s="51">
        <v>41226</v>
      </c>
      <c r="L90" s="115"/>
      <c r="N90" s="50" t="s">
        <v>2</v>
      </c>
      <c r="O90" s="131">
        <v>9.4</v>
      </c>
      <c r="P90" s="117">
        <v>5.5</v>
      </c>
      <c r="Q90" s="131">
        <v>6.5</v>
      </c>
      <c r="R90" s="50">
        <v>210</v>
      </c>
      <c r="S90" s="74">
        <v>180</v>
      </c>
      <c r="T90" s="50">
        <v>0.61</v>
      </c>
      <c r="U90" s="74">
        <v>3.8</v>
      </c>
      <c r="V90" s="50">
        <v>0.34</v>
      </c>
      <c r="W90" s="74">
        <v>0.04</v>
      </c>
      <c r="X90" s="50">
        <v>0.23</v>
      </c>
      <c r="Y90" s="74">
        <v>1.4E-2</v>
      </c>
      <c r="Z90" s="164">
        <v>1</v>
      </c>
      <c r="AA90" s="165">
        <v>1</v>
      </c>
      <c r="AB90" s="50">
        <v>20</v>
      </c>
      <c r="AC90" s="74">
        <v>121</v>
      </c>
      <c r="AD90" s="164">
        <v>1</v>
      </c>
      <c r="AF90" s="113"/>
      <c r="AG90" s="54"/>
      <c r="AH90" s="54"/>
      <c r="AI90" s="113"/>
      <c r="AJ90" s="50"/>
      <c r="AK90" s="74"/>
      <c r="AL90" s="74"/>
      <c r="AM90" s="74"/>
      <c r="AN90" s="74"/>
      <c r="AO90" s="74"/>
      <c r="AP90" s="74"/>
      <c r="AQ90" s="74"/>
      <c r="AR90" s="74"/>
      <c r="AS90" s="74"/>
      <c r="AT90" s="74"/>
    </row>
    <row r="91" spans="1:46" ht="15" customHeight="1">
      <c r="A91" s="41" t="s">
        <v>36</v>
      </c>
      <c r="B91" s="50" t="s">
        <v>1488</v>
      </c>
      <c r="C91" s="50" t="s">
        <v>393</v>
      </c>
      <c r="D91" s="48" t="s">
        <v>1490</v>
      </c>
      <c r="E91" s="50" t="s">
        <v>1687</v>
      </c>
      <c r="F91" s="50" t="s">
        <v>2667</v>
      </c>
      <c r="G91" s="76" t="s">
        <v>1688</v>
      </c>
      <c r="I91" s="49" t="s">
        <v>2</v>
      </c>
      <c r="J91" s="50" t="s">
        <v>1691</v>
      </c>
      <c r="K91" s="51">
        <v>41226</v>
      </c>
      <c r="L91" s="115"/>
      <c r="N91" s="50" t="s">
        <v>2</v>
      </c>
      <c r="O91" s="131">
        <v>37</v>
      </c>
      <c r="P91" s="117">
        <v>5.5</v>
      </c>
      <c r="Q91" s="131">
        <v>6.3</v>
      </c>
      <c r="R91" s="50">
        <v>380</v>
      </c>
      <c r="S91" s="74">
        <v>66</v>
      </c>
      <c r="T91" s="50">
        <v>0.48</v>
      </c>
      <c r="U91" s="74">
        <v>0.61</v>
      </c>
      <c r="V91" s="50">
        <v>0.42</v>
      </c>
      <c r="W91" s="74">
        <v>0.02</v>
      </c>
      <c r="X91" s="50">
        <v>0.1</v>
      </c>
      <c r="Y91" s="74">
        <v>6.4999999999999997E-3</v>
      </c>
      <c r="Z91" s="164">
        <v>1</v>
      </c>
      <c r="AA91" s="165">
        <v>1</v>
      </c>
      <c r="AB91" s="50">
        <v>24</v>
      </c>
      <c r="AC91" s="74">
        <v>112</v>
      </c>
      <c r="AD91" s="164">
        <v>1</v>
      </c>
      <c r="AF91" s="113"/>
      <c r="AG91" s="54"/>
      <c r="AH91" s="54"/>
      <c r="AI91" s="113"/>
      <c r="AJ91" s="50"/>
      <c r="AK91" s="74"/>
      <c r="AL91" s="74"/>
      <c r="AM91" s="74"/>
      <c r="AN91" s="74"/>
      <c r="AO91" s="74"/>
      <c r="AP91" s="74"/>
      <c r="AQ91" s="74"/>
      <c r="AR91" s="74"/>
      <c r="AS91" s="74"/>
      <c r="AT91" s="74"/>
    </row>
    <row r="92" spans="1:46" ht="15" customHeight="1">
      <c r="A92" s="41" t="s">
        <v>36</v>
      </c>
      <c r="B92" s="50" t="s">
        <v>1488</v>
      </c>
      <c r="C92" s="50" t="s">
        <v>393</v>
      </c>
      <c r="D92" s="48" t="s">
        <v>1490</v>
      </c>
      <c r="E92" s="50" t="s">
        <v>1687</v>
      </c>
      <c r="F92" s="50" t="s">
        <v>2667</v>
      </c>
      <c r="G92" s="76" t="s">
        <v>1688</v>
      </c>
      <c r="I92" s="49" t="s">
        <v>2</v>
      </c>
      <c r="J92" s="50" t="s">
        <v>1689</v>
      </c>
      <c r="K92" s="51">
        <v>41108</v>
      </c>
      <c r="L92" s="115"/>
      <c r="N92" s="50" t="s">
        <v>2</v>
      </c>
      <c r="O92" s="131">
        <v>14</v>
      </c>
      <c r="P92" s="117">
        <v>5.5</v>
      </c>
      <c r="Q92" s="131">
        <v>5.6</v>
      </c>
      <c r="R92" s="50">
        <v>2100</v>
      </c>
      <c r="S92" s="74">
        <v>6600</v>
      </c>
      <c r="T92" s="50">
        <v>6.3</v>
      </c>
      <c r="U92" s="74">
        <v>15</v>
      </c>
      <c r="V92" s="50">
        <v>2.7</v>
      </c>
      <c r="W92" s="74">
        <v>0.19</v>
      </c>
      <c r="X92" s="50">
        <v>0.56999999999999995</v>
      </c>
      <c r="Y92" s="74">
        <v>0.12</v>
      </c>
      <c r="Z92" s="164">
        <v>1</v>
      </c>
      <c r="AA92" s="165">
        <v>1</v>
      </c>
      <c r="AB92" s="50">
        <v>400</v>
      </c>
      <c r="AC92" s="74">
        <v>8010</v>
      </c>
      <c r="AD92" s="164">
        <v>1</v>
      </c>
      <c r="AF92" s="113"/>
      <c r="AG92" s="54"/>
      <c r="AH92" s="54"/>
      <c r="AI92" s="113"/>
      <c r="AJ92" s="50"/>
      <c r="AK92" s="74"/>
      <c r="AL92" s="74"/>
      <c r="AM92" s="74"/>
      <c r="AN92" s="74"/>
      <c r="AO92" s="74"/>
      <c r="AP92" s="74"/>
      <c r="AQ92" s="74"/>
      <c r="AR92" s="74"/>
      <c r="AS92" s="74"/>
      <c r="AT92" s="74"/>
    </row>
    <row r="93" spans="1:46" ht="15" customHeight="1">
      <c r="A93" s="41" t="s">
        <v>36</v>
      </c>
      <c r="B93" s="50" t="s">
        <v>1488</v>
      </c>
      <c r="C93" s="50" t="s">
        <v>393</v>
      </c>
      <c r="D93" s="48" t="s">
        <v>1490</v>
      </c>
      <c r="E93" s="50" t="s">
        <v>1687</v>
      </c>
      <c r="F93" s="50" t="s">
        <v>2667</v>
      </c>
      <c r="G93" s="76" t="s">
        <v>1688</v>
      </c>
      <c r="I93" s="49" t="s">
        <v>2</v>
      </c>
      <c r="J93" s="50" t="s">
        <v>1690</v>
      </c>
      <c r="K93" s="51">
        <v>41108</v>
      </c>
      <c r="L93" s="115"/>
      <c r="N93" s="50" t="s">
        <v>2</v>
      </c>
      <c r="O93" s="131">
        <f>2/2</f>
        <v>1</v>
      </c>
      <c r="P93" s="117">
        <v>5.5</v>
      </c>
      <c r="Q93" s="131">
        <v>5</v>
      </c>
      <c r="R93" s="50">
        <v>680</v>
      </c>
      <c r="S93" s="74">
        <v>860</v>
      </c>
      <c r="T93" s="50">
        <v>1.6</v>
      </c>
      <c r="U93" s="74">
        <v>5.2</v>
      </c>
      <c r="V93" s="50">
        <v>1.3</v>
      </c>
      <c r="W93" s="74">
        <v>8.5000000000000006E-2</v>
      </c>
      <c r="X93" s="50">
        <v>0.77</v>
      </c>
      <c r="Y93" s="74">
        <v>4.3999999999999997E-2</v>
      </c>
      <c r="Z93" s="164">
        <v>1</v>
      </c>
      <c r="AA93" s="165">
        <v>1</v>
      </c>
      <c r="AB93" s="50">
        <v>76</v>
      </c>
      <c r="AC93" s="74">
        <v>800</v>
      </c>
      <c r="AD93" s="164">
        <v>0.8</v>
      </c>
      <c r="AF93" s="113"/>
      <c r="AG93" s="54"/>
      <c r="AH93" s="54"/>
      <c r="AI93" s="113"/>
      <c r="AJ93" s="50"/>
      <c r="AK93" s="74"/>
      <c r="AL93" s="74"/>
      <c r="AM93" s="74"/>
      <c r="AN93" s="74"/>
      <c r="AO93" s="74"/>
      <c r="AP93" s="74"/>
      <c r="AQ93" s="74"/>
      <c r="AR93" s="74"/>
      <c r="AS93" s="74"/>
      <c r="AT93" s="74"/>
    </row>
    <row r="94" spans="1:46" ht="15" customHeight="1">
      <c r="A94" s="41" t="s">
        <v>36</v>
      </c>
      <c r="B94" s="50" t="s">
        <v>1488</v>
      </c>
      <c r="C94" s="50" t="s">
        <v>393</v>
      </c>
      <c r="D94" s="48" t="s">
        <v>1490</v>
      </c>
      <c r="E94" s="50" t="s">
        <v>1687</v>
      </c>
      <c r="F94" s="50" t="s">
        <v>2667</v>
      </c>
      <c r="G94" s="76" t="s">
        <v>1688</v>
      </c>
      <c r="I94" s="49" t="s">
        <v>2</v>
      </c>
      <c r="J94" s="50" t="s">
        <v>1691</v>
      </c>
      <c r="K94" s="51">
        <v>41108</v>
      </c>
      <c r="L94" s="115"/>
      <c r="N94" s="50" t="s">
        <v>2</v>
      </c>
      <c r="O94" s="131">
        <f>2/2</f>
        <v>1</v>
      </c>
      <c r="P94" s="117">
        <v>5.5</v>
      </c>
      <c r="Q94" s="131">
        <v>4.9000000000000004</v>
      </c>
      <c r="R94" s="50">
        <v>110</v>
      </c>
      <c r="S94" s="74">
        <v>140</v>
      </c>
      <c r="T94" s="50">
        <v>0.34</v>
      </c>
      <c r="U94" s="74">
        <v>1.6</v>
      </c>
      <c r="V94" s="50">
        <v>0.46</v>
      </c>
      <c r="W94" s="74">
        <v>3.7999999999999999E-2</v>
      </c>
      <c r="X94" s="50">
        <v>0.2</v>
      </c>
      <c r="Y94" s="74">
        <v>8.9999999999999993E-3</v>
      </c>
      <c r="Z94" s="164">
        <v>1</v>
      </c>
      <c r="AA94" s="165">
        <v>1</v>
      </c>
      <c r="AB94" s="50">
        <v>8</v>
      </c>
      <c r="AC94" s="74">
        <v>82</v>
      </c>
      <c r="AD94" s="164">
        <v>1</v>
      </c>
      <c r="AF94" s="113"/>
      <c r="AG94" s="54"/>
      <c r="AH94" s="54"/>
      <c r="AI94" s="113"/>
      <c r="AJ94" s="50"/>
      <c r="AK94" s="74"/>
      <c r="AL94" s="74"/>
      <c r="AM94" s="74"/>
      <c r="AN94" s="74"/>
      <c r="AO94" s="74"/>
      <c r="AP94" s="74"/>
      <c r="AQ94" s="74"/>
      <c r="AR94" s="74"/>
      <c r="AS94" s="74"/>
      <c r="AT94" s="74"/>
    </row>
    <row r="95" spans="1:46" ht="15" customHeight="1">
      <c r="A95" s="41" t="s">
        <v>36</v>
      </c>
      <c r="B95" s="50" t="s">
        <v>2774</v>
      </c>
      <c r="C95" s="50" t="s">
        <v>393</v>
      </c>
      <c r="D95" s="48" t="s">
        <v>2775</v>
      </c>
      <c r="E95" s="50" t="s">
        <v>2776</v>
      </c>
      <c r="F95" s="86" t="s">
        <v>2777</v>
      </c>
      <c r="G95" s="76" t="s">
        <v>2778</v>
      </c>
      <c r="H95" s="50">
        <v>9199</v>
      </c>
      <c r="I95" s="49" t="s">
        <v>2</v>
      </c>
      <c r="J95" s="50" t="s">
        <v>255</v>
      </c>
      <c r="K95" s="51">
        <v>41030</v>
      </c>
      <c r="L95" s="115">
        <v>41022</v>
      </c>
      <c r="M95" s="402">
        <f t="shared" ref="M95:M107" si="3">K95-L95</f>
        <v>8</v>
      </c>
      <c r="N95" s="50" t="s">
        <v>2</v>
      </c>
      <c r="O95" s="131">
        <f>1.4/2</f>
        <v>0.7</v>
      </c>
      <c r="P95" s="117">
        <v>6.5</v>
      </c>
      <c r="Q95" s="131">
        <v>6.9</v>
      </c>
      <c r="R95" s="50">
        <v>22</v>
      </c>
      <c r="S95" s="74">
        <v>5</v>
      </c>
      <c r="T95" s="50">
        <v>0.02</v>
      </c>
      <c r="U95" s="74">
        <v>0.73</v>
      </c>
      <c r="V95" s="50">
        <f>0.01/2</f>
        <v>5.0000000000000001E-3</v>
      </c>
      <c r="W95" s="74">
        <f>0.005/2</f>
        <v>2.5000000000000001E-3</v>
      </c>
      <c r="X95" s="50">
        <v>3.0000000000000001E-3</v>
      </c>
      <c r="Y95" s="74">
        <f>0.002/2</f>
        <v>1E-3</v>
      </c>
      <c r="Z95" s="164">
        <v>1</v>
      </c>
      <c r="AA95" s="165">
        <v>1</v>
      </c>
      <c r="AB95" s="50">
        <v>28</v>
      </c>
      <c r="AC95" s="74">
        <v>97</v>
      </c>
      <c r="AD95" s="164">
        <v>1</v>
      </c>
      <c r="AE95" s="50">
        <v>6.3</v>
      </c>
      <c r="AF95" s="113">
        <f>0.01/2</f>
        <v>5.0000000000000001E-3</v>
      </c>
      <c r="AG95" s="54"/>
      <c r="AH95" s="54"/>
      <c r="AI95" s="113"/>
      <c r="AJ95" s="50"/>
      <c r="AK95" s="74"/>
      <c r="AL95" s="74"/>
      <c r="AM95" s="74"/>
      <c r="AN95" s="74"/>
      <c r="AO95" s="74"/>
      <c r="AP95" s="74"/>
      <c r="AQ95" s="74"/>
      <c r="AR95" s="74"/>
      <c r="AS95" s="74"/>
      <c r="AT95" s="74"/>
    </row>
    <row r="96" spans="1:46" ht="15" customHeight="1">
      <c r="A96" s="41" t="s">
        <v>36</v>
      </c>
      <c r="B96" s="50" t="s">
        <v>2774</v>
      </c>
      <c r="C96" s="50" t="s">
        <v>393</v>
      </c>
      <c r="D96" s="48" t="s">
        <v>2775</v>
      </c>
      <c r="E96" s="50" t="s">
        <v>2776</v>
      </c>
      <c r="F96" s="86" t="s">
        <v>2777</v>
      </c>
      <c r="G96" s="76" t="s">
        <v>2778</v>
      </c>
      <c r="H96" s="50">
        <v>4212</v>
      </c>
      <c r="I96" s="49" t="s">
        <v>2</v>
      </c>
      <c r="J96" s="50" t="s">
        <v>3153</v>
      </c>
      <c r="K96" s="51">
        <v>41332</v>
      </c>
      <c r="L96" s="115">
        <v>41329</v>
      </c>
      <c r="M96" s="402">
        <f t="shared" si="3"/>
        <v>3</v>
      </c>
      <c r="N96" s="50" t="s">
        <v>2</v>
      </c>
      <c r="O96" s="131">
        <f>1.4/2</f>
        <v>0.7</v>
      </c>
      <c r="P96" s="117">
        <v>7.73</v>
      </c>
      <c r="Q96" s="131">
        <v>6.95</v>
      </c>
      <c r="R96" s="50">
        <v>36</v>
      </c>
      <c r="S96" s="74">
        <v>150</v>
      </c>
      <c r="T96" s="50">
        <v>0.36</v>
      </c>
      <c r="U96" s="74">
        <v>0.95</v>
      </c>
      <c r="V96" s="50">
        <v>0.05</v>
      </c>
      <c r="W96" s="74">
        <v>1.2999999999999999E-2</v>
      </c>
      <c r="X96" s="50">
        <v>2.8000000000000001E-2</v>
      </c>
      <c r="Y96" s="74">
        <v>1.2999999999999999E-2</v>
      </c>
      <c r="AF96" s="113"/>
      <c r="AG96" s="54"/>
      <c r="AH96" s="54"/>
      <c r="AI96" s="113"/>
      <c r="AJ96" s="50"/>
      <c r="AK96" s="74"/>
      <c r="AL96" s="74"/>
      <c r="AM96" s="74"/>
      <c r="AN96" s="74"/>
      <c r="AO96" s="74"/>
      <c r="AP96" s="74"/>
      <c r="AQ96" s="74"/>
      <c r="AR96" s="74"/>
      <c r="AS96" s="74"/>
      <c r="AT96" s="74"/>
    </row>
    <row r="97" spans="1:46" ht="15" customHeight="1">
      <c r="A97" s="41" t="s">
        <v>36</v>
      </c>
      <c r="B97" s="50" t="s">
        <v>69</v>
      </c>
      <c r="C97" s="50" t="s">
        <v>2779</v>
      </c>
      <c r="D97" s="48" t="s">
        <v>71</v>
      </c>
      <c r="F97" s="85" t="s">
        <v>72</v>
      </c>
      <c r="G97" s="76" t="s">
        <v>73</v>
      </c>
      <c r="H97" s="50">
        <v>9199</v>
      </c>
      <c r="I97" s="49" t="s">
        <v>2</v>
      </c>
      <c r="J97" s="50" t="s">
        <v>74</v>
      </c>
      <c r="K97" s="51">
        <v>41030</v>
      </c>
      <c r="L97" s="115">
        <v>41022</v>
      </c>
      <c r="M97" s="402">
        <f t="shared" si="3"/>
        <v>8</v>
      </c>
      <c r="N97" s="50" t="s">
        <v>2</v>
      </c>
      <c r="O97" s="131">
        <f>1.4/2</f>
        <v>0.7</v>
      </c>
      <c r="P97" s="117"/>
      <c r="Q97" s="131">
        <v>7.05</v>
      </c>
      <c r="R97" s="50">
        <v>16</v>
      </c>
      <c r="S97" s="74">
        <v>5</v>
      </c>
      <c r="T97" s="50">
        <v>0.12</v>
      </c>
      <c r="U97" s="74">
        <v>1.45</v>
      </c>
      <c r="V97" s="50">
        <v>0.21</v>
      </c>
      <c r="W97" s="74">
        <v>2.4E-2</v>
      </c>
      <c r="X97" s="50">
        <v>1.6E-2</v>
      </c>
      <c r="Y97" s="74">
        <v>2E-3</v>
      </c>
      <c r="Z97" s="164">
        <v>1</v>
      </c>
      <c r="AA97" s="165">
        <v>1</v>
      </c>
      <c r="AB97" s="50">
        <v>14</v>
      </c>
      <c r="AC97" s="74">
        <v>193</v>
      </c>
      <c r="AD97" s="164">
        <v>1</v>
      </c>
      <c r="AE97" s="50">
        <v>95.4</v>
      </c>
      <c r="AF97" s="113">
        <f>0.01/2</f>
        <v>5.0000000000000001E-3</v>
      </c>
      <c r="AG97" s="54"/>
      <c r="AH97" s="54"/>
      <c r="AI97" s="113"/>
      <c r="AJ97" s="50"/>
      <c r="AK97" s="74"/>
      <c r="AL97" s="74"/>
      <c r="AM97" s="74"/>
      <c r="AN97" s="74"/>
      <c r="AO97" s="74"/>
      <c r="AP97" s="74"/>
      <c r="AQ97" s="74"/>
      <c r="AR97" s="74"/>
      <c r="AS97" s="74"/>
      <c r="AT97" s="74"/>
    </row>
    <row r="98" spans="1:46" ht="15" customHeight="1">
      <c r="A98" s="41" t="s">
        <v>36</v>
      </c>
      <c r="B98" s="50" t="s">
        <v>69</v>
      </c>
      <c r="C98" s="50" t="s">
        <v>2779</v>
      </c>
      <c r="D98" s="48" t="s">
        <v>71</v>
      </c>
      <c r="F98" s="85" t="s">
        <v>72</v>
      </c>
      <c r="G98" s="76" t="s">
        <v>73</v>
      </c>
      <c r="H98" s="50">
        <v>9199</v>
      </c>
      <c r="I98" s="49" t="s">
        <v>2</v>
      </c>
      <c r="J98" s="50" t="s">
        <v>75</v>
      </c>
      <c r="K98" s="51">
        <v>41030</v>
      </c>
      <c r="L98" s="115">
        <v>41022</v>
      </c>
      <c r="M98" s="402">
        <f t="shared" si="3"/>
        <v>8</v>
      </c>
      <c r="N98" s="50" t="s">
        <v>2</v>
      </c>
      <c r="O98" s="131">
        <f>1.4/2</f>
        <v>0.7</v>
      </c>
      <c r="P98" s="117"/>
      <c r="Q98" s="131">
        <v>7.22</v>
      </c>
      <c r="R98" s="50">
        <v>50</v>
      </c>
      <c r="S98" s="74">
        <v>36</v>
      </c>
      <c r="T98" s="50">
        <v>0.13</v>
      </c>
      <c r="U98" s="74">
        <v>0.79</v>
      </c>
      <c r="V98" s="50">
        <v>0.13</v>
      </c>
      <c r="W98" s="74">
        <v>1.7999999999999999E-2</v>
      </c>
      <c r="X98" s="50">
        <v>7.9000000000000001E-2</v>
      </c>
      <c r="Y98" s="74">
        <v>5.0000000000000001E-3</v>
      </c>
      <c r="Z98" s="164">
        <v>1</v>
      </c>
      <c r="AA98" s="165">
        <v>1</v>
      </c>
      <c r="AB98" s="50">
        <v>68</v>
      </c>
      <c r="AC98" s="74">
        <v>433</v>
      </c>
      <c r="AD98" s="164">
        <v>1</v>
      </c>
      <c r="AF98" s="113"/>
      <c r="AG98" s="54"/>
      <c r="AH98" s="54"/>
      <c r="AI98" s="113"/>
      <c r="AJ98" s="50"/>
      <c r="AK98" s="74"/>
      <c r="AL98" s="74"/>
      <c r="AM98" s="74"/>
      <c r="AN98" s="74"/>
      <c r="AO98" s="74"/>
      <c r="AP98" s="74"/>
      <c r="AQ98" s="74"/>
      <c r="AR98" s="74"/>
      <c r="AS98" s="74"/>
      <c r="AT98" s="74"/>
    </row>
    <row r="99" spans="1:46" ht="15" customHeight="1">
      <c r="A99" s="41" t="s">
        <v>36</v>
      </c>
      <c r="B99" s="50" t="s">
        <v>2327</v>
      </c>
      <c r="C99" s="50" t="s">
        <v>1482</v>
      </c>
      <c r="D99" s="48" t="s">
        <v>2328</v>
      </c>
      <c r="E99" s="50" t="s">
        <v>2329</v>
      </c>
      <c r="F99" s="50">
        <v>4607</v>
      </c>
      <c r="G99" s="76" t="s">
        <v>2330</v>
      </c>
      <c r="H99" s="50">
        <v>919</v>
      </c>
      <c r="I99" s="49" t="s">
        <v>1</v>
      </c>
      <c r="J99" s="50" t="s">
        <v>2331</v>
      </c>
      <c r="K99" s="51">
        <v>41170</v>
      </c>
      <c r="L99" s="115">
        <v>41160</v>
      </c>
      <c r="M99" s="402">
        <f t="shared" si="3"/>
        <v>10</v>
      </c>
      <c r="N99" s="50" t="s">
        <v>2</v>
      </c>
      <c r="O99" s="131">
        <v>1.6</v>
      </c>
      <c r="P99" s="117">
        <v>6.42</v>
      </c>
      <c r="Q99" s="131">
        <v>7.23</v>
      </c>
      <c r="R99" s="50">
        <v>38</v>
      </c>
      <c r="S99" s="74">
        <v>8</v>
      </c>
      <c r="T99" s="50">
        <v>0.14000000000000001</v>
      </c>
      <c r="U99" s="74">
        <v>0.85</v>
      </c>
      <c r="V99" s="50">
        <v>0.66</v>
      </c>
      <c r="W99" s="74">
        <v>1.2999999999999999E-2</v>
      </c>
      <c r="X99" s="50">
        <v>6.0000000000000001E-3</v>
      </c>
      <c r="Y99" s="74">
        <v>2E-3</v>
      </c>
      <c r="Z99" s="164">
        <v>1</v>
      </c>
      <c r="AA99" s="165">
        <v>1</v>
      </c>
      <c r="AB99" s="50">
        <v>20</v>
      </c>
      <c r="AC99" s="74">
        <v>147</v>
      </c>
      <c r="AD99" s="164">
        <v>1</v>
      </c>
      <c r="AE99" s="50">
        <v>23.5</v>
      </c>
      <c r="AF99" s="113">
        <f>0.01/2</f>
        <v>5.0000000000000001E-3</v>
      </c>
      <c r="AG99" s="54"/>
      <c r="AH99" s="54"/>
      <c r="AI99" s="113"/>
      <c r="AJ99" s="50"/>
      <c r="AK99" s="74"/>
      <c r="AL99" s="74"/>
      <c r="AM99" s="74"/>
      <c r="AN99" s="74"/>
      <c r="AO99" s="74"/>
      <c r="AP99" s="74"/>
      <c r="AQ99" s="74"/>
      <c r="AR99" s="74"/>
      <c r="AS99" s="74"/>
      <c r="AT99" s="74"/>
    </row>
    <row r="100" spans="1:46" ht="15" customHeight="1">
      <c r="A100" s="41" t="s">
        <v>4531</v>
      </c>
      <c r="B100" s="50" t="s">
        <v>2327</v>
      </c>
      <c r="C100" s="50" t="s">
        <v>1482</v>
      </c>
      <c r="D100" s="48" t="s">
        <v>2328</v>
      </c>
      <c r="E100" s="50" t="s">
        <v>2329</v>
      </c>
      <c r="F100" s="50">
        <v>4607</v>
      </c>
      <c r="G100" s="76" t="s">
        <v>2330</v>
      </c>
      <c r="H100" s="50">
        <v>919</v>
      </c>
      <c r="I100" s="49" t="s">
        <v>1</v>
      </c>
      <c r="J100" s="50" t="s">
        <v>2332</v>
      </c>
      <c r="K100" s="51">
        <v>41170</v>
      </c>
      <c r="L100" s="115">
        <v>41160</v>
      </c>
      <c r="M100" s="402">
        <f t="shared" si="3"/>
        <v>10</v>
      </c>
      <c r="N100" s="50" t="s">
        <v>2</v>
      </c>
      <c r="O100" s="131">
        <f>1.4/2</f>
        <v>0.7</v>
      </c>
      <c r="P100" s="117">
        <v>6.42</v>
      </c>
      <c r="Q100" s="131">
        <v>7.84</v>
      </c>
      <c r="R100" s="50">
        <v>43</v>
      </c>
      <c r="S100" s="74">
        <v>8</v>
      </c>
      <c r="T100" s="50">
        <v>0.16</v>
      </c>
      <c r="U100" s="74">
        <v>1.1499999999999999</v>
      </c>
      <c r="V100" s="50">
        <v>1.87</v>
      </c>
      <c r="W100" s="74">
        <v>1.4E-2</v>
      </c>
      <c r="X100" s="50">
        <v>6.0000000000000001E-3</v>
      </c>
      <c r="Y100" s="74">
        <f>0.002/2</f>
        <v>1E-3</v>
      </c>
      <c r="Z100" s="164">
        <v>1</v>
      </c>
      <c r="AA100" s="165">
        <v>1</v>
      </c>
      <c r="AB100" s="50">
        <v>72</v>
      </c>
      <c r="AC100" s="74">
        <v>583</v>
      </c>
      <c r="AD100" s="164">
        <v>1</v>
      </c>
      <c r="AE100" s="50">
        <v>44.6</v>
      </c>
      <c r="AF100" s="113">
        <f>0.01/2</f>
        <v>5.0000000000000001E-3</v>
      </c>
      <c r="AG100" s="54"/>
      <c r="AH100" s="54"/>
      <c r="AI100" s="113"/>
      <c r="AJ100" s="50"/>
      <c r="AK100" s="74"/>
      <c r="AL100" s="74"/>
      <c r="AM100" s="74"/>
      <c r="AN100" s="74"/>
      <c r="AO100" s="74"/>
      <c r="AP100" s="74"/>
      <c r="AQ100" s="74"/>
      <c r="AR100" s="74"/>
      <c r="AS100" s="74"/>
      <c r="AT100" s="74"/>
    </row>
    <row r="101" spans="1:46" ht="15" customHeight="1">
      <c r="A101" s="41" t="s">
        <v>36</v>
      </c>
      <c r="B101" s="50" t="s">
        <v>2780</v>
      </c>
      <c r="C101" s="50" t="s">
        <v>1482</v>
      </c>
      <c r="D101" s="48" t="s">
        <v>2781</v>
      </c>
      <c r="E101" s="50" t="s">
        <v>2782</v>
      </c>
      <c r="F101" s="85" t="s">
        <v>2783</v>
      </c>
      <c r="G101" s="76" t="s">
        <v>2784</v>
      </c>
      <c r="H101" s="50">
        <v>9199</v>
      </c>
      <c r="I101" s="49" t="s">
        <v>2</v>
      </c>
      <c r="J101" s="50" t="s">
        <v>2694</v>
      </c>
      <c r="K101" s="51">
        <v>41226</v>
      </c>
      <c r="L101" s="115">
        <v>41221</v>
      </c>
      <c r="M101" s="402">
        <f t="shared" si="3"/>
        <v>5</v>
      </c>
      <c r="N101" s="50" t="s">
        <v>2</v>
      </c>
      <c r="O101" s="131">
        <f>1.4/2</f>
        <v>0.7</v>
      </c>
      <c r="P101" s="117">
        <v>6.3</v>
      </c>
      <c r="Q101" s="131">
        <v>7.24</v>
      </c>
      <c r="R101" s="50">
        <v>79</v>
      </c>
      <c r="S101" s="74">
        <f>5/2</f>
        <v>2.5</v>
      </c>
      <c r="T101" s="50">
        <v>0.03</v>
      </c>
      <c r="U101" s="74">
        <v>0.53</v>
      </c>
      <c r="V101" s="50">
        <v>0.61</v>
      </c>
      <c r="W101" s="74">
        <f>0.005/2</f>
        <v>2.5000000000000001E-3</v>
      </c>
      <c r="X101" s="50">
        <v>5.0000000000000001E-3</v>
      </c>
      <c r="Y101" s="74">
        <f>0.002/2</f>
        <v>1E-3</v>
      </c>
      <c r="AE101" s="50">
        <v>81.2</v>
      </c>
      <c r="AF101" s="113">
        <f>0.01/2</f>
        <v>5.0000000000000001E-3</v>
      </c>
      <c r="AG101" s="54"/>
      <c r="AH101" s="54"/>
      <c r="AI101" s="113"/>
      <c r="AJ101" s="50"/>
      <c r="AK101" s="74"/>
      <c r="AL101" s="74"/>
      <c r="AM101" s="74"/>
      <c r="AN101" s="74"/>
      <c r="AO101" s="74"/>
      <c r="AP101" s="74"/>
      <c r="AQ101" s="74"/>
      <c r="AR101" s="74"/>
      <c r="AS101" s="74"/>
      <c r="AT101" s="74"/>
    </row>
    <row r="102" spans="1:46" ht="15" customHeight="1">
      <c r="A102" s="41" t="s">
        <v>36</v>
      </c>
      <c r="B102" s="50" t="s">
        <v>2780</v>
      </c>
      <c r="C102" s="50" t="s">
        <v>392</v>
      </c>
      <c r="D102" s="48" t="s">
        <v>2781</v>
      </c>
      <c r="E102" s="50" t="s">
        <v>2785</v>
      </c>
      <c r="F102" s="86" t="s">
        <v>2786</v>
      </c>
      <c r="G102" s="76" t="s">
        <v>2787</v>
      </c>
      <c r="H102" s="50">
        <v>9199</v>
      </c>
      <c r="I102" s="49" t="s">
        <v>2</v>
      </c>
      <c r="J102" s="50" t="s">
        <v>2788</v>
      </c>
      <c r="K102" s="51">
        <v>41226</v>
      </c>
      <c r="L102" s="115">
        <v>41221</v>
      </c>
      <c r="M102" s="402">
        <f t="shared" si="3"/>
        <v>5</v>
      </c>
      <c r="N102" s="50" t="s">
        <v>2</v>
      </c>
      <c r="O102" s="131">
        <f>1.5/2</f>
        <v>0.75</v>
      </c>
      <c r="P102" s="117">
        <v>6.3</v>
      </c>
      <c r="Q102" s="131">
        <v>7.03</v>
      </c>
      <c r="R102" s="50">
        <v>29</v>
      </c>
      <c r="S102" s="74">
        <f>5/2</f>
        <v>2.5</v>
      </c>
      <c r="T102" s="50">
        <v>0.04</v>
      </c>
      <c r="U102" s="74">
        <v>0.56000000000000005</v>
      </c>
      <c r="V102" s="50">
        <v>0.01</v>
      </c>
      <c r="W102" s="74">
        <f>0.005/2</f>
        <v>2.5000000000000001E-3</v>
      </c>
      <c r="X102" s="50">
        <v>2.1000000000000001E-2</v>
      </c>
      <c r="Y102" s="74">
        <v>2E-3</v>
      </c>
      <c r="AF102" s="113"/>
      <c r="AG102" s="54"/>
      <c r="AH102" s="54"/>
      <c r="AI102" s="113"/>
      <c r="AJ102" s="50"/>
      <c r="AK102" s="74"/>
      <c r="AL102" s="74"/>
      <c r="AM102" s="74"/>
      <c r="AN102" s="74"/>
      <c r="AO102" s="74"/>
      <c r="AP102" s="74"/>
      <c r="AQ102" s="74"/>
      <c r="AR102" s="74"/>
      <c r="AS102" s="74"/>
      <c r="AT102" s="74"/>
    </row>
    <row r="103" spans="1:46" ht="15" customHeight="1">
      <c r="A103" s="41" t="s">
        <v>36</v>
      </c>
      <c r="B103" s="50" t="s">
        <v>2780</v>
      </c>
      <c r="C103" s="50" t="s">
        <v>1482</v>
      </c>
      <c r="D103" s="48" t="s">
        <v>2781</v>
      </c>
      <c r="E103" s="50" t="s">
        <v>2782</v>
      </c>
      <c r="F103" s="85" t="s">
        <v>2783</v>
      </c>
      <c r="G103" s="76" t="s">
        <v>2784</v>
      </c>
      <c r="H103" s="50">
        <v>9199</v>
      </c>
      <c r="I103" s="49" t="s">
        <v>2</v>
      </c>
      <c r="J103" s="50" t="s">
        <v>2694</v>
      </c>
      <c r="K103" s="51">
        <v>40898</v>
      </c>
      <c r="L103" s="115">
        <v>40892</v>
      </c>
      <c r="M103" s="402">
        <f t="shared" si="3"/>
        <v>6</v>
      </c>
      <c r="N103" s="50" t="s">
        <v>2</v>
      </c>
      <c r="O103" s="131">
        <v>5.8</v>
      </c>
      <c r="P103" s="117">
        <v>4.75</v>
      </c>
      <c r="Q103" s="131">
        <v>7.01</v>
      </c>
      <c r="R103" s="50">
        <v>110</v>
      </c>
      <c r="T103" s="50">
        <v>0.3</v>
      </c>
      <c r="U103" s="74">
        <v>5.04</v>
      </c>
      <c r="V103" s="50">
        <v>0.25</v>
      </c>
      <c r="W103" s="74">
        <v>2.5999999999999999E-2</v>
      </c>
      <c r="X103" s="50">
        <v>0.13800000000000001</v>
      </c>
      <c r="Y103" s="74">
        <v>1.2999999999999999E-2</v>
      </c>
      <c r="Z103" s="164">
        <v>1</v>
      </c>
      <c r="AA103" s="165">
        <v>1</v>
      </c>
      <c r="AB103" s="50">
        <v>400</v>
      </c>
      <c r="AC103" s="74">
        <v>5820</v>
      </c>
      <c r="AD103" s="164">
        <v>1</v>
      </c>
      <c r="AE103" s="50">
        <v>2200</v>
      </c>
      <c r="AF103" s="113">
        <v>0.1</v>
      </c>
      <c r="AG103" s="54"/>
      <c r="AH103" s="54"/>
      <c r="AI103" s="113"/>
      <c r="AJ103" s="50"/>
      <c r="AK103" s="74"/>
      <c r="AL103" s="74"/>
      <c r="AM103" s="74"/>
      <c r="AN103" s="74"/>
      <c r="AO103" s="74"/>
      <c r="AP103" s="74"/>
      <c r="AQ103" s="74"/>
      <c r="AR103" s="74"/>
      <c r="AS103" s="74"/>
      <c r="AT103" s="74"/>
    </row>
    <row r="104" spans="1:46" ht="15" customHeight="1">
      <c r="A104" s="41" t="s">
        <v>36</v>
      </c>
      <c r="B104" s="50" t="s">
        <v>2780</v>
      </c>
      <c r="C104" s="50" t="s">
        <v>392</v>
      </c>
      <c r="D104" s="48" t="s">
        <v>2781</v>
      </c>
      <c r="E104" s="50" t="s">
        <v>2785</v>
      </c>
      <c r="F104" s="86" t="s">
        <v>2786</v>
      </c>
      <c r="G104" s="76" t="s">
        <v>2787</v>
      </c>
      <c r="H104" s="50">
        <v>9199</v>
      </c>
      <c r="I104" s="49" t="s">
        <v>2</v>
      </c>
      <c r="J104" s="50" t="s">
        <v>2788</v>
      </c>
      <c r="K104" s="51">
        <v>40898</v>
      </c>
      <c r="L104" s="115">
        <v>40892</v>
      </c>
      <c r="M104" s="402">
        <f t="shared" si="3"/>
        <v>6</v>
      </c>
      <c r="N104" s="50" t="s">
        <v>2</v>
      </c>
      <c r="O104" s="131">
        <f>1.4/2</f>
        <v>0.7</v>
      </c>
      <c r="P104" s="117">
        <v>4.75</v>
      </c>
      <c r="Q104" s="131">
        <v>7.44</v>
      </c>
      <c r="R104" s="50">
        <f>10/2</f>
        <v>5</v>
      </c>
      <c r="T104" s="50">
        <v>0.05</v>
      </c>
      <c r="U104" s="74">
        <v>0.65</v>
      </c>
      <c r="V104" s="50">
        <f>0.01/2</f>
        <v>5.0000000000000001E-3</v>
      </c>
      <c r="W104" s="74">
        <f>0.001/2</f>
        <v>5.0000000000000001E-4</v>
      </c>
      <c r="X104" s="50">
        <f>0.002/2</f>
        <v>1E-3</v>
      </c>
      <c r="Y104" s="74">
        <f>0.001/2</f>
        <v>5.0000000000000001E-4</v>
      </c>
      <c r="Z104" s="164">
        <v>1</v>
      </c>
      <c r="AA104" s="165">
        <v>1</v>
      </c>
      <c r="AB104" s="50">
        <v>82</v>
      </c>
      <c r="AC104" s="74">
        <v>280</v>
      </c>
      <c r="AD104" s="164">
        <v>1</v>
      </c>
      <c r="AF104" s="113"/>
      <c r="AG104" s="54"/>
      <c r="AH104" s="54"/>
      <c r="AI104" s="113"/>
      <c r="AJ104" s="50"/>
      <c r="AK104" s="74"/>
      <c r="AL104" s="74"/>
      <c r="AM104" s="74"/>
      <c r="AN104" s="74"/>
      <c r="AO104" s="74"/>
      <c r="AP104" s="74"/>
      <c r="AQ104" s="74"/>
      <c r="AR104" s="74"/>
      <c r="AS104" s="74"/>
      <c r="AT104" s="74"/>
    </row>
    <row r="105" spans="1:46" ht="15" customHeight="1">
      <c r="A105" s="41" t="s">
        <v>36</v>
      </c>
      <c r="B105" s="50" t="s">
        <v>375</v>
      </c>
      <c r="C105" s="50" t="s">
        <v>976</v>
      </c>
      <c r="D105" s="48" t="s">
        <v>286</v>
      </c>
      <c r="E105" s="50" t="s">
        <v>977</v>
      </c>
      <c r="F105" s="85" t="s">
        <v>978</v>
      </c>
      <c r="G105" s="76" t="s">
        <v>376</v>
      </c>
      <c r="H105" s="50">
        <v>9199</v>
      </c>
      <c r="I105" s="49" t="s">
        <v>1</v>
      </c>
      <c r="J105" s="50" t="s">
        <v>2789</v>
      </c>
      <c r="K105" s="51">
        <v>41072</v>
      </c>
      <c r="L105" s="115">
        <v>41062</v>
      </c>
      <c r="M105" s="402">
        <f t="shared" si="3"/>
        <v>10</v>
      </c>
      <c r="N105" s="50" t="s">
        <v>2</v>
      </c>
      <c r="O105" s="131">
        <f>1/2</f>
        <v>0.5</v>
      </c>
      <c r="P105" s="117">
        <v>4.5599999999999996</v>
      </c>
      <c r="Q105" s="131">
        <v>6.7</v>
      </c>
      <c r="R105" s="50">
        <v>18</v>
      </c>
      <c r="S105" s="74">
        <v>15</v>
      </c>
      <c r="T105" s="50">
        <v>0.38</v>
      </c>
      <c r="U105" s="74">
        <v>1.33</v>
      </c>
      <c r="V105" s="50">
        <f>0.1/2</f>
        <v>0.05</v>
      </c>
      <c r="W105" s="74">
        <f>0.01/2</f>
        <v>5.0000000000000001E-3</v>
      </c>
      <c r="X105" s="50">
        <v>3.3000000000000002E-2</v>
      </c>
      <c r="Y105" s="74">
        <f>0.03/2</f>
        <v>1.4999999999999999E-2</v>
      </c>
      <c r="AE105" s="50">
        <v>400</v>
      </c>
      <c r="AF105" s="113">
        <f>0.05/2</f>
        <v>2.5000000000000001E-2</v>
      </c>
      <c r="AG105" s="54"/>
      <c r="AH105" s="54"/>
      <c r="AI105" s="113"/>
      <c r="AJ105" s="50"/>
      <c r="AK105" s="74"/>
      <c r="AL105" s="74"/>
      <c r="AM105" s="74"/>
      <c r="AN105" s="74"/>
      <c r="AO105" s="74"/>
      <c r="AP105" s="74"/>
      <c r="AQ105" s="74"/>
      <c r="AR105" s="74"/>
      <c r="AS105" s="74"/>
      <c r="AT105" s="74"/>
    </row>
    <row r="106" spans="1:46" ht="15" customHeight="1">
      <c r="A106" s="41" t="s">
        <v>36</v>
      </c>
      <c r="B106" s="50" t="s">
        <v>2790</v>
      </c>
      <c r="C106" s="50" t="s">
        <v>2757</v>
      </c>
      <c r="D106" s="48" t="s">
        <v>303</v>
      </c>
      <c r="E106" s="50" t="s">
        <v>2791</v>
      </c>
      <c r="F106" s="50" t="s">
        <v>2667</v>
      </c>
      <c r="G106" s="76" t="s">
        <v>2792</v>
      </c>
      <c r="H106" s="50">
        <v>9199</v>
      </c>
      <c r="I106" s="49" t="s">
        <v>2</v>
      </c>
      <c r="J106" s="50" t="s">
        <v>81</v>
      </c>
      <c r="K106" s="51">
        <v>41072</v>
      </c>
      <c r="L106" s="115">
        <v>41067</v>
      </c>
      <c r="M106" s="402">
        <f t="shared" si="3"/>
        <v>5</v>
      </c>
      <c r="N106" s="50" t="s">
        <v>2</v>
      </c>
      <c r="O106" s="131">
        <v>4.0999999999999996</v>
      </c>
      <c r="P106" s="117">
        <v>5.0199999999999996</v>
      </c>
      <c r="Q106" s="131">
        <v>7.19</v>
      </c>
      <c r="R106" s="50">
        <v>180</v>
      </c>
      <c r="S106" s="74">
        <v>53</v>
      </c>
      <c r="T106" s="50">
        <v>0.4</v>
      </c>
      <c r="U106" s="74">
        <v>2.42</v>
      </c>
      <c r="V106" s="50">
        <v>1.1200000000000001</v>
      </c>
      <c r="W106" s="74">
        <v>0.03</v>
      </c>
      <c r="X106" s="50">
        <v>7.1999999999999995E-2</v>
      </c>
      <c r="Y106" s="74">
        <v>0.01</v>
      </c>
      <c r="AF106" s="113"/>
      <c r="AG106" s="54"/>
      <c r="AH106" s="54"/>
      <c r="AI106" s="113"/>
      <c r="AJ106" s="50"/>
      <c r="AK106" s="74"/>
      <c r="AL106" s="74"/>
      <c r="AM106" s="74"/>
      <c r="AN106" s="74"/>
      <c r="AO106" s="74"/>
      <c r="AP106" s="74"/>
      <c r="AQ106" s="74"/>
      <c r="AR106" s="74"/>
      <c r="AS106" s="74"/>
      <c r="AT106" s="74"/>
    </row>
    <row r="107" spans="1:46" ht="15" customHeight="1">
      <c r="A107" s="41" t="s">
        <v>36</v>
      </c>
      <c r="B107" s="50" t="s">
        <v>2790</v>
      </c>
      <c r="C107" s="50" t="s">
        <v>2757</v>
      </c>
      <c r="D107" s="48" t="s">
        <v>303</v>
      </c>
      <c r="E107" s="50" t="s">
        <v>2791</v>
      </c>
      <c r="F107" s="50" t="s">
        <v>2667</v>
      </c>
      <c r="G107" s="76" t="s">
        <v>2792</v>
      </c>
      <c r="H107" s="50">
        <v>9199</v>
      </c>
      <c r="I107" s="49" t="s">
        <v>2</v>
      </c>
      <c r="J107" s="50" t="s">
        <v>2793</v>
      </c>
      <c r="K107" s="51">
        <v>41072</v>
      </c>
      <c r="L107" s="115">
        <v>41067</v>
      </c>
      <c r="M107" s="402">
        <f t="shared" si="3"/>
        <v>5</v>
      </c>
      <c r="N107" s="50" t="s">
        <v>2</v>
      </c>
      <c r="O107" s="131">
        <v>4.2</v>
      </c>
      <c r="P107" s="117">
        <v>5.0199999999999996</v>
      </c>
      <c r="Q107" s="131">
        <v>7.21</v>
      </c>
      <c r="R107" s="50">
        <v>170</v>
      </c>
      <c r="S107" s="74">
        <v>78</v>
      </c>
      <c r="T107" s="50">
        <v>0.34</v>
      </c>
      <c r="U107" s="74">
        <v>2.92</v>
      </c>
      <c r="V107" s="50">
        <v>0.86</v>
      </c>
      <c r="W107" s="74">
        <v>4.9000000000000002E-2</v>
      </c>
      <c r="X107" s="50">
        <v>0.14699999999999999</v>
      </c>
      <c r="Y107" s="74">
        <v>8.9999999999999993E-3</v>
      </c>
      <c r="AF107" s="113"/>
      <c r="AG107" s="54"/>
      <c r="AH107" s="54"/>
      <c r="AI107" s="113"/>
      <c r="AJ107" s="50"/>
      <c r="AK107" s="74"/>
      <c r="AL107" s="74"/>
      <c r="AM107" s="74"/>
      <c r="AN107" s="74"/>
      <c r="AO107" s="74"/>
      <c r="AP107" s="74"/>
      <c r="AQ107" s="74"/>
      <c r="AR107" s="74"/>
      <c r="AS107" s="74"/>
      <c r="AT107" s="74"/>
    </row>
    <row r="108" spans="1:46" ht="15" customHeight="1">
      <c r="A108" s="41" t="s">
        <v>36</v>
      </c>
      <c r="B108" s="50" t="s">
        <v>2794</v>
      </c>
      <c r="C108" s="50" t="s">
        <v>1918</v>
      </c>
      <c r="D108" s="48" t="s">
        <v>397</v>
      </c>
      <c r="E108" s="50" t="s">
        <v>2795</v>
      </c>
      <c r="G108" s="76" t="s">
        <v>2796</v>
      </c>
      <c r="H108" s="50">
        <v>4952</v>
      </c>
      <c r="I108" s="49" t="s">
        <v>1</v>
      </c>
      <c r="J108" s="50" t="s">
        <v>194</v>
      </c>
      <c r="K108" s="51">
        <v>41085</v>
      </c>
      <c r="L108" s="115"/>
      <c r="N108" s="50" t="s">
        <v>2</v>
      </c>
      <c r="O108" s="131">
        <f>1.4/2</f>
        <v>0.7</v>
      </c>
      <c r="P108" s="117">
        <v>5.89</v>
      </c>
      <c r="Q108" s="131">
        <v>6.68</v>
      </c>
      <c r="R108" s="50">
        <v>50</v>
      </c>
      <c r="S108" s="74">
        <v>38</v>
      </c>
      <c r="T108" s="50">
        <v>0.42</v>
      </c>
      <c r="U108" s="74">
        <v>3.98</v>
      </c>
      <c r="V108" s="50">
        <v>0.34</v>
      </c>
      <c r="W108" s="74">
        <v>0.02</v>
      </c>
      <c r="X108" s="50">
        <v>0.01</v>
      </c>
      <c r="Y108" s="74">
        <f>0.002/2</f>
        <v>1E-3</v>
      </c>
      <c r="Z108" s="164">
        <v>1</v>
      </c>
      <c r="AA108" s="165">
        <v>1</v>
      </c>
      <c r="AB108" s="50">
        <v>6</v>
      </c>
      <c r="AC108" s="74">
        <v>38</v>
      </c>
      <c r="AD108" s="164">
        <v>1</v>
      </c>
      <c r="AF108" s="113"/>
      <c r="AG108" s="54"/>
      <c r="AH108" s="54"/>
      <c r="AI108" s="113"/>
      <c r="AJ108" s="50"/>
      <c r="AK108" s="74"/>
      <c r="AL108" s="74"/>
      <c r="AM108" s="74"/>
      <c r="AN108" s="74"/>
      <c r="AO108" s="74"/>
      <c r="AP108" s="74"/>
      <c r="AQ108" s="74"/>
      <c r="AR108" s="74"/>
      <c r="AS108" s="74"/>
      <c r="AT108" s="74"/>
    </row>
    <row r="109" spans="1:46" ht="15" customHeight="1">
      <c r="A109" s="41" t="s">
        <v>36</v>
      </c>
      <c r="B109" s="50" t="s">
        <v>2794</v>
      </c>
      <c r="C109" s="50" t="s">
        <v>1918</v>
      </c>
      <c r="D109" s="48" t="s">
        <v>397</v>
      </c>
      <c r="E109" s="50" t="s">
        <v>2795</v>
      </c>
      <c r="G109" s="76" t="s">
        <v>2796</v>
      </c>
      <c r="H109" s="50">
        <v>4952</v>
      </c>
      <c r="I109" s="49" t="s">
        <v>1</v>
      </c>
      <c r="J109" s="50" t="s">
        <v>569</v>
      </c>
      <c r="K109" s="51">
        <v>41085</v>
      </c>
      <c r="L109" s="115"/>
      <c r="N109" s="50" t="s">
        <v>2</v>
      </c>
      <c r="O109" s="131">
        <f>1.4/2</f>
        <v>0.7</v>
      </c>
      <c r="P109" s="117">
        <v>5.89</v>
      </c>
      <c r="Q109" s="131">
        <v>6.58</v>
      </c>
      <c r="R109" s="50">
        <v>22</v>
      </c>
      <c r="S109" s="74">
        <v>8</v>
      </c>
      <c r="T109" s="50">
        <v>0.28999999999999998</v>
      </c>
      <c r="U109" s="74">
        <v>2.0699999999999998</v>
      </c>
      <c r="V109" s="50">
        <v>0.18</v>
      </c>
      <c r="W109" s="74">
        <v>0.02</v>
      </c>
      <c r="X109" s="50">
        <v>0.02</v>
      </c>
      <c r="Y109" s="74">
        <f>0.002/2</f>
        <v>1E-3</v>
      </c>
      <c r="Z109" s="164">
        <v>1</v>
      </c>
      <c r="AA109" s="165">
        <v>1</v>
      </c>
      <c r="AB109" s="50">
        <f>2/2</f>
        <v>1</v>
      </c>
      <c r="AC109" s="74">
        <v>13</v>
      </c>
      <c r="AD109" s="164">
        <v>1</v>
      </c>
      <c r="AF109" s="113"/>
      <c r="AG109" s="54"/>
      <c r="AH109" s="54"/>
      <c r="AI109" s="113"/>
      <c r="AJ109" s="50"/>
      <c r="AK109" s="74"/>
      <c r="AL109" s="74"/>
      <c r="AM109" s="74"/>
      <c r="AN109" s="74"/>
      <c r="AO109" s="74"/>
      <c r="AP109" s="74"/>
      <c r="AQ109" s="74"/>
      <c r="AR109" s="74"/>
      <c r="AS109" s="74"/>
      <c r="AT109" s="74"/>
    </row>
    <row r="110" spans="1:46" ht="15" customHeight="1">
      <c r="A110" s="41" t="s">
        <v>36</v>
      </c>
      <c r="B110" s="50" t="s">
        <v>1036</v>
      </c>
      <c r="D110" s="48" t="s">
        <v>1484</v>
      </c>
      <c r="E110" s="50" t="s">
        <v>2797</v>
      </c>
      <c r="F110" s="85" t="s">
        <v>2798</v>
      </c>
      <c r="G110" s="76" t="s">
        <v>2799</v>
      </c>
      <c r="H110" s="50">
        <v>4953</v>
      </c>
      <c r="I110" s="49" t="s">
        <v>2</v>
      </c>
      <c r="J110" s="50" t="s">
        <v>2800</v>
      </c>
      <c r="K110" s="51">
        <v>41184</v>
      </c>
      <c r="L110" s="115">
        <v>41180</v>
      </c>
      <c r="M110" s="402">
        <f t="shared" ref="M110:M118" si="4">K110-L110</f>
        <v>4</v>
      </c>
      <c r="N110" s="50" t="s">
        <v>2</v>
      </c>
      <c r="O110" s="131">
        <v>4.7</v>
      </c>
      <c r="P110" s="117">
        <v>6.6</v>
      </c>
      <c r="Q110" s="131">
        <v>7</v>
      </c>
      <c r="R110" s="50">
        <v>81</v>
      </c>
      <c r="S110" s="74">
        <v>45</v>
      </c>
      <c r="T110" s="50">
        <v>0.24</v>
      </c>
      <c r="U110" s="74">
        <v>2.12</v>
      </c>
      <c r="V110" s="50">
        <v>0.46</v>
      </c>
      <c r="W110" s="74">
        <v>2.1000000000000001E-2</v>
      </c>
      <c r="X110" s="50">
        <v>8.4000000000000005E-2</v>
      </c>
      <c r="Y110" s="74">
        <f>0.03/2</f>
        <v>1.4999999999999999E-2</v>
      </c>
      <c r="Z110" s="164">
        <v>1</v>
      </c>
      <c r="AA110" s="165">
        <v>1</v>
      </c>
      <c r="AB110" s="50">
        <v>10</v>
      </c>
      <c r="AC110" s="74">
        <v>72</v>
      </c>
      <c r="AD110" s="164">
        <v>1</v>
      </c>
      <c r="AE110" s="50">
        <v>4.3</v>
      </c>
      <c r="AF110" s="113">
        <f>0.05/2</f>
        <v>2.5000000000000001E-2</v>
      </c>
      <c r="AG110" s="54"/>
      <c r="AH110" s="54"/>
      <c r="AI110" s="113"/>
      <c r="AJ110" s="50"/>
      <c r="AK110" s="74"/>
      <c r="AL110" s="74"/>
      <c r="AM110" s="74"/>
      <c r="AN110" s="74"/>
      <c r="AO110" s="74"/>
      <c r="AP110" s="74"/>
      <c r="AQ110" s="74"/>
      <c r="AR110" s="74"/>
      <c r="AS110" s="74"/>
      <c r="AT110" s="74"/>
    </row>
    <row r="111" spans="1:46" ht="15" customHeight="1">
      <c r="A111" s="41" t="s">
        <v>36</v>
      </c>
      <c r="B111" s="50" t="s">
        <v>1036</v>
      </c>
      <c r="D111" s="48" t="s">
        <v>1484</v>
      </c>
      <c r="E111" s="50" t="s">
        <v>2797</v>
      </c>
      <c r="F111" s="85" t="s">
        <v>2798</v>
      </c>
      <c r="G111" s="76" t="s">
        <v>2799</v>
      </c>
      <c r="H111" s="50">
        <v>4953</v>
      </c>
      <c r="I111" s="49" t="s">
        <v>2</v>
      </c>
      <c r="J111" s="50" t="s">
        <v>2801</v>
      </c>
      <c r="K111" s="51">
        <v>41184</v>
      </c>
      <c r="L111" s="115">
        <v>41180</v>
      </c>
      <c r="M111" s="402">
        <f t="shared" si="4"/>
        <v>4</v>
      </c>
      <c r="N111" s="50" t="s">
        <v>2</v>
      </c>
      <c r="O111" s="131">
        <v>4.3</v>
      </c>
      <c r="P111" s="117">
        <v>6.6</v>
      </c>
      <c r="Q111" s="131">
        <v>7.2</v>
      </c>
      <c r="R111" s="50">
        <v>47</v>
      </c>
      <c r="S111" s="74">
        <v>47</v>
      </c>
      <c r="T111" s="50">
        <v>0.16</v>
      </c>
      <c r="U111" s="74">
        <v>1.57</v>
      </c>
      <c r="V111" s="50">
        <v>0.22</v>
      </c>
      <c r="W111" s="74">
        <v>1.9E-2</v>
      </c>
      <c r="X111" s="50">
        <v>7.2999999999999995E-2</v>
      </c>
      <c r="Y111" s="74">
        <f>0.03/2</f>
        <v>1.4999999999999999E-2</v>
      </c>
      <c r="Z111" s="164">
        <v>1</v>
      </c>
      <c r="AA111" s="165">
        <v>1</v>
      </c>
      <c r="AB111" s="50">
        <v>9</v>
      </c>
      <c r="AC111" s="74">
        <v>46</v>
      </c>
      <c r="AD111" s="164">
        <v>0.9</v>
      </c>
      <c r="AE111" s="50">
        <v>1.7</v>
      </c>
      <c r="AF111" s="113">
        <f>0.05/2</f>
        <v>2.5000000000000001E-2</v>
      </c>
      <c r="AG111" s="54"/>
      <c r="AH111" s="54"/>
      <c r="AI111" s="113"/>
      <c r="AJ111" s="50"/>
      <c r="AK111" s="74"/>
      <c r="AL111" s="74"/>
      <c r="AM111" s="74"/>
      <c r="AN111" s="74"/>
      <c r="AO111" s="74"/>
      <c r="AP111" s="74"/>
      <c r="AQ111" s="74"/>
      <c r="AR111" s="74"/>
      <c r="AS111" s="74"/>
      <c r="AT111" s="74"/>
    </row>
    <row r="112" spans="1:46" ht="15" customHeight="1">
      <c r="A112" s="53" t="s">
        <v>36</v>
      </c>
      <c r="B112" s="50" t="s">
        <v>1036</v>
      </c>
      <c r="C112" s="7"/>
      <c r="D112" s="14" t="s">
        <v>1484</v>
      </c>
      <c r="E112" s="7" t="s">
        <v>5598</v>
      </c>
      <c r="F112" s="7" t="s">
        <v>2798</v>
      </c>
      <c r="G112" s="15" t="s">
        <v>2799</v>
      </c>
      <c r="H112" s="7">
        <v>4953</v>
      </c>
      <c r="I112" s="19" t="s">
        <v>2</v>
      </c>
      <c r="J112" s="7" t="s">
        <v>2074</v>
      </c>
      <c r="K112" s="51">
        <v>41554</v>
      </c>
      <c r="L112" s="115">
        <v>41553</v>
      </c>
      <c r="M112" s="402">
        <f t="shared" si="4"/>
        <v>1</v>
      </c>
      <c r="N112" s="50" t="s">
        <v>2</v>
      </c>
      <c r="O112" s="74">
        <f>2/2</f>
        <v>1</v>
      </c>
      <c r="Q112" s="74">
        <v>6.8</v>
      </c>
      <c r="R112" s="50">
        <v>62</v>
      </c>
      <c r="S112" s="74">
        <v>81</v>
      </c>
      <c r="T112" s="50">
        <v>0.11</v>
      </c>
      <c r="U112" s="74">
        <v>0.94</v>
      </c>
      <c r="V112" s="50">
        <v>0.13</v>
      </c>
      <c r="W112" s="74">
        <v>0.02</v>
      </c>
      <c r="X112" s="50">
        <v>0.06</v>
      </c>
      <c r="Y112" s="74">
        <f>0.03/2</f>
        <v>1.4999999999999999E-2</v>
      </c>
      <c r="Z112" s="164">
        <v>1</v>
      </c>
      <c r="AA112" s="165">
        <v>1</v>
      </c>
      <c r="AB112" s="50">
        <v>8</v>
      </c>
      <c r="AC112" s="74">
        <v>23</v>
      </c>
      <c r="AD112" s="164">
        <v>0.8</v>
      </c>
      <c r="AF112" s="113"/>
      <c r="AG112" s="54"/>
      <c r="AH112" s="54"/>
      <c r="AI112" s="113"/>
      <c r="AJ112" s="50"/>
      <c r="AK112" s="50">
        <v>2.35</v>
      </c>
      <c r="AL112" s="74"/>
      <c r="AM112" s="74"/>
      <c r="AN112" s="74"/>
      <c r="AO112" s="74"/>
      <c r="AP112" s="74"/>
      <c r="AQ112" s="74"/>
      <c r="AR112" s="74"/>
      <c r="AS112" s="74"/>
      <c r="AT112" s="74"/>
    </row>
    <row r="113" spans="1:46" ht="15" customHeight="1">
      <c r="A113" s="53" t="s">
        <v>36</v>
      </c>
      <c r="B113" s="50" t="s">
        <v>1036</v>
      </c>
      <c r="C113" s="7"/>
      <c r="D113" s="14" t="s">
        <v>1484</v>
      </c>
      <c r="E113" s="7" t="s">
        <v>5598</v>
      </c>
      <c r="F113" s="7" t="s">
        <v>2798</v>
      </c>
      <c r="G113" s="15" t="s">
        <v>2799</v>
      </c>
      <c r="H113" s="7">
        <v>4953</v>
      </c>
      <c r="I113" s="19" t="s">
        <v>2</v>
      </c>
      <c r="J113" s="7" t="s">
        <v>5599</v>
      </c>
      <c r="K113" s="51">
        <v>41554</v>
      </c>
      <c r="L113" s="115">
        <v>41553</v>
      </c>
      <c r="M113" s="402">
        <f t="shared" si="4"/>
        <v>1</v>
      </c>
      <c r="N113" s="50" t="s">
        <v>2</v>
      </c>
      <c r="O113" s="74">
        <f>2/2</f>
        <v>1</v>
      </c>
      <c r="Q113" s="74">
        <v>7.1</v>
      </c>
      <c r="R113" s="50">
        <f>10/2</f>
        <v>5</v>
      </c>
      <c r="S113" s="74">
        <v>12</v>
      </c>
      <c r="T113" s="50">
        <v>0.09</v>
      </c>
      <c r="U113" s="74">
        <v>0.47</v>
      </c>
      <c r="V113" s="50">
        <v>0.28000000000000003</v>
      </c>
      <c r="W113" s="74">
        <v>0.01</v>
      </c>
      <c r="X113" s="50">
        <v>3.2000000000000001E-2</v>
      </c>
      <c r="Y113" s="74">
        <f>0.03/2</f>
        <v>1.4999999999999999E-2</v>
      </c>
      <c r="Z113" s="164">
        <v>1</v>
      </c>
      <c r="AA113" s="165">
        <v>1</v>
      </c>
      <c r="AB113" s="50">
        <v>4</v>
      </c>
      <c r="AC113" s="74">
        <v>20</v>
      </c>
      <c r="AD113" s="164">
        <v>0.95</v>
      </c>
      <c r="AF113" s="113"/>
      <c r="AG113" s="54"/>
      <c r="AH113" s="54"/>
      <c r="AI113" s="113"/>
      <c r="AJ113" s="50"/>
      <c r="AK113" s="74"/>
      <c r="AL113" s="74"/>
      <c r="AM113" s="74"/>
      <c r="AN113" s="74"/>
      <c r="AO113" s="74"/>
      <c r="AP113" s="74"/>
      <c r="AQ113" s="74"/>
      <c r="AR113" s="74"/>
      <c r="AS113" s="74"/>
      <c r="AT113" s="74"/>
    </row>
    <row r="114" spans="1:46" ht="15" customHeight="1">
      <c r="A114" s="41" t="s">
        <v>36</v>
      </c>
      <c r="B114" s="50" t="s">
        <v>1036</v>
      </c>
      <c r="D114" s="48" t="s">
        <v>1484</v>
      </c>
      <c r="E114" s="50" t="s">
        <v>2797</v>
      </c>
      <c r="F114" s="85" t="s">
        <v>2802</v>
      </c>
      <c r="G114" s="76" t="s">
        <v>2803</v>
      </c>
      <c r="H114" s="50">
        <v>9199</v>
      </c>
      <c r="I114" s="49" t="s">
        <v>2</v>
      </c>
      <c r="J114" s="50" t="s">
        <v>2804</v>
      </c>
      <c r="K114" s="51">
        <v>41184</v>
      </c>
      <c r="L114" s="115">
        <v>41180</v>
      </c>
      <c r="M114" s="402">
        <f t="shared" si="4"/>
        <v>4</v>
      </c>
      <c r="N114" s="50" t="s">
        <v>2</v>
      </c>
      <c r="O114" s="131">
        <v>7.6</v>
      </c>
      <c r="P114" s="117">
        <v>6.6</v>
      </c>
      <c r="Q114" s="131">
        <v>7.8</v>
      </c>
      <c r="R114" s="50">
        <v>136</v>
      </c>
      <c r="S114" s="74">
        <v>414</v>
      </c>
      <c r="T114" s="50">
        <v>0.51</v>
      </c>
      <c r="U114" s="74">
        <v>1.37</v>
      </c>
      <c r="V114" s="50">
        <v>0.11</v>
      </c>
      <c r="W114" s="74">
        <v>8.6999999999999994E-2</v>
      </c>
      <c r="X114" s="50">
        <v>0.25800000000000001</v>
      </c>
      <c r="Y114" s="74">
        <v>4.2000000000000003E-2</v>
      </c>
      <c r="Z114" s="164">
        <v>1</v>
      </c>
      <c r="AA114" s="165">
        <v>1</v>
      </c>
      <c r="AB114" s="50">
        <v>83</v>
      </c>
      <c r="AC114" s="74">
        <v>1350</v>
      </c>
      <c r="AD114" s="164">
        <v>1</v>
      </c>
      <c r="AE114" s="50">
        <v>313</v>
      </c>
      <c r="AF114" s="113">
        <f>0.05/2</f>
        <v>2.5000000000000001E-2</v>
      </c>
      <c r="AG114" s="54"/>
      <c r="AH114" s="54"/>
      <c r="AI114" s="113"/>
      <c r="AJ114" s="50"/>
      <c r="AK114" s="74"/>
      <c r="AL114" s="74"/>
      <c r="AM114" s="74"/>
      <c r="AN114" s="74"/>
      <c r="AO114" s="74"/>
      <c r="AP114" s="74"/>
      <c r="AQ114" s="74"/>
      <c r="AR114" s="74"/>
      <c r="AS114" s="74"/>
      <c r="AT114" s="74"/>
    </row>
    <row r="115" spans="1:46" ht="15" customHeight="1">
      <c r="A115" s="41" t="s">
        <v>36</v>
      </c>
      <c r="B115" s="50" t="s">
        <v>1036</v>
      </c>
      <c r="D115" s="48" t="s">
        <v>1484</v>
      </c>
      <c r="E115" s="50" t="s">
        <v>235</v>
      </c>
      <c r="F115" s="85" t="s">
        <v>2805</v>
      </c>
      <c r="G115" s="76" t="s">
        <v>2806</v>
      </c>
      <c r="H115" s="50">
        <v>9199</v>
      </c>
      <c r="I115" s="49" t="s">
        <v>1</v>
      </c>
      <c r="J115" s="50" t="s">
        <v>2807</v>
      </c>
      <c r="K115" s="51">
        <v>41184</v>
      </c>
      <c r="L115" s="115">
        <v>41180</v>
      </c>
      <c r="M115" s="402">
        <f t="shared" si="4"/>
        <v>4</v>
      </c>
      <c r="N115" s="50" t="s">
        <v>2</v>
      </c>
      <c r="O115" s="131">
        <f>2/2</f>
        <v>1</v>
      </c>
      <c r="P115" s="117">
        <v>6.6</v>
      </c>
      <c r="Q115" s="131">
        <v>6.5</v>
      </c>
      <c r="R115" s="50">
        <v>35</v>
      </c>
      <c r="S115" s="74">
        <v>11</v>
      </c>
      <c r="T115" s="50">
        <v>0.15</v>
      </c>
      <c r="U115" s="74">
        <v>0.56000000000000005</v>
      </c>
      <c r="V115" s="50">
        <f>0.1/2</f>
        <v>0.05</v>
      </c>
      <c r="W115" s="74">
        <v>1.2E-2</v>
      </c>
      <c r="X115" s="50">
        <f>0.03/2</f>
        <v>1.4999999999999999E-2</v>
      </c>
      <c r="Y115" s="74">
        <f>0.03/2</f>
        <v>1.4999999999999999E-2</v>
      </c>
      <c r="Z115" s="164">
        <v>1</v>
      </c>
      <c r="AA115" s="165">
        <v>1</v>
      </c>
      <c r="AB115" s="50">
        <f>2/2</f>
        <v>1</v>
      </c>
      <c r="AC115" s="74">
        <v>20</v>
      </c>
      <c r="AD115" s="164">
        <v>0.8</v>
      </c>
      <c r="AE115" s="50">
        <v>1.5</v>
      </c>
      <c r="AF115" s="113">
        <f>0.05/2</f>
        <v>2.5000000000000001E-2</v>
      </c>
      <c r="AG115" s="54"/>
      <c r="AH115" s="54"/>
      <c r="AI115" s="113"/>
      <c r="AJ115" s="50"/>
      <c r="AK115" s="74"/>
      <c r="AL115" s="74"/>
      <c r="AM115" s="74"/>
      <c r="AN115" s="74"/>
      <c r="AO115" s="74"/>
      <c r="AP115" s="74"/>
      <c r="AQ115" s="74"/>
      <c r="AR115" s="74"/>
      <c r="AS115" s="74"/>
      <c r="AT115" s="74"/>
    </row>
    <row r="116" spans="1:46" ht="15" customHeight="1">
      <c r="A116" s="41" t="s">
        <v>36</v>
      </c>
      <c r="B116" s="50" t="s">
        <v>1036</v>
      </c>
      <c r="D116" s="48" t="s">
        <v>1484</v>
      </c>
      <c r="E116" s="50" t="s">
        <v>235</v>
      </c>
      <c r="F116" s="85" t="s">
        <v>2805</v>
      </c>
      <c r="G116" s="76" t="s">
        <v>2806</v>
      </c>
      <c r="H116" s="50">
        <v>9199</v>
      </c>
      <c r="I116" s="49" t="s">
        <v>1</v>
      </c>
      <c r="J116" s="50" t="s">
        <v>2808</v>
      </c>
      <c r="K116" s="51">
        <v>41184</v>
      </c>
      <c r="L116" s="115">
        <v>41180</v>
      </c>
      <c r="M116" s="402">
        <f t="shared" si="4"/>
        <v>4</v>
      </c>
      <c r="N116" s="50" t="s">
        <v>2</v>
      </c>
      <c r="O116" s="131">
        <f>2/2</f>
        <v>1</v>
      </c>
      <c r="P116" s="117">
        <v>6.6</v>
      </c>
      <c r="Q116" s="131">
        <v>7</v>
      </c>
      <c r="R116" s="50">
        <v>24</v>
      </c>
      <c r="S116" s="74">
        <v>8</v>
      </c>
      <c r="T116" s="50">
        <v>0.09</v>
      </c>
      <c r="U116" s="74">
        <v>0.4</v>
      </c>
      <c r="V116" s="50">
        <f>0.1/2</f>
        <v>0.05</v>
      </c>
      <c r="W116" s="74">
        <f>0.01/2</f>
        <v>5.0000000000000001E-3</v>
      </c>
      <c r="X116" s="50">
        <f>0.03/2</f>
        <v>1.4999999999999999E-2</v>
      </c>
      <c r="Y116" s="74">
        <f>0.03/2</f>
        <v>1.4999999999999999E-2</v>
      </c>
      <c r="Z116" s="164">
        <v>1</v>
      </c>
      <c r="AA116" s="165">
        <v>1</v>
      </c>
      <c r="AB116" s="50">
        <v>3</v>
      </c>
      <c r="AC116" s="74">
        <v>618</v>
      </c>
      <c r="AD116" s="164">
        <v>1</v>
      </c>
      <c r="AE116" s="50">
        <v>144</v>
      </c>
      <c r="AF116" s="113">
        <f>0.05/2</f>
        <v>2.5000000000000001E-2</v>
      </c>
      <c r="AG116" s="54"/>
      <c r="AH116" s="54"/>
      <c r="AI116" s="113"/>
      <c r="AJ116" s="50"/>
      <c r="AK116" s="74"/>
      <c r="AL116" s="74"/>
      <c r="AM116" s="74"/>
      <c r="AN116" s="74"/>
      <c r="AO116" s="74"/>
      <c r="AP116" s="74"/>
      <c r="AQ116" s="74"/>
      <c r="AR116" s="74"/>
      <c r="AS116" s="74"/>
      <c r="AT116" s="74"/>
    </row>
    <row r="117" spans="1:46" ht="15" customHeight="1">
      <c r="A117" s="41" t="s">
        <v>36</v>
      </c>
      <c r="B117" s="50" t="s">
        <v>2305</v>
      </c>
      <c r="C117" s="50" t="s">
        <v>393</v>
      </c>
      <c r="D117" s="48" t="s">
        <v>56</v>
      </c>
      <c r="F117" s="85" t="s">
        <v>2809</v>
      </c>
      <c r="G117" s="76" t="s">
        <v>2308</v>
      </c>
      <c r="H117" s="50">
        <v>9199</v>
      </c>
      <c r="I117" s="49" t="s">
        <v>1</v>
      </c>
      <c r="J117" s="50" t="s">
        <v>2810</v>
      </c>
      <c r="K117" s="51">
        <v>41170</v>
      </c>
      <c r="L117" s="115">
        <v>41160</v>
      </c>
      <c r="M117" s="402">
        <f t="shared" si="4"/>
        <v>10</v>
      </c>
      <c r="N117" s="50" t="s">
        <v>2</v>
      </c>
      <c r="O117" s="131">
        <v>3.6</v>
      </c>
      <c r="P117" s="117">
        <v>6.21</v>
      </c>
      <c r="Q117" s="131">
        <v>6.88</v>
      </c>
      <c r="R117" s="50">
        <v>139.30000000000001</v>
      </c>
      <c r="S117" s="74">
        <v>40</v>
      </c>
      <c r="T117" s="50">
        <v>0.53</v>
      </c>
      <c r="U117" s="74">
        <v>2.4</v>
      </c>
      <c r="V117" s="50">
        <v>0.6</v>
      </c>
      <c r="W117" s="74">
        <v>1.4E-2</v>
      </c>
      <c r="X117" s="50">
        <v>5.6000000000000001E-2</v>
      </c>
      <c r="Y117" s="74">
        <v>8.0000000000000002E-3</v>
      </c>
      <c r="Z117" s="164">
        <v>1</v>
      </c>
      <c r="AA117" s="165">
        <v>1</v>
      </c>
      <c r="AB117" s="50">
        <v>14.9</v>
      </c>
      <c r="AC117" s="74">
        <v>72</v>
      </c>
      <c r="AD117" s="164">
        <v>1</v>
      </c>
      <c r="AE117" s="50">
        <v>9.1999999999999993</v>
      </c>
      <c r="AF117" s="113">
        <f>0.01/2</f>
        <v>5.0000000000000001E-3</v>
      </c>
      <c r="AG117" s="54"/>
      <c r="AH117" s="54"/>
      <c r="AI117" s="113"/>
      <c r="AJ117" s="50"/>
      <c r="AK117" s="74"/>
      <c r="AL117" s="74"/>
      <c r="AM117" s="74"/>
      <c r="AN117" s="74"/>
      <c r="AO117" s="74"/>
      <c r="AP117" s="74"/>
      <c r="AQ117" s="74"/>
      <c r="AR117" s="74"/>
      <c r="AS117" s="74"/>
      <c r="AT117" s="74"/>
    </row>
    <row r="118" spans="1:46" ht="15" customHeight="1">
      <c r="A118" s="41" t="s">
        <v>36</v>
      </c>
      <c r="B118" s="50" t="s">
        <v>2305</v>
      </c>
      <c r="C118" s="50" t="s">
        <v>393</v>
      </c>
      <c r="D118" s="48" t="s">
        <v>56</v>
      </c>
      <c r="F118" s="85" t="s">
        <v>2809</v>
      </c>
      <c r="G118" s="76" t="s">
        <v>2308</v>
      </c>
      <c r="H118" s="50">
        <v>9199</v>
      </c>
      <c r="I118" s="49" t="s">
        <v>1</v>
      </c>
      <c r="J118" s="50" t="s">
        <v>2811</v>
      </c>
      <c r="K118" s="51">
        <v>41170</v>
      </c>
      <c r="L118" s="115">
        <v>41160</v>
      </c>
      <c r="M118" s="402">
        <f t="shared" si="4"/>
        <v>10</v>
      </c>
      <c r="N118" s="50" t="s">
        <v>2</v>
      </c>
      <c r="O118" s="131">
        <v>1.2</v>
      </c>
      <c r="P118" s="117">
        <v>6.21</v>
      </c>
      <c r="Q118" s="131">
        <v>7</v>
      </c>
      <c r="R118" s="50">
        <v>61.2</v>
      </c>
      <c r="S118" s="74">
        <v>5</v>
      </c>
      <c r="T118" s="50">
        <v>0.24</v>
      </c>
      <c r="U118" s="74">
        <v>0.66</v>
      </c>
      <c r="V118" s="50">
        <v>0.28000000000000003</v>
      </c>
      <c r="W118" s="74">
        <v>0.01</v>
      </c>
      <c r="X118" s="50">
        <v>0.05</v>
      </c>
      <c r="Y118" s="74">
        <f>0.002/2</f>
        <v>1E-3</v>
      </c>
      <c r="Z118" s="164">
        <v>1</v>
      </c>
      <c r="AA118" s="165">
        <v>1</v>
      </c>
      <c r="AB118" s="50">
        <v>42.58</v>
      </c>
      <c r="AC118" s="74">
        <v>124</v>
      </c>
      <c r="AD118" s="164">
        <v>1</v>
      </c>
      <c r="AE118" s="50">
        <v>14.32</v>
      </c>
      <c r="AF118" s="113">
        <f>0.01/2</f>
        <v>5.0000000000000001E-3</v>
      </c>
      <c r="AG118" s="54"/>
      <c r="AH118" s="54"/>
      <c r="AI118" s="113"/>
      <c r="AJ118" s="50"/>
      <c r="AK118" s="74"/>
      <c r="AL118" s="74"/>
      <c r="AM118" s="74"/>
      <c r="AN118" s="74"/>
      <c r="AO118" s="74"/>
      <c r="AP118" s="74"/>
      <c r="AQ118" s="74"/>
      <c r="AR118" s="74"/>
      <c r="AS118" s="74"/>
      <c r="AT118" s="74"/>
    </row>
    <row r="119" spans="1:46" ht="14">
      <c r="A119" s="53" t="s">
        <v>36</v>
      </c>
      <c r="B119" s="50" t="s">
        <v>2347</v>
      </c>
      <c r="C119" s="7" t="s">
        <v>2306</v>
      </c>
      <c r="D119" s="48" t="s">
        <v>684</v>
      </c>
      <c r="E119" s="50" t="s">
        <v>2351</v>
      </c>
      <c r="F119" s="50" t="s">
        <v>112</v>
      </c>
      <c r="G119" s="76" t="s">
        <v>2352</v>
      </c>
      <c r="H119" s="50">
        <v>9199</v>
      </c>
      <c r="I119" s="49" t="s">
        <v>2</v>
      </c>
      <c r="J119" s="50" t="s">
        <v>2353</v>
      </c>
      <c r="K119" s="51">
        <v>40996</v>
      </c>
      <c r="L119" s="115">
        <v>40993</v>
      </c>
      <c r="M119" s="50">
        <f t="shared" ref="M119:M131" si="5">K119-L119</f>
        <v>3</v>
      </c>
      <c r="N119" s="50" t="s">
        <v>2</v>
      </c>
      <c r="O119" s="74">
        <v>8.1999999999999993</v>
      </c>
      <c r="P119" s="50">
        <v>6.2</v>
      </c>
      <c r="Q119" s="74">
        <v>6.7</v>
      </c>
      <c r="R119" s="50">
        <v>28</v>
      </c>
      <c r="S119" s="74">
        <v>184</v>
      </c>
      <c r="T119" s="50">
        <v>0.23</v>
      </c>
      <c r="U119" s="74">
        <v>0.93</v>
      </c>
      <c r="V119" s="50">
        <v>0.28999999999999998</v>
      </c>
      <c r="W119" s="74">
        <v>3.3000000000000002E-2</v>
      </c>
      <c r="X119" s="50">
        <v>0.113</v>
      </c>
      <c r="Y119" s="74">
        <f>0.03/2</f>
        <v>1.4999999999999999E-2</v>
      </c>
      <c r="AG119" s="74"/>
      <c r="AH119" s="74"/>
      <c r="AI119" s="113"/>
      <c r="AJ119" s="50"/>
      <c r="AK119" s="74"/>
      <c r="AL119" s="74"/>
      <c r="AM119" s="74"/>
      <c r="AN119" s="74"/>
      <c r="AO119" s="74"/>
      <c r="AP119" s="74"/>
      <c r="AQ119" s="74"/>
      <c r="AR119" s="74"/>
      <c r="AS119" s="74"/>
      <c r="AT119" s="74"/>
    </row>
    <row r="120" spans="1:46" ht="14">
      <c r="A120" s="53" t="s">
        <v>36</v>
      </c>
      <c r="B120" s="50" t="s">
        <v>2347</v>
      </c>
      <c r="C120" s="7" t="s">
        <v>2306</v>
      </c>
      <c r="D120" s="48" t="s">
        <v>684</v>
      </c>
      <c r="E120" s="50" t="s">
        <v>2351</v>
      </c>
      <c r="F120" s="50" t="s">
        <v>112</v>
      </c>
      <c r="G120" s="76" t="s">
        <v>2352</v>
      </c>
      <c r="H120" s="50">
        <v>9199</v>
      </c>
      <c r="I120" s="49" t="s">
        <v>2</v>
      </c>
      <c r="J120" s="50" t="s">
        <v>2354</v>
      </c>
      <c r="K120" s="51">
        <v>40996</v>
      </c>
      <c r="L120" s="115">
        <v>40993</v>
      </c>
      <c r="M120" s="50">
        <f t="shared" si="5"/>
        <v>3</v>
      </c>
      <c r="N120" s="50" t="s">
        <v>2</v>
      </c>
      <c r="O120" s="74">
        <v>5.3</v>
      </c>
      <c r="P120" s="50">
        <v>6.2</v>
      </c>
      <c r="Q120" s="74">
        <v>6.3</v>
      </c>
      <c r="R120" s="50">
        <v>19</v>
      </c>
      <c r="S120" s="74">
        <v>88</v>
      </c>
      <c r="T120" s="50">
        <v>0.12</v>
      </c>
      <c r="U120" s="74">
        <v>0.98</v>
      </c>
      <c r="V120" s="50">
        <v>0.3</v>
      </c>
      <c r="W120" s="74">
        <v>1.4999999999999999E-2</v>
      </c>
      <c r="X120" s="50">
        <v>0.127</v>
      </c>
      <c r="Y120" s="74">
        <f>0.03/2</f>
        <v>1.4999999999999999E-2</v>
      </c>
      <c r="AG120" s="74"/>
      <c r="AH120" s="74"/>
      <c r="AI120" s="113"/>
      <c r="AJ120" s="50"/>
      <c r="AK120" s="74"/>
      <c r="AL120" s="74"/>
      <c r="AM120" s="74"/>
      <c r="AN120" s="74"/>
      <c r="AO120" s="74"/>
      <c r="AP120" s="74"/>
      <c r="AQ120" s="74"/>
      <c r="AR120" s="74"/>
      <c r="AS120" s="74"/>
      <c r="AT120" s="74"/>
    </row>
    <row r="121" spans="1:46" ht="14">
      <c r="A121" s="53" t="s">
        <v>36</v>
      </c>
      <c r="B121" s="50" t="s">
        <v>2347</v>
      </c>
      <c r="C121" s="7" t="s">
        <v>2306</v>
      </c>
      <c r="D121" s="48" t="s">
        <v>684</v>
      </c>
      <c r="E121" s="50" t="s">
        <v>2351</v>
      </c>
      <c r="F121" s="50" t="s">
        <v>112</v>
      </c>
      <c r="G121" s="76" t="s">
        <v>2352</v>
      </c>
      <c r="H121" s="50">
        <v>9199</v>
      </c>
      <c r="I121" s="49" t="s">
        <v>2</v>
      </c>
      <c r="J121" s="50" t="s">
        <v>2355</v>
      </c>
      <c r="K121" s="51">
        <v>40996</v>
      </c>
      <c r="L121" s="115">
        <v>40993</v>
      </c>
      <c r="M121" s="50">
        <f t="shared" si="5"/>
        <v>3</v>
      </c>
      <c r="N121" s="50" t="s">
        <v>2</v>
      </c>
      <c r="O121" s="74">
        <v>13.2</v>
      </c>
      <c r="P121" s="50">
        <v>6.2</v>
      </c>
      <c r="Q121" s="74">
        <v>6.2</v>
      </c>
      <c r="R121" s="50">
        <v>13</v>
      </c>
      <c r="S121" s="74">
        <v>55</v>
      </c>
      <c r="T121" s="50">
        <v>7.0000000000000007E-2</v>
      </c>
      <c r="U121" s="74">
        <v>0.71</v>
      </c>
      <c r="V121" s="50">
        <v>0.42</v>
      </c>
      <c r="W121" s="74">
        <v>1.2E-2</v>
      </c>
      <c r="X121" s="50">
        <v>5.0999999999999997E-2</v>
      </c>
      <c r="Y121" s="74">
        <f>0.03/2</f>
        <v>1.4999999999999999E-2</v>
      </c>
      <c r="AG121" s="74"/>
      <c r="AH121" s="74"/>
      <c r="AI121" s="113"/>
      <c r="AJ121" s="50"/>
      <c r="AK121" s="74"/>
      <c r="AL121" s="74"/>
      <c r="AM121" s="74"/>
      <c r="AN121" s="74"/>
      <c r="AO121" s="74"/>
      <c r="AP121" s="74"/>
      <c r="AQ121" s="74"/>
      <c r="AR121" s="74"/>
      <c r="AS121" s="74"/>
      <c r="AT121" s="74"/>
    </row>
    <row r="122" spans="1:46" ht="15" customHeight="1">
      <c r="A122" s="41" t="s">
        <v>36</v>
      </c>
      <c r="B122" s="50" t="s">
        <v>2347</v>
      </c>
      <c r="C122" s="50" t="s">
        <v>393</v>
      </c>
      <c r="D122" s="48" t="s">
        <v>684</v>
      </c>
      <c r="E122" s="50" t="s">
        <v>2812</v>
      </c>
      <c r="F122" s="50" t="s">
        <v>2667</v>
      </c>
      <c r="G122" s="76" t="s">
        <v>2352</v>
      </c>
      <c r="H122" s="50">
        <v>9199</v>
      </c>
      <c r="I122" s="49" t="s">
        <v>2</v>
      </c>
      <c r="J122" s="50" t="s">
        <v>3020</v>
      </c>
      <c r="K122" s="51">
        <v>40996</v>
      </c>
      <c r="L122" s="115">
        <v>40993</v>
      </c>
      <c r="M122" s="50">
        <f t="shared" si="5"/>
        <v>3</v>
      </c>
      <c r="N122" s="50" t="s">
        <v>2</v>
      </c>
      <c r="O122" s="131">
        <v>11.2</v>
      </c>
      <c r="P122" s="117">
        <v>6.2</v>
      </c>
      <c r="Q122" s="131">
        <v>6.9</v>
      </c>
      <c r="R122" s="50">
        <v>25</v>
      </c>
      <c r="S122" s="74">
        <v>372</v>
      </c>
      <c r="T122" s="50">
        <v>0.3</v>
      </c>
      <c r="U122" s="74">
        <v>1.0900000000000001</v>
      </c>
      <c r="V122" s="50">
        <v>0.3</v>
      </c>
      <c r="W122" s="74">
        <v>4.1000000000000002E-2</v>
      </c>
      <c r="X122" s="50">
        <v>0.29399999999999998</v>
      </c>
      <c r="Y122" s="74">
        <f>0.03/2</f>
        <v>1.4999999999999999E-2</v>
      </c>
      <c r="AE122" s="50">
        <v>514</v>
      </c>
      <c r="AF122" s="113">
        <f>0.05/2</f>
        <v>2.5000000000000001E-2</v>
      </c>
      <c r="AG122" s="54"/>
      <c r="AH122" s="54"/>
      <c r="AI122" s="113"/>
      <c r="AJ122" s="50"/>
      <c r="AK122" s="74"/>
      <c r="AL122" s="74"/>
      <c r="AM122" s="74"/>
      <c r="AN122" s="74"/>
      <c r="AO122" s="74"/>
      <c r="AP122" s="74"/>
      <c r="AQ122" s="74"/>
      <c r="AR122" s="74"/>
      <c r="AS122" s="74"/>
      <c r="AT122" s="74"/>
    </row>
    <row r="123" spans="1:46" ht="15" customHeight="1">
      <c r="A123" s="41" t="s">
        <v>36</v>
      </c>
      <c r="B123" s="50" t="s">
        <v>2324</v>
      </c>
      <c r="C123" s="50" t="s">
        <v>393</v>
      </c>
      <c r="D123" s="48" t="s">
        <v>1537</v>
      </c>
      <c r="E123" s="50" t="s">
        <v>1555</v>
      </c>
      <c r="G123" s="76" t="s">
        <v>2325</v>
      </c>
      <c r="H123" s="50">
        <v>9199</v>
      </c>
      <c r="I123" s="49" t="s">
        <v>2</v>
      </c>
      <c r="J123" s="50" t="s">
        <v>2813</v>
      </c>
      <c r="K123" s="51">
        <v>41030</v>
      </c>
      <c r="L123" s="115">
        <v>41026</v>
      </c>
      <c r="M123" s="402">
        <f t="shared" si="5"/>
        <v>4</v>
      </c>
      <c r="N123" s="50" t="s">
        <v>2</v>
      </c>
      <c r="O123" s="131">
        <f>5/2</f>
        <v>2.5</v>
      </c>
      <c r="P123" s="117">
        <v>6.54</v>
      </c>
      <c r="Q123" s="131">
        <v>7.03</v>
      </c>
      <c r="R123" s="50">
        <v>67.7</v>
      </c>
      <c r="S123" s="74">
        <v>63</v>
      </c>
      <c r="T123" s="50">
        <v>0.45</v>
      </c>
      <c r="U123" s="74">
        <v>1.56</v>
      </c>
      <c r="V123" s="50">
        <v>0.75</v>
      </c>
      <c r="W123" s="74">
        <v>1.4999999999999999E-2</v>
      </c>
      <c r="X123" s="50">
        <v>0.12</v>
      </c>
      <c r="Y123" s="74">
        <v>8.0000000000000002E-3</v>
      </c>
      <c r="AE123" s="50">
        <v>105</v>
      </c>
      <c r="AF123" s="113">
        <f>0.01/2</f>
        <v>5.0000000000000001E-3</v>
      </c>
      <c r="AG123" s="54"/>
      <c r="AH123" s="54"/>
      <c r="AI123" s="113">
        <v>573</v>
      </c>
      <c r="AJ123" s="50">
        <v>161.6</v>
      </c>
      <c r="AK123" s="74"/>
      <c r="AL123" s="74"/>
      <c r="AM123" s="74"/>
      <c r="AN123" s="74"/>
      <c r="AO123" s="74"/>
      <c r="AP123" s="74"/>
      <c r="AQ123" s="74"/>
      <c r="AR123" s="74"/>
      <c r="AS123" s="74"/>
      <c r="AT123" s="74"/>
    </row>
    <row r="124" spans="1:46" ht="15" customHeight="1">
      <c r="A124" s="41" t="s">
        <v>36</v>
      </c>
      <c r="B124" s="50" t="s">
        <v>2814</v>
      </c>
      <c r="C124" s="50" t="s">
        <v>2815</v>
      </c>
      <c r="D124" s="48" t="s">
        <v>251</v>
      </c>
      <c r="E124" s="50" t="s">
        <v>252</v>
      </c>
      <c r="F124" s="85" t="s">
        <v>2816</v>
      </c>
      <c r="G124" s="76" t="s">
        <v>2817</v>
      </c>
      <c r="H124" s="50">
        <v>9199</v>
      </c>
      <c r="I124" s="49" t="s">
        <v>1</v>
      </c>
      <c r="J124" s="50" t="s">
        <v>2818</v>
      </c>
      <c r="K124" s="51">
        <v>41180</v>
      </c>
      <c r="L124" s="115">
        <v>41174</v>
      </c>
      <c r="M124" s="402">
        <f t="shared" si="5"/>
        <v>6</v>
      </c>
      <c r="N124" s="50" t="s">
        <v>2</v>
      </c>
      <c r="O124" s="131">
        <f>5/2</f>
        <v>2.5</v>
      </c>
      <c r="P124" s="117">
        <v>6.4</v>
      </c>
      <c r="Q124" s="131">
        <v>6.62</v>
      </c>
      <c r="R124" s="50">
        <v>31</v>
      </c>
      <c r="S124" s="74">
        <v>19</v>
      </c>
      <c r="T124" s="50">
        <f>0.1/2</f>
        <v>0.05</v>
      </c>
      <c r="U124" s="74">
        <f>1/2</f>
        <v>0.5</v>
      </c>
      <c r="V124" s="50">
        <v>0.41</v>
      </c>
      <c r="W124" s="74">
        <f>0.04/2</f>
        <v>0.02</v>
      </c>
      <c r="X124" s="50">
        <v>2.8000000000000001E-2</v>
      </c>
      <c r="Y124" s="74">
        <f>0.013/2</f>
        <v>6.4999999999999997E-3</v>
      </c>
      <c r="Z124" s="164">
        <v>1</v>
      </c>
      <c r="AA124" s="165">
        <v>1</v>
      </c>
      <c r="AB124" s="50">
        <v>16</v>
      </c>
      <c r="AC124" s="74">
        <v>472</v>
      </c>
      <c r="AD124" s="164">
        <v>1</v>
      </c>
      <c r="AE124" s="50">
        <v>100</v>
      </c>
      <c r="AF124" s="113">
        <f>0.05/2</f>
        <v>2.5000000000000001E-2</v>
      </c>
      <c r="AG124" s="54"/>
      <c r="AH124" s="54">
        <v>980</v>
      </c>
      <c r="AI124" s="113"/>
      <c r="AJ124" s="50"/>
      <c r="AK124" s="74"/>
      <c r="AL124" s="74"/>
      <c r="AM124" s="74"/>
      <c r="AN124" s="74"/>
      <c r="AO124" s="74"/>
      <c r="AP124" s="74"/>
      <c r="AQ124" s="74"/>
      <c r="AR124" s="74"/>
      <c r="AS124" s="74"/>
      <c r="AT124" s="74"/>
    </row>
    <row r="125" spans="1:46" ht="15" customHeight="1">
      <c r="A125" s="41" t="s">
        <v>36</v>
      </c>
      <c r="B125" s="50" t="s">
        <v>2814</v>
      </c>
      <c r="C125" s="50" t="s">
        <v>2815</v>
      </c>
      <c r="D125" s="48" t="s">
        <v>251</v>
      </c>
      <c r="E125" s="50" t="s">
        <v>252</v>
      </c>
      <c r="F125" s="85" t="s">
        <v>2816</v>
      </c>
      <c r="G125" s="76" t="s">
        <v>2817</v>
      </c>
      <c r="H125" s="50">
        <v>9199</v>
      </c>
      <c r="I125" s="49" t="s">
        <v>1</v>
      </c>
      <c r="J125" s="50" t="s">
        <v>2819</v>
      </c>
      <c r="K125" s="51">
        <v>41180</v>
      </c>
      <c r="L125" s="115">
        <v>41174</v>
      </c>
      <c r="M125" s="402">
        <f t="shared" si="5"/>
        <v>6</v>
      </c>
      <c r="N125" s="50" t="s">
        <v>2</v>
      </c>
      <c r="O125" s="131">
        <f>5/2</f>
        <v>2.5</v>
      </c>
      <c r="P125" s="117">
        <v>6.4</v>
      </c>
      <c r="Q125" s="131">
        <v>6.68</v>
      </c>
      <c r="R125" s="50">
        <v>8.1999999999999993</v>
      </c>
      <c r="S125" s="74">
        <v>66</v>
      </c>
      <c r="T125" s="50">
        <f>0.1/2</f>
        <v>0.05</v>
      </c>
      <c r="U125" s="74">
        <f>1/2</f>
        <v>0.5</v>
      </c>
      <c r="V125" s="50">
        <v>0.56000000000000005</v>
      </c>
      <c r="W125" s="74">
        <f>0.04/2</f>
        <v>0.02</v>
      </c>
      <c r="X125" s="50">
        <f>0.02/2</f>
        <v>0.01</v>
      </c>
      <c r="Y125" s="74">
        <f>0.013/2</f>
        <v>6.4999999999999997E-3</v>
      </c>
      <c r="Z125" s="164">
        <v>1</v>
      </c>
      <c r="AA125" s="165">
        <v>1</v>
      </c>
      <c r="AC125" s="74">
        <v>392</v>
      </c>
      <c r="AD125" s="164">
        <v>1</v>
      </c>
      <c r="AE125" s="50">
        <v>130</v>
      </c>
      <c r="AF125" s="113">
        <f>0.05/2</f>
        <v>2.5000000000000001E-2</v>
      </c>
      <c r="AG125" s="54"/>
      <c r="AH125" s="54">
        <v>1200</v>
      </c>
      <c r="AI125" s="113"/>
      <c r="AJ125" s="50"/>
      <c r="AK125" s="74"/>
      <c r="AL125" s="74"/>
      <c r="AM125" s="74"/>
      <c r="AN125" s="74"/>
      <c r="AO125" s="74"/>
      <c r="AP125" s="74"/>
      <c r="AQ125" s="74"/>
      <c r="AR125" s="74"/>
      <c r="AS125" s="74"/>
      <c r="AT125" s="74"/>
    </row>
    <row r="126" spans="1:46" ht="15" customHeight="1">
      <c r="A126" s="41" t="s">
        <v>36</v>
      </c>
      <c r="B126" s="50" t="s">
        <v>470</v>
      </c>
      <c r="C126" s="50" t="s">
        <v>2757</v>
      </c>
      <c r="D126" s="48" t="s">
        <v>471</v>
      </c>
      <c r="E126" s="50" t="s">
        <v>975</v>
      </c>
      <c r="G126" s="76" t="s">
        <v>472</v>
      </c>
      <c r="H126" s="50">
        <v>9199</v>
      </c>
      <c r="I126" s="49" t="s">
        <v>2</v>
      </c>
      <c r="J126" s="50" t="s">
        <v>473</v>
      </c>
      <c r="K126" s="51">
        <v>41197</v>
      </c>
      <c r="L126" s="115">
        <v>41192</v>
      </c>
      <c r="M126" s="402">
        <f t="shared" si="5"/>
        <v>5</v>
      </c>
      <c r="N126" s="50" t="s">
        <v>2</v>
      </c>
      <c r="O126" s="131">
        <f>1.4/2</f>
        <v>0.7</v>
      </c>
      <c r="P126" s="117">
        <v>5.5</v>
      </c>
      <c r="Q126" s="131">
        <v>6.76</v>
      </c>
      <c r="R126" s="50">
        <v>26</v>
      </c>
      <c r="S126" s="74">
        <v>140</v>
      </c>
      <c r="T126" s="50">
        <v>0.67</v>
      </c>
      <c r="U126" s="74">
        <v>1.62</v>
      </c>
      <c r="V126" s="50">
        <v>0.25</v>
      </c>
      <c r="W126" s="74">
        <v>2.5999999999999999E-2</v>
      </c>
      <c r="X126" s="50">
        <v>0.127</v>
      </c>
      <c r="Y126" s="74">
        <f>0.002/2</f>
        <v>1E-3</v>
      </c>
      <c r="AE126" s="50">
        <v>149</v>
      </c>
      <c r="AF126" s="113">
        <f>0.01/2</f>
        <v>5.0000000000000001E-3</v>
      </c>
      <c r="AG126" s="54"/>
      <c r="AH126" s="54"/>
      <c r="AI126" s="113"/>
      <c r="AJ126" s="50"/>
      <c r="AK126" s="74"/>
      <c r="AL126" s="74"/>
      <c r="AM126" s="74"/>
      <c r="AN126" s="74"/>
      <c r="AO126" s="74"/>
      <c r="AP126" s="74"/>
      <c r="AQ126" s="74"/>
      <c r="AR126" s="74"/>
      <c r="AS126" s="74"/>
      <c r="AT126" s="74"/>
    </row>
    <row r="127" spans="1:46" ht="15" customHeight="1">
      <c r="A127" s="41" t="s">
        <v>36</v>
      </c>
      <c r="B127" s="50" t="s">
        <v>470</v>
      </c>
      <c r="C127" s="50" t="s">
        <v>2757</v>
      </c>
      <c r="D127" s="48" t="s">
        <v>471</v>
      </c>
      <c r="E127" s="50" t="s">
        <v>975</v>
      </c>
      <c r="F127" s="50">
        <v>6402</v>
      </c>
      <c r="G127" s="76" t="s">
        <v>472</v>
      </c>
      <c r="H127" s="50">
        <v>9199</v>
      </c>
      <c r="I127" s="49" t="s">
        <v>2</v>
      </c>
      <c r="J127" s="50" t="s">
        <v>474</v>
      </c>
      <c r="K127" s="51">
        <v>41197</v>
      </c>
      <c r="L127" s="115">
        <v>41192</v>
      </c>
      <c r="M127" s="402">
        <f t="shared" si="5"/>
        <v>5</v>
      </c>
      <c r="N127" s="50" t="s">
        <v>2</v>
      </c>
      <c r="O127" s="131">
        <f>1.4/2</f>
        <v>0.7</v>
      </c>
      <c r="P127" s="117">
        <v>5.5</v>
      </c>
      <c r="Q127" s="131">
        <v>7.08</v>
      </c>
      <c r="R127" s="50">
        <v>67</v>
      </c>
      <c r="S127" s="74">
        <v>18</v>
      </c>
      <c r="T127" s="50">
        <v>0.86</v>
      </c>
      <c r="U127" s="74">
        <v>1.33</v>
      </c>
      <c r="V127" s="50">
        <v>0.31</v>
      </c>
      <c r="W127" s="74">
        <f>0.005/2</f>
        <v>2.5000000000000001E-3</v>
      </c>
      <c r="X127" s="50">
        <v>0.01</v>
      </c>
      <c r="Y127" s="74">
        <f>0.002/2</f>
        <v>1E-3</v>
      </c>
      <c r="AF127" s="113"/>
      <c r="AG127" s="54"/>
      <c r="AH127" s="54"/>
      <c r="AI127" s="113"/>
      <c r="AJ127" s="50"/>
      <c r="AK127" s="74"/>
      <c r="AL127" s="74"/>
      <c r="AM127" s="74"/>
      <c r="AN127" s="74"/>
      <c r="AO127" s="74"/>
      <c r="AP127" s="74"/>
      <c r="AQ127" s="74"/>
      <c r="AR127" s="74"/>
      <c r="AS127" s="74"/>
      <c r="AT127" s="74"/>
    </row>
    <row r="128" spans="1:46" ht="15" customHeight="1">
      <c r="A128" s="41" t="s">
        <v>36</v>
      </c>
      <c r="B128" s="50" t="s">
        <v>2347</v>
      </c>
      <c r="C128" s="50" t="s">
        <v>393</v>
      </c>
      <c r="D128" s="48" t="s">
        <v>684</v>
      </c>
      <c r="E128" s="50" t="s">
        <v>2812</v>
      </c>
      <c r="F128" s="50" t="s">
        <v>2667</v>
      </c>
      <c r="G128" s="76" t="s">
        <v>2352</v>
      </c>
      <c r="H128" s="50">
        <v>9199</v>
      </c>
      <c r="I128" s="49" t="s">
        <v>2</v>
      </c>
      <c r="J128" s="50" t="s">
        <v>2353</v>
      </c>
      <c r="K128" s="51">
        <v>41240</v>
      </c>
      <c r="L128" s="115">
        <v>41226</v>
      </c>
      <c r="M128" s="50">
        <f t="shared" si="5"/>
        <v>14</v>
      </c>
      <c r="N128" s="50" t="s">
        <v>2</v>
      </c>
      <c r="O128" s="131">
        <v>8.5</v>
      </c>
      <c r="P128" s="117">
        <v>6.5</v>
      </c>
      <c r="Q128" s="131">
        <v>7.2</v>
      </c>
      <c r="R128" s="50">
        <v>67</v>
      </c>
      <c r="S128" s="74">
        <v>36</v>
      </c>
      <c r="T128" s="50">
        <v>0.16</v>
      </c>
      <c r="U128" s="74">
        <v>1.05</v>
      </c>
      <c r="V128" s="50">
        <v>0.13</v>
      </c>
      <c r="W128" s="74">
        <v>2.1999999999999999E-2</v>
      </c>
      <c r="X128" s="50">
        <v>0.115</v>
      </c>
      <c r="Y128" s="74">
        <f>0.03/2</f>
        <v>1.4999999999999999E-2</v>
      </c>
      <c r="Z128" s="164">
        <v>1</v>
      </c>
      <c r="AA128" s="165">
        <v>1</v>
      </c>
      <c r="AB128" s="50">
        <v>11</v>
      </c>
      <c r="AC128" s="74">
        <v>592</v>
      </c>
      <c r="AD128" s="164">
        <v>1</v>
      </c>
      <c r="AF128" s="113"/>
      <c r="AG128" s="54"/>
      <c r="AH128" s="54"/>
      <c r="AI128" s="113"/>
      <c r="AJ128" s="50"/>
      <c r="AK128" s="74"/>
      <c r="AL128" s="74"/>
      <c r="AM128" s="74"/>
      <c r="AN128" s="74"/>
      <c r="AO128" s="74"/>
      <c r="AP128" s="74"/>
      <c r="AQ128" s="74"/>
      <c r="AR128" s="74"/>
      <c r="AS128" s="74"/>
      <c r="AT128" s="74"/>
    </row>
    <row r="129" spans="1:46" ht="15" customHeight="1">
      <c r="A129" s="41" t="s">
        <v>36</v>
      </c>
      <c r="B129" s="50" t="s">
        <v>2347</v>
      </c>
      <c r="C129" s="50" t="s">
        <v>393</v>
      </c>
      <c r="D129" s="48" t="s">
        <v>684</v>
      </c>
      <c r="E129" s="50" t="s">
        <v>2812</v>
      </c>
      <c r="F129" s="50" t="s">
        <v>2667</v>
      </c>
      <c r="G129" s="76" t="s">
        <v>2352</v>
      </c>
      <c r="H129" s="50">
        <v>9199</v>
      </c>
      <c r="I129" s="49" t="s">
        <v>2</v>
      </c>
      <c r="J129" s="50" t="s">
        <v>2354</v>
      </c>
      <c r="K129" s="51">
        <v>41240</v>
      </c>
      <c r="L129" s="115">
        <v>41226</v>
      </c>
      <c r="M129" s="50">
        <f t="shared" si="5"/>
        <v>14</v>
      </c>
      <c r="N129" s="50" t="s">
        <v>2</v>
      </c>
      <c r="O129" s="131">
        <v>3.7</v>
      </c>
      <c r="P129" s="117">
        <v>6.5</v>
      </c>
      <c r="Q129" s="131">
        <v>6.9</v>
      </c>
      <c r="R129" s="50">
        <v>32</v>
      </c>
      <c r="S129" s="74">
        <v>25</v>
      </c>
      <c r="T129" s="50">
        <v>7.0000000000000007E-2</v>
      </c>
      <c r="U129" s="74">
        <v>0.85</v>
      </c>
      <c r="V129" s="50">
        <v>0.55000000000000004</v>
      </c>
      <c r="W129" s="74">
        <v>1.7999999999999999E-2</v>
      </c>
      <c r="X129" s="50">
        <v>0.313</v>
      </c>
      <c r="Y129" s="74">
        <f>0.03/2</f>
        <v>1.4999999999999999E-2</v>
      </c>
      <c r="Z129" s="164">
        <v>1</v>
      </c>
      <c r="AA129" s="165">
        <v>0.61099999999999999</v>
      </c>
      <c r="AB129" s="50">
        <v>9</v>
      </c>
      <c r="AC129" s="74">
        <v>145</v>
      </c>
      <c r="AD129" s="164">
        <v>0.15</v>
      </c>
      <c r="AF129" s="113"/>
      <c r="AG129" s="54"/>
      <c r="AH129" s="54"/>
      <c r="AI129" s="113"/>
      <c r="AJ129" s="50"/>
      <c r="AK129" s="74"/>
      <c r="AL129" s="74"/>
      <c r="AM129" s="74"/>
      <c r="AN129" s="74"/>
      <c r="AO129" s="74"/>
      <c r="AP129" s="74"/>
      <c r="AQ129" s="74"/>
      <c r="AR129" s="74"/>
      <c r="AS129" s="74"/>
      <c r="AT129" s="74"/>
    </row>
    <row r="130" spans="1:46" ht="15" customHeight="1">
      <c r="A130" s="41" t="s">
        <v>36</v>
      </c>
      <c r="B130" s="50" t="s">
        <v>2347</v>
      </c>
      <c r="C130" s="50" t="s">
        <v>393</v>
      </c>
      <c r="D130" s="48" t="s">
        <v>684</v>
      </c>
      <c r="E130" s="50" t="s">
        <v>2812</v>
      </c>
      <c r="F130" s="50" t="s">
        <v>2667</v>
      </c>
      <c r="G130" s="76" t="s">
        <v>2352</v>
      </c>
      <c r="H130" s="50">
        <v>9199</v>
      </c>
      <c r="I130" s="49" t="s">
        <v>2</v>
      </c>
      <c r="J130" s="50" t="s">
        <v>2355</v>
      </c>
      <c r="K130" s="51">
        <v>41240</v>
      </c>
      <c r="L130" s="115">
        <v>41226</v>
      </c>
      <c r="M130" s="50">
        <f t="shared" si="5"/>
        <v>14</v>
      </c>
      <c r="N130" s="50" t="s">
        <v>2</v>
      </c>
      <c r="O130" s="131">
        <f>2/2</f>
        <v>1</v>
      </c>
      <c r="P130" s="117">
        <v>6.5</v>
      </c>
      <c r="Q130" s="131">
        <v>6.2</v>
      </c>
      <c r="R130" s="50">
        <v>22</v>
      </c>
      <c r="S130" s="74">
        <v>8</v>
      </c>
      <c r="T130" s="50">
        <v>0.06</v>
      </c>
      <c r="U130" s="74">
        <v>1.04</v>
      </c>
      <c r="V130" s="50">
        <v>0.73</v>
      </c>
      <c r="W130" s="74">
        <v>0.02</v>
      </c>
      <c r="X130" s="50">
        <v>0.157</v>
      </c>
      <c r="Y130" s="74">
        <f>0.03/2</f>
        <v>1.4999999999999999E-2</v>
      </c>
      <c r="Z130" s="164">
        <v>1</v>
      </c>
      <c r="AA130" s="165">
        <v>1</v>
      </c>
      <c r="AB130" s="50">
        <v>16</v>
      </c>
      <c r="AC130" s="74">
        <v>866</v>
      </c>
      <c r="AD130" s="164">
        <v>1</v>
      </c>
      <c r="AF130" s="113"/>
      <c r="AG130" s="54"/>
      <c r="AH130" s="54"/>
      <c r="AI130" s="113"/>
      <c r="AJ130" s="50"/>
      <c r="AK130" s="74"/>
      <c r="AL130" s="74"/>
      <c r="AM130" s="74"/>
      <c r="AN130" s="74"/>
      <c r="AO130" s="74"/>
      <c r="AP130" s="74"/>
      <c r="AQ130" s="74"/>
      <c r="AR130" s="74"/>
      <c r="AS130" s="74"/>
      <c r="AT130" s="74"/>
    </row>
    <row r="131" spans="1:46" ht="15" customHeight="1">
      <c r="A131" s="41" t="s">
        <v>36</v>
      </c>
      <c r="B131" s="50" t="s">
        <v>2347</v>
      </c>
      <c r="C131" s="50" t="s">
        <v>393</v>
      </c>
      <c r="D131" s="48" t="s">
        <v>684</v>
      </c>
      <c r="E131" s="50" t="s">
        <v>2812</v>
      </c>
      <c r="F131" s="50" t="s">
        <v>2667</v>
      </c>
      <c r="G131" s="76" t="s">
        <v>2352</v>
      </c>
      <c r="H131" s="50">
        <v>9199</v>
      </c>
      <c r="I131" s="49" t="s">
        <v>2</v>
      </c>
      <c r="J131" s="50" t="s">
        <v>3020</v>
      </c>
      <c r="K131" s="51">
        <v>41240</v>
      </c>
      <c r="L131" s="115">
        <v>41226</v>
      </c>
      <c r="M131" s="50">
        <f t="shared" si="5"/>
        <v>14</v>
      </c>
      <c r="N131" s="50" t="s">
        <v>2</v>
      </c>
      <c r="O131" s="131">
        <f>2/2</f>
        <v>1</v>
      </c>
      <c r="P131" s="117">
        <v>6.5</v>
      </c>
      <c r="Q131" s="131">
        <v>6.8</v>
      </c>
      <c r="R131" s="50">
        <v>36</v>
      </c>
      <c r="S131" s="74">
        <v>18</v>
      </c>
      <c r="T131" s="50">
        <f>0.05/2</f>
        <v>2.5000000000000001E-2</v>
      </c>
      <c r="U131" s="74">
        <v>0.99</v>
      </c>
      <c r="V131" s="50">
        <v>0.52</v>
      </c>
      <c r="W131" s="74">
        <v>2.1000000000000001E-2</v>
      </c>
      <c r="X131" s="50">
        <v>0.19900000000000001</v>
      </c>
      <c r="Y131" s="74">
        <f>0.03/2</f>
        <v>1.4999999999999999E-2</v>
      </c>
      <c r="Z131" s="164">
        <v>1</v>
      </c>
      <c r="AA131" s="165">
        <v>1</v>
      </c>
      <c r="AB131" s="50">
        <v>20</v>
      </c>
      <c r="AC131" s="74">
        <v>694</v>
      </c>
      <c r="AD131" s="164">
        <v>0.85</v>
      </c>
      <c r="AE131" s="50">
        <v>167</v>
      </c>
      <c r="AF131" s="113">
        <f>0.05/2</f>
        <v>2.5000000000000001E-2</v>
      </c>
      <c r="AG131" s="54"/>
      <c r="AH131" s="54"/>
      <c r="AI131" s="113"/>
      <c r="AJ131" s="50"/>
      <c r="AK131" s="74"/>
      <c r="AL131" s="74"/>
      <c r="AM131" s="74"/>
      <c r="AN131" s="74"/>
      <c r="AO131" s="74"/>
      <c r="AP131" s="74"/>
      <c r="AQ131" s="74"/>
      <c r="AR131" s="74"/>
      <c r="AS131" s="74"/>
      <c r="AT131" s="74"/>
    </row>
    <row r="132" spans="1:46" ht="15" customHeight="1">
      <c r="A132" s="41" t="s">
        <v>36</v>
      </c>
      <c r="B132" s="50" t="s">
        <v>2820</v>
      </c>
      <c r="C132" s="50" t="s">
        <v>2821</v>
      </c>
      <c r="D132" s="48" t="s">
        <v>588</v>
      </c>
      <c r="F132" s="85" t="s">
        <v>2822</v>
      </c>
      <c r="G132" s="76" t="s">
        <v>2823</v>
      </c>
      <c r="H132" s="50">
        <v>9199</v>
      </c>
      <c r="I132" s="49" t="s">
        <v>2</v>
      </c>
      <c r="J132" s="50" t="s">
        <v>510</v>
      </c>
      <c r="K132" s="51">
        <v>41085</v>
      </c>
      <c r="L132" s="115">
        <v>41073</v>
      </c>
      <c r="M132" s="50">
        <f t="shared" ref="M132:M146" si="6">K132-L132</f>
        <v>12</v>
      </c>
      <c r="N132" s="50" t="s">
        <v>2</v>
      </c>
      <c r="O132" s="131">
        <v>1.5</v>
      </c>
      <c r="P132" s="117">
        <v>6.5</v>
      </c>
      <c r="Q132" s="131">
        <v>6.78</v>
      </c>
      <c r="R132" s="50">
        <v>73</v>
      </c>
      <c r="S132" s="74">
        <v>92</v>
      </c>
      <c r="T132" s="50">
        <v>0.15</v>
      </c>
      <c r="U132" s="74">
        <v>1.1499999999999999</v>
      </c>
      <c r="V132" s="50">
        <v>0.22</v>
      </c>
      <c r="W132" s="74">
        <v>3.3000000000000002E-2</v>
      </c>
      <c r="X132" s="50">
        <v>3.5999999999999997E-2</v>
      </c>
      <c r="Y132" s="74">
        <v>1.2E-2</v>
      </c>
      <c r="AE132" s="50">
        <v>167</v>
      </c>
      <c r="AF132" s="113">
        <f>0.01/2</f>
        <v>5.0000000000000001E-3</v>
      </c>
      <c r="AG132" s="54"/>
      <c r="AH132" s="54"/>
      <c r="AI132" s="113"/>
      <c r="AJ132" s="50"/>
      <c r="AK132" s="74"/>
      <c r="AL132" s="74"/>
      <c r="AM132" s="74"/>
      <c r="AN132" s="74"/>
      <c r="AO132" s="74"/>
      <c r="AP132" s="74"/>
      <c r="AQ132" s="74"/>
      <c r="AR132" s="74"/>
      <c r="AS132" s="74"/>
      <c r="AT132" s="74"/>
    </row>
    <row r="133" spans="1:46" ht="15" customHeight="1">
      <c r="A133" s="41" t="s">
        <v>36</v>
      </c>
      <c r="B133" s="50" t="s">
        <v>149</v>
      </c>
      <c r="C133" s="50" t="s">
        <v>972</v>
      </c>
      <c r="D133" s="48" t="s">
        <v>150</v>
      </c>
      <c r="E133" s="50" t="s">
        <v>2824</v>
      </c>
      <c r="F133" s="86" t="s">
        <v>2825</v>
      </c>
      <c r="G133" s="76" t="s">
        <v>2827</v>
      </c>
      <c r="H133" s="50">
        <v>9199</v>
      </c>
      <c r="I133" s="49" t="s">
        <v>1</v>
      </c>
      <c r="J133" s="50" t="s">
        <v>3021</v>
      </c>
      <c r="K133" s="51">
        <v>41044</v>
      </c>
      <c r="L133" s="115">
        <v>41039</v>
      </c>
      <c r="M133" s="402">
        <f t="shared" si="6"/>
        <v>5</v>
      </c>
      <c r="N133" s="50" t="s">
        <v>2</v>
      </c>
      <c r="O133" s="131">
        <v>4.4000000000000004</v>
      </c>
      <c r="P133" s="117">
        <v>4.26</v>
      </c>
      <c r="Q133" s="131">
        <v>6.8</v>
      </c>
      <c r="R133" s="50">
        <v>14</v>
      </c>
      <c r="S133" s="74">
        <v>50</v>
      </c>
      <c r="T133" s="50">
        <v>0.11</v>
      </c>
      <c r="U133" s="74">
        <v>0.62</v>
      </c>
      <c r="V133" s="50">
        <v>0.1</v>
      </c>
      <c r="W133" s="74">
        <v>1.0999999999999999E-2</v>
      </c>
      <c r="X133" s="50">
        <v>4.4999999999999998E-2</v>
      </c>
      <c r="Y133" s="74">
        <f>0.03/2</f>
        <v>1.4999999999999999E-2</v>
      </c>
      <c r="AE133" s="50">
        <v>36.6</v>
      </c>
      <c r="AF133" s="113">
        <f>0.05/2</f>
        <v>2.5000000000000001E-2</v>
      </c>
      <c r="AG133" s="54"/>
      <c r="AH133" s="54"/>
      <c r="AI133" s="113"/>
      <c r="AJ133" s="50"/>
      <c r="AK133" s="74"/>
      <c r="AL133" s="74"/>
      <c r="AM133" s="74"/>
      <c r="AN133" s="74"/>
      <c r="AO133" s="74"/>
      <c r="AP133" s="74"/>
      <c r="AQ133" s="74"/>
      <c r="AR133" s="74"/>
      <c r="AS133" s="74"/>
      <c r="AT133" s="74"/>
    </row>
    <row r="134" spans="1:46" ht="15" customHeight="1">
      <c r="A134" s="41" t="s">
        <v>36</v>
      </c>
      <c r="B134" s="50" t="s">
        <v>149</v>
      </c>
      <c r="C134" s="50" t="s">
        <v>972</v>
      </c>
      <c r="D134" s="48" t="s">
        <v>150</v>
      </c>
      <c r="E134" s="50" t="s">
        <v>2824</v>
      </c>
      <c r="F134" s="86" t="s">
        <v>2825</v>
      </c>
      <c r="G134" s="76" t="s">
        <v>2827</v>
      </c>
      <c r="H134" s="50">
        <v>9199</v>
      </c>
      <c r="I134" s="49" t="s">
        <v>1</v>
      </c>
      <c r="J134" s="50" t="s">
        <v>2826</v>
      </c>
      <c r="K134" s="51">
        <v>41184</v>
      </c>
      <c r="L134" s="115">
        <v>41180</v>
      </c>
      <c r="M134" s="402">
        <f t="shared" si="6"/>
        <v>4</v>
      </c>
      <c r="N134" s="50" t="s">
        <v>2</v>
      </c>
      <c r="O134" s="131">
        <v>5.0999999999999996</v>
      </c>
      <c r="P134" s="117">
        <v>4.0999999999999996</v>
      </c>
      <c r="Q134" s="131">
        <v>6.6</v>
      </c>
      <c r="R134" s="50">
        <v>73</v>
      </c>
      <c r="S134" s="74">
        <v>51</v>
      </c>
      <c r="T134" s="50">
        <v>0.16</v>
      </c>
      <c r="U134" s="74">
        <v>1.35</v>
      </c>
      <c r="V134" s="50">
        <v>0.35</v>
      </c>
      <c r="W134" s="74">
        <v>2.3E-2</v>
      </c>
      <c r="X134" s="50">
        <v>9.2999999999999999E-2</v>
      </c>
      <c r="Y134" s="74">
        <f>0.03/2</f>
        <v>1.4999999999999999E-2</v>
      </c>
      <c r="Z134" s="164">
        <v>1</v>
      </c>
      <c r="AA134" s="165">
        <v>1</v>
      </c>
      <c r="AB134" s="50">
        <v>10</v>
      </c>
      <c r="AC134" s="74">
        <v>80</v>
      </c>
      <c r="AD134" s="164">
        <v>1</v>
      </c>
      <c r="AE134" s="50">
        <v>8.6</v>
      </c>
      <c r="AF134" s="113">
        <f>0.05/2</f>
        <v>2.5000000000000001E-2</v>
      </c>
      <c r="AG134" s="54"/>
      <c r="AH134" s="54"/>
      <c r="AI134" s="113"/>
      <c r="AJ134" s="50"/>
      <c r="AK134" s="74"/>
      <c r="AL134" s="74"/>
      <c r="AM134" s="74"/>
      <c r="AN134" s="74"/>
      <c r="AO134" s="74"/>
      <c r="AP134" s="74"/>
      <c r="AQ134" s="74"/>
      <c r="AR134" s="74"/>
      <c r="AS134" s="74"/>
      <c r="AT134" s="74"/>
    </row>
    <row r="135" spans="1:46" ht="15" customHeight="1">
      <c r="A135" s="41" t="s">
        <v>36</v>
      </c>
      <c r="B135" s="50" t="s">
        <v>149</v>
      </c>
      <c r="C135" s="50" t="s">
        <v>972</v>
      </c>
      <c r="D135" s="48" t="s">
        <v>150</v>
      </c>
      <c r="E135" s="50" t="s">
        <v>2824</v>
      </c>
      <c r="F135" s="86" t="s">
        <v>2825</v>
      </c>
      <c r="G135" s="76" t="s">
        <v>2827</v>
      </c>
      <c r="H135" s="50">
        <v>9199</v>
      </c>
      <c r="I135" s="49" t="s">
        <v>1</v>
      </c>
      <c r="J135" s="50" t="s">
        <v>2826</v>
      </c>
      <c r="K135" s="51">
        <v>41464</v>
      </c>
      <c r="L135" s="115">
        <v>41453</v>
      </c>
      <c r="M135" s="402">
        <f t="shared" si="6"/>
        <v>11</v>
      </c>
      <c r="N135" s="50" t="s">
        <v>2</v>
      </c>
      <c r="O135" s="131">
        <f>2/2</f>
        <v>1</v>
      </c>
      <c r="P135" s="117">
        <v>5.09</v>
      </c>
      <c r="Q135" s="131">
        <v>6.5</v>
      </c>
      <c r="R135" s="50">
        <v>33</v>
      </c>
      <c r="S135" s="74">
        <v>12</v>
      </c>
      <c r="T135" s="50">
        <v>7.0000000000000007E-2</v>
      </c>
      <c r="U135" s="74">
        <v>1.07</v>
      </c>
      <c r="V135" s="50">
        <v>1.33</v>
      </c>
      <c r="W135" s="74">
        <v>0.01</v>
      </c>
      <c r="X135" s="50">
        <v>5.1999999999999998E-2</v>
      </c>
      <c r="Y135" s="74">
        <f>0.03/2</f>
        <v>1.4999999999999999E-2</v>
      </c>
      <c r="AE135" s="50">
        <v>3.8</v>
      </c>
      <c r="AF135" s="113">
        <f>0.05/2</f>
        <v>2.5000000000000001E-2</v>
      </c>
      <c r="AG135" s="54"/>
      <c r="AH135" s="54"/>
      <c r="AI135" s="113"/>
      <c r="AJ135" s="50"/>
      <c r="AK135" s="74"/>
      <c r="AL135" s="74"/>
      <c r="AM135" s="74"/>
      <c r="AN135" s="74"/>
      <c r="AO135" s="74"/>
      <c r="AP135" s="74"/>
      <c r="AQ135" s="74"/>
      <c r="AR135" s="74"/>
      <c r="AS135" s="74"/>
      <c r="AT135" s="74"/>
    </row>
    <row r="136" spans="1:46" ht="15" customHeight="1">
      <c r="A136" s="41" t="s">
        <v>36</v>
      </c>
      <c r="B136" s="50" t="s">
        <v>2828</v>
      </c>
      <c r="C136" s="50" t="s">
        <v>70</v>
      </c>
      <c r="D136" s="48" t="s">
        <v>564</v>
      </c>
      <c r="E136" s="50" t="s">
        <v>2829</v>
      </c>
      <c r="F136" s="50" t="s">
        <v>2667</v>
      </c>
      <c r="G136" s="76" t="s">
        <v>2830</v>
      </c>
      <c r="H136" s="50">
        <v>9199</v>
      </c>
      <c r="I136" s="49" t="s">
        <v>2</v>
      </c>
      <c r="J136" s="50" t="s">
        <v>2831</v>
      </c>
      <c r="K136" s="51">
        <v>41201</v>
      </c>
      <c r="L136" s="115">
        <v>41192</v>
      </c>
      <c r="M136" s="402">
        <f t="shared" si="6"/>
        <v>9</v>
      </c>
      <c r="N136" s="50" t="s">
        <v>2</v>
      </c>
      <c r="O136" s="131">
        <v>1.7</v>
      </c>
      <c r="P136" s="117">
        <v>6.3</v>
      </c>
      <c r="Q136" s="131">
        <v>6.7</v>
      </c>
      <c r="R136" s="50">
        <v>77</v>
      </c>
      <c r="S136" s="74">
        <v>250</v>
      </c>
      <c r="T136" s="50">
        <v>0.4</v>
      </c>
      <c r="U136" s="74">
        <v>2.06</v>
      </c>
      <c r="V136" s="50">
        <v>0.22</v>
      </c>
      <c r="W136" s="74">
        <v>4.2000000000000003E-2</v>
      </c>
      <c r="X136" s="50">
        <v>9.5000000000000001E-2</v>
      </c>
      <c r="Y136" s="74">
        <v>0.03</v>
      </c>
      <c r="AE136" s="50">
        <v>126</v>
      </c>
      <c r="AF136" s="113">
        <f>0.01/2</f>
        <v>5.0000000000000001E-3</v>
      </c>
      <c r="AG136" s="54"/>
      <c r="AH136" s="54"/>
      <c r="AI136" s="113"/>
      <c r="AJ136" s="50"/>
      <c r="AK136" s="74"/>
      <c r="AL136" s="74"/>
      <c r="AM136" s="74"/>
      <c r="AN136" s="74"/>
      <c r="AO136" s="74"/>
      <c r="AP136" s="74"/>
      <c r="AQ136" s="74"/>
      <c r="AR136" s="74"/>
      <c r="AS136" s="74"/>
      <c r="AT136" s="74"/>
    </row>
    <row r="137" spans="1:46" ht="15" customHeight="1">
      <c r="A137" s="41" t="s">
        <v>36</v>
      </c>
      <c r="B137" s="50" t="s">
        <v>2828</v>
      </c>
      <c r="C137" s="50" t="s">
        <v>70</v>
      </c>
      <c r="D137" s="48" t="s">
        <v>564</v>
      </c>
      <c r="E137" s="50" t="s">
        <v>2829</v>
      </c>
      <c r="F137" s="50" t="s">
        <v>2667</v>
      </c>
      <c r="G137" s="76" t="s">
        <v>2830</v>
      </c>
      <c r="H137" s="50">
        <v>9199</v>
      </c>
      <c r="I137" s="49" t="s">
        <v>2</v>
      </c>
      <c r="J137" s="50" t="s">
        <v>2832</v>
      </c>
      <c r="K137" s="51">
        <v>41201</v>
      </c>
      <c r="L137" s="115">
        <v>41192</v>
      </c>
      <c r="M137" s="402">
        <f t="shared" si="6"/>
        <v>9</v>
      </c>
      <c r="N137" s="50" t="s">
        <v>2</v>
      </c>
      <c r="O137" s="131">
        <v>2.9</v>
      </c>
      <c r="P137" s="117">
        <v>6.3</v>
      </c>
      <c r="Q137" s="131">
        <v>6.7</v>
      </c>
      <c r="R137" s="50">
        <v>21</v>
      </c>
      <c r="S137" s="74">
        <v>70</v>
      </c>
      <c r="T137" s="50">
        <v>0.18</v>
      </c>
      <c r="U137" s="74">
        <v>1.29</v>
      </c>
      <c r="V137" s="50">
        <v>0.21</v>
      </c>
      <c r="W137" s="74">
        <v>1.2999999999999999E-2</v>
      </c>
      <c r="X137" s="50">
        <v>9.8000000000000004E-2</v>
      </c>
      <c r="Y137" s="74">
        <v>1.7000000000000001E-2</v>
      </c>
      <c r="AF137" s="113"/>
      <c r="AG137" s="54"/>
      <c r="AH137" s="54"/>
      <c r="AI137" s="113"/>
      <c r="AJ137" s="50"/>
      <c r="AK137" s="74"/>
      <c r="AL137" s="74"/>
      <c r="AM137" s="74"/>
      <c r="AN137" s="74"/>
      <c r="AO137" s="74"/>
      <c r="AP137" s="74"/>
      <c r="AQ137" s="74"/>
      <c r="AR137" s="74"/>
      <c r="AS137" s="74"/>
      <c r="AT137" s="74"/>
    </row>
    <row r="138" spans="1:46" ht="15" customHeight="1">
      <c r="A138" s="41" t="s">
        <v>36</v>
      </c>
      <c r="B138" s="50" t="s">
        <v>2828</v>
      </c>
      <c r="C138" s="50" t="s">
        <v>70</v>
      </c>
      <c r="D138" s="48" t="s">
        <v>564</v>
      </c>
      <c r="E138" s="50" t="s">
        <v>2829</v>
      </c>
      <c r="F138" s="50" t="s">
        <v>2667</v>
      </c>
      <c r="G138" s="76" t="s">
        <v>2830</v>
      </c>
      <c r="H138" s="50">
        <v>9199</v>
      </c>
      <c r="I138" s="49" t="s">
        <v>2</v>
      </c>
      <c r="J138" s="50" t="s">
        <v>2833</v>
      </c>
      <c r="K138" s="51">
        <v>41201</v>
      </c>
      <c r="L138" s="115">
        <v>41192</v>
      </c>
      <c r="M138" s="402">
        <f t="shared" si="6"/>
        <v>9</v>
      </c>
      <c r="N138" s="50" t="s">
        <v>2</v>
      </c>
      <c r="O138" s="131">
        <f>1.6/2</f>
        <v>0.8</v>
      </c>
      <c r="P138" s="117">
        <v>6.3</v>
      </c>
      <c r="Q138" s="131">
        <v>6.8</v>
      </c>
      <c r="R138" s="50">
        <v>25</v>
      </c>
      <c r="S138" s="74">
        <v>21</v>
      </c>
      <c r="T138" s="50">
        <v>0.17</v>
      </c>
      <c r="U138" s="74">
        <v>0.63</v>
      </c>
      <c r="V138" s="50">
        <v>0.12</v>
      </c>
      <c r="W138" s="74">
        <v>0.01</v>
      </c>
      <c r="X138" s="50">
        <v>5.3999999999999999E-2</v>
      </c>
      <c r="Y138" s="74">
        <v>2E-3</v>
      </c>
      <c r="AF138" s="113"/>
      <c r="AG138" s="54"/>
      <c r="AH138" s="54"/>
      <c r="AI138" s="113"/>
      <c r="AJ138" s="50"/>
      <c r="AK138" s="74"/>
      <c r="AL138" s="74"/>
      <c r="AM138" s="74"/>
      <c r="AN138" s="74"/>
      <c r="AO138" s="74"/>
      <c r="AP138" s="74"/>
      <c r="AQ138" s="74"/>
      <c r="AR138" s="74"/>
      <c r="AS138" s="74"/>
      <c r="AT138" s="74"/>
    </row>
    <row r="139" spans="1:46" ht="15" customHeight="1">
      <c r="A139" s="41" t="s">
        <v>36</v>
      </c>
      <c r="B139" s="50" t="s">
        <v>2828</v>
      </c>
      <c r="C139" s="50" t="s">
        <v>70</v>
      </c>
      <c r="D139" s="48" t="s">
        <v>564</v>
      </c>
      <c r="E139" s="50" t="s">
        <v>2829</v>
      </c>
      <c r="F139" s="50" t="s">
        <v>2667</v>
      </c>
      <c r="G139" s="76" t="s">
        <v>2830</v>
      </c>
      <c r="H139" s="50">
        <v>9199</v>
      </c>
      <c r="I139" s="49" t="s">
        <v>2</v>
      </c>
      <c r="J139" s="50" t="s">
        <v>2831</v>
      </c>
      <c r="K139" s="51">
        <v>40857</v>
      </c>
      <c r="L139" s="115">
        <v>40809</v>
      </c>
      <c r="M139" s="402">
        <f t="shared" si="6"/>
        <v>48</v>
      </c>
      <c r="N139" s="50" t="s">
        <v>2</v>
      </c>
      <c r="O139" s="131">
        <v>8.1</v>
      </c>
      <c r="P139" s="117">
        <v>5.2</v>
      </c>
      <c r="Q139" s="131">
        <v>6.6</v>
      </c>
      <c r="R139" s="50">
        <v>620</v>
      </c>
      <c r="S139" s="74">
        <v>590</v>
      </c>
      <c r="T139" s="50">
        <v>7.4</v>
      </c>
      <c r="U139" s="74">
        <v>23</v>
      </c>
      <c r="V139" s="50">
        <v>0.56999999999999995</v>
      </c>
      <c r="W139" s="74">
        <v>0.09</v>
      </c>
      <c r="X139" s="50">
        <v>0.33500000000000002</v>
      </c>
      <c r="Y139" s="74">
        <v>6.9000000000000006E-2</v>
      </c>
      <c r="Z139" s="164">
        <v>1</v>
      </c>
      <c r="AA139" s="165">
        <v>0.63700000000000001</v>
      </c>
      <c r="AB139" s="50">
        <v>172</v>
      </c>
      <c r="AC139" s="74">
        <v>9060</v>
      </c>
      <c r="AD139" s="164">
        <v>1</v>
      </c>
      <c r="AE139" s="50">
        <v>3000</v>
      </c>
      <c r="AF139" s="113">
        <v>0.04</v>
      </c>
      <c r="AG139" s="54"/>
      <c r="AH139" s="54"/>
      <c r="AI139" s="113"/>
      <c r="AJ139" s="50"/>
      <c r="AK139" s="74"/>
      <c r="AL139" s="74"/>
      <c r="AM139" s="74"/>
      <c r="AN139" s="74"/>
      <c r="AO139" s="74"/>
      <c r="AP139" s="74"/>
      <c r="AQ139" s="74"/>
      <c r="AR139" s="74"/>
      <c r="AS139" s="74"/>
      <c r="AT139" s="74"/>
    </row>
    <row r="140" spans="1:46" ht="15" customHeight="1">
      <c r="A140" s="41" t="s">
        <v>36</v>
      </c>
      <c r="B140" s="50" t="s">
        <v>2828</v>
      </c>
      <c r="C140" s="50" t="s">
        <v>70</v>
      </c>
      <c r="D140" s="48" t="s">
        <v>564</v>
      </c>
      <c r="E140" s="50" t="s">
        <v>2829</v>
      </c>
      <c r="F140" s="50" t="s">
        <v>2667</v>
      </c>
      <c r="G140" s="76" t="s">
        <v>2830</v>
      </c>
      <c r="H140" s="50">
        <v>9199</v>
      </c>
      <c r="I140" s="49" t="s">
        <v>2</v>
      </c>
      <c r="J140" s="50" t="s">
        <v>2832</v>
      </c>
      <c r="K140" s="51">
        <v>40857</v>
      </c>
      <c r="L140" s="115">
        <v>40809</v>
      </c>
      <c r="M140" s="402">
        <f t="shared" si="6"/>
        <v>48</v>
      </c>
      <c r="N140" s="50" t="s">
        <v>2</v>
      </c>
      <c r="O140" s="131">
        <v>8.1</v>
      </c>
      <c r="P140" s="117">
        <v>5.2</v>
      </c>
      <c r="Q140" s="131">
        <v>6.9</v>
      </c>
      <c r="R140" s="50">
        <v>280</v>
      </c>
      <c r="S140" s="74">
        <v>170</v>
      </c>
      <c r="T140" s="50">
        <v>0.36</v>
      </c>
      <c r="U140" s="74">
        <v>2.2000000000000002</v>
      </c>
      <c r="V140" s="50">
        <v>0.09</v>
      </c>
      <c r="W140" s="74">
        <v>1.7999999999999999E-2</v>
      </c>
      <c r="X140" s="50">
        <v>0.11700000000000001</v>
      </c>
      <c r="Y140" s="74">
        <v>1.6E-2</v>
      </c>
      <c r="Z140" s="164">
        <v>1</v>
      </c>
      <c r="AA140" s="165">
        <v>1</v>
      </c>
      <c r="AB140" s="50">
        <v>10</v>
      </c>
      <c r="AC140" s="74">
        <v>46</v>
      </c>
      <c r="AD140" s="164">
        <v>1</v>
      </c>
      <c r="AF140" s="113"/>
      <c r="AG140" s="54"/>
      <c r="AH140" s="54"/>
      <c r="AI140" s="113"/>
      <c r="AJ140" s="50"/>
      <c r="AK140" s="74"/>
      <c r="AL140" s="74"/>
      <c r="AM140" s="74"/>
      <c r="AN140" s="74"/>
      <c r="AO140" s="74"/>
      <c r="AP140" s="74"/>
      <c r="AQ140" s="74"/>
      <c r="AR140" s="74"/>
      <c r="AS140" s="74"/>
      <c r="AT140" s="74"/>
    </row>
    <row r="141" spans="1:46" ht="15" customHeight="1">
      <c r="A141" s="41" t="s">
        <v>36</v>
      </c>
      <c r="B141" s="50" t="s">
        <v>2828</v>
      </c>
      <c r="C141" s="50" t="s">
        <v>70</v>
      </c>
      <c r="D141" s="48" t="s">
        <v>564</v>
      </c>
      <c r="E141" s="50" t="s">
        <v>2829</v>
      </c>
      <c r="F141" s="50" t="s">
        <v>2667</v>
      </c>
      <c r="G141" s="76" t="s">
        <v>2830</v>
      </c>
      <c r="H141" s="50">
        <v>9199</v>
      </c>
      <c r="I141" s="49" t="s">
        <v>2</v>
      </c>
      <c r="J141" s="50" t="s">
        <v>2833</v>
      </c>
      <c r="K141" s="51">
        <v>40857</v>
      </c>
      <c r="L141" s="115">
        <v>40809</v>
      </c>
      <c r="M141" s="402">
        <f t="shared" si="6"/>
        <v>48</v>
      </c>
      <c r="N141" s="50" t="s">
        <v>2</v>
      </c>
      <c r="O141" s="131">
        <v>2</v>
      </c>
      <c r="P141" s="117">
        <v>5.2</v>
      </c>
      <c r="Q141" s="131">
        <v>6.5</v>
      </c>
      <c r="R141" s="50">
        <v>110</v>
      </c>
      <c r="S141" s="74">
        <v>72</v>
      </c>
      <c r="T141" s="50">
        <v>0.27</v>
      </c>
      <c r="U141" s="74">
        <v>1.5</v>
      </c>
      <c r="V141" s="50">
        <v>0.2</v>
      </c>
      <c r="W141" s="74">
        <v>2.8000000000000001E-2</v>
      </c>
      <c r="X141" s="50">
        <v>0.193</v>
      </c>
      <c r="Y141" s="74">
        <v>2.3E-2</v>
      </c>
      <c r="Z141" s="164">
        <v>1</v>
      </c>
      <c r="AA141" s="165">
        <v>1</v>
      </c>
      <c r="AB141" s="50">
        <v>14</v>
      </c>
      <c r="AC141" s="74">
        <v>57</v>
      </c>
      <c r="AD141" s="164">
        <v>1</v>
      </c>
      <c r="AF141" s="113"/>
      <c r="AG141" s="54"/>
      <c r="AH141" s="54"/>
      <c r="AI141" s="113"/>
      <c r="AJ141" s="50"/>
      <c r="AK141" s="74"/>
      <c r="AL141" s="74"/>
      <c r="AM141" s="74"/>
      <c r="AN141" s="74"/>
      <c r="AO141" s="74"/>
      <c r="AP141" s="74"/>
      <c r="AQ141" s="74"/>
      <c r="AR141" s="74"/>
      <c r="AS141" s="74"/>
      <c r="AT141" s="74"/>
    </row>
    <row r="142" spans="1:46" ht="15" customHeight="1">
      <c r="A142" s="41" t="s">
        <v>36</v>
      </c>
      <c r="B142" s="50" t="s">
        <v>2834</v>
      </c>
      <c r="C142" s="50" t="s">
        <v>2835</v>
      </c>
      <c r="D142" s="48" t="s">
        <v>636</v>
      </c>
      <c r="E142" s="50" t="s">
        <v>2836</v>
      </c>
      <c r="F142" s="85" t="s">
        <v>2837</v>
      </c>
      <c r="G142" s="76" t="s">
        <v>2838</v>
      </c>
      <c r="I142" s="49" t="s">
        <v>2</v>
      </c>
      <c r="J142" s="50" t="s">
        <v>2839</v>
      </c>
      <c r="K142" s="51">
        <v>40835</v>
      </c>
      <c r="L142" s="115">
        <v>40830</v>
      </c>
      <c r="M142" s="402">
        <f t="shared" si="6"/>
        <v>5</v>
      </c>
      <c r="N142" s="50" t="s">
        <v>2</v>
      </c>
      <c r="O142" s="131">
        <f>2/2</f>
        <v>1</v>
      </c>
      <c r="P142" s="117">
        <v>5.5</v>
      </c>
      <c r="Q142" s="131">
        <v>6</v>
      </c>
      <c r="R142" s="50">
        <v>34</v>
      </c>
      <c r="S142" s="74">
        <v>42</v>
      </c>
      <c r="T142" s="50">
        <v>7.0000000000000007E-2</v>
      </c>
      <c r="U142" s="74">
        <f>0.5/2</f>
        <v>0.25</v>
      </c>
      <c r="V142" s="50">
        <v>0.23</v>
      </c>
      <c r="W142" s="74">
        <v>7.3000000000000001E-3</v>
      </c>
      <c r="X142" s="50">
        <v>8.2000000000000003E-2</v>
      </c>
      <c r="Y142" s="74">
        <f>0.002/2</f>
        <v>1E-3</v>
      </c>
      <c r="AF142" s="113"/>
      <c r="AG142" s="54"/>
      <c r="AH142" s="54"/>
      <c r="AI142" s="113"/>
      <c r="AJ142" s="50"/>
      <c r="AK142" s="74"/>
      <c r="AL142" s="74"/>
      <c r="AM142" s="74"/>
      <c r="AN142" s="74"/>
      <c r="AO142" s="74"/>
      <c r="AP142" s="74"/>
      <c r="AQ142" s="74"/>
      <c r="AR142" s="74"/>
      <c r="AS142" s="74"/>
      <c r="AT142" s="74"/>
    </row>
    <row r="143" spans="1:46" ht="15" customHeight="1">
      <c r="A143" s="41" t="s">
        <v>36</v>
      </c>
      <c r="B143" s="50" t="s">
        <v>1381</v>
      </c>
      <c r="C143" s="50" t="s">
        <v>2653</v>
      </c>
      <c r="D143" s="48" t="s">
        <v>200</v>
      </c>
      <c r="E143" s="50" t="s">
        <v>214</v>
      </c>
      <c r="G143" s="76" t="s">
        <v>2840</v>
      </c>
      <c r="H143" s="50">
        <v>4952</v>
      </c>
      <c r="I143" s="49" t="s">
        <v>1</v>
      </c>
      <c r="J143" s="50" t="s">
        <v>2841</v>
      </c>
      <c r="K143" s="51">
        <v>41264</v>
      </c>
      <c r="L143" s="115">
        <v>41261</v>
      </c>
      <c r="M143" s="402">
        <f t="shared" si="6"/>
        <v>3</v>
      </c>
      <c r="N143" s="50" t="s">
        <v>2</v>
      </c>
      <c r="O143" s="131">
        <f>1.4/2</f>
        <v>0.7</v>
      </c>
      <c r="P143" s="117">
        <v>7</v>
      </c>
      <c r="Q143" s="131">
        <v>7.7</v>
      </c>
      <c r="R143" s="50">
        <v>21</v>
      </c>
      <c r="S143" s="74">
        <v>18</v>
      </c>
      <c r="T143" s="50">
        <v>1.84</v>
      </c>
      <c r="U143" s="74">
        <v>1.61</v>
      </c>
      <c r="V143" s="50">
        <v>7.21</v>
      </c>
      <c r="W143" s="74">
        <v>1.7999999999999999E-2</v>
      </c>
      <c r="X143" s="50">
        <v>0.04</v>
      </c>
      <c r="Y143" s="74">
        <v>6.0000000000000001E-3</v>
      </c>
      <c r="Z143" s="164">
        <v>1</v>
      </c>
      <c r="AA143" s="165">
        <v>1</v>
      </c>
      <c r="AB143" s="50">
        <v>108</v>
      </c>
      <c r="AC143" s="74">
        <v>492</v>
      </c>
      <c r="AD143" s="164">
        <v>1</v>
      </c>
      <c r="AF143" s="113"/>
      <c r="AG143" s="54"/>
      <c r="AH143" s="54">
        <v>17330</v>
      </c>
      <c r="AI143" s="113"/>
      <c r="AJ143" s="50"/>
      <c r="AK143" s="74"/>
      <c r="AL143" s="74"/>
      <c r="AM143" s="74"/>
      <c r="AN143" s="74"/>
      <c r="AO143" s="74"/>
      <c r="AP143" s="74"/>
      <c r="AQ143" s="74"/>
      <c r="AR143" s="74"/>
      <c r="AS143" s="74"/>
      <c r="AT143" s="74"/>
    </row>
    <row r="144" spans="1:46" ht="15" customHeight="1">
      <c r="A144" s="41" t="s">
        <v>36</v>
      </c>
      <c r="B144" s="50" t="s">
        <v>1381</v>
      </c>
      <c r="C144" s="50" t="s">
        <v>2653</v>
      </c>
      <c r="D144" s="48" t="s">
        <v>200</v>
      </c>
      <c r="E144" s="50" t="s">
        <v>214</v>
      </c>
      <c r="G144" s="76" t="s">
        <v>2840</v>
      </c>
      <c r="H144" s="50">
        <v>4952</v>
      </c>
      <c r="I144" s="49" t="s">
        <v>1</v>
      </c>
      <c r="J144" s="50" t="s">
        <v>2842</v>
      </c>
      <c r="K144" s="51">
        <v>41264</v>
      </c>
      <c r="L144" s="115">
        <v>41261</v>
      </c>
      <c r="M144" s="402">
        <f t="shared" si="6"/>
        <v>3</v>
      </c>
      <c r="N144" s="50" t="s">
        <v>2</v>
      </c>
      <c r="O144" s="131">
        <f>1.4/2</f>
        <v>0.7</v>
      </c>
      <c r="P144" s="117">
        <v>7</v>
      </c>
      <c r="Q144" s="131">
        <v>7.31</v>
      </c>
      <c r="R144" s="50">
        <v>21</v>
      </c>
      <c r="S144" s="74">
        <v>18</v>
      </c>
      <c r="T144" s="50">
        <v>0.37</v>
      </c>
      <c r="U144" s="74">
        <v>0.61</v>
      </c>
      <c r="V144" s="50">
        <v>0.04</v>
      </c>
      <c r="W144" s="74">
        <f>0.005/2</f>
        <v>2.5000000000000001E-3</v>
      </c>
      <c r="X144" s="50">
        <v>1.4999999999999999E-2</v>
      </c>
      <c r="Y144" s="74">
        <f>0.002/2</f>
        <v>1E-3</v>
      </c>
      <c r="Z144" s="164">
        <v>1</v>
      </c>
      <c r="AA144" s="165">
        <v>1</v>
      </c>
      <c r="AB144" s="50">
        <v>18</v>
      </c>
      <c r="AC144" s="74">
        <v>30</v>
      </c>
      <c r="AD144" s="164">
        <v>1</v>
      </c>
      <c r="AF144" s="113"/>
      <c r="AG144" s="54"/>
      <c r="AH144" s="54">
        <v>60</v>
      </c>
      <c r="AI144" s="113"/>
      <c r="AJ144" s="50"/>
      <c r="AK144" s="74"/>
      <c r="AL144" s="74"/>
      <c r="AM144" s="74"/>
      <c r="AN144" s="74"/>
      <c r="AO144" s="74"/>
      <c r="AP144" s="74"/>
      <c r="AQ144" s="74"/>
      <c r="AR144" s="74"/>
      <c r="AS144" s="74"/>
      <c r="AT144" s="74"/>
    </row>
    <row r="145" spans="1:46" ht="15" customHeight="1">
      <c r="A145" s="41" t="s">
        <v>36</v>
      </c>
      <c r="B145" s="50" t="s">
        <v>1381</v>
      </c>
      <c r="C145" s="50" t="s">
        <v>2653</v>
      </c>
      <c r="D145" s="48" t="s">
        <v>200</v>
      </c>
      <c r="E145" s="50" t="s">
        <v>214</v>
      </c>
      <c r="G145" s="76" t="s">
        <v>2840</v>
      </c>
      <c r="H145" s="50">
        <v>4952</v>
      </c>
      <c r="I145" s="49" t="s">
        <v>1</v>
      </c>
      <c r="J145" s="50" t="s">
        <v>2843</v>
      </c>
      <c r="K145" s="51">
        <v>41264</v>
      </c>
      <c r="L145" s="115">
        <v>41261</v>
      </c>
      <c r="M145" s="402">
        <f t="shared" si="6"/>
        <v>3</v>
      </c>
      <c r="N145" s="50" t="s">
        <v>2</v>
      </c>
      <c r="O145" s="131">
        <f>1.4/2</f>
        <v>0.7</v>
      </c>
      <c r="P145" s="117">
        <v>7</v>
      </c>
      <c r="Q145" s="131">
        <v>6.49</v>
      </c>
      <c r="R145" s="50">
        <f>10/2</f>
        <v>5</v>
      </c>
      <c r="S145" s="74">
        <v>5</v>
      </c>
      <c r="T145" s="50">
        <f>0.01/2</f>
        <v>5.0000000000000001E-3</v>
      </c>
      <c r="U145" s="74">
        <v>0.22</v>
      </c>
      <c r="V145" s="50">
        <v>0.08</v>
      </c>
      <c r="W145" s="74">
        <f>0.005/2</f>
        <v>2.5000000000000001E-3</v>
      </c>
      <c r="X145" s="50">
        <v>4.8000000000000001E-2</v>
      </c>
      <c r="Y145" s="74">
        <v>2.3E-2</v>
      </c>
      <c r="Z145" s="164">
        <v>0.79800000000000004</v>
      </c>
      <c r="AA145" s="165">
        <v>0.70699999999999996</v>
      </c>
      <c r="AB145" s="50">
        <v>2</v>
      </c>
      <c r="AC145" s="74">
        <v>12</v>
      </c>
      <c r="AD145" s="164">
        <v>0</v>
      </c>
      <c r="AF145" s="113"/>
      <c r="AG145" s="54"/>
      <c r="AH145" s="54">
        <v>10</v>
      </c>
      <c r="AI145" s="113"/>
      <c r="AJ145" s="50"/>
      <c r="AK145" s="74"/>
      <c r="AL145" s="74"/>
      <c r="AM145" s="74"/>
      <c r="AN145" s="74"/>
      <c r="AO145" s="74"/>
      <c r="AP145" s="74"/>
      <c r="AQ145" s="74"/>
      <c r="AR145" s="74"/>
      <c r="AS145" s="74"/>
      <c r="AT145" s="74"/>
    </row>
    <row r="146" spans="1:46" ht="15" customHeight="1">
      <c r="A146" s="41" t="s">
        <v>36</v>
      </c>
      <c r="B146" s="50" t="s">
        <v>1381</v>
      </c>
      <c r="C146" s="50" t="s">
        <v>2653</v>
      </c>
      <c r="D146" s="48" t="s">
        <v>200</v>
      </c>
      <c r="E146" s="50" t="s">
        <v>214</v>
      </c>
      <c r="G146" s="76" t="s">
        <v>2840</v>
      </c>
      <c r="H146" s="50">
        <v>4952</v>
      </c>
      <c r="I146" s="49" t="s">
        <v>1</v>
      </c>
      <c r="J146" s="50" t="s">
        <v>2844</v>
      </c>
      <c r="K146" s="51">
        <v>41264</v>
      </c>
      <c r="L146" s="115">
        <v>41261</v>
      </c>
      <c r="M146" s="402">
        <f t="shared" si="6"/>
        <v>3</v>
      </c>
      <c r="N146" s="50" t="s">
        <v>2</v>
      </c>
      <c r="O146" s="131">
        <f>1.4/2</f>
        <v>0.7</v>
      </c>
      <c r="P146" s="117">
        <v>7</v>
      </c>
      <c r="Q146" s="131">
        <v>6.43</v>
      </c>
      <c r="R146" s="50">
        <v>12</v>
      </c>
      <c r="S146" s="74">
        <v>9</v>
      </c>
      <c r="T146" s="50">
        <v>0.04</v>
      </c>
      <c r="U146" s="74">
        <v>0.34</v>
      </c>
      <c r="V146" s="50">
        <v>0.05</v>
      </c>
      <c r="W146" s="74">
        <v>1.0999999999999999E-2</v>
      </c>
      <c r="X146" s="50">
        <v>1.7000000000000001E-2</v>
      </c>
      <c r="Y146" s="74">
        <v>3.9E-2</v>
      </c>
      <c r="Z146" s="164">
        <v>1</v>
      </c>
      <c r="AA146" s="165">
        <v>1</v>
      </c>
      <c r="AB146" s="50">
        <v>10</v>
      </c>
      <c r="AC146" s="74">
        <v>12</v>
      </c>
      <c r="AD146" s="164">
        <v>1</v>
      </c>
      <c r="AF146" s="113"/>
      <c r="AG146" s="54"/>
      <c r="AH146" s="54">
        <f>10/2</f>
        <v>5</v>
      </c>
      <c r="AI146" s="113"/>
      <c r="AJ146" s="50"/>
      <c r="AK146" s="74"/>
      <c r="AL146" s="74"/>
      <c r="AM146" s="74"/>
      <c r="AN146" s="74"/>
      <c r="AO146" s="74"/>
      <c r="AP146" s="74"/>
      <c r="AQ146" s="74"/>
      <c r="AR146" s="74"/>
      <c r="AS146" s="74"/>
      <c r="AT146" s="74"/>
    </row>
    <row r="147" spans="1:46" ht="15" customHeight="1">
      <c r="A147" s="41" t="s">
        <v>36</v>
      </c>
      <c r="B147" s="50" t="s">
        <v>1692</v>
      </c>
      <c r="C147" s="50" t="s">
        <v>2845</v>
      </c>
      <c r="D147" s="48" t="s">
        <v>276</v>
      </c>
      <c r="E147" s="50" t="s">
        <v>214</v>
      </c>
      <c r="G147" s="76" t="s">
        <v>2846</v>
      </c>
      <c r="H147" s="50">
        <v>9199</v>
      </c>
      <c r="J147" s="50" t="s">
        <v>194</v>
      </c>
      <c r="K147" s="51">
        <v>41201</v>
      </c>
      <c r="L147" s="115"/>
      <c r="N147" s="50" t="s">
        <v>2</v>
      </c>
      <c r="O147" s="131">
        <f>2/2</f>
        <v>1</v>
      </c>
      <c r="P147" s="117">
        <v>6.6</v>
      </c>
      <c r="Q147" s="131">
        <v>6.4</v>
      </c>
      <c r="R147" s="50">
        <f>10/2</f>
        <v>5</v>
      </c>
      <c r="S147" s="74">
        <v>16</v>
      </c>
      <c r="T147" s="50">
        <f>0.05/2</f>
        <v>2.5000000000000001E-2</v>
      </c>
      <c r="U147" s="74">
        <v>0.28999999999999998</v>
      </c>
      <c r="V147" s="50">
        <f>0.1/2</f>
        <v>0.05</v>
      </c>
      <c r="W147" s="74">
        <f>0.01/2</f>
        <v>5.0000000000000001E-3</v>
      </c>
      <c r="X147" s="50">
        <f>0.03/2</f>
        <v>1.4999999999999999E-2</v>
      </c>
      <c r="Y147" s="74">
        <f>0.03/2</f>
        <v>1.4999999999999999E-2</v>
      </c>
      <c r="Z147" s="164">
        <v>1</v>
      </c>
      <c r="AA147" s="165">
        <v>1</v>
      </c>
      <c r="AB147" s="50">
        <f>2/2</f>
        <v>1</v>
      </c>
      <c r="AC147" s="74">
        <v>11</v>
      </c>
      <c r="AD147" s="164">
        <v>1</v>
      </c>
      <c r="AE147" s="50">
        <v>1.8</v>
      </c>
      <c r="AF147" s="113">
        <f>0.05/2</f>
        <v>2.5000000000000001E-2</v>
      </c>
      <c r="AG147" s="54"/>
      <c r="AH147" s="54"/>
      <c r="AI147" s="113"/>
      <c r="AJ147" s="50"/>
      <c r="AK147" s="74"/>
      <c r="AL147" s="74"/>
      <c r="AM147" s="74"/>
      <c r="AN147" s="74"/>
      <c r="AO147" s="74"/>
      <c r="AP147" s="74"/>
      <c r="AQ147" s="74"/>
      <c r="AR147" s="74"/>
      <c r="AS147" s="74"/>
      <c r="AT147" s="74"/>
    </row>
    <row r="148" spans="1:46" ht="15" customHeight="1">
      <c r="A148" s="41" t="s">
        <v>36</v>
      </c>
      <c r="B148" s="50" t="s">
        <v>1692</v>
      </c>
      <c r="C148" s="50" t="s">
        <v>2845</v>
      </c>
      <c r="D148" s="48" t="s">
        <v>276</v>
      </c>
      <c r="E148" s="50" t="s">
        <v>214</v>
      </c>
      <c r="G148" s="76" t="s">
        <v>2846</v>
      </c>
      <c r="H148" s="50">
        <v>9199</v>
      </c>
      <c r="J148" s="50" t="s">
        <v>569</v>
      </c>
      <c r="K148" s="51">
        <v>41201</v>
      </c>
      <c r="L148" s="115"/>
      <c r="N148" s="50" t="s">
        <v>2</v>
      </c>
      <c r="O148" s="131">
        <f>2/2</f>
        <v>1</v>
      </c>
      <c r="P148" s="117">
        <v>6.4</v>
      </c>
      <c r="Q148" s="131">
        <v>6.5</v>
      </c>
      <c r="R148" s="50">
        <f>10/2</f>
        <v>5</v>
      </c>
      <c r="S148" s="74">
        <v>14</v>
      </c>
      <c r="T148" s="50">
        <f>0.05/2</f>
        <v>2.5000000000000001E-2</v>
      </c>
      <c r="U148" s="74">
        <v>0.33</v>
      </c>
      <c r="V148" s="50">
        <f>0.1/2</f>
        <v>0.05</v>
      </c>
      <c r="W148" s="74">
        <f>0.01/2</f>
        <v>5.0000000000000001E-3</v>
      </c>
      <c r="X148" s="50">
        <f>0.03/2</f>
        <v>1.4999999999999999E-2</v>
      </c>
      <c r="Y148" s="74">
        <f>0.03/2</f>
        <v>1.4999999999999999E-2</v>
      </c>
      <c r="Z148" s="164">
        <v>1</v>
      </c>
      <c r="AA148" s="165">
        <v>1</v>
      </c>
      <c r="AB148" s="50">
        <f>2/2</f>
        <v>1</v>
      </c>
      <c r="AC148" s="74">
        <v>14</v>
      </c>
      <c r="AD148" s="164">
        <v>1</v>
      </c>
      <c r="AE148" s="50">
        <v>1.9</v>
      </c>
      <c r="AF148" s="113">
        <f>0.05/2</f>
        <v>2.5000000000000001E-2</v>
      </c>
      <c r="AG148" s="54"/>
      <c r="AH148" s="54"/>
      <c r="AI148" s="113"/>
      <c r="AJ148" s="50"/>
      <c r="AK148" s="74"/>
      <c r="AL148" s="74"/>
      <c r="AM148" s="74"/>
      <c r="AN148" s="74"/>
      <c r="AO148" s="74"/>
      <c r="AP148" s="74"/>
      <c r="AQ148" s="74"/>
      <c r="AR148" s="74"/>
      <c r="AS148" s="74"/>
      <c r="AT148" s="74"/>
    </row>
    <row r="149" spans="1:46" ht="15" customHeight="1">
      <c r="A149" s="41" t="s">
        <v>36</v>
      </c>
      <c r="B149" s="50" t="s">
        <v>2847</v>
      </c>
      <c r="C149" s="50" t="s">
        <v>392</v>
      </c>
      <c r="D149" s="48" t="s">
        <v>2848</v>
      </c>
      <c r="E149" s="50" t="s">
        <v>2849</v>
      </c>
      <c r="F149" s="50" t="s">
        <v>2667</v>
      </c>
      <c r="G149" s="76" t="s">
        <v>2850</v>
      </c>
      <c r="H149" s="50">
        <v>9199</v>
      </c>
      <c r="I149" s="49" t="s">
        <v>2</v>
      </c>
      <c r="J149" s="50" t="s">
        <v>2694</v>
      </c>
      <c r="K149" s="51">
        <v>41156</v>
      </c>
      <c r="L149" s="115">
        <v>41149</v>
      </c>
      <c r="M149" s="402">
        <f t="shared" ref="M149:M201" si="7">K149-L149</f>
        <v>7</v>
      </c>
      <c r="N149" s="50" t="s">
        <v>2</v>
      </c>
      <c r="O149" s="131">
        <f>1.6/2</f>
        <v>0.8</v>
      </c>
      <c r="P149" s="117">
        <v>6.3</v>
      </c>
      <c r="Q149" s="131">
        <v>7.8</v>
      </c>
      <c r="R149" s="50">
        <v>13</v>
      </c>
      <c r="S149" s="74">
        <v>17</v>
      </c>
      <c r="T149" s="50">
        <v>0.05</v>
      </c>
      <c r="U149" s="74">
        <v>0.52</v>
      </c>
      <c r="V149" s="50">
        <v>0.18</v>
      </c>
      <c r="W149" s="74">
        <f>0.005/2</f>
        <v>2.5000000000000001E-3</v>
      </c>
      <c r="X149" s="50">
        <v>6.0000000000000001E-3</v>
      </c>
      <c r="Y149" s="74">
        <f>0.002/2</f>
        <v>1E-3</v>
      </c>
      <c r="AF149" s="113"/>
      <c r="AG149" s="54"/>
      <c r="AH149" s="54"/>
      <c r="AI149" s="113"/>
      <c r="AJ149" s="50"/>
      <c r="AK149" s="74"/>
      <c r="AL149" s="74"/>
      <c r="AM149" s="74"/>
      <c r="AN149" s="74"/>
      <c r="AO149" s="74"/>
      <c r="AP149" s="74"/>
      <c r="AQ149" s="74"/>
      <c r="AR149" s="74"/>
      <c r="AS149" s="74"/>
      <c r="AT149" s="74"/>
    </row>
    <row r="150" spans="1:46" ht="15" customHeight="1">
      <c r="A150" s="41" t="s">
        <v>36</v>
      </c>
      <c r="B150" s="50" t="s">
        <v>2847</v>
      </c>
      <c r="C150" s="50" t="s">
        <v>392</v>
      </c>
      <c r="D150" s="48" t="s">
        <v>2848</v>
      </c>
      <c r="E150" s="50" t="s">
        <v>2849</v>
      </c>
      <c r="F150" s="50" t="s">
        <v>2667</v>
      </c>
      <c r="G150" s="76" t="s">
        <v>2850</v>
      </c>
      <c r="H150" s="50">
        <v>9199</v>
      </c>
      <c r="I150" s="49" t="s">
        <v>2</v>
      </c>
      <c r="J150" s="50" t="s">
        <v>2694</v>
      </c>
      <c r="K150" s="51">
        <v>40863</v>
      </c>
      <c r="L150" s="115">
        <v>40858</v>
      </c>
      <c r="M150" s="402">
        <f t="shared" si="7"/>
        <v>5</v>
      </c>
      <c r="N150" s="50" t="s">
        <v>2</v>
      </c>
      <c r="O150" s="131">
        <f>1.6/2</f>
        <v>0.8</v>
      </c>
      <c r="P150" s="117">
        <v>5.2</v>
      </c>
      <c r="Q150" s="131">
        <v>7.35</v>
      </c>
      <c r="R150" s="50">
        <v>41</v>
      </c>
      <c r="S150" s="74">
        <v>12</v>
      </c>
      <c r="T150" s="50">
        <v>0.05</v>
      </c>
      <c r="U150" s="74">
        <v>0.74</v>
      </c>
      <c r="V150" s="50">
        <v>0.42</v>
      </c>
      <c r="W150" s="74">
        <v>3.0000000000000001E-3</v>
      </c>
      <c r="X150" s="50">
        <v>8.0000000000000002E-3</v>
      </c>
      <c r="Y150" s="74">
        <f>0.002/2</f>
        <v>1E-3</v>
      </c>
      <c r="Z150" s="164">
        <v>1</v>
      </c>
      <c r="AA150" s="165">
        <v>1</v>
      </c>
      <c r="AB150" s="50">
        <v>52</v>
      </c>
      <c r="AC150" s="74">
        <v>217</v>
      </c>
      <c r="AD150" s="164">
        <v>1</v>
      </c>
      <c r="AF150" s="113"/>
      <c r="AG150" s="54"/>
      <c r="AH150" s="54"/>
      <c r="AI150" s="113"/>
      <c r="AJ150" s="50"/>
      <c r="AK150" s="74"/>
      <c r="AL150" s="74"/>
      <c r="AM150" s="74"/>
      <c r="AN150" s="74"/>
      <c r="AO150" s="74"/>
      <c r="AP150" s="74"/>
      <c r="AQ150" s="74"/>
      <c r="AR150" s="74"/>
      <c r="AS150" s="74"/>
      <c r="AT150" s="74"/>
    </row>
    <row r="151" spans="1:46" ht="15" customHeight="1">
      <c r="A151" s="41" t="s">
        <v>36</v>
      </c>
      <c r="B151" s="50" t="s">
        <v>2847</v>
      </c>
      <c r="C151" s="50" t="s">
        <v>2717</v>
      </c>
      <c r="D151" s="48" t="s">
        <v>2848</v>
      </c>
      <c r="E151" s="50" t="s">
        <v>2851</v>
      </c>
      <c r="F151" s="50" t="s">
        <v>2667</v>
      </c>
      <c r="G151" s="76" t="s">
        <v>2852</v>
      </c>
      <c r="H151" s="50">
        <v>9199</v>
      </c>
      <c r="I151" s="49" t="s">
        <v>2</v>
      </c>
      <c r="J151" s="50" t="s">
        <v>2694</v>
      </c>
      <c r="K151" s="51">
        <v>40863</v>
      </c>
      <c r="L151" s="115">
        <v>40858</v>
      </c>
      <c r="M151" s="402">
        <f t="shared" si="7"/>
        <v>5</v>
      </c>
      <c r="N151" s="50" t="s">
        <v>2</v>
      </c>
      <c r="O151" s="131">
        <f>1.6/2</f>
        <v>0.8</v>
      </c>
      <c r="P151" s="117">
        <v>5.2</v>
      </c>
      <c r="Q151" s="131">
        <v>6.38</v>
      </c>
      <c r="R151" s="50">
        <v>52</v>
      </c>
      <c r="S151" s="74">
        <v>14</v>
      </c>
      <c r="T151" s="50">
        <v>0.18</v>
      </c>
      <c r="U151" s="74">
        <v>1.3</v>
      </c>
      <c r="V151" s="50">
        <v>0.1</v>
      </c>
      <c r="W151" s="74">
        <v>4.0000000000000001E-3</v>
      </c>
      <c r="X151" s="50">
        <v>3.5000000000000003E-2</v>
      </c>
      <c r="Y151" s="74">
        <f>0.002/2</f>
        <v>1E-3</v>
      </c>
      <c r="Z151" s="164">
        <v>1</v>
      </c>
      <c r="AA151" s="165">
        <v>1</v>
      </c>
      <c r="AB151" s="50">
        <v>42</v>
      </c>
      <c r="AC151" s="74">
        <v>1917</v>
      </c>
      <c r="AD151" s="164">
        <v>1</v>
      </c>
      <c r="AE151" s="50">
        <v>540</v>
      </c>
      <c r="AF151" s="113">
        <f>0.01/2</f>
        <v>5.0000000000000001E-3</v>
      </c>
      <c r="AG151" s="54"/>
      <c r="AH151" s="54"/>
      <c r="AI151" s="113"/>
      <c r="AJ151" s="50"/>
      <c r="AK151" s="74"/>
      <c r="AL151" s="74"/>
      <c r="AM151" s="74"/>
      <c r="AN151" s="74"/>
      <c r="AO151" s="74"/>
      <c r="AP151" s="74"/>
      <c r="AQ151" s="74"/>
      <c r="AR151" s="74"/>
      <c r="AS151" s="74"/>
      <c r="AT151" s="74"/>
    </row>
    <row r="152" spans="1:46" ht="15" customHeight="1">
      <c r="A152" s="41" t="s">
        <v>36</v>
      </c>
      <c r="B152" s="50" t="s">
        <v>2847</v>
      </c>
      <c r="C152" s="50" t="s">
        <v>2717</v>
      </c>
      <c r="D152" s="48" t="s">
        <v>2848</v>
      </c>
      <c r="E152" s="50" t="s">
        <v>2851</v>
      </c>
      <c r="F152" s="50" t="s">
        <v>2667</v>
      </c>
      <c r="G152" s="76" t="s">
        <v>2852</v>
      </c>
      <c r="H152" s="50">
        <v>9199</v>
      </c>
      <c r="I152" s="49" t="s">
        <v>2</v>
      </c>
      <c r="J152" s="50" t="s">
        <v>2694</v>
      </c>
      <c r="K152" s="51">
        <v>41156</v>
      </c>
      <c r="L152" s="115">
        <v>41149</v>
      </c>
      <c r="M152" s="402">
        <f t="shared" si="7"/>
        <v>7</v>
      </c>
      <c r="N152" s="50" t="s">
        <v>2</v>
      </c>
      <c r="O152" s="131">
        <f>1.6/2</f>
        <v>0.8</v>
      </c>
      <c r="P152" s="117">
        <v>6.3</v>
      </c>
      <c r="Q152" s="131">
        <v>7.65</v>
      </c>
      <c r="R152" s="50">
        <v>48</v>
      </c>
      <c r="S152" s="74">
        <v>42</v>
      </c>
      <c r="T152" s="50">
        <v>0.21</v>
      </c>
      <c r="U152" s="74">
        <v>1.36</v>
      </c>
      <c r="V152" s="50">
        <v>0.15</v>
      </c>
      <c r="W152" s="74">
        <f>0.005/2</f>
        <v>2.5000000000000001E-3</v>
      </c>
      <c r="X152" s="50">
        <v>4.3999999999999997E-2</v>
      </c>
      <c r="Y152" s="74">
        <v>4.0000000000000001E-3</v>
      </c>
      <c r="AE152" s="50">
        <v>5.7</v>
      </c>
      <c r="AF152" s="113">
        <f>0.01/2</f>
        <v>5.0000000000000001E-3</v>
      </c>
      <c r="AG152" s="54"/>
      <c r="AH152" s="54"/>
      <c r="AI152" s="113"/>
      <c r="AJ152" s="50"/>
      <c r="AK152" s="74"/>
      <c r="AL152" s="74"/>
      <c r="AM152" s="74"/>
      <c r="AN152" s="74"/>
      <c r="AO152" s="74"/>
      <c r="AP152" s="74"/>
      <c r="AQ152" s="74"/>
      <c r="AR152" s="74"/>
      <c r="AS152" s="74"/>
      <c r="AT152" s="74"/>
    </row>
    <row r="153" spans="1:46" ht="15" customHeight="1">
      <c r="A153" s="41" t="s">
        <v>36</v>
      </c>
      <c r="B153" s="50" t="s">
        <v>2853</v>
      </c>
      <c r="C153" s="50" t="s">
        <v>2854</v>
      </c>
      <c r="D153" s="48" t="s">
        <v>1135</v>
      </c>
      <c r="E153" s="50" t="s">
        <v>235</v>
      </c>
      <c r="F153" s="85" t="s">
        <v>2855</v>
      </c>
      <c r="G153" s="76" t="s">
        <v>2856</v>
      </c>
      <c r="H153" s="50">
        <v>9199</v>
      </c>
      <c r="I153" s="49" t="s">
        <v>1</v>
      </c>
      <c r="J153" s="50" t="s">
        <v>510</v>
      </c>
      <c r="K153" s="51">
        <v>40843</v>
      </c>
      <c r="L153" s="115">
        <v>40836</v>
      </c>
      <c r="M153" s="402">
        <f t="shared" si="7"/>
        <v>7</v>
      </c>
      <c r="N153" s="50" t="s">
        <v>1</v>
      </c>
      <c r="O153" s="131">
        <v>8.6</v>
      </c>
      <c r="P153" s="117">
        <v>4.7300000000000004</v>
      </c>
      <c r="Q153" s="131">
        <v>7.9</v>
      </c>
      <c r="R153" s="50">
        <v>155</v>
      </c>
      <c r="S153" s="74">
        <v>491</v>
      </c>
      <c r="T153" s="50">
        <v>0.63</v>
      </c>
      <c r="U153" s="74">
        <v>5.5</v>
      </c>
      <c r="V153" s="50">
        <v>2.6</v>
      </c>
      <c r="W153" s="74">
        <v>7.8E-2</v>
      </c>
      <c r="X153" s="50">
        <v>0.16900000000000001</v>
      </c>
      <c r="Y153" s="74">
        <v>3.1E-2</v>
      </c>
      <c r="Z153" s="164">
        <v>1</v>
      </c>
      <c r="AA153" s="165">
        <v>1</v>
      </c>
      <c r="AB153" s="50">
        <v>68</v>
      </c>
      <c r="AC153" s="74">
        <v>883</v>
      </c>
      <c r="AD153" s="164">
        <v>1</v>
      </c>
      <c r="AE153" s="50">
        <v>207</v>
      </c>
      <c r="AF153" s="113">
        <f>0.05/2</f>
        <v>2.5000000000000001E-2</v>
      </c>
      <c r="AG153" s="54"/>
      <c r="AH153" s="54"/>
      <c r="AI153" s="113"/>
      <c r="AJ153" s="50"/>
      <c r="AK153" s="74"/>
      <c r="AL153" s="74"/>
      <c r="AM153" s="74"/>
      <c r="AN153" s="74"/>
      <c r="AO153" s="74"/>
      <c r="AP153" s="74"/>
      <c r="AQ153" s="74"/>
      <c r="AR153" s="74"/>
      <c r="AS153" s="74"/>
      <c r="AT153" s="74"/>
    </row>
    <row r="154" spans="1:46" ht="15" customHeight="1">
      <c r="A154" s="41" t="s">
        <v>36</v>
      </c>
      <c r="B154" s="50" t="s">
        <v>2853</v>
      </c>
      <c r="C154" s="50" t="s">
        <v>2854</v>
      </c>
      <c r="D154" s="48" t="s">
        <v>1135</v>
      </c>
      <c r="E154" s="50" t="s">
        <v>235</v>
      </c>
      <c r="F154" s="85" t="s">
        <v>2855</v>
      </c>
      <c r="G154" s="76" t="s">
        <v>2856</v>
      </c>
      <c r="H154" s="50">
        <v>9199</v>
      </c>
      <c r="I154" s="49" t="s">
        <v>1</v>
      </c>
      <c r="J154" s="50" t="s">
        <v>460</v>
      </c>
      <c r="K154" s="51">
        <v>40843</v>
      </c>
      <c r="L154" s="115">
        <v>40836</v>
      </c>
      <c r="M154" s="402">
        <f t="shared" si="7"/>
        <v>7</v>
      </c>
      <c r="N154" s="50" t="s">
        <v>1</v>
      </c>
      <c r="O154" s="131">
        <f>2/2</f>
        <v>1</v>
      </c>
      <c r="P154" s="117">
        <v>4.7300000000000004</v>
      </c>
      <c r="Q154" s="131">
        <v>6.7</v>
      </c>
      <c r="R154" s="50">
        <v>48</v>
      </c>
      <c r="S154" s="74">
        <v>31</v>
      </c>
      <c r="T154" s="50">
        <v>0.08</v>
      </c>
      <c r="U154" s="74">
        <v>2.33</v>
      </c>
      <c r="V154" s="50">
        <v>1.3</v>
      </c>
      <c r="W154" s="74">
        <v>1.2999999999999999E-2</v>
      </c>
      <c r="X154" s="50">
        <v>0.06</v>
      </c>
      <c r="Y154" s="74">
        <f>0.03/2</f>
        <v>1.4999999999999999E-2</v>
      </c>
      <c r="Z154" s="164">
        <v>1</v>
      </c>
      <c r="AA154" s="165">
        <v>1</v>
      </c>
      <c r="AB154" s="50">
        <v>20</v>
      </c>
      <c r="AC154" s="74">
        <v>88</v>
      </c>
      <c r="AD154" s="164">
        <v>1</v>
      </c>
      <c r="AE154" s="50">
        <v>7.8</v>
      </c>
      <c r="AF154" s="113">
        <f>0.05/2</f>
        <v>2.5000000000000001E-2</v>
      </c>
      <c r="AG154" s="54"/>
      <c r="AH154" s="54"/>
      <c r="AI154" s="113"/>
      <c r="AJ154" s="50"/>
      <c r="AK154" s="74"/>
      <c r="AL154" s="74"/>
      <c r="AM154" s="74"/>
      <c r="AN154" s="74"/>
      <c r="AO154" s="74"/>
      <c r="AP154" s="74"/>
      <c r="AQ154" s="74"/>
      <c r="AR154" s="74"/>
      <c r="AS154" s="74"/>
      <c r="AT154" s="74"/>
    </row>
    <row r="155" spans="1:46" ht="15" customHeight="1">
      <c r="A155" s="41" t="s">
        <v>36</v>
      </c>
      <c r="B155" s="50" t="s">
        <v>2853</v>
      </c>
      <c r="C155" s="50" t="s">
        <v>2854</v>
      </c>
      <c r="D155" s="48" t="s">
        <v>1135</v>
      </c>
      <c r="E155" s="50" t="s">
        <v>235</v>
      </c>
      <c r="F155" s="85" t="s">
        <v>2855</v>
      </c>
      <c r="G155" s="76" t="s">
        <v>2856</v>
      </c>
      <c r="H155" s="50">
        <v>9199</v>
      </c>
      <c r="I155" s="49" t="s">
        <v>1</v>
      </c>
      <c r="J155" s="50" t="s">
        <v>510</v>
      </c>
      <c r="K155" s="51">
        <v>41044</v>
      </c>
      <c r="L155" s="115">
        <v>41039</v>
      </c>
      <c r="M155" s="402">
        <f t="shared" si="7"/>
        <v>5</v>
      </c>
      <c r="N155" s="50" t="s">
        <v>2</v>
      </c>
      <c r="O155" s="131">
        <v>14.5</v>
      </c>
      <c r="P155" s="117">
        <v>4.26</v>
      </c>
      <c r="Q155" s="131">
        <v>7.1</v>
      </c>
      <c r="R155" s="50">
        <v>228</v>
      </c>
      <c r="S155" s="74">
        <v>1076</v>
      </c>
      <c r="T155" s="50">
        <v>0.49</v>
      </c>
      <c r="U155" s="74">
        <v>4.8099999999999996</v>
      </c>
      <c r="V155" s="50">
        <v>1.86</v>
      </c>
      <c r="W155" s="74">
        <v>0.16</v>
      </c>
      <c r="X155" s="50">
        <v>0.35199999999999998</v>
      </c>
      <c r="Y155" s="74">
        <v>3.7999999999999999E-2</v>
      </c>
      <c r="AE155" s="50">
        <v>973</v>
      </c>
      <c r="AF155" s="113">
        <f>0.05/2</f>
        <v>2.5000000000000001E-2</v>
      </c>
      <c r="AG155" s="386"/>
      <c r="AH155" s="386"/>
    </row>
    <row r="156" spans="1:46" ht="15" customHeight="1">
      <c r="A156" s="41" t="s">
        <v>36</v>
      </c>
      <c r="B156" s="50" t="s">
        <v>2853</v>
      </c>
      <c r="C156" s="50" t="s">
        <v>2854</v>
      </c>
      <c r="D156" s="48" t="s">
        <v>1135</v>
      </c>
      <c r="E156" s="50" t="s">
        <v>235</v>
      </c>
      <c r="F156" s="85" t="s">
        <v>2855</v>
      </c>
      <c r="G156" s="76" t="s">
        <v>2856</v>
      </c>
      <c r="H156" s="50">
        <v>9199</v>
      </c>
      <c r="I156" s="49" t="s">
        <v>1</v>
      </c>
      <c r="J156" s="50" t="s">
        <v>460</v>
      </c>
      <c r="K156" s="51">
        <v>41044</v>
      </c>
      <c r="L156" s="115">
        <v>41039</v>
      </c>
      <c r="M156" s="402"/>
      <c r="N156" s="50" t="s">
        <v>2</v>
      </c>
      <c r="O156" s="131">
        <f>2/2</f>
        <v>1</v>
      </c>
      <c r="P156" s="117">
        <v>4.26</v>
      </c>
      <c r="Q156" s="131">
        <v>6.6</v>
      </c>
      <c r="R156" s="50">
        <v>12</v>
      </c>
      <c r="S156" s="74">
        <v>13</v>
      </c>
      <c r="T156" s="50">
        <v>0.09</v>
      </c>
      <c r="U156" s="74">
        <v>1.73</v>
      </c>
      <c r="V156" s="50">
        <v>0.27</v>
      </c>
      <c r="W156" s="74">
        <v>2.3E-2</v>
      </c>
      <c r="X156" s="50">
        <v>4.7E-2</v>
      </c>
      <c r="Y156" s="74">
        <f>0.03/2</f>
        <v>1.4999999999999999E-2</v>
      </c>
      <c r="Z156" s="164">
        <v>1</v>
      </c>
      <c r="AA156" s="165">
        <v>1</v>
      </c>
      <c r="AF156" s="113"/>
      <c r="AG156" s="54"/>
      <c r="AH156" s="54"/>
      <c r="AI156" s="113"/>
      <c r="AJ156" s="50"/>
      <c r="AK156" s="74"/>
      <c r="AL156" s="74"/>
      <c r="AM156" s="74"/>
      <c r="AN156" s="74"/>
      <c r="AO156" s="74"/>
      <c r="AP156" s="74"/>
      <c r="AQ156" s="74"/>
      <c r="AR156" s="74"/>
      <c r="AS156" s="74"/>
      <c r="AT156" s="74"/>
    </row>
    <row r="157" spans="1:46" ht="15" customHeight="1">
      <c r="A157" s="41" t="s">
        <v>36</v>
      </c>
      <c r="B157" s="50" t="s">
        <v>2857</v>
      </c>
      <c r="C157" s="50" t="s">
        <v>2858</v>
      </c>
      <c r="D157" s="48" t="s">
        <v>2859</v>
      </c>
      <c r="E157" s="50" t="s">
        <v>2860</v>
      </c>
      <c r="F157" s="85" t="s">
        <v>2667</v>
      </c>
      <c r="G157" s="76" t="s">
        <v>2861</v>
      </c>
      <c r="H157" s="50">
        <v>9199</v>
      </c>
      <c r="I157" s="49" t="s">
        <v>2</v>
      </c>
      <c r="J157" s="50" t="s">
        <v>2862</v>
      </c>
      <c r="K157" s="51">
        <v>41030</v>
      </c>
      <c r="L157" s="115">
        <v>41022</v>
      </c>
      <c r="M157" s="402">
        <f t="shared" si="7"/>
        <v>8</v>
      </c>
      <c r="N157" s="50" t="s">
        <v>2</v>
      </c>
      <c r="O157" s="131">
        <v>1.3</v>
      </c>
      <c r="P157" s="117">
        <v>7</v>
      </c>
      <c r="Q157" s="131">
        <v>7.5</v>
      </c>
      <c r="R157" s="50">
        <v>11</v>
      </c>
      <c r="S157" s="74">
        <v>7</v>
      </c>
      <c r="T157" s="50">
        <f>0.01/2</f>
        <v>5.0000000000000001E-3</v>
      </c>
      <c r="U157" s="74">
        <v>0.38</v>
      </c>
      <c r="V157" s="50">
        <v>0.64</v>
      </c>
      <c r="W157" s="74">
        <f>0.005/2</f>
        <v>2.5000000000000001E-3</v>
      </c>
      <c r="X157" s="50">
        <v>0.04</v>
      </c>
      <c r="Y157" s="74">
        <f>0.01/2</f>
        <v>5.0000000000000001E-3</v>
      </c>
      <c r="Z157" s="164">
        <v>1</v>
      </c>
      <c r="AA157" s="165">
        <v>1</v>
      </c>
      <c r="AB157" s="50">
        <v>247</v>
      </c>
      <c r="AC157" s="74">
        <v>393</v>
      </c>
      <c r="AD157" s="164">
        <v>1</v>
      </c>
      <c r="AF157" s="113">
        <f>0.01/2</f>
        <v>5.0000000000000001E-3</v>
      </c>
      <c r="AG157" s="54"/>
      <c r="AH157" s="54"/>
      <c r="AI157" s="113"/>
      <c r="AJ157" s="50"/>
      <c r="AK157" s="74"/>
      <c r="AL157" s="74"/>
      <c r="AM157" s="74"/>
      <c r="AN157" s="74"/>
      <c r="AO157" s="74"/>
      <c r="AP157" s="74"/>
      <c r="AQ157" s="74"/>
      <c r="AR157" s="74"/>
      <c r="AS157" s="74"/>
      <c r="AT157" s="74"/>
    </row>
    <row r="158" spans="1:46" ht="15" customHeight="1">
      <c r="A158" s="41" t="s">
        <v>36</v>
      </c>
      <c r="B158" s="50" t="s">
        <v>2857</v>
      </c>
      <c r="C158" s="50" t="s">
        <v>2858</v>
      </c>
      <c r="D158" s="48" t="s">
        <v>2859</v>
      </c>
      <c r="E158" s="50" t="s">
        <v>2860</v>
      </c>
      <c r="F158" s="85" t="s">
        <v>2667</v>
      </c>
      <c r="G158" s="76" t="s">
        <v>2861</v>
      </c>
      <c r="H158" s="50">
        <v>9199</v>
      </c>
      <c r="I158" s="49" t="s">
        <v>2</v>
      </c>
      <c r="J158" s="50" t="s">
        <v>2862</v>
      </c>
      <c r="K158" s="51">
        <v>41170</v>
      </c>
      <c r="L158" s="115">
        <v>41160</v>
      </c>
      <c r="M158" s="402">
        <f t="shared" si="7"/>
        <v>10</v>
      </c>
      <c r="N158" s="50" t="s">
        <v>2</v>
      </c>
      <c r="O158" s="131">
        <v>1.2</v>
      </c>
      <c r="P158" s="117">
        <v>4.87</v>
      </c>
      <c r="Q158" s="131">
        <v>7.3</v>
      </c>
      <c r="R158" s="50">
        <v>14</v>
      </c>
      <c r="S158" s="74">
        <v>12</v>
      </c>
      <c r="T158" s="50">
        <f>0.01/2</f>
        <v>5.0000000000000001E-3</v>
      </c>
      <c r="U158" s="74">
        <v>0.35</v>
      </c>
      <c r="V158" s="50">
        <v>0.48</v>
      </c>
      <c r="W158" s="74">
        <f>0.005/2</f>
        <v>2.5000000000000001E-3</v>
      </c>
      <c r="X158" s="50">
        <v>0.06</v>
      </c>
      <c r="Y158" s="74">
        <f>0.001/2</f>
        <v>5.0000000000000001E-4</v>
      </c>
      <c r="AE158" s="50">
        <v>101</v>
      </c>
      <c r="AF158" s="113">
        <f>0.01/2</f>
        <v>5.0000000000000001E-3</v>
      </c>
      <c r="AG158" s="386"/>
      <c r="AH158" s="386"/>
    </row>
    <row r="159" spans="1:46" ht="15" customHeight="1">
      <c r="A159" s="41" t="s">
        <v>36</v>
      </c>
      <c r="B159" s="50" t="s">
        <v>2643</v>
      </c>
      <c r="C159" s="50" t="s">
        <v>392</v>
      </c>
      <c r="D159" s="48" t="s">
        <v>290</v>
      </c>
      <c r="E159" s="50" t="s">
        <v>112</v>
      </c>
      <c r="G159" s="76" t="s">
        <v>2644</v>
      </c>
      <c r="H159" s="50">
        <v>4953</v>
      </c>
      <c r="I159" s="49" t="s">
        <v>1</v>
      </c>
      <c r="J159" s="50" t="s">
        <v>2681</v>
      </c>
      <c r="K159" s="51">
        <v>41170</v>
      </c>
      <c r="L159" s="115">
        <v>41161</v>
      </c>
      <c r="M159" s="402">
        <f t="shared" si="7"/>
        <v>9</v>
      </c>
      <c r="N159" s="50" t="s">
        <v>2</v>
      </c>
      <c r="O159" s="131">
        <f>1.4/2</f>
        <v>0.7</v>
      </c>
      <c r="P159" s="117">
        <v>4.21</v>
      </c>
      <c r="Q159" s="131">
        <v>7.14</v>
      </c>
      <c r="R159" s="50">
        <v>110</v>
      </c>
      <c r="S159" s="74">
        <v>14</v>
      </c>
      <c r="T159" s="50">
        <v>0.52</v>
      </c>
      <c r="U159" s="74">
        <v>3.36</v>
      </c>
      <c r="V159" s="50">
        <f>0.01/2</f>
        <v>5.0000000000000001E-3</v>
      </c>
      <c r="W159" s="74">
        <v>8.0000000000000002E-3</v>
      </c>
      <c r="X159" s="50">
        <v>7.0000000000000001E-3</v>
      </c>
      <c r="Y159" s="74">
        <v>6.0000000000000001E-3</v>
      </c>
      <c r="AE159" s="50">
        <v>740</v>
      </c>
      <c r="AF159" s="113">
        <f>0.01/2</f>
        <v>5.0000000000000001E-3</v>
      </c>
      <c r="AG159" s="54"/>
      <c r="AH159" s="54">
        <v>134</v>
      </c>
      <c r="AI159" s="113"/>
      <c r="AJ159" s="50"/>
      <c r="AK159" s="74"/>
      <c r="AL159" s="74"/>
      <c r="AM159" s="74"/>
      <c r="AN159" s="74"/>
      <c r="AO159" s="74"/>
      <c r="AP159" s="74"/>
      <c r="AQ159" s="74"/>
      <c r="AR159" s="74"/>
      <c r="AS159" s="74"/>
      <c r="AT159" s="74"/>
    </row>
    <row r="160" spans="1:46" ht="15" customHeight="1">
      <c r="A160" s="41" t="s">
        <v>36</v>
      </c>
      <c r="B160" s="50" t="s">
        <v>2863</v>
      </c>
      <c r="C160" s="50" t="s">
        <v>2864</v>
      </c>
      <c r="D160" s="48" t="s">
        <v>861</v>
      </c>
      <c r="E160" s="50" t="s">
        <v>862</v>
      </c>
      <c r="G160" s="76" t="s">
        <v>2865</v>
      </c>
      <c r="H160" s="50">
        <v>9199</v>
      </c>
      <c r="I160" s="49" t="s">
        <v>2</v>
      </c>
      <c r="J160" s="50" t="s">
        <v>700</v>
      </c>
      <c r="K160" s="51">
        <v>40996</v>
      </c>
      <c r="L160" s="115">
        <v>40989</v>
      </c>
      <c r="M160" s="402">
        <f t="shared" si="7"/>
        <v>7</v>
      </c>
      <c r="N160" s="50" t="s">
        <v>2</v>
      </c>
      <c r="O160" s="131">
        <f>1.9/2</f>
        <v>0.95</v>
      </c>
      <c r="P160" s="117">
        <v>5.2</v>
      </c>
      <c r="Q160" s="131">
        <v>6.4</v>
      </c>
      <c r="R160" s="50">
        <v>55</v>
      </c>
      <c r="S160" s="74">
        <v>59</v>
      </c>
      <c r="T160" s="50">
        <v>0.20100000000000001</v>
      </c>
      <c r="U160" s="74">
        <v>1.1000000000000001</v>
      </c>
      <c r="V160" s="50">
        <v>0.51</v>
      </c>
      <c r="W160" s="74">
        <v>1.2999999999999999E-2</v>
      </c>
      <c r="X160" s="50">
        <v>0.14799999999999999</v>
      </c>
      <c r="Y160" s="74">
        <v>7.4999999999999997E-3</v>
      </c>
      <c r="Z160" s="164">
        <v>1</v>
      </c>
      <c r="AA160" s="165">
        <v>1</v>
      </c>
      <c r="AB160" s="50">
        <v>28</v>
      </c>
      <c r="AC160" s="74">
        <v>64</v>
      </c>
      <c r="AD160" s="164">
        <v>1</v>
      </c>
      <c r="AE160" s="50">
        <v>13</v>
      </c>
      <c r="AF160" s="113">
        <f>0.02/2</f>
        <v>0.01</v>
      </c>
      <c r="AG160" s="54"/>
      <c r="AH160" s="54"/>
      <c r="AI160" s="113"/>
      <c r="AJ160" s="50"/>
      <c r="AK160" s="74"/>
      <c r="AL160" s="74"/>
      <c r="AM160" s="74"/>
      <c r="AN160" s="74"/>
      <c r="AO160" s="74"/>
      <c r="AP160" s="74"/>
      <c r="AQ160" s="74"/>
      <c r="AR160" s="74"/>
      <c r="AS160" s="74"/>
      <c r="AT160" s="74"/>
    </row>
    <row r="161" spans="1:46" ht="15" customHeight="1">
      <c r="A161" s="41" t="s">
        <v>36</v>
      </c>
      <c r="B161" s="50" t="s">
        <v>2863</v>
      </c>
      <c r="C161" s="50" t="s">
        <v>2866</v>
      </c>
      <c r="D161" s="48" t="s">
        <v>861</v>
      </c>
      <c r="E161" s="50" t="s">
        <v>2867</v>
      </c>
      <c r="G161" s="76" t="s">
        <v>2868</v>
      </c>
      <c r="H161" s="50">
        <v>4953</v>
      </c>
      <c r="I161" s="49" t="s">
        <v>2</v>
      </c>
      <c r="J161" s="50" t="s">
        <v>700</v>
      </c>
      <c r="K161" s="51">
        <v>40996</v>
      </c>
      <c r="L161" s="115">
        <v>40989</v>
      </c>
      <c r="M161" s="402">
        <f t="shared" si="7"/>
        <v>7</v>
      </c>
      <c r="N161" s="50" t="s">
        <v>2</v>
      </c>
      <c r="O161" s="131">
        <f>1.9/2</f>
        <v>0.95</v>
      </c>
      <c r="P161" s="117">
        <v>5.2</v>
      </c>
      <c r="Q161" s="131">
        <v>6.4</v>
      </c>
      <c r="R161" s="50">
        <v>1000</v>
      </c>
      <c r="S161" s="74">
        <v>765</v>
      </c>
      <c r="T161" s="50">
        <v>3.09</v>
      </c>
      <c r="U161" s="74">
        <v>12</v>
      </c>
      <c r="V161" s="50">
        <v>0.7</v>
      </c>
      <c r="W161" s="74">
        <v>0.08</v>
      </c>
      <c r="X161" s="50">
        <v>0.47</v>
      </c>
      <c r="Y161" s="74">
        <v>0.121</v>
      </c>
      <c r="Z161" s="164">
        <v>1</v>
      </c>
      <c r="AA161" s="165">
        <v>1</v>
      </c>
      <c r="AB161" s="50">
        <v>30</v>
      </c>
      <c r="AC161" s="74">
        <v>323</v>
      </c>
      <c r="AD161" s="164">
        <v>1</v>
      </c>
      <c r="AF161" s="113"/>
      <c r="AG161" s="54"/>
      <c r="AH161" s="54"/>
      <c r="AI161" s="113"/>
      <c r="AJ161" s="50"/>
      <c r="AK161" s="74"/>
      <c r="AL161" s="74"/>
      <c r="AM161" s="74"/>
      <c r="AN161" s="74"/>
      <c r="AO161" s="74"/>
      <c r="AP161" s="74"/>
      <c r="AQ161" s="74"/>
      <c r="AR161" s="74"/>
      <c r="AS161" s="74"/>
      <c r="AT161" s="74"/>
    </row>
    <row r="162" spans="1:46" ht="15" customHeight="1">
      <c r="A162" s="41" t="s">
        <v>36</v>
      </c>
      <c r="B162" s="50" t="s">
        <v>2863</v>
      </c>
      <c r="C162" s="50" t="s">
        <v>2866</v>
      </c>
      <c r="D162" s="48" t="s">
        <v>861</v>
      </c>
      <c r="E162" s="50" t="s">
        <v>2867</v>
      </c>
      <c r="G162" s="76" t="s">
        <v>2868</v>
      </c>
      <c r="H162" s="50">
        <v>4953</v>
      </c>
      <c r="I162" s="49" t="s">
        <v>2</v>
      </c>
      <c r="J162" s="50" t="s">
        <v>700</v>
      </c>
      <c r="K162" s="51">
        <v>41156</v>
      </c>
      <c r="L162" s="115">
        <v>41152</v>
      </c>
      <c r="M162" s="402">
        <f t="shared" si="7"/>
        <v>4</v>
      </c>
      <c r="N162" s="50" t="s">
        <v>2</v>
      </c>
      <c r="O162" s="131">
        <f>2.2/2</f>
        <v>1.1000000000000001</v>
      </c>
      <c r="P162" s="117">
        <v>5.2</v>
      </c>
      <c r="Q162" s="131">
        <v>7</v>
      </c>
      <c r="R162" s="50">
        <v>82</v>
      </c>
      <c r="S162" s="74">
        <v>8.4</v>
      </c>
      <c r="T162" s="50">
        <v>0.55200000000000005</v>
      </c>
      <c r="U162" s="74">
        <v>1.7</v>
      </c>
      <c r="V162" s="50">
        <v>0.54</v>
      </c>
      <c r="W162" s="74">
        <v>1.2E-2</v>
      </c>
      <c r="X162" s="50">
        <v>8.1000000000000003E-2</v>
      </c>
      <c r="Y162" s="74">
        <f>0.005</f>
        <v>5.0000000000000001E-3</v>
      </c>
      <c r="AF162" s="113"/>
      <c r="AG162" s="54"/>
      <c r="AH162" s="54"/>
      <c r="AI162" s="113"/>
      <c r="AJ162" s="50"/>
      <c r="AK162" s="74"/>
      <c r="AL162" s="74"/>
      <c r="AM162" s="74"/>
      <c r="AN162" s="74"/>
      <c r="AO162" s="74"/>
      <c r="AP162" s="74"/>
      <c r="AQ162" s="74"/>
      <c r="AR162" s="74"/>
      <c r="AS162" s="74"/>
      <c r="AT162" s="74"/>
    </row>
    <row r="163" spans="1:46" ht="15" customHeight="1">
      <c r="A163" s="41" t="s">
        <v>36</v>
      </c>
      <c r="B163" s="50" t="s">
        <v>2863</v>
      </c>
      <c r="C163" s="50" t="s">
        <v>2864</v>
      </c>
      <c r="D163" s="48" t="s">
        <v>861</v>
      </c>
      <c r="E163" s="50" t="s">
        <v>862</v>
      </c>
      <c r="G163" s="76" t="s">
        <v>2865</v>
      </c>
      <c r="H163" s="50">
        <v>9199</v>
      </c>
      <c r="I163" s="49" t="s">
        <v>2</v>
      </c>
      <c r="J163" s="50" t="s">
        <v>700</v>
      </c>
      <c r="K163" s="51">
        <v>41157</v>
      </c>
      <c r="L163" s="115">
        <v>41156</v>
      </c>
      <c r="M163" s="402">
        <f t="shared" si="7"/>
        <v>1</v>
      </c>
      <c r="N163" s="50" t="s">
        <v>2</v>
      </c>
      <c r="O163" s="131">
        <f>1.8/2</f>
        <v>0.9</v>
      </c>
      <c r="P163" s="117">
        <v>6.2</v>
      </c>
      <c r="Q163" s="131">
        <v>6.2</v>
      </c>
      <c r="R163" s="50">
        <v>34</v>
      </c>
      <c r="S163" s="74">
        <v>54.4</v>
      </c>
      <c r="T163" s="50">
        <v>8.6999999999999994E-2</v>
      </c>
      <c r="U163" s="74">
        <f>1/2</f>
        <v>0.5</v>
      </c>
      <c r="V163" s="50">
        <f>0.46/2</f>
        <v>0.23</v>
      </c>
      <c r="W163" s="74">
        <f>0.005/2</f>
        <v>2.5000000000000001E-3</v>
      </c>
      <c r="X163" s="50">
        <v>3.5000000000000003E-2</v>
      </c>
      <c r="Y163" s="74">
        <f>0.005/2</f>
        <v>2.5000000000000001E-3</v>
      </c>
      <c r="AF163" s="113"/>
      <c r="AG163" s="54"/>
      <c r="AH163" s="54"/>
      <c r="AI163" s="113"/>
      <c r="AJ163" s="50"/>
      <c r="AK163" s="74"/>
      <c r="AL163" s="74"/>
      <c r="AM163" s="74"/>
      <c r="AN163" s="74"/>
      <c r="AO163" s="74"/>
      <c r="AP163" s="74"/>
      <c r="AQ163" s="74"/>
      <c r="AR163" s="74"/>
      <c r="AS163" s="74"/>
      <c r="AT163" s="74"/>
    </row>
    <row r="164" spans="1:46" ht="15" customHeight="1">
      <c r="A164" s="41" t="s">
        <v>36</v>
      </c>
      <c r="B164" s="50" t="s">
        <v>2647</v>
      </c>
      <c r="C164" s="50" t="s">
        <v>2869</v>
      </c>
      <c r="D164" s="48" t="s">
        <v>1896</v>
      </c>
      <c r="E164" s="50" t="s">
        <v>2870</v>
      </c>
      <c r="G164" s="76" t="s">
        <v>2871</v>
      </c>
      <c r="H164" s="50">
        <v>9199</v>
      </c>
      <c r="I164" s="49" t="s">
        <v>2</v>
      </c>
      <c r="J164" s="50" t="s">
        <v>510</v>
      </c>
      <c r="K164" s="51">
        <v>41201</v>
      </c>
      <c r="L164" s="115">
        <v>41197</v>
      </c>
      <c r="M164" s="402">
        <f t="shared" si="7"/>
        <v>4</v>
      </c>
      <c r="N164" s="50" t="s">
        <v>2</v>
      </c>
      <c r="O164" s="131">
        <f>5/2</f>
        <v>2.5</v>
      </c>
      <c r="P164" s="117">
        <v>6.44</v>
      </c>
      <c r="Q164" s="131">
        <v>6.5</v>
      </c>
      <c r="R164" s="50">
        <v>25</v>
      </c>
      <c r="S164" s="74">
        <v>16</v>
      </c>
      <c r="T164" s="50">
        <f>0.1/2</f>
        <v>0.05</v>
      </c>
      <c r="U164" s="74">
        <f>1/2</f>
        <v>0.5</v>
      </c>
      <c r="V164" s="50">
        <v>2.7</v>
      </c>
      <c r="W164" s="74">
        <f>0.04/2</f>
        <v>0.02</v>
      </c>
      <c r="X164" s="50">
        <v>4.5999999999999999E-2</v>
      </c>
      <c r="Y164" s="74">
        <f>0.013/2</f>
        <v>6.4999999999999997E-3</v>
      </c>
      <c r="Z164" s="164">
        <v>1</v>
      </c>
      <c r="AA164" s="165">
        <v>1</v>
      </c>
      <c r="AB164" s="50">
        <v>18</v>
      </c>
      <c r="AC164" s="74">
        <v>73</v>
      </c>
      <c r="AD164" s="164">
        <v>0.95</v>
      </c>
      <c r="AE164" s="50">
        <v>220</v>
      </c>
      <c r="AF164" s="113">
        <f>0.05/2</f>
        <v>2.5000000000000001E-2</v>
      </c>
      <c r="AG164" s="54"/>
      <c r="AH164" s="54"/>
      <c r="AI164" s="113"/>
      <c r="AJ164" s="50"/>
      <c r="AK164" s="74"/>
      <c r="AL164" s="74"/>
      <c r="AM164" s="74"/>
      <c r="AN164" s="74"/>
      <c r="AO164" s="74"/>
      <c r="AP164" s="74"/>
      <c r="AQ164" s="74"/>
      <c r="AR164" s="74"/>
      <c r="AS164" s="74"/>
      <c r="AT164" s="74"/>
    </row>
    <row r="165" spans="1:46" ht="15" customHeight="1">
      <c r="A165" s="41" t="s">
        <v>36</v>
      </c>
      <c r="B165" s="50" t="s">
        <v>2647</v>
      </c>
      <c r="C165" s="50" t="s">
        <v>2869</v>
      </c>
      <c r="D165" s="48" t="s">
        <v>1896</v>
      </c>
      <c r="E165" s="50" t="s">
        <v>2870</v>
      </c>
      <c r="G165" s="76" t="s">
        <v>2871</v>
      </c>
      <c r="H165" s="50">
        <v>9199</v>
      </c>
      <c r="I165" s="49" t="s">
        <v>2</v>
      </c>
      <c r="J165" s="50" t="s">
        <v>460</v>
      </c>
      <c r="K165" s="51">
        <v>41201</v>
      </c>
      <c r="L165" s="115">
        <v>41197</v>
      </c>
      <c r="M165" s="402">
        <f t="shared" si="7"/>
        <v>4</v>
      </c>
      <c r="N165" s="50" t="s">
        <v>2</v>
      </c>
      <c r="O165" s="131">
        <f>5/2</f>
        <v>2.5</v>
      </c>
      <c r="P165" s="117">
        <v>6.44</v>
      </c>
      <c r="Q165" s="131">
        <v>6.51</v>
      </c>
      <c r="R165" s="50">
        <v>61</v>
      </c>
      <c r="S165" s="74">
        <v>46</v>
      </c>
      <c r="T165" s="50">
        <v>0.26</v>
      </c>
      <c r="U165" s="74">
        <v>1.2</v>
      </c>
      <c r="V165" s="50">
        <v>0.24</v>
      </c>
      <c r="W165" s="74">
        <f>0.04/2</f>
        <v>0.02</v>
      </c>
      <c r="X165" s="50">
        <v>8.8999999999999996E-2</v>
      </c>
      <c r="Y165" s="74">
        <f>0.013/2</f>
        <v>6.4999999999999997E-3</v>
      </c>
      <c r="Z165" s="164">
        <v>1</v>
      </c>
      <c r="AA165" s="165">
        <v>1</v>
      </c>
      <c r="AB165" s="50">
        <v>18</v>
      </c>
      <c r="AC165" s="74">
        <v>73</v>
      </c>
      <c r="AD165" s="164">
        <v>0.55000000000000004</v>
      </c>
      <c r="AE165" s="50">
        <v>5.9</v>
      </c>
      <c r="AF165" s="113">
        <f>0.05/2</f>
        <v>2.5000000000000001E-2</v>
      </c>
      <c r="AG165" s="54"/>
      <c r="AH165" s="54"/>
      <c r="AI165" s="113"/>
      <c r="AJ165" s="50"/>
      <c r="AK165" s="74"/>
      <c r="AL165" s="74"/>
      <c r="AM165" s="74"/>
      <c r="AN165" s="74"/>
      <c r="AO165" s="74"/>
      <c r="AP165" s="74"/>
      <c r="AQ165" s="74"/>
      <c r="AR165" s="74"/>
      <c r="AS165" s="74"/>
      <c r="AT165" s="74"/>
    </row>
    <row r="166" spans="1:46" ht="15" customHeight="1">
      <c r="A166" s="41" t="s">
        <v>36</v>
      </c>
      <c r="B166" s="50" t="s">
        <v>2617</v>
      </c>
      <c r="C166" s="50" t="s">
        <v>2660</v>
      </c>
      <c r="D166" s="48" t="s">
        <v>1569</v>
      </c>
      <c r="E166" s="50" t="s">
        <v>1601</v>
      </c>
      <c r="G166" s="76" t="s">
        <v>2872</v>
      </c>
      <c r="H166" s="50">
        <v>9199</v>
      </c>
      <c r="I166" s="49" t="s">
        <v>2</v>
      </c>
      <c r="J166" s="50" t="s">
        <v>2873</v>
      </c>
      <c r="K166" s="51">
        <v>41021</v>
      </c>
      <c r="L166" s="115">
        <v>41011</v>
      </c>
      <c r="M166" s="402">
        <f t="shared" si="7"/>
        <v>10</v>
      </c>
      <c r="N166" s="50" t="s">
        <v>2</v>
      </c>
      <c r="O166" s="131">
        <f>1.4/2</f>
        <v>0.7</v>
      </c>
      <c r="P166" s="117">
        <v>6.58</v>
      </c>
      <c r="Q166" s="131">
        <v>6.73</v>
      </c>
      <c r="R166" s="50">
        <v>27</v>
      </c>
      <c r="S166" s="74">
        <v>50</v>
      </c>
      <c r="T166" s="50">
        <v>0.13</v>
      </c>
      <c r="U166" s="74">
        <v>1.08</v>
      </c>
      <c r="V166" s="50">
        <v>0.19</v>
      </c>
      <c r="W166" s="74">
        <v>4.2999999999999997E-2</v>
      </c>
      <c r="X166" s="50">
        <v>4.5999999999999999E-2</v>
      </c>
      <c r="Y166" s="74">
        <v>7.0000000000000001E-3</v>
      </c>
      <c r="Z166" s="164">
        <v>1</v>
      </c>
      <c r="AA166" s="165">
        <v>1</v>
      </c>
      <c r="AB166" s="50">
        <v>22</v>
      </c>
      <c r="AC166" s="74">
        <v>783</v>
      </c>
      <c r="AD166" s="164">
        <v>1</v>
      </c>
      <c r="AE166" s="50">
        <v>193</v>
      </c>
      <c r="AF166" s="113">
        <v>0.01</v>
      </c>
      <c r="AG166" s="54"/>
      <c r="AH166" s="54"/>
      <c r="AI166" s="113"/>
      <c r="AJ166" s="50"/>
      <c r="AK166" s="74"/>
      <c r="AL166" s="74"/>
      <c r="AM166" s="74"/>
      <c r="AN166" s="74"/>
      <c r="AO166" s="74"/>
      <c r="AP166" s="74"/>
      <c r="AQ166" s="74"/>
      <c r="AR166" s="74"/>
      <c r="AS166" s="74"/>
      <c r="AT166" s="74"/>
    </row>
    <row r="167" spans="1:46" ht="15" customHeight="1">
      <c r="A167" s="41" t="s">
        <v>36</v>
      </c>
      <c r="B167" s="50" t="s">
        <v>2617</v>
      </c>
      <c r="C167" s="50" t="s">
        <v>2660</v>
      </c>
      <c r="D167" s="48" t="s">
        <v>1569</v>
      </c>
      <c r="E167" s="50" t="s">
        <v>1601</v>
      </c>
      <c r="G167" s="76" t="s">
        <v>2872</v>
      </c>
      <c r="H167" s="50">
        <v>9199</v>
      </c>
      <c r="I167" s="49" t="s">
        <v>2</v>
      </c>
      <c r="J167" s="50" t="s">
        <v>2873</v>
      </c>
      <c r="K167" s="51">
        <v>41171</v>
      </c>
      <c r="L167" s="115">
        <v>41157</v>
      </c>
      <c r="M167" s="402">
        <f t="shared" si="7"/>
        <v>14</v>
      </c>
      <c r="N167" s="50" t="s">
        <v>2</v>
      </c>
      <c r="O167" s="131">
        <v>2.1</v>
      </c>
      <c r="P167" s="117">
        <v>6.78</v>
      </c>
      <c r="Q167" s="131">
        <v>6.88</v>
      </c>
      <c r="R167" s="50">
        <v>30</v>
      </c>
      <c r="S167" s="74">
        <v>230</v>
      </c>
      <c r="T167" s="50">
        <v>0.61</v>
      </c>
      <c r="U167" s="74">
        <v>2.66</v>
      </c>
      <c r="V167" s="50">
        <v>0.4</v>
      </c>
      <c r="W167" s="74">
        <v>4.4999999999999998E-2</v>
      </c>
      <c r="X167" s="50">
        <v>0.186</v>
      </c>
      <c r="Y167" s="74">
        <v>4.4999999999999998E-2</v>
      </c>
      <c r="AE167" s="50">
        <v>47.3</v>
      </c>
      <c r="AF167" s="113">
        <v>0.04</v>
      </c>
      <c r="AG167" s="54"/>
      <c r="AH167" s="54"/>
      <c r="AI167" s="113"/>
      <c r="AJ167" s="50"/>
      <c r="AK167" s="74"/>
      <c r="AL167" s="74"/>
      <c r="AM167" s="74"/>
      <c r="AN167" s="74"/>
      <c r="AO167" s="74"/>
      <c r="AP167" s="74"/>
      <c r="AQ167" s="74"/>
      <c r="AR167" s="74"/>
      <c r="AS167" s="74"/>
      <c r="AT167" s="74"/>
    </row>
    <row r="168" spans="1:46" ht="15" customHeight="1">
      <c r="A168" s="53" t="s">
        <v>36</v>
      </c>
      <c r="B168" s="50" t="s">
        <v>2622</v>
      </c>
      <c r="C168" s="74" t="s">
        <v>2682</v>
      </c>
      <c r="D168" s="48" t="s">
        <v>209</v>
      </c>
      <c r="E168" s="74" t="s">
        <v>2657</v>
      </c>
      <c r="G168" s="48" t="s">
        <v>2658</v>
      </c>
      <c r="H168" s="74">
        <v>9199</v>
      </c>
      <c r="I168" s="50"/>
      <c r="J168" s="50" t="s">
        <v>2659</v>
      </c>
      <c r="K168" s="51">
        <v>41184</v>
      </c>
      <c r="L168" s="115">
        <v>41179</v>
      </c>
      <c r="M168" s="402">
        <f t="shared" si="7"/>
        <v>5</v>
      </c>
      <c r="N168" s="50" t="s">
        <v>2</v>
      </c>
      <c r="O168" s="131">
        <v>2.6</v>
      </c>
      <c r="Q168" s="74">
        <v>8.14</v>
      </c>
      <c r="R168" s="50">
        <v>48.6</v>
      </c>
      <c r="S168" s="74">
        <v>55</v>
      </c>
      <c r="T168" s="50">
        <v>0.14099999999999999</v>
      </c>
      <c r="U168" s="74">
        <v>1.05</v>
      </c>
      <c r="V168" s="50">
        <v>0.16</v>
      </c>
      <c r="W168" s="74">
        <v>2.58E-2</v>
      </c>
      <c r="X168" s="50">
        <v>2.7199999999999998E-2</v>
      </c>
      <c r="Y168" s="74">
        <f>0.0075/2</f>
        <v>3.7499999999999999E-3</v>
      </c>
      <c r="Z168" s="164">
        <v>1</v>
      </c>
      <c r="AA168" s="165">
        <v>1</v>
      </c>
      <c r="AB168" s="50">
        <v>162</v>
      </c>
      <c r="AC168" s="74">
        <v>2008</v>
      </c>
      <c r="AD168" s="164">
        <v>1</v>
      </c>
      <c r="AF168" s="113"/>
      <c r="AG168" s="54"/>
      <c r="AH168" s="54"/>
      <c r="AI168" s="113"/>
      <c r="AJ168" s="50"/>
      <c r="AK168" s="74"/>
      <c r="AL168" s="74"/>
      <c r="AM168" s="74"/>
      <c r="AN168" s="74"/>
      <c r="AO168" s="74"/>
      <c r="AP168" s="74"/>
      <c r="AQ168" s="74"/>
      <c r="AR168" s="74"/>
      <c r="AS168" s="74"/>
      <c r="AT168" s="74"/>
    </row>
    <row r="169" spans="1:46" ht="15" customHeight="1">
      <c r="A169" s="41" t="s">
        <v>36</v>
      </c>
      <c r="B169" s="50" t="s">
        <v>2622</v>
      </c>
      <c r="C169" s="50" t="s">
        <v>2682</v>
      </c>
      <c r="D169" s="48" t="s">
        <v>209</v>
      </c>
      <c r="E169" s="50" t="s">
        <v>2875</v>
      </c>
      <c r="F169" s="50" t="s">
        <v>2667</v>
      </c>
      <c r="G169" s="76" t="s">
        <v>2658</v>
      </c>
      <c r="H169" s="50">
        <v>9199</v>
      </c>
      <c r="J169" s="50" t="s">
        <v>2659</v>
      </c>
      <c r="K169" s="51">
        <v>41264</v>
      </c>
      <c r="L169" s="115">
        <v>41261</v>
      </c>
      <c r="M169" s="402">
        <f t="shared" si="7"/>
        <v>3</v>
      </c>
      <c r="N169" s="50" t="s">
        <v>2</v>
      </c>
      <c r="O169" s="131">
        <v>2.2000000000000002</v>
      </c>
      <c r="P169" s="117"/>
      <c r="Q169" s="131">
        <v>7.42</v>
      </c>
      <c r="R169" s="50">
        <f>5/2</f>
        <v>2.5</v>
      </c>
      <c r="S169" s="74">
        <v>31</v>
      </c>
      <c r="T169" s="50">
        <v>8.2699999999999996E-2</v>
      </c>
      <c r="U169" s="74">
        <v>0.49</v>
      </c>
      <c r="V169" s="50">
        <v>0.13</v>
      </c>
      <c r="W169" s="74">
        <v>8.3999999999999995E-3</v>
      </c>
      <c r="X169" s="50">
        <v>4.0300000000000002E-2</v>
      </c>
      <c r="Y169" s="74">
        <f>0.0075/2</f>
        <v>3.7499999999999999E-3</v>
      </c>
      <c r="AF169" s="113"/>
      <c r="AG169" s="54"/>
      <c r="AH169" s="54"/>
      <c r="AI169" s="113"/>
      <c r="AJ169" s="50"/>
      <c r="AK169" s="74"/>
      <c r="AL169" s="74"/>
      <c r="AM169" s="74"/>
      <c r="AN169" s="74"/>
      <c r="AO169" s="74"/>
      <c r="AP169" s="74"/>
      <c r="AQ169" s="74"/>
      <c r="AR169" s="74"/>
      <c r="AS169" s="74"/>
      <c r="AT169" s="74"/>
    </row>
    <row r="170" spans="1:46" ht="15" customHeight="1">
      <c r="A170" s="41" t="s">
        <v>36</v>
      </c>
      <c r="B170" s="50" t="s">
        <v>2107</v>
      </c>
      <c r="C170" s="50" t="s">
        <v>3016</v>
      </c>
      <c r="D170" s="48" t="s">
        <v>308</v>
      </c>
      <c r="E170" s="50" t="s">
        <v>235</v>
      </c>
      <c r="G170" s="76" t="s">
        <v>2876</v>
      </c>
      <c r="H170" s="50">
        <v>9199</v>
      </c>
      <c r="I170" s="49" t="s">
        <v>1</v>
      </c>
      <c r="J170" s="50" t="s">
        <v>194</v>
      </c>
      <c r="K170" s="51">
        <v>41170</v>
      </c>
      <c r="L170" s="115">
        <v>41160</v>
      </c>
      <c r="M170" s="402">
        <f t="shared" si="7"/>
        <v>10</v>
      </c>
      <c r="N170" s="50" t="s">
        <v>2</v>
      </c>
      <c r="O170" s="131">
        <v>2.1</v>
      </c>
      <c r="P170" s="117"/>
      <c r="Q170" s="131">
        <v>6.8</v>
      </c>
      <c r="R170" s="50">
        <v>24</v>
      </c>
      <c r="S170" s="74">
        <v>16</v>
      </c>
      <c r="T170" s="50">
        <v>7.0000000000000007E-2</v>
      </c>
      <c r="U170" s="74">
        <v>1.18</v>
      </c>
      <c r="V170" s="50">
        <v>0.78</v>
      </c>
      <c r="W170" s="74">
        <v>1.6E-2</v>
      </c>
      <c r="X170" s="50">
        <v>5.7000000000000002E-2</v>
      </c>
      <c r="Y170" s="74">
        <f>0.03/2</f>
        <v>1.4999999999999999E-2</v>
      </c>
      <c r="Z170" s="164">
        <v>1</v>
      </c>
      <c r="AA170" s="165">
        <v>1</v>
      </c>
      <c r="AB170" s="50">
        <v>8</v>
      </c>
      <c r="AC170" s="74">
        <v>606</v>
      </c>
      <c r="AD170" s="164">
        <v>0.75</v>
      </c>
      <c r="AE170" s="50">
        <v>33.299999999999997</v>
      </c>
      <c r="AF170" s="113">
        <f>0.05/2</f>
        <v>2.5000000000000001E-2</v>
      </c>
      <c r="AG170" s="54"/>
      <c r="AH170" s="54"/>
      <c r="AI170" s="113"/>
      <c r="AJ170" s="50"/>
      <c r="AK170" s="74"/>
      <c r="AL170" s="74"/>
      <c r="AM170" s="74"/>
      <c r="AN170" s="74"/>
      <c r="AO170" s="74"/>
      <c r="AP170" s="74"/>
      <c r="AQ170" s="74"/>
      <c r="AR170" s="74"/>
      <c r="AS170" s="74"/>
      <c r="AT170" s="74"/>
    </row>
    <row r="171" spans="1:46" ht="15" customHeight="1">
      <c r="A171" s="41" t="s">
        <v>36</v>
      </c>
      <c r="B171" s="50" t="s">
        <v>2107</v>
      </c>
      <c r="C171" s="50" t="s">
        <v>3016</v>
      </c>
      <c r="D171" s="48" t="s">
        <v>308</v>
      </c>
      <c r="E171" s="50" t="s">
        <v>235</v>
      </c>
      <c r="G171" s="76" t="s">
        <v>2876</v>
      </c>
      <c r="H171" s="50">
        <v>9199</v>
      </c>
      <c r="I171" s="49" t="s">
        <v>1</v>
      </c>
      <c r="J171" s="50" t="s">
        <v>194</v>
      </c>
      <c r="K171" s="51">
        <v>40996</v>
      </c>
      <c r="L171" s="115">
        <v>40971</v>
      </c>
      <c r="M171" s="402">
        <f t="shared" si="7"/>
        <v>25</v>
      </c>
      <c r="N171" s="50" t="s">
        <v>2</v>
      </c>
      <c r="O171" s="131">
        <v>17.2</v>
      </c>
      <c r="P171" s="117"/>
      <c r="Q171" s="131">
        <v>6.6</v>
      </c>
      <c r="R171" s="50">
        <v>230</v>
      </c>
      <c r="S171" s="74">
        <v>412</v>
      </c>
      <c r="T171" s="50">
        <v>0.54</v>
      </c>
      <c r="U171" s="74">
        <v>3.48</v>
      </c>
      <c r="V171" s="50">
        <v>0.75</v>
      </c>
      <c r="W171" s="74">
        <v>7.6999999999999999E-2</v>
      </c>
      <c r="X171" s="50">
        <v>0.245</v>
      </c>
      <c r="Y171" s="74">
        <v>3.9E-2</v>
      </c>
      <c r="AE171" s="50">
        <v>703</v>
      </c>
      <c r="AF171" s="113">
        <f>0.05/2</f>
        <v>2.5000000000000001E-2</v>
      </c>
      <c r="AG171" s="54"/>
      <c r="AH171" s="54"/>
      <c r="AI171" s="113"/>
      <c r="AJ171" s="50"/>
      <c r="AK171" s="74"/>
      <c r="AL171" s="74"/>
      <c r="AM171" s="74"/>
      <c r="AN171" s="74"/>
      <c r="AO171" s="74"/>
      <c r="AP171" s="74"/>
      <c r="AQ171" s="74"/>
      <c r="AR171" s="74"/>
      <c r="AS171" s="74"/>
      <c r="AT171" s="74"/>
    </row>
    <row r="172" spans="1:46" ht="15" customHeight="1">
      <c r="A172" s="41" t="s">
        <v>36</v>
      </c>
      <c r="B172" s="50" t="s">
        <v>2877</v>
      </c>
      <c r="C172" s="50" t="s">
        <v>2878</v>
      </c>
      <c r="D172" s="48" t="s">
        <v>1175</v>
      </c>
      <c r="E172" s="50" t="s">
        <v>2879</v>
      </c>
      <c r="F172" s="85" t="s">
        <v>2880</v>
      </c>
      <c r="G172" s="76" t="s">
        <v>2881</v>
      </c>
      <c r="H172" s="50">
        <v>9199</v>
      </c>
      <c r="I172" s="49" t="s">
        <v>1</v>
      </c>
      <c r="J172" s="50" t="s">
        <v>856</v>
      </c>
      <c r="K172" s="51">
        <v>41073</v>
      </c>
      <c r="L172" s="115">
        <v>41070</v>
      </c>
      <c r="M172" s="402">
        <f t="shared" si="7"/>
        <v>3</v>
      </c>
      <c r="N172" s="50" t="s">
        <v>2</v>
      </c>
      <c r="O172" s="131">
        <v>1.7</v>
      </c>
      <c r="P172" s="117">
        <v>7.78</v>
      </c>
      <c r="Q172" s="131">
        <v>7.13</v>
      </c>
      <c r="R172" s="50">
        <v>94</v>
      </c>
      <c r="S172" s="74">
        <v>100</v>
      </c>
      <c r="T172" s="50">
        <v>0.31</v>
      </c>
      <c r="U172" s="74">
        <v>1.48</v>
      </c>
      <c r="V172" s="50">
        <v>0.21</v>
      </c>
      <c r="W172" s="74">
        <v>2.1000000000000001E-2</v>
      </c>
      <c r="X172" s="50">
        <v>6.2E-2</v>
      </c>
      <c r="Y172" s="74">
        <v>1.2E-2</v>
      </c>
      <c r="Z172" s="164">
        <v>1</v>
      </c>
      <c r="AA172" s="165">
        <v>1</v>
      </c>
      <c r="AB172" s="50">
        <v>16</v>
      </c>
      <c r="AC172" s="74">
        <v>117</v>
      </c>
      <c r="AD172" s="164">
        <v>1</v>
      </c>
      <c r="AF172" s="113"/>
      <c r="AG172" s="54"/>
      <c r="AH172" s="54">
        <v>2910</v>
      </c>
      <c r="AI172" s="113"/>
      <c r="AJ172" s="50"/>
      <c r="AK172" s="74"/>
      <c r="AL172" s="74"/>
      <c r="AM172" s="74"/>
      <c r="AN172" s="74"/>
      <c r="AO172" s="74"/>
      <c r="AP172" s="74"/>
      <c r="AQ172" s="74"/>
      <c r="AR172" s="74"/>
      <c r="AS172" s="74"/>
      <c r="AT172" s="74"/>
    </row>
    <row r="173" spans="1:46" ht="15" customHeight="1">
      <c r="A173" s="41" t="s">
        <v>36</v>
      </c>
      <c r="B173" s="50" t="s">
        <v>2877</v>
      </c>
      <c r="C173" s="50" t="s">
        <v>2882</v>
      </c>
      <c r="D173" s="48" t="s">
        <v>1175</v>
      </c>
      <c r="E173" s="50" t="s">
        <v>2883</v>
      </c>
      <c r="F173" s="85" t="s">
        <v>2884</v>
      </c>
      <c r="G173" s="76" t="s">
        <v>2885</v>
      </c>
      <c r="H173" s="50">
        <v>9199</v>
      </c>
      <c r="I173" s="49" t="s">
        <v>2</v>
      </c>
      <c r="J173" s="50" t="s">
        <v>856</v>
      </c>
      <c r="K173" s="51">
        <v>41073</v>
      </c>
      <c r="L173" s="115">
        <v>41070</v>
      </c>
      <c r="M173" s="402">
        <f t="shared" si="7"/>
        <v>3</v>
      </c>
      <c r="N173" s="50" t="s">
        <v>2</v>
      </c>
      <c r="O173" s="131">
        <f>1.4/2</f>
        <v>0.7</v>
      </c>
      <c r="P173" s="117">
        <v>7.77</v>
      </c>
      <c r="Q173" s="131">
        <v>6.29</v>
      </c>
      <c r="R173" s="50">
        <v>36</v>
      </c>
      <c r="S173" s="74">
        <v>170</v>
      </c>
      <c r="T173" s="50">
        <v>0.2</v>
      </c>
      <c r="U173" s="74">
        <v>0.6</v>
      </c>
      <c r="V173" s="50">
        <v>0.05</v>
      </c>
      <c r="W173" s="74">
        <v>8.9999999999999993E-3</v>
      </c>
      <c r="X173" s="50">
        <v>0.04</v>
      </c>
      <c r="Y173" s="74">
        <v>8.0000000000000002E-3</v>
      </c>
      <c r="Z173" s="164">
        <v>1</v>
      </c>
      <c r="AA173" s="165">
        <v>1</v>
      </c>
      <c r="AB173" s="50">
        <v>30</v>
      </c>
      <c r="AC173" s="74">
        <v>227</v>
      </c>
      <c r="AD173" s="164">
        <v>1</v>
      </c>
      <c r="AF173" s="113"/>
      <c r="AG173" s="54"/>
      <c r="AH173" s="54"/>
      <c r="AI173" s="113"/>
      <c r="AJ173" s="50"/>
      <c r="AK173" s="74"/>
      <c r="AL173" s="74"/>
      <c r="AM173" s="74"/>
      <c r="AN173" s="74"/>
      <c r="AO173" s="74"/>
      <c r="AP173" s="74"/>
      <c r="AQ173" s="74"/>
      <c r="AR173" s="74"/>
      <c r="AS173" s="74"/>
      <c r="AT173" s="74"/>
    </row>
    <row r="174" spans="1:46" ht="15" customHeight="1">
      <c r="A174" s="41" t="s">
        <v>36</v>
      </c>
      <c r="B174" s="50" t="s">
        <v>2877</v>
      </c>
      <c r="C174" s="50" t="s">
        <v>2878</v>
      </c>
      <c r="D174" s="48" t="s">
        <v>1175</v>
      </c>
      <c r="E174" s="50" t="s">
        <v>2879</v>
      </c>
      <c r="F174" s="85" t="s">
        <v>2884</v>
      </c>
      <c r="G174" s="76" t="s">
        <v>2881</v>
      </c>
      <c r="H174" s="50">
        <v>9199</v>
      </c>
      <c r="I174" s="49" t="s">
        <v>1</v>
      </c>
      <c r="J174" s="50" t="s">
        <v>856</v>
      </c>
      <c r="K174" s="51">
        <v>41157</v>
      </c>
      <c r="L174" s="115">
        <v>41154</v>
      </c>
      <c r="M174" s="402">
        <f t="shared" si="7"/>
        <v>3</v>
      </c>
      <c r="N174" s="50" t="s">
        <v>2</v>
      </c>
      <c r="O174" s="131">
        <f>1.4/2</f>
        <v>0.7</v>
      </c>
      <c r="P174" s="117">
        <v>7.07</v>
      </c>
      <c r="Q174" s="131">
        <v>7.18</v>
      </c>
      <c r="R174" s="50">
        <v>110</v>
      </c>
      <c r="S174" s="74">
        <v>70</v>
      </c>
      <c r="T174" s="50">
        <v>0.22</v>
      </c>
      <c r="U174" s="74">
        <v>1.47</v>
      </c>
      <c r="V174" s="50">
        <v>0.47</v>
      </c>
      <c r="W174" s="74">
        <v>0.02</v>
      </c>
      <c r="X174" s="50">
        <v>8.6999999999999994E-2</v>
      </c>
      <c r="Y174" s="74">
        <v>8.9999999999999993E-3</v>
      </c>
      <c r="AF174" s="113"/>
      <c r="AG174" s="54"/>
      <c r="AH174" s="54">
        <v>2910</v>
      </c>
      <c r="AI174" s="113"/>
      <c r="AJ174" s="50"/>
      <c r="AK174" s="74"/>
      <c r="AL174" s="74"/>
      <c r="AM174" s="74"/>
      <c r="AN174" s="74"/>
      <c r="AO174" s="74"/>
      <c r="AP174" s="74"/>
      <c r="AQ174" s="74"/>
      <c r="AR174" s="74"/>
      <c r="AS174" s="74"/>
      <c r="AT174" s="74"/>
    </row>
    <row r="175" spans="1:46" ht="15" customHeight="1">
      <c r="A175" s="41" t="s">
        <v>36</v>
      </c>
      <c r="B175" s="50" t="s">
        <v>2877</v>
      </c>
      <c r="C175" s="50" t="s">
        <v>2882</v>
      </c>
      <c r="D175" s="48" t="s">
        <v>1175</v>
      </c>
      <c r="E175" s="50" t="s">
        <v>2883</v>
      </c>
      <c r="F175" s="85" t="s">
        <v>2884</v>
      </c>
      <c r="G175" s="76" t="s">
        <v>2885</v>
      </c>
      <c r="H175" s="50">
        <v>9199</v>
      </c>
      <c r="I175" s="49" t="s">
        <v>2</v>
      </c>
      <c r="J175" s="50" t="s">
        <v>856</v>
      </c>
      <c r="K175" s="51">
        <v>41157</v>
      </c>
      <c r="L175" s="115">
        <v>41154</v>
      </c>
      <c r="M175" s="402">
        <f t="shared" si="7"/>
        <v>3</v>
      </c>
      <c r="N175" s="50" t="s">
        <v>2</v>
      </c>
      <c r="O175" s="131">
        <f>1.4/2</f>
        <v>0.7</v>
      </c>
      <c r="P175" s="117">
        <v>6.9</v>
      </c>
      <c r="Q175" s="131">
        <v>5.72</v>
      </c>
      <c r="R175" s="50">
        <v>110</v>
      </c>
      <c r="S175" s="74">
        <v>570</v>
      </c>
      <c r="T175" s="50">
        <v>0.74</v>
      </c>
      <c r="U175" s="74">
        <v>2.3199999999999998</v>
      </c>
      <c r="V175" s="50">
        <v>0.33</v>
      </c>
      <c r="W175" s="74">
        <v>5.6000000000000001E-2</v>
      </c>
      <c r="X175" s="50">
        <v>0.16500000000000001</v>
      </c>
      <c r="Y175" s="74">
        <v>3.4000000000000002E-2</v>
      </c>
      <c r="AF175" s="113"/>
      <c r="AG175" s="54"/>
      <c r="AH175" s="54"/>
      <c r="AI175" s="113"/>
      <c r="AJ175" s="50"/>
      <c r="AK175" s="74"/>
      <c r="AL175" s="74"/>
      <c r="AM175" s="74"/>
      <c r="AN175" s="74"/>
      <c r="AO175" s="74"/>
      <c r="AP175" s="74"/>
      <c r="AQ175" s="74"/>
      <c r="AR175" s="74"/>
      <c r="AS175" s="74"/>
      <c r="AT175" s="74"/>
    </row>
    <row r="176" spans="1:46" ht="15" customHeight="1">
      <c r="A176" s="41" t="s">
        <v>36</v>
      </c>
      <c r="B176" s="50" t="s">
        <v>2358</v>
      </c>
      <c r="C176" s="50" t="s">
        <v>1332</v>
      </c>
      <c r="D176" s="48" t="s">
        <v>111</v>
      </c>
      <c r="E176" s="50" t="s">
        <v>112</v>
      </c>
      <c r="G176" s="76" t="s">
        <v>2886</v>
      </c>
      <c r="H176" s="50">
        <v>4952</v>
      </c>
      <c r="I176" s="49" t="s">
        <v>2</v>
      </c>
      <c r="J176" s="50" t="s">
        <v>2887</v>
      </c>
      <c r="K176" s="51">
        <v>41073</v>
      </c>
      <c r="L176" s="115">
        <v>41066</v>
      </c>
      <c r="M176" s="402">
        <f t="shared" si="7"/>
        <v>7</v>
      </c>
      <c r="N176" s="50" t="s">
        <v>2</v>
      </c>
      <c r="O176" s="131">
        <f>2/2</f>
        <v>1</v>
      </c>
      <c r="P176" s="117">
        <v>6.51</v>
      </c>
      <c r="Q176" s="131">
        <v>7.3</v>
      </c>
      <c r="R176" s="50">
        <v>15</v>
      </c>
      <c r="S176" s="74">
        <v>16</v>
      </c>
      <c r="T176" s="50">
        <f>0.2/2</f>
        <v>0.1</v>
      </c>
      <c r="U176" s="74">
        <v>0.2</v>
      </c>
      <c r="V176" s="50">
        <v>0.48</v>
      </c>
      <c r="W176" s="74">
        <f>0.001/2</f>
        <v>5.0000000000000001E-4</v>
      </c>
      <c r="X176" s="50">
        <v>3.8999999999999998E-3</v>
      </c>
      <c r="Y176" s="74">
        <v>6.0000000000000001E-3</v>
      </c>
      <c r="Z176" s="164">
        <v>1</v>
      </c>
      <c r="AA176" s="165">
        <v>1</v>
      </c>
      <c r="AB176" s="50">
        <v>70</v>
      </c>
      <c r="AC176" s="74">
        <v>284</v>
      </c>
      <c r="AD176" s="164">
        <v>1</v>
      </c>
      <c r="AF176" s="113"/>
      <c r="AG176" s="54"/>
      <c r="AH176" s="54"/>
      <c r="AI176" s="113"/>
      <c r="AJ176" s="50"/>
      <c r="AK176" s="74"/>
      <c r="AL176" s="74"/>
      <c r="AM176" s="74"/>
      <c r="AN176" s="74"/>
      <c r="AO176" s="74"/>
      <c r="AP176" s="74"/>
      <c r="AQ176" s="74"/>
      <c r="AR176" s="74"/>
      <c r="AS176" s="74"/>
      <c r="AT176" s="74"/>
    </row>
    <row r="177" spans="1:46" ht="15" customHeight="1">
      <c r="A177" s="41" t="s">
        <v>36</v>
      </c>
      <c r="B177" s="50" t="s">
        <v>2358</v>
      </c>
      <c r="C177" s="50" t="s">
        <v>1332</v>
      </c>
      <c r="D177" s="48" t="s">
        <v>111</v>
      </c>
      <c r="E177" s="50" t="s">
        <v>112</v>
      </c>
      <c r="G177" s="76" t="s">
        <v>2886</v>
      </c>
      <c r="H177" s="50">
        <v>4952</v>
      </c>
      <c r="I177" s="49" t="s">
        <v>2</v>
      </c>
      <c r="J177" s="50" t="s">
        <v>2888</v>
      </c>
      <c r="K177" s="51">
        <v>41073</v>
      </c>
      <c r="L177" s="115">
        <v>41066</v>
      </c>
      <c r="M177" s="402">
        <f t="shared" si="7"/>
        <v>7</v>
      </c>
      <c r="N177" s="50" t="s">
        <v>2</v>
      </c>
      <c r="O177" s="131">
        <f>2/2</f>
        <v>1</v>
      </c>
      <c r="P177" s="117">
        <v>6.51</v>
      </c>
      <c r="Q177" s="131">
        <v>7.5</v>
      </c>
      <c r="R177" s="50">
        <v>18</v>
      </c>
      <c r="S177" s="74">
        <v>4</v>
      </c>
      <c r="T177" s="50">
        <f>0.2/2</f>
        <v>0.1</v>
      </c>
      <c r="U177" s="74">
        <v>0.2</v>
      </c>
      <c r="V177" s="50">
        <v>0.18</v>
      </c>
      <c r="W177" s="74">
        <v>6.0000000000000001E-3</v>
      </c>
      <c r="X177" s="50">
        <v>3.6999999999999998E-2</v>
      </c>
      <c r="Y177" s="74">
        <f>0.001/2</f>
        <v>5.0000000000000001E-4</v>
      </c>
      <c r="Z177" s="164">
        <v>1</v>
      </c>
      <c r="AA177" s="165">
        <v>1</v>
      </c>
      <c r="AB177" s="50">
        <v>20</v>
      </c>
      <c r="AC177" s="74">
        <v>74</v>
      </c>
      <c r="AD177" s="164">
        <v>1</v>
      </c>
      <c r="AF177" s="113"/>
      <c r="AG177" s="54"/>
      <c r="AH177" s="54"/>
      <c r="AI177" s="113"/>
      <c r="AJ177" s="50"/>
      <c r="AK177" s="74"/>
      <c r="AL177" s="74"/>
      <c r="AM177" s="74"/>
      <c r="AN177" s="74"/>
      <c r="AO177" s="74"/>
      <c r="AP177" s="74"/>
      <c r="AQ177" s="74"/>
      <c r="AR177" s="74"/>
      <c r="AS177" s="74"/>
      <c r="AT177" s="74"/>
    </row>
    <row r="178" spans="1:46" ht="15" customHeight="1">
      <c r="A178" s="41" t="s">
        <v>36</v>
      </c>
      <c r="B178" s="50" t="s">
        <v>2358</v>
      </c>
      <c r="C178" s="50" t="s">
        <v>2757</v>
      </c>
      <c r="D178" s="48" t="s">
        <v>111</v>
      </c>
      <c r="E178" s="50" t="s">
        <v>2889</v>
      </c>
      <c r="F178" s="50" t="s">
        <v>2667</v>
      </c>
      <c r="G178" s="76" t="s">
        <v>2890</v>
      </c>
      <c r="H178" s="50">
        <v>9999</v>
      </c>
      <c r="I178" s="49" t="s">
        <v>2</v>
      </c>
      <c r="J178" s="50" t="s">
        <v>2891</v>
      </c>
      <c r="K178" s="51">
        <v>41044</v>
      </c>
      <c r="L178" s="115">
        <v>41039</v>
      </c>
      <c r="M178" s="402">
        <f t="shared" si="7"/>
        <v>5</v>
      </c>
      <c r="N178" s="50" t="s">
        <v>2</v>
      </c>
      <c r="O178" s="131">
        <f>2/2</f>
        <v>1</v>
      </c>
      <c r="P178" s="117">
        <v>5.31</v>
      </c>
      <c r="Q178" s="131">
        <v>7.5</v>
      </c>
      <c r="R178" s="50">
        <v>150</v>
      </c>
      <c r="S178" s="74">
        <v>109</v>
      </c>
      <c r="T178" s="50">
        <f>0.4/2</f>
        <v>0.2</v>
      </c>
      <c r="U178" s="74">
        <v>4.5</v>
      </c>
      <c r="V178" s="50">
        <f>0.1/2</f>
        <v>0.05</v>
      </c>
      <c r="W178" s="74">
        <v>0.02</v>
      </c>
      <c r="X178" s="50">
        <v>7.0000000000000007E-2</v>
      </c>
      <c r="Y178" s="74">
        <v>1.2E-2</v>
      </c>
      <c r="AE178" s="50">
        <v>174</v>
      </c>
      <c r="AF178" s="113">
        <v>0.01</v>
      </c>
      <c r="AG178" s="54"/>
      <c r="AH178" s="54"/>
      <c r="AI178" s="113"/>
      <c r="AJ178" s="50"/>
      <c r="AK178" s="74"/>
      <c r="AL178" s="74"/>
      <c r="AM178" s="74"/>
      <c r="AN178" s="74"/>
      <c r="AO178" s="74"/>
      <c r="AP178" s="74"/>
      <c r="AQ178" s="74"/>
      <c r="AR178" s="74"/>
      <c r="AS178" s="74"/>
      <c r="AT178" s="74"/>
    </row>
    <row r="179" spans="1:46" ht="15" customHeight="1">
      <c r="A179" s="41" t="s">
        <v>36</v>
      </c>
      <c r="B179" s="50" t="s">
        <v>2358</v>
      </c>
      <c r="C179" s="50" t="s">
        <v>2757</v>
      </c>
      <c r="D179" s="48" t="s">
        <v>111</v>
      </c>
      <c r="E179" s="50" t="s">
        <v>2889</v>
      </c>
      <c r="F179" s="50" t="s">
        <v>2667</v>
      </c>
      <c r="G179" s="76" t="s">
        <v>2890</v>
      </c>
      <c r="H179" s="50">
        <v>9999</v>
      </c>
      <c r="I179" s="49" t="s">
        <v>2</v>
      </c>
      <c r="J179" s="50" t="s">
        <v>2891</v>
      </c>
      <c r="K179" s="51">
        <v>40835</v>
      </c>
      <c r="L179" s="115">
        <v>40830</v>
      </c>
      <c r="M179" s="402">
        <f t="shared" si="7"/>
        <v>5</v>
      </c>
      <c r="N179" s="50" t="s">
        <v>2</v>
      </c>
      <c r="O179" s="131">
        <f>2/2</f>
        <v>1</v>
      </c>
      <c r="P179" s="117">
        <v>7.75</v>
      </c>
      <c r="Q179" s="131">
        <v>7.61</v>
      </c>
      <c r="R179" s="50">
        <v>75</v>
      </c>
      <c r="S179" s="74">
        <v>111</v>
      </c>
      <c r="T179" s="50">
        <v>0.59</v>
      </c>
      <c r="U179" s="74">
        <v>1</v>
      </c>
      <c r="V179" s="50">
        <v>0.28999999999999998</v>
      </c>
      <c r="W179" s="74">
        <v>4.1000000000000002E-2</v>
      </c>
      <c r="X179" s="50">
        <v>5.8000000000000003E-2</v>
      </c>
      <c r="Y179" s="74">
        <v>4.1000000000000002E-2</v>
      </c>
      <c r="Z179" s="164">
        <v>1</v>
      </c>
      <c r="AA179" s="165">
        <v>1</v>
      </c>
      <c r="AB179" s="50">
        <v>36</v>
      </c>
      <c r="AC179" s="74">
        <v>903</v>
      </c>
      <c r="AD179" s="164">
        <v>1</v>
      </c>
      <c r="AE179" s="50">
        <v>163</v>
      </c>
      <c r="AF179" s="113">
        <f>0.01/2</f>
        <v>5.0000000000000001E-3</v>
      </c>
      <c r="AG179" s="54"/>
      <c r="AH179" s="54"/>
      <c r="AI179" s="113"/>
      <c r="AJ179" s="50"/>
      <c r="AK179" s="74"/>
      <c r="AL179" s="74"/>
      <c r="AM179" s="74"/>
      <c r="AN179" s="74"/>
      <c r="AO179" s="74"/>
      <c r="AP179" s="74"/>
      <c r="AQ179" s="74"/>
      <c r="AR179" s="74"/>
      <c r="AS179" s="74"/>
      <c r="AT179" s="74"/>
    </row>
    <row r="180" spans="1:46" ht="15" customHeight="1">
      <c r="A180" s="41" t="s">
        <v>36</v>
      </c>
      <c r="B180" s="50" t="s">
        <v>336</v>
      </c>
      <c r="C180" s="50" t="s">
        <v>2892</v>
      </c>
      <c r="D180" s="48" t="s">
        <v>338</v>
      </c>
      <c r="E180" s="50" t="s">
        <v>599</v>
      </c>
      <c r="F180" s="50">
        <v>6900</v>
      </c>
      <c r="G180" s="76" t="s">
        <v>998</v>
      </c>
      <c r="H180" s="50">
        <v>4953</v>
      </c>
      <c r="I180" s="49" t="s">
        <v>2</v>
      </c>
      <c r="J180" s="50" t="s">
        <v>2893</v>
      </c>
      <c r="K180" s="51">
        <v>41170</v>
      </c>
      <c r="L180" s="115">
        <v>41160</v>
      </c>
      <c r="M180" s="402">
        <f t="shared" si="7"/>
        <v>10</v>
      </c>
      <c r="N180" s="50" t="s">
        <v>2</v>
      </c>
      <c r="O180" s="131">
        <v>8.6999999999999993</v>
      </c>
      <c r="P180" s="117">
        <v>6.89</v>
      </c>
      <c r="Q180" s="131">
        <v>6.9</v>
      </c>
      <c r="R180" s="50">
        <v>97.3</v>
      </c>
      <c r="S180" s="74">
        <v>36.5</v>
      </c>
      <c r="T180" s="50">
        <v>0.26</v>
      </c>
      <c r="U180" s="74">
        <v>1.6</v>
      </c>
      <c r="V180" s="50">
        <v>0.86</v>
      </c>
      <c r="W180" s="74">
        <v>0.02</v>
      </c>
      <c r="X180" s="50">
        <v>0.19</v>
      </c>
      <c r="Y180" s="74">
        <f>0.02/2</f>
        <v>0.01</v>
      </c>
      <c r="AE180" s="50">
        <v>4.4000000000000004</v>
      </c>
      <c r="AF180" s="113">
        <f>0.005/2</f>
        <v>2.5000000000000001E-3</v>
      </c>
      <c r="AG180" s="54"/>
      <c r="AH180" s="54"/>
      <c r="AI180" s="113"/>
      <c r="AJ180" s="50"/>
      <c r="AK180" s="74"/>
      <c r="AL180" s="74"/>
      <c r="AM180" s="74"/>
      <c r="AN180" s="74"/>
      <c r="AO180" s="74"/>
      <c r="AP180" s="74"/>
      <c r="AQ180" s="74"/>
      <c r="AR180" s="74"/>
      <c r="AS180" s="74"/>
      <c r="AT180" s="74"/>
    </row>
    <row r="181" spans="1:46" ht="15" customHeight="1">
      <c r="A181" s="41" t="s">
        <v>36</v>
      </c>
      <c r="B181" s="50" t="s">
        <v>336</v>
      </c>
      <c r="C181" s="50" t="s">
        <v>2892</v>
      </c>
      <c r="D181" s="48" t="s">
        <v>338</v>
      </c>
      <c r="E181" s="50" t="s">
        <v>599</v>
      </c>
      <c r="F181" s="50">
        <v>6900</v>
      </c>
      <c r="G181" s="76" t="s">
        <v>998</v>
      </c>
      <c r="H181" s="50">
        <v>4953</v>
      </c>
      <c r="I181" s="49" t="s">
        <v>2</v>
      </c>
      <c r="J181" s="50" t="s">
        <v>2894</v>
      </c>
      <c r="K181" s="51">
        <v>41170</v>
      </c>
      <c r="L181" s="115">
        <v>41160</v>
      </c>
      <c r="M181" s="402">
        <f t="shared" si="7"/>
        <v>10</v>
      </c>
      <c r="N181" s="50" t="s">
        <v>2</v>
      </c>
      <c r="O181" s="131">
        <v>12.4</v>
      </c>
      <c r="P181" s="117">
        <v>7.35</v>
      </c>
      <c r="Q181" s="131">
        <v>7.32</v>
      </c>
      <c r="R181" s="50">
        <v>109.4</v>
      </c>
      <c r="S181" s="74">
        <v>175</v>
      </c>
      <c r="T181" s="50">
        <v>0.42</v>
      </c>
      <c r="U181" s="74">
        <v>2</v>
      </c>
      <c r="V181" s="50">
        <v>0.7</v>
      </c>
      <c r="W181" s="74">
        <v>7.0000000000000007E-2</v>
      </c>
      <c r="X181" s="50">
        <v>0.38</v>
      </c>
      <c r="Y181" s="74">
        <v>0.06</v>
      </c>
      <c r="AE181" s="50">
        <v>14</v>
      </c>
      <c r="AF181" s="113">
        <f>0.005/2</f>
        <v>2.5000000000000001E-3</v>
      </c>
      <c r="AG181" s="54"/>
      <c r="AH181" s="54"/>
      <c r="AI181" s="113"/>
      <c r="AJ181" s="50"/>
      <c r="AK181" s="74"/>
      <c r="AL181" s="74"/>
      <c r="AM181" s="74"/>
      <c r="AN181" s="74"/>
      <c r="AO181" s="74"/>
      <c r="AP181" s="74"/>
      <c r="AQ181" s="74"/>
      <c r="AR181" s="74"/>
      <c r="AS181" s="74"/>
      <c r="AT181" s="74"/>
    </row>
    <row r="182" spans="1:46" ht="15" customHeight="1">
      <c r="A182" s="41" t="s">
        <v>36</v>
      </c>
      <c r="B182" s="50" t="s">
        <v>2673</v>
      </c>
      <c r="C182" s="50" t="s">
        <v>2895</v>
      </c>
      <c r="D182" s="48" t="s">
        <v>372</v>
      </c>
      <c r="E182" s="50" t="s">
        <v>235</v>
      </c>
      <c r="F182" s="50" t="s">
        <v>2896</v>
      </c>
      <c r="G182" s="76" t="s">
        <v>2897</v>
      </c>
      <c r="H182" s="50">
        <v>919</v>
      </c>
      <c r="I182" s="49" t="s">
        <v>2</v>
      </c>
      <c r="J182" s="50" t="s">
        <v>2898</v>
      </c>
      <c r="K182" s="51">
        <v>41264</v>
      </c>
      <c r="L182" s="115">
        <v>41261</v>
      </c>
      <c r="M182" s="402">
        <f t="shared" si="7"/>
        <v>3</v>
      </c>
      <c r="N182" s="50" t="s">
        <v>2</v>
      </c>
      <c r="O182" s="131">
        <f t="shared" ref="O182:O187" si="8">5/2</f>
        <v>2.5</v>
      </c>
      <c r="P182" s="117">
        <v>5.53</v>
      </c>
      <c r="Q182" s="131">
        <v>7.02</v>
      </c>
      <c r="R182" s="50">
        <v>242</v>
      </c>
      <c r="S182" s="74">
        <v>478</v>
      </c>
      <c r="T182" s="50">
        <v>1.0900000000000001</v>
      </c>
      <c r="U182" s="74">
        <v>0.55000000000000004</v>
      </c>
      <c r="V182" s="50">
        <v>1.04</v>
      </c>
      <c r="W182" s="74">
        <v>0.06</v>
      </c>
      <c r="X182" s="50">
        <v>0.13</v>
      </c>
      <c r="Y182" s="74">
        <f>0.004/2</f>
        <v>2E-3</v>
      </c>
      <c r="AE182" s="50">
        <v>192</v>
      </c>
      <c r="AF182" s="113">
        <v>0.04</v>
      </c>
      <c r="AG182" s="54"/>
      <c r="AH182" s="54"/>
      <c r="AI182" s="113"/>
      <c r="AJ182" s="50"/>
      <c r="AK182" s="74"/>
      <c r="AL182" s="74"/>
      <c r="AM182" s="74"/>
      <c r="AN182" s="74"/>
      <c r="AO182" s="74"/>
      <c r="AP182" s="74"/>
      <c r="AQ182" s="74"/>
      <c r="AR182" s="74"/>
      <c r="AS182" s="74"/>
      <c r="AT182" s="74"/>
    </row>
    <row r="183" spans="1:46" ht="15" customHeight="1">
      <c r="A183" s="41" t="s">
        <v>36</v>
      </c>
      <c r="B183" s="50" t="s">
        <v>2673</v>
      </c>
      <c r="C183" s="50" t="s">
        <v>2895</v>
      </c>
      <c r="D183" s="48" t="s">
        <v>372</v>
      </c>
      <c r="E183" s="50" t="s">
        <v>235</v>
      </c>
      <c r="F183" s="50" t="s">
        <v>2896</v>
      </c>
      <c r="G183" s="76" t="s">
        <v>2897</v>
      </c>
      <c r="H183" s="50">
        <v>919</v>
      </c>
      <c r="I183" s="49" t="s">
        <v>2</v>
      </c>
      <c r="J183" s="50" t="s">
        <v>2899</v>
      </c>
      <c r="K183" s="51">
        <v>41264</v>
      </c>
      <c r="L183" s="115">
        <v>41261</v>
      </c>
      <c r="M183" s="402">
        <f t="shared" si="7"/>
        <v>3</v>
      </c>
      <c r="N183" s="50" t="s">
        <v>2</v>
      </c>
      <c r="O183" s="131">
        <f t="shared" si="8"/>
        <v>2.5</v>
      </c>
      <c r="P183" s="117">
        <v>5.53</v>
      </c>
      <c r="Q183" s="131">
        <v>6.23</v>
      </c>
      <c r="R183" s="50">
        <v>110</v>
      </c>
      <c r="S183" s="74">
        <v>72</v>
      </c>
      <c r="T183" s="50">
        <v>0.25</v>
      </c>
      <c r="U183" s="74">
        <v>0.77</v>
      </c>
      <c r="V183" s="50">
        <v>9.51</v>
      </c>
      <c r="W183" s="74">
        <v>0.18</v>
      </c>
      <c r="X183" s="50">
        <v>0.43</v>
      </c>
      <c r="Y183" s="74">
        <v>3.5000000000000003E-2</v>
      </c>
      <c r="AE183" s="50">
        <v>2100</v>
      </c>
      <c r="AF183" s="113">
        <v>0.03</v>
      </c>
      <c r="AG183" s="54"/>
      <c r="AH183" s="54"/>
      <c r="AI183" s="113"/>
      <c r="AJ183" s="50"/>
      <c r="AK183" s="74"/>
      <c r="AL183" s="74"/>
      <c r="AM183" s="74"/>
      <c r="AN183" s="74"/>
      <c r="AO183" s="74"/>
      <c r="AP183" s="74"/>
      <c r="AQ183" s="74"/>
      <c r="AR183" s="74"/>
      <c r="AS183" s="74"/>
      <c r="AT183" s="74"/>
    </row>
    <row r="184" spans="1:46" ht="15" customHeight="1">
      <c r="A184" s="41" t="s">
        <v>36</v>
      </c>
      <c r="B184" s="50" t="s">
        <v>2673</v>
      </c>
      <c r="C184" s="50" t="s">
        <v>2895</v>
      </c>
      <c r="D184" s="48" t="s">
        <v>372</v>
      </c>
      <c r="E184" s="50" t="s">
        <v>235</v>
      </c>
      <c r="F184" s="50" t="s">
        <v>2896</v>
      </c>
      <c r="G184" s="76" t="s">
        <v>2897</v>
      </c>
      <c r="H184" s="50">
        <v>919</v>
      </c>
      <c r="I184" s="49" t="s">
        <v>2</v>
      </c>
      <c r="J184" s="50" t="s">
        <v>2898</v>
      </c>
      <c r="K184" s="51">
        <v>41021</v>
      </c>
      <c r="L184" s="115">
        <v>41018</v>
      </c>
      <c r="M184" s="402">
        <f t="shared" si="7"/>
        <v>3</v>
      </c>
      <c r="N184" s="50" t="s">
        <v>2</v>
      </c>
      <c r="O184" s="131">
        <f t="shared" si="8"/>
        <v>2.5</v>
      </c>
      <c r="P184" s="117">
        <v>6.9</v>
      </c>
      <c r="Q184" s="131">
        <v>6.6</v>
      </c>
      <c r="R184" s="50">
        <v>87</v>
      </c>
      <c r="S184" s="74">
        <v>146</v>
      </c>
      <c r="T184" s="50">
        <v>0.4</v>
      </c>
      <c r="U184" s="74">
        <v>0.47</v>
      </c>
      <c r="V184" s="50">
        <v>0.72</v>
      </c>
      <c r="W184" s="74">
        <v>0.05</v>
      </c>
      <c r="X184" s="50">
        <v>0.02</v>
      </c>
      <c r="Y184" s="74">
        <v>0.12</v>
      </c>
      <c r="Z184" s="164">
        <v>1</v>
      </c>
      <c r="AA184" s="165">
        <v>1</v>
      </c>
      <c r="AB184" s="50">
        <v>2</v>
      </c>
      <c r="AC184" s="74">
        <v>2580</v>
      </c>
      <c r="AD184" s="164">
        <v>0.6</v>
      </c>
      <c r="AE184" s="50">
        <v>92.2</v>
      </c>
      <c r="AF184" s="113">
        <f>0.01/2</f>
        <v>5.0000000000000001E-3</v>
      </c>
      <c r="AG184" s="54"/>
      <c r="AH184" s="54"/>
      <c r="AI184" s="113"/>
      <c r="AJ184" s="50"/>
      <c r="AK184" s="74"/>
      <c r="AL184" s="74"/>
      <c r="AM184" s="74"/>
      <c r="AN184" s="74"/>
      <c r="AO184" s="74"/>
      <c r="AP184" s="74"/>
      <c r="AQ184" s="74"/>
      <c r="AR184" s="74"/>
      <c r="AS184" s="74"/>
      <c r="AT184" s="74"/>
    </row>
    <row r="185" spans="1:46" ht="15" customHeight="1">
      <c r="A185" s="41" t="s">
        <v>36</v>
      </c>
      <c r="B185" s="50" t="s">
        <v>2673</v>
      </c>
      <c r="C185" s="50" t="s">
        <v>2895</v>
      </c>
      <c r="D185" s="48" t="s">
        <v>372</v>
      </c>
      <c r="E185" s="50" t="s">
        <v>235</v>
      </c>
      <c r="F185" s="50" t="s">
        <v>2896</v>
      </c>
      <c r="G185" s="76" t="s">
        <v>2897</v>
      </c>
      <c r="H185" s="50">
        <v>919</v>
      </c>
      <c r="I185" s="49" t="s">
        <v>2</v>
      </c>
      <c r="J185" s="50" t="s">
        <v>2899</v>
      </c>
      <c r="K185" s="51">
        <v>41021</v>
      </c>
      <c r="L185" s="115">
        <v>41018</v>
      </c>
      <c r="M185" s="402">
        <f t="shared" si="7"/>
        <v>3</v>
      </c>
      <c r="N185" s="50" t="s">
        <v>2</v>
      </c>
      <c r="O185" s="131">
        <f t="shared" si="8"/>
        <v>2.5</v>
      </c>
      <c r="P185" s="117">
        <v>6.9</v>
      </c>
      <c r="Q185" s="131">
        <v>6.74</v>
      </c>
      <c r="R185" s="50">
        <v>29.3</v>
      </c>
      <c r="S185" s="74">
        <v>74</v>
      </c>
      <c r="T185" s="50">
        <v>0.42</v>
      </c>
      <c r="U185" s="74">
        <v>1.18</v>
      </c>
      <c r="V185" s="50">
        <v>2.0299999999999998</v>
      </c>
      <c r="W185" s="74">
        <v>0.04</v>
      </c>
      <c r="X185" s="50">
        <v>0.02</v>
      </c>
      <c r="Y185" s="74">
        <v>1.6E-2</v>
      </c>
      <c r="Z185" s="164">
        <v>1</v>
      </c>
      <c r="AA185" s="165">
        <v>1</v>
      </c>
      <c r="AB185" s="50">
        <v>4</v>
      </c>
      <c r="AC185" s="74">
        <v>2430</v>
      </c>
      <c r="AD185" s="164">
        <v>0.65</v>
      </c>
      <c r="AE185" s="50">
        <v>282</v>
      </c>
      <c r="AF185" s="113">
        <f>0.01/2</f>
        <v>5.0000000000000001E-3</v>
      </c>
      <c r="AG185" s="54"/>
      <c r="AH185" s="54"/>
      <c r="AI185" s="113"/>
      <c r="AJ185" s="50"/>
      <c r="AK185" s="74"/>
      <c r="AL185" s="74"/>
      <c r="AM185" s="74"/>
      <c r="AN185" s="74"/>
      <c r="AO185" s="74"/>
      <c r="AP185" s="74"/>
      <c r="AQ185" s="74"/>
      <c r="AR185" s="74"/>
      <c r="AS185" s="74"/>
      <c r="AT185" s="74"/>
    </row>
    <row r="186" spans="1:46" ht="15" customHeight="1">
      <c r="A186" s="41" t="s">
        <v>36</v>
      </c>
      <c r="B186" s="50" t="s">
        <v>2900</v>
      </c>
      <c r="C186" s="50" t="s">
        <v>2901</v>
      </c>
      <c r="D186" s="48" t="s">
        <v>659</v>
      </c>
      <c r="E186" s="50" t="s">
        <v>2902</v>
      </c>
      <c r="F186" s="85" t="s">
        <v>2903</v>
      </c>
      <c r="G186" s="76" t="s">
        <v>2904</v>
      </c>
      <c r="H186" s="50">
        <v>9511</v>
      </c>
      <c r="J186" s="50" t="s">
        <v>2905</v>
      </c>
      <c r="K186" s="51">
        <v>41030</v>
      </c>
      <c r="L186" s="115">
        <v>41023</v>
      </c>
      <c r="M186" s="402">
        <f t="shared" si="7"/>
        <v>7</v>
      </c>
      <c r="N186" s="50" t="s">
        <v>2</v>
      </c>
      <c r="O186" s="131">
        <f t="shared" si="8"/>
        <v>2.5</v>
      </c>
      <c r="P186" s="117">
        <v>8.4</v>
      </c>
      <c r="Q186" s="131">
        <v>6.67</v>
      </c>
      <c r="R186" s="50">
        <v>20</v>
      </c>
      <c r="S186" s="74">
        <v>70</v>
      </c>
      <c r="T186" s="50">
        <v>0.44</v>
      </c>
      <c r="U186" s="74">
        <v>1.5</v>
      </c>
      <c r="V186" s="50">
        <v>0.45</v>
      </c>
      <c r="W186" s="74">
        <f>0.04/2</f>
        <v>0.02</v>
      </c>
      <c r="X186" s="50">
        <v>5.8000000000000003E-2</v>
      </c>
      <c r="Y186" s="74">
        <v>1.4E-2</v>
      </c>
      <c r="Z186" s="164">
        <v>1</v>
      </c>
      <c r="AA186" s="165">
        <v>1</v>
      </c>
      <c r="AB186" s="50">
        <v>23</v>
      </c>
      <c r="AC186" s="74">
        <v>1165</v>
      </c>
      <c r="AD186" s="164">
        <v>1</v>
      </c>
      <c r="AE186" s="50">
        <v>420</v>
      </c>
      <c r="AF186" s="113">
        <f>0.05/2</f>
        <v>2.5000000000000001E-2</v>
      </c>
      <c r="AG186" s="54"/>
      <c r="AH186" s="54"/>
      <c r="AI186" s="113"/>
      <c r="AJ186" s="50"/>
      <c r="AK186" s="74"/>
      <c r="AL186" s="74"/>
      <c r="AM186" s="74"/>
      <c r="AN186" s="74"/>
      <c r="AO186" s="74"/>
      <c r="AP186" s="74"/>
      <c r="AQ186" s="74"/>
      <c r="AR186" s="74"/>
      <c r="AS186" s="74"/>
      <c r="AT186" s="74"/>
    </row>
    <row r="187" spans="1:46" ht="15" customHeight="1">
      <c r="A187" s="41" t="s">
        <v>36</v>
      </c>
      <c r="B187" s="50" t="s">
        <v>2900</v>
      </c>
      <c r="C187" s="50" t="s">
        <v>2906</v>
      </c>
      <c r="D187" s="48" t="s">
        <v>659</v>
      </c>
      <c r="E187" s="50" t="s">
        <v>2902</v>
      </c>
      <c r="F187" s="85" t="s">
        <v>2903</v>
      </c>
      <c r="G187" s="76" t="s">
        <v>2904</v>
      </c>
      <c r="H187" s="50">
        <v>9511</v>
      </c>
      <c r="I187" s="49" t="s">
        <v>2</v>
      </c>
      <c r="J187" s="50" t="s">
        <v>2905</v>
      </c>
      <c r="K187" s="51">
        <v>41180</v>
      </c>
      <c r="L187" s="115">
        <v>41175</v>
      </c>
      <c r="M187" s="402">
        <f t="shared" si="7"/>
        <v>5</v>
      </c>
      <c r="N187" s="50" t="s">
        <v>2</v>
      </c>
      <c r="O187" s="131">
        <f t="shared" si="8"/>
        <v>2.5</v>
      </c>
      <c r="P187" s="117">
        <v>6.4</v>
      </c>
      <c r="Q187" s="131">
        <v>7.73</v>
      </c>
      <c r="R187" s="50">
        <v>45</v>
      </c>
      <c r="S187" s="74">
        <v>21</v>
      </c>
      <c r="T187" s="50">
        <f>0.1/2</f>
        <v>0.05</v>
      </c>
      <c r="U187" s="74">
        <f>1/2</f>
        <v>0.5</v>
      </c>
      <c r="V187" s="50">
        <v>0.66</v>
      </c>
      <c r="W187" s="74">
        <f>0.04/2</f>
        <v>0.02</v>
      </c>
      <c r="X187" s="50">
        <v>5.0999999999999997E-2</v>
      </c>
      <c r="Y187" s="74">
        <f>0.013/2</f>
        <v>6.4999999999999997E-3</v>
      </c>
      <c r="AE187" s="50">
        <v>36</v>
      </c>
      <c r="AF187" s="113">
        <f>0.05/2</f>
        <v>2.5000000000000001E-2</v>
      </c>
      <c r="AG187" s="54"/>
      <c r="AH187" s="54"/>
      <c r="AI187" s="113"/>
      <c r="AJ187" s="50"/>
      <c r="AK187" s="74"/>
      <c r="AL187" s="74"/>
      <c r="AM187" s="74"/>
      <c r="AN187" s="74"/>
      <c r="AO187" s="74"/>
      <c r="AP187" s="74"/>
      <c r="AQ187" s="74"/>
      <c r="AR187" s="74"/>
      <c r="AS187" s="74"/>
      <c r="AT187" s="74"/>
    </row>
    <row r="188" spans="1:46" ht="15" customHeight="1">
      <c r="A188" s="41" t="s">
        <v>36</v>
      </c>
      <c r="B188" s="50" t="s">
        <v>2907</v>
      </c>
      <c r="C188" s="50" t="s">
        <v>2757</v>
      </c>
      <c r="D188" s="48" t="s">
        <v>268</v>
      </c>
      <c r="E188" s="50" t="s">
        <v>2908</v>
      </c>
      <c r="F188" s="50">
        <v>4403</v>
      </c>
      <c r="G188" s="76" t="s">
        <v>2909</v>
      </c>
      <c r="H188" s="50">
        <v>9199</v>
      </c>
      <c r="I188" s="49" t="s">
        <v>1</v>
      </c>
      <c r="J188" s="50" t="s">
        <v>2910</v>
      </c>
      <c r="K188" s="51">
        <v>40996</v>
      </c>
      <c r="L188" s="115">
        <v>40993</v>
      </c>
      <c r="M188" s="402">
        <f t="shared" si="7"/>
        <v>3</v>
      </c>
      <c r="N188" s="50" t="s">
        <v>2</v>
      </c>
      <c r="O188" s="131">
        <v>12</v>
      </c>
      <c r="P188" s="117">
        <v>6</v>
      </c>
      <c r="Q188" s="131">
        <v>7.24</v>
      </c>
      <c r="R188" s="50">
        <v>200</v>
      </c>
      <c r="S188" s="74">
        <v>500</v>
      </c>
      <c r="T188" s="50">
        <v>0.95</v>
      </c>
      <c r="U188" s="74">
        <v>7.54</v>
      </c>
      <c r="V188" s="50">
        <v>4.32</v>
      </c>
      <c r="W188" s="74">
        <v>0.17499999999999999</v>
      </c>
      <c r="X188" s="50">
        <v>2.2999999999999998</v>
      </c>
      <c r="Y188" s="74">
        <v>9.0999999999999998E-2</v>
      </c>
      <c r="Z188" s="164">
        <v>1</v>
      </c>
      <c r="AA188" s="165">
        <v>1</v>
      </c>
      <c r="AB188" s="50">
        <v>120</v>
      </c>
      <c r="AC188" s="74">
        <v>1482</v>
      </c>
      <c r="AD188" s="164">
        <v>1</v>
      </c>
      <c r="AE188" s="50">
        <v>329</v>
      </c>
      <c r="AF188" s="113">
        <f>0.01/2</f>
        <v>5.0000000000000001E-3</v>
      </c>
      <c r="AG188" s="54"/>
      <c r="AH188" s="54"/>
      <c r="AI188" s="113"/>
      <c r="AJ188" s="50"/>
      <c r="AK188" s="74"/>
      <c r="AL188" s="74"/>
      <c r="AM188" s="74"/>
      <c r="AN188" s="74"/>
      <c r="AO188" s="74"/>
      <c r="AP188" s="74"/>
      <c r="AQ188" s="74"/>
      <c r="AR188" s="74"/>
      <c r="AS188" s="74"/>
      <c r="AT188" s="74"/>
    </row>
    <row r="189" spans="1:46" ht="15" customHeight="1">
      <c r="A189" s="41" t="s">
        <v>36</v>
      </c>
      <c r="B189" s="50" t="s">
        <v>2907</v>
      </c>
      <c r="C189" s="50" t="s">
        <v>2757</v>
      </c>
      <c r="D189" s="48" t="s">
        <v>268</v>
      </c>
      <c r="E189" s="50" t="s">
        <v>2908</v>
      </c>
      <c r="F189" s="50">
        <v>4403</v>
      </c>
      <c r="G189" s="76" t="s">
        <v>2909</v>
      </c>
      <c r="H189" s="50">
        <v>9199</v>
      </c>
      <c r="I189" s="49" t="s">
        <v>1</v>
      </c>
      <c r="J189" s="50" t="s">
        <v>2910</v>
      </c>
      <c r="K189" s="51">
        <v>41170</v>
      </c>
      <c r="L189" s="115">
        <v>41160</v>
      </c>
      <c r="M189" s="402">
        <f t="shared" si="7"/>
        <v>10</v>
      </c>
      <c r="N189" s="50" t="s">
        <v>2</v>
      </c>
      <c r="O189" s="131">
        <f>1.4/2</f>
        <v>0.7</v>
      </c>
      <c r="P189" s="117">
        <v>6.78</v>
      </c>
      <c r="Q189" s="131">
        <v>7.55</v>
      </c>
      <c r="R189" s="50">
        <v>110</v>
      </c>
      <c r="S189" s="74">
        <v>46</v>
      </c>
      <c r="T189" s="50">
        <v>0.19</v>
      </c>
      <c r="U189" s="74">
        <v>7.75</v>
      </c>
      <c r="V189" s="50">
        <v>1.33</v>
      </c>
      <c r="W189" s="74">
        <v>2.1000000000000001E-2</v>
      </c>
      <c r="X189" s="50">
        <v>0.10299999999999999</v>
      </c>
      <c r="Y189" s="74">
        <v>1.0999999999999999E-2</v>
      </c>
      <c r="AE189" s="50">
        <v>155</v>
      </c>
      <c r="AF189" s="113">
        <f>0.01/2</f>
        <v>5.0000000000000001E-3</v>
      </c>
      <c r="AG189" s="54"/>
      <c r="AH189" s="54"/>
      <c r="AI189" s="113"/>
      <c r="AJ189" s="50"/>
      <c r="AK189" s="74"/>
      <c r="AL189" s="74"/>
      <c r="AM189" s="74"/>
      <c r="AN189" s="74"/>
      <c r="AO189" s="74"/>
      <c r="AP189" s="74"/>
      <c r="AQ189" s="74"/>
      <c r="AR189" s="74"/>
      <c r="AS189" s="74"/>
      <c r="AT189" s="74"/>
    </row>
    <row r="190" spans="1:46" ht="15" customHeight="1">
      <c r="A190" s="41" t="s">
        <v>36</v>
      </c>
      <c r="B190" s="50" t="s">
        <v>2273</v>
      </c>
      <c r="C190" s="50" t="s">
        <v>2757</v>
      </c>
      <c r="D190" s="48" t="s">
        <v>2274</v>
      </c>
      <c r="E190" s="50" t="s">
        <v>2657</v>
      </c>
      <c r="G190" s="76" t="s">
        <v>2911</v>
      </c>
      <c r="H190" s="50">
        <v>9199</v>
      </c>
      <c r="I190" s="49" t="s">
        <v>1</v>
      </c>
      <c r="J190" s="50" t="s">
        <v>510</v>
      </c>
      <c r="K190" s="51">
        <v>40955</v>
      </c>
      <c r="L190" s="115">
        <v>40935</v>
      </c>
      <c r="M190" s="402">
        <f t="shared" si="7"/>
        <v>20</v>
      </c>
      <c r="N190" s="50" t="s">
        <v>2</v>
      </c>
      <c r="O190" s="131">
        <f>5/2</f>
        <v>2.5</v>
      </c>
      <c r="P190" s="117">
        <v>6.4</v>
      </c>
      <c r="Q190" s="131">
        <v>6.46</v>
      </c>
      <c r="R190" s="50">
        <v>98</v>
      </c>
      <c r="S190" s="74">
        <v>21</v>
      </c>
      <c r="T190" s="50">
        <f>0.1/2</f>
        <v>0.05</v>
      </c>
      <c r="U190" s="74">
        <v>3.1</v>
      </c>
      <c r="V190" s="50">
        <v>0.34</v>
      </c>
      <c r="W190" s="74">
        <f>0.04/2</f>
        <v>0.02</v>
      </c>
      <c r="X190" s="50">
        <v>6.0999999999999999E-2</v>
      </c>
      <c r="Y190" s="74">
        <f>0.013/2</f>
        <v>6.4999999999999997E-3</v>
      </c>
      <c r="Z190" s="164">
        <v>1</v>
      </c>
      <c r="AA190" s="165">
        <v>1</v>
      </c>
      <c r="AB190" s="50">
        <v>370</v>
      </c>
      <c r="AC190" s="74">
        <v>4340</v>
      </c>
      <c r="AD190" s="164">
        <v>0.7</v>
      </c>
      <c r="AE190" s="50">
        <v>1400</v>
      </c>
      <c r="AF190" s="113">
        <f>0.05/2</f>
        <v>2.5000000000000001E-2</v>
      </c>
      <c r="AG190" s="54"/>
      <c r="AH190" s="54"/>
      <c r="AI190" s="113"/>
      <c r="AJ190" s="50"/>
      <c r="AK190" s="74"/>
      <c r="AL190" s="74"/>
      <c r="AM190" s="74"/>
      <c r="AN190" s="74"/>
      <c r="AO190" s="74"/>
      <c r="AP190" s="74"/>
      <c r="AQ190" s="74"/>
      <c r="AR190" s="74"/>
      <c r="AS190" s="74"/>
      <c r="AT190" s="74"/>
    </row>
    <row r="191" spans="1:46" ht="15" customHeight="1">
      <c r="A191" s="41" t="s">
        <v>36</v>
      </c>
      <c r="B191" s="50" t="s">
        <v>2273</v>
      </c>
      <c r="C191" s="50" t="s">
        <v>2757</v>
      </c>
      <c r="D191" s="48" t="s">
        <v>2274</v>
      </c>
      <c r="E191" s="50" t="s">
        <v>2657</v>
      </c>
      <c r="G191" s="76" t="s">
        <v>2911</v>
      </c>
      <c r="H191" s="50">
        <v>9199</v>
      </c>
      <c r="I191" s="49" t="s">
        <v>1</v>
      </c>
      <c r="J191" s="50" t="s">
        <v>510</v>
      </c>
      <c r="K191" s="51">
        <v>41240</v>
      </c>
      <c r="L191" s="115"/>
      <c r="M191" s="402"/>
      <c r="N191" s="50" t="s">
        <v>1</v>
      </c>
      <c r="O191" s="131">
        <f>5/2</f>
        <v>2.5</v>
      </c>
      <c r="P191" s="117">
        <v>6.55</v>
      </c>
      <c r="Q191" s="131">
        <v>6.56</v>
      </c>
      <c r="R191" s="50">
        <v>110</v>
      </c>
      <c r="S191" s="74">
        <v>97</v>
      </c>
      <c r="T191" s="50">
        <v>0.11</v>
      </c>
      <c r="U191" s="74">
        <v>1.9</v>
      </c>
      <c r="V191" s="50">
        <v>0.91</v>
      </c>
      <c r="W191" s="74">
        <f>0.04/2</f>
        <v>0.02</v>
      </c>
      <c r="X191" s="50">
        <v>0.12</v>
      </c>
      <c r="Y191" s="74">
        <v>1.2999999999999999E-2</v>
      </c>
      <c r="AE191" s="50">
        <v>550</v>
      </c>
      <c r="AF191" s="113">
        <f>0.05/2</f>
        <v>2.5000000000000001E-2</v>
      </c>
      <c r="AG191" s="54"/>
      <c r="AH191" s="54"/>
      <c r="AI191" s="113"/>
      <c r="AJ191" s="50"/>
      <c r="AK191" s="74"/>
      <c r="AL191" s="74"/>
      <c r="AM191" s="74"/>
      <c r="AN191" s="74"/>
      <c r="AO191" s="74"/>
      <c r="AP191" s="74"/>
      <c r="AQ191" s="74"/>
      <c r="AR191" s="74"/>
      <c r="AS191" s="74"/>
      <c r="AT191" s="74"/>
    </row>
    <row r="192" spans="1:46" ht="15" customHeight="1">
      <c r="A192" s="41" t="s">
        <v>36</v>
      </c>
      <c r="B192" s="50" t="s">
        <v>2912</v>
      </c>
      <c r="D192" s="48" t="s">
        <v>2913</v>
      </c>
      <c r="E192" s="50" t="s">
        <v>2914</v>
      </c>
      <c r="F192" s="50" t="s">
        <v>2667</v>
      </c>
      <c r="G192" s="76" t="s">
        <v>2915</v>
      </c>
      <c r="H192" s="50">
        <v>9199</v>
      </c>
      <c r="I192" s="49" t="s">
        <v>1</v>
      </c>
      <c r="J192" s="50" t="s">
        <v>569</v>
      </c>
      <c r="K192" s="51">
        <v>41201</v>
      </c>
      <c r="L192" s="115">
        <v>41197</v>
      </c>
      <c r="M192" s="402">
        <f t="shared" si="7"/>
        <v>4</v>
      </c>
      <c r="N192" s="50" t="s">
        <v>2</v>
      </c>
      <c r="O192" s="131">
        <v>3</v>
      </c>
      <c r="P192" s="117">
        <v>8.1999999999999993</v>
      </c>
      <c r="Q192" s="131">
        <v>7.9</v>
      </c>
      <c r="R192" s="50">
        <v>168</v>
      </c>
      <c r="S192" s="74">
        <v>115</v>
      </c>
      <c r="T192" s="50">
        <v>0.22</v>
      </c>
      <c r="U192" s="74">
        <v>1.03</v>
      </c>
      <c r="V192" s="50">
        <f>0.1/2</f>
        <v>0.05</v>
      </c>
      <c r="W192" s="74">
        <v>3.6999999999999998E-2</v>
      </c>
      <c r="X192" s="50">
        <v>9.1999999999999998E-2</v>
      </c>
      <c r="Y192" s="74">
        <f>0.03/2</f>
        <v>1.4999999999999999E-2</v>
      </c>
      <c r="Z192" s="164">
        <v>0.13900000000000001</v>
      </c>
      <c r="AA192" s="165">
        <v>0.13100000000000001</v>
      </c>
      <c r="AB192" s="50">
        <v>314</v>
      </c>
      <c r="AC192" s="74">
        <v>16280</v>
      </c>
      <c r="AD192" s="164">
        <v>0</v>
      </c>
      <c r="AE192" s="50">
        <v>9650</v>
      </c>
      <c r="AF192" s="113">
        <f>0.05/2</f>
        <v>2.5000000000000001E-2</v>
      </c>
      <c r="AG192" s="54"/>
      <c r="AH192" s="54">
        <v>1600</v>
      </c>
      <c r="AI192" s="113"/>
      <c r="AJ192" s="50"/>
      <c r="AK192" s="74"/>
      <c r="AL192" s="74"/>
      <c r="AM192" s="74"/>
      <c r="AN192" s="74"/>
      <c r="AO192" s="74"/>
      <c r="AP192" s="74"/>
      <c r="AQ192" s="74"/>
      <c r="AR192" s="74"/>
      <c r="AS192" s="74"/>
      <c r="AT192" s="74"/>
    </row>
    <row r="193" spans="1:46" ht="15" customHeight="1">
      <c r="A193" s="41" t="s">
        <v>36</v>
      </c>
      <c r="B193" s="50" t="s">
        <v>2912</v>
      </c>
      <c r="D193" s="48" t="s">
        <v>2913</v>
      </c>
      <c r="E193" s="50" t="s">
        <v>2914</v>
      </c>
      <c r="F193" s="50" t="s">
        <v>2667</v>
      </c>
      <c r="G193" s="76" t="s">
        <v>2915</v>
      </c>
      <c r="H193" s="50">
        <v>9199</v>
      </c>
      <c r="I193" s="49" t="s">
        <v>1</v>
      </c>
      <c r="J193" s="50" t="s">
        <v>569</v>
      </c>
      <c r="K193" s="51">
        <v>41030</v>
      </c>
      <c r="L193" s="115">
        <v>41022</v>
      </c>
      <c r="M193" s="402">
        <f t="shared" si="7"/>
        <v>8</v>
      </c>
      <c r="N193" s="50" t="s">
        <v>2</v>
      </c>
      <c r="O193" s="131">
        <v>5.4</v>
      </c>
      <c r="P193" s="117"/>
      <c r="Q193" s="131">
        <v>8.8000000000000007</v>
      </c>
      <c r="R193" s="50">
        <v>103</v>
      </c>
      <c r="S193" s="74">
        <v>98</v>
      </c>
      <c r="T193" s="50">
        <v>0.24</v>
      </c>
      <c r="U193" s="74">
        <v>1.96</v>
      </c>
      <c r="V193" s="50">
        <v>0.11</v>
      </c>
      <c r="W193" s="74">
        <v>2.8000000000000001E-2</v>
      </c>
      <c r="X193" s="50">
        <v>0.03</v>
      </c>
      <c r="Y193" s="74">
        <f>0.03/2</f>
        <v>1.4999999999999999E-2</v>
      </c>
      <c r="AE193" s="50">
        <v>1544</v>
      </c>
      <c r="AF193" s="113">
        <f>0.05/2</f>
        <v>2.5000000000000001E-2</v>
      </c>
      <c r="AG193" s="54"/>
      <c r="AH193" s="54">
        <v>100</v>
      </c>
      <c r="AI193" s="113"/>
      <c r="AJ193" s="50"/>
      <c r="AK193" s="74"/>
      <c r="AL193" s="74"/>
      <c r="AM193" s="74"/>
      <c r="AN193" s="74"/>
      <c r="AO193" s="74"/>
      <c r="AP193" s="74"/>
      <c r="AQ193" s="74"/>
      <c r="AR193" s="74"/>
      <c r="AS193" s="74"/>
      <c r="AT193" s="74"/>
    </row>
    <row r="194" spans="1:46" ht="15" customHeight="1">
      <c r="A194" s="41" t="s">
        <v>36</v>
      </c>
      <c r="B194" s="50" t="s">
        <v>2916</v>
      </c>
      <c r="C194" s="50" t="s">
        <v>2757</v>
      </c>
      <c r="D194" s="48" t="s">
        <v>1643</v>
      </c>
      <c r="E194" s="50" t="s">
        <v>2917</v>
      </c>
      <c r="F194" s="50" t="s">
        <v>2667</v>
      </c>
      <c r="G194" s="76" t="s">
        <v>2918</v>
      </c>
      <c r="H194" s="50">
        <v>4953</v>
      </c>
      <c r="J194" s="50" t="s">
        <v>2919</v>
      </c>
      <c r="K194" s="51">
        <v>41051</v>
      </c>
      <c r="L194" s="115">
        <v>41048</v>
      </c>
      <c r="M194" s="402">
        <f t="shared" si="7"/>
        <v>3</v>
      </c>
      <c r="N194" s="50" t="s">
        <v>2</v>
      </c>
      <c r="O194" s="131">
        <f>5/2</f>
        <v>2.5</v>
      </c>
      <c r="P194" s="117">
        <v>6.78</v>
      </c>
      <c r="Q194" s="131">
        <v>6.81</v>
      </c>
      <c r="R194" s="50">
        <v>77</v>
      </c>
      <c r="S194" s="74">
        <v>46</v>
      </c>
      <c r="T194" s="50">
        <v>0.25</v>
      </c>
      <c r="U194" s="74">
        <v>1.19</v>
      </c>
      <c r="V194" s="50">
        <v>0.47</v>
      </c>
      <c r="W194" s="74">
        <v>0.01</v>
      </c>
      <c r="X194" s="50">
        <v>0.03</v>
      </c>
      <c r="Y194" s="74">
        <v>5.0000000000000001E-3</v>
      </c>
      <c r="Z194" s="164">
        <v>1</v>
      </c>
      <c r="AA194" s="165">
        <v>1</v>
      </c>
      <c r="AB194" s="50">
        <v>22</v>
      </c>
      <c r="AC194" s="74">
        <v>318</v>
      </c>
      <c r="AD194" s="164">
        <v>1</v>
      </c>
      <c r="AF194" s="113"/>
      <c r="AG194" s="54"/>
      <c r="AH194" s="54"/>
      <c r="AI194" s="113"/>
      <c r="AJ194" s="50"/>
      <c r="AK194" s="74"/>
      <c r="AL194" s="74"/>
      <c r="AM194" s="74"/>
      <c r="AN194" s="74"/>
      <c r="AO194" s="74"/>
      <c r="AP194" s="74"/>
      <c r="AQ194" s="74"/>
      <c r="AR194" s="74"/>
      <c r="AS194" s="74"/>
      <c r="AT194" s="74"/>
    </row>
    <row r="195" spans="1:46" ht="15" customHeight="1">
      <c r="A195" s="41" t="s">
        <v>36</v>
      </c>
      <c r="B195" s="50" t="s">
        <v>2920</v>
      </c>
      <c r="C195" s="50" t="s">
        <v>393</v>
      </c>
      <c r="D195" s="48" t="s">
        <v>2921</v>
      </c>
      <c r="E195" s="50" t="s">
        <v>2922</v>
      </c>
      <c r="G195" s="76" t="s">
        <v>2923</v>
      </c>
      <c r="H195" s="50">
        <v>9199</v>
      </c>
      <c r="I195" s="49" t="s">
        <v>2</v>
      </c>
      <c r="J195" s="50" t="s">
        <v>271</v>
      </c>
      <c r="K195" s="51">
        <v>41073</v>
      </c>
      <c r="L195" s="115">
        <v>41066</v>
      </c>
      <c r="M195" s="402">
        <f t="shared" si="7"/>
        <v>7</v>
      </c>
      <c r="N195" s="50" t="s">
        <v>2</v>
      </c>
      <c r="O195" s="131">
        <f>1/2</f>
        <v>0.5</v>
      </c>
      <c r="P195" s="117">
        <v>6</v>
      </c>
      <c r="Q195" s="131">
        <v>6.39</v>
      </c>
      <c r="R195" s="50">
        <v>25.6</v>
      </c>
      <c r="S195" s="74">
        <v>10</v>
      </c>
      <c r="T195" s="50">
        <v>0.35</v>
      </c>
      <c r="U195" s="74">
        <v>0.65</v>
      </c>
      <c r="V195" s="50">
        <f>0.1/2</f>
        <v>0.05</v>
      </c>
      <c r="W195" s="74">
        <v>5.0999999999999997E-2</v>
      </c>
      <c r="X195" s="50">
        <v>4.2999999999999997E-2</v>
      </c>
      <c r="Y195" s="74">
        <v>8.9999999999999993E-3</v>
      </c>
      <c r="AB195" s="50">
        <v>4.0199999999999996</v>
      </c>
      <c r="AC195" s="74">
        <v>19</v>
      </c>
      <c r="AD195" s="164">
        <v>0</v>
      </c>
      <c r="AF195" s="113"/>
      <c r="AG195" s="54"/>
      <c r="AH195" s="54"/>
      <c r="AI195" s="113"/>
      <c r="AJ195" s="50"/>
      <c r="AK195" s="74"/>
      <c r="AL195" s="74"/>
      <c r="AM195" s="74"/>
      <c r="AN195" s="74"/>
      <c r="AO195" s="74"/>
      <c r="AP195" s="74"/>
      <c r="AQ195" s="74"/>
      <c r="AR195" s="74"/>
      <c r="AS195" s="74"/>
      <c r="AT195" s="74"/>
    </row>
    <row r="196" spans="1:46" ht="15" customHeight="1">
      <c r="A196" s="41" t="s">
        <v>36</v>
      </c>
      <c r="B196" s="50" t="s">
        <v>2920</v>
      </c>
      <c r="C196" s="50" t="s">
        <v>393</v>
      </c>
      <c r="D196" s="48" t="s">
        <v>2921</v>
      </c>
      <c r="E196" s="50" t="s">
        <v>2922</v>
      </c>
      <c r="G196" s="76" t="s">
        <v>2923</v>
      </c>
      <c r="H196" s="50">
        <v>9199</v>
      </c>
      <c r="I196" s="49" t="s">
        <v>2</v>
      </c>
      <c r="J196" s="50" t="s">
        <v>271</v>
      </c>
      <c r="K196" s="51">
        <v>41264</v>
      </c>
      <c r="L196" s="115">
        <v>41261</v>
      </c>
      <c r="M196" s="402">
        <f t="shared" si="7"/>
        <v>3</v>
      </c>
      <c r="N196" s="50" t="s">
        <v>2</v>
      </c>
      <c r="O196" s="131">
        <v>4</v>
      </c>
      <c r="P196" s="117">
        <v>5.88</v>
      </c>
      <c r="Q196" s="131">
        <v>6.03</v>
      </c>
      <c r="R196" s="50">
        <v>15</v>
      </c>
      <c r="S196" s="74">
        <v>26</v>
      </c>
      <c r="T196" s="50">
        <f>0.05/2</f>
        <v>2.5000000000000001E-2</v>
      </c>
      <c r="U196" s="74">
        <f>0.1/2</f>
        <v>0.05</v>
      </c>
      <c r="V196" s="50">
        <f>0.1/2</f>
        <v>0.05</v>
      </c>
      <c r="W196" s="74">
        <v>1.7999999999999999E-2</v>
      </c>
      <c r="X196" s="50">
        <v>3.4000000000000002E-2</v>
      </c>
      <c r="Y196" s="74">
        <v>3.0000000000000001E-3</v>
      </c>
      <c r="AE196" s="50">
        <v>48.24</v>
      </c>
      <c r="AF196" s="113">
        <f>0.01/2</f>
        <v>5.0000000000000001E-3</v>
      </c>
      <c r="AG196" s="54"/>
      <c r="AH196" s="54"/>
      <c r="AI196" s="113"/>
      <c r="AJ196" s="50"/>
      <c r="AK196" s="74"/>
      <c r="AL196" s="74"/>
      <c r="AM196" s="74"/>
      <c r="AN196" s="74"/>
      <c r="AO196" s="74"/>
      <c r="AP196" s="74"/>
      <c r="AQ196" s="74"/>
      <c r="AR196" s="74"/>
      <c r="AS196" s="74"/>
      <c r="AT196" s="74"/>
    </row>
    <row r="197" spans="1:46" ht="15" customHeight="1">
      <c r="A197" s="41" t="s">
        <v>36</v>
      </c>
      <c r="B197" s="50" t="s">
        <v>470</v>
      </c>
      <c r="C197" s="50" t="s">
        <v>2757</v>
      </c>
      <c r="D197" s="48" t="s">
        <v>471</v>
      </c>
      <c r="E197" s="50" t="s">
        <v>975</v>
      </c>
      <c r="F197" s="50">
        <v>6402</v>
      </c>
      <c r="G197" s="76" t="s">
        <v>472</v>
      </c>
      <c r="H197" s="50">
        <v>9199</v>
      </c>
      <c r="I197" s="49" t="s">
        <v>2</v>
      </c>
      <c r="J197" s="50" t="s">
        <v>473</v>
      </c>
      <c r="K197" s="51">
        <v>41264</v>
      </c>
      <c r="L197" s="115">
        <v>41261</v>
      </c>
      <c r="M197" s="402">
        <f t="shared" si="7"/>
        <v>3</v>
      </c>
      <c r="N197" s="50" t="s">
        <v>2</v>
      </c>
      <c r="O197" s="131">
        <v>1.9</v>
      </c>
      <c r="P197" s="117">
        <v>5</v>
      </c>
      <c r="Q197" s="131">
        <v>7.77</v>
      </c>
      <c r="R197" s="50">
        <v>17</v>
      </c>
      <c r="S197" s="74">
        <v>87</v>
      </c>
      <c r="T197" s="50">
        <v>0.33</v>
      </c>
      <c r="U197" s="74">
        <v>0.73</v>
      </c>
      <c r="V197" s="50">
        <v>0.56999999999999995</v>
      </c>
      <c r="W197" s="74">
        <v>2.7E-2</v>
      </c>
      <c r="X197" s="50">
        <v>7.4999999999999997E-2</v>
      </c>
      <c r="Y197" s="74">
        <v>1.0999999999999999E-2</v>
      </c>
      <c r="Z197" s="164">
        <v>1</v>
      </c>
      <c r="AA197" s="165">
        <v>1</v>
      </c>
      <c r="AB197" s="50">
        <v>12</v>
      </c>
      <c r="AC197" s="74">
        <v>760</v>
      </c>
      <c r="AD197" s="164">
        <v>1</v>
      </c>
      <c r="AE197" s="50">
        <v>205</v>
      </c>
      <c r="AF197" s="113">
        <v>7.0000000000000007E-2</v>
      </c>
      <c r="AG197" s="54"/>
      <c r="AH197" s="54"/>
      <c r="AI197" s="113"/>
      <c r="AJ197" s="50"/>
      <c r="AK197" s="74"/>
      <c r="AL197" s="74"/>
      <c r="AM197" s="74"/>
      <c r="AN197" s="74"/>
      <c r="AO197" s="74"/>
      <c r="AP197" s="74"/>
      <c r="AQ197" s="74"/>
      <c r="AR197" s="74"/>
      <c r="AS197" s="74"/>
      <c r="AT197" s="74"/>
    </row>
    <row r="198" spans="1:46" ht="15" customHeight="1">
      <c r="A198" s="41" t="s">
        <v>36</v>
      </c>
      <c r="B198" s="50" t="s">
        <v>470</v>
      </c>
      <c r="C198" s="50" t="s">
        <v>2757</v>
      </c>
      <c r="D198" s="48" t="s">
        <v>471</v>
      </c>
      <c r="E198" s="50" t="s">
        <v>975</v>
      </c>
      <c r="F198" s="50">
        <v>6402</v>
      </c>
      <c r="G198" s="76" t="s">
        <v>472</v>
      </c>
      <c r="H198" s="50">
        <v>9199</v>
      </c>
      <c r="I198" s="49" t="s">
        <v>2</v>
      </c>
      <c r="J198" s="50" t="s">
        <v>474</v>
      </c>
      <c r="K198" s="51">
        <v>41264</v>
      </c>
      <c r="L198" s="115">
        <v>41261</v>
      </c>
      <c r="M198" s="402">
        <f t="shared" si="7"/>
        <v>3</v>
      </c>
      <c r="N198" s="50" t="s">
        <v>2</v>
      </c>
      <c r="O198" s="131">
        <v>13</v>
      </c>
      <c r="P198" s="117">
        <v>4.5</v>
      </c>
      <c r="Q198" s="131">
        <v>7.5</v>
      </c>
      <c r="R198" s="50">
        <v>34</v>
      </c>
      <c r="S198" s="74">
        <v>310</v>
      </c>
      <c r="T198" s="50">
        <v>0.33</v>
      </c>
      <c r="U198" s="74">
        <v>1.53</v>
      </c>
      <c r="V198" s="50">
        <v>0.56000000000000005</v>
      </c>
      <c r="W198" s="74">
        <v>0.03</v>
      </c>
      <c r="X198" s="50">
        <v>8.2000000000000003E-2</v>
      </c>
      <c r="Y198" s="74">
        <v>6.0000000000000001E-3</v>
      </c>
      <c r="Z198" s="164">
        <v>1</v>
      </c>
      <c r="AA198" s="165">
        <v>1</v>
      </c>
      <c r="AB198" s="50">
        <v>16</v>
      </c>
      <c r="AC198" s="74">
        <v>195</v>
      </c>
      <c r="AD198" s="164">
        <v>1</v>
      </c>
      <c r="AF198" s="113"/>
      <c r="AG198" s="54"/>
      <c r="AH198" s="54"/>
      <c r="AI198" s="113"/>
      <c r="AJ198" s="50"/>
      <c r="AK198" s="74"/>
      <c r="AL198" s="74"/>
      <c r="AM198" s="74"/>
      <c r="AN198" s="74"/>
      <c r="AO198" s="74"/>
      <c r="AP198" s="74"/>
      <c r="AQ198" s="74"/>
      <c r="AR198" s="74"/>
      <c r="AS198" s="74"/>
      <c r="AT198" s="74"/>
    </row>
    <row r="199" spans="1:46" ht="15" customHeight="1">
      <c r="A199" s="41" t="s">
        <v>36</v>
      </c>
      <c r="B199" s="50" t="s">
        <v>2643</v>
      </c>
      <c r="C199" s="50" t="s">
        <v>392</v>
      </c>
      <c r="D199" s="48" t="s">
        <v>290</v>
      </c>
      <c r="E199" s="50" t="s">
        <v>112</v>
      </c>
      <c r="G199" s="76" t="s">
        <v>2644</v>
      </c>
      <c r="H199" s="50">
        <v>4953</v>
      </c>
      <c r="I199" s="49" t="s">
        <v>1</v>
      </c>
      <c r="J199" s="50" t="s">
        <v>2681</v>
      </c>
      <c r="K199" s="51">
        <v>41044</v>
      </c>
      <c r="L199" s="115">
        <v>41039</v>
      </c>
      <c r="M199" s="402">
        <f t="shared" si="7"/>
        <v>5</v>
      </c>
      <c r="N199" s="50" t="s">
        <v>2</v>
      </c>
      <c r="O199" s="131">
        <f>1.4/2</f>
        <v>0.7</v>
      </c>
      <c r="P199" s="117">
        <v>5.21</v>
      </c>
      <c r="Q199" s="131">
        <v>9.02</v>
      </c>
      <c r="R199" s="50">
        <v>290</v>
      </c>
      <c r="S199" s="74">
        <v>39</v>
      </c>
      <c r="T199" s="50">
        <v>0.25</v>
      </c>
      <c r="U199" s="74">
        <v>1.97</v>
      </c>
      <c r="V199" s="50">
        <f>0.01/2</f>
        <v>5.0000000000000001E-3</v>
      </c>
      <c r="W199" s="74">
        <v>1.0999999999999999E-2</v>
      </c>
      <c r="X199" s="50">
        <v>7.0000000000000001E-3</v>
      </c>
      <c r="Y199" s="74">
        <v>3.0000000000000001E-3</v>
      </c>
      <c r="Z199" s="164">
        <v>0.70699999999999996</v>
      </c>
      <c r="AA199" s="165">
        <v>0.70699999999999996</v>
      </c>
      <c r="AB199" s="50">
        <v>422</v>
      </c>
      <c r="AC199" s="74">
        <v>15890</v>
      </c>
      <c r="AD199" s="164">
        <v>0</v>
      </c>
      <c r="AE199" s="50">
        <v>2200</v>
      </c>
      <c r="AF199" s="113">
        <f>0.01/2</f>
        <v>5.0000000000000001E-3</v>
      </c>
      <c r="AG199" s="386"/>
      <c r="AH199" s="386"/>
    </row>
    <row r="200" spans="1:46" ht="15" customHeight="1">
      <c r="A200" s="41" t="s">
        <v>36</v>
      </c>
      <c r="B200" s="50" t="s">
        <v>2927</v>
      </c>
      <c r="C200" s="74" t="s">
        <v>2928</v>
      </c>
      <c r="D200" s="48" t="s">
        <v>806</v>
      </c>
      <c r="E200" s="74" t="s">
        <v>535</v>
      </c>
      <c r="G200" s="48" t="s">
        <v>2929</v>
      </c>
      <c r="H200" s="74"/>
      <c r="I200" s="50" t="s">
        <v>1</v>
      </c>
      <c r="J200" s="50" t="s">
        <v>2930</v>
      </c>
      <c r="K200" s="51">
        <v>41157</v>
      </c>
      <c r="L200" s="115">
        <v>41153</v>
      </c>
      <c r="M200" s="402">
        <f t="shared" si="7"/>
        <v>4</v>
      </c>
      <c r="N200" s="50" t="s">
        <v>2</v>
      </c>
      <c r="O200" s="131">
        <v>5</v>
      </c>
      <c r="P200" s="50">
        <v>5.21</v>
      </c>
      <c r="Q200" s="74">
        <v>7.2</v>
      </c>
      <c r="R200" s="50">
        <v>20</v>
      </c>
      <c r="S200" s="74">
        <v>27</v>
      </c>
      <c r="T200" s="50">
        <f>0.01/2</f>
        <v>5.0000000000000001E-3</v>
      </c>
      <c r="U200" s="74">
        <v>0.12</v>
      </c>
      <c r="V200" s="50">
        <v>0.4</v>
      </c>
      <c r="W200" s="74">
        <v>0.01</v>
      </c>
      <c r="X200" s="50">
        <v>0.23</v>
      </c>
      <c r="Y200" s="74">
        <f>0.001/2</f>
        <v>5.0000000000000001E-4</v>
      </c>
      <c r="AE200" s="50">
        <f>5/2</f>
        <v>2.5</v>
      </c>
      <c r="AF200" s="113">
        <f>0.01/2</f>
        <v>5.0000000000000001E-3</v>
      </c>
      <c r="AG200" s="54"/>
      <c r="AH200" s="54">
        <v>870</v>
      </c>
      <c r="AI200" s="113"/>
      <c r="AJ200" s="50"/>
      <c r="AK200" s="74"/>
      <c r="AL200" s="74"/>
      <c r="AM200" s="74"/>
      <c r="AN200" s="74"/>
      <c r="AO200" s="74"/>
      <c r="AP200" s="74"/>
      <c r="AQ200" s="74"/>
      <c r="AR200" s="74"/>
      <c r="AS200" s="74"/>
      <c r="AT200" s="74"/>
    </row>
    <row r="201" spans="1:46" ht="15" customHeight="1">
      <c r="A201" s="41" t="s">
        <v>36</v>
      </c>
      <c r="B201" s="50" t="s">
        <v>2931</v>
      </c>
      <c r="C201" s="74" t="s">
        <v>2927</v>
      </c>
      <c r="D201" s="48" t="s">
        <v>806</v>
      </c>
      <c r="E201" s="74" t="s">
        <v>535</v>
      </c>
      <c r="G201" s="48" t="s">
        <v>2929</v>
      </c>
      <c r="H201" s="74"/>
      <c r="I201" s="50" t="s">
        <v>1</v>
      </c>
      <c r="J201" s="50" t="s">
        <v>2932</v>
      </c>
      <c r="K201" s="51">
        <v>41157</v>
      </c>
      <c r="L201" s="115">
        <v>41153</v>
      </c>
      <c r="M201" s="402">
        <f t="shared" si="7"/>
        <v>4</v>
      </c>
      <c r="N201" s="50" t="s">
        <v>2</v>
      </c>
      <c r="O201" s="131">
        <v>1.7</v>
      </c>
      <c r="P201" s="50">
        <v>5.21</v>
      </c>
      <c r="Q201" s="74">
        <v>7.1</v>
      </c>
      <c r="R201" s="50">
        <v>37</v>
      </c>
      <c r="S201" s="74">
        <v>12</v>
      </c>
      <c r="T201" s="50">
        <f>0.01/2</f>
        <v>5.0000000000000001E-3</v>
      </c>
      <c r="U201" s="74">
        <f>0.05/2</f>
        <v>2.5000000000000001E-2</v>
      </c>
      <c r="V201" s="50">
        <v>0.62</v>
      </c>
      <c r="W201" s="74">
        <v>0.01</v>
      </c>
      <c r="X201" s="50">
        <v>0.15</v>
      </c>
      <c r="Y201" s="74">
        <f>0.001/2</f>
        <v>5.0000000000000001E-4</v>
      </c>
      <c r="AE201" s="50">
        <v>1145</v>
      </c>
      <c r="AF201" s="113">
        <f>0.01/2</f>
        <v>5.0000000000000001E-3</v>
      </c>
      <c r="AG201" s="54"/>
      <c r="AH201" s="54">
        <v>1095</v>
      </c>
      <c r="AI201" s="113"/>
      <c r="AJ201" s="50"/>
      <c r="AK201" s="74"/>
      <c r="AL201" s="74"/>
      <c r="AM201" s="74"/>
      <c r="AN201" s="74"/>
      <c r="AO201" s="74"/>
      <c r="AP201" s="74"/>
      <c r="AQ201" s="74"/>
      <c r="AR201" s="74"/>
      <c r="AS201" s="74"/>
      <c r="AT201" s="74"/>
    </row>
    <row r="202" spans="1:46" ht="15" customHeight="1">
      <c r="A202" s="41" t="s">
        <v>36</v>
      </c>
      <c r="B202" s="50" t="s">
        <v>2927</v>
      </c>
      <c r="C202" s="74" t="s">
        <v>2928</v>
      </c>
      <c r="D202" s="48" t="s">
        <v>806</v>
      </c>
      <c r="E202" s="74" t="s">
        <v>535</v>
      </c>
      <c r="G202" s="48" t="s">
        <v>2929</v>
      </c>
      <c r="H202" s="74"/>
      <c r="I202" s="50" t="s">
        <v>1</v>
      </c>
      <c r="J202" s="50" t="s">
        <v>2930</v>
      </c>
      <c r="K202" s="51">
        <v>41021</v>
      </c>
      <c r="L202" s="115"/>
      <c r="O202" s="131">
        <v>1</v>
      </c>
      <c r="P202" s="50">
        <v>6.7</v>
      </c>
      <c r="Q202" s="74">
        <v>6.9</v>
      </c>
      <c r="R202" s="50">
        <f>5/2</f>
        <v>2.5</v>
      </c>
      <c r="S202" s="74">
        <v>29</v>
      </c>
      <c r="T202" s="50">
        <v>0.06</v>
      </c>
      <c r="U202" s="74">
        <v>0.36</v>
      </c>
      <c r="V202" s="50">
        <v>0.3</v>
      </c>
      <c r="W202" s="74">
        <v>0.02</v>
      </c>
      <c r="X202" s="50">
        <v>7.0000000000000007E-2</v>
      </c>
      <c r="Y202" s="74">
        <v>1E-3</v>
      </c>
      <c r="Z202" s="164">
        <v>1</v>
      </c>
      <c r="AA202" s="165">
        <v>1</v>
      </c>
      <c r="AB202" s="50">
        <v>13</v>
      </c>
      <c r="AC202" s="74">
        <v>136</v>
      </c>
      <c r="AD202" s="164">
        <v>1</v>
      </c>
      <c r="AF202" s="113">
        <f>0.01/2</f>
        <v>5.0000000000000001E-3</v>
      </c>
      <c r="AG202" s="54"/>
      <c r="AH202" s="54"/>
      <c r="AI202" s="113"/>
      <c r="AJ202" s="50"/>
      <c r="AK202" s="74"/>
      <c r="AL202" s="74"/>
      <c r="AM202" s="74"/>
      <c r="AN202" s="74"/>
      <c r="AO202" s="74"/>
      <c r="AP202" s="74"/>
      <c r="AQ202" s="74"/>
      <c r="AR202" s="74"/>
      <c r="AS202" s="74"/>
      <c r="AT202" s="74"/>
    </row>
    <row r="203" spans="1:46" ht="15" customHeight="1">
      <c r="A203" s="41" t="s">
        <v>36</v>
      </c>
      <c r="B203" s="50" t="s">
        <v>2931</v>
      </c>
      <c r="C203" s="74" t="s">
        <v>2927</v>
      </c>
      <c r="D203" s="48" t="s">
        <v>806</v>
      </c>
      <c r="E203" s="74" t="s">
        <v>535</v>
      </c>
      <c r="G203" s="48" t="s">
        <v>2929</v>
      </c>
      <c r="H203" s="74"/>
      <c r="I203" s="50" t="s">
        <v>1</v>
      </c>
      <c r="J203" s="50" t="s">
        <v>2932</v>
      </c>
      <c r="K203" s="51">
        <v>41021</v>
      </c>
      <c r="L203" s="115"/>
      <c r="O203" s="131">
        <v>1.6</v>
      </c>
      <c r="P203" s="117">
        <v>6.7</v>
      </c>
      <c r="Q203" s="131">
        <v>6.7</v>
      </c>
      <c r="R203" s="50">
        <f>5/2</f>
        <v>2.5</v>
      </c>
      <c r="S203" s="74">
        <v>21</v>
      </c>
      <c r="T203" s="50">
        <v>0.18</v>
      </c>
      <c r="U203" s="74">
        <v>1.4</v>
      </c>
      <c r="V203" s="50">
        <f>0.05/2</f>
        <v>2.5000000000000001E-2</v>
      </c>
      <c r="W203" s="74">
        <v>0.03</v>
      </c>
      <c r="X203" s="50">
        <v>0.19</v>
      </c>
      <c r="Y203" s="74">
        <f>0.001/2</f>
        <v>5.0000000000000001E-4</v>
      </c>
      <c r="Z203" s="164">
        <v>0.17699999999999999</v>
      </c>
      <c r="AA203" s="165">
        <v>0.17699999999999999</v>
      </c>
      <c r="AB203" s="50">
        <v>310</v>
      </c>
      <c r="AC203" s="74">
        <v>38500</v>
      </c>
      <c r="AD203" s="164">
        <v>0</v>
      </c>
      <c r="AF203" s="113">
        <f>0.01/2</f>
        <v>5.0000000000000001E-3</v>
      </c>
      <c r="AG203" s="386"/>
      <c r="AH203" s="386"/>
    </row>
    <row r="204" spans="1:46" ht="15" customHeight="1">
      <c r="A204" s="74" t="s">
        <v>36</v>
      </c>
      <c r="B204" s="50" t="s">
        <v>2982</v>
      </c>
      <c r="C204" s="50" t="s">
        <v>2075</v>
      </c>
      <c r="D204" s="48" t="s">
        <v>2983</v>
      </c>
      <c r="E204" s="50" t="s">
        <v>3009</v>
      </c>
      <c r="G204" s="76" t="s">
        <v>2985</v>
      </c>
      <c r="H204" s="50">
        <v>9199</v>
      </c>
      <c r="I204" s="49" t="s">
        <v>2</v>
      </c>
      <c r="J204" s="50" t="s">
        <v>194</v>
      </c>
      <c r="K204" s="51">
        <v>41030</v>
      </c>
      <c r="L204" s="115">
        <v>41022</v>
      </c>
      <c r="M204" s="402">
        <f t="shared" ref="M204:M217" si="9">K204-L204</f>
        <v>8</v>
      </c>
      <c r="N204" s="50" t="s">
        <v>2</v>
      </c>
      <c r="O204" s="74">
        <f>5/2</f>
        <v>2.5</v>
      </c>
      <c r="Q204" s="74">
        <v>8.9</v>
      </c>
      <c r="R204" s="119">
        <v>28</v>
      </c>
      <c r="S204" s="74">
        <v>273</v>
      </c>
      <c r="T204" s="50">
        <v>0.34</v>
      </c>
      <c r="U204" s="74">
        <v>0.64</v>
      </c>
      <c r="V204" s="50">
        <v>0.18</v>
      </c>
      <c r="W204" s="74">
        <v>2.9000000000000001E-2</v>
      </c>
      <c r="X204" s="50">
        <v>9.4E-2</v>
      </c>
      <c r="Y204" s="74">
        <f>0.03/2</f>
        <v>1.4999999999999999E-2</v>
      </c>
      <c r="AE204" s="50">
        <v>311</v>
      </c>
      <c r="AF204" s="50">
        <f>0.05/2</f>
        <v>2.5000000000000001E-2</v>
      </c>
      <c r="AG204" s="54"/>
      <c r="AH204" s="54"/>
      <c r="AI204" s="113"/>
      <c r="AJ204" s="50"/>
      <c r="AK204" s="74"/>
      <c r="AL204" s="74"/>
      <c r="AM204" s="74"/>
      <c r="AN204" s="74"/>
      <c r="AO204" s="74"/>
      <c r="AP204" s="74"/>
      <c r="AQ204" s="74"/>
      <c r="AR204" s="74"/>
      <c r="AS204" s="74"/>
      <c r="AT204" s="74"/>
    </row>
    <row r="205" spans="1:46" ht="15" customHeight="1">
      <c r="A205" s="74" t="s">
        <v>36</v>
      </c>
      <c r="B205" s="50" t="s">
        <v>3008</v>
      </c>
      <c r="C205" s="50" t="s">
        <v>2075</v>
      </c>
      <c r="D205" s="48" t="s">
        <v>1633</v>
      </c>
      <c r="E205" s="50" t="s">
        <v>3011</v>
      </c>
      <c r="G205" s="76" t="s">
        <v>3012</v>
      </c>
      <c r="H205" s="50">
        <v>9199</v>
      </c>
      <c r="I205" s="49" t="s">
        <v>2</v>
      </c>
      <c r="J205" s="50" t="s">
        <v>194</v>
      </c>
      <c r="K205" s="51">
        <v>41030</v>
      </c>
      <c r="L205" s="115">
        <v>41022</v>
      </c>
      <c r="M205" s="402">
        <f t="shared" si="9"/>
        <v>8</v>
      </c>
      <c r="N205" s="50" t="s">
        <v>2</v>
      </c>
      <c r="O205" s="74">
        <v>19</v>
      </c>
      <c r="Q205" s="74">
        <v>8.6999999999999993</v>
      </c>
      <c r="R205" s="119">
        <v>151</v>
      </c>
      <c r="S205" s="74">
        <v>2244</v>
      </c>
      <c r="T205" s="50">
        <v>1.39</v>
      </c>
      <c r="U205" s="74">
        <v>5.12</v>
      </c>
      <c r="V205" s="50">
        <v>0.37</v>
      </c>
      <c r="W205" s="74">
        <v>0.108</v>
      </c>
      <c r="X205" s="50">
        <v>0.27700000000000002</v>
      </c>
      <c r="Y205" s="74">
        <v>4.2000000000000003E-2</v>
      </c>
      <c r="AE205" s="50">
        <v>268</v>
      </c>
      <c r="AF205" s="50">
        <f>0.05/2</f>
        <v>2.5000000000000001E-2</v>
      </c>
      <c r="AG205" s="54"/>
      <c r="AH205" s="54"/>
      <c r="AI205" s="113"/>
      <c r="AJ205" s="50"/>
      <c r="AK205" s="74"/>
      <c r="AL205" s="74"/>
      <c r="AM205" s="74"/>
      <c r="AN205" s="74"/>
      <c r="AO205" s="74"/>
      <c r="AP205" s="74"/>
      <c r="AQ205" s="74"/>
      <c r="AR205" s="74"/>
      <c r="AS205" s="74"/>
      <c r="AT205" s="74"/>
    </row>
    <row r="206" spans="1:46" ht="15" customHeight="1">
      <c r="A206" s="74" t="s">
        <v>36</v>
      </c>
      <c r="B206" s="50" t="s">
        <v>3008</v>
      </c>
      <c r="C206" s="50" t="s">
        <v>2075</v>
      </c>
      <c r="D206" s="48" t="s">
        <v>1633</v>
      </c>
      <c r="E206" s="50" t="s">
        <v>3011</v>
      </c>
      <c r="G206" s="76" t="s">
        <v>3012</v>
      </c>
      <c r="H206" s="50">
        <v>9199</v>
      </c>
      <c r="I206" s="49" t="s">
        <v>2</v>
      </c>
      <c r="J206" s="50" t="s">
        <v>569</v>
      </c>
      <c r="K206" s="51">
        <v>41030</v>
      </c>
      <c r="L206" s="115">
        <v>41022</v>
      </c>
      <c r="M206" s="402">
        <f t="shared" si="9"/>
        <v>8</v>
      </c>
      <c r="N206" s="50" t="s">
        <v>2</v>
      </c>
      <c r="O206" s="74">
        <v>10.6</v>
      </c>
      <c r="Q206" s="74">
        <v>8.6</v>
      </c>
      <c r="R206" s="119">
        <v>187</v>
      </c>
      <c r="S206" s="74">
        <v>504</v>
      </c>
      <c r="T206" s="50">
        <v>0.7</v>
      </c>
      <c r="U206" s="74">
        <v>2.68</v>
      </c>
      <c r="V206" s="50">
        <v>0.44</v>
      </c>
      <c r="W206" s="74">
        <v>3.5999999999999997E-2</v>
      </c>
      <c r="X206" s="50">
        <v>8.8999999999999996E-2</v>
      </c>
      <c r="Y206" s="74">
        <f>0.03/2</f>
        <v>1.4999999999999999E-2</v>
      </c>
      <c r="AE206" s="50">
        <v>947</v>
      </c>
      <c r="AF206" s="50">
        <f>0.05/2</f>
        <v>2.5000000000000001E-2</v>
      </c>
      <c r="AG206" s="54"/>
      <c r="AH206" s="54"/>
      <c r="AI206" s="113"/>
      <c r="AJ206" s="50"/>
      <c r="AK206" s="74"/>
      <c r="AL206" s="74"/>
      <c r="AM206" s="74"/>
      <c r="AN206" s="74"/>
      <c r="AO206" s="74"/>
      <c r="AP206" s="74"/>
      <c r="AQ206" s="74"/>
      <c r="AR206" s="74"/>
      <c r="AS206" s="74"/>
      <c r="AT206" s="74"/>
    </row>
    <row r="207" spans="1:46" ht="15" customHeight="1">
      <c r="A207" s="74" t="s">
        <v>36</v>
      </c>
      <c r="B207" s="50" t="s">
        <v>1692</v>
      </c>
      <c r="D207" s="48" t="s">
        <v>276</v>
      </c>
      <c r="E207" s="50" t="s">
        <v>1151</v>
      </c>
      <c r="G207" s="76" t="s">
        <v>2846</v>
      </c>
      <c r="H207" s="50">
        <v>9199</v>
      </c>
      <c r="I207" s="49" t="s">
        <v>2</v>
      </c>
      <c r="J207" s="50" t="s">
        <v>194</v>
      </c>
      <c r="K207" s="51">
        <v>41116</v>
      </c>
      <c r="L207" s="115">
        <v>41113</v>
      </c>
      <c r="M207" s="402">
        <f t="shared" si="9"/>
        <v>3</v>
      </c>
      <c r="N207" s="50" t="s">
        <v>2</v>
      </c>
      <c r="O207" s="74">
        <f>2/2</f>
        <v>1</v>
      </c>
      <c r="Q207" s="74">
        <v>5.8</v>
      </c>
      <c r="R207" s="119">
        <v>40</v>
      </c>
      <c r="S207" s="74">
        <v>24</v>
      </c>
      <c r="T207" s="50">
        <v>0.14000000000000001</v>
      </c>
      <c r="U207" s="74">
        <v>1.07</v>
      </c>
      <c r="V207" s="50">
        <v>0.44</v>
      </c>
      <c r="W207" s="74">
        <v>3.1E-2</v>
      </c>
      <c r="X207" s="50">
        <v>0.05</v>
      </c>
      <c r="Y207" s="74">
        <f>0.03/2</f>
        <v>1.4999999999999999E-2</v>
      </c>
      <c r="AE207" s="50">
        <v>4.4000000000000004</v>
      </c>
      <c r="AF207" s="50">
        <f>0.05/2</f>
        <v>2.5000000000000001E-2</v>
      </c>
      <c r="AG207" s="54"/>
      <c r="AH207" s="54"/>
      <c r="AI207" s="113"/>
      <c r="AJ207" s="50"/>
      <c r="AK207" s="74"/>
      <c r="AL207" s="74"/>
      <c r="AM207" s="74"/>
      <c r="AN207" s="74"/>
      <c r="AO207" s="74"/>
      <c r="AP207" s="74"/>
      <c r="AQ207" s="74"/>
      <c r="AR207" s="74"/>
      <c r="AS207" s="74"/>
      <c r="AT207" s="74"/>
    </row>
    <row r="208" spans="1:46" ht="15" customHeight="1">
      <c r="A208" s="74" t="s">
        <v>36</v>
      </c>
      <c r="B208" s="50" t="s">
        <v>1692</v>
      </c>
      <c r="D208" s="48" t="s">
        <v>276</v>
      </c>
      <c r="E208" s="50" t="s">
        <v>1151</v>
      </c>
      <c r="G208" s="76" t="s">
        <v>2846</v>
      </c>
      <c r="H208" s="50">
        <v>9199</v>
      </c>
      <c r="I208" s="49" t="s">
        <v>2</v>
      </c>
      <c r="J208" s="50" t="s">
        <v>569</v>
      </c>
      <c r="K208" s="51">
        <v>41116</v>
      </c>
      <c r="L208" s="115">
        <v>41113</v>
      </c>
      <c r="M208" s="402">
        <f t="shared" si="9"/>
        <v>3</v>
      </c>
      <c r="N208" s="50" t="s">
        <v>2</v>
      </c>
      <c r="O208" s="74">
        <v>8.3000000000000007</v>
      </c>
      <c r="Q208" s="74">
        <v>6.8</v>
      </c>
      <c r="R208" s="119">
        <v>40</v>
      </c>
      <c r="S208" s="74">
        <v>34</v>
      </c>
      <c r="T208" s="50">
        <v>0.16</v>
      </c>
      <c r="U208" s="74">
        <v>1.1399999999999999</v>
      </c>
      <c r="V208" s="50">
        <v>0.32</v>
      </c>
      <c r="W208" s="74">
        <v>2.8000000000000001E-2</v>
      </c>
      <c r="X208" s="50">
        <v>8.1000000000000003E-2</v>
      </c>
      <c r="Y208" s="74">
        <f>0.03/2</f>
        <v>1.4999999999999999E-2</v>
      </c>
      <c r="AE208" s="50">
        <v>2.4</v>
      </c>
      <c r="AF208" s="50">
        <f>0.05/2</f>
        <v>2.5000000000000001E-2</v>
      </c>
      <c r="AG208" s="54"/>
      <c r="AH208" s="54"/>
      <c r="AI208" s="113"/>
      <c r="AJ208" s="50"/>
      <c r="AK208" s="74"/>
      <c r="AL208" s="74"/>
      <c r="AM208" s="74"/>
      <c r="AN208" s="74"/>
      <c r="AO208" s="74"/>
      <c r="AP208" s="74"/>
      <c r="AQ208" s="74"/>
      <c r="AR208" s="74"/>
      <c r="AS208" s="74"/>
      <c r="AT208" s="74"/>
    </row>
    <row r="209" spans="1:46" ht="15" customHeight="1">
      <c r="A209" s="41" t="s">
        <v>36</v>
      </c>
      <c r="B209" s="50" t="s">
        <v>2720</v>
      </c>
      <c r="C209" s="50" t="s">
        <v>2721</v>
      </c>
      <c r="D209" s="48" t="s">
        <v>2722</v>
      </c>
      <c r="E209" s="50" t="s">
        <v>2723</v>
      </c>
      <c r="F209" s="50" t="s">
        <v>2667</v>
      </c>
      <c r="G209" s="76" t="s">
        <v>2724</v>
      </c>
      <c r="H209" s="50">
        <v>7699</v>
      </c>
      <c r="I209" s="49" t="s">
        <v>2</v>
      </c>
      <c r="J209" s="50" t="s">
        <v>840</v>
      </c>
      <c r="K209" s="51">
        <v>41332</v>
      </c>
      <c r="L209" s="115">
        <v>41329</v>
      </c>
      <c r="M209" s="402">
        <f t="shared" si="9"/>
        <v>3</v>
      </c>
      <c r="N209" s="50" t="s">
        <v>1</v>
      </c>
      <c r="O209" s="131">
        <f>1.4/2</f>
        <v>0.7</v>
      </c>
      <c r="P209" s="117">
        <v>5.73</v>
      </c>
      <c r="Q209" s="131">
        <v>5.83</v>
      </c>
      <c r="R209" s="50">
        <v>23</v>
      </c>
      <c r="S209" s="74">
        <f>5/2</f>
        <v>2.5</v>
      </c>
      <c r="T209" s="50">
        <v>0.01</v>
      </c>
      <c r="U209" s="74">
        <v>0.23</v>
      </c>
      <c r="V209" s="50">
        <v>0.04</v>
      </c>
      <c r="W209" s="74">
        <f>0.005/2</f>
        <v>2.5000000000000001E-3</v>
      </c>
      <c r="X209" s="50">
        <v>7.0000000000000001E-3</v>
      </c>
      <c r="Y209" s="74">
        <f>0.002/2</f>
        <v>1E-3</v>
      </c>
      <c r="AE209" s="50">
        <v>314</v>
      </c>
      <c r="AF209" s="113">
        <f>0.01/2</f>
        <v>5.0000000000000001E-3</v>
      </c>
      <c r="AG209" s="54"/>
      <c r="AH209" s="54"/>
      <c r="AI209" s="113"/>
      <c r="AJ209" s="50"/>
      <c r="AK209" s="74"/>
      <c r="AL209" s="74"/>
      <c r="AM209" s="74"/>
      <c r="AN209" s="74"/>
      <c r="AO209" s="74"/>
      <c r="AP209" s="74"/>
      <c r="AQ209" s="74"/>
      <c r="AR209" s="74"/>
      <c r="AS209" s="74"/>
      <c r="AT209" s="74"/>
    </row>
    <row r="210" spans="1:46" ht="15" customHeight="1">
      <c r="A210" s="41" t="s">
        <v>36</v>
      </c>
      <c r="B210" s="50" t="s">
        <v>3044</v>
      </c>
      <c r="C210" s="50" t="s">
        <v>393</v>
      </c>
      <c r="D210" s="48" t="s">
        <v>462</v>
      </c>
      <c r="E210" s="50" t="s">
        <v>3113</v>
      </c>
      <c r="F210" s="85" t="s">
        <v>3114</v>
      </c>
      <c r="G210" s="76" t="s">
        <v>3115</v>
      </c>
      <c r="H210" s="50">
        <v>9199</v>
      </c>
      <c r="I210" s="49" t="s">
        <v>2</v>
      </c>
      <c r="J210" s="50" t="s">
        <v>3116</v>
      </c>
      <c r="K210" s="51">
        <v>41073</v>
      </c>
      <c r="L210" s="115">
        <v>41066</v>
      </c>
      <c r="M210" s="402">
        <f t="shared" si="9"/>
        <v>7</v>
      </c>
      <c r="N210" s="50" t="s">
        <v>2</v>
      </c>
      <c r="O210" s="131">
        <f>5/2</f>
        <v>2.5</v>
      </c>
      <c r="P210" s="117">
        <v>8</v>
      </c>
      <c r="Q210" s="131">
        <v>7.4</v>
      </c>
      <c r="R210" s="50">
        <v>26</v>
      </c>
      <c r="S210" s="74">
        <v>7</v>
      </c>
      <c r="T210" s="50">
        <f>0.1/2</f>
        <v>0.05</v>
      </c>
      <c r="U210" s="74">
        <f>1/2</f>
        <v>0.5</v>
      </c>
      <c r="V210" s="50">
        <f>0.1/2</f>
        <v>0.05</v>
      </c>
      <c r="W210" s="74">
        <f>0.04/2</f>
        <v>0.02</v>
      </c>
      <c r="X210" s="50">
        <f>0.02/2</f>
        <v>0.01</v>
      </c>
      <c r="Y210" s="74">
        <f>0.013/2</f>
        <v>6.4999999999999997E-3</v>
      </c>
      <c r="Z210" s="164">
        <v>1</v>
      </c>
      <c r="AA210" s="165">
        <v>1</v>
      </c>
      <c r="AB210" s="50">
        <v>7.3</v>
      </c>
      <c r="AC210" s="74">
        <v>26</v>
      </c>
      <c r="AD210" s="164">
        <v>1</v>
      </c>
      <c r="AE210" s="50">
        <v>1.1000000000000001</v>
      </c>
      <c r="AF210" s="113">
        <f>0.05/2</f>
        <v>2.5000000000000001E-2</v>
      </c>
      <c r="AG210" s="54"/>
      <c r="AH210" s="54"/>
      <c r="AI210" s="113"/>
      <c r="AJ210" s="50"/>
      <c r="AK210" s="74"/>
      <c r="AL210" s="74"/>
      <c r="AM210" s="74"/>
      <c r="AN210" s="74"/>
      <c r="AO210" s="74"/>
      <c r="AP210" s="74"/>
      <c r="AQ210" s="74"/>
      <c r="AR210" s="74"/>
      <c r="AS210" s="74"/>
      <c r="AT210" s="74"/>
    </row>
    <row r="211" spans="1:46" ht="15" customHeight="1">
      <c r="A211" s="41" t="s">
        <v>36</v>
      </c>
      <c r="B211" s="50" t="s">
        <v>3044</v>
      </c>
      <c r="C211" s="50" t="s">
        <v>393</v>
      </c>
      <c r="D211" s="48" t="s">
        <v>462</v>
      </c>
      <c r="E211" s="50" t="s">
        <v>3113</v>
      </c>
      <c r="F211" s="85" t="s">
        <v>3114</v>
      </c>
      <c r="G211" s="76" t="s">
        <v>3115</v>
      </c>
      <c r="H211" s="50">
        <v>9199</v>
      </c>
      <c r="I211" s="49" t="s">
        <v>2</v>
      </c>
      <c r="J211" s="50" t="s">
        <v>3117</v>
      </c>
      <c r="K211" s="51">
        <v>41073</v>
      </c>
      <c r="L211" s="115">
        <v>41066</v>
      </c>
      <c r="M211" s="402">
        <f t="shared" si="9"/>
        <v>7</v>
      </c>
      <c r="N211" s="50" t="s">
        <v>2</v>
      </c>
      <c r="O211" s="131">
        <f>5/2</f>
        <v>2.5</v>
      </c>
      <c r="P211" s="117">
        <v>8</v>
      </c>
      <c r="Q211" s="131">
        <v>7.2</v>
      </c>
      <c r="R211" s="50">
        <v>22</v>
      </c>
      <c r="S211" s="74">
        <f>5/2</f>
        <v>2.5</v>
      </c>
      <c r="T211" s="50">
        <f>0.1/2</f>
        <v>0.05</v>
      </c>
      <c r="U211" s="74">
        <f>1/2</f>
        <v>0.5</v>
      </c>
      <c r="V211" s="50">
        <f>0.1/2</f>
        <v>0.05</v>
      </c>
      <c r="W211" s="74">
        <f>0.04/2</f>
        <v>0.02</v>
      </c>
      <c r="X211" s="50">
        <f>0.02/2</f>
        <v>0.01</v>
      </c>
      <c r="Y211" s="74">
        <f>0.013/2</f>
        <v>6.4999999999999997E-3</v>
      </c>
      <c r="Z211" s="164">
        <v>1</v>
      </c>
      <c r="AA211" s="165">
        <v>1</v>
      </c>
      <c r="AB211" s="50">
        <v>7.4</v>
      </c>
      <c r="AC211" s="74">
        <v>109</v>
      </c>
      <c r="AD211" s="164">
        <v>1</v>
      </c>
      <c r="AE211" s="50">
        <v>22</v>
      </c>
      <c r="AF211" s="113">
        <f>0.05/2</f>
        <v>2.5000000000000001E-2</v>
      </c>
      <c r="AG211" s="54"/>
      <c r="AH211" s="54"/>
      <c r="AI211" s="113"/>
      <c r="AJ211" s="50"/>
      <c r="AK211" s="74"/>
      <c r="AL211" s="74"/>
      <c r="AM211" s="74"/>
      <c r="AN211" s="74"/>
      <c r="AO211" s="74"/>
      <c r="AP211" s="74"/>
      <c r="AQ211" s="74"/>
      <c r="AR211" s="74"/>
      <c r="AS211" s="74"/>
      <c r="AT211" s="74"/>
    </row>
    <row r="212" spans="1:46" ht="15" customHeight="1">
      <c r="A212" s="41" t="s">
        <v>36</v>
      </c>
      <c r="B212" s="50" t="s">
        <v>3008</v>
      </c>
      <c r="C212" s="50" t="s">
        <v>3118</v>
      </c>
      <c r="D212" s="48" t="s">
        <v>1633</v>
      </c>
      <c r="E212" s="50" t="s">
        <v>3011</v>
      </c>
      <c r="F212" s="85" t="s">
        <v>2667</v>
      </c>
      <c r="G212" s="76" t="s">
        <v>3012</v>
      </c>
      <c r="H212" s="50">
        <v>9199</v>
      </c>
      <c r="I212" s="49" t="s">
        <v>2</v>
      </c>
      <c r="J212" s="50" t="s">
        <v>194</v>
      </c>
      <c r="K212" s="51">
        <v>41264</v>
      </c>
      <c r="L212" s="115">
        <v>41261</v>
      </c>
      <c r="M212" s="402">
        <f t="shared" si="9"/>
        <v>3</v>
      </c>
      <c r="N212" s="50" t="s">
        <v>2</v>
      </c>
      <c r="O212" s="131">
        <v>52.2</v>
      </c>
      <c r="P212" s="117">
        <v>7.6</v>
      </c>
      <c r="Q212" s="131">
        <v>8.9</v>
      </c>
      <c r="R212" s="50">
        <v>162</v>
      </c>
      <c r="S212" s="74">
        <v>510</v>
      </c>
      <c r="T212" s="50">
        <v>0.44</v>
      </c>
      <c r="U212" s="74">
        <v>0.87</v>
      </c>
      <c r="V212" s="50">
        <f>0.1/2</f>
        <v>0.05</v>
      </c>
      <c r="W212" s="74">
        <v>0.05</v>
      </c>
      <c r="X212" s="50">
        <v>0.13100000000000001</v>
      </c>
      <c r="Y212" s="74">
        <f>0.03/2</f>
        <v>1.4999999999999999E-2</v>
      </c>
      <c r="Z212" s="164">
        <v>1</v>
      </c>
      <c r="AA212" s="165">
        <v>1</v>
      </c>
      <c r="AB212" s="50">
        <v>96</v>
      </c>
      <c r="AC212" s="74">
        <v>59</v>
      </c>
      <c r="AD212" s="164">
        <v>0.5</v>
      </c>
      <c r="AE212" s="50">
        <v>18.399999999999999</v>
      </c>
      <c r="AF212" s="113">
        <f>0.05/2</f>
        <v>2.5000000000000001E-2</v>
      </c>
      <c r="AG212" s="54"/>
      <c r="AH212" s="54"/>
      <c r="AI212" s="113"/>
      <c r="AJ212" s="50"/>
      <c r="AK212" s="74"/>
      <c r="AL212" s="74"/>
      <c r="AM212" s="74"/>
      <c r="AN212" s="74"/>
      <c r="AO212" s="74"/>
      <c r="AP212" s="74"/>
      <c r="AQ212" s="74"/>
      <c r="AR212" s="74"/>
      <c r="AS212" s="74"/>
      <c r="AT212" s="74"/>
    </row>
    <row r="213" spans="1:46" ht="15" customHeight="1">
      <c r="A213" s="41" t="s">
        <v>36</v>
      </c>
      <c r="B213" s="50" t="s">
        <v>3008</v>
      </c>
      <c r="C213" s="50" t="s">
        <v>3119</v>
      </c>
      <c r="D213" s="48" t="s">
        <v>1633</v>
      </c>
      <c r="E213" s="50" t="s">
        <v>3011</v>
      </c>
      <c r="F213" s="85" t="s">
        <v>2667</v>
      </c>
      <c r="G213" s="76" t="s">
        <v>3012</v>
      </c>
      <c r="H213" s="50">
        <v>9199</v>
      </c>
      <c r="I213" s="49" t="s">
        <v>2</v>
      </c>
      <c r="J213" s="50" t="s">
        <v>569</v>
      </c>
      <c r="K213" s="51">
        <v>41264</v>
      </c>
      <c r="L213" s="115">
        <v>41261</v>
      </c>
      <c r="M213" s="402">
        <f t="shared" si="9"/>
        <v>3</v>
      </c>
      <c r="N213" s="50" t="s">
        <v>2</v>
      </c>
      <c r="O213" s="131">
        <v>59.2</v>
      </c>
      <c r="P213" s="117">
        <v>7.6</v>
      </c>
      <c r="Q213" s="131">
        <v>7.6</v>
      </c>
      <c r="R213" s="50">
        <v>95</v>
      </c>
      <c r="S213" s="74">
        <v>592</v>
      </c>
      <c r="T213" s="50">
        <v>0.91</v>
      </c>
      <c r="U213" s="74">
        <v>2.25</v>
      </c>
      <c r="V213" s="50">
        <v>0.18</v>
      </c>
      <c r="W213" s="74">
        <v>0.1</v>
      </c>
      <c r="X213" s="50">
        <v>0.17</v>
      </c>
      <c r="Y213" s="74">
        <v>3.3000000000000002E-2</v>
      </c>
      <c r="Z213" s="164">
        <v>0.308</v>
      </c>
      <c r="AA213" s="165">
        <v>0.16400000000000001</v>
      </c>
      <c r="AB213" s="50">
        <v>238</v>
      </c>
      <c r="AC213" s="74">
        <v>5150</v>
      </c>
      <c r="AD213" s="164">
        <v>0</v>
      </c>
      <c r="AE213" s="50">
        <v>3039</v>
      </c>
      <c r="AF213" s="113">
        <f>0.05/2</f>
        <v>2.5000000000000001E-2</v>
      </c>
      <c r="AG213" s="54"/>
      <c r="AH213" s="54"/>
      <c r="AI213" s="113"/>
      <c r="AJ213" s="50"/>
      <c r="AK213" s="74"/>
      <c r="AL213" s="74"/>
      <c r="AM213" s="74"/>
      <c r="AN213" s="74"/>
      <c r="AO213" s="74"/>
      <c r="AP213" s="74"/>
      <c r="AQ213" s="74"/>
      <c r="AR213" s="74"/>
      <c r="AS213" s="74"/>
      <c r="AT213" s="74"/>
    </row>
    <row r="214" spans="1:46" ht="15" customHeight="1">
      <c r="A214" s="41" t="s">
        <v>36</v>
      </c>
      <c r="B214" s="50" t="s">
        <v>2358</v>
      </c>
      <c r="C214" s="50" t="s">
        <v>2757</v>
      </c>
      <c r="D214" s="48" t="s">
        <v>111</v>
      </c>
      <c r="E214" s="50" t="s">
        <v>2889</v>
      </c>
      <c r="F214" s="50">
        <v>5200</v>
      </c>
      <c r="G214" s="76" t="s">
        <v>2890</v>
      </c>
      <c r="H214" s="50">
        <v>9999</v>
      </c>
      <c r="I214" s="49" t="s">
        <v>2</v>
      </c>
      <c r="J214" s="50" t="s">
        <v>2891</v>
      </c>
      <c r="K214" s="51">
        <v>41260</v>
      </c>
      <c r="L214" s="115">
        <v>41253</v>
      </c>
      <c r="M214" s="402">
        <f t="shared" si="9"/>
        <v>7</v>
      </c>
      <c r="N214" s="50" t="s">
        <v>2</v>
      </c>
      <c r="O214" s="131">
        <f>2/2</f>
        <v>1</v>
      </c>
      <c r="P214" s="117">
        <v>5.8</v>
      </c>
      <c r="Q214" s="131">
        <v>7.6</v>
      </c>
      <c r="R214" s="50">
        <v>73</v>
      </c>
      <c r="S214" s="74">
        <v>200</v>
      </c>
      <c r="T214" s="50">
        <v>0.6</v>
      </c>
      <c r="U214" s="74">
        <v>1.3</v>
      </c>
      <c r="V214" s="50">
        <v>0.24</v>
      </c>
      <c r="W214" s="74">
        <v>6.6E-3</v>
      </c>
      <c r="X214" s="50">
        <v>6.8000000000000005E-2</v>
      </c>
      <c r="Y214" s="74">
        <v>1.0999999999999999E-2</v>
      </c>
      <c r="Z214" s="164">
        <v>1</v>
      </c>
      <c r="AA214" s="165">
        <v>1</v>
      </c>
      <c r="AB214" s="50">
        <v>62</v>
      </c>
      <c r="AC214" s="74">
        <v>686</v>
      </c>
      <c r="AD214" s="164">
        <v>1</v>
      </c>
      <c r="AE214" s="50">
        <v>160</v>
      </c>
      <c r="AF214" s="113">
        <v>1.7000000000000001E-2</v>
      </c>
      <c r="AG214" s="54"/>
      <c r="AH214" s="54"/>
      <c r="AI214" s="113"/>
      <c r="AJ214" s="50"/>
      <c r="AK214" s="74"/>
      <c r="AL214" s="74"/>
      <c r="AM214" s="74"/>
      <c r="AN214" s="74"/>
      <c r="AO214" s="74"/>
      <c r="AP214" s="74"/>
      <c r="AQ214" s="74"/>
      <c r="AR214" s="74"/>
      <c r="AS214" s="74"/>
      <c r="AT214" s="74"/>
    </row>
    <row r="215" spans="1:46" ht="15" customHeight="1">
      <c r="A215" s="41" t="s">
        <v>36</v>
      </c>
      <c r="B215" s="50" t="s">
        <v>519</v>
      </c>
      <c r="C215" s="50" t="s">
        <v>393</v>
      </c>
      <c r="D215" s="48" t="s">
        <v>499</v>
      </c>
      <c r="E215" s="50" t="s">
        <v>49</v>
      </c>
      <c r="F215" s="50">
        <v>4500</v>
      </c>
      <c r="G215" s="76" t="s">
        <v>3120</v>
      </c>
      <c r="H215" s="50">
        <v>7538</v>
      </c>
      <c r="I215" s="49" t="s">
        <v>1</v>
      </c>
      <c r="J215" s="50" t="s">
        <v>3121</v>
      </c>
      <c r="K215" s="51">
        <v>40835</v>
      </c>
      <c r="L215" s="115">
        <v>40830</v>
      </c>
      <c r="M215" s="402">
        <f t="shared" si="9"/>
        <v>5</v>
      </c>
      <c r="N215" s="50" t="s">
        <v>2</v>
      </c>
      <c r="O215" s="131">
        <f>5/2</f>
        <v>2.5</v>
      </c>
      <c r="P215" s="117">
        <v>5.7</v>
      </c>
      <c r="Q215" s="131">
        <v>7.01</v>
      </c>
      <c r="R215" s="50">
        <v>24</v>
      </c>
      <c r="S215" s="74">
        <f>5/2</f>
        <v>2.5</v>
      </c>
      <c r="T215" s="50">
        <f>0.1/2</f>
        <v>0.05</v>
      </c>
      <c r="U215" s="74">
        <f>1/2</f>
        <v>0.5</v>
      </c>
      <c r="V215" s="50">
        <v>1.2</v>
      </c>
      <c r="W215" s="74">
        <f>0.04/2</f>
        <v>0.02</v>
      </c>
      <c r="X215" s="50">
        <v>0.1</v>
      </c>
      <c r="Y215" s="74">
        <f>0.013/2</f>
        <v>6.4999999999999997E-3</v>
      </c>
      <c r="Z215" s="164">
        <v>1</v>
      </c>
      <c r="AA215" s="165">
        <v>1</v>
      </c>
      <c r="AB215" s="50">
        <v>120</v>
      </c>
      <c r="AC215" s="74">
        <v>1110</v>
      </c>
      <c r="AD215" s="164">
        <v>0.8</v>
      </c>
      <c r="AE215" s="50">
        <v>340</v>
      </c>
      <c r="AF215" s="113">
        <f t="shared" ref="AF215:AF225" si="10">0.05/2</f>
        <v>2.5000000000000001E-2</v>
      </c>
      <c r="AG215" s="54"/>
      <c r="AH215" s="54"/>
      <c r="AI215" s="113"/>
      <c r="AJ215" s="50"/>
      <c r="AK215" s="74"/>
      <c r="AL215" s="74"/>
      <c r="AM215" s="74"/>
      <c r="AN215" s="74"/>
      <c r="AO215" s="74"/>
      <c r="AP215" s="74"/>
      <c r="AQ215" s="74"/>
      <c r="AR215" s="74"/>
      <c r="AS215" s="74"/>
      <c r="AT215" s="74"/>
    </row>
    <row r="216" spans="1:46" ht="15" customHeight="1">
      <c r="A216" s="41" t="s">
        <v>36</v>
      </c>
      <c r="B216" s="50" t="s">
        <v>1692</v>
      </c>
      <c r="C216" s="50" t="s">
        <v>393</v>
      </c>
      <c r="D216" s="48" t="s">
        <v>276</v>
      </c>
      <c r="E216" s="50" t="s">
        <v>1151</v>
      </c>
      <c r="F216" s="50" t="s">
        <v>2667</v>
      </c>
      <c r="G216" s="76" t="s">
        <v>3122</v>
      </c>
      <c r="H216" s="50">
        <v>9199</v>
      </c>
      <c r="I216" s="49" t="s">
        <v>2</v>
      </c>
      <c r="J216" s="50" t="s">
        <v>194</v>
      </c>
      <c r="K216" s="51">
        <v>41131</v>
      </c>
      <c r="L216" s="115">
        <v>41122</v>
      </c>
      <c r="M216" s="402">
        <f t="shared" si="9"/>
        <v>9</v>
      </c>
      <c r="N216" s="50" t="s">
        <v>2</v>
      </c>
      <c r="O216" s="131">
        <f>2/2</f>
        <v>1</v>
      </c>
      <c r="P216" s="117"/>
      <c r="Q216" s="131">
        <v>7.7</v>
      </c>
      <c r="R216" s="50">
        <v>137</v>
      </c>
      <c r="S216" s="74">
        <v>1002</v>
      </c>
      <c r="T216" s="50">
        <v>1.17</v>
      </c>
      <c r="U216" s="74">
        <v>2.02</v>
      </c>
      <c r="V216" s="50">
        <v>0.31</v>
      </c>
      <c r="W216" s="74">
        <v>0.123</v>
      </c>
      <c r="X216" s="50">
        <v>0.16500000000000001</v>
      </c>
      <c r="Y216" s="74">
        <v>4.1000000000000002E-2</v>
      </c>
      <c r="AE216" s="50">
        <v>1875</v>
      </c>
      <c r="AF216" s="113">
        <f t="shared" si="10"/>
        <v>2.5000000000000001E-2</v>
      </c>
      <c r="AG216" s="54"/>
      <c r="AH216" s="54"/>
      <c r="AI216" s="113"/>
      <c r="AJ216" s="50"/>
      <c r="AK216" s="74"/>
      <c r="AL216" s="74"/>
      <c r="AM216" s="74"/>
      <c r="AN216" s="74"/>
      <c r="AO216" s="74"/>
      <c r="AP216" s="74"/>
      <c r="AQ216" s="74"/>
      <c r="AR216" s="74"/>
      <c r="AS216" s="74"/>
      <c r="AT216" s="74"/>
    </row>
    <row r="217" spans="1:46" ht="15" customHeight="1">
      <c r="A217" s="41" t="s">
        <v>36</v>
      </c>
      <c r="B217" s="50" t="s">
        <v>1692</v>
      </c>
      <c r="C217" s="50" t="s">
        <v>393</v>
      </c>
      <c r="D217" s="48" t="s">
        <v>276</v>
      </c>
      <c r="E217" s="50" t="s">
        <v>1151</v>
      </c>
      <c r="F217" s="50" t="s">
        <v>2667</v>
      </c>
      <c r="G217" s="76" t="s">
        <v>3122</v>
      </c>
      <c r="H217" s="50">
        <v>9199</v>
      </c>
      <c r="I217" s="49" t="s">
        <v>2</v>
      </c>
      <c r="J217" s="50" t="s">
        <v>569</v>
      </c>
      <c r="K217" s="51">
        <v>41131</v>
      </c>
      <c r="L217" s="115">
        <v>41122</v>
      </c>
      <c r="M217" s="402">
        <f t="shared" si="9"/>
        <v>9</v>
      </c>
      <c r="N217" s="50" t="s">
        <v>2</v>
      </c>
      <c r="O217" s="131">
        <v>9</v>
      </c>
      <c r="P217" s="117"/>
      <c r="Q217" s="131">
        <v>7.9</v>
      </c>
      <c r="R217" s="50">
        <v>140</v>
      </c>
      <c r="S217" s="74">
        <v>810</v>
      </c>
      <c r="T217" s="50">
        <v>1.2</v>
      </c>
      <c r="U217" s="74">
        <v>2.44</v>
      </c>
      <c r="V217" s="50">
        <v>0.27</v>
      </c>
      <c r="W217" s="74">
        <v>9.0999999999999998E-2</v>
      </c>
      <c r="X217" s="50">
        <v>0.126</v>
      </c>
      <c r="Y217" s="74">
        <v>0.03</v>
      </c>
      <c r="AE217" s="50">
        <v>1703</v>
      </c>
      <c r="AF217" s="113">
        <f t="shared" si="10"/>
        <v>2.5000000000000001E-2</v>
      </c>
      <c r="AG217" s="54"/>
      <c r="AH217" s="54"/>
      <c r="AI217" s="113"/>
      <c r="AJ217" s="50"/>
      <c r="AK217" s="74"/>
      <c r="AL217" s="74"/>
      <c r="AM217" s="74"/>
      <c r="AN217" s="74"/>
      <c r="AO217" s="74"/>
      <c r="AP217" s="74"/>
      <c r="AQ217" s="74"/>
      <c r="AR217" s="74"/>
      <c r="AS217" s="74"/>
      <c r="AT217" s="74"/>
    </row>
    <row r="218" spans="1:46" ht="15" customHeight="1">
      <c r="A218" s="41" t="s">
        <v>36</v>
      </c>
      <c r="B218" s="50" t="s">
        <v>1692</v>
      </c>
      <c r="C218" s="50" t="s">
        <v>393</v>
      </c>
      <c r="D218" s="48" t="s">
        <v>276</v>
      </c>
      <c r="E218" s="50" t="s">
        <v>1151</v>
      </c>
      <c r="F218" s="50" t="s">
        <v>2667</v>
      </c>
      <c r="G218" s="76" t="s">
        <v>3122</v>
      </c>
      <c r="H218" s="50">
        <v>9199</v>
      </c>
      <c r="I218" s="49" t="s">
        <v>2</v>
      </c>
      <c r="J218" s="50" t="s">
        <v>194</v>
      </c>
      <c r="K218" s="51">
        <v>41201</v>
      </c>
      <c r="L218" s="115"/>
      <c r="N218" s="50" t="s">
        <v>2</v>
      </c>
      <c r="O218" s="131">
        <f>2/2</f>
        <v>1</v>
      </c>
      <c r="P218" s="117">
        <v>6.7</v>
      </c>
      <c r="Q218" s="131">
        <v>6.6</v>
      </c>
      <c r="R218" s="50">
        <f>10/2</f>
        <v>5</v>
      </c>
      <c r="S218" s="74">
        <v>21</v>
      </c>
      <c r="T218" s="50">
        <f>0.05/2</f>
        <v>2.5000000000000001E-2</v>
      </c>
      <c r="U218" s="74">
        <v>0.25</v>
      </c>
      <c r="V218" s="50">
        <f>0.1/2</f>
        <v>0.05</v>
      </c>
      <c r="W218" s="74">
        <f>0.01/2</f>
        <v>5.0000000000000001E-3</v>
      </c>
      <c r="X218" s="50">
        <f>0.03/2</f>
        <v>1.4999999999999999E-2</v>
      </c>
      <c r="Y218" s="74">
        <f>0.03/2</f>
        <v>1.4999999999999999E-2</v>
      </c>
      <c r="Z218" s="164">
        <v>1</v>
      </c>
      <c r="AA218" s="165">
        <v>1</v>
      </c>
      <c r="AB218" s="50">
        <f>2/2</f>
        <v>1</v>
      </c>
      <c r="AC218" s="74">
        <v>10</v>
      </c>
      <c r="AD218" s="164">
        <v>1</v>
      </c>
      <c r="AE218" s="50">
        <v>1.8</v>
      </c>
      <c r="AF218" s="113">
        <f t="shared" si="10"/>
        <v>2.5000000000000001E-2</v>
      </c>
      <c r="AG218" s="54"/>
      <c r="AH218" s="54"/>
      <c r="AI218" s="113"/>
      <c r="AJ218" s="50"/>
      <c r="AK218" s="74"/>
      <c r="AL218" s="74"/>
      <c r="AM218" s="74"/>
      <c r="AN218" s="74"/>
      <c r="AO218" s="74"/>
      <c r="AP218" s="74"/>
      <c r="AQ218" s="74"/>
      <c r="AR218" s="74"/>
      <c r="AS218" s="74"/>
      <c r="AT218" s="74"/>
    </row>
    <row r="219" spans="1:46" ht="15" customHeight="1">
      <c r="A219" s="41" t="s">
        <v>36</v>
      </c>
      <c r="B219" s="50" t="s">
        <v>1692</v>
      </c>
      <c r="C219" s="50" t="s">
        <v>393</v>
      </c>
      <c r="D219" s="48" t="s">
        <v>276</v>
      </c>
      <c r="E219" s="50" t="s">
        <v>1151</v>
      </c>
      <c r="F219" s="50" t="s">
        <v>2667</v>
      </c>
      <c r="G219" s="76" t="s">
        <v>3122</v>
      </c>
      <c r="H219" s="50">
        <v>9199</v>
      </c>
      <c r="I219" s="49" t="s">
        <v>2</v>
      </c>
      <c r="J219" s="50" t="s">
        <v>569</v>
      </c>
      <c r="K219" s="51">
        <v>41201</v>
      </c>
      <c r="L219" s="115"/>
      <c r="N219" s="50" t="s">
        <v>2</v>
      </c>
      <c r="O219" s="131">
        <f>2/2</f>
        <v>1</v>
      </c>
      <c r="P219" s="117">
        <v>6.6</v>
      </c>
      <c r="Q219" s="131">
        <v>6.5</v>
      </c>
      <c r="R219" s="50">
        <f>10/2</f>
        <v>5</v>
      </c>
      <c r="S219" s="74">
        <v>15</v>
      </c>
      <c r="T219" s="50">
        <f>0.05/2</f>
        <v>2.5000000000000001E-2</v>
      </c>
      <c r="U219" s="74">
        <v>0.28000000000000003</v>
      </c>
      <c r="V219" s="50">
        <f>0.1/2</f>
        <v>0.05</v>
      </c>
      <c r="W219" s="74">
        <f>0.01/2</f>
        <v>5.0000000000000001E-3</v>
      </c>
      <c r="X219" s="50">
        <f>0.03/2</f>
        <v>1.4999999999999999E-2</v>
      </c>
      <c r="Y219" s="74">
        <f>0.03/2</f>
        <v>1.4999999999999999E-2</v>
      </c>
      <c r="Z219" s="164">
        <v>1</v>
      </c>
      <c r="AA219" s="165">
        <v>1</v>
      </c>
      <c r="AB219" s="50">
        <f>2/2</f>
        <v>1</v>
      </c>
      <c r="AC219" s="74">
        <v>12</v>
      </c>
      <c r="AD219" s="164">
        <v>1</v>
      </c>
      <c r="AE219" s="50">
        <v>1.8</v>
      </c>
      <c r="AF219" s="113">
        <f t="shared" si="10"/>
        <v>2.5000000000000001E-2</v>
      </c>
      <c r="AG219" s="54"/>
      <c r="AH219" s="54"/>
      <c r="AI219" s="113"/>
      <c r="AJ219" s="50"/>
      <c r="AK219" s="74"/>
      <c r="AL219" s="74"/>
      <c r="AM219" s="74"/>
      <c r="AN219" s="74"/>
      <c r="AO219" s="74"/>
      <c r="AP219" s="74"/>
      <c r="AQ219" s="74"/>
      <c r="AR219" s="74"/>
      <c r="AS219" s="74"/>
      <c r="AT219" s="74"/>
    </row>
    <row r="220" spans="1:46" ht="15" customHeight="1">
      <c r="A220" s="41" t="s">
        <v>36</v>
      </c>
      <c r="B220" s="50" t="s">
        <v>3123</v>
      </c>
      <c r="C220" s="50" t="s">
        <v>3124</v>
      </c>
      <c r="D220" s="48" t="s">
        <v>3125</v>
      </c>
      <c r="E220" s="50" t="s">
        <v>3126</v>
      </c>
      <c r="F220" s="50" t="s">
        <v>2667</v>
      </c>
      <c r="G220" s="76" t="s">
        <v>3127</v>
      </c>
      <c r="H220" s="50">
        <v>9199</v>
      </c>
      <c r="I220" s="49" t="s">
        <v>2</v>
      </c>
      <c r="J220" s="50" t="s">
        <v>194</v>
      </c>
      <c r="K220" s="51">
        <v>41264</v>
      </c>
      <c r="L220" s="115">
        <v>41261</v>
      </c>
      <c r="M220" s="402">
        <f t="shared" ref="M220:M227" si="11">K220-L220</f>
        <v>3</v>
      </c>
      <c r="N220" s="50" t="s">
        <v>2</v>
      </c>
      <c r="O220" s="131">
        <v>3.8</v>
      </c>
      <c r="P220" s="117">
        <v>6.9</v>
      </c>
      <c r="Q220" s="131">
        <v>6.9</v>
      </c>
      <c r="R220" s="50">
        <v>88</v>
      </c>
      <c r="S220" s="74">
        <v>214</v>
      </c>
      <c r="T220" s="50">
        <v>0.26</v>
      </c>
      <c r="U220" s="74">
        <v>1.4</v>
      </c>
      <c r="V220" s="50">
        <v>0.11</v>
      </c>
      <c r="W220" s="74">
        <v>8.5000000000000006E-2</v>
      </c>
      <c r="X220" s="50">
        <v>0.11</v>
      </c>
      <c r="Y220" s="74">
        <f>0.03/2</f>
        <v>1.4999999999999999E-2</v>
      </c>
      <c r="Z220" s="164">
        <v>0.35399999999999998</v>
      </c>
      <c r="AA220" s="165">
        <v>0.17699999999999999</v>
      </c>
      <c r="AB220" s="50">
        <v>145</v>
      </c>
      <c r="AC220" s="74">
        <v>1017</v>
      </c>
      <c r="AD220" s="164">
        <v>0</v>
      </c>
      <c r="AE220" s="50">
        <v>10300</v>
      </c>
      <c r="AF220" s="113">
        <f t="shared" si="10"/>
        <v>2.5000000000000001E-2</v>
      </c>
      <c r="AG220" s="54"/>
      <c r="AH220" s="54"/>
      <c r="AI220" s="113"/>
      <c r="AJ220" s="50"/>
      <c r="AK220" s="74"/>
      <c r="AL220" s="74"/>
      <c r="AM220" s="74"/>
      <c r="AN220" s="74"/>
      <c r="AO220" s="74"/>
      <c r="AP220" s="74"/>
      <c r="AQ220" s="74"/>
      <c r="AR220" s="74"/>
      <c r="AS220" s="74"/>
      <c r="AT220" s="74"/>
    </row>
    <row r="221" spans="1:46" ht="15" customHeight="1">
      <c r="A221" s="41" t="s">
        <v>36</v>
      </c>
      <c r="B221" s="50" t="s">
        <v>3123</v>
      </c>
      <c r="C221" s="50" t="s">
        <v>3124</v>
      </c>
      <c r="D221" s="48" t="s">
        <v>3125</v>
      </c>
      <c r="E221" s="50" t="s">
        <v>3126</v>
      </c>
      <c r="F221" s="50" t="s">
        <v>2667</v>
      </c>
      <c r="G221" s="76" t="s">
        <v>3127</v>
      </c>
      <c r="H221" s="50">
        <v>9199</v>
      </c>
      <c r="I221" s="49" t="s">
        <v>2</v>
      </c>
      <c r="J221" s="50" t="s">
        <v>569</v>
      </c>
      <c r="K221" s="51">
        <v>41264</v>
      </c>
      <c r="L221" s="115">
        <v>41261</v>
      </c>
      <c r="M221" s="402">
        <f t="shared" si="11"/>
        <v>3</v>
      </c>
      <c r="N221" s="50" t="s">
        <v>2</v>
      </c>
      <c r="O221" s="131">
        <v>4.7</v>
      </c>
      <c r="P221" s="117">
        <v>6.9</v>
      </c>
      <c r="Q221" s="131">
        <v>6.9</v>
      </c>
      <c r="R221" s="50">
        <v>42</v>
      </c>
      <c r="S221" s="74">
        <v>144</v>
      </c>
      <c r="T221" s="50">
        <v>0.15</v>
      </c>
      <c r="U221" s="74">
        <v>0.48</v>
      </c>
      <c r="V221" s="50">
        <f>0.1/2</f>
        <v>0.05</v>
      </c>
      <c r="W221" s="74">
        <v>2.5000000000000001E-2</v>
      </c>
      <c r="X221" s="50">
        <v>6.2E-2</v>
      </c>
      <c r="Y221" s="74">
        <f>0.03/2</f>
        <v>1.4999999999999999E-2</v>
      </c>
      <c r="Z221" s="164">
        <v>1</v>
      </c>
      <c r="AA221" s="165">
        <v>1</v>
      </c>
      <c r="AB221" s="50">
        <v>15</v>
      </c>
      <c r="AC221" s="74">
        <v>36</v>
      </c>
      <c r="AE221" s="50">
        <f>1/2</f>
        <v>0.5</v>
      </c>
      <c r="AF221" s="113">
        <f t="shared" si="10"/>
        <v>2.5000000000000001E-2</v>
      </c>
      <c r="AG221" s="54"/>
      <c r="AH221" s="54"/>
      <c r="AI221" s="113"/>
      <c r="AJ221" s="50"/>
      <c r="AK221" s="74"/>
      <c r="AL221" s="74"/>
      <c r="AM221" s="74"/>
      <c r="AN221" s="74"/>
      <c r="AO221" s="74"/>
      <c r="AP221" s="74"/>
      <c r="AQ221" s="74"/>
      <c r="AR221" s="74"/>
      <c r="AS221" s="74"/>
      <c r="AT221" s="74"/>
    </row>
    <row r="222" spans="1:46" ht="15" customHeight="1">
      <c r="A222" s="41" t="s">
        <v>36</v>
      </c>
      <c r="B222" s="50" t="s">
        <v>3055</v>
      </c>
      <c r="C222" s="74" t="s">
        <v>3056</v>
      </c>
      <c r="D222" s="48" t="s">
        <v>567</v>
      </c>
      <c r="E222" s="74" t="s">
        <v>3057</v>
      </c>
      <c r="F222" s="86" t="s">
        <v>2667</v>
      </c>
      <c r="G222" s="48" t="s">
        <v>3058</v>
      </c>
      <c r="H222" s="74">
        <v>919</v>
      </c>
      <c r="I222" s="50" t="s">
        <v>2</v>
      </c>
      <c r="J222" s="50" t="s">
        <v>1144</v>
      </c>
      <c r="K222" s="51">
        <v>41021</v>
      </c>
      <c r="L222" s="115">
        <v>41018</v>
      </c>
      <c r="M222" s="402">
        <f t="shared" si="11"/>
        <v>3</v>
      </c>
      <c r="N222" s="50" t="s">
        <v>2</v>
      </c>
      <c r="O222" s="131">
        <f>5/2</f>
        <v>2.5</v>
      </c>
      <c r="P222" s="50">
        <v>6.21</v>
      </c>
      <c r="Q222" s="74">
        <v>6.66</v>
      </c>
      <c r="R222" s="50">
        <v>20</v>
      </c>
      <c r="S222" s="74">
        <v>25</v>
      </c>
      <c r="T222" s="50">
        <f>0.1/2</f>
        <v>0.05</v>
      </c>
      <c r="U222" s="74">
        <f>1/2</f>
        <v>0.5</v>
      </c>
      <c r="V222" s="50">
        <f>0.1/2</f>
        <v>0.05</v>
      </c>
      <c r="W222" s="74">
        <f>0.04/2</f>
        <v>0.02</v>
      </c>
      <c r="X222" s="50">
        <f>0.02/2</f>
        <v>0.01</v>
      </c>
      <c r="Y222" s="74">
        <f>0.013/2</f>
        <v>6.4999999999999997E-3</v>
      </c>
      <c r="Z222" s="164">
        <v>1</v>
      </c>
      <c r="AA222" s="165">
        <v>1</v>
      </c>
      <c r="AB222" s="50">
        <v>2.2000000000000002</v>
      </c>
      <c r="AC222" s="74">
        <v>33</v>
      </c>
      <c r="AD222" s="164">
        <v>0.8</v>
      </c>
      <c r="AE222" s="50">
        <v>2.6</v>
      </c>
      <c r="AF222" s="113">
        <f t="shared" si="10"/>
        <v>2.5000000000000001E-2</v>
      </c>
      <c r="AG222" s="54"/>
      <c r="AH222" s="54"/>
      <c r="AI222" s="113"/>
      <c r="AJ222" s="50"/>
      <c r="AK222" s="74"/>
      <c r="AL222" s="74"/>
      <c r="AM222" s="74"/>
      <c r="AN222" s="74"/>
      <c r="AO222" s="74"/>
      <c r="AP222" s="74"/>
      <c r="AQ222" s="74"/>
      <c r="AR222" s="74"/>
      <c r="AS222" s="74"/>
      <c r="AT222" s="74"/>
    </row>
    <row r="223" spans="1:46" ht="15" customHeight="1">
      <c r="A223" s="41" t="s">
        <v>36</v>
      </c>
      <c r="B223" s="50" t="s">
        <v>3055</v>
      </c>
      <c r="C223" s="74" t="s">
        <v>3056</v>
      </c>
      <c r="D223" s="48" t="s">
        <v>567</v>
      </c>
      <c r="E223" s="74" t="s">
        <v>3057</v>
      </c>
      <c r="F223" s="86" t="s">
        <v>2667</v>
      </c>
      <c r="G223" s="48" t="s">
        <v>3058</v>
      </c>
      <c r="H223" s="74">
        <v>919</v>
      </c>
      <c r="I223" s="50" t="s">
        <v>2</v>
      </c>
      <c r="J223" s="50" t="s">
        <v>1716</v>
      </c>
      <c r="K223" s="51">
        <v>41021</v>
      </c>
      <c r="L223" s="115">
        <v>41018</v>
      </c>
      <c r="M223" s="402">
        <f t="shared" si="11"/>
        <v>3</v>
      </c>
      <c r="N223" s="50" t="s">
        <v>2</v>
      </c>
      <c r="O223" s="131">
        <f>5/2</f>
        <v>2.5</v>
      </c>
      <c r="P223" s="50">
        <v>6.74</v>
      </c>
      <c r="Q223" s="74">
        <v>6.66</v>
      </c>
      <c r="R223" s="50">
        <v>18</v>
      </c>
      <c r="S223" s="74">
        <v>16</v>
      </c>
      <c r="T223" s="50">
        <f>0.1/2</f>
        <v>0.05</v>
      </c>
      <c r="U223" s="74">
        <f>1/2</f>
        <v>0.5</v>
      </c>
      <c r="V223" s="50">
        <f>0.1/2</f>
        <v>0.05</v>
      </c>
      <c r="W223" s="74">
        <f>0.04/2</f>
        <v>0.02</v>
      </c>
      <c r="X223" s="50">
        <f>0.02/2</f>
        <v>0.01</v>
      </c>
      <c r="Y223" s="74">
        <f>0.013/2</f>
        <v>6.4999999999999997E-3</v>
      </c>
      <c r="Z223" s="164">
        <v>1</v>
      </c>
      <c r="AA223" s="165">
        <v>1</v>
      </c>
      <c r="AB223" s="50">
        <v>2.4</v>
      </c>
      <c r="AC223" s="74">
        <v>50</v>
      </c>
      <c r="AD223" s="164">
        <v>1</v>
      </c>
      <c r="AE223" s="50">
        <v>6.2</v>
      </c>
      <c r="AF223" s="113">
        <f t="shared" si="10"/>
        <v>2.5000000000000001E-2</v>
      </c>
      <c r="AG223" s="54"/>
      <c r="AH223" s="54"/>
      <c r="AI223" s="113"/>
      <c r="AJ223" s="50"/>
      <c r="AK223" s="74"/>
      <c r="AL223" s="74"/>
      <c r="AM223" s="74"/>
      <c r="AN223" s="74"/>
      <c r="AO223" s="74"/>
      <c r="AP223" s="74"/>
      <c r="AQ223" s="74"/>
      <c r="AR223" s="74"/>
      <c r="AS223" s="74"/>
      <c r="AT223" s="74"/>
    </row>
    <row r="224" spans="1:46" ht="15" customHeight="1">
      <c r="A224" s="41" t="s">
        <v>36</v>
      </c>
      <c r="B224" s="50" t="s">
        <v>3123</v>
      </c>
      <c r="C224" s="50" t="s">
        <v>3124</v>
      </c>
      <c r="D224" s="48" t="s">
        <v>3125</v>
      </c>
      <c r="E224" s="50" t="s">
        <v>3128</v>
      </c>
      <c r="F224" s="50" t="s">
        <v>2667</v>
      </c>
      <c r="G224" s="76" t="s">
        <v>3127</v>
      </c>
      <c r="H224" s="50">
        <v>9199</v>
      </c>
      <c r="I224" s="49" t="s">
        <v>2</v>
      </c>
      <c r="J224" s="50" t="s">
        <v>194</v>
      </c>
      <c r="K224" s="51">
        <v>41116</v>
      </c>
      <c r="L224" s="115">
        <v>41113</v>
      </c>
      <c r="M224" s="402">
        <f t="shared" si="11"/>
        <v>3</v>
      </c>
      <c r="N224" s="50" t="s">
        <v>2</v>
      </c>
      <c r="O224" s="74">
        <f>2/2</f>
        <v>1</v>
      </c>
      <c r="Q224" s="74">
        <v>6.9</v>
      </c>
      <c r="R224" s="119">
        <v>32</v>
      </c>
      <c r="S224" s="74">
        <v>67</v>
      </c>
      <c r="T224" s="50">
        <v>0.17</v>
      </c>
      <c r="U224" s="74">
        <v>1.86</v>
      </c>
      <c r="V224" s="50">
        <v>0.32</v>
      </c>
      <c r="W224" s="74">
        <v>6.2E-2</v>
      </c>
      <c r="X224" s="50">
        <v>3.5000000000000003E-2</v>
      </c>
      <c r="Y224" s="74">
        <f>0.03/2</f>
        <v>1.4999999999999999E-2</v>
      </c>
      <c r="AE224" s="50">
        <v>56.2</v>
      </c>
      <c r="AF224" s="50">
        <f t="shared" si="10"/>
        <v>2.5000000000000001E-2</v>
      </c>
      <c r="AG224" s="54"/>
      <c r="AH224" s="54"/>
      <c r="AI224" s="113"/>
      <c r="AJ224" s="50"/>
      <c r="AK224" s="74"/>
      <c r="AL224" s="74"/>
      <c r="AM224" s="74"/>
      <c r="AN224" s="74"/>
      <c r="AO224" s="74"/>
      <c r="AP224" s="74"/>
      <c r="AQ224" s="74"/>
      <c r="AR224" s="74"/>
      <c r="AS224" s="74"/>
      <c r="AT224" s="74"/>
    </row>
    <row r="225" spans="1:46" ht="15" customHeight="1">
      <c r="A225" s="41" t="s">
        <v>36</v>
      </c>
      <c r="B225" s="50" t="s">
        <v>3123</v>
      </c>
      <c r="C225" s="50" t="s">
        <v>3124</v>
      </c>
      <c r="D225" s="48" t="s">
        <v>3125</v>
      </c>
      <c r="E225" s="50" t="s">
        <v>3128</v>
      </c>
      <c r="G225" s="76" t="s">
        <v>3127</v>
      </c>
      <c r="H225" s="50">
        <v>9199</v>
      </c>
      <c r="I225" s="49" t="s">
        <v>2</v>
      </c>
      <c r="J225" s="50" t="s">
        <v>569</v>
      </c>
      <c r="K225" s="51">
        <v>41116</v>
      </c>
      <c r="L225" s="115">
        <v>41113</v>
      </c>
      <c r="M225" s="402">
        <f t="shared" si="11"/>
        <v>3</v>
      </c>
      <c r="N225" s="50" t="s">
        <v>2</v>
      </c>
      <c r="O225" s="74">
        <f>2/2</f>
        <v>1</v>
      </c>
      <c r="Q225" s="74">
        <v>9</v>
      </c>
      <c r="R225" s="119">
        <v>51</v>
      </c>
      <c r="S225" s="74">
        <v>454</v>
      </c>
      <c r="T225" s="50">
        <v>0.17</v>
      </c>
      <c r="U225" s="74">
        <v>0.95</v>
      </c>
      <c r="V225" s="50">
        <v>0.35</v>
      </c>
      <c r="W225" s="74">
        <v>4.8000000000000001E-2</v>
      </c>
      <c r="X225" s="50">
        <v>9.4E-2</v>
      </c>
      <c r="Y225" s="74">
        <f>0.03/2</f>
        <v>1.4999999999999999E-2</v>
      </c>
      <c r="AE225" s="50">
        <v>7.2</v>
      </c>
      <c r="AF225" s="50">
        <f t="shared" si="10"/>
        <v>2.5000000000000001E-2</v>
      </c>
      <c r="AG225" s="54"/>
      <c r="AH225" s="54"/>
      <c r="AI225" s="113"/>
      <c r="AJ225" s="50"/>
      <c r="AK225" s="74"/>
      <c r="AL225" s="74"/>
      <c r="AM225" s="74"/>
      <c r="AN225" s="74"/>
      <c r="AO225" s="74"/>
      <c r="AP225" s="74"/>
      <c r="AQ225" s="74"/>
      <c r="AR225" s="74"/>
      <c r="AS225" s="74"/>
      <c r="AT225" s="74"/>
    </row>
    <row r="226" spans="1:46" ht="15" customHeight="1">
      <c r="A226" s="41" t="s">
        <v>36</v>
      </c>
      <c r="B226" s="50" t="s">
        <v>2969</v>
      </c>
      <c r="C226" s="74" t="s">
        <v>2970</v>
      </c>
      <c r="D226" s="48" t="s">
        <v>314</v>
      </c>
      <c r="E226" s="74" t="s">
        <v>2971</v>
      </c>
      <c r="F226" s="50">
        <v>4504</v>
      </c>
      <c r="G226" s="48" t="s">
        <v>2972</v>
      </c>
      <c r="H226" s="74">
        <v>9199</v>
      </c>
      <c r="I226" s="50" t="s">
        <v>1</v>
      </c>
      <c r="J226" s="50" t="s">
        <v>510</v>
      </c>
      <c r="K226" s="51">
        <v>41149</v>
      </c>
      <c r="L226" s="115">
        <v>41139</v>
      </c>
      <c r="M226" s="402">
        <f t="shared" si="11"/>
        <v>10</v>
      </c>
      <c r="N226" s="50" t="s">
        <v>2</v>
      </c>
      <c r="O226" s="131">
        <v>1</v>
      </c>
      <c r="P226" s="50">
        <v>6.5</v>
      </c>
      <c r="Q226" s="74">
        <v>6.8</v>
      </c>
      <c r="R226" s="50">
        <v>33</v>
      </c>
      <c r="S226" s="74">
        <v>34</v>
      </c>
      <c r="T226" s="50">
        <v>0.19</v>
      </c>
      <c r="U226" s="74">
        <v>1.34</v>
      </c>
      <c r="V226" s="50">
        <v>0.5</v>
      </c>
      <c r="W226" s="74">
        <v>1.4E-2</v>
      </c>
      <c r="X226" s="50">
        <v>4.1000000000000002E-2</v>
      </c>
      <c r="Y226" s="74">
        <v>1.4999999999999999E-2</v>
      </c>
      <c r="Z226" s="164">
        <v>1</v>
      </c>
      <c r="AA226" s="165">
        <v>1</v>
      </c>
      <c r="AB226" s="50">
        <v>31</v>
      </c>
      <c r="AC226" s="74">
        <v>136</v>
      </c>
      <c r="AD226" s="164">
        <v>1</v>
      </c>
      <c r="AE226" s="114">
        <v>2100</v>
      </c>
      <c r="AF226" s="50">
        <v>2.5000000000000001E-2</v>
      </c>
      <c r="AG226" s="54"/>
      <c r="AH226" s="54"/>
      <c r="AI226" s="113"/>
      <c r="AJ226" s="50"/>
      <c r="AK226" s="74"/>
      <c r="AL226" s="74"/>
      <c r="AM226" s="74"/>
      <c r="AN226" s="74"/>
      <c r="AO226" s="74"/>
      <c r="AP226" s="74"/>
      <c r="AQ226" s="74"/>
      <c r="AR226" s="74"/>
      <c r="AS226" s="74"/>
      <c r="AT226" s="74"/>
    </row>
    <row r="227" spans="1:46" ht="15" customHeight="1">
      <c r="A227" s="266" t="s">
        <v>36</v>
      </c>
      <c r="B227" s="50" t="s">
        <v>2969</v>
      </c>
      <c r="C227" s="74" t="s">
        <v>2970</v>
      </c>
      <c r="D227" s="48" t="s">
        <v>314</v>
      </c>
      <c r="E227" s="74" t="s">
        <v>2971</v>
      </c>
      <c r="F227" s="50">
        <v>4504</v>
      </c>
      <c r="G227" s="48" t="s">
        <v>2972</v>
      </c>
      <c r="H227" s="74">
        <v>9199</v>
      </c>
      <c r="I227" s="50" t="s">
        <v>1</v>
      </c>
      <c r="J227" s="50" t="s">
        <v>460</v>
      </c>
      <c r="K227" s="51">
        <v>41149</v>
      </c>
      <c r="L227" s="115">
        <v>41139</v>
      </c>
      <c r="M227" s="402">
        <f t="shared" si="11"/>
        <v>10</v>
      </c>
      <c r="N227" s="50" t="s">
        <v>2</v>
      </c>
      <c r="O227" s="131">
        <v>1</v>
      </c>
      <c r="P227" s="50">
        <v>6.5</v>
      </c>
      <c r="Q227" s="74">
        <v>6.8</v>
      </c>
      <c r="R227" s="50">
        <v>34</v>
      </c>
      <c r="S227" s="74">
        <v>63</v>
      </c>
      <c r="T227" s="50">
        <v>0.33</v>
      </c>
      <c r="U227" s="74">
        <v>1.0900000000000001</v>
      </c>
      <c r="V227" s="50">
        <v>0.31</v>
      </c>
      <c r="W227" s="74">
        <v>0.02</v>
      </c>
      <c r="X227" s="50">
        <v>6.4000000000000001E-2</v>
      </c>
      <c r="Y227" s="74">
        <v>1.4999999999999999E-2</v>
      </c>
      <c r="Z227" s="164">
        <v>1</v>
      </c>
      <c r="AA227" s="165">
        <v>1</v>
      </c>
      <c r="AB227" s="50">
        <v>24</v>
      </c>
      <c r="AC227" s="74">
        <v>95</v>
      </c>
      <c r="AD227" s="164">
        <v>0.95</v>
      </c>
      <c r="AE227" s="114">
        <v>1384</v>
      </c>
      <c r="AF227" s="50">
        <v>2.5000000000000001E-2</v>
      </c>
      <c r="AG227" s="54"/>
      <c r="AH227" s="54"/>
      <c r="AI227" s="113"/>
      <c r="AJ227" s="50"/>
      <c r="AK227" s="74"/>
      <c r="AL227" s="74"/>
      <c r="AM227" s="74"/>
      <c r="AN227" s="74"/>
      <c r="AO227" s="74"/>
      <c r="AP227" s="74"/>
      <c r="AQ227" s="74"/>
      <c r="AR227" s="74"/>
      <c r="AS227" s="74"/>
      <c r="AT227" s="74"/>
    </row>
    <row r="228" spans="1:46" ht="15" customHeight="1">
      <c r="A228" s="53" t="s">
        <v>36</v>
      </c>
      <c r="B228" s="50" t="s">
        <v>3168</v>
      </c>
      <c r="C228" s="50" t="s">
        <v>3169</v>
      </c>
      <c r="D228" s="48" t="s">
        <v>559</v>
      </c>
      <c r="E228" s="50" t="s">
        <v>2423</v>
      </c>
      <c r="F228" s="50" t="s">
        <v>3170</v>
      </c>
      <c r="G228" s="76" t="s">
        <v>3171</v>
      </c>
      <c r="H228" s="50">
        <v>9199</v>
      </c>
      <c r="I228" s="49" t="s">
        <v>2</v>
      </c>
      <c r="J228" s="50" t="s">
        <v>1125</v>
      </c>
      <c r="K228" s="51">
        <v>41345</v>
      </c>
      <c r="L228" s="115"/>
      <c r="N228" s="50" t="s">
        <v>2</v>
      </c>
      <c r="O228" s="131">
        <v>5.26</v>
      </c>
      <c r="P228" s="117">
        <v>7.57</v>
      </c>
      <c r="Q228" s="131">
        <v>6.4</v>
      </c>
      <c r="R228" s="50">
        <v>1734</v>
      </c>
      <c r="S228" s="74">
        <v>23</v>
      </c>
      <c r="T228" s="50">
        <f>0.05/2</f>
        <v>2.5000000000000001E-2</v>
      </c>
      <c r="U228" s="74">
        <v>0.53</v>
      </c>
      <c r="V228" s="50">
        <v>22</v>
      </c>
      <c r="W228" s="74">
        <v>0.02</v>
      </c>
      <c r="X228" s="50">
        <v>0.43</v>
      </c>
      <c r="Y228" s="74">
        <f>0.004/2</f>
        <v>2E-3</v>
      </c>
      <c r="Z228" s="164">
        <v>1</v>
      </c>
      <c r="AA228" s="165">
        <v>1</v>
      </c>
      <c r="AB228" s="50">
        <v>220</v>
      </c>
      <c r="AC228" s="74">
        <v>1397</v>
      </c>
      <c r="AD228" s="164">
        <v>1</v>
      </c>
      <c r="AE228" s="50">
        <v>5198</v>
      </c>
      <c r="AF228" s="113">
        <f>0.01/2</f>
        <v>5.0000000000000001E-3</v>
      </c>
      <c r="AG228" s="54"/>
      <c r="AH228" s="54"/>
      <c r="AI228" s="113"/>
      <c r="AJ228" s="50"/>
      <c r="AK228" s="74"/>
      <c r="AL228" s="74"/>
      <c r="AM228" s="74"/>
      <c r="AN228" s="74"/>
      <c r="AO228" s="74"/>
      <c r="AP228" s="74"/>
      <c r="AQ228" s="74"/>
      <c r="AR228" s="74"/>
      <c r="AS228" s="74"/>
      <c r="AT228" s="74"/>
    </row>
    <row r="229" spans="1:46" ht="15" customHeight="1">
      <c r="A229" s="41" t="s">
        <v>36</v>
      </c>
      <c r="B229" s="50" t="s">
        <v>457</v>
      </c>
      <c r="C229" s="50" t="s">
        <v>1482</v>
      </c>
      <c r="D229" s="48" t="s">
        <v>458</v>
      </c>
      <c r="E229" s="50" t="s">
        <v>1546</v>
      </c>
      <c r="F229" s="50">
        <v>4000</v>
      </c>
      <c r="G229" s="76" t="s">
        <v>2739</v>
      </c>
      <c r="H229" s="50">
        <v>919</v>
      </c>
      <c r="I229" s="49" t="s">
        <v>2</v>
      </c>
      <c r="J229" s="50" t="s">
        <v>510</v>
      </c>
      <c r="K229" s="51">
        <v>41345</v>
      </c>
      <c r="L229" s="115">
        <v>41341</v>
      </c>
      <c r="M229" s="402">
        <f t="shared" ref="M229:M244" si="12">K229-L229</f>
        <v>4</v>
      </c>
      <c r="N229" s="50" t="s">
        <v>1</v>
      </c>
      <c r="O229" s="131">
        <f>1.5/2</f>
        <v>0.75</v>
      </c>
      <c r="P229" s="117">
        <v>4.96</v>
      </c>
      <c r="Q229" s="131">
        <v>7.12</v>
      </c>
      <c r="R229" s="50">
        <v>182</v>
      </c>
      <c r="S229" s="74">
        <v>16</v>
      </c>
      <c r="T229" s="50">
        <v>0.47</v>
      </c>
      <c r="U229" s="74">
        <v>1.88</v>
      </c>
      <c r="V229" s="50">
        <f>0.01/2</f>
        <v>5.0000000000000001E-3</v>
      </c>
      <c r="W229" s="74">
        <f>0.005/2</f>
        <v>2.5000000000000001E-3</v>
      </c>
      <c r="X229" s="50">
        <v>3.1E-2</v>
      </c>
      <c r="Y229" s="74">
        <f>0.002/2</f>
        <v>1E-3</v>
      </c>
      <c r="AE229" s="50">
        <v>2750</v>
      </c>
      <c r="AF229" s="113">
        <v>0.01</v>
      </c>
      <c r="AG229" s="54"/>
      <c r="AH229" s="54"/>
      <c r="AI229" s="74"/>
      <c r="AJ229" s="74"/>
      <c r="AK229" s="74"/>
      <c r="AL229" s="74"/>
      <c r="AM229" s="74"/>
      <c r="AN229" s="74"/>
      <c r="AO229" s="74"/>
      <c r="AP229" s="74"/>
      <c r="AQ229" s="74"/>
      <c r="AR229" s="74"/>
      <c r="AS229" s="74"/>
      <c r="AT229" s="74"/>
    </row>
    <row r="230" spans="1:46" ht="15" customHeight="1">
      <c r="A230" s="41" t="s">
        <v>36</v>
      </c>
      <c r="B230" s="50" t="s">
        <v>2107</v>
      </c>
      <c r="C230" s="50" t="s">
        <v>3189</v>
      </c>
      <c r="D230" s="48" t="s">
        <v>308</v>
      </c>
      <c r="E230" s="50" t="s">
        <v>235</v>
      </c>
      <c r="G230" s="76" t="s">
        <v>2876</v>
      </c>
      <c r="H230" s="50">
        <v>9199</v>
      </c>
      <c r="I230" s="49" t="s">
        <v>1</v>
      </c>
      <c r="J230" s="50" t="s">
        <v>194</v>
      </c>
      <c r="K230" s="51">
        <v>41345</v>
      </c>
      <c r="L230" s="115">
        <v>41341</v>
      </c>
      <c r="M230" s="402">
        <f t="shared" si="12"/>
        <v>4</v>
      </c>
      <c r="N230" s="50" t="s">
        <v>1</v>
      </c>
      <c r="O230" s="131">
        <f>2/2</f>
        <v>1</v>
      </c>
      <c r="P230" s="117">
        <v>6.8</v>
      </c>
      <c r="Q230" s="131">
        <v>6.8</v>
      </c>
      <c r="R230" s="50">
        <f>10/2</f>
        <v>5</v>
      </c>
      <c r="S230" s="74">
        <v>95</v>
      </c>
      <c r="T230" s="50">
        <v>0.14000000000000001</v>
      </c>
      <c r="U230" s="74">
        <v>0.69</v>
      </c>
      <c r="V230" s="50">
        <v>0.26</v>
      </c>
      <c r="W230" s="74">
        <v>2.4E-2</v>
      </c>
      <c r="X230" s="50">
        <v>9.1999999999999998E-2</v>
      </c>
      <c r="Y230" s="74">
        <f>0.03/2</f>
        <v>1.4999999999999999E-2</v>
      </c>
      <c r="Z230" s="164">
        <v>0.70699999999999996</v>
      </c>
      <c r="AA230" s="165">
        <v>0.35399999999999998</v>
      </c>
      <c r="AB230" s="50">
        <v>72</v>
      </c>
      <c r="AC230" s="74">
        <v>7630</v>
      </c>
      <c r="AD230" s="164">
        <v>0</v>
      </c>
      <c r="AE230" s="50">
        <v>4100</v>
      </c>
      <c r="AF230" s="113">
        <f>0.05/2</f>
        <v>2.5000000000000001E-2</v>
      </c>
      <c r="AG230" s="54"/>
      <c r="AH230" s="54"/>
      <c r="AI230" s="74"/>
      <c r="AJ230" s="74"/>
      <c r="AK230" s="74"/>
      <c r="AL230" s="74"/>
      <c r="AM230" s="74"/>
      <c r="AN230" s="74"/>
      <c r="AO230" s="74"/>
      <c r="AP230" s="74"/>
      <c r="AQ230" s="74"/>
      <c r="AR230" s="74"/>
      <c r="AS230" s="74"/>
      <c r="AT230" s="74"/>
    </row>
    <row r="231" spans="1:46" ht="15" customHeight="1">
      <c r="A231" s="41" t="s">
        <v>36</v>
      </c>
      <c r="B231" s="50" t="s">
        <v>336</v>
      </c>
      <c r="C231" s="50" t="s">
        <v>2892</v>
      </c>
      <c r="D231" s="48" t="s">
        <v>338</v>
      </c>
      <c r="E231" s="50" t="s">
        <v>235</v>
      </c>
      <c r="F231" s="50">
        <v>6900</v>
      </c>
      <c r="G231" s="76" t="s">
        <v>998</v>
      </c>
      <c r="H231" s="50">
        <v>4953</v>
      </c>
      <c r="I231" s="49" t="s">
        <v>1</v>
      </c>
      <c r="J231" s="50" t="s">
        <v>2894</v>
      </c>
      <c r="K231" s="51">
        <v>41345</v>
      </c>
      <c r="L231" s="115">
        <v>41341</v>
      </c>
      <c r="M231" s="402">
        <f t="shared" si="12"/>
        <v>4</v>
      </c>
      <c r="N231" s="50" t="s">
        <v>2</v>
      </c>
      <c r="O231" s="131">
        <v>47.6</v>
      </c>
      <c r="P231" s="117">
        <v>6.06</v>
      </c>
      <c r="Q231" s="131">
        <v>7.35</v>
      </c>
      <c r="R231" s="50">
        <v>38.799999999999997</v>
      </c>
      <c r="S231" s="74">
        <v>433.5</v>
      </c>
      <c r="T231" s="50">
        <v>0.9</v>
      </c>
      <c r="U231" s="74">
        <v>1.24</v>
      </c>
      <c r="V231" s="50">
        <v>0.7</v>
      </c>
      <c r="W231" s="74">
        <v>0.06</v>
      </c>
      <c r="X231" s="50">
        <v>0.52</v>
      </c>
      <c r="Y231" s="74">
        <v>0.05</v>
      </c>
      <c r="Z231" s="164">
        <v>1</v>
      </c>
      <c r="AA231" s="165">
        <v>0.80600000000000005</v>
      </c>
      <c r="AB231" s="50">
        <v>167</v>
      </c>
      <c r="AC231" s="74">
        <v>11520</v>
      </c>
      <c r="AD231" s="164">
        <v>0.3</v>
      </c>
      <c r="AE231" s="50">
        <v>2600</v>
      </c>
      <c r="AF231" s="113">
        <v>8.2000000000000003E-2</v>
      </c>
      <c r="AG231" s="54"/>
      <c r="AH231" s="54"/>
      <c r="AI231" s="74"/>
      <c r="AJ231" s="74"/>
      <c r="AK231" s="74"/>
      <c r="AL231" s="74"/>
      <c r="AM231" s="74"/>
      <c r="AN231" s="74"/>
      <c r="AO231" s="74"/>
      <c r="AP231" s="74"/>
      <c r="AQ231" s="74"/>
      <c r="AR231" s="74"/>
      <c r="AS231" s="74"/>
      <c r="AT231" s="74"/>
    </row>
    <row r="232" spans="1:46" ht="15" customHeight="1">
      <c r="A232" s="41" t="s">
        <v>36</v>
      </c>
      <c r="B232" s="50" t="s">
        <v>336</v>
      </c>
      <c r="C232" s="50" t="s">
        <v>2892</v>
      </c>
      <c r="D232" s="48" t="s">
        <v>338</v>
      </c>
      <c r="E232" s="50" t="s">
        <v>235</v>
      </c>
      <c r="F232" s="50">
        <v>6900</v>
      </c>
      <c r="G232" s="76" t="s">
        <v>998</v>
      </c>
      <c r="H232" s="50">
        <v>4953</v>
      </c>
      <c r="I232" s="49" t="s">
        <v>1</v>
      </c>
      <c r="J232" s="50" t="s">
        <v>2893</v>
      </c>
      <c r="K232" s="51">
        <v>41345</v>
      </c>
      <c r="L232" s="115">
        <v>41341</v>
      </c>
      <c r="M232" s="402">
        <f t="shared" si="12"/>
        <v>4</v>
      </c>
      <c r="N232" s="50" t="s">
        <v>2</v>
      </c>
      <c r="O232" s="131">
        <v>12.3</v>
      </c>
      <c r="P232" s="117">
        <v>6.06</v>
      </c>
      <c r="Q232" s="131">
        <v>7.08</v>
      </c>
      <c r="R232" s="50">
        <v>20.5</v>
      </c>
      <c r="S232" s="74">
        <v>297</v>
      </c>
      <c r="T232" s="50">
        <v>0.46</v>
      </c>
      <c r="U232" s="74">
        <v>0.94</v>
      </c>
      <c r="V232" s="50">
        <v>1.3</v>
      </c>
      <c r="W232" s="74">
        <v>0.05</v>
      </c>
      <c r="X232" s="50">
        <v>0.7</v>
      </c>
      <c r="Y232" s="74">
        <v>0.03</v>
      </c>
      <c r="Z232" s="164">
        <v>1</v>
      </c>
      <c r="AA232" s="165">
        <v>1</v>
      </c>
      <c r="AC232" s="74">
        <v>3030</v>
      </c>
      <c r="AD232" s="164">
        <v>1</v>
      </c>
      <c r="AE232" s="50">
        <v>790</v>
      </c>
      <c r="AF232" s="113">
        <v>2.8000000000000001E-2</v>
      </c>
      <c r="AG232" s="54"/>
      <c r="AH232" s="54"/>
      <c r="AI232" s="74"/>
      <c r="AJ232" s="74"/>
      <c r="AK232" s="74"/>
      <c r="AL232" s="74"/>
      <c r="AM232" s="74"/>
      <c r="AN232" s="74"/>
      <c r="AO232" s="74"/>
      <c r="AP232" s="74"/>
      <c r="AQ232" s="74"/>
      <c r="AR232" s="74"/>
      <c r="AS232" s="74"/>
      <c r="AT232" s="74"/>
    </row>
    <row r="233" spans="1:46" ht="15" customHeight="1">
      <c r="A233" s="53" t="s">
        <v>36</v>
      </c>
      <c r="B233" s="50" t="s">
        <v>2707</v>
      </c>
      <c r="C233" s="50" t="s">
        <v>2708</v>
      </c>
      <c r="D233" s="48" t="s">
        <v>379</v>
      </c>
      <c r="E233" s="50" t="s">
        <v>3350</v>
      </c>
      <c r="G233" s="76" t="s">
        <v>2710</v>
      </c>
      <c r="H233" s="50">
        <v>7538</v>
      </c>
      <c r="I233" s="49" t="s">
        <v>2</v>
      </c>
      <c r="J233" s="72" t="s">
        <v>3351</v>
      </c>
      <c r="K233" s="51">
        <v>41170</v>
      </c>
      <c r="L233" s="115">
        <v>41160</v>
      </c>
      <c r="M233" s="402">
        <f t="shared" si="12"/>
        <v>10</v>
      </c>
      <c r="N233" s="50" t="s">
        <v>2</v>
      </c>
      <c r="O233" s="74">
        <v>9.9</v>
      </c>
      <c r="P233" s="50">
        <v>6.78</v>
      </c>
      <c r="Q233" s="74">
        <v>6.83</v>
      </c>
      <c r="R233" s="50">
        <v>220</v>
      </c>
      <c r="S233" s="74">
        <v>81</v>
      </c>
      <c r="T233" s="50">
        <v>0.3</v>
      </c>
      <c r="U233" s="74">
        <v>3.58</v>
      </c>
      <c r="V233" s="50">
        <v>0.44</v>
      </c>
      <c r="W233" s="74">
        <v>2.8000000000000001E-2</v>
      </c>
      <c r="X233" s="50">
        <v>0.20699999999999999</v>
      </c>
      <c r="Y233" s="74">
        <v>1.6E-2</v>
      </c>
      <c r="AE233" s="50">
        <v>268</v>
      </c>
      <c r="AF233" s="74">
        <f>0.01/2</f>
        <v>5.0000000000000001E-3</v>
      </c>
      <c r="AG233" s="50"/>
      <c r="AH233" s="54"/>
      <c r="AI233" s="113"/>
      <c r="AJ233" s="50"/>
      <c r="AK233" s="74"/>
      <c r="AL233" s="74"/>
      <c r="AM233" s="74"/>
      <c r="AN233" s="74"/>
      <c r="AO233" s="74"/>
      <c r="AP233" s="74"/>
      <c r="AQ233" s="74"/>
      <c r="AR233" s="74"/>
      <c r="AS233" s="74"/>
      <c r="AT233" s="74"/>
    </row>
    <row r="234" spans="1:46" ht="15" customHeight="1">
      <c r="A234" s="53" t="s">
        <v>36</v>
      </c>
      <c r="B234" s="50" t="s">
        <v>3442</v>
      </c>
      <c r="C234" s="50" t="s">
        <v>3443</v>
      </c>
      <c r="D234" s="48" t="s">
        <v>818</v>
      </c>
      <c r="E234" s="50" t="s">
        <v>3444</v>
      </c>
      <c r="G234" s="76" t="s">
        <v>3445</v>
      </c>
      <c r="I234" s="49" t="s">
        <v>2</v>
      </c>
      <c r="J234" s="50" t="s">
        <v>3443</v>
      </c>
      <c r="K234" s="51">
        <v>40996</v>
      </c>
      <c r="L234" s="115">
        <v>40993</v>
      </c>
      <c r="M234" s="402">
        <f t="shared" si="12"/>
        <v>3</v>
      </c>
      <c r="N234" s="50" t="s">
        <v>2</v>
      </c>
      <c r="O234" s="74">
        <v>2.5</v>
      </c>
      <c r="P234" s="50">
        <v>5.05</v>
      </c>
      <c r="Q234" s="74">
        <v>6.8</v>
      </c>
      <c r="R234" s="50">
        <v>512</v>
      </c>
      <c r="S234" s="74">
        <v>1452</v>
      </c>
      <c r="T234" s="50">
        <v>4.46</v>
      </c>
      <c r="U234" s="74">
        <v>6.14</v>
      </c>
      <c r="V234" s="50">
        <v>0.9</v>
      </c>
      <c r="W234" s="74">
        <v>3.7999999999999999E-2</v>
      </c>
      <c r="X234" s="50">
        <v>0.31</v>
      </c>
      <c r="Y234" s="74">
        <v>4.3999999999999997E-2</v>
      </c>
      <c r="Z234" s="164">
        <v>1</v>
      </c>
      <c r="AA234" s="165">
        <v>1</v>
      </c>
      <c r="AB234" s="50">
        <v>52.3</v>
      </c>
      <c r="AC234" s="74">
        <v>1082</v>
      </c>
      <c r="AD234" s="164">
        <v>1</v>
      </c>
      <c r="AF234" s="113"/>
      <c r="AG234" s="54"/>
      <c r="AH234" s="54"/>
      <c r="AI234" s="113"/>
      <c r="AJ234" s="50"/>
      <c r="AK234" s="74"/>
      <c r="AL234" s="74"/>
      <c r="AM234" s="74"/>
      <c r="AN234" s="74"/>
      <c r="AO234" s="74"/>
      <c r="AP234" s="74"/>
      <c r="AQ234" s="74"/>
      <c r="AR234" s="74"/>
      <c r="AS234" s="74"/>
      <c r="AT234" s="74"/>
    </row>
    <row r="235" spans="1:46" ht="15" customHeight="1">
      <c r="A235" s="88" t="s">
        <v>36</v>
      </c>
      <c r="B235" s="50" t="s">
        <v>2707</v>
      </c>
      <c r="C235" s="50" t="s">
        <v>1332</v>
      </c>
      <c r="D235" s="48" t="s">
        <v>379</v>
      </c>
      <c r="E235" s="50" t="s">
        <v>3350</v>
      </c>
      <c r="G235" s="76" t="s">
        <v>2925</v>
      </c>
      <c r="H235" s="50">
        <v>4953</v>
      </c>
      <c r="I235" s="49" t="s">
        <v>2</v>
      </c>
      <c r="J235" s="50" t="s">
        <v>3553</v>
      </c>
      <c r="K235" s="51">
        <v>41170</v>
      </c>
      <c r="L235" s="115">
        <v>41160</v>
      </c>
      <c r="M235" s="402">
        <f t="shared" si="12"/>
        <v>10</v>
      </c>
      <c r="N235" s="50" t="s">
        <v>2</v>
      </c>
      <c r="O235" s="74">
        <v>7.5</v>
      </c>
      <c r="P235" s="50">
        <v>6.78</v>
      </c>
      <c r="Q235" s="74">
        <v>6.8</v>
      </c>
      <c r="R235" s="50">
        <v>120</v>
      </c>
      <c r="S235" s="74">
        <v>260</v>
      </c>
      <c r="T235" s="50">
        <v>0.57999999999999996</v>
      </c>
      <c r="U235" s="74">
        <v>2.99</v>
      </c>
      <c r="V235" s="50">
        <v>1.45</v>
      </c>
      <c r="W235" s="74">
        <v>5.8999999999999997E-2</v>
      </c>
      <c r="X235" s="50">
        <v>0.57899999999999996</v>
      </c>
      <c r="Y235" s="74">
        <v>7.5999999999999998E-2</v>
      </c>
      <c r="AF235" s="113"/>
      <c r="AG235" s="54"/>
      <c r="AH235" s="54"/>
      <c r="AI235" s="113"/>
      <c r="AJ235" s="50"/>
      <c r="AK235" s="74"/>
      <c r="AL235" s="74"/>
      <c r="AM235" s="74"/>
      <c r="AN235" s="74"/>
      <c r="AO235" s="74"/>
      <c r="AP235" s="74"/>
      <c r="AQ235" s="74"/>
      <c r="AR235" s="74"/>
      <c r="AS235" s="74"/>
      <c r="AT235" s="74"/>
    </row>
    <row r="236" spans="1:46" ht="15" customHeight="1">
      <c r="A236" s="41" t="s">
        <v>36</v>
      </c>
      <c r="B236" s="50" t="s">
        <v>404</v>
      </c>
      <c r="C236" s="50" t="s">
        <v>607</v>
      </c>
      <c r="D236" s="48" t="s">
        <v>406</v>
      </c>
      <c r="E236" s="50" t="s">
        <v>608</v>
      </c>
      <c r="G236" s="76" t="s">
        <v>609</v>
      </c>
      <c r="H236" s="50">
        <v>9199</v>
      </c>
      <c r="I236" s="49" t="s">
        <v>2</v>
      </c>
      <c r="J236" s="50" t="s">
        <v>611</v>
      </c>
      <c r="K236" s="51">
        <v>41352</v>
      </c>
      <c r="L236" s="115">
        <v>41345</v>
      </c>
      <c r="M236" s="402">
        <f t="shared" si="12"/>
        <v>7</v>
      </c>
      <c r="N236" s="50" t="s">
        <v>1</v>
      </c>
      <c r="O236" s="131">
        <v>2</v>
      </c>
      <c r="P236" s="117">
        <v>7.3</v>
      </c>
      <c r="Q236" s="131">
        <v>6.5</v>
      </c>
      <c r="R236" s="50">
        <v>13</v>
      </c>
      <c r="S236" s="74">
        <v>30</v>
      </c>
      <c r="T236" s="50">
        <v>0.06</v>
      </c>
      <c r="U236" s="74">
        <v>0.3</v>
      </c>
      <c r="V236" s="50">
        <v>0.13</v>
      </c>
      <c r="W236" s="74">
        <v>1.7999999999999999E-2</v>
      </c>
      <c r="X236" s="50">
        <v>6.4000000000000001E-2</v>
      </c>
      <c r="Y236" s="74">
        <f>0.03/2</f>
        <v>1.4999999999999999E-2</v>
      </c>
      <c r="Z236" s="164">
        <v>1</v>
      </c>
      <c r="AA236" s="165">
        <v>1</v>
      </c>
      <c r="AB236" s="50">
        <v>12</v>
      </c>
      <c r="AC236" s="74">
        <v>684</v>
      </c>
      <c r="AD236" s="164">
        <f>16/20</f>
        <v>0.8</v>
      </c>
      <c r="AF236" s="113"/>
      <c r="AG236" s="54"/>
      <c r="AH236" s="54"/>
      <c r="AI236" s="113"/>
      <c r="AJ236" s="50"/>
      <c r="AK236" s="74"/>
      <c r="AL236" s="74"/>
      <c r="AM236" s="74"/>
      <c r="AN236" s="74"/>
      <c r="AO236" s="74"/>
      <c r="AP236" s="74"/>
      <c r="AQ236" s="74"/>
      <c r="AR236" s="74"/>
      <c r="AS236" s="74"/>
      <c r="AT236" s="74"/>
    </row>
    <row r="237" spans="1:46" ht="15" customHeight="1">
      <c r="A237" s="41" t="s">
        <v>36</v>
      </c>
      <c r="B237" s="50" t="s">
        <v>3909</v>
      </c>
      <c r="D237" s="48" t="s">
        <v>1683</v>
      </c>
      <c r="E237" s="50" t="s">
        <v>304</v>
      </c>
      <c r="G237" s="76" t="s">
        <v>3910</v>
      </c>
      <c r="H237" s="50">
        <v>9199</v>
      </c>
      <c r="J237" s="50" t="s">
        <v>3911</v>
      </c>
      <c r="K237" s="51">
        <v>40863</v>
      </c>
      <c r="L237" s="115">
        <v>40847</v>
      </c>
      <c r="M237" s="402">
        <f t="shared" si="12"/>
        <v>16</v>
      </c>
      <c r="O237" s="131">
        <v>5.3</v>
      </c>
      <c r="P237" s="117">
        <v>4.96</v>
      </c>
      <c r="Q237" s="131">
        <v>6.65</v>
      </c>
      <c r="R237" s="50">
        <v>332</v>
      </c>
      <c r="S237" s="74">
        <v>302</v>
      </c>
      <c r="T237" s="50">
        <v>0.43</v>
      </c>
      <c r="U237" s="74">
        <v>2.1</v>
      </c>
      <c r="V237" s="50">
        <v>0.59</v>
      </c>
      <c r="W237" s="74">
        <v>2.47E-2</v>
      </c>
      <c r="X237" s="50">
        <v>0.25800000000000001</v>
      </c>
      <c r="Y237" s="74">
        <v>1.2999999999999999E-2</v>
      </c>
      <c r="Z237" s="164">
        <v>1</v>
      </c>
      <c r="AA237" s="165">
        <v>1</v>
      </c>
      <c r="AB237" s="50">
        <v>69</v>
      </c>
      <c r="AC237" s="74">
        <v>1689</v>
      </c>
      <c r="AD237" s="164">
        <v>0.65</v>
      </c>
      <c r="AF237" s="113"/>
      <c r="AG237" s="54"/>
      <c r="AH237" s="54"/>
      <c r="AI237" s="113"/>
      <c r="AJ237" s="50"/>
      <c r="AK237" s="74"/>
      <c r="AL237" s="74"/>
      <c r="AM237" s="74"/>
      <c r="AN237" s="74"/>
      <c r="AO237" s="74"/>
      <c r="AP237" s="74"/>
      <c r="AQ237" s="74"/>
      <c r="AR237" s="74"/>
      <c r="AS237" s="74"/>
      <c r="AT237" s="74"/>
    </row>
    <row r="238" spans="1:46" ht="15" customHeight="1">
      <c r="A238" s="41" t="s">
        <v>36</v>
      </c>
      <c r="B238" s="50" t="s">
        <v>3912</v>
      </c>
      <c r="D238" s="48" t="s">
        <v>2591</v>
      </c>
      <c r="E238" s="50" t="s">
        <v>1946</v>
      </c>
      <c r="G238" s="76" t="s">
        <v>3913</v>
      </c>
      <c r="J238" s="50" t="s">
        <v>3914</v>
      </c>
      <c r="K238" s="51">
        <v>41180</v>
      </c>
      <c r="L238" s="115">
        <v>41174</v>
      </c>
      <c r="M238" s="402">
        <f t="shared" si="12"/>
        <v>6</v>
      </c>
      <c r="O238" s="131">
        <v>1.2</v>
      </c>
      <c r="P238" s="117">
        <v>5.8</v>
      </c>
      <c r="Q238" s="131">
        <v>7.3</v>
      </c>
      <c r="R238" s="50">
        <v>22</v>
      </c>
      <c r="S238" s="74">
        <v>9</v>
      </c>
      <c r="T238" s="50">
        <v>0.04</v>
      </c>
      <c r="U238" s="74">
        <v>0.19</v>
      </c>
      <c r="V238" s="50">
        <v>0.28000000000000003</v>
      </c>
      <c r="W238" s="74">
        <f>0.005/2</f>
        <v>2.5000000000000001E-3</v>
      </c>
      <c r="X238" s="50">
        <v>0.02</v>
      </c>
      <c r="Y238" s="74">
        <f>0.001/2</f>
        <v>5.0000000000000001E-4</v>
      </c>
      <c r="Z238" s="164">
        <v>1</v>
      </c>
      <c r="AA238" s="165">
        <v>1</v>
      </c>
      <c r="AB238" s="50">
        <v>63</v>
      </c>
      <c r="AC238" s="74">
        <v>191</v>
      </c>
      <c r="AD238" s="164">
        <v>1</v>
      </c>
      <c r="AF238" s="113"/>
      <c r="AG238" s="54"/>
      <c r="AH238" s="54"/>
      <c r="AI238" s="113"/>
      <c r="AJ238" s="50"/>
      <c r="AK238" s="74"/>
      <c r="AL238" s="74"/>
      <c r="AM238" s="74"/>
      <c r="AN238" s="74"/>
      <c r="AO238" s="74"/>
      <c r="AP238" s="74"/>
      <c r="AQ238" s="74"/>
      <c r="AR238" s="74"/>
      <c r="AS238" s="74"/>
      <c r="AT238" s="74"/>
    </row>
    <row r="239" spans="1:46" ht="15" customHeight="1">
      <c r="A239" s="41" t="s">
        <v>36</v>
      </c>
      <c r="B239" s="50" t="s">
        <v>404</v>
      </c>
      <c r="C239" s="50" t="s">
        <v>607</v>
      </c>
      <c r="D239" s="48" t="s">
        <v>406</v>
      </c>
      <c r="E239" s="50" t="s">
        <v>608</v>
      </c>
      <c r="G239" s="76" t="s">
        <v>609</v>
      </c>
      <c r="H239" s="50">
        <v>9199</v>
      </c>
      <c r="I239" s="49" t="s">
        <v>2</v>
      </c>
      <c r="J239" s="50" t="s">
        <v>610</v>
      </c>
      <c r="K239" s="51">
        <v>41030</v>
      </c>
      <c r="L239" s="115">
        <v>41025</v>
      </c>
      <c r="M239" s="402">
        <f t="shared" si="12"/>
        <v>5</v>
      </c>
      <c r="N239" s="50" t="s">
        <v>2</v>
      </c>
      <c r="O239" s="131">
        <v>3.3</v>
      </c>
      <c r="P239" s="117">
        <v>6.39</v>
      </c>
      <c r="Q239" s="131">
        <v>5.9</v>
      </c>
      <c r="R239" s="50">
        <v>60</v>
      </c>
      <c r="S239" s="74">
        <v>60</v>
      </c>
      <c r="T239" s="50">
        <v>0.17</v>
      </c>
      <c r="U239" s="74">
        <v>1.71</v>
      </c>
      <c r="V239" s="50">
        <v>0.3</v>
      </c>
      <c r="W239" s="74">
        <f>0.01/2</f>
        <v>5.0000000000000001E-3</v>
      </c>
      <c r="X239" s="50">
        <v>7.8E-2</v>
      </c>
      <c r="Y239" s="74">
        <f t="shared" ref="Y239:Y244" si="13">0.03/2</f>
        <v>1.4999999999999999E-2</v>
      </c>
      <c r="AE239" s="50">
        <v>48.9</v>
      </c>
      <c r="AF239" s="113">
        <f>0.05/2</f>
        <v>2.5000000000000001E-2</v>
      </c>
      <c r="AG239" s="54"/>
      <c r="AH239" s="54"/>
      <c r="AI239" s="113"/>
      <c r="AJ239" s="50"/>
      <c r="AK239" s="74"/>
      <c r="AL239" s="74"/>
      <c r="AM239" s="74"/>
      <c r="AN239" s="74"/>
      <c r="AO239" s="74"/>
      <c r="AP239" s="74"/>
      <c r="AQ239" s="74"/>
      <c r="AR239" s="74"/>
      <c r="AS239" s="74"/>
      <c r="AT239" s="74"/>
    </row>
    <row r="240" spans="1:46" ht="15" customHeight="1">
      <c r="A240" s="41" t="s">
        <v>36</v>
      </c>
      <c r="B240" s="50" t="s">
        <v>404</v>
      </c>
      <c r="C240" s="50" t="s">
        <v>607</v>
      </c>
      <c r="D240" s="48" t="s">
        <v>406</v>
      </c>
      <c r="E240" s="50" t="s">
        <v>608</v>
      </c>
      <c r="G240" s="76" t="s">
        <v>609</v>
      </c>
      <c r="H240" s="50">
        <v>9199</v>
      </c>
      <c r="I240" s="49" t="s">
        <v>2</v>
      </c>
      <c r="J240" s="50" t="s">
        <v>611</v>
      </c>
      <c r="K240" s="51">
        <v>41030</v>
      </c>
      <c r="L240" s="115">
        <v>41025</v>
      </c>
      <c r="M240" s="402">
        <f t="shared" si="12"/>
        <v>5</v>
      </c>
      <c r="N240" s="50" t="s">
        <v>2</v>
      </c>
      <c r="O240" s="131">
        <v>2.6</v>
      </c>
      <c r="P240" s="117">
        <v>6.39</v>
      </c>
      <c r="Q240" s="131">
        <v>5.4</v>
      </c>
      <c r="R240" s="50">
        <v>52</v>
      </c>
      <c r="S240" s="74">
        <v>40</v>
      </c>
      <c r="T240" s="50">
        <v>0.17</v>
      </c>
      <c r="U240" s="74">
        <v>1.21</v>
      </c>
      <c r="V240" s="50">
        <v>0.26</v>
      </c>
      <c r="W240" s="74">
        <f>0.01/2</f>
        <v>5.0000000000000001E-3</v>
      </c>
      <c r="X240" s="50">
        <v>0.06</v>
      </c>
      <c r="Y240" s="74">
        <f t="shared" si="13"/>
        <v>1.4999999999999999E-2</v>
      </c>
      <c r="AF240" s="113"/>
      <c r="AG240" s="54"/>
      <c r="AH240" s="54"/>
      <c r="AI240" s="113"/>
      <c r="AJ240" s="50"/>
      <c r="AK240" s="74"/>
      <c r="AL240" s="74"/>
      <c r="AM240" s="74"/>
      <c r="AN240" s="74"/>
      <c r="AO240" s="74"/>
      <c r="AP240" s="74"/>
      <c r="AQ240" s="74"/>
      <c r="AR240" s="74"/>
      <c r="AS240" s="74"/>
      <c r="AT240" s="74"/>
    </row>
    <row r="241" spans="1:46" ht="15" customHeight="1">
      <c r="A241" s="41" t="s">
        <v>36</v>
      </c>
      <c r="B241" s="50" t="s">
        <v>404</v>
      </c>
      <c r="C241" s="50" t="s">
        <v>607</v>
      </c>
      <c r="D241" s="48" t="s">
        <v>406</v>
      </c>
      <c r="E241" s="50" t="s">
        <v>608</v>
      </c>
      <c r="G241" s="76" t="s">
        <v>609</v>
      </c>
      <c r="H241" s="50">
        <v>9199</v>
      </c>
      <c r="I241" s="49" t="s">
        <v>2</v>
      </c>
      <c r="J241" s="50" t="s">
        <v>612</v>
      </c>
      <c r="K241" s="51">
        <v>41030</v>
      </c>
      <c r="L241" s="115">
        <v>41025</v>
      </c>
      <c r="M241" s="402">
        <f t="shared" si="12"/>
        <v>5</v>
      </c>
      <c r="N241" s="50" t="s">
        <v>2</v>
      </c>
      <c r="O241" s="131">
        <v>2.4</v>
      </c>
      <c r="P241" s="117">
        <v>6.39</v>
      </c>
      <c r="Q241" s="131">
        <v>6.5</v>
      </c>
      <c r="R241" s="50">
        <v>40</v>
      </c>
      <c r="S241" s="74">
        <v>35</v>
      </c>
      <c r="T241" s="50">
        <v>0.25</v>
      </c>
      <c r="U241" s="74">
        <v>2.41</v>
      </c>
      <c r="V241" s="50">
        <v>0.63</v>
      </c>
      <c r="W241" s="74">
        <v>1.9E-2</v>
      </c>
      <c r="X241" s="50">
        <v>6.4000000000000001E-2</v>
      </c>
      <c r="Y241" s="74">
        <f t="shared" si="13"/>
        <v>1.4999999999999999E-2</v>
      </c>
      <c r="AF241" s="113"/>
      <c r="AG241" s="54"/>
      <c r="AH241" s="54"/>
      <c r="AI241" s="113"/>
      <c r="AJ241" s="50"/>
      <c r="AK241" s="74"/>
      <c r="AL241" s="74"/>
      <c r="AM241" s="74"/>
      <c r="AN241" s="74"/>
      <c r="AO241" s="74"/>
      <c r="AP241" s="74"/>
      <c r="AQ241" s="74"/>
      <c r="AR241" s="74"/>
      <c r="AS241" s="74"/>
      <c r="AT241" s="74"/>
    </row>
    <row r="242" spans="1:46" ht="15" customHeight="1">
      <c r="A242" s="41" t="s">
        <v>36</v>
      </c>
      <c r="B242" s="50" t="s">
        <v>404</v>
      </c>
      <c r="C242" s="50" t="s">
        <v>607</v>
      </c>
      <c r="D242" s="48" t="s">
        <v>406</v>
      </c>
      <c r="E242" s="50" t="s">
        <v>608</v>
      </c>
      <c r="G242" s="76" t="s">
        <v>609</v>
      </c>
      <c r="H242" s="50">
        <v>9199</v>
      </c>
      <c r="I242" s="49" t="s">
        <v>2</v>
      </c>
      <c r="J242" s="50" t="s">
        <v>613</v>
      </c>
      <c r="K242" s="51">
        <v>41030</v>
      </c>
      <c r="L242" s="115">
        <v>41025</v>
      </c>
      <c r="M242" s="402">
        <f t="shared" si="12"/>
        <v>5</v>
      </c>
      <c r="N242" s="50" t="s">
        <v>2</v>
      </c>
      <c r="O242" s="131">
        <f>2/2</f>
        <v>1</v>
      </c>
      <c r="P242" s="117">
        <v>6.39</v>
      </c>
      <c r="Q242" s="131">
        <v>6.3</v>
      </c>
      <c r="R242" s="50">
        <v>24</v>
      </c>
      <c r="S242" s="74">
        <v>16</v>
      </c>
      <c r="T242" s="50">
        <v>0.11</v>
      </c>
      <c r="U242" s="74">
        <v>1.03</v>
      </c>
      <c r="V242" s="50">
        <v>0.21</v>
      </c>
      <c r="W242" s="74">
        <f>0.01/2</f>
        <v>5.0000000000000001E-3</v>
      </c>
      <c r="X242" s="50">
        <v>7.3999999999999996E-2</v>
      </c>
      <c r="Y242" s="74">
        <f t="shared" si="13"/>
        <v>1.4999999999999999E-2</v>
      </c>
      <c r="AF242" s="113"/>
      <c r="AG242" s="54"/>
      <c r="AH242" s="54"/>
      <c r="AI242" s="113"/>
      <c r="AJ242" s="50"/>
      <c r="AK242" s="74"/>
      <c r="AL242" s="74"/>
      <c r="AM242" s="74"/>
      <c r="AN242" s="74"/>
      <c r="AO242" s="74"/>
      <c r="AP242" s="74"/>
      <c r="AQ242" s="74"/>
      <c r="AR242" s="74"/>
      <c r="AS242" s="74"/>
      <c r="AT242" s="74"/>
    </row>
    <row r="243" spans="1:46" ht="15" customHeight="1">
      <c r="A243" s="41" t="s">
        <v>36</v>
      </c>
      <c r="B243" s="50" t="s">
        <v>3676</v>
      </c>
      <c r="C243" s="50" t="s">
        <v>1332</v>
      </c>
      <c r="D243" s="48" t="s">
        <v>406</v>
      </c>
      <c r="E243" s="50" t="s">
        <v>407</v>
      </c>
      <c r="G243" s="76" t="s">
        <v>408</v>
      </c>
      <c r="H243" s="50">
        <v>4952</v>
      </c>
      <c r="I243" s="49" t="s">
        <v>2</v>
      </c>
      <c r="J243" s="50" t="s">
        <v>3677</v>
      </c>
      <c r="K243" s="51">
        <v>41030</v>
      </c>
      <c r="L243" s="115">
        <v>41025</v>
      </c>
      <c r="M243" s="402">
        <f t="shared" si="12"/>
        <v>5</v>
      </c>
      <c r="N243" s="50" t="s">
        <v>2</v>
      </c>
      <c r="O243" s="131">
        <f>2/2</f>
        <v>1</v>
      </c>
      <c r="P243" s="117">
        <v>6.39</v>
      </c>
      <c r="Q243" s="131">
        <v>6.2</v>
      </c>
      <c r="R243" s="50">
        <v>15</v>
      </c>
      <c r="S243" s="74">
        <v>15</v>
      </c>
      <c r="T243" s="50">
        <v>7.0000000000000007E-2</v>
      </c>
      <c r="U243" s="74">
        <v>0.74</v>
      </c>
      <c r="V243" s="50">
        <v>0.26</v>
      </c>
      <c r="W243" s="74">
        <f>0.01/2</f>
        <v>5.0000000000000001E-3</v>
      </c>
      <c r="X243" s="50">
        <v>5.1999999999999998E-2</v>
      </c>
      <c r="Y243" s="74">
        <f t="shared" si="13"/>
        <v>1.4999999999999999E-2</v>
      </c>
      <c r="AF243" s="113"/>
      <c r="AG243" s="54"/>
      <c r="AH243" s="54"/>
      <c r="AI243" s="113"/>
      <c r="AJ243" s="50"/>
      <c r="AK243" s="74"/>
      <c r="AL243" s="74"/>
      <c r="AM243" s="74"/>
      <c r="AN243" s="74"/>
      <c r="AO243" s="74"/>
      <c r="AP243" s="74"/>
      <c r="AQ243" s="74"/>
      <c r="AR243" s="74"/>
      <c r="AS243" s="74"/>
      <c r="AT243" s="74"/>
    </row>
    <row r="244" spans="1:46" ht="15" customHeight="1">
      <c r="A244" s="41" t="s">
        <v>36</v>
      </c>
      <c r="B244" s="50" t="s">
        <v>404</v>
      </c>
      <c r="C244" s="50" t="s">
        <v>1332</v>
      </c>
      <c r="D244" s="48" t="s">
        <v>406</v>
      </c>
      <c r="E244" s="50" t="s">
        <v>407</v>
      </c>
      <c r="G244" s="76" t="s">
        <v>408</v>
      </c>
      <c r="H244" s="50">
        <v>4952</v>
      </c>
      <c r="I244" s="49" t="s">
        <v>2</v>
      </c>
      <c r="J244" s="50" t="s">
        <v>410</v>
      </c>
      <c r="K244" s="51">
        <v>41030</v>
      </c>
      <c r="L244" s="115">
        <v>41025</v>
      </c>
      <c r="M244" s="402">
        <f t="shared" si="12"/>
        <v>5</v>
      </c>
      <c r="N244" s="50" t="s">
        <v>2</v>
      </c>
      <c r="O244" s="131">
        <f>2/2</f>
        <v>1</v>
      </c>
      <c r="P244" s="117">
        <v>6.39</v>
      </c>
      <c r="Q244" s="131">
        <v>6.5</v>
      </c>
      <c r="R244" s="50">
        <v>31</v>
      </c>
      <c r="S244" s="74">
        <v>34</v>
      </c>
      <c r="T244" s="50">
        <v>0.12</v>
      </c>
      <c r="U244" s="74">
        <v>1.07</v>
      </c>
      <c r="V244" s="50">
        <v>0.28000000000000003</v>
      </c>
      <c r="W244" s="74">
        <f>0.01/2</f>
        <v>5.0000000000000001E-3</v>
      </c>
      <c r="X244" s="50">
        <v>6.0999999999999999E-2</v>
      </c>
      <c r="Y244" s="74">
        <f t="shared" si="13"/>
        <v>1.4999999999999999E-2</v>
      </c>
      <c r="AF244" s="113"/>
      <c r="AG244" s="54"/>
      <c r="AH244" s="54"/>
      <c r="AI244" s="113"/>
      <c r="AJ244" s="50"/>
      <c r="AK244" s="74"/>
      <c r="AL244" s="74"/>
      <c r="AM244" s="74"/>
      <c r="AN244" s="74"/>
      <c r="AO244" s="74"/>
      <c r="AP244" s="74"/>
      <c r="AQ244" s="74"/>
      <c r="AR244" s="74"/>
      <c r="AS244" s="74"/>
      <c r="AT244" s="74"/>
    </row>
    <row r="245" spans="1:46" ht="15" customHeight="1">
      <c r="A245" s="41" t="s">
        <v>36</v>
      </c>
      <c r="B245" s="50" t="s">
        <v>1488</v>
      </c>
      <c r="C245" s="50" t="s">
        <v>393</v>
      </c>
      <c r="D245" s="48" t="s">
        <v>1490</v>
      </c>
      <c r="E245" s="50" t="s">
        <v>1687</v>
      </c>
      <c r="G245" s="76" t="s">
        <v>1688</v>
      </c>
      <c r="I245" s="49" t="s">
        <v>2</v>
      </c>
      <c r="J245" s="50" t="s">
        <v>1689</v>
      </c>
      <c r="K245" s="51">
        <v>41402</v>
      </c>
      <c r="L245" s="115"/>
      <c r="N245" s="50" t="s">
        <v>2</v>
      </c>
      <c r="O245" s="74">
        <v>3.8</v>
      </c>
      <c r="P245" s="117">
        <v>6</v>
      </c>
      <c r="Q245" s="131">
        <v>6.5</v>
      </c>
      <c r="R245" s="50">
        <v>1500</v>
      </c>
      <c r="S245" s="74">
        <v>1400</v>
      </c>
      <c r="T245" s="50">
        <v>5.4</v>
      </c>
      <c r="U245" s="74">
        <v>22</v>
      </c>
      <c r="V245" s="50">
        <v>0.64</v>
      </c>
      <c r="W245" s="74">
        <v>0.19</v>
      </c>
      <c r="X245" s="50">
        <v>0.52</v>
      </c>
      <c r="Y245" s="74">
        <v>0.16</v>
      </c>
      <c r="Z245" s="164">
        <v>1</v>
      </c>
      <c r="AA245" s="165">
        <v>1</v>
      </c>
      <c r="AB245" s="50">
        <v>74</v>
      </c>
      <c r="AC245" s="74">
        <v>2060</v>
      </c>
      <c r="AD245" s="164">
        <v>1</v>
      </c>
      <c r="AG245" s="54"/>
      <c r="AH245" s="54"/>
      <c r="AI245" s="113"/>
      <c r="AJ245" s="50"/>
      <c r="AK245" s="74"/>
      <c r="AL245" s="74"/>
      <c r="AM245" s="74"/>
      <c r="AN245" s="74"/>
      <c r="AO245" s="74"/>
      <c r="AP245" s="74"/>
      <c r="AQ245" s="74"/>
      <c r="AR245" s="74"/>
      <c r="AS245" s="74"/>
      <c r="AT245" s="74"/>
    </row>
    <row r="246" spans="1:46" ht="15" customHeight="1">
      <c r="A246" s="41" t="s">
        <v>36</v>
      </c>
      <c r="B246" s="50" t="s">
        <v>1488</v>
      </c>
      <c r="C246" s="50" t="s">
        <v>393</v>
      </c>
      <c r="D246" s="48" t="s">
        <v>1490</v>
      </c>
      <c r="E246" s="50" t="s">
        <v>1687</v>
      </c>
      <c r="G246" s="76" t="s">
        <v>1688</v>
      </c>
      <c r="I246" s="49" t="s">
        <v>2</v>
      </c>
      <c r="J246" s="50" t="s">
        <v>1690</v>
      </c>
      <c r="K246" s="51">
        <v>41402</v>
      </c>
      <c r="L246" s="115"/>
      <c r="N246" s="50" t="s">
        <v>2</v>
      </c>
      <c r="O246" s="74">
        <v>1.4</v>
      </c>
      <c r="P246" s="117">
        <v>6</v>
      </c>
      <c r="Q246" s="131">
        <v>6</v>
      </c>
      <c r="R246" s="50">
        <v>230</v>
      </c>
      <c r="S246" s="74">
        <v>320</v>
      </c>
      <c r="T246" s="50">
        <v>0.54</v>
      </c>
      <c r="U246" s="74">
        <v>2.5</v>
      </c>
      <c r="V246" s="50">
        <v>0.3</v>
      </c>
      <c r="W246" s="74">
        <v>4.4999999999999998E-2</v>
      </c>
      <c r="X246" s="50">
        <v>0.2</v>
      </c>
      <c r="Y246" s="74">
        <v>1.7999999999999999E-2</v>
      </c>
      <c r="Z246" s="164">
        <v>1</v>
      </c>
      <c r="AA246" s="165">
        <v>1</v>
      </c>
      <c r="AB246" s="50">
        <v>20</v>
      </c>
      <c r="AC246" s="74">
        <v>429</v>
      </c>
      <c r="AD246" s="164">
        <v>1</v>
      </c>
      <c r="AG246" s="54"/>
      <c r="AH246" s="54"/>
      <c r="AI246" s="113"/>
      <c r="AJ246" s="50"/>
      <c r="AK246" s="74"/>
      <c r="AL246" s="74"/>
      <c r="AM246" s="74"/>
      <c r="AN246" s="74"/>
      <c r="AO246" s="74"/>
      <c r="AP246" s="74"/>
      <c r="AQ246" s="74"/>
      <c r="AR246" s="74"/>
      <c r="AS246" s="74"/>
      <c r="AT246" s="74"/>
    </row>
    <row r="247" spans="1:46" ht="15" customHeight="1">
      <c r="A247" s="41" t="s">
        <v>36</v>
      </c>
      <c r="B247" s="50" t="s">
        <v>1488</v>
      </c>
      <c r="C247" s="50" t="s">
        <v>393</v>
      </c>
      <c r="D247" s="48" t="s">
        <v>1490</v>
      </c>
      <c r="E247" s="50" t="s">
        <v>1687</v>
      </c>
      <c r="G247" s="76" t="s">
        <v>1688</v>
      </c>
      <c r="I247" s="49" t="s">
        <v>2</v>
      </c>
      <c r="J247" s="50" t="s">
        <v>1691</v>
      </c>
      <c r="K247" s="51">
        <v>41402</v>
      </c>
      <c r="L247" s="115"/>
      <c r="N247" s="50" t="s">
        <v>2</v>
      </c>
      <c r="O247" s="74">
        <f>1/2</f>
        <v>0.5</v>
      </c>
      <c r="P247" s="117">
        <v>6</v>
      </c>
      <c r="Q247" s="131">
        <v>5.8</v>
      </c>
      <c r="R247" s="50">
        <v>190</v>
      </c>
      <c r="S247" s="74">
        <v>260</v>
      </c>
      <c r="T247" s="50">
        <v>0.54</v>
      </c>
      <c r="U247" s="74">
        <v>2.5</v>
      </c>
      <c r="V247" s="50">
        <v>0.61</v>
      </c>
      <c r="W247" s="74">
        <v>3.5999999999999997E-2</v>
      </c>
      <c r="X247" s="50">
        <v>0.16</v>
      </c>
      <c r="Y247" s="74">
        <v>1.6E-2</v>
      </c>
      <c r="Z247" s="164">
        <v>1</v>
      </c>
      <c r="AA247" s="165">
        <v>1</v>
      </c>
      <c r="AB247" s="50">
        <v>22</v>
      </c>
      <c r="AC247" s="74">
        <v>2260</v>
      </c>
      <c r="AD247" s="164">
        <v>1</v>
      </c>
      <c r="AG247" s="54"/>
      <c r="AH247" s="54"/>
      <c r="AI247" s="113"/>
      <c r="AJ247" s="50"/>
      <c r="AK247" s="74"/>
      <c r="AL247" s="74"/>
      <c r="AM247" s="74"/>
      <c r="AN247" s="74"/>
      <c r="AO247" s="74"/>
      <c r="AP247" s="74"/>
      <c r="AQ247" s="74"/>
      <c r="AR247" s="74"/>
      <c r="AS247" s="74"/>
      <c r="AT247" s="74"/>
    </row>
    <row r="248" spans="1:46" ht="15" customHeight="1">
      <c r="A248" s="41" t="s">
        <v>36</v>
      </c>
      <c r="B248" s="50" t="s">
        <v>2814</v>
      </c>
      <c r="C248" s="50" t="s">
        <v>2815</v>
      </c>
      <c r="D248" s="48" t="s">
        <v>251</v>
      </c>
      <c r="E248" s="50" t="s">
        <v>252</v>
      </c>
      <c r="F248" s="50" t="s">
        <v>2816</v>
      </c>
      <c r="G248" s="76" t="s">
        <v>2817</v>
      </c>
      <c r="H248" s="50">
        <v>9199</v>
      </c>
      <c r="I248" s="49" t="s">
        <v>1</v>
      </c>
      <c r="J248" s="50" t="s">
        <v>2818</v>
      </c>
      <c r="K248" s="51">
        <v>41402</v>
      </c>
      <c r="L248" s="115">
        <v>41389</v>
      </c>
      <c r="M248" s="402">
        <f t="shared" ref="M248:M256" si="14">K248-L248</f>
        <v>13</v>
      </c>
      <c r="N248" s="50" t="s">
        <v>2</v>
      </c>
      <c r="O248" s="131">
        <v>2.5</v>
      </c>
      <c r="P248" s="117">
        <v>6.05</v>
      </c>
      <c r="Q248" s="131">
        <v>7.18</v>
      </c>
      <c r="R248" s="50">
        <v>72</v>
      </c>
      <c r="S248" s="74">
        <v>330</v>
      </c>
      <c r="T248" s="50">
        <v>0.19</v>
      </c>
      <c r="U248" s="74">
        <v>1</v>
      </c>
      <c r="V248" s="50">
        <v>0.19</v>
      </c>
      <c r="W248" s="74">
        <v>0.02</v>
      </c>
      <c r="X248" s="50">
        <v>9.5000000000000001E-2</v>
      </c>
      <c r="Y248" s="74">
        <v>1.9E-2</v>
      </c>
      <c r="AE248" s="50">
        <v>480</v>
      </c>
      <c r="AF248" s="113">
        <v>2.5000000000000001E-2</v>
      </c>
      <c r="AG248" s="54"/>
      <c r="AH248" s="54">
        <v>500</v>
      </c>
      <c r="AI248" s="113"/>
      <c r="AJ248" s="50"/>
      <c r="AK248" s="74"/>
      <c r="AL248" s="74"/>
      <c r="AM248" s="74"/>
      <c r="AN248" s="74"/>
      <c r="AO248" s="74"/>
      <c r="AP248" s="74"/>
      <c r="AQ248" s="74"/>
      <c r="AR248" s="74"/>
      <c r="AS248" s="74"/>
      <c r="AT248" s="74"/>
    </row>
    <row r="249" spans="1:46" ht="15" customHeight="1">
      <c r="A249" s="41" t="s">
        <v>36</v>
      </c>
      <c r="B249" s="50" t="s">
        <v>2814</v>
      </c>
      <c r="C249" s="50" t="s">
        <v>2815</v>
      </c>
      <c r="D249" s="48" t="s">
        <v>251</v>
      </c>
      <c r="E249" s="50" t="s">
        <v>252</v>
      </c>
      <c r="F249" s="50" t="s">
        <v>2816</v>
      </c>
      <c r="G249" s="76" t="s">
        <v>2817</v>
      </c>
      <c r="H249" s="50">
        <v>9199</v>
      </c>
      <c r="I249" s="49" t="s">
        <v>1</v>
      </c>
      <c r="J249" s="50" t="s">
        <v>2819</v>
      </c>
      <c r="K249" s="51">
        <v>41402</v>
      </c>
      <c r="L249" s="115">
        <v>41389</v>
      </c>
      <c r="M249" s="402">
        <f t="shared" si="14"/>
        <v>13</v>
      </c>
      <c r="N249" s="50" t="s">
        <v>2</v>
      </c>
      <c r="O249" s="131">
        <v>2.5</v>
      </c>
      <c r="P249" s="117">
        <v>6.05</v>
      </c>
      <c r="Q249" s="131">
        <v>7.25</v>
      </c>
      <c r="R249" s="50">
        <v>67</v>
      </c>
      <c r="S249" s="74">
        <v>76</v>
      </c>
      <c r="T249" s="50">
        <v>0.17</v>
      </c>
      <c r="U249" s="74">
        <v>1.1000000000000001</v>
      </c>
      <c r="V249" s="50">
        <v>0.31</v>
      </c>
      <c r="W249" s="74">
        <v>0.02</v>
      </c>
      <c r="X249" s="50">
        <v>0.11</v>
      </c>
      <c r="Y249" s="74">
        <v>6.4999999999999997E-3</v>
      </c>
      <c r="AE249" s="50">
        <v>230</v>
      </c>
      <c r="AF249" s="113">
        <v>2.5000000000000001E-2</v>
      </c>
      <c r="AG249" s="54"/>
      <c r="AH249" s="54">
        <v>200</v>
      </c>
      <c r="AI249" s="113"/>
      <c r="AJ249" s="50"/>
      <c r="AK249" s="74"/>
      <c r="AL249" s="74"/>
      <c r="AM249" s="74"/>
      <c r="AN249" s="74"/>
      <c r="AO249" s="74"/>
      <c r="AP249" s="74"/>
      <c r="AQ249" s="74"/>
      <c r="AR249" s="74"/>
      <c r="AS249" s="74"/>
      <c r="AT249" s="74"/>
    </row>
    <row r="250" spans="1:46" ht="15" customHeight="1">
      <c r="A250" s="41" t="s">
        <v>36</v>
      </c>
      <c r="B250" s="50" t="s">
        <v>2701</v>
      </c>
      <c r="D250" s="48" t="s">
        <v>156</v>
      </c>
      <c r="E250" s="50" t="s">
        <v>1305</v>
      </c>
      <c r="F250" s="50" t="s">
        <v>2702</v>
      </c>
      <c r="G250" s="76" t="s">
        <v>2703</v>
      </c>
      <c r="H250" s="50" t="s">
        <v>2704</v>
      </c>
      <c r="I250" s="49" t="s">
        <v>1</v>
      </c>
      <c r="J250" s="50" t="s">
        <v>856</v>
      </c>
      <c r="K250" s="51">
        <v>41345</v>
      </c>
      <c r="L250" s="115">
        <v>41341</v>
      </c>
      <c r="M250" s="402">
        <f t="shared" si="14"/>
        <v>4</v>
      </c>
      <c r="N250" s="50" t="s">
        <v>2</v>
      </c>
      <c r="O250" s="131">
        <v>1</v>
      </c>
      <c r="P250" s="117">
        <v>8</v>
      </c>
      <c r="Q250" s="131">
        <v>7</v>
      </c>
      <c r="R250" s="50">
        <v>80</v>
      </c>
      <c r="S250" s="74">
        <v>65</v>
      </c>
      <c r="T250" s="50">
        <v>0.25</v>
      </c>
      <c r="U250" s="74">
        <v>1.5</v>
      </c>
      <c r="V250" s="50">
        <v>0.53</v>
      </c>
      <c r="W250" s="74">
        <v>5.1999999999999998E-2</v>
      </c>
      <c r="X250" s="50">
        <v>0.16700000000000001</v>
      </c>
      <c r="Y250" s="74">
        <v>1.4999999999999999E-2</v>
      </c>
      <c r="Z250" s="164">
        <v>1</v>
      </c>
      <c r="AA250" s="165">
        <v>1</v>
      </c>
      <c r="AB250" s="50">
        <v>114</v>
      </c>
      <c r="AC250" s="74">
        <v>1750</v>
      </c>
      <c r="AD250" s="164">
        <v>1</v>
      </c>
      <c r="AF250" s="113"/>
      <c r="AG250" s="54"/>
      <c r="AH250" s="54">
        <v>50</v>
      </c>
      <c r="AI250" s="113"/>
      <c r="AJ250" s="50"/>
      <c r="AK250" s="74"/>
      <c r="AL250" s="74"/>
      <c r="AM250" s="74"/>
      <c r="AN250" s="74"/>
      <c r="AO250" s="74"/>
      <c r="AP250" s="74"/>
      <c r="AQ250" s="74"/>
      <c r="AR250" s="74"/>
      <c r="AS250" s="74"/>
      <c r="AT250" s="74"/>
    </row>
    <row r="251" spans="1:46" ht="15" customHeight="1">
      <c r="A251" s="41" t="s">
        <v>36</v>
      </c>
      <c r="B251" s="50" t="s">
        <v>2701</v>
      </c>
      <c r="D251" s="48" t="s">
        <v>156</v>
      </c>
      <c r="E251" s="50" t="s">
        <v>1305</v>
      </c>
      <c r="F251" s="50" t="s">
        <v>2702</v>
      </c>
      <c r="G251" s="76" t="s">
        <v>2703</v>
      </c>
      <c r="H251" s="50" t="s">
        <v>3989</v>
      </c>
      <c r="I251" s="49" t="s">
        <v>1</v>
      </c>
      <c r="J251" s="50" t="s">
        <v>2705</v>
      </c>
      <c r="K251" s="51">
        <v>41345</v>
      </c>
      <c r="L251" s="115">
        <v>41341</v>
      </c>
      <c r="M251" s="402">
        <f t="shared" si="14"/>
        <v>4</v>
      </c>
      <c r="N251" s="50" t="s">
        <v>2</v>
      </c>
      <c r="O251" s="131">
        <v>1</v>
      </c>
      <c r="P251" s="117">
        <v>8</v>
      </c>
      <c r="Q251" s="131">
        <v>6.8</v>
      </c>
      <c r="R251" s="50">
        <v>34</v>
      </c>
      <c r="S251" s="74">
        <v>128</v>
      </c>
      <c r="T251" s="50">
        <v>0.16</v>
      </c>
      <c r="U251" s="74">
        <v>1.22</v>
      </c>
      <c r="V251" s="50">
        <v>0.64</v>
      </c>
      <c r="W251" s="74">
        <v>4.4999999999999998E-2</v>
      </c>
      <c r="X251" s="50">
        <v>0.105</v>
      </c>
      <c r="Y251" s="74">
        <v>1.4999999999999999E-2</v>
      </c>
      <c r="Z251" s="164">
        <v>1</v>
      </c>
      <c r="AA251" s="165">
        <v>1</v>
      </c>
      <c r="AB251" s="50">
        <v>69</v>
      </c>
      <c r="AC251" s="74">
        <v>1331</v>
      </c>
      <c r="AD251" s="164">
        <v>1</v>
      </c>
      <c r="AF251" s="113"/>
      <c r="AG251" s="54"/>
      <c r="AH251" s="54">
        <v>50</v>
      </c>
      <c r="AI251" s="113"/>
      <c r="AJ251" s="50"/>
      <c r="AK251" s="74"/>
      <c r="AL251" s="74"/>
      <c r="AM251" s="74"/>
      <c r="AN251" s="74"/>
      <c r="AO251" s="74"/>
      <c r="AP251" s="74"/>
      <c r="AQ251" s="74"/>
      <c r="AR251" s="74"/>
      <c r="AS251" s="74"/>
      <c r="AT251" s="74"/>
    </row>
    <row r="252" spans="1:46" ht="15" customHeight="1">
      <c r="A252" s="41" t="s">
        <v>36</v>
      </c>
      <c r="B252" s="50" t="s">
        <v>2701</v>
      </c>
      <c r="D252" s="48" t="s">
        <v>156</v>
      </c>
      <c r="E252" s="50" t="s">
        <v>1305</v>
      </c>
      <c r="F252" s="50" t="s">
        <v>2702</v>
      </c>
      <c r="G252" s="76" t="s">
        <v>2703</v>
      </c>
      <c r="H252" s="50" t="s">
        <v>3989</v>
      </c>
      <c r="I252" s="49" t="s">
        <v>1</v>
      </c>
      <c r="J252" s="50" t="s">
        <v>2706</v>
      </c>
      <c r="K252" s="51">
        <v>41345</v>
      </c>
      <c r="L252" s="115">
        <v>41341</v>
      </c>
      <c r="M252" s="402">
        <f t="shared" si="14"/>
        <v>4</v>
      </c>
      <c r="N252" s="50" t="s">
        <v>2</v>
      </c>
      <c r="O252" s="131">
        <v>1</v>
      </c>
      <c r="P252" s="117">
        <v>8</v>
      </c>
      <c r="Q252" s="131">
        <v>7.7</v>
      </c>
      <c r="R252" s="50">
        <v>118</v>
      </c>
      <c r="S252" s="74">
        <v>450</v>
      </c>
      <c r="T252" s="50">
        <v>0.69</v>
      </c>
      <c r="U252" s="74">
        <v>2.67</v>
      </c>
      <c r="V252" s="50">
        <v>2.46</v>
      </c>
      <c r="W252" s="74">
        <v>6.8000000000000005E-2</v>
      </c>
      <c r="X252" s="50">
        <v>9.2999999999999999E-2</v>
      </c>
      <c r="Y252" s="74">
        <v>4.4999999999999998E-2</v>
      </c>
      <c r="Z252" s="164">
        <v>1</v>
      </c>
      <c r="AA252" s="165">
        <v>0.66</v>
      </c>
      <c r="AB252" s="50">
        <v>325</v>
      </c>
      <c r="AC252" s="74">
        <v>5440</v>
      </c>
      <c r="AD252" s="164">
        <v>0</v>
      </c>
      <c r="AF252" s="113"/>
      <c r="AG252" s="54"/>
      <c r="AH252" s="54">
        <v>600</v>
      </c>
      <c r="AI252" s="113"/>
      <c r="AJ252" s="50"/>
      <c r="AK252" s="74"/>
      <c r="AL252" s="74"/>
      <c r="AM252" s="74"/>
      <c r="AN252" s="74"/>
      <c r="AO252" s="74"/>
      <c r="AP252" s="74"/>
      <c r="AQ252" s="74"/>
      <c r="AR252" s="74"/>
      <c r="AS252" s="74"/>
      <c r="AT252" s="74"/>
    </row>
    <row r="253" spans="1:46" ht="15" customHeight="1">
      <c r="A253" s="41" t="s">
        <v>36</v>
      </c>
      <c r="B253" s="50" t="s">
        <v>3990</v>
      </c>
      <c r="C253" s="50" t="s">
        <v>3990</v>
      </c>
      <c r="D253" s="48" t="s">
        <v>1896</v>
      </c>
      <c r="E253" s="50" t="s">
        <v>2870</v>
      </c>
      <c r="G253" s="76" t="s">
        <v>3991</v>
      </c>
      <c r="H253" s="50">
        <v>9199</v>
      </c>
      <c r="I253" s="49" t="s">
        <v>2</v>
      </c>
      <c r="J253" s="50" t="s">
        <v>510</v>
      </c>
      <c r="K253" s="51">
        <v>41324</v>
      </c>
      <c r="L253" s="115">
        <v>41316</v>
      </c>
      <c r="M253" s="402">
        <f t="shared" si="14"/>
        <v>8</v>
      </c>
      <c r="N253" s="50" t="s">
        <v>1</v>
      </c>
      <c r="O253" s="131">
        <v>5.2</v>
      </c>
      <c r="P253" s="117">
        <v>7.78</v>
      </c>
      <c r="Q253" s="131">
        <v>6.69</v>
      </c>
      <c r="R253" s="50">
        <v>620</v>
      </c>
      <c r="S253" s="74">
        <v>130</v>
      </c>
      <c r="T253" s="50">
        <v>2.2999999999999998</v>
      </c>
      <c r="U253" s="74">
        <v>0.5</v>
      </c>
      <c r="V253" s="50">
        <v>0.5</v>
      </c>
      <c r="W253" s="74">
        <v>0.02</v>
      </c>
      <c r="X253" s="50">
        <v>8.4000000000000005E-2</v>
      </c>
      <c r="Y253" s="74">
        <v>6.4999999999999997E-3</v>
      </c>
      <c r="Z253" s="164">
        <v>6.8099999999999994E-2</v>
      </c>
      <c r="AA253" s="165">
        <v>6.25E-2</v>
      </c>
      <c r="AB253" s="50">
        <v>120</v>
      </c>
      <c r="AC253" s="74">
        <v>58800</v>
      </c>
      <c r="AD253" s="164">
        <v>0</v>
      </c>
      <c r="AE253" s="50">
        <v>24000</v>
      </c>
      <c r="AF253" s="113">
        <v>0.64</v>
      </c>
      <c r="AG253" s="54"/>
      <c r="AH253" s="54"/>
      <c r="AI253" s="113"/>
      <c r="AJ253" s="50"/>
      <c r="AK253" s="74"/>
      <c r="AL253" s="74"/>
      <c r="AM253" s="74"/>
      <c r="AN253" s="74"/>
      <c r="AO253" s="74"/>
      <c r="AP253" s="74"/>
      <c r="AQ253" s="74"/>
      <c r="AR253" s="74"/>
      <c r="AS253" s="74"/>
      <c r="AT253" s="74"/>
    </row>
    <row r="254" spans="1:46" ht="15" customHeight="1">
      <c r="A254" s="41" t="s">
        <v>36</v>
      </c>
      <c r="B254" s="50" t="s">
        <v>2869</v>
      </c>
      <c r="C254" s="50" t="s">
        <v>2869</v>
      </c>
      <c r="D254" s="48" t="s">
        <v>1896</v>
      </c>
      <c r="E254" s="50" t="s">
        <v>2870</v>
      </c>
      <c r="G254" s="76" t="s">
        <v>2871</v>
      </c>
      <c r="H254" s="50">
        <v>9199</v>
      </c>
      <c r="I254" s="49" t="s">
        <v>2</v>
      </c>
      <c r="J254" s="50" t="s">
        <v>510</v>
      </c>
      <c r="K254" s="51">
        <v>41345</v>
      </c>
      <c r="L254" s="115">
        <v>41332</v>
      </c>
      <c r="M254" s="402">
        <f t="shared" si="14"/>
        <v>13</v>
      </c>
      <c r="N254" s="50" t="s">
        <v>2</v>
      </c>
      <c r="O254" s="131">
        <v>39.299999999999997</v>
      </c>
      <c r="P254" s="117">
        <v>7.85</v>
      </c>
      <c r="Q254" s="131">
        <v>7.05</v>
      </c>
      <c r="R254" s="50">
        <v>32</v>
      </c>
      <c r="S254" s="74">
        <v>33</v>
      </c>
      <c r="T254" s="50">
        <v>0.1</v>
      </c>
      <c r="U254" s="74">
        <v>0.75</v>
      </c>
      <c r="V254" s="50">
        <v>0.28000000000000003</v>
      </c>
      <c r="W254" s="74">
        <v>0.03</v>
      </c>
      <c r="X254" s="50">
        <v>0.128</v>
      </c>
      <c r="Y254" s="74">
        <v>1.4999999999999999E-2</v>
      </c>
      <c r="AE254" s="50">
        <v>2800</v>
      </c>
      <c r="AF254" s="113">
        <v>2.5000000000000001E-2</v>
      </c>
      <c r="AG254" s="54"/>
      <c r="AH254" s="54"/>
      <c r="AI254" s="113"/>
      <c r="AJ254" s="50"/>
      <c r="AK254" s="74"/>
      <c r="AL254" s="74"/>
      <c r="AM254" s="74"/>
      <c r="AN254" s="74"/>
      <c r="AO254" s="74"/>
      <c r="AP254" s="74"/>
      <c r="AQ254" s="74"/>
      <c r="AR254" s="74"/>
      <c r="AS254" s="74"/>
      <c r="AT254" s="74"/>
    </row>
    <row r="255" spans="1:46" ht="15" customHeight="1">
      <c r="A255" s="41" t="s">
        <v>36</v>
      </c>
      <c r="B255" s="50" t="s">
        <v>2869</v>
      </c>
      <c r="C255" s="50" t="s">
        <v>2869</v>
      </c>
      <c r="D255" s="48" t="s">
        <v>1896</v>
      </c>
      <c r="E255" s="50" t="s">
        <v>2870</v>
      </c>
      <c r="G255" s="76" t="s">
        <v>2871</v>
      </c>
      <c r="H255" s="50">
        <v>9199</v>
      </c>
      <c r="I255" s="49" t="s">
        <v>2</v>
      </c>
      <c r="J255" s="50" t="s">
        <v>460</v>
      </c>
      <c r="K255" s="51">
        <v>41345</v>
      </c>
      <c r="L255" s="115">
        <v>41332</v>
      </c>
      <c r="M255" s="402">
        <f t="shared" si="14"/>
        <v>13</v>
      </c>
      <c r="N255" s="50" t="s">
        <v>2</v>
      </c>
      <c r="O255" s="131">
        <v>21.1</v>
      </c>
      <c r="P255" s="117">
        <v>7.85</v>
      </c>
      <c r="Q255" s="131">
        <v>7.61</v>
      </c>
      <c r="R255" s="50">
        <v>16</v>
      </c>
      <c r="S255" s="74">
        <v>116</v>
      </c>
      <c r="T255" s="50">
        <v>0.2</v>
      </c>
      <c r="U255" s="74">
        <v>1.1299999999999999</v>
      </c>
      <c r="V255" s="50">
        <v>0.18</v>
      </c>
      <c r="W255" s="74">
        <v>4.9000000000000002E-2</v>
      </c>
      <c r="X255" s="50">
        <v>0.155</v>
      </c>
      <c r="Y255" s="74">
        <v>1.4999999999999999E-2</v>
      </c>
      <c r="AE255" s="50">
        <v>440</v>
      </c>
      <c r="AF255" s="113">
        <v>2.5000000000000001E-2</v>
      </c>
      <c r="AG255" s="54"/>
      <c r="AH255" s="54"/>
      <c r="AI255" s="113"/>
      <c r="AJ255" s="50"/>
      <c r="AK255" s="74"/>
      <c r="AL255" s="74"/>
      <c r="AM255" s="74"/>
      <c r="AN255" s="74"/>
      <c r="AO255" s="74"/>
      <c r="AP255" s="74"/>
      <c r="AQ255" s="74"/>
      <c r="AR255" s="74"/>
      <c r="AS255" s="74"/>
      <c r="AT255" s="74"/>
    </row>
    <row r="256" spans="1:46" ht="15" customHeight="1">
      <c r="A256" s="41" t="s">
        <v>36</v>
      </c>
      <c r="B256" s="50" t="s">
        <v>2820</v>
      </c>
      <c r="C256" s="50" t="s">
        <v>3992</v>
      </c>
      <c r="D256" s="48" t="s">
        <v>588</v>
      </c>
      <c r="F256" s="50" t="s">
        <v>2822</v>
      </c>
      <c r="G256" s="76" t="s">
        <v>2823</v>
      </c>
      <c r="H256" s="50">
        <v>9199</v>
      </c>
      <c r="I256" s="49" t="s">
        <v>2</v>
      </c>
      <c r="J256" s="50" t="s">
        <v>510</v>
      </c>
      <c r="K256" s="51">
        <v>41352</v>
      </c>
      <c r="L256" s="115">
        <v>41345</v>
      </c>
      <c r="M256" s="402">
        <f t="shared" si="14"/>
        <v>7</v>
      </c>
      <c r="N256" s="50" t="s">
        <v>2</v>
      </c>
      <c r="O256" s="131">
        <v>2.9</v>
      </c>
      <c r="P256" s="117">
        <v>6.5</v>
      </c>
      <c r="Q256" s="131">
        <v>6.93</v>
      </c>
      <c r="R256" s="50">
        <v>89</v>
      </c>
      <c r="S256" s="74">
        <v>180</v>
      </c>
      <c r="T256" s="50">
        <v>0.39</v>
      </c>
      <c r="U256" s="74">
        <v>1.48</v>
      </c>
      <c r="V256" s="50">
        <v>0.3</v>
      </c>
      <c r="W256" s="74">
        <v>7.2999999999999995E-2</v>
      </c>
      <c r="X256" s="50">
        <v>0.113</v>
      </c>
      <c r="Y256" s="74">
        <v>4.4999999999999998E-2</v>
      </c>
      <c r="Z256" s="164">
        <v>1</v>
      </c>
      <c r="AA256" s="165">
        <v>1</v>
      </c>
      <c r="AB256" s="50">
        <v>40</v>
      </c>
      <c r="AC256" s="74">
        <v>1426</v>
      </c>
      <c r="AD256" s="164">
        <v>1</v>
      </c>
      <c r="AE256" s="50">
        <v>550</v>
      </c>
      <c r="AF256" s="113">
        <v>0.01</v>
      </c>
      <c r="AG256" s="54"/>
      <c r="AH256" s="54"/>
      <c r="AI256" s="113"/>
      <c r="AJ256" s="50"/>
      <c r="AK256" s="74"/>
      <c r="AL256" s="74"/>
      <c r="AM256" s="74"/>
      <c r="AN256" s="74"/>
      <c r="AO256" s="74"/>
      <c r="AP256" s="74"/>
      <c r="AQ256" s="74"/>
      <c r="AR256" s="74"/>
      <c r="AS256" s="74"/>
      <c r="AT256" s="74"/>
    </row>
    <row r="257" spans="1:46" ht="15" customHeight="1">
      <c r="A257" s="41" t="s">
        <v>36</v>
      </c>
      <c r="B257" s="50" t="s">
        <v>2222</v>
      </c>
      <c r="C257" s="50" t="s">
        <v>2895</v>
      </c>
      <c r="D257" s="48" t="s">
        <v>372</v>
      </c>
      <c r="E257" s="50" t="s">
        <v>235</v>
      </c>
      <c r="F257" s="50" t="s">
        <v>2896</v>
      </c>
      <c r="G257" s="76" t="s">
        <v>2897</v>
      </c>
      <c r="H257" s="50">
        <v>919</v>
      </c>
      <c r="I257" s="49" t="s">
        <v>2</v>
      </c>
      <c r="J257" s="50" t="s">
        <v>3993</v>
      </c>
      <c r="K257" s="51">
        <v>41328</v>
      </c>
      <c r="L257" s="115"/>
      <c r="N257" s="50" t="s">
        <v>2</v>
      </c>
      <c r="O257" s="131">
        <f>2.5/2</f>
        <v>1.25</v>
      </c>
      <c r="P257" s="117">
        <v>6.97</v>
      </c>
      <c r="Q257" s="131">
        <v>6.45</v>
      </c>
      <c r="R257" s="50">
        <v>127</v>
      </c>
      <c r="S257" s="74">
        <v>144</v>
      </c>
      <c r="T257" s="50">
        <v>0.28000000000000003</v>
      </c>
      <c r="U257" s="74">
        <v>2.25</v>
      </c>
      <c r="V257" s="50">
        <v>17.7</v>
      </c>
      <c r="W257" s="74">
        <v>0.05</v>
      </c>
      <c r="X257" s="50">
        <v>0.08</v>
      </c>
      <c r="Y257" s="74">
        <v>0.2</v>
      </c>
      <c r="AE257" s="50">
        <v>623</v>
      </c>
      <c r="AF257" s="113">
        <v>0.03</v>
      </c>
      <c r="AG257" s="54"/>
      <c r="AH257" s="54"/>
      <c r="AI257" s="113"/>
      <c r="AJ257" s="50"/>
      <c r="AK257" s="74"/>
      <c r="AL257" s="74"/>
      <c r="AM257" s="74"/>
      <c r="AN257" s="74"/>
      <c r="AO257" s="74"/>
      <c r="AP257" s="74"/>
      <c r="AQ257" s="74"/>
      <c r="AR257" s="74"/>
      <c r="AS257" s="74"/>
      <c r="AT257" s="74"/>
    </row>
    <row r="258" spans="1:46" ht="14">
      <c r="A258" s="41" t="s">
        <v>36</v>
      </c>
      <c r="B258" s="50" t="s">
        <v>2222</v>
      </c>
      <c r="C258" s="50" t="s">
        <v>2895</v>
      </c>
      <c r="D258" s="48" t="s">
        <v>372</v>
      </c>
      <c r="E258" s="50" t="s">
        <v>235</v>
      </c>
      <c r="F258" s="50" t="s">
        <v>2896</v>
      </c>
      <c r="G258" s="76" t="s">
        <v>2897</v>
      </c>
      <c r="H258" s="50">
        <v>919</v>
      </c>
      <c r="I258" s="49" t="s">
        <v>2</v>
      </c>
      <c r="J258" s="50" t="s">
        <v>3994</v>
      </c>
      <c r="K258" s="51">
        <v>41328</v>
      </c>
      <c r="L258" s="115"/>
      <c r="N258" s="50" t="s">
        <v>2</v>
      </c>
      <c r="O258" s="131">
        <f>2.5/2</f>
        <v>1.25</v>
      </c>
      <c r="P258" s="117">
        <v>6.97</v>
      </c>
      <c r="Q258" s="131">
        <v>6.35</v>
      </c>
      <c r="R258" s="50">
        <v>276</v>
      </c>
      <c r="S258" s="74">
        <v>564</v>
      </c>
      <c r="T258" s="50">
        <v>0.43</v>
      </c>
      <c r="U258" s="74">
        <v>16</v>
      </c>
      <c r="V258" s="50">
        <v>17.3</v>
      </c>
      <c r="W258" s="74">
        <v>0.03</v>
      </c>
      <c r="X258" s="50">
        <v>0.06</v>
      </c>
      <c r="Y258" s="74">
        <v>6.5000000000000002E-2</v>
      </c>
      <c r="AE258" s="50">
        <v>2846</v>
      </c>
      <c r="AF258" s="113">
        <v>0.05</v>
      </c>
      <c r="AG258" s="54"/>
      <c r="AH258" s="54"/>
      <c r="AI258" s="113"/>
      <c r="AJ258" s="50"/>
      <c r="AK258" s="74"/>
      <c r="AL258" s="74"/>
      <c r="AM258" s="74"/>
      <c r="AN258" s="74"/>
      <c r="AO258" s="74"/>
      <c r="AP258" s="74"/>
      <c r="AQ258" s="74"/>
      <c r="AR258" s="74"/>
      <c r="AS258" s="74"/>
      <c r="AT258" s="74"/>
    </row>
    <row r="259" spans="1:46" ht="14">
      <c r="A259" s="41" t="s">
        <v>36</v>
      </c>
      <c r="B259" s="50" t="s">
        <v>3984</v>
      </c>
      <c r="C259" s="50" t="s">
        <v>3985</v>
      </c>
      <c r="D259" s="48" t="s">
        <v>2376</v>
      </c>
      <c r="E259" s="50" t="s">
        <v>3986</v>
      </c>
      <c r="G259" s="76" t="s">
        <v>3987</v>
      </c>
      <c r="H259" s="50">
        <v>9199</v>
      </c>
      <c r="I259" s="49" t="s">
        <v>2</v>
      </c>
      <c r="J259" s="50" t="s">
        <v>74</v>
      </c>
      <c r="K259" s="51">
        <v>41030</v>
      </c>
      <c r="L259" s="115">
        <v>41022</v>
      </c>
      <c r="M259" s="402">
        <f t="shared" ref="M259:M265" si="15">K259-L259</f>
        <v>8</v>
      </c>
      <c r="N259" s="50" t="s">
        <v>2</v>
      </c>
      <c r="O259" s="74">
        <v>10.3</v>
      </c>
      <c r="P259" s="117"/>
      <c r="Q259" s="131">
        <v>7.4</v>
      </c>
      <c r="R259" s="50">
        <v>104</v>
      </c>
      <c r="S259" s="74">
        <v>248</v>
      </c>
      <c r="T259" s="50">
        <v>0.47</v>
      </c>
      <c r="U259" s="74">
        <v>1.58</v>
      </c>
      <c r="V259" s="50">
        <v>0.2</v>
      </c>
      <c r="W259" s="74">
        <v>4.8000000000000001E-2</v>
      </c>
      <c r="X259" s="50">
        <v>9.2999999999999999E-2</v>
      </c>
      <c r="Y259" s="74">
        <v>1.4999999999999999E-2</v>
      </c>
      <c r="AE259" s="50">
        <v>17.5</v>
      </c>
      <c r="AF259" s="50">
        <v>2.5000000000000001E-2</v>
      </c>
      <c r="AG259" s="54"/>
      <c r="AH259" s="54"/>
      <c r="AI259" s="113"/>
      <c r="AJ259" s="50"/>
      <c r="AK259" s="74"/>
      <c r="AL259" s="74"/>
      <c r="AM259" s="74"/>
      <c r="AN259" s="74"/>
      <c r="AO259" s="74"/>
      <c r="AP259" s="74"/>
      <c r="AQ259" s="74"/>
      <c r="AR259" s="74"/>
      <c r="AS259" s="74"/>
      <c r="AT259" s="74"/>
    </row>
    <row r="260" spans="1:46" ht="14">
      <c r="A260" s="41" t="s">
        <v>36</v>
      </c>
      <c r="B260" s="50" t="s">
        <v>3984</v>
      </c>
      <c r="C260" s="50" t="s">
        <v>3988</v>
      </c>
      <c r="D260" s="48" t="s">
        <v>2376</v>
      </c>
      <c r="E260" s="50" t="s">
        <v>3986</v>
      </c>
      <c r="G260" s="76" t="s">
        <v>3987</v>
      </c>
      <c r="H260" s="50">
        <v>9199</v>
      </c>
      <c r="I260" s="49" t="s">
        <v>2</v>
      </c>
      <c r="J260" s="50" t="s">
        <v>75</v>
      </c>
      <c r="K260" s="51">
        <v>41030</v>
      </c>
      <c r="L260" s="115">
        <v>41022</v>
      </c>
      <c r="M260" s="402">
        <f t="shared" si="15"/>
        <v>8</v>
      </c>
      <c r="N260" s="50" t="s">
        <v>2</v>
      </c>
      <c r="O260" s="74">
        <v>2</v>
      </c>
      <c r="P260" s="117"/>
      <c r="Q260" s="131">
        <v>9.9</v>
      </c>
      <c r="R260" s="50">
        <v>14</v>
      </c>
      <c r="S260" s="74">
        <v>45</v>
      </c>
      <c r="T260" s="50">
        <v>0.22</v>
      </c>
      <c r="U260" s="74">
        <v>0.76</v>
      </c>
      <c r="V260" s="50">
        <v>0.23</v>
      </c>
      <c r="W260" s="74">
        <v>1.7999999999999999E-2</v>
      </c>
      <c r="X260" s="50">
        <v>1.4999999999999999E-2</v>
      </c>
      <c r="Y260" s="74">
        <v>1.4999999999999999E-2</v>
      </c>
      <c r="AE260" s="50">
        <v>6.3</v>
      </c>
      <c r="AF260" s="50">
        <v>2.5000000000000001E-2</v>
      </c>
      <c r="AG260" s="54"/>
      <c r="AH260" s="54"/>
      <c r="AI260" s="113"/>
      <c r="AJ260" s="50"/>
      <c r="AK260" s="74"/>
      <c r="AL260" s="74"/>
      <c r="AM260" s="74"/>
      <c r="AN260" s="74"/>
      <c r="AO260" s="74"/>
      <c r="AP260" s="74"/>
      <c r="AQ260" s="74"/>
      <c r="AR260" s="74"/>
      <c r="AS260" s="74"/>
      <c r="AT260" s="74"/>
    </row>
    <row r="261" spans="1:46" ht="14">
      <c r="A261" s="41" t="s">
        <v>36</v>
      </c>
      <c r="B261" s="50" t="s">
        <v>2690</v>
      </c>
      <c r="C261" s="50" t="s">
        <v>1482</v>
      </c>
      <c r="D261" s="48" t="s">
        <v>2691</v>
      </c>
      <c r="E261" s="50" t="s">
        <v>2692</v>
      </c>
      <c r="G261" s="76" t="s">
        <v>2693</v>
      </c>
      <c r="H261" s="50">
        <v>9199</v>
      </c>
      <c r="I261" s="49" t="s">
        <v>2</v>
      </c>
      <c r="J261" s="50" t="s">
        <v>2694</v>
      </c>
      <c r="K261" s="51">
        <v>41345</v>
      </c>
      <c r="L261" s="115">
        <v>41341</v>
      </c>
      <c r="M261" s="402">
        <f t="shared" si="15"/>
        <v>4</v>
      </c>
      <c r="N261" s="50" t="s">
        <v>2</v>
      </c>
      <c r="O261" s="74">
        <v>1.6</v>
      </c>
      <c r="P261" s="117">
        <v>4.96</v>
      </c>
      <c r="Q261" s="131">
        <v>7.09</v>
      </c>
      <c r="R261" s="50">
        <v>172</v>
      </c>
      <c r="S261" s="74">
        <v>93</v>
      </c>
      <c r="T261" s="50">
        <v>0.1</v>
      </c>
      <c r="U261" s="74">
        <v>0.61</v>
      </c>
      <c r="V261" s="50">
        <v>1.05</v>
      </c>
      <c r="W261" s="74">
        <v>0.01</v>
      </c>
      <c r="X261" s="50">
        <v>6.0999999999999999E-2</v>
      </c>
      <c r="Y261" s="74">
        <v>4.0000000000000001E-3</v>
      </c>
      <c r="Z261" s="164">
        <v>1</v>
      </c>
      <c r="AA261" s="165">
        <v>1</v>
      </c>
      <c r="AB261" s="50">
        <v>106</v>
      </c>
      <c r="AC261" s="74">
        <v>4340</v>
      </c>
      <c r="AD261" s="164">
        <v>1</v>
      </c>
      <c r="AE261" s="50">
        <v>1370</v>
      </c>
      <c r="AF261" s="50">
        <v>0.02</v>
      </c>
      <c r="AG261" s="54"/>
      <c r="AH261" s="54"/>
      <c r="AI261" s="113"/>
      <c r="AJ261" s="50"/>
      <c r="AK261" s="74"/>
      <c r="AL261" s="74"/>
      <c r="AM261" s="74"/>
      <c r="AN261" s="74"/>
      <c r="AO261" s="74"/>
      <c r="AP261" s="74"/>
      <c r="AQ261" s="74"/>
      <c r="AR261" s="74"/>
      <c r="AS261" s="74"/>
      <c r="AT261" s="74"/>
    </row>
    <row r="262" spans="1:46" ht="14">
      <c r="A262" s="41" t="s">
        <v>36</v>
      </c>
      <c r="B262" s="50" t="s">
        <v>2690</v>
      </c>
      <c r="C262" s="50" t="s">
        <v>1482</v>
      </c>
      <c r="D262" s="48" t="s">
        <v>2691</v>
      </c>
      <c r="E262" s="50" t="s">
        <v>2692</v>
      </c>
      <c r="G262" s="76" t="s">
        <v>2693</v>
      </c>
      <c r="H262" s="50">
        <v>9199</v>
      </c>
      <c r="I262" s="49" t="s">
        <v>2</v>
      </c>
      <c r="J262" s="50" t="s">
        <v>1207</v>
      </c>
      <c r="K262" s="51">
        <v>41345</v>
      </c>
      <c r="L262" s="115">
        <v>41341</v>
      </c>
      <c r="M262" s="402">
        <f t="shared" si="15"/>
        <v>4</v>
      </c>
      <c r="N262" s="50" t="s">
        <v>2</v>
      </c>
      <c r="O262" s="74">
        <v>2.2000000000000002</v>
      </c>
      <c r="P262" s="117">
        <v>4.96</v>
      </c>
      <c r="Q262" s="131">
        <v>7.26</v>
      </c>
      <c r="R262" s="50">
        <v>43</v>
      </c>
      <c r="S262" s="74">
        <v>130</v>
      </c>
      <c r="T262" s="50">
        <v>0.19</v>
      </c>
      <c r="U262" s="74">
        <v>0.72</v>
      </c>
      <c r="V262" s="50">
        <v>0.68</v>
      </c>
      <c r="W262" s="74">
        <v>1.6E-2</v>
      </c>
      <c r="X262" s="50">
        <v>8.4000000000000005E-2</v>
      </c>
      <c r="Y262" s="74">
        <v>4.0000000000000001E-3</v>
      </c>
      <c r="Z262" s="164">
        <v>1</v>
      </c>
      <c r="AA262" s="165">
        <v>1</v>
      </c>
      <c r="AB262" s="50">
        <v>22</v>
      </c>
      <c r="AC262" s="74">
        <v>803</v>
      </c>
      <c r="AD262" s="164">
        <v>1</v>
      </c>
      <c r="AG262" s="54"/>
      <c r="AH262" s="54"/>
      <c r="AI262" s="113"/>
      <c r="AJ262" s="50"/>
      <c r="AK262" s="74"/>
      <c r="AL262" s="74"/>
      <c r="AM262" s="74"/>
      <c r="AN262" s="74"/>
      <c r="AO262" s="74"/>
      <c r="AP262" s="74"/>
      <c r="AQ262" s="74"/>
      <c r="AR262" s="74"/>
      <c r="AS262" s="74"/>
      <c r="AT262" s="74"/>
    </row>
    <row r="263" spans="1:46" ht="14">
      <c r="A263" s="41" t="s">
        <v>36</v>
      </c>
      <c r="B263" s="50" t="s">
        <v>3996</v>
      </c>
      <c r="C263" s="50" t="s">
        <v>3997</v>
      </c>
      <c r="D263" s="48" t="s">
        <v>756</v>
      </c>
      <c r="E263" s="50" t="s">
        <v>3998</v>
      </c>
      <c r="F263" s="50" t="s">
        <v>3999</v>
      </c>
      <c r="G263" s="76" t="s">
        <v>4000</v>
      </c>
      <c r="H263" s="50">
        <v>9199</v>
      </c>
      <c r="I263" s="49" t="s">
        <v>1</v>
      </c>
      <c r="J263" s="50" t="s">
        <v>840</v>
      </c>
      <c r="K263" s="51">
        <v>40835</v>
      </c>
      <c r="L263" s="115">
        <v>40830</v>
      </c>
      <c r="M263" s="402">
        <f t="shared" si="15"/>
        <v>5</v>
      </c>
      <c r="N263" s="50" t="s">
        <v>2</v>
      </c>
      <c r="O263" s="74">
        <v>2.8</v>
      </c>
      <c r="P263" s="117">
        <v>4.82</v>
      </c>
      <c r="Q263" s="131">
        <v>7.1</v>
      </c>
      <c r="R263" s="50">
        <v>28</v>
      </c>
      <c r="S263" s="74">
        <v>62</v>
      </c>
      <c r="T263" s="50">
        <v>0.23</v>
      </c>
      <c r="U263" s="74">
        <v>1.65</v>
      </c>
      <c r="V263" s="50">
        <v>0.7</v>
      </c>
      <c r="W263" s="74">
        <v>2.1999999999999999E-2</v>
      </c>
      <c r="X263" s="50">
        <v>5.7000000000000002E-2</v>
      </c>
      <c r="Y263" s="74">
        <v>1.4999999999999999E-2</v>
      </c>
      <c r="Z263" s="164">
        <v>1</v>
      </c>
      <c r="AA263" s="165">
        <v>1</v>
      </c>
      <c r="AB263" s="50">
        <v>16</v>
      </c>
      <c r="AC263" s="74">
        <v>77</v>
      </c>
      <c r="AD263" s="164">
        <v>0.75</v>
      </c>
      <c r="AE263" s="50">
        <v>12.8</v>
      </c>
      <c r="AF263" s="50">
        <v>2.5000000000000001E-2</v>
      </c>
      <c r="AG263" s="54"/>
      <c r="AH263" s="54"/>
      <c r="AI263" s="113"/>
      <c r="AJ263" s="50"/>
      <c r="AK263" s="74"/>
      <c r="AL263" s="74"/>
      <c r="AM263" s="74"/>
      <c r="AN263" s="74"/>
      <c r="AO263" s="74"/>
      <c r="AP263" s="74"/>
      <c r="AQ263" s="74"/>
      <c r="AR263" s="74"/>
      <c r="AS263" s="74"/>
      <c r="AT263" s="74"/>
    </row>
    <row r="264" spans="1:46" ht="14">
      <c r="A264" s="41" t="s">
        <v>36</v>
      </c>
      <c r="B264" s="50" t="s">
        <v>3996</v>
      </c>
      <c r="C264" s="50" t="s">
        <v>4001</v>
      </c>
      <c r="D264" s="48" t="s">
        <v>756</v>
      </c>
      <c r="E264" s="50" t="s">
        <v>3998</v>
      </c>
      <c r="F264" s="50" t="s">
        <v>3999</v>
      </c>
      <c r="G264" s="76" t="s">
        <v>4000</v>
      </c>
      <c r="H264" s="50">
        <v>9199</v>
      </c>
      <c r="I264" s="49" t="s">
        <v>1</v>
      </c>
      <c r="J264" s="50" t="s">
        <v>840</v>
      </c>
      <c r="K264" s="51">
        <v>41030</v>
      </c>
      <c r="L264" s="115">
        <v>41022</v>
      </c>
      <c r="M264" s="402">
        <f t="shared" si="15"/>
        <v>8</v>
      </c>
      <c r="N264" s="50" t="s">
        <v>2</v>
      </c>
      <c r="O264" s="74">
        <v>5.8</v>
      </c>
      <c r="P264" s="117">
        <v>4.32</v>
      </c>
      <c r="Q264" s="131">
        <v>6.7</v>
      </c>
      <c r="R264" s="50">
        <v>123</v>
      </c>
      <c r="S264" s="74">
        <v>128</v>
      </c>
      <c r="T264" s="50">
        <v>0.25</v>
      </c>
      <c r="U264" s="74">
        <v>2.97</v>
      </c>
      <c r="V264" s="50">
        <v>1.24</v>
      </c>
      <c r="W264" s="74">
        <v>5.1999999999999998E-2</v>
      </c>
      <c r="X264" s="50">
        <v>0.11799999999999999</v>
      </c>
      <c r="Y264" s="74">
        <v>1.4999999999999999E-2</v>
      </c>
      <c r="AE264" s="50">
        <v>18.8</v>
      </c>
      <c r="AF264" s="50">
        <v>2.5000000000000001E-2</v>
      </c>
      <c r="AG264" s="54"/>
      <c r="AH264" s="54"/>
      <c r="AI264" s="113"/>
      <c r="AJ264" s="50"/>
      <c r="AK264" s="74"/>
      <c r="AL264" s="74"/>
      <c r="AM264" s="74"/>
      <c r="AN264" s="74"/>
      <c r="AO264" s="74"/>
      <c r="AP264" s="74"/>
      <c r="AQ264" s="74"/>
      <c r="AR264" s="74"/>
      <c r="AS264" s="74"/>
      <c r="AT264" s="74"/>
    </row>
    <row r="265" spans="1:46" ht="14">
      <c r="A265" s="41" t="s">
        <v>36</v>
      </c>
      <c r="B265" s="50" t="s">
        <v>3996</v>
      </c>
      <c r="C265" s="50" t="s">
        <v>4002</v>
      </c>
      <c r="D265" s="48" t="s">
        <v>756</v>
      </c>
      <c r="E265" s="50" t="s">
        <v>3998</v>
      </c>
      <c r="F265" s="50" t="s">
        <v>3999</v>
      </c>
      <c r="G265" s="76" t="s">
        <v>4000</v>
      </c>
      <c r="H265" s="50">
        <v>9199</v>
      </c>
      <c r="I265" s="49" t="s">
        <v>1</v>
      </c>
      <c r="J265" s="50" t="s">
        <v>840</v>
      </c>
      <c r="K265" s="51">
        <v>41184</v>
      </c>
      <c r="L265" s="115">
        <v>41180</v>
      </c>
      <c r="M265" s="402">
        <f t="shared" si="15"/>
        <v>4</v>
      </c>
      <c r="N265" s="50" t="s">
        <v>2</v>
      </c>
      <c r="O265" s="74">
        <v>10.8</v>
      </c>
      <c r="P265" s="117">
        <v>4.0999999999999996</v>
      </c>
      <c r="Q265" s="131">
        <v>6.6</v>
      </c>
      <c r="R265" s="50">
        <v>99</v>
      </c>
      <c r="S265" s="74">
        <v>218</v>
      </c>
      <c r="T265" s="50">
        <v>0.28000000000000003</v>
      </c>
      <c r="U265" s="74">
        <v>1.69</v>
      </c>
      <c r="V265" s="50">
        <v>0.36</v>
      </c>
      <c r="W265" s="74">
        <v>3.2000000000000001E-2</v>
      </c>
      <c r="X265" s="50">
        <v>0.09</v>
      </c>
      <c r="Y265" s="74">
        <v>1.4999999999999999E-2</v>
      </c>
      <c r="Z265" s="164">
        <v>1</v>
      </c>
      <c r="AA265" s="165">
        <v>1</v>
      </c>
      <c r="AB265" s="50">
        <v>31</v>
      </c>
      <c r="AC265" s="74">
        <v>74</v>
      </c>
      <c r="AD265" s="164">
        <v>0.95</v>
      </c>
      <c r="AE265" s="50">
        <v>8.6</v>
      </c>
      <c r="AF265" s="50">
        <v>2.5000000000000001E-2</v>
      </c>
      <c r="AG265" s="54"/>
      <c r="AH265" s="54"/>
      <c r="AI265" s="113"/>
      <c r="AJ265" s="50"/>
      <c r="AK265" s="74"/>
      <c r="AL265" s="74"/>
      <c r="AM265" s="74"/>
      <c r="AN265" s="74"/>
      <c r="AO265" s="74"/>
      <c r="AP265" s="74"/>
      <c r="AQ265" s="74"/>
      <c r="AR265" s="74"/>
      <c r="AS265" s="74"/>
      <c r="AT265" s="74"/>
    </row>
    <row r="266" spans="1:46" ht="14">
      <c r="A266" s="41" t="s">
        <v>36</v>
      </c>
      <c r="B266" s="50" t="s">
        <v>3168</v>
      </c>
      <c r="C266" s="50" t="s">
        <v>4003</v>
      </c>
      <c r="D266" s="48" t="s">
        <v>559</v>
      </c>
      <c r="E266" s="50" t="s">
        <v>2423</v>
      </c>
      <c r="F266" s="50" t="s">
        <v>3170</v>
      </c>
      <c r="G266" s="76" t="s">
        <v>5079</v>
      </c>
      <c r="H266" s="50">
        <v>9199</v>
      </c>
      <c r="I266" s="49" t="s">
        <v>2</v>
      </c>
      <c r="J266" s="50" t="s">
        <v>81</v>
      </c>
      <c r="K266" s="51">
        <v>41345</v>
      </c>
      <c r="L266" s="115"/>
      <c r="N266" s="50" t="s">
        <v>2</v>
      </c>
      <c r="O266" s="74">
        <v>5.26</v>
      </c>
      <c r="P266" s="117">
        <v>7.57</v>
      </c>
      <c r="Q266" s="131">
        <v>6.4</v>
      </c>
      <c r="R266" s="50">
        <v>1734</v>
      </c>
      <c r="S266" s="74">
        <v>23</v>
      </c>
      <c r="T266" s="50">
        <v>2.5000000000000001E-2</v>
      </c>
      <c r="U266" s="74">
        <v>0.53</v>
      </c>
      <c r="V266" s="50">
        <v>22</v>
      </c>
      <c r="W266" s="74">
        <v>0.02</v>
      </c>
      <c r="X266" s="50">
        <v>0.43</v>
      </c>
      <c r="Y266" s="74">
        <v>2E-3</v>
      </c>
      <c r="Z266" s="164">
        <v>1</v>
      </c>
      <c r="AA266" s="165">
        <v>1</v>
      </c>
      <c r="AB266" s="50">
        <v>220</v>
      </c>
      <c r="AC266" s="74">
        <v>1397</v>
      </c>
      <c r="AD266" s="164">
        <v>1</v>
      </c>
      <c r="AE266" s="50">
        <v>5198</v>
      </c>
      <c r="AF266" s="50">
        <v>5.0000000000000001E-3</v>
      </c>
      <c r="AG266" s="54"/>
      <c r="AH266" s="54"/>
      <c r="AI266" s="113"/>
      <c r="AJ266" s="50"/>
      <c r="AK266" s="74"/>
      <c r="AL266" s="74"/>
      <c r="AM266" s="74"/>
      <c r="AN266" s="74"/>
      <c r="AO266" s="74"/>
      <c r="AP266" s="74"/>
      <c r="AQ266" s="74"/>
      <c r="AR266" s="74"/>
      <c r="AS266" s="74"/>
      <c r="AT266" s="74"/>
    </row>
    <row r="267" spans="1:46" ht="14">
      <c r="A267" s="41" t="s">
        <v>36</v>
      </c>
      <c r="B267" s="50" t="s">
        <v>4004</v>
      </c>
      <c r="C267" s="50" t="s">
        <v>4005</v>
      </c>
      <c r="D267" s="48" t="s">
        <v>205</v>
      </c>
      <c r="E267" s="50" t="s">
        <v>4006</v>
      </c>
      <c r="F267" s="50" t="s">
        <v>4007</v>
      </c>
      <c r="G267" s="76" t="s">
        <v>4008</v>
      </c>
      <c r="H267" s="50">
        <v>9199</v>
      </c>
      <c r="I267" s="49" t="s">
        <v>1</v>
      </c>
      <c r="J267" s="50" t="s">
        <v>840</v>
      </c>
      <c r="K267" s="51">
        <v>41352</v>
      </c>
      <c r="L267" s="115">
        <v>41346</v>
      </c>
      <c r="M267" s="402">
        <f t="shared" ref="M267:M285" si="16">K267-L267</f>
        <v>6</v>
      </c>
      <c r="N267" s="50" t="s">
        <v>1</v>
      </c>
      <c r="O267" s="74">
        <v>7</v>
      </c>
      <c r="P267" s="117">
        <v>5</v>
      </c>
      <c r="Q267" s="131">
        <v>6.8</v>
      </c>
      <c r="R267" s="50">
        <v>140</v>
      </c>
      <c r="S267" s="74">
        <v>57</v>
      </c>
      <c r="T267" s="50">
        <v>0.13</v>
      </c>
      <c r="U267" s="74">
        <v>1.1000000000000001</v>
      </c>
      <c r="V267" s="50">
        <v>1.2</v>
      </c>
      <c r="W267" s="74">
        <v>1.4E-2</v>
      </c>
      <c r="X267" s="50">
        <v>8.4000000000000005E-2</v>
      </c>
      <c r="Y267" s="74">
        <v>6.7000000000000002E-3</v>
      </c>
      <c r="Z267" s="164">
        <v>0.34200000000000003</v>
      </c>
      <c r="AA267" s="165">
        <v>0.26</v>
      </c>
      <c r="AB267" s="50">
        <v>256</v>
      </c>
      <c r="AC267" s="74">
        <v>27400</v>
      </c>
      <c r="AD267" s="164">
        <v>0</v>
      </c>
      <c r="AG267" s="54"/>
      <c r="AH267" s="54"/>
      <c r="AI267" s="113"/>
      <c r="AJ267" s="50"/>
      <c r="AK267" s="74"/>
      <c r="AL267" s="74"/>
      <c r="AM267" s="74"/>
      <c r="AN267" s="74"/>
      <c r="AO267" s="74"/>
      <c r="AP267" s="74"/>
      <c r="AQ267" s="74"/>
      <c r="AR267" s="74"/>
      <c r="AS267" s="74"/>
      <c r="AT267" s="74"/>
    </row>
    <row r="268" spans="1:46" ht="14">
      <c r="A268" s="41" t="s">
        <v>36</v>
      </c>
      <c r="B268" s="50" t="s">
        <v>4004</v>
      </c>
      <c r="C268" s="50" t="s">
        <v>4005</v>
      </c>
      <c r="D268" s="48" t="s">
        <v>205</v>
      </c>
      <c r="E268" s="50" t="s">
        <v>4006</v>
      </c>
      <c r="F268" s="50" t="s">
        <v>4007</v>
      </c>
      <c r="G268" s="76" t="s">
        <v>4008</v>
      </c>
      <c r="H268" s="50">
        <v>9199</v>
      </c>
      <c r="I268" s="49" t="s">
        <v>1</v>
      </c>
      <c r="J268" s="50" t="s">
        <v>2826</v>
      </c>
      <c r="K268" s="51">
        <v>41352</v>
      </c>
      <c r="L268" s="115">
        <v>41346</v>
      </c>
      <c r="M268" s="402">
        <f t="shared" si="16"/>
        <v>6</v>
      </c>
      <c r="N268" s="50" t="s">
        <v>1</v>
      </c>
      <c r="O268" s="74" t="s">
        <v>955</v>
      </c>
      <c r="P268" s="117">
        <v>5</v>
      </c>
      <c r="Q268" s="131">
        <v>7.5</v>
      </c>
      <c r="R268" s="50">
        <v>470</v>
      </c>
      <c r="S268" s="74">
        <v>200</v>
      </c>
      <c r="T268" s="50">
        <v>0.12</v>
      </c>
      <c r="U268" s="74">
        <v>1.1000000000000001</v>
      </c>
      <c r="V268" s="50">
        <v>0.79</v>
      </c>
      <c r="W268" s="74">
        <v>3.5000000000000003E-2</v>
      </c>
      <c r="X268" s="50">
        <v>6.3E-2</v>
      </c>
      <c r="Y268" s="74">
        <v>1.4E-2</v>
      </c>
      <c r="Z268" s="164">
        <v>0.33</v>
      </c>
      <c r="AA268" s="165">
        <v>0.13500000000000001</v>
      </c>
      <c r="AB268" s="50">
        <v>1000</v>
      </c>
      <c r="AC268" s="74">
        <v>27400</v>
      </c>
      <c r="AD268" s="164">
        <v>0</v>
      </c>
      <c r="AG268" s="54"/>
      <c r="AH268" s="54"/>
      <c r="AI268" s="113"/>
      <c r="AJ268" s="50"/>
      <c r="AK268" s="74"/>
      <c r="AL268" s="74"/>
      <c r="AM268" s="74"/>
      <c r="AN268" s="74"/>
      <c r="AO268" s="74"/>
      <c r="AP268" s="74"/>
      <c r="AQ268" s="74"/>
      <c r="AR268" s="74"/>
      <c r="AS268" s="74"/>
      <c r="AT268" s="74"/>
    </row>
    <row r="269" spans="1:46" ht="14">
      <c r="A269" s="41" t="s">
        <v>36</v>
      </c>
      <c r="B269" s="50" t="s">
        <v>4004</v>
      </c>
      <c r="C269" s="50" t="s">
        <v>4005</v>
      </c>
      <c r="D269" s="48" t="s">
        <v>205</v>
      </c>
      <c r="E269" s="50" t="s">
        <v>4006</v>
      </c>
      <c r="F269" s="50" t="s">
        <v>4007</v>
      </c>
      <c r="G269" s="76" t="s">
        <v>4008</v>
      </c>
      <c r="H269" s="50">
        <v>9199</v>
      </c>
      <c r="I269" s="49" t="s">
        <v>1</v>
      </c>
      <c r="J269" s="50" t="s">
        <v>937</v>
      </c>
      <c r="K269" s="51">
        <v>41352</v>
      </c>
      <c r="L269" s="115">
        <v>41346</v>
      </c>
      <c r="M269" s="402">
        <f t="shared" si="16"/>
        <v>6</v>
      </c>
      <c r="N269" s="50" t="s">
        <v>1</v>
      </c>
      <c r="O269" s="74">
        <v>1.3</v>
      </c>
      <c r="P269" s="117">
        <v>5</v>
      </c>
      <c r="Q269" s="131">
        <v>7.5</v>
      </c>
      <c r="R269" s="50">
        <v>550</v>
      </c>
      <c r="S269" s="74">
        <v>48</v>
      </c>
      <c r="T269" s="50">
        <v>3.1E-2</v>
      </c>
      <c r="U269" s="74">
        <v>0.52</v>
      </c>
      <c r="V269" s="50" t="s">
        <v>955</v>
      </c>
      <c r="W269" s="74">
        <v>1.0999999999999999E-2</v>
      </c>
      <c r="X269" s="50">
        <v>1.0999999999999999E-2</v>
      </c>
      <c r="Y269" s="74">
        <v>9.4000000000000004E-3</v>
      </c>
      <c r="Z269" s="164">
        <v>0.35499999999999998</v>
      </c>
      <c r="AA269" s="165">
        <v>0.14399999999999999</v>
      </c>
      <c r="AB269" s="50">
        <v>114</v>
      </c>
      <c r="AC269" s="74">
        <v>32000</v>
      </c>
      <c r="AD269" s="164">
        <v>0</v>
      </c>
      <c r="AE269" s="50">
        <v>12000</v>
      </c>
      <c r="AF269" s="50">
        <v>6.7000000000000004E-2</v>
      </c>
      <c r="AG269" s="54"/>
      <c r="AH269" s="54"/>
      <c r="AI269" s="113"/>
      <c r="AJ269" s="50"/>
      <c r="AK269" s="74"/>
      <c r="AL269" s="74"/>
      <c r="AM269" s="74"/>
      <c r="AN269" s="74"/>
      <c r="AO269" s="74"/>
      <c r="AP269" s="74"/>
      <c r="AQ269" s="74"/>
      <c r="AR269" s="74"/>
      <c r="AS269" s="74"/>
      <c r="AT269" s="74"/>
    </row>
    <row r="270" spans="1:46" ht="14">
      <c r="A270" s="41" t="s">
        <v>36</v>
      </c>
      <c r="B270" s="50" t="s">
        <v>2684</v>
      </c>
      <c r="C270" s="50" t="s">
        <v>2685</v>
      </c>
      <c r="D270" s="48" t="s">
        <v>836</v>
      </c>
      <c r="E270" s="50" t="s">
        <v>364</v>
      </c>
      <c r="G270" s="76" t="s">
        <v>2686</v>
      </c>
      <c r="H270" s="50">
        <v>9199</v>
      </c>
      <c r="I270" s="49" t="s">
        <v>2</v>
      </c>
      <c r="J270" s="50" t="s">
        <v>2687</v>
      </c>
      <c r="K270" s="51">
        <v>41374</v>
      </c>
      <c r="L270" s="115">
        <v>41364</v>
      </c>
      <c r="M270" s="402">
        <f t="shared" si="16"/>
        <v>10</v>
      </c>
      <c r="N270" s="50" t="s">
        <v>2</v>
      </c>
      <c r="O270" s="74">
        <v>0.7</v>
      </c>
      <c r="P270" s="117">
        <v>5.78</v>
      </c>
      <c r="Q270" s="131">
        <v>5.17</v>
      </c>
      <c r="R270" s="50">
        <v>5</v>
      </c>
      <c r="S270" s="74">
        <v>2.5</v>
      </c>
      <c r="T270" s="50">
        <v>0.02</v>
      </c>
      <c r="U270" s="74">
        <v>0.48</v>
      </c>
      <c r="V270" s="50">
        <v>0.2</v>
      </c>
      <c r="W270" s="74">
        <v>2.5000000000000001E-3</v>
      </c>
      <c r="X270" s="50">
        <v>5.2999999999999999E-2</v>
      </c>
      <c r="Y270" s="74">
        <v>1E-3</v>
      </c>
      <c r="Z270" s="164">
        <v>0.72</v>
      </c>
      <c r="AA270" s="165">
        <v>0.63900000000000001</v>
      </c>
      <c r="AB270" s="50">
        <v>1</v>
      </c>
      <c r="AC270" s="74">
        <v>5</v>
      </c>
      <c r="AD270" s="164">
        <v>0</v>
      </c>
      <c r="AE270" s="50">
        <v>1</v>
      </c>
      <c r="AF270" s="50">
        <v>5.0000000000000001E-3</v>
      </c>
      <c r="AG270" s="54"/>
      <c r="AH270" s="54"/>
      <c r="AI270" s="113"/>
      <c r="AJ270" s="50"/>
      <c r="AK270" s="74"/>
      <c r="AL270" s="74"/>
      <c r="AM270" s="74"/>
      <c r="AN270" s="74"/>
      <c r="AO270" s="74"/>
      <c r="AP270" s="74"/>
      <c r="AQ270" s="74"/>
      <c r="AR270" s="74"/>
      <c r="AS270" s="74"/>
      <c r="AT270" s="74"/>
    </row>
    <row r="271" spans="1:46" ht="14">
      <c r="A271" s="41" t="s">
        <v>36</v>
      </c>
      <c r="B271" s="50" t="s">
        <v>2747</v>
      </c>
      <c r="C271" s="50" t="s">
        <v>393</v>
      </c>
      <c r="D271" s="48" t="s">
        <v>1505</v>
      </c>
      <c r="E271" s="50" t="s">
        <v>4009</v>
      </c>
      <c r="G271" s="76" t="s">
        <v>2748</v>
      </c>
      <c r="H271" s="50">
        <v>9199</v>
      </c>
      <c r="I271" s="49" t="s">
        <v>2</v>
      </c>
      <c r="J271" s="50" t="s">
        <v>2749</v>
      </c>
      <c r="K271" s="51">
        <v>41374</v>
      </c>
      <c r="L271" s="115">
        <v>41365</v>
      </c>
      <c r="M271" s="402">
        <f t="shared" si="16"/>
        <v>9</v>
      </c>
      <c r="N271" s="50" t="s">
        <v>2</v>
      </c>
      <c r="O271" s="74">
        <v>0.7</v>
      </c>
      <c r="P271" s="117"/>
      <c r="Q271" s="131">
        <v>7.44</v>
      </c>
      <c r="R271" s="50">
        <v>5</v>
      </c>
      <c r="S271" s="74">
        <v>19</v>
      </c>
      <c r="T271" s="50">
        <v>0.09</v>
      </c>
      <c r="U271" s="74">
        <v>0.6</v>
      </c>
      <c r="V271" s="50">
        <v>1.69</v>
      </c>
      <c r="W271" s="74">
        <v>8.0000000000000002E-3</v>
      </c>
      <c r="X271" s="50">
        <v>3.5999999999999997E-2</v>
      </c>
      <c r="Y271" s="74">
        <v>2E-3</v>
      </c>
      <c r="Z271" s="164">
        <v>1</v>
      </c>
      <c r="AA271" s="165">
        <v>1</v>
      </c>
      <c r="AB271" s="50">
        <v>68</v>
      </c>
      <c r="AC271" s="74">
        <v>969</v>
      </c>
      <c r="AD271" s="164">
        <v>1</v>
      </c>
      <c r="AE271" s="50">
        <v>252</v>
      </c>
      <c r="AF271" s="50">
        <v>5.0000000000000001E-3</v>
      </c>
      <c r="AG271" s="54"/>
      <c r="AH271" s="54"/>
      <c r="AI271" s="113"/>
      <c r="AJ271" s="50"/>
      <c r="AK271" s="74"/>
      <c r="AL271" s="74"/>
      <c r="AM271" s="74"/>
      <c r="AN271" s="74"/>
      <c r="AO271" s="74"/>
      <c r="AP271" s="74"/>
      <c r="AQ271" s="74"/>
      <c r="AR271" s="74"/>
      <c r="AS271" s="74"/>
      <c r="AT271" s="74"/>
    </row>
    <row r="272" spans="1:46" ht="14">
      <c r="A272" s="41" t="s">
        <v>36</v>
      </c>
      <c r="B272" s="50" t="s">
        <v>2617</v>
      </c>
      <c r="C272" s="50" t="s">
        <v>2660</v>
      </c>
      <c r="D272" s="48" t="s">
        <v>1569</v>
      </c>
      <c r="E272" s="50" t="s">
        <v>1601</v>
      </c>
      <c r="G272" s="76" t="s">
        <v>2872</v>
      </c>
      <c r="H272" s="50">
        <v>9199</v>
      </c>
      <c r="I272" s="49" t="s">
        <v>2</v>
      </c>
      <c r="J272" s="50" t="s">
        <v>2873</v>
      </c>
      <c r="K272" s="51">
        <v>41345</v>
      </c>
      <c r="L272" s="115">
        <v>41341</v>
      </c>
      <c r="M272" s="402">
        <f t="shared" si="16"/>
        <v>4</v>
      </c>
      <c r="N272" s="50" t="s">
        <v>2</v>
      </c>
      <c r="O272" s="74">
        <v>3.3</v>
      </c>
      <c r="P272" s="117"/>
      <c r="Q272" s="131">
        <v>6.59</v>
      </c>
      <c r="R272" s="50">
        <v>336</v>
      </c>
      <c r="S272" s="74">
        <v>190</v>
      </c>
      <c r="T272" s="50">
        <v>0.25</v>
      </c>
      <c r="U272" s="74">
        <v>1.72</v>
      </c>
      <c r="V272" s="50">
        <v>0.12</v>
      </c>
      <c r="W272" s="74">
        <v>3.4000000000000002E-2</v>
      </c>
      <c r="X272" s="50">
        <v>0.184</v>
      </c>
      <c r="Y272" s="74">
        <v>1.9E-2</v>
      </c>
      <c r="Z272" s="164">
        <v>0.42</v>
      </c>
      <c r="AA272" s="165">
        <v>0.34200000000000003</v>
      </c>
      <c r="AB272" s="50">
        <v>700</v>
      </c>
      <c r="AC272" s="74">
        <v>15380</v>
      </c>
      <c r="AD272" s="164">
        <v>0</v>
      </c>
      <c r="AE272" s="50">
        <v>5990</v>
      </c>
      <c r="AF272" s="50">
        <v>1.6E-2</v>
      </c>
      <c r="AG272" s="54"/>
      <c r="AH272" s="54"/>
      <c r="AI272" s="113"/>
      <c r="AJ272" s="50"/>
      <c r="AK272" s="74"/>
      <c r="AL272" s="74"/>
      <c r="AM272" s="74"/>
      <c r="AN272" s="74"/>
      <c r="AO272" s="74"/>
      <c r="AP272" s="74"/>
      <c r="AQ272" s="74"/>
      <c r="AR272" s="74"/>
      <c r="AS272" s="74"/>
      <c r="AT272" s="74"/>
    </row>
    <row r="273" spans="1:47" ht="14">
      <c r="A273" s="41" t="s">
        <v>36</v>
      </c>
      <c r="B273" s="50" t="s">
        <v>232</v>
      </c>
      <c r="C273" s="50" t="s">
        <v>2660</v>
      </c>
      <c r="D273" s="48" t="s">
        <v>234</v>
      </c>
      <c r="E273" s="50" t="s">
        <v>4010</v>
      </c>
      <c r="G273" s="76" t="s">
        <v>244</v>
      </c>
      <c r="H273" s="50">
        <v>4212</v>
      </c>
      <c r="I273" s="49" t="s">
        <v>1</v>
      </c>
      <c r="J273" s="50" t="s">
        <v>2661</v>
      </c>
      <c r="K273" s="51">
        <v>41345</v>
      </c>
      <c r="L273" s="115">
        <v>41341</v>
      </c>
      <c r="M273" s="402">
        <f t="shared" si="16"/>
        <v>4</v>
      </c>
      <c r="N273" s="50" t="s">
        <v>2</v>
      </c>
      <c r="O273" s="74">
        <v>7.2</v>
      </c>
      <c r="P273" s="117">
        <v>6.29</v>
      </c>
      <c r="Q273" s="131">
        <v>7.04</v>
      </c>
      <c r="R273" s="50">
        <v>208</v>
      </c>
      <c r="S273" s="74">
        <v>372</v>
      </c>
      <c r="T273" s="50">
        <v>0.63</v>
      </c>
      <c r="U273" s="74">
        <v>4.1500000000000004</v>
      </c>
      <c r="V273" s="50">
        <v>0.36</v>
      </c>
      <c r="W273" s="74">
        <v>0.1</v>
      </c>
      <c r="X273" s="50">
        <v>0.23</v>
      </c>
      <c r="Y273" s="74">
        <v>0.04</v>
      </c>
      <c r="AG273" s="54"/>
      <c r="AH273" s="54"/>
      <c r="AI273" s="113"/>
      <c r="AJ273" s="50"/>
      <c r="AK273" s="74"/>
      <c r="AL273" s="74"/>
      <c r="AM273" s="74"/>
      <c r="AN273" s="74"/>
      <c r="AO273" s="74"/>
      <c r="AP273" s="74"/>
      <c r="AQ273" s="74"/>
      <c r="AR273" s="74"/>
      <c r="AS273" s="74"/>
      <c r="AT273" s="74"/>
    </row>
    <row r="274" spans="1:47" ht="14">
      <c r="A274" s="41" t="s">
        <v>36</v>
      </c>
      <c r="B274" s="50" t="s">
        <v>4011</v>
      </c>
      <c r="C274" s="50" t="s">
        <v>4012</v>
      </c>
      <c r="D274" s="48" t="s">
        <v>127</v>
      </c>
      <c r="E274" s="50" t="s">
        <v>128</v>
      </c>
      <c r="F274" s="50">
        <v>7105</v>
      </c>
      <c r="G274" s="76" t="s">
        <v>4013</v>
      </c>
      <c r="H274" s="50">
        <v>9199</v>
      </c>
      <c r="I274" s="49" t="s">
        <v>1</v>
      </c>
      <c r="J274" s="50" t="s">
        <v>4014</v>
      </c>
      <c r="K274" s="51">
        <v>41240</v>
      </c>
      <c r="L274" s="115">
        <v>41236</v>
      </c>
      <c r="M274" s="402">
        <f t="shared" si="16"/>
        <v>4</v>
      </c>
      <c r="N274" s="50" t="s">
        <v>2</v>
      </c>
      <c r="O274" s="74">
        <v>6.8</v>
      </c>
      <c r="P274" s="117"/>
      <c r="Q274" s="131">
        <v>6.65</v>
      </c>
      <c r="R274" s="50">
        <v>96.3</v>
      </c>
      <c r="S274" s="74">
        <v>283</v>
      </c>
      <c r="T274" s="50">
        <v>0.28000000000000003</v>
      </c>
      <c r="U274" s="74">
        <v>0.74</v>
      </c>
      <c r="V274" s="50">
        <v>1.24</v>
      </c>
      <c r="W274" s="74">
        <v>5.0999999999999997E-2</v>
      </c>
      <c r="X274" s="50">
        <v>0.20100000000000001</v>
      </c>
      <c r="Y274" s="74">
        <v>1.2999999999999999E-2</v>
      </c>
      <c r="Z274" s="164">
        <v>1</v>
      </c>
      <c r="AA274" s="165">
        <v>1</v>
      </c>
      <c r="AB274" s="50">
        <v>16.38</v>
      </c>
      <c r="AC274" s="74">
        <v>448</v>
      </c>
      <c r="AD274" s="164">
        <v>1</v>
      </c>
      <c r="AE274" s="50">
        <v>22.01</v>
      </c>
      <c r="AF274" s="50">
        <v>5.0000000000000001E-3</v>
      </c>
      <c r="AG274" s="54"/>
      <c r="AH274" s="54"/>
      <c r="AI274" s="113"/>
      <c r="AJ274" s="50"/>
      <c r="AK274" s="74"/>
      <c r="AL274" s="74"/>
      <c r="AM274" s="74"/>
      <c r="AN274" s="74"/>
      <c r="AO274" s="74"/>
      <c r="AP274" s="74"/>
      <c r="AQ274" s="74"/>
      <c r="AR274" s="74"/>
      <c r="AS274" s="74"/>
      <c r="AT274" s="74"/>
    </row>
    <row r="275" spans="1:47" ht="14">
      <c r="A275" s="41" t="s">
        <v>36</v>
      </c>
      <c r="B275" s="50" t="s">
        <v>4011</v>
      </c>
      <c r="C275" s="50" t="s">
        <v>4012</v>
      </c>
      <c r="D275" s="48" t="s">
        <v>127</v>
      </c>
      <c r="E275" s="50" t="s">
        <v>128</v>
      </c>
      <c r="F275" s="50">
        <v>7105</v>
      </c>
      <c r="G275" s="76" t="s">
        <v>4013</v>
      </c>
      <c r="H275" s="50">
        <v>9199</v>
      </c>
      <c r="I275" s="49" t="s">
        <v>1</v>
      </c>
      <c r="J275" s="50" t="s">
        <v>4015</v>
      </c>
      <c r="K275" s="51">
        <v>41240</v>
      </c>
      <c r="L275" s="115">
        <v>41236</v>
      </c>
      <c r="M275" s="402">
        <f t="shared" si="16"/>
        <v>4</v>
      </c>
      <c r="N275" s="50" t="s">
        <v>2</v>
      </c>
      <c r="O275" s="74">
        <v>2.4</v>
      </c>
      <c r="P275" s="117"/>
      <c r="Q275" s="131">
        <v>6.68</v>
      </c>
      <c r="R275" s="50">
        <v>66.3</v>
      </c>
      <c r="S275" s="74">
        <v>46</v>
      </c>
      <c r="T275" s="50">
        <v>0.28999999999999998</v>
      </c>
      <c r="U275" s="74">
        <v>1.28</v>
      </c>
      <c r="V275" s="50">
        <v>0.45</v>
      </c>
      <c r="W275" s="74">
        <v>1.4999999999999999E-2</v>
      </c>
      <c r="X275" s="50">
        <v>7.6999999999999999E-2</v>
      </c>
      <c r="Y275" s="74">
        <v>3.0000000000000001E-3</v>
      </c>
      <c r="Z275" s="164">
        <v>1</v>
      </c>
      <c r="AA275" s="165">
        <v>1</v>
      </c>
      <c r="AB275" s="50">
        <v>52.21</v>
      </c>
      <c r="AC275" s="74">
        <v>448</v>
      </c>
      <c r="AD275" s="164">
        <v>1</v>
      </c>
      <c r="AE275" s="50">
        <v>112.3</v>
      </c>
      <c r="AF275" s="50">
        <v>5.0000000000000001E-3</v>
      </c>
      <c r="AG275" s="54"/>
      <c r="AH275" s="54"/>
      <c r="AI275" s="113"/>
      <c r="AJ275" s="50"/>
      <c r="AK275" s="74"/>
      <c r="AL275" s="74"/>
      <c r="AM275" s="74"/>
      <c r="AN275" s="74"/>
      <c r="AO275" s="74"/>
      <c r="AP275" s="74"/>
      <c r="AQ275" s="74"/>
      <c r="AR275" s="74"/>
      <c r="AS275" s="74"/>
      <c r="AT275" s="74"/>
    </row>
    <row r="276" spans="1:47" ht="14">
      <c r="A276" s="41" t="s">
        <v>36</v>
      </c>
      <c r="B276" s="50" t="s">
        <v>404</v>
      </c>
      <c r="C276" s="50" t="s">
        <v>607</v>
      </c>
      <c r="D276" s="48" t="s">
        <v>406</v>
      </c>
      <c r="E276" s="50" t="s">
        <v>608</v>
      </c>
      <c r="G276" s="76" t="s">
        <v>609</v>
      </c>
      <c r="H276" s="50">
        <v>9199</v>
      </c>
      <c r="I276" s="49" t="s">
        <v>2</v>
      </c>
      <c r="J276" s="50" t="s">
        <v>611</v>
      </c>
      <c r="K276" s="51">
        <v>41352</v>
      </c>
      <c r="L276" s="115">
        <v>41345</v>
      </c>
      <c r="M276" s="402">
        <f t="shared" si="16"/>
        <v>7</v>
      </c>
      <c r="N276" s="50" t="s">
        <v>1</v>
      </c>
      <c r="O276" s="131">
        <v>2</v>
      </c>
      <c r="P276" s="117">
        <v>7.3</v>
      </c>
      <c r="Q276" s="131">
        <v>6.5</v>
      </c>
      <c r="R276" s="50">
        <v>13</v>
      </c>
      <c r="S276" s="74">
        <v>30</v>
      </c>
      <c r="T276" s="50">
        <v>0.06</v>
      </c>
      <c r="U276" s="74">
        <v>0.3</v>
      </c>
      <c r="V276" s="50">
        <v>0.13</v>
      </c>
      <c r="W276" s="74">
        <v>1.7999999999999999E-2</v>
      </c>
      <c r="X276" s="50">
        <v>6.4000000000000001E-2</v>
      </c>
      <c r="Y276" s="74">
        <v>1.4999999999999999E-2</v>
      </c>
      <c r="Z276" s="164">
        <v>1</v>
      </c>
      <c r="AA276" s="165">
        <v>1</v>
      </c>
      <c r="AB276" s="50">
        <v>12</v>
      </c>
      <c r="AC276" s="74">
        <v>684</v>
      </c>
      <c r="AD276" s="164">
        <v>0.65</v>
      </c>
      <c r="AF276" s="113"/>
      <c r="AG276" s="54"/>
      <c r="AH276" s="54"/>
      <c r="AI276" s="113"/>
      <c r="AJ276" s="50"/>
      <c r="AK276" s="74"/>
      <c r="AL276" s="74"/>
      <c r="AM276" s="74"/>
      <c r="AN276" s="74"/>
      <c r="AO276" s="74"/>
      <c r="AP276" s="74"/>
      <c r="AQ276" s="74"/>
      <c r="AR276" s="74"/>
      <c r="AS276" s="74"/>
      <c r="AT276" s="74"/>
    </row>
    <row r="277" spans="1:47" ht="14">
      <c r="A277" s="41" t="s">
        <v>36</v>
      </c>
      <c r="B277" s="50" t="s">
        <v>2305</v>
      </c>
      <c r="C277" s="50" t="s">
        <v>393</v>
      </c>
      <c r="D277" s="48" t="s">
        <v>56</v>
      </c>
      <c r="F277" s="50" t="s">
        <v>2809</v>
      </c>
      <c r="G277" s="76" t="s">
        <v>2308</v>
      </c>
      <c r="H277" s="50">
        <v>9199</v>
      </c>
      <c r="I277" s="49" t="s">
        <v>1</v>
      </c>
      <c r="J277" s="50" t="s">
        <v>2810</v>
      </c>
      <c r="K277" s="51">
        <v>41345</v>
      </c>
      <c r="L277" s="115">
        <v>41340</v>
      </c>
      <c r="M277" s="402">
        <f t="shared" si="16"/>
        <v>5</v>
      </c>
      <c r="N277" s="50" t="s">
        <v>1</v>
      </c>
      <c r="O277" s="131">
        <v>18</v>
      </c>
      <c r="P277" s="117">
        <v>6.27</v>
      </c>
      <c r="Q277" s="131">
        <v>6.47</v>
      </c>
      <c r="R277" s="50">
        <v>89.9</v>
      </c>
      <c r="S277" s="74">
        <v>140</v>
      </c>
      <c r="T277" s="50">
        <v>0.57999999999999996</v>
      </c>
      <c r="U277" s="74">
        <v>1.35</v>
      </c>
      <c r="V277" s="50">
        <v>0.44</v>
      </c>
      <c r="W277" s="74">
        <v>2.1000000000000001E-2</v>
      </c>
      <c r="X277" s="50">
        <v>0.186</v>
      </c>
      <c r="Y277" s="74">
        <v>1E-3</v>
      </c>
      <c r="AB277" s="50">
        <v>88.31</v>
      </c>
      <c r="AE277" s="50">
        <v>4290</v>
      </c>
      <c r="AF277" s="113">
        <v>0.53</v>
      </c>
      <c r="AG277" s="54"/>
      <c r="AH277" s="54"/>
      <c r="AI277" s="113"/>
      <c r="AJ277" s="50"/>
      <c r="AK277" s="74"/>
      <c r="AL277" s="74"/>
      <c r="AM277" s="74"/>
      <c r="AN277" s="74"/>
      <c r="AO277" s="74"/>
      <c r="AP277" s="74"/>
      <c r="AQ277" s="74"/>
      <c r="AR277" s="74"/>
      <c r="AS277" s="74"/>
      <c r="AT277" s="74"/>
    </row>
    <row r="278" spans="1:47" ht="14">
      <c r="A278" s="41" t="s">
        <v>36</v>
      </c>
      <c r="B278" s="50" t="s">
        <v>2305</v>
      </c>
      <c r="C278" s="50" t="s">
        <v>393</v>
      </c>
      <c r="D278" s="48" t="s">
        <v>56</v>
      </c>
      <c r="F278" s="50" t="s">
        <v>2809</v>
      </c>
      <c r="G278" s="76" t="s">
        <v>2308</v>
      </c>
      <c r="H278" s="50">
        <v>9199</v>
      </c>
      <c r="I278" s="49" t="s">
        <v>1</v>
      </c>
      <c r="J278" s="50" t="s">
        <v>2811</v>
      </c>
      <c r="K278" s="51">
        <v>41345</v>
      </c>
      <c r="L278" s="115">
        <v>41340</v>
      </c>
      <c r="M278" s="402">
        <f t="shared" si="16"/>
        <v>5</v>
      </c>
      <c r="N278" s="50" t="s">
        <v>1</v>
      </c>
      <c r="O278" s="131">
        <v>40.799999999999997</v>
      </c>
      <c r="P278" s="117">
        <v>6.27</v>
      </c>
      <c r="Q278" s="131">
        <v>6.87</v>
      </c>
      <c r="R278" s="50">
        <v>331</v>
      </c>
      <c r="S278" s="74">
        <v>80</v>
      </c>
      <c r="T278" s="50">
        <v>0.81</v>
      </c>
      <c r="U278" s="74">
        <v>1.36</v>
      </c>
      <c r="V278" s="50">
        <v>0.24</v>
      </c>
      <c r="W278" s="74">
        <v>4.5999999999999999E-2</v>
      </c>
      <c r="X278" s="50">
        <v>0.745</v>
      </c>
      <c r="Y278" s="74">
        <v>4.2000000000000003E-2</v>
      </c>
      <c r="AB278" s="50">
        <v>54.59</v>
      </c>
      <c r="AE278" s="50">
        <v>1514</v>
      </c>
      <c r="AF278" s="113">
        <v>5.0000000000000001E-3</v>
      </c>
      <c r="AG278" s="54"/>
      <c r="AH278" s="54"/>
      <c r="AI278" s="113"/>
      <c r="AJ278" s="50"/>
      <c r="AK278" s="74"/>
      <c r="AL278" s="74"/>
      <c r="AM278" s="74"/>
      <c r="AN278" s="74"/>
      <c r="AO278" s="74"/>
      <c r="AP278" s="74"/>
      <c r="AQ278" s="74"/>
      <c r="AR278" s="74"/>
      <c r="AS278" s="74"/>
      <c r="AT278" s="74"/>
    </row>
    <row r="279" spans="1:47" ht="14">
      <c r="A279" s="41" t="s">
        <v>36</v>
      </c>
      <c r="B279" s="50" t="s">
        <v>131</v>
      </c>
      <c r="C279" s="50" t="s">
        <v>4066</v>
      </c>
      <c r="D279" s="48" t="s">
        <v>133</v>
      </c>
      <c r="E279" s="50" t="s">
        <v>1546</v>
      </c>
      <c r="G279" s="76" t="s">
        <v>134</v>
      </c>
      <c r="H279" s="50">
        <v>7699</v>
      </c>
      <c r="I279" s="49" t="s">
        <v>1</v>
      </c>
      <c r="J279" s="50" t="s">
        <v>74</v>
      </c>
      <c r="K279" s="51">
        <v>41345</v>
      </c>
      <c r="L279" s="115">
        <v>41341</v>
      </c>
      <c r="M279" s="402">
        <f t="shared" si="16"/>
        <v>4</v>
      </c>
      <c r="N279" s="50" t="s">
        <v>2</v>
      </c>
      <c r="O279" s="131">
        <v>6.5</v>
      </c>
      <c r="P279" s="117">
        <v>6.77</v>
      </c>
      <c r="Q279" s="131">
        <v>7.32</v>
      </c>
      <c r="R279" s="50">
        <v>126</v>
      </c>
      <c r="S279" s="74">
        <v>110</v>
      </c>
      <c r="T279" s="50">
        <v>0.22</v>
      </c>
      <c r="U279" s="74">
        <v>1.75</v>
      </c>
      <c r="V279" s="50">
        <v>0.11</v>
      </c>
      <c r="W279" s="74">
        <v>3.2000000000000001E-2</v>
      </c>
      <c r="X279" s="50">
        <v>0.19900000000000001</v>
      </c>
      <c r="Y279" s="74">
        <v>3.4000000000000002E-2</v>
      </c>
      <c r="Z279" s="164">
        <v>1</v>
      </c>
      <c r="AA279" s="165">
        <v>1</v>
      </c>
      <c r="AB279" s="50">
        <v>62</v>
      </c>
      <c r="AC279" s="74">
        <v>1129</v>
      </c>
      <c r="AD279" s="164">
        <v>1</v>
      </c>
      <c r="AE279" s="50">
        <v>329</v>
      </c>
      <c r="AF279" s="113">
        <v>5.0000000000000001E-3</v>
      </c>
      <c r="AG279" s="54">
        <f>0.5/2</f>
        <v>0.25</v>
      </c>
      <c r="AH279" s="54">
        <v>930</v>
      </c>
      <c r="AI279" s="113"/>
      <c r="AJ279" s="50"/>
      <c r="AK279" s="74"/>
      <c r="AL279" s="74"/>
      <c r="AM279" s="74"/>
      <c r="AN279" s="74"/>
      <c r="AO279" s="74"/>
      <c r="AP279" s="74"/>
      <c r="AQ279" s="74"/>
      <c r="AR279" s="74"/>
      <c r="AS279" s="74"/>
      <c r="AT279" s="74"/>
    </row>
    <row r="280" spans="1:47" ht="14">
      <c r="A280" s="41" t="s">
        <v>36</v>
      </c>
      <c r="B280" s="50" t="s">
        <v>131</v>
      </c>
      <c r="C280" s="50" t="s">
        <v>4066</v>
      </c>
      <c r="D280" s="48" t="s">
        <v>133</v>
      </c>
      <c r="E280" s="50" t="s">
        <v>1546</v>
      </c>
      <c r="G280" s="76" t="s">
        <v>134</v>
      </c>
      <c r="H280" s="50">
        <v>7699</v>
      </c>
      <c r="I280" s="49" t="s">
        <v>1</v>
      </c>
      <c r="J280" s="50" t="s">
        <v>135</v>
      </c>
      <c r="K280" s="51">
        <v>41345</v>
      </c>
      <c r="L280" s="115">
        <v>41341</v>
      </c>
      <c r="M280" s="402">
        <f t="shared" si="16"/>
        <v>4</v>
      </c>
      <c r="N280" s="50" t="s">
        <v>2</v>
      </c>
      <c r="O280" s="131">
        <v>19</v>
      </c>
      <c r="P280" s="117">
        <v>6.77</v>
      </c>
      <c r="Q280" s="131">
        <v>7.13</v>
      </c>
      <c r="R280" s="50">
        <v>215</v>
      </c>
      <c r="S280" s="74">
        <v>210</v>
      </c>
      <c r="T280" s="50">
        <v>0.28999999999999998</v>
      </c>
      <c r="U280" s="74">
        <v>2.02</v>
      </c>
      <c r="V280" s="50">
        <v>0.17</v>
      </c>
      <c r="W280" s="74">
        <v>4.3999999999999997E-2</v>
      </c>
      <c r="X280" s="50">
        <v>0.26700000000000002</v>
      </c>
      <c r="Y280" s="74">
        <v>0.04</v>
      </c>
      <c r="Z280" s="164">
        <v>0.70699999999999996</v>
      </c>
      <c r="AA280" s="165">
        <v>0.70699999999999996</v>
      </c>
      <c r="AB280" s="50">
        <v>150</v>
      </c>
      <c r="AC280" s="74">
        <v>3760</v>
      </c>
      <c r="AD280" s="164">
        <v>0</v>
      </c>
      <c r="AE280" s="50">
        <v>1260</v>
      </c>
      <c r="AF280" s="113">
        <v>5.0000000000000001E-3</v>
      </c>
      <c r="AG280" s="54">
        <f>0.54/2</f>
        <v>0.27</v>
      </c>
      <c r="AH280" s="54">
        <v>1990</v>
      </c>
      <c r="AI280" s="113"/>
      <c r="AJ280" s="50"/>
      <c r="AK280" s="74"/>
      <c r="AL280" s="74"/>
      <c r="AM280" s="74"/>
      <c r="AN280" s="74"/>
      <c r="AO280" s="74"/>
      <c r="AP280" s="74"/>
      <c r="AQ280" s="74"/>
      <c r="AR280" s="74"/>
      <c r="AS280" s="74"/>
      <c r="AT280" s="74"/>
    </row>
    <row r="281" spans="1:47" ht="14">
      <c r="A281" s="41" t="s">
        <v>36</v>
      </c>
      <c r="B281" s="50" t="s">
        <v>2327</v>
      </c>
      <c r="C281" s="50" t="s">
        <v>1482</v>
      </c>
      <c r="D281" s="48" t="s">
        <v>2328</v>
      </c>
      <c r="E281" s="50" t="s">
        <v>2329</v>
      </c>
      <c r="F281" s="50">
        <v>4607</v>
      </c>
      <c r="G281" s="76" t="s">
        <v>2330</v>
      </c>
      <c r="H281" s="50">
        <v>919</v>
      </c>
      <c r="I281" s="49" t="s">
        <v>1</v>
      </c>
      <c r="J281" s="50" t="s">
        <v>2331</v>
      </c>
      <c r="K281" s="51">
        <v>41345</v>
      </c>
      <c r="L281" s="115">
        <v>41341</v>
      </c>
      <c r="M281" s="402">
        <f t="shared" si="16"/>
        <v>4</v>
      </c>
      <c r="N281" s="50" t="s">
        <v>1</v>
      </c>
      <c r="O281" s="131">
        <v>2.1</v>
      </c>
      <c r="P281" s="117">
        <v>4.96</v>
      </c>
      <c r="Q281" s="131">
        <v>7.5</v>
      </c>
      <c r="R281" s="50">
        <v>206</v>
      </c>
      <c r="S281" s="74">
        <v>110</v>
      </c>
      <c r="T281" s="50">
        <v>0.22</v>
      </c>
      <c r="U281" s="74">
        <v>0.89</v>
      </c>
      <c r="V281" s="50">
        <v>0.76</v>
      </c>
      <c r="W281" s="74">
        <v>1.6E-2</v>
      </c>
      <c r="X281" s="50">
        <v>4.8000000000000001E-2</v>
      </c>
      <c r="Y281" s="74">
        <v>4.0000000000000001E-3</v>
      </c>
      <c r="AE281" s="50">
        <v>1540</v>
      </c>
      <c r="AF281" s="113">
        <v>7.0000000000000007E-2</v>
      </c>
      <c r="AG281" s="54"/>
      <c r="AH281" s="54"/>
      <c r="AI281" s="113"/>
      <c r="AJ281" s="50"/>
      <c r="AK281" s="74"/>
      <c r="AL281" s="74"/>
      <c r="AM281" s="74"/>
      <c r="AN281" s="74"/>
      <c r="AO281" s="74"/>
      <c r="AP281" s="74"/>
      <c r="AQ281" s="74"/>
      <c r="AR281" s="74"/>
      <c r="AS281" s="74"/>
      <c r="AT281" s="74"/>
    </row>
    <row r="282" spans="1:47" ht="14">
      <c r="A282" s="41" t="s">
        <v>36</v>
      </c>
      <c r="B282" s="50" t="s">
        <v>2327</v>
      </c>
      <c r="C282" s="50" t="s">
        <v>1482</v>
      </c>
      <c r="D282" s="48" t="s">
        <v>2328</v>
      </c>
      <c r="E282" s="50" t="s">
        <v>2329</v>
      </c>
      <c r="F282" s="50">
        <v>4607</v>
      </c>
      <c r="G282" s="76" t="s">
        <v>2330</v>
      </c>
      <c r="H282" s="50">
        <v>919</v>
      </c>
      <c r="I282" s="49" t="s">
        <v>1</v>
      </c>
      <c r="J282" s="50" t="s">
        <v>2332</v>
      </c>
      <c r="K282" s="51">
        <v>41345</v>
      </c>
      <c r="L282" s="115">
        <v>41341</v>
      </c>
      <c r="M282" s="402">
        <f t="shared" si="16"/>
        <v>4</v>
      </c>
      <c r="N282" s="50" t="s">
        <v>1</v>
      </c>
      <c r="O282" s="131">
        <v>0.75</v>
      </c>
      <c r="P282" s="117">
        <v>4.96</v>
      </c>
      <c r="Q282" s="131">
        <v>7.8</v>
      </c>
      <c r="R282" s="50">
        <v>39</v>
      </c>
      <c r="S282" s="74">
        <v>100</v>
      </c>
      <c r="T282" s="50">
        <v>0.16</v>
      </c>
      <c r="U282" s="74">
        <v>0.7</v>
      </c>
      <c r="V282" s="50">
        <v>1.64</v>
      </c>
      <c r="W282" s="74">
        <v>1.4E-2</v>
      </c>
      <c r="X282" s="50">
        <v>3.2000000000000001E-2</v>
      </c>
      <c r="Y282" s="74">
        <v>3.0000000000000001E-3</v>
      </c>
      <c r="AE282" s="50">
        <v>366</v>
      </c>
      <c r="AF282" s="113">
        <v>0.04</v>
      </c>
      <c r="AG282" s="54"/>
      <c r="AH282" s="54"/>
      <c r="AI282" s="113"/>
      <c r="AJ282" s="50"/>
      <c r="AK282" s="74"/>
      <c r="AL282" s="74"/>
      <c r="AM282" s="74"/>
      <c r="AN282" s="74"/>
      <c r="AO282" s="74"/>
      <c r="AP282" s="74"/>
      <c r="AQ282" s="74"/>
      <c r="AR282" s="74"/>
      <c r="AS282" s="74"/>
      <c r="AT282" s="74"/>
    </row>
    <row r="283" spans="1:47" ht="14">
      <c r="A283" s="41" t="s">
        <v>36</v>
      </c>
      <c r="B283" s="50" t="s">
        <v>2828</v>
      </c>
      <c r="C283" s="50" t="s">
        <v>70</v>
      </c>
      <c r="D283" s="48" t="s">
        <v>564</v>
      </c>
      <c r="E283" s="50" t="s">
        <v>2829</v>
      </c>
      <c r="G283" s="76" t="s">
        <v>2830</v>
      </c>
      <c r="H283" s="50">
        <v>9199</v>
      </c>
      <c r="I283" s="49" t="s">
        <v>2</v>
      </c>
      <c r="J283" s="50" t="s">
        <v>2831</v>
      </c>
      <c r="K283" s="51">
        <v>41345</v>
      </c>
      <c r="L283" s="115">
        <v>41341</v>
      </c>
      <c r="M283" s="402">
        <f t="shared" si="16"/>
        <v>4</v>
      </c>
      <c r="N283" s="50" t="s">
        <v>2</v>
      </c>
      <c r="O283" s="131">
        <v>2.1</v>
      </c>
      <c r="P283" s="117">
        <v>4.9000000000000004</v>
      </c>
      <c r="Q283" s="131">
        <v>7.3</v>
      </c>
      <c r="R283" s="50">
        <v>129</v>
      </c>
      <c r="S283" s="74">
        <v>350</v>
      </c>
      <c r="T283" s="50">
        <v>0.43</v>
      </c>
      <c r="U283" s="74">
        <v>1.61</v>
      </c>
      <c r="V283" s="50">
        <v>0.06</v>
      </c>
      <c r="W283" s="74">
        <v>3.6999999999999998E-2</v>
      </c>
      <c r="X283" s="50">
        <v>9.2999999999999999E-2</v>
      </c>
      <c r="Y283" s="74">
        <v>2.1999999999999999E-2</v>
      </c>
      <c r="Z283" s="164">
        <v>1</v>
      </c>
      <c r="AA283" s="165">
        <v>1</v>
      </c>
      <c r="AB283" s="50">
        <v>78</v>
      </c>
      <c r="AC283" s="74">
        <v>4560</v>
      </c>
      <c r="AD283" s="164">
        <v>0.95</v>
      </c>
      <c r="AE283" s="50">
        <v>1400</v>
      </c>
      <c r="AF283" s="113">
        <v>0.04</v>
      </c>
      <c r="AG283" s="54"/>
      <c r="AH283" s="54"/>
      <c r="AI283" s="113"/>
      <c r="AJ283" s="50"/>
      <c r="AK283" s="74"/>
      <c r="AL283" s="74"/>
      <c r="AM283" s="74"/>
      <c r="AN283" s="74"/>
      <c r="AO283" s="74"/>
      <c r="AP283" s="74"/>
      <c r="AQ283" s="74"/>
      <c r="AR283" s="74"/>
      <c r="AS283" s="74"/>
      <c r="AT283" s="74"/>
    </row>
    <row r="284" spans="1:47" ht="14">
      <c r="A284" s="41" t="s">
        <v>36</v>
      </c>
      <c r="B284" s="50" t="s">
        <v>2828</v>
      </c>
      <c r="C284" s="50" t="s">
        <v>70</v>
      </c>
      <c r="D284" s="48" t="s">
        <v>564</v>
      </c>
      <c r="E284" s="50" t="s">
        <v>2829</v>
      </c>
      <c r="G284" s="76" t="s">
        <v>2830</v>
      </c>
      <c r="H284" s="50">
        <v>9199</v>
      </c>
      <c r="I284" s="49" t="s">
        <v>2</v>
      </c>
      <c r="J284" s="50" t="s">
        <v>2832</v>
      </c>
      <c r="K284" s="51">
        <v>41345</v>
      </c>
      <c r="L284" s="115">
        <v>41341</v>
      </c>
      <c r="M284" s="402">
        <f t="shared" si="16"/>
        <v>4</v>
      </c>
      <c r="N284" s="50" t="s">
        <v>2</v>
      </c>
      <c r="O284" s="131">
        <v>6.8</v>
      </c>
      <c r="P284" s="117">
        <v>4.9000000000000004</v>
      </c>
      <c r="Q284" s="131">
        <v>7.1</v>
      </c>
      <c r="R284" s="50">
        <v>169</v>
      </c>
      <c r="S284" s="74">
        <v>440</v>
      </c>
      <c r="T284" s="50">
        <v>0.48</v>
      </c>
      <c r="U284" s="74">
        <v>4.2300000000000004</v>
      </c>
      <c r="V284" s="50">
        <v>0.64</v>
      </c>
      <c r="W284" s="74">
        <v>4.3999999999999997E-2</v>
      </c>
      <c r="X284" s="50">
        <v>0.17399999999999999</v>
      </c>
      <c r="Y284" s="74">
        <v>2.5000000000000001E-2</v>
      </c>
      <c r="Z284" s="164">
        <v>1</v>
      </c>
      <c r="AA284" s="165">
        <v>1</v>
      </c>
      <c r="AB284" s="50">
        <v>86</v>
      </c>
      <c r="AC284" s="74">
        <v>1025</v>
      </c>
      <c r="AD284" s="164">
        <v>1</v>
      </c>
      <c r="AF284" s="113"/>
      <c r="AG284" s="54"/>
      <c r="AH284" s="54"/>
      <c r="AI284" s="113"/>
      <c r="AJ284" s="50"/>
      <c r="AK284" s="74"/>
      <c r="AL284" s="74"/>
      <c r="AM284" s="74"/>
      <c r="AN284" s="74"/>
      <c r="AO284" s="74"/>
      <c r="AP284" s="74"/>
      <c r="AQ284" s="74"/>
      <c r="AR284" s="74"/>
      <c r="AS284" s="74"/>
      <c r="AT284" s="74"/>
    </row>
    <row r="285" spans="1:47" ht="14">
      <c r="A285" s="41" t="s">
        <v>36</v>
      </c>
      <c r="B285" s="50" t="s">
        <v>2828</v>
      </c>
      <c r="C285" s="50" t="s">
        <v>70</v>
      </c>
      <c r="D285" s="48" t="s">
        <v>564</v>
      </c>
      <c r="E285" s="50" t="s">
        <v>2829</v>
      </c>
      <c r="G285" s="76" t="s">
        <v>2830</v>
      </c>
      <c r="H285" s="50">
        <v>9199</v>
      </c>
      <c r="I285" s="49" t="s">
        <v>2</v>
      </c>
      <c r="J285" s="50" t="s">
        <v>2833</v>
      </c>
      <c r="K285" s="51">
        <v>41345</v>
      </c>
      <c r="L285" s="115">
        <v>41341</v>
      </c>
      <c r="M285" s="402">
        <f t="shared" si="16"/>
        <v>4</v>
      </c>
      <c r="N285" s="50" t="s">
        <v>2</v>
      </c>
      <c r="O285" s="131">
        <v>2.7</v>
      </c>
      <c r="P285" s="117">
        <v>4.9000000000000004</v>
      </c>
      <c r="Q285" s="131">
        <v>6.8</v>
      </c>
      <c r="R285" s="50">
        <v>135</v>
      </c>
      <c r="S285" s="74">
        <v>77</v>
      </c>
      <c r="T285" s="50">
        <v>0.2</v>
      </c>
      <c r="U285" s="74">
        <v>5.18</v>
      </c>
      <c r="V285" s="50">
        <v>0.36</v>
      </c>
      <c r="W285" s="74">
        <v>0.03</v>
      </c>
      <c r="X285" s="50">
        <v>0.25900000000000001</v>
      </c>
      <c r="Y285" s="74">
        <v>1.4E-2</v>
      </c>
      <c r="Z285" s="164">
        <v>1</v>
      </c>
      <c r="AA285" s="165">
        <v>1</v>
      </c>
      <c r="AB285" s="50">
        <v>94</v>
      </c>
      <c r="AC285" s="74">
        <v>5350</v>
      </c>
      <c r="AD285" s="164">
        <v>1</v>
      </c>
      <c r="AF285" s="113"/>
      <c r="AG285" s="54"/>
      <c r="AH285" s="54"/>
      <c r="AI285" s="113"/>
      <c r="AJ285" s="50"/>
      <c r="AK285" s="74"/>
      <c r="AL285" s="74"/>
      <c r="AM285" s="74"/>
      <c r="AN285" s="74"/>
      <c r="AO285" s="74"/>
      <c r="AP285" s="74"/>
      <c r="AQ285" s="74"/>
      <c r="AR285" s="74"/>
      <c r="AS285" s="74"/>
      <c r="AT285" s="74"/>
    </row>
    <row r="286" spans="1:47" s="32" customFormat="1" ht="14">
      <c r="A286" s="41" t="s">
        <v>36</v>
      </c>
      <c r="B286" s="50" t="s">
        <v>2863</v>
      </c>
      <c r="C286" s="50" t="s">
        <v>2864</v>
      </c>
      <c r="D286" s="48" t="s">
        <v>434</v>
      </c>
      <c r="E286" s="50" t="s">
        <v>862</v>
      </c>
      <c r="F286" s="50"/>
      <c r="G286" s="76" t="s">
        <v>2865</v>
      </c>
      <c r="H286" s="50">
        <v>9199</v>
      </c>
      <c r="I286" s="49" t="s">
        <v>2</v>
      </c>
      <c r="J286" s="50" t="s">
        <v>4067</v>
      </c>
      <c r="K286" s="51">
        <v>41352</v>
      </c>
      <c r="L286" s="115"/>
      <c r="M286" s="50"/>
      <c r="N286" s="50" t="s">
        <v>1</v>
      </c>
      <c r="O286" s="131">
        <v>0.85</v>
      </c>
      <c r="P286" s="117">
        <v>6.5</v>
      </c>
      <c r="Q286" s="131">
        <v>6.4</v>
      </c>
      <c r="R286" s="50">
        <v>23</v>
      </c>
      <c r="S286" s="74">
        <v>6.8</v>
      </c>
      <c r="T286" s="50">
        <v>4.2999999999999997E-2</v>
      </c>
      <c r="U286" s="74">
        <v>1.9</v>
      </c>
      <c r="V286" s="50">
        <v>0.23</v>
      </c>
      <c r="W286" s="74">
        <v>2.5000000000000001E-3</v>
      </c>
      <c r="X286" s="50">
        <v>8.2000000000000003E-2</v>
      </c>
      <c r="Y286" s="74">
        <v>2.5000000000000001E-3</v>
      </c>
      <c r="Z286" s="164"/>
      <c r="AA286" s="165"/>
      <c r="AB286" s="50"/>
      <c r="AC286" s="74"/>
      <c r="AD286" s="164"/>
      <c r="AE286" s="50">
        <v>250</v>
      </c>
      <c r="AF286" s="113">
        <v>0.01</v>
      </c>
      <c r="AG286" s="54"/>
      <c r="AH286" s="54"/>
      <c r="AI286" s="113"/>
      <c r="AJ286" s="50"/>
      <c r="AK286" s="74"/>
      <c r="AL286" s="74"/>
      <c r="AM286" s="74"/>
      <c r="AN286" s="74"/>
      <c r="AO286" s="74"/>
      <c r="AP286" s="74"/>
      <c r="AQ286" s="74"/>
      <c r="AR286" s="74"/>
      <c r="AS286" s="74"/>
      <c r="AT286" s="74"/>
      <c r="AU286" s="74"/>
    </row>
    <row r="287" spans="1:47" ht="14">
      <c r="A287" s="41" t="s">
        <v>36</v>
      </c>
      <c r="B287" s="50" t="s">
        <v>4068</v>
      </c>
      <c r="D287" s="48" t="s">
        <v>884</v>
      </c>
      <c r="E287" s="50" t="s">
        <v>4069</v>
      </c>
      <c r="G287" s="76" t="s">
        <v>4070</v>
      </c>
      <c r="H287" s="50">
        <v>9199</v>
      </c>
      <c r="I287" s="49" t="s">
        <v>2</v>
      </c>
      <c r="J287" s="50" t="s">
        <v>687</v>
      </c>
      <c r="K287" s="51">
        <v>41030</v>
      </c>
      <c r="L287" s="115">
        <v>41022</v>
      </c>
      <c r="M287" s="402">
        <f>K287-L287</f>
        <v>8</v>
      </c>
      <c r="N287" s="50" t="s">
        <v>2</v>
      </c>
      <c r="O287" s="74">
        <v>6</v>
      </c>
      <c r="P287" s="117"/>
      <c r="Q287" s="131">
        <v>6.6</v>
      </c>
      <c r="R287" s="50">
        <v>21</v>
      </c>
      <c r="S287" s="74">
        <v>43</v>
      </c>
      <c r="T287" s="50">
        <v>0.06</v>
      </c>
      <c r="U287" s="74">
        <v>0.39</v>
      </c>
      <c r="V287" s="50">
        <v>0.18</v>
      </c>
      <c r="W287" s="74">
        <v>5.0000000000000001E-3</v>
      </c>
      <c r="X287" s="50">
        <v>4.1000000000000002E-2</v>
      </c>
      <c r="Y287" s="74">
        <v>1.4999999999999999E-2</v>
      </c>
      <c r="AE287" s="50">
        <v>8.6</v>
      </c>
      <c r="AF287" s="50">
        <v>2.5000000000000001E-2</v>
      </c>
      <c r="AG287" s="54"/>
      <c r="AH287" s="54"/>
      <c r="AI287" s="113"/>
      <c r="AJ287" s="50"/>
      <c r="AK287" s="74"/>
      <c r="AL287" s="74"/>
      <c r="AM287" s="74"/>
      <c r="AN287" s="74"/>
      <c r="AO287" s="74"/>
      <c r="AP287" s="74"/>
      <c r="AQ287" s="74"/>
      <c r="AR287" s="74"/>
      <c r="AS287" s="74"/>
      <c r="AT287" s="74"/>
    </row>
    <row r="288" spans="1:47" ht="14">
      <c r="A288" s="41" t="s">
        <v>36</v>
      </c>
      <c r="B288" s="50" t="s">
        <v>4068</v>
      </c>
      <c r="D288" s="48" t="s">
        <v>884</v>
      </c>
      <c r="E288" s="50" t="s">
        <v>4069</v>
      </c>
      <c r="G288" s="76" t="s">
        <v>4070</v>
      </c>
      <c r="H288" s="50">
        <v>9199</v>
      </c>
      <c r="I288" s="49" t="s">
        <v>2</v>
      </c>
      <c r="J288" s="50" t="s">
        <v>74</v>
      </c>
      <c r="K288" s="51">
        <v>41030</v>
      </c>
      <c r="L288" s="115">
        <v>41022</v>
      </c>
      <c r="M288" s="402">
        <f>K288-L288</f>
        <v>8</v>
      </c>
      <c r="N288" s="50" t="s">
        <v>2</v>
      </c>
      <c r="O288" s="74">
        <v>2.2999999999999998</v>
      </c>
      <c r="P288" s="117"/>
      <c r="Q288" s="131">
        <v>7.2</v>
      </c>
      <c r="R288" s="50">
        <v>23</v>
      </c>
      <c r="S288" s="74">
        <v>71</v>
      </c>
      <c r="T288" s="50">
        <v>0.11</v>
      </c>
      <c r="U288" s="74">
        <v>0.79</v>
      </c>
      <c r="V288" s="50">
        <v>0.22</v>
      </c>
      <c r="W288" s="74">
        <v>1.7999999999999999E-2</v>
      </c>
      <c r="X288" s="50">
        <v>5.3999999999999999E-2</v>
      </c>
      <c r="Y288" s="74">
        <v>1.4999999999999999E-2</v>
      </c>
      <c r="AE288" s="50">
        <v>249</v>
      </c>
      <c r="AF288" s="50">
        <v>2.5000000000000001E-2</v>
      </c>
      <c r="AG288" s="54"/>
      <c r="AH288" s="54"/>
      <c r="AI288" s="113"/>
      <c r="AJ288" s="50"/>
      <c r="AK288" s="74"/>
      <c r="AL288" s="74"/>
      <c r="AM288" s="74"/>
      <c r="AN288" s="74"/>
      <c r="AO288" s="74"/>
      <c r="AP288" s="74"/>
      <c r="AQ288" s="74"/>
      <c r="AR288" s="74"/>
      <c r="AS288" s="74"/>
      <c r="AT288" s="74"/>
    </row>
    <row r="289" spans="1:46" ht="14">
      <c r="A289" s="41" t="s">
        <v>36</v>
      </c>
      <c r="B289" s="50" t="s">
        <v>519</v>
      </c>
      <c r="C289" s="50" t="s">
        <v>4066</v>
      </c>
      <c r="D289" s="48" t="s">
        <v>499</v>
      </c>
      <c r="E289" s="50" t="s">
        <v>49</v>
      </c>
      <c r="F289" s="50" t="s">
        <v>3864</v>
      </c>
      <c r="G289" s="76" t="s">
        <v>3120</v>
      </c>
      <c r="H289" s="50">
        <v>9199</v>
      </c>
      <c r="I289" s="49" t="s">
        <v>1</v>
      </c>
      <c r="J289" s="50" t="s">
        <v>4071</v>
      </c>
      <c r="K289" s="51">
        <v>41352</v>
      </c>
      <c r="L289" s="115">
        <v>41346</v>
      </c>
      <c r="M289" s="402">
        <f>K289-L289</f>
        <v>6</v>
      </c>
      <c r="N289" s="50" t="s">
        <v>1</v>
      </c>
      <c r="O289" s="74">
        <v>2</v>
      </c>
      <c r="P289" s="117">
        <v>5</v>
      </c>
      <c r="Q289" s="131">
        <v>6.5</v>
      </c>
      <c r="R289" s="50">
        <v>240</v>
      </c>
      <c r="S289" s="74">
        <v>170</v>
      </c>
      <c r="T289" s="50">
        <v>0.28999999999999998</v>
      </c>
      <c r="U289" s="74" t="s">
        <v>955</v>
      </c>
      <c r="V289" s="50">
        <v>0.31</v>
      </c>
      <c r="W289" s="74">
        <v>2.5000000000000001E-2</v>
      </c>
      <c r="X289" s="50">
        <v>0.22</v>
      </c>
      <c r="Y289" s="74">
        <v>1.6E-2</v>
      </c>
      <c r="Z289" s="164">
        <v>1</v>
      </c>
      <c r="AA289" s="165">
        <v>6.25E-2</v>
      </c>
      <c r="AB289" s="50">
        <v>164</v>
      </c>
      <c r="AC289" s="74">
        <v>7840</v>
      </c>
      <c r="AD289" s="164">
        <v>0</v>
      </c>
      <c r="AG289" s="54"/>
      <c r="AH289" s="54"/>
      <c r="AI289" s="113"/>
      <c r="AJ289" s="50"/>
      <c r="AK289" s="74"/>
      <c r="AL289" s="74"/>
      <c r="AM289" s="74"/>
      <c r="AN289" s="74"/>
      <c r="AO289" s="74"/>
      <c r="AP289" s="74"/>
      <c r="AQ289" s="74"/>
      <c r="AR289" s="74"/>
      <c r="AS289" s="74"/>
      <c r="AT289" s="74"/>
    </row>
    <row r="290" spans="1:46" ht="14">
      <c r="A290" s="41" t="s">
        <v>36</v>
      </c>
      <c r="B290" s="50" t="s">
        <v>2900</v>
      </c>
      <c r="C290" s="50" t="s">
        <v>4153</v>
      </c>
      <c r="D290" s="48" t="s">
        <v>659</v>
      </c>
      <c r="E290" s="50" t="s">
        <v>2902</v>
      </c>
      <c r="F290" s="50" t="s">
        <v>2903</v>
      </c>
      <c r="G290" s="76" t="s">
        <v>2904</v>
      </c>
      <c r="H290" s="50">
        <v>9511</v>
      </c>
      <c r="I290" s="49" t="s">
        <v>2</v>
      </c>
      <c r="J290" s="50" t="s">
        <v>2905</v>
      </c>
      <c r="K290" s="51">
        <v>41402</v>
      </c>
      <c r="L290" s="115">
        <v>41389</v>
      </c>
      <c r="M290" s="402">
        <f>K290-L290</f>
        <v>13</v>
      </c>
      <c r="N290" s="50" t="s">
        <v>2</v>
      </c>
      <c r="O290" s="74">
        <v>2.5</v>
      </c>
      <c r="P290" s="117">
        <v>6.05</v>
      </c>
      <c r="Q290" s="131">
        <v>7.23</v>
      </c>
      <c r="R290" s="50">
        <v>120</v>
      </c>
      <c r="S290" s="74">
        <v>36</v>
      </c>
      <c r="T290" s="50">
        <v>0.68</v>
      </c>
      <c r="U290" s="74">
        <v>2.2999999999999998</v>
      </c>
      <c r="V290" s="50">
        <v>1.1000000000000001</v>
      </c>
      <c r="W290" s="74">
        <v>0.02</v>
      </c>
      <c r="X290" s="50">
        <v>0.06</v>
      </c>
      <c r="Y290" s="74">
        <v>6.4999999999999997E-3</v>
      </c>
      <c r="Z290" s="164">
        <v>1</v>
      </c>
      <c r="AA290" s="165">
        <v>1</v>
      </c>
      <c r="AB290" s="50">
        <v>29</v>
      </c>
      <c r="AC290" s="74">
        <v>2290</v>
      </c>
      <c r="AD290" s="164">
        <v>0.8</v>
      </c>
      <c r="AE290" s="50">
        <v>930</v>
      </c>
      <c r="AF290" s="50">
        <v>2.5000000000000001E-2</v>
      </c>
      <c r="AG290" s="54"/>
      <c r="AH290" s="54"/>
      <c r="AI290" s="113"/>
      <c r="AJ290" s="50"/>
      <c r="AK290" s="74"/>
      <c r="AL290" s="74"/>
      <c r="AM290" s="74"/>
      <c r="AN290" s="74"/>
      <c r="AO290" s="74"/>
      <c r="AP290" s="74"/>
      <c r="AQ290" s="74"/>
      <c r="AR290" s="74"/>
      <c r="AS290" s="74"/>
      <c r="AT290" s="74"/>
    </row>
    <row r="291" spans="1:46" ht="14">
      <c r="A291" s="41" t="s">
        <v>36</v>
      </c>
      <c r="B291" s="50" t="s">
        <v>2877</v>
      </c>
      <c r="C291" s="50" t="s">
        <v>2878</v>
      </c>
      <c r="D291" s="48" t="s">
        <v>1175</v>
      </c>
      <c r="E291" s="50" t="s">
        <v>4154</v>
      </c>
      <c r="F291" s="50" t="s">
        <v>2880</v>
      </c>
      <c r="G291" s="76" t="s">
        <v>2881</v>
      </c>
      <c r="H291" s="50">
        <v>9199</v>
      </c>
      <c r="I291" s="49" t="s">
        <v>1</v>
      </c>
      <c r="J291" s="50" t="s">
        <v>856</v>
      </c>
      <c r="K291" s="51">
        <v>41432</v>
      </c>
      <c r="L291" s="115"/>
      <c r="N291" s="50" t="s">
        <v>2</v>
      </c>
      <c r="O291" s="74">
        <v>0.7</v>
      </c>
      <c r="P291" s="117">
        <v>5.89</v>
      </c>
      <c r="Q291" s="131">
        <v>7.22</v>
      </c>
      <c r="R291" s="50">
        <v>60</v>
      </c>
      <c r="S291" s="74">
        <v>700</v>
      </c>
      <c r="T291" s="50">
        <v>0.27</v>
      </c>
      <c r="U291" s="74">
        <v>2.4900000000000002</v>
      </c>
      <c r="V291" s="50">
        <v>0.18</v>
      </c>
      <c r="W291" s="74">
        <v>1.4999999999999999E-2</v>
      </c>
      <c r="X291" s="50">
        <v>3.7999999999999999E-2</v>
      </c>
      <c r="Y291" s="74">
        <v>4.0000000000000001E-3</v>
      </c>
      <c r="AG291" s="54"/>
      <c r="AH291" s="54">
        <v>2760</v>
      </c>
      <c r="AI291" s="113"/>
      <c r="AJ291" s="50"/>
      <c r="AK291" s="74"/>
      <c r="AL291" s="74"/>
      <c r="AM291" s="74"/>
      <c r="AN291" s="74"/>
      <c r="AO291" s="74"/>
      <c r="AP291" s="74"/>
      <c r="AQ291" s="74"/>
      <c r="AR291" s="74"/>
      <c r="AS291" s="74"/>
      <c r="AT291" s="74"/>
    </row>
    <row r="292" spans="1:46" ht="14">
      <c r="A292" s="41" t="s">
        <v>36</v>
      </c>
      <c r="B292" s="50" t="s">
        <v>2877</v>
      </c>
      <c r="C292" s="50" t="s">
        <v>2882</v>
      </c>
      <c r="D292" s="48" t="s">
        <v>1175</v>
      </c>
      <c r="E292" s="50" t="s">
        <v>2883</v>
      </c>
      <c r="F292" s="50" t="s">
        <v>2884</v>
      </c>
      <c r="G292" s="76" t="s">
        <v>2885</v>
      </c>
      <c r="H292" s="50">
        <v>9199</v>
      </c>
      <c r="I292" s="49" t="s">
        <v>2</v>
      </c>
      <c r="J292" s="50" t="s">
        <v>856</v>
      </c>
      <c r="K292" s="51">
        <v>41432</v>
      </c>
      <c r="L292" s="115"/>
      <c r="N292" s="50" t="s">
        <v>2</v>
      </c>
      <c r="O292" s="74">
        <v>0.7</v>
      </c>
      <c r="P292" s="117">
        <v>6.02</v>
      </c>
      <c r="Q292" s="131">
        <v>6.23</v>
      </c>
      <c r="R292" s="50">
        <v>42</v>
      </c>
      <c r="S292" s="74">
        <v>360</v>
      </c>
      <c r="T292" s="50">
        <v>0.27</v>
      </c>
      <c r="U292" s="74">
        <v>0.91</v>
      </c>
      <c r="V292" s="50">
        <v>0.22</v>
      </c>
      <c r="W292" s="74">
        <v>1.4E-2</v>
      </c>
      <c r="X292" s="50">
        <v>0.17399999999999999</v>
      </c>
      <c r="Y292" s="74">
        <v>7.0000000000000001E-3</v>
      </c>
      <c r="AE292" s="50">
        <v>374</v>
      </c>
      <c r="AG292" s="54"/>
      <c r="AH292" s="54"/>
      <c r="AI292" s="113"/>
      <c r="AJ292" s="50"/>
      <c r="AK292" s="74"/>
      <c r="AL292" s="74"/>
      <c r="AM292" s="74"/>
      <c r="AN292" s="74"/>
      <c r="AO292" s="74"/>
      <c r="AP292" s="74"/>
      <c r="AQ292" s="74"/>
      <c r="AR292" s="74"/>
      <c r="AS292" s="74"/>
      <c r="AT292" s="74"/>
    </row>
    <row r="293" spans="1:46" ht="14">
      <c r="A293" s="41" t="s">
        <v>36</v>
      </c>
      <c r="B293" s="50" t="s">
        <v>2222</v>
      </c>
      <c r="C293" s="50" t="s">
        <v>2895</v>
      </c>
      <c r="D293" s="48" t="s">
        <v>372</v>
      </c>
      <c r="E293" s="50" t="s">
        <v>235</v>
      </c>
      <c r="F293" s="50" t="s">
        <v>2896</v>
      </c>
      <c r="G293" s="76" t="s">
        <v>2897</v>
      </c>
      <c r="H293" s="50">
        <v>9199</v>
      </c>
      <c r="I293" s="49" t="s">
        <v>2</v>
      </c>
      <c r="J293" s="50" t="s">
        <v>3993</v>
      </c>
      <c r="K293" s="51">
        <v>41428</v>
      </c>
      <c r="L293" s="115"/>
      <c r="N293" s="50" t="s">
        <v>2</v>
      </c>
      <c r="O293" s="74">
        <v>3.68</v>
      </c>
      <c r="P293" s="117">
        <v>7.08</v>
      </c>
      <c r="Q293" s="131">
        <v>7.39</v>
      </c>
      <c r="R293" s="50">
        <v>3.56</v>
      </c>
      <c r="S293" s="74">
        <v>40</v>
      </c>
      <c r="T293" s="50">
        <v>0.09</v>
      </c>
      <c r="U293" s="74">
        <v>0.81</v>
      </c>
      <c r="V293" s="50">
        <v>0.5</v>
      </c>
      <c r="W293" s="74">
        <v>7.4999999999999997E-2</v>
      </c>
      <c r="X293" s="50">
        <v>0.16</v>
      </c>
      <c r="Y293" s="74">
        <v>0.02</v>
      </c>
      <c r="Z293" s="164">
        <v>1</v>
      </c>
      <c r="AA293" s="165">
        <v>1</v>
      </c>
      <c r="AB293" s="50">
        <v>4</v>
      </c>
      <c r="AC293" s="74">
        <v>12.5</v>
      </c>
      <c r="AD293" s="164">
        <v>1</v>
      </c>
      <c r="AE293" s="50">
        <v>0.3</v>
      </c>
      <c r="AF293" s="50">
        <v>5.0000000000000001E-3</v>
      </c>
      <c r="AG293" s="54"/>
      <c r="AH293" s="54"/>
      <c r="AI293" s="113"/>
      <c r="AJ293" s="50"/>
      <c r="AK293" s="74"/>
      <c r="AL293" s="74"/>
      <c r="AM293" s="74"/>
      <c r="AN293" s="74"/>
      <c r="AO293" s="74"/>
      <c r="AP293" s="74"/>
      <c r="AQ293" s="74"/>
      <c r="AR293" s="74"/>
      <c r="AS293" s="74"/>
      <c r="AT293" s="74"/>
    </row>
    <row r="294" spans="1:46" ht="14">
      <c r="A294" s="41" t="s">
        <v>36</v>
      </c>
      <c r="B294" s="50" t="s">
        <v>2222</v>
      </c>
      <c r="C294" s="50" t="s">
        <v>2895</v>
      </c>
      <c r="D294" s="48" t="s">
        <v>372</v>
      </c>
      <c r="E294" s="50" t="s">
        <v>235</v>
      </c>
      <c r="F294" s="50" t="s">
        <v>2896</v>
      </c>
      <c r="G294" s="76" t="s">
        <v>2897</v>
      </c>
      <c r="H294" s="50">
        <v>9199</v>
      </c>
      <c r="I294" s="49" t="s">
        <v>2</v>
      </c>
      <c r="J294" s="50" t="s">
        <v>3994</v>
      </c>
      <c r="K294" s="51">
        <v>41428</v>
      </c>
      <c r="L294" s="115"/>
      <c r="N294" s="50" t="s">
        <v>2</v>
      </c>
      <c r="O294" s="74">
        <v>1.25</v>
      </c>
      <c r="P294" s="117">
        <v>7.08</v>
      </c>
      <c r="Q294" s="131">
        <v>6.53</v>
      </c>
      <c r="R294" s="50">
        <v>34.4</v>
      </c>
      <c r="S294" s="74">
        <v>94.5</v>
      </c>
      <c r="T294" s="50">
        <v>0.14000000000000001</v>
      </c>
      <c r="U294" s="74">
        <v>0.93</v>
      </c>
      <c r="V294" s="50">
        <v>0.5</v>
      </c>
      <c r="W294" s="74">
        <v>0.06</v>
      </c>
      <c r="X294" s="50">
        <v>7.0000000000000007E-2</v>
      </c>
      <c r="Y294" s="74">
        <v>0.02</v>
      </c>
      <c r="Z294" s="164">
        <v>1</v>
      </c>
      <c r="AA294" s="165">
        <v>1</v>
      </c>
      <c r="AB294" s="50">
        <v>12</v>
      </c>
      <c r="AC294" s="74">
        <v>773</v>
      </c>
      <c r="AD294" s="164">
        <v>1</v>
      </c>
      <c r="AE294" s="50">
        <v>0.3</v>
      </c>
      <c r="AF294" s="50">
        <v>5.0000000000000001E-3</v>
      </c>
      <c r="AG294" s="54"/>
      <c r="AH294" s="54"/>
      <c r="AI294" s="113"/>
      <c r="AJ294" s="50"/>
      <c r="AK294" s="74"/>
      <c r="AL294" s="74"/>
      <c r="AM294" s="74"/>
      <c r="AN294" s="74"/>
      <c r="AO294" s="74"/>
      <c r="AP294" s="74"/>
      <c r="AQ294" s="74"/>
      <c r="AR294" s="74"/>
      <c r="AS294" s="74"/>
      <c r="AT294" s="74"/>
    </row>
    <row r="295" spans="1:46" ht="14">
      <c r="A295" s="41" t="s">
        <v>36</v>
      </c>
      <c r="B295" s="50" t="s">
        <v>4063</v>
      </c>
      <c r="C295" s="50" t="s">
        <v>4064</v>
      </c>
      <c r="D295" s="48" t="s">
        <v>1683</v>
      </c>
      <c r="E295" s="50" t="s">
        <v>304</v>
      </c>
      <c r="F295" s="50">
        <v>6000</v>
      </c>
      <c r="G295" s="76" t="s">
        <v>3823</v>
      </c>
      <c r="H295" s="50">
        <v>4952</v>
      </c>
      <c r="I295" s="49" t="s">
        <v>2</v>
      </c>
      <c r="J295" s="50" t="s">
        <v>641</v>
      </c>
      <c r="K295" s="51">
        <v>41428</v>
      </c>
      <c r="L295" s="115">
        <v>41419</v>
      </c>
      <c r="M295" s="402">
        <f t="shared" ref="M295:M309" si="17">K295-L295</f>
        <v>9</v>
      </c>
      <c r="N295" s="50" t="s">
        <v>2</v>
      </c>
      <c r="O295" s="74">
        <v>0.5</v>
      </c>
      <c r="P295" s="117">
        <v>5.94</v>
      </c>
      <c r="Q295" s="131">
        <v>6.17</v>
      </c>
      <c r="R295" s="50">
        <v>6.8</v>
      </c>
      <c r="S295" s="74">
        <v>9</v>
      </c>
      <c r="T295" s="50">
        <v>0.42</v>
      </c>
      <c r="U295" s="74">
        <v>0.32</v>
      </c>
      <c r="V295" s="50">
        <v>0.1</v>
      </c>
      <c r="W295" s="74">
        <v>5.0000000000000001E-3</v>
      </c>
      <c r="X295" s="50">
        <v>5.0000000000000001E-3</v>
      </c>
      <c r="Y295" s="74">
        <v>0.01</v>
      </c>
      <c r="AG295" s="54"/>
      <c r="AH295" s="54"/>
      <c r="AI295" s="113"/>
      <c r="AJ295" s="50"/>
      <c r="AK295" s="74"/>
      <c r="AL295" s="74"/>
      <c r="AM295" s="74"/>
      <c r="AN295" s="74"/>
      <c r="AO295" s="74"/>
      <c r="AP295" s="74"/>
      <c r="AQ295" s="74"/>
      <c r="AR295" s="74"/>
      <c r="AS295" s="74"/>
      <c r="AT295" s="74"/>
    </row>
    <row r="296" spans="1:46" ht="14">
      <c r="A296" s="41" t="s">
        <v>36</v>
      </c>
      <c r="B296" s="50" t="s">
        <v>2280</v>
      </c>
      <c r="C296" s="50" t="s">
        <v>393</v>
      </c>
      <c r="D296" s="48" t="s">
        <v>195</v>
      </c>
      <c r="E296" s="50" t="s">
        <v>1831</v>
      </c>
      <c r="F296" s="50">
        <v>5302</v>
      </c>
      <c r="G296" s="76" t="s">
        <v>2767</v>
      </c>
      <c r="H296" s="50">
        <v>9199</v>
      </c>
      <c r="I296" s="49" t="s">
        <v>2</v>
      </c>
      <c r="J296" s="50" t="s">
        <v>696</v>
      </c>
      <c r="K296" s="51">
        <v>41345</v>
      </c>
      <c r="L296" s="115">
        <v>41341</v>
      </c>
      <c r="M296" s="402">
        <f t="shared" si="17"/>
        <v>4</v>
      </c>
      <c r="N296" s="50" t="s">
        <v>2</v>
      </c>
      <c r="O296" s="74">
        <v>1</v>
      </c>
      <c r="P296" s="117">
        <v>6</v>
      </c>
      <c r="Q296" s="131">
        <v>7.4</v>
      </c>
      <c r="R296" s="50">
        <v>127</v>
      </c>
      <c r="S296" s="74">
        <v>607</v>
      </c>
      <c r="T296" s="50">
        <v>0.94</v>
      </c>
      <c r="U296" s="74">
        <v>6.61</v>
      </c>
      <c r="V296" s="50">
        <v>0.15</v>
      </c>
      <c r="W296" s="74">
        <v>6.9000000000000006E-2</v>
      </c>
      <c r="X296" s="50">
        <v>0.13500000000000001</v>
      </c>
      <c r="Y296" s="74">
        <v>5.6000000000000001E-2</v>
      </c>
      <c r="Z296" s="164">
        <v>1</v>
      </c>
      <c r="AA296" s="165">
        <v>1</v>
      </c>
      <c r="AB296" s="50">
        <v>293</v>
      </c>
      <c r="AC296" s="74">
        <v>3870</v>
      </c>
      <c r="AD296" s="164">
        <v>1</v>
      </c>
      <c r="AG296" s="54"/>
      <c r="AH296" s="54"/>
      <c r="AI296" s="113"/>
      <c r="AJ296" s="50"/>
      <c r="AK296" s="74"/>
      <c r="AL296" s="74"/>
      <c r="AM296" s="74"/>
      <c r="AN296" s="74"/>
      <c r="AO296" s="74"/>
      <c r="AP296" s="74"/>
      <c r="AQ296" s="74"/>
      <c r="AR296" s="74"/>
      <c r="AS296" s="74"/>
      <c r="AT296" s="74"/>
    </row>
    <row r="297" spans="1:46" ht="14">
      <c r="A297" s="41" t="s">
        <v>36</v>
      </c>
      <c r="B297" s="50" t="s">
        <v>4155</v>
      </c>
      <c r="C297" s="50" t="s">
        <v>4156</v>
      </c>
      <c r="D297" s="48" t="s">
        <v>4157</v>
      </c>
      <c r="G297" s="76" t="s">
        <v>4158</v>
      </c>
      <c r="H297" s="50">
        <v>9199</v>
      </c>
      <c r="I297" s="49" t="s">
        <v>2</v>
      </c>
      <c r="J297" s="50" t="s">
        <v>4159</v>
      </c>
      <c r="K297" s="51">
        <v>41201</v>
      </c>
      <c r="L297" s="115">
        <v>41197</v>
      </c>
      <c r="M297" s="402">
        <f t="shared" si="17"/>
        <v>4</v>
      </c>
      <c r="N297" s="50" t="s">
        <v>2</v>
      </c>
      <c r="O297" s="74">
        <v>0.5</v>
      </c>
      <c r="P297" s="117">
        <v>6.3</v>
      </c>
      <c r="Q297" s="131">
        <v>7.7</v>
      </c>
      <c r="R297" s="50">
        <v>27</v>
      </c>
      <c r="S297" s="74">
        <v>14</v>
      </c>
      <c r="T297" s="50">
        <v>0.01</v>
      </c>
      <c r="U297" s="74">
        <v>0.48</v>
      </c>
      <c r="V297" s="50">
        <v>0.25</v>
      </c>
      <c r="W297" s="74">
        <v>0.04</v>
      </c>
      <c r="X297" s="50">
        <v>5.0000000000000001E-3</v>
      </c>
      <c r="Y297" s="74">
        <v>5.0000000000000001E-4</v>
      </c>
      <c r="Z297" s="164">
        <v>1</v>
      </c>
      <c r="AA297" s="165">
        <v>1</v>
      </c>
      <c r="AB297" s="50">
        <v>48</v>
      </c>
      <c r="AC297" s="74">
        <v>247</v>
      </c>
      <c r="AD297" s="164">
        <v>1</v>
      </c>
      <c r="AG297" s="54"/>
      <c r="AH297" s="54"/>
      <c r="AI297" s="113"/>
      <c r="AJ297" s="50"/>
      <c r="AK297" s="74"/>
      <c r="AL297" s="74"/>
      <c r="AM297" s="74"/>
      <c r="AN297" s="74"/>
      <c r="AO297" s="74"/>
      <c r="AP297" s="74"/>
      <c r="AQ297" s="74"/>
      <c r="AR297" s="74"/>
      <c r="AS297" s="74"/>
      <c r="AT297" s="74"/>
    </row>
    <row r="298" spans="1:46" ht="14">
      <c r="A298" s="41" t="s">
        <v>36</v>
      </c>
      <c r="B298" s="50" t="s">
        <v>4155</v>
      </c>
      <c r="C298" s="50" t="s">
        <v>4156</v>
      </c>
      <c r="D298" s="48" t="s">
        <v>4157</v>
      </c>
      <c r="G298" s="76" t="s">
        <v>4158</v>
      </c>
      <c r="H298" s="50">
        <v>9199</v>
      </c>
      <c r="I298" s="49" t="s">
        <v>2</v>
      </c>
      <c r="J298" s="50" t="s">
        <v>4160</v>
      </c>
      <c r="K298" s="51">
        <v>41201</v>
      </c>
      <c r="L298" s="115">
        <v>41197</v>
      </c>
      <c r="M298" s="402">
        <f t="shared" si="17"/>
        <v>4</v>
      </c>
      <c r="N298" s="50" t="s">
        <v>2</v>
      </c>
      <c r="O298" s="74">
        <v>3.32</v>
      </c>
      <c r="P298" s="117">
        <v>6.3</v>
      </c>
      <c r="Q298" s="131">
        <v>8.5</v>
      </c>
      <c r="R298" s="50">
        <v>160</v>
      </c>
      <c r="S298" s="74">
        <v>107</v>
      </c>
      <c r="T298" s="50">
        <v>0.09</v>
      </c>
      <c r="U298" s="74">
        <v>1.25</v>
      </c>
      <c r="V298" s="50">
        <v>1.77</v>
      </c>
      <c r="W298" s="74">
        <v>0.01</v>
      </c>
      <c r="X298" s="50">
        <v>0.01</v>
      </c>
      <c r="Y298" s="74">
        <v>5.0000000000000001E-3</v>
      </c>
      <c r="Z298" s="164">
        <v>1</v>
      </c>
      <c r="AA298" s="165">
        <v>1</v>
      </c>
      <c r="AB298" s="50">
        <v>172</v>
      </c>
      <c r="AC298" s="74">
        <v>3</v>
      </c>
      <c r="AD298" s="164">
        <v>1</v>
      </c>
      <c r="AG298" s="54"/>
      <c r="AH298" s="54"/>
      <c r="AI298" s="113"/>
      <c r="AJ298" s="50"/>
      <c r="AK298" s="74"/>
      <c r="AL298" s="74"/>
      <c r="AM298" s="74"/>
      <c r="AN298" s="74"/>
      <c r="AO298" s="74"/>
      <c r="AP298" s="74"/>
      <c r="AQ298" s="74"/>
      <c r="AR298" s="74"/>
      <c r="AS298" s="74"/>
      <c r="AT298" s="74"/>
    </row>
    <row r="299" spans="1:46" ht="14">
      <c r="A299" s="41" t="s">
        <v>36</v>
      </c>
      <c r="B299" s="50" t="s">
        <v>4161</v>
      </c>
      <c r="C299" s="50" t="s">
        <v>2757</v>
      </c>
      <c r="D299" s="48" t="s">
        <v>2374</v>
      </c>
      <c r="E299" s="50" t="s">
        <v>4162</v>
      </c>
      <c r="G299" s="76" t="s">
        <v>4163</v>
      </c>
      <c r="H299" s="50">
        <v>9199</v>
      </c>
      <c r="I299" s="49" t="s">
        <v>2</v>
      </c>
      <c r="J299" s="50" t="s">
        <v>4164</v>
      </c>
      <c r="K299" s="51">
        <v>41345</v>
      </c>
      <c r="L299" s="115">
        <v>41341</v>
      </c>
      <c r="M299" s="402">
        <f t="shared" si="17"/>
        <v>4</v>
      </c>
      <c r="N299" s="50" t="s">
        <v>2</v>
      </c>
      <c r="O299" s="74">
        <v>1.9</v>
      </c>
      <c r="P299" s="117">
        <v>5</v>
      </c>
      <c r="Q299" s="131">
        <v>7.1</v>
      </c>
      <c r="R299" s="50">
        <v>79</v>
      </c>
      <c r="S299" s="74">
        <v>130</v>
      </c>
      <c r="T299" s="50">
        <v>0.22</v>
      </c>
      <c r="U299" s="74">
        <v>4.09</v>
      </c>
      <c r="V299" s="50">
        <v>1.57</v>
      </c>
      <c r="W299" s="74">
        <v>8.0000000000000002E-3</v>
      </c>
      <c r="X299" s="50">
        <v>5.0999999999999997E-2</v>
      </c>
      <c r="Y299" s="74">
        <v>7.0000000000000001E-3</v>
      </c>
      <c r="Z299" s="164">
        <v>1</v>
      </c>
      <c r="AA299" s="165">
        <v>1</v>
      </c>
      <c r="AB299" s="50">
        <v>470</v>
      </c>
      <c r="AC299" s="74">
        <v>2981</v>
      </c>
      <c r="AD299" s="164">
        <v>1</v>
      </c>
      <c r="AE299" s="50">
        <v>709</v>
      </c>
      <c r="AF299" s="50">
        <v>0.02</v>
      </c>
      <c r="AG299" s="54"/>
      <c r="AH299" s="54"/>
      <c r="AI299" s="113"/>
      <c r="AJ299" s="50"/>
      <c r="AK299" s="74"/>
      <c r="AL299" s="74"/>
      <c r="AM299" s="74"/>
      <c r="AN299" s="74"/>
      <c r="AO299" s="74"/>
      <c r="AP299" s="74"/>
      <c r="AQ299" s="74"/>
      <c r="AR299" s="74"/>
      <c r="AS299" s="74"/>
      <c r="AT299" s="74"/>
    </row>
    <row r="300" spans="1:46" ht="14">
      <c r="A300" s="41" t="s">
        <v>36</v>
      </c>
      <c r="B300" s="50" t="s">
        <v>4161</v>
      </c>
      <c r="C300" s="50" t="s">
        <v>392</v>
      </c>
      <c r="D300" s="48" t="s">
        <v>2374</v>
      </c>
      <c r="E300" s="50" t="s">
        <v>4162</v>
      </c>
      <c r="G300" s="76" t="s">
        <v>4163</v>
      </c>
      <c r="H300" s="50">
        <v>9199</v>
      </c>
      <c r="I300" s="49" t="s">
        <v>2</v>
      </c>
      <c r="J300" s="50" t="s">
        <v>4165</v>
      </c>
      <c r="K300" s="51">
        <v>41345</v>
      </c>
      <c r="L300" s="115">
        <v>41341</v>
      </c>
      <c r="M300" s="402">
        <f t="shared" si="17"/>
        <v>4</v>
      </c>
      <c r="N300" s="50" t="s">
        <v>2</v>
      </c>
      <c r="O300" s="74">
        <v>0.7</v>
      </c>
      <c r="P300" s="117">
        <v>5</v>
      </c>
      <c r="Q300" s="131">
        <v>6.5</v>
      </c>
      <c r="R300" s="50">
        <v>195</v>
      </c>
      <c r="S300" s="74">
        <v>59</v>
      </c>
      <c r="T300" s="50">
        <v>0.14000000000000001</v>
      </c>
      <c r="U300" s="74">
        <v>1.24</v>
      </c>
      <c r="V300" s="50">
        <v>2.99</v>
      </c>
      <c r="W300" s="74">
        <v>6.0000000000000001E-3</v>
      </c>
      <c r="X300" s="50">
        <v>5.8999999999999997E-2</v>
      </c>
      <c r="Y300" s="74">
        <v>3.0000000000000001E-3</v>
      </c>
      <c r="Z300" s="164">
        <v>1</v>
      </c>
      <c r="AA300" s="165">
        <v>1</v>
      </c>
      <c r="AB300" s="50">
        <v>470</v>
      </c>
      <c r="AC300" s="74">
        <v>2981</v>
      </c>
      <c r="AD300" s="164">
        <v>1</v>
      </c>
      <c r="AE300" s="50">
        <v>709</v>
      </c>
      <c r="AF300" s="50">
        <v>0.02</v>
      </c>
      <c r="AG300" s="54"/>
      <c r="AH300" s="54"/>
      <c r="AI300" s="113"/>
      <c r="AJ300" s="50"/>
      <c r="AK300" s="74"/>
      <c r="AL300" s="74"/>
      <c r="AM300" s="74"/>
      <c r="AN300" s="74"/>
      <c r="AO300" s="74"/>
      <c r="AP300" s="74"/>
      <c r="AQ300" s="74"/>
      <c r="AR300" s="74"/>
      <c r="AS300" s="74"/>
      <c r="AT300" s="74"/>
    </row>
    <row r="301" spans="1:46" ht="14">
      <c r="A301" s="41" t="s">
        <v>36</v>
      </c>
      <c r="B301" s="50" t="s">
        <v>2763</v>
      </c>
      <c r="C301" s="50" t="s">
        <v>1482</v>
      </c>
      <c r="D301" s="48" t="s">
        <v>2378</v>
      </c>
      <c r="F301" s="50" t="s">
        <v>4166</v>
      </c>
      <c r="G301" s="76" t="s">
        <v>2765</v>
      </c>
      <c r="H301" s="50">
        <v>4212</v>
      </c>
      <c r="I301" s="49" t="s">
        <v>2</v>
      </c>
      <c r="J301" s="50" t="s">
        <v>510</v>
      </c>
      <c r="K301" s="51">
        <v>41345</v>
      </c>
      <c r="L301" s="115">
        <v>41341</v>
      </c>
      <c r="M301" s="402">
        <f t="shared" si="17"/>
        <v>4</v>
      </c>
      <c r="N301" s="50" t="s">
        <v>2</v>
      </c>
      <c r="O301" s="74">
        <v>0.7</v>
      </c>
      <c r="P301" s="117">
        <v>6.5</v>
      </c>
      <c r="Q301" s="131">
        <v>7.12</v>
      </c>
      <c r="R301" s="50">
        <v>12</v>
      </c>
      <c r="S301" s="74">
        <v>8.5</v>
      </c>
      <c r="T301" s="50">
        <v>0.04</v>
      </c>
      <c r="U301" s="74">
        <v>0.38</v>
      </c>
      <c r="V301" s="50">
        <v>0.32</v>
      </c>
      <c r="W301" s="74">
        <v>2.5000000000000001E-3</v>
      </c>
      <c r="X301" s="50">
        <v>7.0000000000000001E-3</v>
      </c>
      <c r="Y301" s="74">
        <v>1E-3</v>
      </c>
      <c r="AE301" s="50">
        <v>20.399999999999999</v>
      </c>
      <c r="AF301" s="50">
        <v>5.0000000000000001E-3</v>
      </c>
      <c r="AG301" s="54"/>
      <c r="AH301" s="54"/>
      <c r="AI301" s="113"/>
      <c r="AJ301" s="50"/>
      <c r="AK301" s="74"/>
      <c r="AL301" s="74"/>
      <c r="AM301" s="74"/>
      <c r="AN301" s="74"/>
      <c r="AO301" s="74"/>
      <c r="AP301" s="74"/>
      <c r="AQ301" s="74"/>
      <c r="AR301" s="74"/>
      <c r="AS301" s="74"/>
      <c r="AT301" s="74"/>
    </row>
    <row r="302" spans="1:46" ht="14">
      <c r="A302" s="41" t="s">
        <v>36</v>
      </c>
      <c r="B302" s="50" t="s">
        <v>2770</v>
      </c>
      <c r="C302" s="50" t="s">
        <v>2771</v>
      </c>
      <c r="D302" s="48" t="s">
        <v>2772</v>
      </c>
      <c r="E302" s="50" t="s">
        <v>1941</v>
      </c>
      <c r="G302" s="76" t="s">
        <v>2773</v>
      </c>
      <c r="H302" s="50">
        <v>9199</v>
      </c>
      <c r="I302" s="49" t="s">
        <v>2</v>
      </c>
      <c r="J302" s="50" t="s">
        <v>2694</v>
      </c>
      <c r="K302" s="51">
        <v>41345</v>
      </c>
      <c r="L302" s="115">
        <v>41341</v>
      </c>
      <c r="M302" s="402">
        <f t="shared" si="17"/>
        <v>4</v>
      </c>
      <c r="N302" s="50" t="s">
        <v>2</v>
      </c>
      <c r="O302" s="74">
        <v>0.8</v>
      </c>
      <c r="P302" s="117">
        <v>4.96</v>
      </c>
      <c r="Q302" s="131">
        <v>6.7</v>
      </c>
      <c r="R302" s="50">
        <v>30</v>
      </c>
      <c r="S302" s="74">
        <v>2.5</v>
      </c>
      <c r="T302" s="50">
        <v>0.05</v>
      </c>
      <c r="U302" s="74">
        <v>0.52</v>
      </c>
      <c r="V302" s="50">
        <v>0.01</v>
      </c>
      <c r="W302" s="74">
        <v>6.0000000000000001E-3</v>
      </c>
      <c r="X302" s="50">
        <v>5.7000000000000002E-2</v>
      </c>
      <c r="Y302" s="74">
        <v>1E-3</v>
      </c>
      <c r="Z302" s="164">
        <v>1</v>
      </c>
      <c r="AA302" s="165">
        <v>1</v>
      </c>
      <c r="AB302" s="50">
        <v>50</v>
      </c>
      <c r="AC302" s="74">
        <v>2272</v>
      </c>
      <c r="AD302" s="164">
        <v>1</v>
      </c>
      <c r="AE302" s="50">
        <v>704</v>
      </c>
      <c r="AF302" s="50">
        <v>5.0000000000000001E-3</v>
      </c>
      <c r="AG302" s="54"/>
      <c r="AH302" s="54"/>
      <c r="AI302" s="113"/>
      <c r="AJ302" s="50"/>
      <c r="AK302" s="74"/>
      <c r="AL302" s="74"/>
      <c r="AM302" s="74"/>
      <c r="AN302" s="74"/>
      <c r="AO302" s="74"/>
      <c r="AP302" s="74"/>
      <c r="AQ302" s="74"/>
      <c r="AR302" s="74"/>
      <c r="AS302" s="74"/>
      <c r="AT302" s="74"/>
    </row>
    <row r="303" spans="1:46" ht="14">
      <c r="A303" s="41" t="s">
        <v>36</v>
      </c>
      <c r="B303" s="50" t="s">
        <v>3909</v>
      </c>
      <c r="C303" s="50" t="s">
        <v>4167</v>
      </c>
      <c r="D303" s="48" t="s">
        <v>1683</v>
      </c>
      <c r="E303" s="50" t="s">
        <v>4168</v>
      </c>
      <c r="G303" s="76" t="s">
        <v>3910</v>
      </c>
      <c r="H303" s="50">
        <v>9199</v>
      </c>
      <c r="I303" s="49" t="s">
        <v>1</v>
      </c>
      <c r="J303" s="50" t="s">
        <v>4169</v>
      </c>
      <c r="K303" s="51">
        <v>41402</v>
      </c>
      <c r="L303" s="115">
        <v>41384</v>
      </c>
      <c r="M303" s="402">
        <f t="shared" si="17"/>
        <v>18</v>
      </c>
      <c r="N303" s="50" t="s">
        <v>2</v>
      </c>
      <c r="O303" s="74">
        <v>2.5</v>
      </c>
      <c r="P303" s="117">
        <v>4.47</v>
      </c>
      <c r="Q303" s="131">
        <v>7.45</v>
      </c>
      <c r="R303" s="50">
        <v>31</v>
      </c>
      <c r="S303" s="74">
        <v>78</v>
      </c>
      <c r="T303" s="50">
        <v>0.1</v>
      </c>
      <c r="U303" s="74">
        <v>0.5</v>
      </c>
      <c r="V303" s="50">
        <v>4.5</v>
      </c>
      <c r="W303" s="74">
        <v>6.6000000000000003E-2</v>
      </c>
      <c r="X303" s="50">
        <v>9.7000000000000003E-2</v>
      </c>
      <c r="Y303" s="74">
        <v>6.0999999999999999E-2</v>
      </c>
      <c r="Z303" s="164">
        <v>1</v>
      </c>
      <c r="AA303" s="165">
        <v>1</v>
      </c>
      <c r="AB303" s="50">
        <v>78</v>
      </c>
      <c r="AC303" s="74">
        <v>534</v>
      </c>
      <c r="AD303" s="164">
        <v>0.5</v>
      </c>
      <c r="AG303" s="54"/>
      <c r="AH303" s="54"/>
      <c r="AI303" s="113"/>
      <c r="AJ303" s="50"/>
      <c r="AK303" s="74"/>
      <c r="AL303" s="74"/>
      <c r="AM303" s="74"/>
      <c r="AN303" s="74"/>
      <c r="AO303" s="74"/>
      <c r="AP303" s="74"/>
      <c r="AQ303" s="74"/>
      <c r="AR303" s="74"/>
      <c r="AS303" s="74"/>
      <c r="AT303" s="74"/>
    </row>
    <row r="304" spans="1:46" ht="14">
      <c r="A304" s="41" t="s">
        <v>36</v>
      </c>
      <c r="B304" s="7" t="s">
        <v>2780</v>
      </c>
      <c r="C304" s="7" t="s">
        <v>392</v>
      </c>
      <c r="D304" s="14" t="s">
        <v>2781</v>
      </c>
      <c r="E304" s="7" t="s">
        <v>4177</v>
      </c>
      <c r="F304" s="321" t="s">
        <v>2786</v>
      </c>
      <c r="G304" s="15" t="s">
        <v>2787</v>
      </c>
      <c r="H304" s="7">
        <v>9199</v>
      </c>
      <c r="I304" s="19" t="s">
        <v>2</v>
      </c>
      <c r="J304" s="7" t="s">
        <v>2788</v>
      </c>
      <c r="K304" s="16">
        <v>41345</v>
      </c>
      <c r="L304" s="17">
        <v>41341</v>
      </c>
      <c r="M304" s="402">
        <f t="shared" si="17"/>
        <v>4</v>
      </c>
      <c r="N304" s="7" t="s">
        <v>2</v>
      </c>
      <c r="O304" s="6">
        <v>0.7</v>
      </c>
      <c r="P304" s="9">
        <v>4.96</v>
      </c>
      <c r="Q304" s="8">
        <v>6.7</v>
      </c>
      <c r="R304" s="7">
        <v>23</v>
      </c>
      <c r="S304" s="6">
        <v>5</v>
      </c>
      <c r="T304" s="7">
        <v>0.08</v>
      </c>
      <c r="U304" s="6">
        <v>0.52</v>
      </c>
      <c r="V304" s="7">
        <v>7.0000000000000007E-2</v>
      </c>
      <c r="W304" s="6">
        <v>2.5000000000000001E-3</v>
      </c>
      <c r="X304" s="7">
        <v>0.01</v>
      </c>
      <c r="Y304" s="6">
        <v>1E-3</v>
      </c>
      <c r="Z304" s="12">
        <v>1</v>
      </c>
      <c r="AA304" s="13">
        <v>1</v>
      </c>
      <c r="AB304" s="7">
        <v>24</v>
      </c>
      <c r="AC304" s="6">
        <v>254</v>
      </c>
      <c r="AD304" s="12">
        <v>1</v>
      </c>
      <c r="AE304" s="7"/>
      <c r="AF304" s="7"/>
      <c r="AG304" s="320"/>
      <c r="AH304" s="320"/>
      <c r="AI304" s="2"/>
      <c r="AJ304" s="5"/>
      <c r="AK304"/>
      <c r="AL304"/>
      <c r="AM304"/>
      <c r="AN304"/>
      <c r="AO304"/>
      <c r="AP304"/>
      <c r="AQ304"/>
      <c r="AR304"/>
      <c r="AS304"/>
      <c r="AT304"/>
    </row>
    <row r="305" spans="1:46" ht="14">
      <c r="A305" s="41" t="s">
        <v>36</v>
      </c>
      <c r="B305" s="7" t="s">
        <v>2780</v>
      </c>
      <c r="C305" s="7" t="s">
        <v>1482</v>
      </c>
      <c r="D305" s="14" t="s">
        <v>2781</v>
      </c>
      <c r="E305" s="7" t="s">
        <v>2782</v>
      </c>
      <c r="F305" s="7" t="s">
        <v>2783</v>
      </c>
      <c r="G305" s="15" t="s">
        <v>2784</v>
      </c>
      <c r="H305" s="7">
        <v>9199</v>
      </c>
      <c r="I305" s="19" t="s">
        <v>2</v>
      </c>
      <c r="J305" s="7" t="s">
        <v>2694</v>
      </c>
      <c r="K305" s="16">
        <v>41345</v>
      </c>
      <c r="L305" s="17">
        <v>41341</v>
      </c>
      <c r="M305" s="402">
        <f t="shared" si="17"/>
        <v>4</v>
      </c>
      <c r="N305" s="7" t="s">
        <v>2</v>
      </c>
      <c r="O305" s="6">
        <v>10</v>
      </c>
      <c r="P305" s="9">
        <v>4.9000000000000004</v>
      </c>
      <c r="Q305" s="8">
        <v>7</v>
      </c>
      <c r="R305" s="7">
        <v>2670</v>
      </c>
      <c r="S305" s="6">
        <v>340</v>
      </c>
      <c r="T305" s="7">
        <v>1</v>
      </c>
      <c r="U305" s="6">
        <v>15.6</v>
      </c>
      <c r="V305" s="7">
        <v>5.0000000000000001E-3</v>
      </c>
      <c r="W305" s="6">
        <v>4.5999999999999999E-2</v>
      </c>
      <c r="X305" s="7">
        <v>0.34899999999999998</v>
      </c>
      <c r="Y305" s="6">
        <v>1.72E-2</v>
      </c>
      <c r="Z305" s="12">
        <v>8.7999999999999995E-2</v>
      </c>
      <c r="AA305" s="13">
        <v>8.4599999999999995E-2</v>
      </c>
      <c r="AB305" s="7">
        <v>4</v>
      </c>
      <c r="AC305" s="6">
        <v>53</v>
      </c>
      <c r="AD305" s="12">
        <v>0</v>
      </c>
      <c r="AE305" s="7">
        <v>25200</v>
      </c>
      <c r="AF305" s="7">
        <v>1.04</v>
      </c>
      <c r="AG305" s="320"/>
      <c r="AH305" s="320"/>
      <c r="AI305" s="2"/>
      <c r="AJ305" s="5"/>
      <c r="AK305"/>
      <c r="AL305"/>
      <c r="AM305"/>
      <c r="AN305"/>
      <c r="AO305"/>
      <c r="AP305"/>
      <c r="AQ305"/>
      <c r="AR305"/>
      <c r="AS305"/>
      <c r="AT305"/>
    </row>
    <row r="306" spans="1:46" ht="14">
      <c r="A306" s="41" t="s">
        <v>36</v>
      </c>
      <c r="B306" s="7" t="s">
        <v>387</v>
      </c>
      <c r="C306" s="7"/>
      <c r="D306" s="14" t="s">
        <v>389</v>
      </c>
      <c r="E306" s="7" t="s">
        <v>112</v>
      </c>
      <c r="F306" s="7"/>
      <c r="G306" s="15" t="s">
        <v>394</v>
      </c>
      <c r="H306" s="7"/>
      <c r="I306" s="19"/>
      <c r="J306" s="7" t="s">
        <v>395</v>
      </c>
      <c r="K306" s="16">
        <v>41422</v>
      </c>
      <c r="L306" s="17">
        <v>41418</v>
      </c>
      <c r="M306" s="402">
        <f t="shared" si="17"/>
        <v>4</v>
      </c>
      <c r="N306" s="7" t="s">
        <v>2</v>
      </c>
      <c r="O306" s="6">
        <v>2.4</v>
      </c>
      <c r="P306" s="9">
        <v>6.11</v>
      </c>
      <c r="Q306" s="8">
        <v>6.85</v>
      </c>
      <c r="R306" s="7">
        <v>3.7</v>
      </c>
      <c r="S306" s="6">
        <v>13</v>
      </c>
      <c r="T306" s="7">
        <v>2.5000000000000001E-2</v>
      </c>
      <c r="U306" s="6">
        <v>1.68</v>
      </c>
      <c r="V306" s="7">
        <v>0.32</v>
      </c>
      <c r="W306" s="6">
        <v>5.0000000000000001E-3</v>
      </c>
      <c r="X306" s="7">
        <v>2.1999999999999999E-2</v>
      </c>
      <c r="Y306" s="6">
        <v>1E-3</v>
      </c>
      <c r="Z306" s="12">
        <v>1</v>
      </c>
      <c r="AA306" s="13">
        <v>1</v>
      </c>
      <c r="AB306" s="7">
        <v>50.89</v>
      </c>
      <c r="AC306" s="6">
        <v>193</v>
      </c>
      <c r="AD306" s="12">
        <v>1</v>
      </c>
      <c r="AE306" s="7"/>
      <c r="AF306" s="7"/>
      <c r="AG306" s="320"/>
      <c r="AH306" s="320"/>
      <c r="AI306" s="2"/>
      <c r="AJ306" s="5"/>
      <c r="AK306"/>
      <c r="AL306"/>
      <c r="AM306"/>
      <c r="AN306"/>
      <c r="AO306"/>
      <c r="AP306"/>
      <c r="AQ306"/>
      <c r="AR306"/>
      <c r="AS306"/>
      <c r="AT306"/>
    </row>
    <row r="307" spans="1:46" ht="14">
      <c r="A307" s="41" t="s">
        <v>36</v>
      </c>
      <c r="B307" s="7" t="s">
        <v>2907</v>
      </c>
      <c r="C307" s="7" t="s">
        <v>2757</v>
      </c>
      <c r="D307" s="14" t="s">
        <v>268</v>
      </c>
      <c r="E307" s="7" t="s">
        <v>2908</v>
      </c>
      <c r="F307" s="7">
        <v>4403</v>
      </c>
      <c r="G307" s="15" t="s">
        <v>2909</v>
      </c>
      <c r="H307" s="7">
        <v>9199</v>
      </c>
      <c r="I307" s="19" t="s">
        <v>1</v>
      </c>
      <c r="J307" s="7" t="s">
        <v>2910</v>
      </c>
      <c r="K307" s="16">
        <v>41402</v>
      </c>
      <c r="L307" s="17">
        <v>41384</v>
      </c>
      <c r="M307" s="402">
        <f t="shared" si="17"/>
        <v>18</v>
      </c>
      <c r="N307" s="7" t="s">
        <v>2</v>
      </c>
      <c r="O307" s="6">
        <v>0.75</v>
      </c>
      <c r="P307" s="9"/>
      <c r="Q307" s="8">
        <v>3.95</v>
      </c>
      <c r="R307" s="7">
        <v>228</v>
      </c>
      <c r="S307" s="6">
        <v>190</v>
      </c>
      <c r="T307" s="7">
        <v>0.57999999999999996</v>
      </c>
      <c r="U307" s="6">
        <v>3.93</v>
      </c>
      <c r="V307" s="7">
        <v>0.43</v>
      </c>
      <c r="W307" s="6">
        <v>5.0999999999999997E-2</v>
      </c>
      <c r="X307" s="7">
        <v>0.23</v>
      </c>
      <c r="Y307" s="6">
        <v>5.0999999999999997E-2</v>
      </c>
      <c r="Z307" s="12">
        <v>1</v>
      </c>
      <c r="AA307" s="13">
        <v>1</v>
      </c>
      <c r="AB307" s="7">
        <v>24</v>
      </c>
      <c r="AC307" s="6">
        <v>222</v>
      </c>
      <c r="AD307" s="12">
        <v>1</v>
      </c>
      <c r="AE307" s="7">
        <v>49.7</v>
      </c>
      <c r="AF307" s="7">
        <v>5.0000000000000001E-3</v>
      </c>
      <c r="AG307" s="320"/>
      <c r="AH307" s="320">
        <v>1090</v>
      </c>
      <c r="AI307" s="2"/>
      <c r="AJ307" s="5"/>
      <c r="AK307"/>
      <c r="AL307"/>
      <c r="AM307"/>
      <c r="AN307"/>
      <c r="AO307"/>
      <c r="AP307"/>
      <c r="AQ307"/>
      <c r="AR307"/>
      <c r="AS307"/>
      <c r="AT307"/>
    </row>
    <row r="308" spans="1:46" ht="14">
      <c r="A308" s="41" t="s">
        <v>36</v>
      </c>
      <c r="B308" s="7" t="s">
        <v>2790</v>
      </c>
      <c r="C308" s="7" t="s">
        <v>2757</v>
      </c>
      <c r="D308" s="14" t="s">
        <v>303</v>
      </c>
      <c r="E308" s="7" t="s">
        <v>2791</v>
      </c>
      <c r="F308" s="7"/>
      <c r="G308" s="15" t="s">
        <v>2792</v>
      </c>
      <c r="H308" s="7">
        <v>9199</v>
      </c>
      <c r="I308" s="19" t="s">
        <v>2</v>
      </c>
      <c r="J308" s="7" t="s">
        <v>81</v>
      </c>
      <c r="K308" s="16">
        <v>41345</v>
      </c>
      <c r="L308" s="17">
        <v>41341</v>
      </c>
      <c r="M308" s="402">
        <f t="shared" si="17"/>
        <v>4</v>
      </c>
      <c r="N308" s="7" t="s">
        <v>1</v>
      </c>
      <c r="O308" s="6">
        <v>9.4</v>
      </c>
      <c r="P308" s="9">
        <v>7.22</v>
      </c>
      <c r="Q308" s="8">
        <v>7.58</v>
      </c>
      <c r="R308" s="7">
        <v>131</v>
      </c>
      <c r="S308" s="6">
        <v>220</v>
      </c>
      <c r="T308" s="7">
        <v>0.24</v>
      </c>
      <c r="U308" s="6">
        <v>0.93</v>
      </c>
      <c r="V308" s="7">
        <v>0.03</v>
      </c>
      <c r="W308" s="6">
        <v>3.4000000000000002E-2</v>
      </c>
      <c r="X308" s="7">
        <v>0.13300000000000001</v>
      </c>
      <c r="Y308" s="6">
        <v>1.7999999999999999E-2</v>
      </c>
      <c r="Z308" s="12">
        <v>1</v>
      </c>
      <c r="AA308" s="13">
        <v>1</v>
      </c>
      <c r="AB308" s="7">
        <v>2</v>
      </c>
      <c r="AC308" s="6">
        <v>137</v>
      </c>
      <c r="AD308" s="12">
        <v>1</v>
      </c>
      <c r="AE308" s="7"/>
      <c r="AF308" s="7"/>
      <c r="AG308" s="320"/>
      <c r="AH308" s="320"/>
      <c r="AI308" s="2"/>
      <c r="AJ308" s="5"/>
      <c r="AK308"/>
      <c r="AL308"/>
      <c r="AM308"/>
      <c r="AN308"/>
      <c r="AO308"/>
      <c r="AP308"/>
      <c r="AQ308"/>
      <c r="AR308"/>
      <c r="AS308"/>
      <c r="AT308"/>
    </row>
    <row r="309" spans="1:46" ht="14">
      <c r="A309" s="41" t="s">
        <v>36</v>
      </c>
      <c r="B309" s="7" t="s">
        <v>2790</v>
      </c>
      <c r="C309" s="7" t="s">
        <v>2757</v>
      </c>
      <c r="D309" s="14" t="s">
        <v>303</v>
      </c>
      <c r="E309" s="7" t="s">
        <v>2791</v>
      </c>
      <c r="F309" s="7"/>
      <c r="G309" s="15" t="s">
        <v>2792</v>
      </c>
      <c r="H309" s="7">
        <v>9199</v>
      </c>
      <c r="I309" s="19" t="s">
        <v>2</v>
      </c>
      <c r="J309" s="7" t="s">
        <v>2793</v>
      </c>
      <c r="K309" s="16">
        <v>41345</v>
      </c>
      <c r="L309" s="17">
        <v>41341</v>
      </c>
      <c r="M309" s="402">
        <f t="shared" si="17"/>
        <v>4</v>
      </c>
      <c r="N309" s="7" t="s">
        <v>1</v>
      </c>
      <c r="O309" s="6">
        <v>16</v>
      </c>
      <c r="P309" s="9">
        <v>7.22</v>
      </c>
      <c r="Q309" s="8">
        <v>7.11</v>
      </c>
      <c r="R309" s="7">
        <v>28</v>
      </c>
      <c r="S309" s="6">
        <v>660</v>
      </c>
      <c r="T309" s="7">
        <v>1.1100000000000001</v>
      </c>
      <c r="U309" s="6">
        <v>3.47</v>
      </c>
      <c r="V309" s="7">
        <v>0.13</v>
      </c>
      <c r="W309" s="6">
        <v>0.1</v>
      </c>
      <c r="X309" s="7">
        <v>0.312</v>
      </c>
      <c r="Y309" s="6">
        <v>0.182</v>
      </c>
      <c r="Z309" s="12">
        <v>1</v>
      </c>
      <c r="AA309" s="13">
        <v>0.85199999999999998</v>
      </c>
      <c r="AB309" s="7">
        <v>102</v>
      </c>
      <c r="AC309" s="6">
        <v>4530</v>
      </c>
      <c r="AD309" s="12">
        <v>0.35</v>
      </c>
      <c r="AE309" s="7">
        <v>363</v>
      </c>
      <c r="AF309" s="7">
        <v>0.04</v>
      </c>
      <c r="AG309" s="320"/>
      <c r="AH309" s="320"/>
      <c r="AI309" s="2"/>
      <c r="AJ309" s="5"/>
      <c r="AK309"/>
      <c r="AL309"/>
      <c r="AM309"/>
      <c r="AN309"/>
      <c r="AO309"/>
      <c r="AP309"/>
      <c r="AQ309"/>
      <c r="AR309"/>
      <c r="AS309"/>
      <c r="AT309"/>
    </row>
    <row r="310" spans="1:46" ht="14">
      <c r="A310" s="41" t="s">
        <v>36</v>
      </c>
      <c r="B310" s="7" t="s">
        <v>2820</v>
      </c>
      <c r="C310" s="7" t="s">
        <v>2757</v>
      </c>
      <c r="D310" s="14" t="s">
        <v>588</v>
      </c>
      <c r="E310" s="7"/>
      <c r="F310" s="7" t="s">
        <v>2822</v>
      </c>
      <c r="G310" s="15" t="s">
        <v>2823</v>
      </c>
      <c r="H310" s="7">
        <v>9199</v>
      </c>
      <c r="I310" s="19" t="s">
        <v>2</v>
      </c>
      <c r="J310" s="7" t="s">
        <v>510</v>
      </c>
      <c r="K310" s="16">
        <v>41432</v>
      </c>
      <c r="L310" s="17">
        <v>41428</v>
      </c>
      <c r="M310" s="50">
        <f t="shared" ref="M310:M315" si="18">K310-L310</f>
        <v>4</v>
      </c>
      <c r="N310" s="7" t="s">
        <v>2</v>
      </c>
      <c r="O310" s="6">
        <v>1.4</v>
      </c>
      <c r="P310" s="9">
        <v>6.5</v>
      </c>
      <c r="Q310" s="8">
        <v>6.62</v>
      </c>
      <c r="R310" s="7">
        <v>49</v>
      </c>
      <c r="S310" s="6">
        <v>43</v>
      </c>
      <c r="T310" s="7">
        <v>0.17</v>
      </c>
      <c r="U310" s="6">
        <v>0.85</v>
      </c>
      <c r="V310" s="7">
        <v>0.18</v>
      </c>
      <c r="W310" s="6">
        <v>1.4999999999999999E-2</v>
      </c>
      <c r="X310" s="7">
        <v>0.16</v>
      </c>
      <c r="Y310" s="6">
        <v>8.9999999999999993E-3</v>
      </c>
      <c r="Z310" s="12"/>
      <c r="AA310" s="13"/>
      <c r="AB310" s="7"/>
      <c r="AC310" s="6"/>
      <c r="AD310" s="12"/>
      <c r="AE310" s="7">
        <v>220</v>
      </c>
      <c r="AF310" s="7">
        <v>5.0000000000000001E-3</v>
      </c>
      <c r="AG310" s="320"/>
      <c r="AH310" s="320"/>
      <c r="AI310" s="2"/>
      <c r="AJ310" s="5"/>
      <c r="AK310"/>
      <c r="AL310"/>
      <c r="AM310"/>
      <c r="AN310"/>
      <c r="AO310"/>
      <c r="AP310"/>
      <c r="AQ310"/>
      <c r="AR310"/>
      <c r="AS310"/>
      <c r="AT310"/>
    </row>
    <row r="311" spans="1:46" ht="14">
      <c r="A311" s="41" t="s">
        <v>36</v>
      </c>
      <c r="B311" s="7" t="s">
        <v>2347</v>
      </c>
      <c r="C311" s="7" t="s">
        <v>393</v>
      </c>
      <c r="D311" s="14" t="s">
        <v>684</v>
      </c>
      <c r="E311" s="7" t="s">
        <v>2812</v>
      </c>
      <c r="F311" s="7"/>
      <c r="G311" s="15" t="s">
        <v>2352</v>
      </c>
      <c r="H311" s="7">
        <v>9199</v>
      </c>
      <c r="I311" s="19" t="s">
        <v>2</v>
      </c>
      <c r="J311" s="7" t="s">
        <v>2353</v>
      </c>
      <c r="K311" s="16">
        <v>41417</v>
      </c>
      <c r="L311" s="17">
        <v>41413</v>
      </c>
      <c r="M311" s="50">
        <f t="shared" si="18"/>
        <v>4</v>
      </c>
      <c r="N311" s="7" t="s">
        <v>2</v>
      </c>
      <c r="O311" s="6">
        <v>5.4</v>
      </c>
      <c r="P311" s="9">
        <v>6.2</v>
      </c>
      <c r="Q311" s="8">
        <v>6.7</v>
      </c>
      <c r="R311" s="7">
        <v>61</v>
      </c>
      <c r="S311" s="6">
        <v>72</v>
      </c>
      <c r="T311" s="7">
        <v>0.16</v>
      </c>
      <c r="U311" s="6">
        <v>1.23</v>
      </c>
      <c r="V311" s="7">
        <v>0.24</v>
      </c>
      <c r="W311" s="6">
        <v>1.2999999999999999E-2</v>
      </c>
      <c r="X311" s="7">
        <v>7.1999999999999995E-2</v>
      </c>
      <c r="Y311" s="6">
        <v>1.4999999999999999E-2</v>
      </c>
      <c r="Z311" s="12"/>
      <c r="AA311" s="13"/>
      <c r="AB311" s="7"/>
      <c r="AC311" s="6"/>
      <c r="AD311" s="12"/>
      <c r="AE311" s="7"/>
      <c r="AF311" s="7"/>
      <c r="AG311" s="320"/>
      <c r="AH311" s="320"/>
      <c r="AI311" s="2"/>
      <c r="AJ311" s="5"/>
      <c r="AK311"/>
      <c r="AL311"/>
      <c r="AM311"/>
      <c r="AN311"/>
      <c r="AO311"/>
      <c r="AP311"/>
      <c r="AQ311"/>
      <c r="AR311"/>
      <c r="AS311"/>
      <c r="AT311"/>
    </row>
    <row r="312" spans="1:46" ht="14">
      <c r="A312" s="41" t="s">
        <v>36</v>
      </c>
      <c r="B312" s="7" t="s">
        <v>2347</v>
      </c>
      <c r="C312" s="7" t="s">
        <v>393</v>
      </c>
      <c r="D312" s="14" t="s">
        <v>684</v>
      </c>
      <c r="E312" s="7" t="s">
        <v>2812</v>
      </c>
      <c r="F312" s="7"/>
      <c r="G312" s="15" t="s">
        <v>2352</v>
      </c>
      <c r="H312" s="7">
        <v>9199</v>
      </c>
      <c r="I312" s="19" t="s">
        <v>2</v>
      </c>
      <c r="J312" s="7" t="s">
        <v>2354</v>
      </c>
      <c r="K312" s="16">
        <v>41417</v>
      </c>
      <c r="L312" s="17">
        <v>41413</v>
      </c>
      <c r="M312" s="50">
        <f t="shared" si="18"/>
        <v>4</v>
      </c>
      <c r="N312" s="7" t="s">
        <v>2</v>
      </c>
      <c r="O312" s="6">
        <v>6.8</v>
      </c>
      <c r="P312" s="9">
        <v>6.2</v>
      </c>
      <c r="Q312" s="8">
        <v>6.5</v>
      </c>
      <c r="R312" s="7">
        <v>35</v>
      </c>
      <c r="S312" s="6">
        <v>32</v>
      </c>
      <c r="T312" s="7">
        <v>0.08</v>
      </c>
      <c r="U312" s="6">
        <v>0.95</v>
      </c>
      <c r="V312" s="7">
        <v>0.55000000000000004</v>
      </c>
      <c r="W312" s="6">
        <v>5.0000000000000001E-3</v>
      </c>
      <c r="X312" s="7">
        <v>0.157</v>
      </c>
      <c r="Y312" s="6">
        <v>1.4999999999999999E-2</v>
      </c>
      <c r="Z312" s="12"/>
      <c r="AA312" s="13"/>
      <c r="AB312" s="7"/>
      <c r="AC312" s="6"/>
      <c r="AD312" s="12"/>
      <c r="AE312" s="7"/>
      <c r="AF312" s="7"/>
      <c r="AG312" s="320"/>
      <c r="AH312" s="320"/>
      <c r="AI312" s="2"/>
      <c r="AJ312" s="5"/>
      <c r="AK312"/>
      <c r="AL312"/>
      <c r="AM312"/>
      <c r="AN312"/>
      <c r="AO312"/>
      <c r="AP312"/>
      <c r="AQ312"/>
      <c r="AR312"/>
      <c r="AS312"/>
      <c r="AT312"/>
    </row>
    <row r="313" spans="1:46" ht="14">
      <c r="A313" s="41" t="s">
        <v>36</v>
      </c>
      <c r="B313" s="7" t="s">
        <v>2347</v>
      </c>
      <c r="C313" s="7" t="s">
        <v>393</v>
      </c>
      <c r="D313" s="14" t="s">
        <v>684</v>
      </c>
      <c r="E313" s="7" t="s">
        <v>2812</v>
      </c>
      <c r="F313" s="7"/>
      <c r="G313" s="15" t="s">
        <v>2352</v>
      </c>
      <c r="H313" s="7">
        <v>9199</v>
      </c>
      <c r="I313" s="19" t="s">
        <v>2</v>
      </c>
      <c r="J313" s="7" t="s">
        <v>2355</v>
      </c>
      <c r="K313" s="16">
        <v>41417</v>
      </c>
      <c r="L313" s="17">
        <v>41413</v>
      </c>
      <c r="M313" s="50">
        <f t="shared" si="18"/>
        <v>4</v>
      </c>
      <c r="N313" s="7" t="s">
        <v>2</v>
      </c>
      <c r="O313" s="6">
        <v>1</v>
      </c>
      <c r="P313" s="9">
        <v>6.2</v>
      </c>
      <c r="Q313" s="8">
        <v>6.4</v>
      </c>
      <c r="R313" s="7">
        <v>39</v>
      </c>
      <c r="S313" s="6">
        <v>43</v>
      </c>
      <c r="T313" s="7">
        <v>0.12</v>
      </c>
      <c r="U313" s="6">
        <v>1.01</v>
      </c>
      <c r="V313" s="7">
        <v>0.28999999999999998</v>
      </c>
      <c r="W313" s="6">
        <v>5.0000000000000001E-3</v>
      </c>
      <c r="X313" s="7">
        <v>3.6999999999999998E-2</v>
      </c>
      <c r="Y313" s="6">
        <v>1.4999999999999999E-2</v>
      </c>
      <c r="Z313" s="12"/>
      <c r="AA313" s="13"/>
      <c r="AB313" s="7"/>
      <c r="AC313" s="6"/>
      <c r="AD313" s="12"/>
      <c r="AE313" s="7"/>
      <c r="AF313" s="7"/>
      <c r="AG313" s="320"/>
      <c r="AH313" s="320"/>
      <c r="AI313" s="2"/>
      <c r="AJ313" s="5"/>
      <c r="AK313"/>
      <c r="AL313"/>
      <c r="AM313"/>
      <c r="AN313"/>
      <c r="AO313"/>
      <c r="AP313"/>
      <c r="AQ313"/>
      <c r="AR313"/>
      <c r="AS313"/>
      <c r="AT313"/>
    </row>
    <row r="314" spans="1:46" ht="14">
      <c r="A314" s="41" t="s">
        <v>36</v>
      </c>
      <c r="B314" s="7" t="s">
        <v>2347</v>
      </c>
      <c r="C314" s="7" t="s">
        <v>393</v>
      </c>
      <c r="D314" s="14" t="s">
        <v>684</v>
      </c>
      <c r="E314" s="7" t="s">
        <v>2812</v>
      </c>
      <c r="F314" s="7"/>
      <c r="G314" s="15" t="s">
        <v>2352</v>
      </c>
      <c r="H314" s="7">
        <v>9199</v>
      </c>
      <c r="I314" s="19" t="s">
        <v>2</v>
      </c>
      <c r="J314" s="7" t="s">
        <v>3020</v>
      </c>
      <c r="K314" s="16">
        <v>41417</v>
      </c>
      <c r="L314" s="17">
        <v>41413</v>
      </c>
      <c r="M314" s="50">
        <f t="shared" si="18"/>
        <v>4</v>
      </c>
      <c r="N314" s="7" t="s">
        <v>2</v>
      </c>
      <c r="O314" s="6">
        <v>1</v>
      </c>
      <c r="P314" s="9">
        <v>6.2</v>
      </c>
      <c r="Q314" s="8">
        <v>6.9</v>
      </c>
      <c r="R314" s="7">
        <v>62</v>
      </c>
      <c r="S314" s="6">
        <v>48</v>
      </c>
      <c r="T314" s="7">
        <v>0.2</v>
      </c>
      <c r="U314" s="6">
        <v>1.62</v>
      </c>
      <c r="V314" s="7">
        <v>0.66</v>
      </c>
      <c r="W314" s="6">
        <v>1.2E-2</v>
      </c>
      <c r="X314" s="7">
        <v>5.8999999999999997E-2</v>
      </c>
      <c r="Y314" s="6">
        <v>1.4999999999999999E-2</v>
      </c>
      <c r="Z314" s="12"/>
      <c r="AA314" s="13"/>
      <c r="AB314" s="7"/>
      <c r="AC314" s="6"/>
      <c r="AD314" s="12"/>
      <c r="AE314" s="7">
        <v>12</v>
      </c>
      <c r="AF314" s="7">
        <v>2.5000000000000001E-2</v>
      </c>
      <c r="AG314" s="320"/>
      <c r="AH314" s="320"/>
      <c r="AI314" s="2"/>
      <c r="AJ314" s="5"/>
      <c r="AK314"/>
      <c r="AL314"/>
      <c r="AM314"/>
      <c r="AN314"/>
      <c r="AO314"/>
      <c r="AP314"/>
      <c r="AQ314"/>
      <c r="AR314"/>
      <c r="AS314"/>
      <c r="AT314"/>
    </row>
    <row r="315" spans="1:46" ht="14">
      <c r="A315" s="41" t="s">
        <v>36</v>
      </c>
      <c r="B315" s="7" t="s">
        <v>2712</v>
      </c>
      <c r="C315" s="7" t="s">
        <v>4178</v>
      </c>
      <c r="D315" s="14" t="s">
        <v>2372</v>
      </c>
      <c r="E315" s="7"/>
      <c r="F315" s="7" t="s">
        <v>2714</v>
      </c>
      <c r="G315" s="15" t="s">
        <v>2715</v>
      </c>
      <c r="H315" s="7">
        <v>9199</v>
      </c>
      <c r="I315" s="19" t="s">
        <v>2</v>
      </c>
      <c r="J315" s="7" t="s">
        <v>366</v>
      </c>
      <c r="K315" s="16">
        <v>41345</v>
      </c>
      <c r="L315" s="17">
        <v>41341</v>
      </c>
      <c r="M315" s="402">
        <f t="shared" si="18"/>
        <v>4</v>
      </c>
      <c r="N315" s="7" t="s">
        <v>2</v>
      </c>
      <c r="O315" s="6">
        <v>1.6</v>
      </c>
      <c r="P315" s="9">
        <v>6.5</v>
      </c>
      <c r="Q315" s="8">
        <v>6.83</v>
      </c>
      <c r="R315" s="7">
        <v>292</v>
      </c>
      <c r="S315" s="6">
        <v>140</v>
      </c>
      <c r="T315" s="7">
        <v>0.35</v>
      </c>
      <c r="U315" s="6">
        <v>0.81</v>
      </c>
      <c r="V315" s="7">
        <v>0.23</v>
      </c>
      <c r="W315" s="6">
        <v>2.7E-2</v>
      </c>
      <c r="X315" s="7">
        <v>0.10100000000000001</v>
      </c>
      <c r="Y315" s="6">
        <v>1.0999999999999999E-2</v>
      </c>
      <c r="Z315" s="12">
        <v>0.34200000000000003</v>
      </c>
      <c r="AA315" s="13">
        <v>0.33</v>
      </c>
      <c r="AB315" s="7">
        <v>200</v>
      </c>
      <c r="AC315" s="6">
        <v>13740</v>
      </c>
      <c r="AD315" s="12">
        <v>0</v>
      </c>
      <c r="AE315" s="7"/>
      <c r="AF315" s="7"/>
      <c r="AG315" s="320"/>
      <c r="AH315" s="320"/>
      <c r="AI315" s="2"/>
      <c r="AJ315" s="5"/>
      <c r="AK315"/>
      <c r="AL315"/>
      <c r="AM315"/>
      <c r="AN315"/>
      <c r="AO315"/>
      <c r="AP315"/>
      <c r="AQ315"/>
      <c r="AR315"/>
      <c r="AS315"/>
      <c r="AT315"/>
    </row>
    <row r="316" spans="1:46" ht="14">
      <c r="A316" s="41" t="s">
        <v>36</v>
      </c>
      <c r="B316" s="7" t="s">
        <v>2952</v>
      </c>
      <c r="C316" s="7" t="s">
        <v>393</v>
      </c>
      <c r="D316" s="14" t="s">
        <v>2953</v>
      </c>
      <c r="E316" s="7"/>
      <c r="F316" s="7"/>
      <c r="G316" s="15" t="s">
        <v>2954</v>
      </c>
      <c r="H316" s="7"/>
      <c r="I316" s="19"/>
      <c r="J316" s="7" t="s">
        <v>2955</v>
      </c>
      <c r="K316" s="16">
        <v>41432</v>
      </c>
      <c r="L316" s="17"/>
      <c r="M316" s="7"/>
      <c r="N316" s="7" t="s">
        <v>2</v>
      </c>
      <c r="O316" s="6">
        <v>4.21</v>
      </c>
      <c r="P316" s="9">
        <v>7.16</v>
      </c>
      <c r="Q316" s="8">
        <v>6.75</v>
      </c>
      <c r="R316" s="7">
        <v>2.1800000000000002</v>
      </c>
      <c r="S316" s="6">
        <v>2.5</v>
      </c>
      <c r="T316" s="7">
        <v>0.08</v>
      </c>
      <c r="U316" s="6">
        <v>0.73</v>
      </c>
      <c r="V316" s="7">
        <v>0.28000000000000003</v>
      </c>
      <c r="W316" s="6">
        <v>0.02</v>
      </c>
      <c r="X316" s="7">
        <v>0.02</v>
      </c>
      <c r="Y316" s="6">
        <v>2E-3</v>
      </c>
      <c r="Z316" s="12"/>
      <c r="AA316" s="13"/>
      <c r="AB316" s="7"/>
      <c r="AC316" s="6"/>
      <c r="AD316" s="12"/>
      <c r="AE316" s="7"/>
      <c r="AF316" s="7"/>
      <c r="AG316" s="320"/>
      <c r="AH316" s="320"/>
      <c r="AI316" s="2"/>
      <c r="AJ316" s="5"/>
      <c r="AK316"/>
      <c r="AL316"/>
      <c r="AM316"/>
      <c r="AN316"/>
      <c r="AO316"/>
      <c r="AP316"/>
      <c r="AQ316"/>
      <c r="AR316"/>
      <c r="AS316"/>
      <c r="AT316"/>
    </row>
    <row r="317" spans="1:46" ht="14">
      <c r="A317" s="41" t="s">
        <v>36</v>
      </c>
      <c r="B317" s="7" t="s">
        <v>2358</v>
      </c>
      <c r="C317" s="7" t="s">
        <v>2757</v>
      </c>
      <c r="D317" s="14" t="s">
        <v>111</v>
      </c>
      <c r="E317" s="7" t="s">
        <v>2889</v>
      </c>
      <c r="F317" s="7">
        <v>5200</v>
      </c>
      <c r="G317" s="15" t="s">
        <v>2890</v>
      </c>
      <c r="H317" s="7">
        <v>9999</v>
      </c>
      <c r="I317" s="19" t="s">
        <v>2</v>
      </c>
      <c r="J317" s="7" t="s">
        <v>2891</v>
      </c>
      <c r="K317" s="16">
        <v>41402</v>
      </c>
      <c r="L317" s="17">
        <v>41384</v>
      </c>
      <c r="M317" s="402">
        <f t="shared" ref="M317:M323" si="19">K317-L317</f>
        <v>18</v>
      </c>
      <c r="N317" s="7" t="s">
        <v>2</v>
      </c>
      <c r="O317" s="6">
        <v>5.4</v>
      </c>
      <c r="P317" s="9">
        <v>5.72</v>
      </c>
      <c r="Q317" s="8">
        <v>8.3000000000000007</v>
      </c>
      <c r="R317" s="7">
        <v>271</v>
      </c>
      <c r="S317" s="6">
        <v>410</v>
      </c>
      <c r="T317" s="7">
        <v>1.05</v>
      </c>
      <c r="U317" s="6">
        <v>4.8499999999999996</v>
      </c>
      <c r="V317" s="7">
        <v>0.53</v>
      </c>
      <c r="W317" s="6">
        <v>6.0999999999999999E-2</v>
      </c>
      <c r="X317" s="7">
        <v>0.33700000000000002</v>
      </c>
      <c r="Y317" s="6">
        <v>6.4000000000000001E-2</v>
      </c>
      <c r="Z317" s="12"/>
      <c r="AA317" s="13"/>
      <c r="AB317" s="7"/>
      <c r="AC317" s="6"/>
      <c r="AD317" s="12"/>
      <c r="AE317" s="7">
        <v>202</v>
      </c>
      <c r="AF317" s="7">
        <v>0.02</v>
      </c>
      <c r="AG317" s="320"/>
      <c r="AH317" s="320"/>
      <c r="AI317" s="2"/>
      <c r="AJ317" s="5"/>
      <c r="AK317"/>
      <c r="AL317"/>
      <c r="AM317"/>
      <c r="AN317"/>
      <c r="AO317"/>
      <c r="AP317"/>
      <c r="AQ317"/>
      <c r="AR317"/>
      <c r="AS317"/>
      <c r="AT317"/>
    </row>
    <row r="318" spans="1:46" ht="14">
      <c r="A318" s="41" t="s">
        <v>36</v>
      </c>
      <c r="B318" s="7" t="s">
        <v>2712</v>
      </c>
      <c r="C318" s="7" t="s">
        <v>4178</v>
      </c>
      <c r="D318" s="14" t="s">
        <v>2372</v>
      </c>
      <c r="E318" s="7"/>
      <c r="F318" s="7" t="s">
        <v>2714</v>
      </c>
      <c r="G318" s="15" t="s">
        <v>2715</v>
      </c>
      <c r="H318" s="7">
        <v>9199</v>
      </c>
      <c r="I318" s="19" t="s">
        <v>2</v>
      </c>
      <c r="J318" s="7" t="s">
        <v>366</v>
      </c>
      <c r="K318" s="16">
        <v>41432</v>
      </c>
      <c r="L318" s="17">
        <v>41428</v>
      </c>
      <c r="M318" s="402">
        <f t="shared" si="19"/>
        <v>4</v>
      </c>
      <c r="N318" s="7" t="s">
        <v>2</v>
      </c>
      <c r="O318" s="6">
        <v>0.7</v>
      </c>
      <c r="P318" s="9">
        <v>6.5</v>
      </c>
      <c r="Q318" s="8">
        <v>7.14</v>
      </c>
      <c r="R318" s="7">
        <v>32</v>
      </c>
      <c r="S318" s="6">
        <v>29</v>
      </c>
      <c r="T318" s="7">
        <v>0.1</v>
      </c>
      <c r="U318" s="6">
        <v>0.62</v>
      </c>
      <c r="V318" s="7">
        <v>0.13</v>
      </c>
      <c r="W318" s="6">
        <v>8.0000000000000002E-3</v>
      </c>
      <c r="X318" s="7">
        <v>1.4E-2</v>
      </c>
      <c r="Y318" s="6">
        <v>6.0000000000000001E-3</v>
      </c>
      <c r="Z318" s="12"/>
      <c r="AA318" s="13"/>
      <c r="AB318" s="7"/>
      <c r="AC318" s="6"/>
      <c r="AD318" s="12"/>
      <c r="AE318" s="7">
        <v>510</v>
      </c>
      <c r="AF318" s="7">
        <v>0.01</v>
      </c>
      <c r="AG318" s="320"/>
      <c r="AH318" s="320"/>
      <c r="AI318" s="2"/>
      <c r="AJ318" s="5"/>
      <c r="AK318"/>
      <c r="AL318"/>
      <c r="AM318"/>
      <c r="AN318"/>
      <c r="AO318"/>
      <c r="AP318"/>
      <c r="AQ318"/>
      <c r="AR318"/>
      <c r="AS318"/>
      <c r="AT318"/>
    </row>
    <row r="319" spans="1:46" ht="14">
      <c r="A319" s="41" t="s">
        <v>36</v>
      </c>
      <c r="B319" s="50" t="s">
        <v>2907</v>
      </c>
      <c r="C319" s="50" t="s">
        <v>2757</v>
      </c>
      <c r="D319" s="48" t="s">
        <v>268</v>
      </c>
      <c r="E319" s="50" t="s">
        <v>2908</v>
      </c>
      <c r="F319" s="50">
        <v>4403</v>
      </c>
      <c r="G319" s="76" t="s">
        <v>2909</v>
      </c>
      <c r="H319" s="50">
        <v>9199</v>
      </c>
      <c r="I319" s="49" t="s">
        <v>1</v>
      </c>
      <c r="J319" s="50" t="s">
        <v>4506</v>
      </c>
      <c r="K319" s="51">
        <v>41499</v>
      </c>
      <c r="L319" s="115">
        <v>41495</v>
      </c>
      <c r="M319" s="402">
        <f t="shared" si="19"/>
        <v>4</v>
      </c>
      <c r="N319" s="50" t="s">
        <v>2</v>
      </c>
      <c r="O319" s="74">
        <f>1.4/2</f>
        <v>0.7</v>
      </c>
      <c r="P319" s="50">
        <v>6</v>
      </c>
      <c r="Q319" s="74">
        <v>7.58</v>
      </c>
      <c r="R319" s="50">
        <v>56</v>
      </c>
      <c r="S319" s="74">
        <v>23</v>
      </c>
      <c r="T319" s="50">
        <v>0.55000000000000004</v>
      </c>
      <c r="U319" s="74">
        <v>12.9</v>
      </c>
      <c r="V319" s="50">
        <v>0.28000000000000003</v>
      </c>
      <c r="W319" s="74">
        <v>7.0000000000000001E-3</v>
      </c>
      <c r="X319" s="50">
        <v>8.1000000000000003E-2</v>
      </c>
      <c r="Y319" s="74">
        <v>7.0000000000000001E-3</v>
      </c>
      <c r="AE319" s="50">
        <v>312</v>
      </c>
      <c r="AF319" s="50">
        <f>0.01/2</f>
        <v>5.0000000000000001E-3</v>
      </c>
      <c r="AG319" s="74"/>
      <c r="AH319" s="74"/>
      <c r="AI319" s="113"/>
      <c r="AJ319" s="50"/>
      <c r="AK319" s="74"/>
      <c r="AL319" s="74"/>
      <c r="AM319" s="74"/>
      <c r="AN319" s="74"/>
      <c r="AO319" s="74"/>
      <c r="AP319" s="74"/>
      <c r="AQ319" s="74"/>
      <c r="AR319" s="74"/>
      <c r="AS319" s="74"/>
      <c r="AT319" s="74"/>
    </row>
    <row r="320" spans="1:46" ht="14">
      <c r="A320" s="41" t="s">
        <v>36</v>
      </c>
      <c r="B320" s="50" t="s">
        <v>2790</v>
      </c>
      <c r="C320" s="50" t="s">
        <v>2757</v>
      </c>
      <c r="D320" s="48" t="s">
        <v>303</v>
      </c>
      <c r="E320" s="50" t="s">
        <v>2791</v>
      </c>
      <c r="G320" s="76" t="s">
        <v>2792</v>
      </c>
      <c r="H320" s="50">
        <v>9199</v>
      </c>
      <c r="I320" s="49" t="s">
        <v>2</v>
      </c>
      <c r="J320" s="50" t="s">
        <v>81</v>
      </c>
      <c r="K320" s="51">
        <v>41499</v>
      </c>
      <c r="L320" s="115"/>
      <c r="M320" s="402"/>
      <c r="N320" s="50" t="s">
        <v>2</v>
      </c>
      <c r="O320" s="74">
        <v>2.5</v>
      </c>
      <c r="P320" s="50">
        <v>6</v>
      </c>
      <c r="Q320" s="74">
        <v>6.48</v>
      </c>
      <c r="R320" s="50">
        <v>160</v>
      </c>
      <c r="S320" s="74">
        <v>110</v>
      </c>
      <c r="T320" s="50">
        <v>0.26</v>
      </c>
      <c r="U320" s="74">
        <v>1.8</v>
      </c>
      <c r="V320" s="50">
        <v>1.5</v>
      </c>
      <c r="W320" s="74">
        <v>0.02</v>
      </c>
      <c r="X320" s="50">
        <v>0.1</v>
      </c>
      <c r="Y320" s="74">
        <v>6.4999999999999997E-3</v>
      </c>
      <c r="AG320" s="74"/>
      <c r="AH320" s="74"/>
      <c r="AI320" s="113"/>
      <c r="AJ320" s="50"/>
      <c r="AK320" s="74"/>
      <c r="AL320" s="74"/>
      <c r="AM320" s="74"/>
      <c r="AN320" s="74"/>
      <c r="AO320" s="74"/>
      <c r="AP320" s="74"/>
      <c r="AQ320" s="74"/>
      <c r="AR320" s="74"/>
      <c r="AS320" s="74"/>
      <c r="AT320" s="74"/>
    </row>
    <row r="321" spans="1:46" ht="14">
      <c r="A321" s="41" t="s">
        <v>36</v>
      </c>
      <c r="B321" s="50" t="s">
        <v>2828</v>
      </c>
      <c r="C321" s="50" t="s">
        <v>4507</v>
      </c>
      <c r="D321" s="48" t="s">
        <v>564</v>
      </c>
      <c r="E321" s="50" t="s">
        <v>4508</v>
      </c>
      <c r="G321" s="76" t="s">
        <v>2830</v>
      </c>
      <c r="H321" s="50">
        <v>9199</v>
      </c>
      <c r="I321" s="49" t="s">
        <v>2</v>
      </c>
      <c r="J321" s="50" t="s">
        <v>2833</v>
      </c>
      <c r="K321" s="51">
        <v>41499</v>
      </c>
      <c r="L321" s="115">
        <v>41495</v>
      </c>
      <c r="M321" s="402">
        <f t="shared" si="19"/>
        <v>4</v>
      </c>
      <c r="N321" s="50" t="s">
        <v>2</v>
      </c>
      <c r="O321" s="74">
        <v>4.9000000000000004</v>
      </c>
      <c r="P321" s="50">
        <v>4.5999999999999996</v>
      </c>
      <c r="Q321" s="74">
        <v>5.7</v>
      </c>
      <c r="R321" s="50">
        <v>102</v>
      </c>
      <c r="S321" s="74">
        <v>110</v>
      </c>
      <c r="T321" s="50">
        <v>0.43</v>
      </c>
      <c r="U321" s="74">
        <v>2.16</v>
      </c>
      <c r="V321" s="50">
        <v>0.27</v>
      </c>
      <c r="W321" s="74">
        <v>3.5999999999999997E-2</v>
      </c>
      <c r="X321" s="50">
        <v>0.16600000000000001</v>
      </c>
      <c r="Y321" s="74">
        <v>2.1000000000000001E-2</v>
      </c>
      <c r="AG321" s="74"/>
      <c r="AH321" s="74"/>
      <c r="AI321" s="113"/>
      <c r="AJ321" s="50"/>
      <c r="AK321" s="74"/>
      <c r="AL321" s="74"/>
      <c r="AM321" s="74"/>
      <c r="AN321" s="74"/>
      <c r="AO321" s="74"/>
      <c r="AP321" s="74"/>
      <c r="AQ321" s="74"/>
      <c r="AR321" s="74"/>
      <c r="AS321" s="74"/>
      <c r="AT321" s="74"/>
    </row>
    <row r="322" spans="1:46" ht="14">
      <c r="A322" s="53" t="s">
        <v>4531</v>
      </c>
      <c r="B322" s="50" t="s">
        <v>2828</v>
      </c>
      <c r="C322" s="50" t="s">
        <v>4507</v>
      </c>
      <c r="D322" s="48" t="s">
        <v>564</v>
      </c>
      <c r="E322" s="50" t="s">
        <v>4508</v>
      </c>
      <c r="G322" s="76" t="s">
        <v>2830</v>
      </c>
      <c r="H322" s="50">
        <v>9199</v>
      </c>
      <c r="I322" s="49" t="s">
        <v>2</v>
      </c>
      <c r="J322" s="50" t="s">
        <v>2831</v>
      </c>
      <c r="K322" s="51">
        <v>41499</v>
      </c>
      <c r="L322" s="115">
        <v>41495</v>
      </c>
      <c r="M322" s="402">
        <f t="shared" si="19"/>
        <v>4</v>
      </c>
      <c r="N322" s="50" t="s">
        <v>2</v>
      </c>
      <c r="O322" s="74">
        <f>1.4/2</f>
        <v>0.7</v>
      </c>
      <c r="P322" s="50">
        <v>4.5999999999999996</v>
      </c>
      <c r="Q322" s="74">
        <v>6</v>
      </c>
      <c r="R322" s="50">
        <v>82</v>
      </c>
      <c r="S322" s="74">
        <v>71</v>
      </c>
      <c r="T322" s="50">
        <v>0.28999999999999998</v>
      </c>
      <c r="U322" s="74">
        <v>2.17</v>
      </c>
      <c r="V322" s="50">
        <v>0.65</v>
      </c>
      <c r="W322" s="74">
        <v>2.4E-2</v>
      </c>
      <c r="X322" s="50">
        <v>6.0999999999999999E-2</v>
      </c>
      <c r="Y322" s="74">
        <v>1.0999999999999999E-2</v>
      </c>
      <c r="AE322" s="50">
        <v>334</v>
      </c>
      <c r="AF322" s="50">
        <v>0.01</v>
      </c>
      <c r="AG322" s="74"/>
      <c r="AH322" s="74"/>
      <c r="AI322" s="113"/>
      <c r="AJ322" s="50"/>
      <c r="AK322" s="74"/>
      <c r="AL322" s="74"/>
      <c r="AM322" s="74"/>
      <c r="AN322" s="74"/>
      <c r="AO322" s="74"/>
      <c r="AP322" s="74"/>
      <c r="AQ322" s="74"/>
      <c r="AR322" s="74"/>
      <c r="AS322" s="74"/>
      <c r="AT322" s="74"/>
    </row>
    <row r="323" spans="1:46" ht="14">
      <c r="A323" s="53" t="s">
        <v>4531</v>
      </c>
      <c r="B323" s="50" t="s">
        <v>2828</v>
      </c>
      <c r="C323" s="50" t="s">
        <v>4507</v>
      </c>
      <c r="D323" s="48" t="s">
        <v>564</v>
      </c>
      <c r="E323" s="50" t="s">
        <v>4508</v>
      </c>
      <c r="G323" s="76" t="s">
        <v>2830</v>
      </c>
      <c r="H323" s="50">
        <v>9199</v>
      </c>
      <c r="I323" s="49" t="s">
        <v>2</v>
      </c>
      <c r="J323" s="50" t="s">
        <v>2832</v>
      </c>
      <c r="K323" s="51">
        <v>41499</v>
      </c>
      <c r="L323" s="115">
        <v>41495</v>
      </c>
      <c r="M323" s="402">
        <f t="shared" si="19"/>
        <v>4</v>
      </c>
      <c r="N323" s="50" t="s">
        <v>2</v>
      </c>
      <c r="O323" s="74">
        <f>1.4/2</f>
        <v>0.7</v>
      </c>
      <c r="P323" s="50">
        <v>4.5999999999999996</v>
      </c>
      <c r="Q323" s="74">
        <v>5.8</v>
      </c>
      <c r="R323" s="50">
        <v>56</v>
      </c>
      <c r="S323" s="74">
        <v>81</v>
      </c>
      <c r="T323" s="50">
        <v>0.26</v>
      </c>
      <c r="U323" s="74">
        <v>1.1100000000000001</v>
      </c>
      <c r="V323" s="50">
        <v>0.27</v>
      </c>
      <c r="W323" s="74">
        <v>8.0000000000000002E-3</v>
      </c>
      <c r="X323" s="50">
        <v>5.5E-2</v>
      </c>
      <c r="Y323" s="74">
        <v>6.0000000000000001E-3</v>
      </c>
      <c r="AG323" s="74"/>
      <c r="AH323" s="74"/>
      <c r="AI323" s="113"/>
      <c r="AJ323" s="50"/>
      <c r="AK323" s="74"/>
      <c r="AL323" s="74"/>
      <c r="AM323" s="74"/>
      <c r="AN323" s="74"/>
      <c r="AO323" s="74"/>
      <c r="AP323" s="74"/>
      <c r="AQ323" s="74"/>
      <c r="AR323" s="74"/>
      <c r="AS323" s="74"/>
      <c r="AT323" s="74"/>
    </row>
    <row r="324" spans="1:46" ht="14">
      <c r="A324" s="41" t="s">
        <v>36</v>
      </c>
      <c r="B324" s="50" t="s">
        <v>4509</v>
      </c>
      <c r="C324" s="50" t="s">
        <v>4510</v>
      </c>
      <c r="D324" s="48" t="s">
        <v>1540</v>
      </c>
      <c r="E324" s="50" t="s">
        <v>4511</v>
      </c>
      <c r="G324" s="76" t="s">
        <v>4512</v>
      </c>
      <c r="H324" s="50">
        <v>9199</v>
      </c>
      <c r="I324" s="49" t="s">
        <v>2</v>
      </c>
      <c r="J324" s="50" t="s">
        <v>4513</v>
      </c>
      <c r="K324" s="51">
        <v>41508</v>
      </c>
      <c r="L324" s="115"/>
      <c r="N324" s="50" t="s">
        <v>2</v>
      </c>
      <c r="O324" s="74">
        <f>5/2</f>
        <v>2.5</v>
      </c>
      <c r="P324" s="50">
        <v>6.12</v>
      </c>
      <c r="Q324" s="74">
        <v>6.49</v>
      </c>
      <c r="R324" s="50">
        <v>1100</v>
      </c>
      <c r="S324" s="74">
        <v>620</v>
      </c>
      <c r="T324" s="50">
        <v>6.4</v>
      </c>
      <c r="U324" s="74">
        <v>41</v>
      </c>
      <c r="V324" s="50">
        <f>0.1/2</f>
        <v>0.05</v>
      </c>
      <c r="W324" s="74">
        <v>0.1</v>
      </c>
      <c r="X324" s="50">
        <v>0.32</v>
      </c>
      <c r="Y324" s="74">
        <v>0.13</v>
      </c>
      <c r="Z324" s="164">
        <v>1</v>
      </c>
      <c r="AA324" s="165">
        <v>0.70699999999999996</v>
      </c>
      <c r="AB324" s="50">
        <v>170</v>
      </c>
      <c r="AC324" s="74">
        <v>845</v>
      </c>
      <c r="AD324" s="164">
        <v>0</v>
      </c>
      <c r="AG324" s="74"/>
      <c r="AH324" s="74"/>
      <c r="AI324" s="113"/>
      <c r="AJ324" s="50"/>
      <c r="AK324" s="74"/>
      <c r="AL324" s="74"/>
      <c r="AM324" s="74"/>
      <c r="AN324" s="74"/>
      <c r="AO324" s="74"/>
      <c r="AP324" s="74"/>
      <c r="AQ324" s="74"/>
      <c r="AR324" s="74"/>
      <c r="AS324" s="74"/>
      <c r="AT324" s="74"/>
    </row>
    <row r="325" spans="1:46" ht="14">
      <c r="A325" s="53" t="s">
        <v>4531</v>
      </c>
      <c r="B325" s="50" t="s">
        <v>4509</v>
      </c>
      <c r="C325" s="50" t="s">
        <v>4510</v>
      </c>
      <c r="D325" s="48" t="s">
        <v>1540</v>
      </c>
      <c r="E325" s="50" t="s">
        <v>4511</v>
      </c>
      <c r="G325" s="76" t="s">
        <v>4512</v>
      </c>
      <c r="H325" s="50">
        <v>9199</v>
      </c>
      <c r="I325" s="49" t="s">
        <v>2</v>
      </c>
      <c r="J325" s="50" t="s">
        <v>4532</v>
      </c>
      <c r="K325" s="51">
        <v>41508</v>
      </c>
      <c r="L325" s="115"/>
      <c r="N325" s="50" t="s">
        <v>2</v>
      </c>
      <c r="O325" s="74">
        <f>5/2</f>
        <v>2.5</v>
      </c>
      <c r="P325" s="50">
        <v>6.12</v>
      </c>
      <c r="Q325" s="74">
        <v>6.67</v>
      </c>
      <c r="R325" s="50">
        <v>46</v>
      </c>
      <c r="S325" s="74">
        <f>5/2</f>
        <v>2.5</v>
      </c>
      <c r="T325" s="50">
        <v>0.12</v>
      </c>
      <c r="U325" s="74">
        <v>1.8</v>
      </c>
      <c r="V325" s="50">
        <v>0.67</v>
      </c>
      <c r="W325" s="74">
        <f>0.04/2</f>
        <v>0.02</v>
      </c>
      <c r="X325" s="50">
        <v>8.3000000000000004E-2</v>
      </c>
      <c r="Y325" s="74">
        <f>0.013/2</f>
        <v>6.4999999999999997E-3</v>
      </c>
      <c r="Z325" s="164">
        <v>1</v>
      </c>
      <c r="AA325" s="165">
        <v>1</v>
      </c>
      <c r="AB325" s="50">
        <v>19</v>
      </c>
      <c r="AC325" s="74">
        <v>638</v>
      </c>
      <c r="AD325" s="164">
        <v>0.7</v>
      </c>
      <c r="AG325" s="74"/>
      <c r="AH325" s="74"/>
      <c r="AI325" s="113"/>
      <c r="AJ325" s="50"/>
      <c r="AK325" s="74"/>
      <c r="AL325" s="74"/>
      <c r="AM325" s="74"/>
      <c r="AN325" s="74"/>
      <c r="AO325" s="74"/>
      <c r="AP325" s="74"/>
      <c r="AQ325" s="74"/>
      <c r="AR325" s="74"/>
      <c r="AS325" s="74"/>
      <c r="AT325" s="74"/>
    </row>
    <row r="326" spans="1:46" ht="14">
      <c r="A326" s="41" t="s">
        <v>36</v>
      </c>
      <c r="B326" s="50" t="s">
        <v>3909</v>
      </c>
      <c r="C326" s="50" t="s">
        <v>4167</v>
      </c>
      <c r="D326" s="48" t="s">
        <v>1683</v>
      </c>
      <c r="E326" s="50" t="s">
        <v>4514</v>
      </c>
      <c r="G326" s="76" t="s">
        <v>3910</v>
      </c>
      <c r="H326" s="50">
        <v>9199</v>
      </c>
      <c r="I326" s="49" t="s">
        <v>1</v>
      </c>
      <c r="J326" s="50" t="s">
        <v>4515</v>
      </c>
      <c r="K326" s="51">
        <v>41499</v>
      </c>
      <c r="L326" s="115">
        <v>41495</v>
      </c>
      <c r="M326" s="402">
        <f t="shared" ref="M326:M340" si="20">K326-L326</f>
        <v>4</v>
      </c>
      <c r="N326" s="50" t="s">
        <v>2</v>
      </c>
      <c r="O326" s="74">
        <f>5/2</f>
        <v>2.5</v>
      </c>
      <c r="P326" s="50">
        <v>4.3099999999999996</v>
      </c>
      <c r="Q326" s="74">
        <v>7.21</v>
      </c>
      <c r="R326" s="50">
        <v>65</v>
      </c>
      <c r="S326" s="74">
        <v>34</v>
      </c>
      <c r="T326" s="50">
        <v>0.16</v>
      </c>
      <c r="U326" s="74">
        <v>1.7</v>
      </c>
      <c r="V326" s="50">
        <v>2.9</v>
      </c>
      <c r="W326" s="74">
        <f>0.04/2</f>
        <v>0.02</v>
      </c>
      <c r="X326" s="50">
        <v>8.4000000000000005E-2</v>
      </c>
      <c r="Y326" s="74">
        <f>0.013/2</f>
        <v>6.4999999999999997E-3</v>
      </c>
      <c r="Z326" s="164">
        <v>1</v>
      </c>
      <c r="AA326" s="165">
        <v>1</v>
      </c>
      <c r="AB326" s="50">
        <v>61</v>
      </c>
      <c r="AC326" s="74">
        <v>499</v>
      </c>
      <c r="AD326" s="164">
        <v>1</v>
      </c>
      <c r="AE326" s="50">
        <v>110</v>
      </c>
      <c r="AF326" s="50">
        <f>0.05/2</f>
        <v>2.5000000000000001E-2</v>
      </c>
      <c r="AG326" s="74"/>
      <c r="AH326" s="74"/>
      <c r="AI326" s="113"/>
      <c r="AJ326" s="50"/>
      <c r="AK326" s="74"/>
      <c r="AL326" s="74"/>
      <c r="AM326" s="74"/>
      <c r="AN326" s="74"/>
      <c r="AO326" s="74"/>
      <c r="AP326" s="74"/>
      <c r="AQ326" s="74"/>
      <c r="AR326" s="74"/>
      <c r="AS326" s="74"/>
      <c r="AT326" s="74"/>
    </row>
    <row r="327" spans="1:46" ht="14">
      <c r="A327" s="41" t="s">
        <v>36</v>
      </c>
      <c r="B327" s="50" t="s">
        <v>4516</v>
      </c>
      <c r="C327" s="50" t="s">
        <v>2685</v>
      </c>
      <c r="D327" s="48" t="s">
        <v>836</v>
      </c>
      <c r="E327" s="50" t="s">
        <v>364</v>
      </c>
      <c r="G327" s="76" t="s">
        <v>2686</v>
      </c>
      <c r="H327" s="50">
        <v>9199</v>
      </c>
      <c r="I327" s="49" t="s">
        <v>2</v>
      </c>
      <c r="J327" s="50" t="s">
        <v>4517</v>
      </c>
      <c r="K327" s="51">
        <v>41495</v>
      </c>
      <c r="L327" s="115">
        <v>41488</v>
      </c>
      <c r="M327" s="402">
        <f t="shared" si="20"/>
        <v>7</v>
      </c>
      <c r="N327" s="50" t="s">
        <v>2</v>
      </c>
      <c r="O327" s="74">
        <v>1.9</v>
      </c>
      <c r="P327" s="50">
        <v>6</v>
      </c>
      <c r="Q327" s="74">
        <v>7.01</v>
      </c>
      <c r="R327" s="50">
        <v>43</v>
      </c>
      <c r="S327" s="74">
        <v>53</v>
      </c>
      <c r="T327" s="50">
        <v>0.2</v>
      </c>
      <c r="U327" s="74">
        <v>2.76</v>
      </c>
      <c r="V327" s="50">
        <v>0.21</v>
      </c>
      <c r="W327" s="74">
        <v>8.9999999999999993E-3</v>
      </c>
      <c r="X327" s="50">
        <v>4.3999999999999997E-2</v>
      </c>
      <c r="Y327" s="74">
        <v>7.0000000000000001E-3</v>
      </c>
      <c r="AE327" s="50">
        <v>9.3000000000000007</v>
      </c>
      <c r="AF327" s="50">
        <f>0.01/2</f>
        <v>5.0000000000000001E-3</v>
      </c>
      <c r="AG327" s="74"/>
      <c r="AH327" s="74"/>
      <c r="AI327" s="113"/>
      <c r="AJ327" s="50"/>
      <c r="AK327" s="74"/>
      <c r="AL327" s="74"/>
      <c r="AM327" s="74"/>
      <c r="AN327" s="74"/>
      <c r="AO327" s="74"/>
      <c r="AP327" s="74"/>
      <c r="AQ327" s="74"/>
      <c r="AR327" s="74"/>
      <c r="AS327" s="74"/>
      <c r="AT327" s="74"/>
    </row>
    <row r="328" spans="1:46" ht="14">
      <c r="A328" s="41" t="s">
        <v>36</v>
      </c>
      <c r="B328" s="50" t="s">
        <v>3044</v>
      </c>
      <c r="C328" s="50" t="s">
        <v>4518</v>
      </c>
      <c r="D328" s="48" t="s">
        <v>462</v>
      </c>
      <c r="E328" s="50" t="s">
        <v>4519</v>
      </c>
      <c r="F328" s="50" t="s">
        <v>3114</v>
      </c>
      <c r="G328" s="76" t="s">
        <v>3115</v>
      </c>
      <c r="H328" s="50">
        <v>9199</v>
      </c>
      <c r="I328" s="49" t="s">
        <v>2</v>
      </c>
      <c r="J328" s="50" t="s">
        <v>4520</v>
      </c>
      <c r="K328" s="51">
        <v>41432</v>
      </c>
      <c r="L328" s="115">
        <v>41428</v>
      </c>
      <c r="M328" s="402">
        <f t="shared" si="20"/>
        <v>4</v>
      </c>
      <c r="N328" s="50" t="s">
        <v>2</v>
      </c>
      <c r="O328" s="74">
        <v>3.2</v>
      </c>
      <c r="P328" s="50">
        <v>6</v>
      </c>
      <c r="Q328" s="74">
        <v>6.6</v>
      </c>
      <c r="R328" s="50">
        <v>120</v>
      </c>
      <c r="S328" s="74">
        <v>120</v>
      </c>
      <c r="T328" s="50">
        <v>0.55000000000000004</v>
      </c>
      <c r="U328" s="74">
        <v>2.2999999999999998</v>
      </c>
      <c r="V328" s="50">
        <v>8.7999999999999995E-2</v>
      </c>
      <c r="W328" s="74">
        <v>2.8000000000000001E-2</v>
      </c>
      <c r="X328" s="50">
        <v>0.11</v>
      </c>
      <c r="Y328" s="74">
        <v>2.5000000000000001E-2</v>
      </c>
      <c r="AG328" s="74"/>
      <c r="AH328" s="74"/>
      <c r="AI328" s="113"/>
      <c r="AJ328" s="50"/>
      <c r="AK328" s="74"/>
      <c r="AL328" s="74"/>
      <c r="AM328" s="74"/>
      <c r="AN328" s="74"/>
      <c r="AO328" s="74"/>
      <c r="AP328" s="74"/>
      <c r="AQ328" s="74"/>
      <c r="AR328" s="74"/>
      <c r="AS328" s="74"/>
      <c r="AT328" s="74"/>
    </row>
    <row r="329" spans="1:46" ht="14">
      <c r="A329" s="53" t="s">
        <v>4531</v>
      </c>
      <c r="B329" s="50" t="s">
        <v>3044</v>
      </c>
      <c r="C329" s="50" t="s">
        <v>4518</v>
      </c>
      <c r="D329" s="48" t="s">
        <v>462</v>
      </c>
      <c r="E329" s="50" t="s">
        <v>4519</v>
      </c>
      <c r="F329" s="50" t="s">
        <v>3114</v>
      </c>
      <c r="G329" s="76" t="s">
        <v>3115</v>
      </c>
      <c r="H329" s="50">
        <v>9199</v>
      </c>
      <c r="I329" s="49" t="s">
        <v>2</v>
      </c>
      <c r="J329" s="50" t="s">
        <v>4534</v>
      </c>
      <c r="K329" s="51">
        <v>41432</v>
      </c>
      <c r="L329" s="115">
        <v>41428</v>
      </c>
      <c r="M329" s="402">
        <f t="shared" si="20"/>
        <v>4</v>
      </c>
      <c r="N329" s="50" t="s">
        <v>2</v>
      </c>
      <c r="O329" s="74">
        <f>1/2</f>
        <v>0.5</v>
      </c>
      <c r="P329" s="50">
        <v>6</v>
      </c>
      <c r="Q329" s="74">
        <v>6.7</v>
      </c>
      <c r="R329" s="50">
        <v>43</v>
      </c>
      <c r="S329" s="74">
        <v>56</v>
      </c>
      <c r="T329" s="50">
        <v>0.26</v>
      </c>
      <c r="U329" s="74">
        <v>0.68</v>
      </c>
      <c r="V329" s="50">
        <v>0.17</v>
      </c>
      <c r="W329" s="74">
        <v>5.0000000000000001E-3</v>
      </c>
      <c r="X329" s="50">
        <v>3.4000000000000002E-2</v>
      </c>
      <c r="Y329" s="74">
        <v>4.7999999999999996E-3</v>
      </c>
      <c r="AG329" s="74"/>
      <c r="AH329" s="74"/>
      <c r="AI329" s="113"/>
      <c r="AJ329" s="50"/>
      <c r="AK329" s="74"/>
      <c r="AL329" s="74"/>
      <c r="AM329" s="74"/>
      <c r="AN329" s="74"/>
      <c r="AO329" s="74"/>
      <c r="AP329" s="74"/>
      <c r="AQ329" s="74"/>
      <c r="AR329" s="74"/>
      <c r="AS329" s="74"/>
      <c r="AT329" s="74"/>
    </row>
    <row r="330" spans="1:46" ht="14">
      <c r="A330" s="41" t="s">
        <v>36</v>
      </c>
      <c r="B330" s="50" t="s">
        <v>3044</v>
      </c>
      <c r="C330" s="50" t="s">
        <v>4521</v>
      </c>
      <c r="D330" s="48" t="s">
        <v>462</v>
      </c>
      <c r="E330" s="50" t="s">
        <v>1546</v>
      </c>
      <c r="F330" s="50" t="s">
        <v>4522</v>
      </c>
      <c r="G330" s="76" t="s">
        <v>3051</v>
      </c>
      <c r="H330" s="50">
        <v>9199</v>
      </c>
      <c r="I330" s="49" t="s">
        <v>1</v>
      </c>
      <c r="J330" s="50" t="s">
        <v>4523</v>
      </c>
      <c r="K330" s="51">
        <v>41432</v>
      </c>
      <c r="L330" s="115">
        <v>41428</v>
      </c>
      <c r="M330" s="402">
        <f t="shared" si="20"/>
        <v>4</v>
      </c>
      <c r="N330" s="50" t="s">
        <v>2</v>
      </c>
      <c r="O330" s="74">
        <v>2.4</v>
      </c>
      <c r="P330" s="50">
        <v>6</v>
      </c>
      <c r="Q330" s="74">
        <v>7.2</v>
      </c>
      <c r="R330" s="50">
        <v>100</v>
      </c>
      <c r="S330" s="74">
        <v>58</v>
      </c>
      <c r="T330" s="50">
        <v>0.33</v>
      </c>
      <c r="U330" s="74">
        <v>1.5</v>
      </c>
      <c r="V330" s="50">
        <v>0.16</v>
      </c>
      <c r="W330" s="74">
        <v>8.2000000000000007E-3</v>
      </c>
      <c r="X330" s="50">
        <v>4.9000000000000002E-2</v>
      </c>
      <c r="Y330" s="74">
        <v>0.01</v>
      </c>
      <c r="AG330" s="74"/>
      <c r="AH330" s="74"/>
      <c r="AI330" s="113"/>
      <c r="AJ330" s="50"/>
      <c r="AK330" s="74"/>
      <c r="AL330" s="74"/>
      <c r="AM330" s="74"/>
      <c r="AN330" s="74"/>
      <c r="AO330" s="74"/>
      <c r="AP330" s="74"/>
      <c r="AQ330" s="74"/>
      <c r="AR330" s="74"/>
      <c r="AS330" s="74"/>
      <c r="AT330" s="74"/>
    </row>
    <row r="331" spans="1:46" ht="14">
      <c r="A331" s="41" t="s">
        <v>36</v>
      </c>
      <c r="B331" s="50" t="s">
        <v>2763</v>
      </c>
      <c r="C331" s="50" t="s">
        <v>4524</v>
      </c>
      <c r="D331" s="48" t="s">
        <v>2378</v>
      </c>
      <c r="F331" s="50" t="s">
        <v>4166</v>
      </c>
      <c r="G331" s="76" t="s">
        <v>2765</v>
      </c>
      <c r="H331" s="50">
        <v>4212</v>
      </c>
      <c r="I331" s="49" t="s">
        <v>2</v>
      </c>
      <c r="J331" s="50" t="s">
        <v>510</v>
      </c>
      <c r="K331" s="51">
        <v>41432</v>
      </c>
      <c r="L331" s="115">
        <v>41428</v>
      </c>
      <c r="M331" s="402">
        <f t="shared" si="20"/>
        <v>4</v>
      </c>
      <c r="N331" s="50" t="s">
        <v>2</v>
      </c>
      <c r="O331" s="74">
        <f>1.4/2</f>
        <v>0.7</v>
      </c>
      <c r="P331" s="50">
        <v>6.5</v>
      </c>
      <c r="Q331" s="74">
        <v>6.68</v>
      </c>
      <c r="R331" s="50">
        <v>27</v>
      </c>
      <c r="S331" s="74">
        <v>47</v>
      </c>
      <c r="T331" s="50">
        <v>0.09</v>
      </c>
      <c r="U331" s="74">
        <v>0.42</v>
      </c>
      <c r="V331" s="50">
        <v>0.14000000000000001</v>
      </c>
      <c r="W331" s="74">
        <v>5.0000000000000001E-3</v>
      </c>
      <c r="X331" s="50">
        <v>2.4E-2</v>
      </c>
      <c r="Y331" s="74">
        <v>5.0000000000000001E-3</v>
      </c>
      <c r="Z331" s="164">
        <v>1</v>
      </c>
      <c r="AA331" s="165">
        <v>1</v>
      </c>
      <c r="AB331" s="50">
        <v>2</v>
      </c>
      <c r="AC331" s="74">
        <v>6</v>
      </c>
      <c r="AD331" s="164">
        <v>1</v>
      </c>
      <c r="AE331" s="50">
        <f>2/2</f>
        <v>1</v>
      </c>
      <c r="AF331" s="50">
        <f>0.01/2</f>
        <v>5.0000000000000001E-3</v>
      </c>
      <c r="AG331" s="74"/>
      <c r="AH331" s="74"/>
      <c r="AI331" s="113"/>
      <c r="AJ331" s="50"/>
      <c r="AK331" s="74"/>
      <c r="AL331" s="74"/>
      <c r="AM331" s="74"/>
      <c r="AN331" s="74"/>
      <c r="AO331" s="74"/>
      <c r="AP331" s="74"/>
      <c r="AQ331" s="74"/>
      <c r="AR331" s="74"/>
      <c r="AS331" s="74"/>
      <c r="AT331" s="74"/>
    </row>
    <row r="332" spans="1:46" ht="14">
      <c r="A332" s="41" t="s">
        <v>36</v>
      </c>
      <c r="B332" s="50" t="s">
        <v>2774</v>
      </c>
      <c r="C332" s="50" t="s">
        <v>393</v>
      </c>
      <c r="D332" s="48" t="s">
        <v>2775</v>
      </c>
      <c r="E332" s="50" t="s">
        <v>2776</v>
      </c>
      <c r="F332" s="72" t="s">
        <v>4535</v>
      </c>
      <c r="G332" s="76" t="s">
        <v>2778</v>
      </c>
      <c r="H332" s="50">
        <v>9199</v>
      </c>
      <c r="I332" s="49" t="s">
        <v>2</v>
      </c>
      <c r="J332" s="50" t="s">
        <v>255</v>
      </c>
      <c r="K332" s="51">
        <v>41432</v>
      </c>
      <c r="L332" s="115">
        <v>41428</v>
      </c>
      <c r="M332" s="402">
        <f t="shared" si="20"/>
        <v>4</v>
      </c>
      <c r="N332" s="50" t="s">
        <v>2</v>
      </c>
      <c r="O332" s="74">
        <f>1.4/2</f>
        <v>0.7</v>
      </c>
      <c r="P332" s="50">
        <v>6.5</v>
      </c>
      <c r="Q332" s="74">
        <v>7.22</v>
      </c>
      <c r="R332" s="50">
        <v>23</v>
      </c>
      <c r="S332" s="74">
        <v>9</v>
      </c>
      <c r="T332" s="50">
        <v>0.08</v>
      </c>
      <c r="U332" s="74">
        <v>0.8</v>
      </c>
      <c r="V332" s="50">
        <v>0.04</v>
      </c>
      <c r="W332" s="74">
        <f>0.005/2</f>
        <v>2.5000000000000001E-3</v>
      </c>
      <c r="X332" s="50">
        <v>2E-3</v>
      </c>
      <c r="Y332" s="74">
        <v>2E-3</v>
      </c>
      <c r="Z332" s="164">
        <v>1</v>
      </c>
      <c r="AA332" s="165">
        <v>1</v>
      </c>
      <c r="AB332" s="50">
        <v>24</v>
      </c>
      <c r="AC332" s="74">
        <v>250</v>
      </c>
      <c r="AD332" s="164">
        <v>1</v>
      </c>
      <c r="AE332" s="50">
        <v>53.2</v>
      </c>
      <c r="AF332" s="50">
        <f>0.01/2</f>
        <v>5.0000000000000001E-3</v>
      </c>
      <c r="AG332" s="74"/>
      <c r="AH332" s="74"/>
      <c r="AI332" s="113"/>
      <c r="AJ332" s="50"/>
      <c r="AK332" s="74"/>
      <c r="AL332" s="74"/>
      <c r="AM332" s="74"/>
      <c r="AN332" s="74"/>
      <c r="AO332" s="74"/>
      <c r="AP332" s="74"/>
      <c r="AQ332" s="74"/>
      <c r="AR332" s="74"/>
      <c r="AS332" s="74"/>
      <c r="AT332" s="74"/>
    </row>
    <row r="333" spans="1:46" ht="14">
      <c r="A333" s="41" t="s">
        <v>36</v>
      </c>
      <c r="B333" s="50" t="s">
        <v>4525</v>
      </c>
      <c r="C333" s="50" t="s">
        <v>393</v>
      </c>
      <c r="D333" s="48" t="s">
        <v>1505</v>
      </c>
      <c r="E333" s="50" t="s">
        <v>4009</v>
      </c>
      <c r="G333" s="76" t="s">
        <v>2748</v>
      </c>
      <c r="H333" s="50">
        <v>9199</v>
      </c>
      <c r="I333" s="49" t="s">
        <v>2</v>
      </c>
      <c r="J333" s="50" t="s">
        <v>2749</v>
      </c>
      <c r="K333" s="51">
        <v>41495</v>
      </c>
      <c r="L333" s="115">
        <v>41490</v>
      </c>
      <c r="M333" s="402">
        <f t="shared" si="20"/>
        <v>5</v>
      </c>
      <c r="N333" s="50" t="s">
        <v>2</v>
      </c>
      <c r="O333" s="74">
        <f>1.4/2</f>
        <v>0.7</v>
      </c>
      <c r="P333" s="50">
        <v>6</v>
      </c>
      <c r="Q333" s="74">
        <v>7.65</v>
      </c>
      <c r="R333" s="50">
        <v>32</v>
      </c>
      <c r="S333" s="74">
        <v>440</v>
      </c>
      <c r="T333" s="50">
        <v>1.57</v>
      </c>
      <c r="U333" s="74">
        <v>1.51</v>
      </c>
      <c r="V333" s="50">
        <v>0.97</v>
      </c>
      <c r="W333" s="74">
        <v>2.1999999999999999E-2</v>
      </c>
      <c r="X333" s="50">
        <v>6.6000000000000003E-2</v>
      </c>
      <c r="Y333" s="74">
        <v>4.0000000000000001E-3</v>
      </c>
      <c r="AE333" s="50">
        <v>138</v>
      </c>
      <c r="AF333" s="50">
        <f>0.01/2</f>
        <v>5.0000000000000001E-3</v>
      </c>
      <c r="AG333" s="74"/>
      <c r="AH333" s="74"/>
      <c r="AI333" s="113"/>
      <c r="AJ333" s="50"/>
      <c r="AK333" s="74"/>
      <c r="AL333" s="74"/>
      <c r="AM333" s="74"/>
      <c r="AN333" s="74"/>
      <c r="AO333" s="74"/>
      <c r="AP333" s="74"/>
      <c r="AQ333" s="74"/>
      <c r="AR333" s="74"/>
      <c r="AS333" s="74"/>
      <c r="AT333" s="74"/>
    </row>
    <row r="334" spans="1:46" ht="14">
      <c r="A334" s="41" t="s">
        <v>36</v>
      </c>
      <c r="B334" s="50" t="s">
        <v>4526</v>
      </c>
      <c r="C334" s="50" t="s">
        <v>2660</v>
      </c>
      <c r="D334" s="48" t="s">
        <v>1569</v>
      </c>
      <c r="E334" s="50" t="s">
        <v>1601</v>
      </c>
      <c r="G334" s="76" t="s">
        <v>2872</v>
      </c>
      <c r="H334" s="50">
        <v>9199</v>
      </c>
      <c r="I334" s="49" t="s">
        <v>2</v>
      </c>
      <c r="J334" s="50" t="s">
        <v>2873</v>
      </c>
      <c r="K334" s="51">
        <v>41499</v>
      </c>
      <c r="L334" s="115">
        <v>41495</v>
      </c>
      <c r="M334" s="402">
        <f t="shared" si="20"/>
        <v>4</v>
      </c>
      <c r="N334" s="50" t="s">
        <v>2</v>
      </c>
      <c r="O334" s="74">
        <f>1.4/2</f>
        <v>0.7</v>
      </c>
      <c r="P334" s="50">
        <v>6</v>
      </c>
      <c r="Q334" s="74">
        <v>7.16</v>
      </c>
      <c r="R334" s="50">
        <v>37</v>
      </c>
      <c r="S334" s="74">
        <f>5/2</f>
        <v>2.5</v>
      </c>
      <c r="T334" s="50">
        <v>0.16</v>
      </c>
      <c r="U334" s="74">
        <v>0.98</v>
      </c>
      <c r="V334" s="50">
        <v>0.42</v>
      </c>
      <c r="W334" s="74">
        <v>0.01</v>
      </c>
      <c r="X334" s="50">
        <v>3.2000000000000001E-2</v>
      </c>
      <c r="Y334" s="74">
        <v>6.0000000000000001E-3</v>
      </c>
      <c r="AE334" s="50">
        <v>99</v>
      </c>
      <c r="AF334" s="50">
        <f>0.01/2</f>
        <v>5.0000000000000001E-3</v>
      </c>
      <c r="AG334" s="74"/>
      <c r="AH334" s="74"/>
      <c r="AI334" s="113"/>
      <c r="AJ334" s="50"/>
      <c r="AK334" s="74"/>
      <c r="AL334" s="74"/>
      <c r="AM334" s="74"/>
      <c r="AN334" s="74"/>
      <c r="AO334" s="74"/>
      <c r="AP334" s="74"/>
      <c r="AQ334" s="74"/>
      <c r="AR334" s="74"/>
      <c r="AS334" s="74"/>
      <c r="AT334" s="74"/>
    </row>
    <row r="335" spans="1:46" ht="14">
      <c r="A335" s="41" t="s">
        <v>36</v>
      </c>
      <c r="B335" s="50" t="s">
        <v>4527</v>
      </c>
      <c r="C335" s="50" t="s">
        <v>2892</v>
      </c>
      <c r="D335" s="48" t="s">
        <v>338</v>
      </c>
      <c r="E335" s="50" t="s">
        <v>599</v>
      </c>
      <c r="F335" s="50">
        <v>6900</v>
      </c>
      <c r="G335" s="76" t="s">
        <v>998</v>
      </c>
      <c r="H335" s="50">
        <v>4953</v>
      </c>
      <c r="J335" s="50" t="s">
        <v>2894</v>
      </c>
      <c r="K335" s="51">
        <v>41487</v>
      </c>
      <c r="L335" s="115">
        <v>41481</v>
      </c>
      <c r="M335" s="402">
        <f t="shared" si="20"/>
        <v>6</v>
      </c>
      <c r="N335" s="50" t="s">
        <v>2</v>
      </c>
      <c r="O335" s="74">
        <v>16.8</v>
      </c>
      <c r="P335" s="50">
        <v>6.99</v>
      </c>
      <c r="Q335" s="74">
        <v>7.69</v>
      </c>
      <c r="R335" s="50">
        <v>107.8</v>
      </c>
      <c r="S335" s="74">
        <v>86.5</v>
      </c>
      <c r="T335" s="50">
        <v>0.3</v>
      </c>
      <c r="U335" s="74">
        <v>1.63</v>
      </c>
      <c r="V335" s="50">
        <v>0.46</v>
      </c>
      <c r="W335" s="74">
        <v>0.03</v>
      </c>
      <c r="X335" s="50">
        <v>0.18</v>
      </c>
      <c r="Y335" s="74">
        <v>0.03</v>
      </c>
      <c r="AE335" s="50">
        <v>15</v>
      </c>
      <c r="AF335" s="50">
        <f>0.005/2</f>
        <v>2.5000000000000001E-3</v>
      </c>
      <c r="AG335" s="74"/>
      <c r="AH335" s="74"/>
      <c r="AI335" s="113"/>
      <c r="AJ335" s="50"/>
      <c r="AK335" s="74"/>
      <c r="AL335" s="74"/>
      <c r="AM335" s="74"/>
      <c r="AN335" s="74"/>
      <c r="AO335" s="74"/>
      <c r="AP335" s="74"/>
      <c r="AQ335" s="74"/>
      <c r="AR335" s="74"/>
      <c r="AS335" s="74"/>
      <c r="AT335" s="74"/>
    </row>
    <row r="336" spans="1:46" ht="14">
      <c r="A336" s="41" t="s">
        <v>36</v>
      </c>
      <c r="B336" s="50" t="s">
        <v>2847</v>
      </c>
      <c r="C336" s="50" t="s">
        <v>2717</v>
      </c>
      <c r="D336" s="48" t="s">
        <v>2848</v>
      </c>
      <c r="E336" s="50" t="s">
        <v>2851</v>
      </c>
      <c r="G336" s="76" t="s">
        <v>2852</v>
      </c>
      <c r="H336" s="50">
        <v>9199</v>
      </c>
      <c r="I336" s="49" t="s">
        <v>2</v>
      </c>
      <c r="J336" s="50" t="s">
        <v>2694</v>
      </c>
      <c r="K336" s="51">
        <v>41345</v>
      </c>
      <c r="L336" s="115">
        <v>41341</v>
      </c>
      <c r="M336" s="402">
        <f t="shared" si="20"/>
        <v>4</v>
      </c>
      <c r="N336" s="50" t="s">
        <v>2</v>
      </c>
      <c r="O336" s="74">
        <v>5.0999999999999996</v>
      </c>
      <c r="P336" s="50">
        <v>4.96</v>
      </c>
      <c r="Q336" s="74">
        <v>6.7</v>
      </c>
      <c r="R336" s="50">
        <v>163</v>
      </c>
      <c r="S336" s="74">
        <v>200</v>
      </c>
      <c r="T336" s="50">
        <v>0.93</v>
      </c>
      <c r="U336" s="74">
        <v>1.69</v>
      </c>
      <c r="V336" s="50">
        <v>0.21</v>
      </c>
      <c r="W336" s="74">
        <v>3.2000000000000001E-2</v>
      </c>
      <c r="X336" s="50">
        <v>0.128</v>
      </c>
      <c r="Y336" s="74">
        <v>0.01</v>
      </c>
      <c r="Z336" s="164">
        <v>0.70699999999999996</v>
      </c>
      <c r="AA336" s="165">
        <v>0.70699999999999996</v>
      </c>
      <c r="AB336" s="50">
        <v>146</v>
      </c>
      <c r="AC336" s="74">
        <v>7320</v>
      </c>
      <c r="AD336" s="164">
        <v>0</v>
      </c>
      <c r="AE336" s="50">
        <v>2880</v>
      </c>
      <c r="AF336" s="50">
        <v>0.08</v>
      </c>
      <c r="AG336" s="74"/>
      <c r="AH336" s="74"/>
      <c r="AI336" s="113"/>
      <c r="AJ336" s="50"/>
      <c r="AK336" s="74"/>
      <c r="AL336" s="74"/>
      <c r="AM336" s="74"/>
      <c r="AN336" s="74"/>
      <c r="AO336" s="74"/>
      <c r="AP336" s="74"/>
      <c r="AQ336" s="74"/>
      <c r="AR336" s="74"/>
      <c r="AS336" s="74"/>
      <c r="AT336" s="74"/>
    </row>
    <row r="337" spans="1:46" ht="14">
      <c r="A337" s="41" t="s">
        <v>36</v>
      </c>
      <c r="B337" s="50" t="s">
        <v>2273</v>
      </c>
      <c r="C337" s="50" t="s">
        <v>2757</v>
      </c>
      <c r="D337" s="48" t="s">
        <v>2274</v>
      </c>
      <c r="E337" s="50" t="s">
        <v>2657</v>
      </c>
      <c r="G337" s="76" t="s">
        <v>2911</v>
      </c>
      <c r="H337" s="50">
        <v>9199</v>
      </c>
      <c r="I337" s="49" t="s">
        <v>1</v>
      </c>
      <c r="J337" s="50" t="s">
        <v>510</v>
      </c>
      <c r="K337" s="51">
        <v>41050</v>
      </c>
      <c r="L337" s="115">
        <v>41044</v>
      </c>
      <c r="M337" s="402">
        <f t="shared" si="20"/>
        <v>6</v>
      </c>
      <c r="N337" s="50" t="s">
        <v>2</v>
      </c>
      <c r="O337" s="74">
        <f>5/2</f>
        <v>2.5</v>
      </c>
      <c r="P337" s="50">
        <v>6.3</v>
      </c>
      <c r="Q337" s="74">
        <v>6.32</v>
      </c>
      <c r="R337" s="50">
        <v>90</v>
      </c>
      <c r="S337" s="74">
        <v>40</v>
      </c>
      <c r="T337" s="50">
        <f>0.1/2</f>
        <v>0.05</v>
      </c>
      <c r="U337" s="74">
        <v>5.5</v>
      </c>
      <c r="V337" s="50">
        <v>0.69</v>
      </c>
      <c r="W337" s="74">
        <f>0.04/2</f>
        <v>0.02</v>
      </c>
      <c r="X337" s="50">
        <f>0.02/2</f>
        <v>0.01</v>
      </c>
      <c r="Y337" s="74">
        <f>0.013/2</f>
        <v>6.4999999999999997E-3</v>
      </c>
      <c r="AE337" s="50">
        <v>1200</v>
      </c>
      <c r="AF337" s="50">
        <f>0.05/2</f>
        <v>2.5000000000000001E-2</v>
      </c>
      <c r="AG337" s="74"/>
      <c r="AH337" s="74"/>
      <c r="AI337" s="113"/>
      <c r="AJ337" s="50"/>
      <c r="AK337" s="74"/>
      <c r="AL337" s="74"/>
      <c r="AM337" s="74"/>
      <c r="AN337" s="74"/>
      <c r="AO337" s="74"/>
      <c r="AP337" s="74"/>
      <c r="AQ337" s="74"/>
      <c r="AR337" s="74"/>
      <c r="AS337" s="74"/>
      <c r="AT337" s="74"/>
    </row>
    <row r="338" spans="1:46" ht="14">
      <c r="A338" s="41" t="s">
        <v>36</v>
      </c>
      <c r="B338" s="50" t="s">
        <v>4528</v>
      </c>
      <c r="C338" s="50" t="s">
        <v>2821</v>
      </c>
      <c r="D338" s="48" t="s">
        <v>516</v>
      </c>
      <c r="F338" s="50" t="s">
        <v>4529</v>
      </c>
      <c r="G338" s="76" t="s">
        <v>4530</v>
      </c>
      <c r="H338" s="50">
        <v>9199</v>
      </c>
      <c r="I338" s="49" t="s">
        <v>2</v>
      </c>
      <c r="J338" s="50" t="s">
        <v>510</v>
      </c>
      <c r="K338" s="51">
        <v>41402</v>
      </c>
      <c r="L338" s="115">
        <v>41383</v>
      </c>
      <c r="M338" s="402">
        <f t="shared" si="20"/>
        <v>19</v>
      </c>
      <c r="N338" s="50" t="s">
        <v>2</v>
      </c>
      <c r="O338" s="74">
        <f>1.4/2</f>
        <v>0.7</v>
      </c>
      <c r="P338" s="50">
        <v>7.69</v>
      </c>
      <c r="Q338" s="74">
        <v>7.1</v>
      </c>
      <c r="R338" s="50">
        <v>77</v>
      </c>
      <c r="S338" s="74">
        <v>75</v>
      </c>
      <c r="T338" s="50">
        <v>0.14000000000000001</v>
      </c>
      <c r="U338" s="74">
        <v>14.2</v>
      </c>
      <c r="V338" s="50">
        <v>0.05</v>
      </c>
      <c r="W338" s="74">
        <f>0.005/2</f>
        <v>2.5000000000000001E-3</v>
      </c>
      <c r="X338" s="50">
        <v>5.0000000000000001E-3</v>
      </c>
      <c r="Y338" s="74">
        <f>0.002/2</f>
        <v>1E-3</v>
      </c>
      <c r="Z338" s="164">
        <v>1</v>
      </c>
      <c r="AA338" s="165">
        <v>1</v>
      </c>
      <c r="AB338" s="50">
        <v>168</v>
      </c>
      <c r="AC338" s="74">
        <v>1458</v>
      </c>
      <c r="AD338" s="164">
        <v>1</v>
      </c>
      <c r="AE338" s="50">
        <v>330</v>
      </c>
      <c r="AF338" s="50">
        <f>0.01/2</f>
        <v>5.0000000000000001E-3</v>
      </c>
      <c r="AG338" s="74"/>
      <c r="AH338" s="74"/>
      <c r="AI338" s="113"/>
      <c r="AJ338" s="50"/>
      <c r="AK338" s="74"/>
      <c r="AL338" s="74"/>
      <c r="AM338" s="74"/>
      <c r="AN338" s="74"/>
      <c r="AO338" s="74"/>
      <c r="AP338" s="74"/>
      <c r="AQ338" s="74"/>
      <c r="AR338" s="74"/>
      <c r="AS338" s="74"/>
      <c r="AT338" s="74"/>
    </row>
    <row r="339" spans="1:46" ht="14">
      <c r="A339" s="41" t="s">
        <v>36</v>
      </c>
      <c r="B339" s="50" t="s">
        <v>3499</v>
      </c>
      <c r="C339" s="50" t="s">
        <v>2660</v>
      </c>
      <c r="D339" s="48" t="s">
        <v>640</v>
      </c>
      <c r="E339" s="50" t="s">
        <v>3500</v>
      </c>
      <c r="G339" s="76" t="s">
        <v>646</v>
      </c>
      <c r="H339" s="50">
        <v>9199</v>
      </c>
      <c r="I339" s="49" t="s">
        <v>2</v>
      </c>
      <c r="J339" s="50" t="s">
        <v>647</v>
      </c>
      <c r="K339" s="51">
        <v>41453</v>
      </c>
      <c r="L339" s="115">
        <v>41450</v>
      </c>
      <c r="M339" s="402">
        <f t="shared" si="20"/>
        <v>3</v>
      </c>
      <c r="N339" s="50" t="s">
        <v>2</v>
      </c>
      <c r="O339" s="74">
        <v>1.2</v>
      </c>
      <c r="P339" s="50">
        <v>5.1100000000000003</v>
      </c>
      <c r="Q339" s="74">
        <v>8.8800000000000008</v>
      </c>
      <c r="R339" s="50">
        <v>1077</v>
      </c>
      <c r="S339" s="74">
        <v>17</v>
      </c>
      <c r="T339" s="50">
        <v>0.34</v>
      </c>
      <c r="U339" s="74">
        <v>2.5</v>
      </c>
      <c r="V339" s="50">
        <v>0.95</v>
      </c>
      <c r="W339" s="74">
        <v>0.10299999999999999</v>
      </c>
      <c r="X339" s="50">
        <v>0.253</v>
      </c>
      <c r="Y339" s="74">
        <v>3.0000000000000001E-3</v>
      </c>
      <c r="Z339" s="164">
        <v>1</v>
      </c>
      <c r="AA339" s="165">
        <v>0.77100000000000002</v>
      </c>
      <c r="AB339" s="50">
        <v>12.75</v>
      </c>
      <c r="AC339" s="74">
        <v>473</v>
      </c>
      <c r="AD339" s="164">
        <v>0.2</v>
      </c>
      <c r="AE339" s="50">
        <v>98.06</v>
      </c>
      <c r="AF339" s="50">
        <f>0.01/2</f>
        <v>5.0000000000000001E-3</v>
      </c>
      <c r="AG339" s="74"/>
      <c r="AH339" s="74"/>
      <c r="AI339" s="113"/>
      <c r="AJ339" s="50"/>
      <c r="AK339" s="74"/>
      <c r="AL339" s="74"/>
      <c r="AM339" s="74"/>
      <c r="AN339" s="74"/>
      <c r="AO339" s="74"/>
      <c r="AP339" s="74"/>
      <c r="AQ339" s="74"/>
      <c r="AR339" s="74"/>
      <c r="AS339" s="74"/>
      <c r="AT339" s="74"/>
    </row>
    <row r="340" spans="1:46" ht="14">
      <c r="A340" s="41" t="s">
        <v>36</v>
      </c>
      <c r="B340" s="50" t="s">
        <v>2273</v>
      </c>
      <c r="C340" s="50" t="s">
        <v>2757</v>
      </c>
      <c r="D340" s="48" t="s">
        <v>2274</v>
      </c>
      <c r="E340" s="50" t="s">
        <v>2657</v>
      </c>
      <c r="G340" s="76" t="s">
        <v>2911</v>
      </c>
      <c r="H340" s="50">
        <v>9199</v>
      </c>
      <c r="I340" s="49" t="s">
        <v>1</v>
      </c>
      <c r="J340" s="50" t="s">
        <v>510</v>
      </c>
      <c r="K340" s="51">
        <v>41468</v>
      </c>
      <c r="L340" s="115">
        <v>41452</v>
      </c>
      <c r="M340" s="402">
        <f t="shared" si="20"/>
        <v>16</v>
      </c>
      <c r="N340" s="50" t="s">
        <v>2</v>
      </c>
      <c r="O340" s="74">
        <f>5/2</f>
        <v>2.5</v>
      </c>
      <c r="P340" s="50">
        <v>5.15</v>
      </c>
      <c r="Q340" s="74">
        <v>5.27</v>
      </c>
      <c r="R340" s="50">
        <v>70</v>
      </c>
      <c r="S340" s="74">
        <v>54</v>
      </c>
      <c r="T340" s="50">
        <v>0.22</v>
      </c>
      <c r="U340" s="74">
        <v>2.9</v>
      </c>
      <c r="V340" s="50">
        <v>1</v>
      </c>
      <c r="W340" s="74">
        <f>0.04/2</f>
        <v>0.02</v>
      </c>
      <c r="X340" s="50">
        <v>0.13</v>
      </c>
      <c r="Y340" s="74">
        <f>0.013/2</f>
        <v>6.4999999999999997E-3</v>
      </c>
      <c r="Z340" s="164">
        <v>1</v>
      </c>
      <c r="AA340" s="165">
        <v>1</v>
      </c>
      <c r="AB340" s="50">
        <v>11</v>
      </c>
      <c r="AC340" s="74">
        <v>64.5</v>
      </c>
      <c r="AD340" s="164">
        <v>1</v>
      </c>
      <c r="AG340" s="74"/>
      <c r="AH340" s="74"/>
      <c r="AI340" s="113"/>
      <c r="AJ340" s="50"/>
      <c r="AK340" s="74"/>
      <c r="AL340" s="74"/>
      <c r="AM340" s="74"/>
      <c r="AN340" s="74"/>
      <c r="AO340" s="74"/>
      <c r="AP340" s="74"/>
      <c r="AQ340" s="74"/>
      <c r="AR340" s="74"/>
      <c r="AS340" s="74"/>
      <c r="AT340" s="74"/>
    </row>
    <row r="341" spans="1:46" ht="14">
      <c r="A341" s="74" t="s">
        <v>5141</v>
      </c>
      <c r="B341" s="50" t="s">
        <v>69</v>
      </c>
      <c r="C341" s="50" t="s">
        <v>4543</v>
      </c>
      <c r="D341" s="48" t="s">
        <v>71</v>
      </c>
      <c r="F341" s="50" t="s">
        <v>72</v>
      </c>
      <c r="G341" s="76" t="s">
        <v>73</v>
      </c>
      <c r="H341" s="50">
        <v>9199</v>
      </c>
      <c r="I341" s="49" t="s">
        <v>2</v>
      </c>
      <c r="J341" s="50" t="s">
        <v>2036</v>
      </c>
      <c r="K341" s="51">
        <v>41332</v>
      </c>
      <c r="L341" s="115"/>
      <c r="N341" s="50" t="s">
        <v>1</v>
      </c>
      <c r="O341" s="74">
        <f>1.4/2</f>
        <v>0.7</v>
      </c>
      <c r="P341" s="117">
        <v>6.67</v>
      </c>
      <c r="Q341" s="131">
        <v>6.64</v>
      </c>
      <c r="R341" s="50">
        <v>47</v>
      </c>
      <c r="S341" s="74">
        <v>34</v>
      </c>
      <c r="T341" s="50">
        <v>0.11</v>
      </c>
      <c r="U341" s="74">
        <v>0.56000000000000005</v>
      </c>
      <c r="V341" s="50">
        <v>0.01</v>
      </c>
      <c r="W341" s="74">
        <v>6.0000000000000001E-3</v>
      </c>
      <c r="X341" s="50">
        <v>4.1000000000000002E-2</v>
      </c>
      <c r="Y341" s="74">
        <v>7.0000000000000001E-3</v>
      </c>
      <c r="Z341" s="164">
        <v>1</v>
      </c>
      <c r="AA341" s="165">
        <v>1</v>
      </c>
      <c r="AB341" s="50">
        <v>22</v>
      </c>
      <c r="AC341" s="74">
        <v>2230</v>
      </c>
      <c r="AD341" s="164">
        <v>1</v>
      </c>
      <c r="AG341" s="74"/>
      <c r="AH341" s="74"/>
      <c r="AI341" s="113"/>
      <c r="AJ341" s="50"/>
      <c r="AK341" s="74"/>
      <c r="AL341" s="74"/>
      <c r="AM341" s="74"/>
      <c r="AN341" s="74"/>
      <c r="AO341" s="74"/>
      <c r="AP341" s="74"/>
      <c r="AQ341" s="74"/>
      <c r="AR341" s="74"/>
      <c r="AS341" s="74"/>
      <c r="AT341" s="74"/>
    </row>
    <row r="342" spans="1:46" ht="14">
      <c r="A342" s="74" t="s">
        <v>5141</v>
      </c>
      <c r="B342" s="50" t="s">
        <v>69</v>
      </c>
      <c r="C342" s="50" t="s">
        <v>4543</v>
      </c>
      <c r="D342" s="48" t="s">
        <v>71</v>
      </c>
      <c r="F342" s="50" t="s">
        <v>72</v>
      </c>
      <c r="G342" s="76" t="s">
        <v>73</v>
      </c>
      <c r="H342" s="50">
        <v>9199</v>
      </c>
      <c r="I342" s="49" t="s">
        <v>2</v>
      </c>
      <c r="J342" s="50" t="s">
        <v>2191</v>
      </c>
      <c r="K342" s="51">
        <v>41332</v>
      </c>
      <c r="L342" s="115"/>
      <c r="N342" s="50" t="s">
        <v>1</v>
      </c>
      <c r="O342" s="74">
        <f>1.4/2</f>
        <v>0.7</v>
      </c>
      <c r="P342" s="117">
        <v>7.04</v>
      </c>
      <c r="Q342" s="131">
        <v>6.98</v>
      </c>
      <c r="R342" s="50">
        <v>23</v>
      </c>
      <c r="S342" s="74">
        <v>25</v>
      </c>
      <c r="T342" s="50">
        <v>0.09</v>
      </c>
      <c r="U342" s="74">
        <v>0.66</v>
      </c>
      <c r="V342" s="50">
        <v>1.38</v>
      </c>
      <c r="W342" s="74">
        <f>0.005/2</f>
        <v>2.5000000000000001E-3</v>
      </c>
      <c r="X342" s="50">
        <v>3.7999999999999999E-2</v>
      </c>
      <c r="Y342" s="74">
        <v>2E-3</v>
      </c>
      <c r="Z342" s="164">
        <v>1</v>
      </c>
      <c r="AA342" s="165">
        <v>1</v>
      </c>
      <c r="AB342" s="50">
        <v>46</v>
      </c>
      <c r="AC342" s="74">
        <v>204</v>
      </c>
      <c r="AD342" s="164">
        <v>1</v>
      </c>
      <c r="AG342" s="74"/>
      <c r="AH342" s="74"/>
      <c r="AI342" s="113"/>
      <c r="AJ342" s="50"/>
      <c r="AK342" s="74"/>
      <c r="AL342" s="74"/>
      <c r="AM342" s="74"/>
      <c r="AN342" s="74"/>
      <c r="AO342" s="74"/>
      <c r="AP342" s="74"/>
      <c r="AQ342" s="74"/>
      <c r="AR342" s="74"/>
      <c r="AS342" s="74"/>
      <c r="AT342" s="74"/>
    </row>
    <row r="343" spans="1:46" ht="14">
      <c r="A343" s="74" t="s">
        <v>5141</v>
      </c>
      <c r="B343" s="50" t="s">
        <v>1442</v>
      </c>
      <c r="C343" s="50" t="s">
        <v>4544</v>
      </c>
      <c r="D343" s="48" t="s">
        <v>356</v>
      </c>
      <c r="E343" s="50" t="s">
        <v>359</v>
      </c>
      <c r="F343" s="50">
        <v>4009</v>
      </c>
      <c r="G343" s="76" t="s">
        <v>1447</v>
      </c>
      <c r="H343" s="50">
        <v>9199</v>
      </c>
      <c r="I343" s="49" t="s">
        <v>2</v>
      </c>
      <c r="J343" s="50" t="s">
        <v>4545</v>
      </c>
      <c r="K343" s="51">
        <v>41324</v>
      </c>
      <c r="L343" s="115">
        <v>41321</v>
      </c>
      <c r="M343" s="402">
        <f t="shared" ref="M343:M366" si="21">K343-L343</f>
        <v>3</v>
      </c>
      <c r="N343" s="50" t="s">
        <v>1</v>
      </c>
      <c r="O343" s="74">
        <v>3.6</v>
      </c>
      <c r="P343" s="117">
        <v>7.18</v>
      </c>
      <c r="Q343" s="131">
        <v>7.21</v>
      </c>
      <c r="R343" s="50">
        <v>160</v>
      </c>
      <c r="S343" s="74">
        <v>57</v>
      </c>
      <c r="T343" s="50">
        <v>0.24</v>
      </c>
      <c r="U343" s="74">
        <v>1.41</v>
      </c>
      <c r="V343" s="50">
        <v>1.49</v>
      </c>
      <c r="W343" s="74">
        <v>1.2999999999999999E-2</v>
      </c>
      <c r="X343" s="50">
        <v>7.1999999999999995E-2</v>
      </c>
      <c r="Y343" s="74">
        <v>7.0000000000000001E-3</v>
      </c>
      <c r="Z343" s="164">
        <v>1</v>
      </c>
      <c r="AA343" s="165">
        <v>0.85199999999999998</v>
      </c>
      <c r="AB343" s="50">
        <v>118</v>
      </c>
      <c r="AC343" s="74">
        <v>4740</v>
      </c>
      <c r="AD343" s="164">
        <v>0.35</v>
      </c>
      <c r="AF343" s="50">
        <f>0.01/2</f>
        <v>5.0000000000000001E-3</v>
      </c>
      <c r="AG343" s="74"/>
      <c r="AH343" s="74"/>
      <c r="AI343" s="113"/>
      <c r="AJ343" s="50"/>
      <c r="AK343" s="74"/>
      <c r="AL343" s="74"/>
      <c r="AM343" s="74"/>
      <c r="AN343" s="74"/>
      <c r="AO343" s="74"/>
      <c r="AP343" s="74"/>
      <c r="AQ343" s="74"/>
      <c r="AR343" s="74"/>
      <c r="AS343" s="74"/>
      <c r="AT343" s="74"/>
    </row>
    <row r="344" spans="1:46" ht="14">
      <c r="A344" s="74" t="s">
        <v>5141</v>
      </c>
      <c r="B344" s="50" t="s">
        <v>1442</v>
      </c>
      <c r="C344" s="50" t="s">
        <v>4544</v>
      </c>
      <c r="D344" s="48" t="s">
        <v>356</v>
      </c>
      <c r="E344" s="50" t="s">
        <v>359</v>
      </c>
      <c r="F344" s="50">
        <v>4009</v>
      </c>
      <c r="G344" s="76" t="s">
        <v>1447</v>
      </c>
      <c r="H344" s="50">
        <v>9199</v>
      </c>
      <c r="I344" s="49" t="s">
        <v>2</v>
      </c>
      <c r="J344" s="50" t="s">
        <v>4546</v>
      </c>
      <c r="K344" s="51">
        <v>41324</v>
      </c>
      <c r="L344" s="115">
        <v>41321</v>
      </c>
      <c r="M344" s="402">
        <f t="shared" si="21"/>
        <v>3</v>
      </c>
      <c r="N344" s="50" t="s">
        <v>1</v>
      </c>
      <c r="O344" s="74">
        <v>11</v>
      </c>
      <c r="P344" s="117">
        <v>7.19</v>
      </c>
      <c r="Q344" s="131">
        <v>7.18</v>
      </c>
      <c r="R344" s="50">
        <v>365</v>
      </c>
      <c r="S344" s="74">
        <v>200</v>
      </c>
      <c r="T344" s="50">
        <v>0.47</v>
      </c>
      <c r="U344" s="74">
        <v>2.2999999999999998</v>
      </c>
      <c r="V344" s="50">
        <v>0.64</v>
      </c>
      <c r="W344" s="74">
        <v>2.9000000000000001E-2</v>
      </c>
      <c r="X344" s="50">
        <v>9.9000000000000005E-2</v>
      </c>
      <c r="Y344" s="74">
        <v>1.9E-2</v>
      </c>
      <c r="Z344" s="164">
        <v>0.35399999999999998</v>
      </c>
      <c r="AA344" s="165">
        <v>0.17699999999999999</v>
      </c>
      <c r="AB344" s="50">
        <v>508</v>
      </c>
      <c r="AC344" s="74">
        <v>28200</v>
      </c>
      <c r="AD344" s="164">
        <v>0</v>
      </c>
      <c r="AF344" s="50">
        <v>0.01</v>
      </c>
      <c r="AG344" s="74"/>
      <c r="AH344" s="74"/>
      <c r="AI344" s="113"/>
      <c r="AJ344" s="50"/>
      <c r="AK344" s="74"/>
      <c r="AL344" s="74"/>
      <c r="AM344" s="74"/>
      <c r="AN344" s="74"/>
      <c r="AO344" s="74"/>
      <c r="AP344" s="74"/>
      <c r="AQ344" s="74"/>
      <c r="AR344" s="74"/>
      <c r="AS344" s="74"/>
      <c r="AT344" s="74"/>
    </row>
    <row r="345" spans="1:46" ht="14">
      <c r="A345" s="74" t="s">
        <v>5141</v>
      </c>
      <c r="B345" s="50" t="s">
        <v>2720</v>
      </c>
      <c r="C345" s="50" t="s">
        <v>2721</v>
      </c>
      <c r="D345" s="48" t="s">
        <v>2722</v>
      </c>
      <c r="E345" s="50" t="s">
        <v>4598</v>
      </c>
      <c r="G345" s="76" t="s">
        <v>2724</v>
      </c>
      <c r="H345" s="50">
        <v>7699</v>
      </c>
      <c r="I345" s="49" t="s">
        <v>2</v>
      </c>
      <c r="J345" s="50" t="s">
        <v>840</v>
      </c>
      <c r="K345" s="51">
        <v>41494</v>
      </c>
      <c r="L345" s="115">
        <v>41490</v>
      </c>
      <c r="M345" s="402">
        <f t="shared" si="21"/>
        <v>4</v>
      </c>
      <c r="N345" s="50" t="s">
        <v>2</v>
      </c>
      <c r="O345" s="74">
        <f>1.4/2</f>
        <v>0.7</v>
      </c>
      <c r="P345" s="50">
        <v>4.3</v>
      </c>
      <c r="Q345" s="74">
        <v>6.75</v>
      </c>
      <c r="R345" s="50">
        <f>10/2</f>
        <v>5</v>
      </c>
      <c r="S345" s="74">
        <f>5/2</f>
        <v>2.5</v>
      </c>
      <c r="T345" s="50">
        <v>0.01</v>
      </c>
      <c r="U345" s="74">
        <v>0.27</v>
      </c>
      <c r="V345" s="50">
        <v>0.04</v>
      </c>
      <c r="W345" s="74">
        <f>0.005/2</f>
        <v>2.5000000000000001E-3</v>
      </c>
      <c r="X345" s="50">
        <f>0.002/2</f>
        <v>1E-3</v>
      </c>
      <c r="Y345" s="74">
        <v>2E-3</v>
      </c>
      <c r="Z345" s="164">
        <v>1</v>
      </c>
      <c r="AA345" s="165">
        <v>1</v>
      </c>
      <c r="AB345" s="50">
        <v>90</v>
      </c>
      <c r="AC345" s="74">
        <v>460</v>
      </c>
      <c r="AD345" s="164">
        <v>1</v>
      </c>
      <c r="AE345" s="50">
        <v>128</v>
      </c>
      <c r="AF345" s="50">
        <f>0.01/2</f>
        <v>5.0000000000000001E-3</v>
      </c>
      <c r="AG345" s="74"/>
      <c r="AH345" s="50"/>
      <c r="AI345" s="113"/>
      <c r="AJ345" s="50"/>
      <c r="AK345" s="74"/>
      <c r="AL345" s="50"/>
      <c r="AM345" s="74"/>
      <c r="AN345" s="50"/>
      <c r="AO345" s="74"/>
      <c r="AP345" s="50"/>
      <c r="AQ345" s="74"/>
      <c r="AR345" s="50"/>
      <c r="AS345" s="74"/>
      <c r="AT345" s="74"/>
    </row>
    <row r="346" spans="1:46" ht="14">
      <c r="A346" s="74" t="s">
        <v>5141</v>
      </c>
      <c r="B346" s="50" t="s">
        <v>2790</v>
      </c>
      <c r="C346" s="50" t="s">
        <v>2757</v>
      </c>
      <c r="D346" s="48" t="s">
        <v>303</v>
      </c>
      <c r="E346" s="50" t="s">
        <v>2791</v>
      </c>
      <c r="G346" s="76" t="s">
        <v>2792</v>
      </c>
      <c r="H346" s="50">
        <v>9199</v>
      </c>
      <c r="I346" s="49" t="s">
        <v>2</v>
      </c>
      <c r="J346" s="50" t="s">
        <v>2793</v>
      </c>
      <c r="K346" s="51">
        <v>41499</v>
      </c>
      <c r="L346" s="115">
        <v>41495</v>
      </c>
      <c r="M346" s="402">
        <f t="shared" si="21"/>
        <v>4</v>
      </c>
      <c r="N346" s="50" t="s">
        <v>2</v>
      </c>
      <c r="O346" s="74">
        <v>2.5</v>
      </c>
      <c r="P346" s="50">
        <v>6</v>
      </c>
      <c r="Q346" s="74">
        <v>7.2</v>
      </c>
      <c r="R346" s="50">
        <v>220</v>
      </c>
      <c r="S346" s="74">
        <v>240</v>
      </c>
      <c r="T346" s="50">
        <v>0.7</v>
      </c>
      <c r="U346" s="74">
        <v>3.4</v>
      </c>
      <c r="V346" s="50">
        <v>0.17</v>
      </c>
      <c r="W346" s="74">
        <v>5.0999999999999997E-2</v>
      </c>
      <c r="X346" s="50">
        <v>0.13</v>
      </c>
      <c r="Y346" s="74">
        <v>5.8999999999999997E-2</v>
      </c>
      <c r="AB346" s="50">
        <v>140</v>
      </c>
      <c r="AC346" s="74">
        <f>0.05/2</f>
        <v>2.5000000000000001E-2</v>
      </c>
      <c r="AG346" s="74"/>
      <c r="AH346" s="50"/>
      <c r="AI346" s="113"/>
      <c r="AJ346" s="50"/>
      <c r="AK346" s="74"/>
      <c r="AL346" s="50"/>
      <c r="AM346" s="74"/>
      <c r="AN346" s="50"/>
      <c r="AO346" s="74"/>
      <c r="AP346" s="50"/>
      <c r="AQ346" s="74"/>
      <c r="AR346" s="50"/>
      <c r="AS346" s="74"/>
      <c r="AT346" s="74"/>
    </row>
    <row r="347" spans="1:46" ht="14">
      <c r="A347" s="74" t="s">
        <v>5141</v>
      </c>
      <c r="B347" s="50" t="s">
        <v>3996</v>
      </c>
      <c r="C347" s="50" t="s">
        <v>4744</v>
      </c>
      <c r="D347" s="48" t="s">
        <v>756</v>
      </c>
      <c r="E347" s="50" t="s">
        <v>3998</v>
      </c>
      <c r="F347" s="50" t="s">
        <v>3999</v>
      </c>
      <c r="G347" s="76" t="s">
        <v>4000</v>
      </c>
      <c r="H347" s="50">
        <v>9199</v>
      </c>
      <c r="I347" s="49" t="s">
        <v>1</v>
      </c>
      <c r="J347" s="50" t="s">
        <v>4600</v>
      </c>
      <c r="K347" s="51">
        <v>41487</v>
      </c>
      <c r="L347" s="115">
        <v>41481</v>
      </c>
      <c r="M347" s="402">
        <f t="shared" si="21"/>
        <v>6</v>
      </c>
      <c r="N347" s="50" t="s">
        <v>2</v>
      </c>
      <c r="O347" s="74">
        <f>2/2</f>
        <v>1</v>
      </c>
      <c r="P347" s="50">
        <v>4.17</v>
      </c>
      <c r="Q347" s="74">
        <v>6.9</v>
      </c>
      <c r="R347" s="50">
        <v>163</v>
      </c>
      <c r="S347" s="74">
        <v>180</v>
      </c>
      <c r="T347" s="50">
        <v>0.42</v>
      </c>
      <c r="U347" s="74">
        <v>4.2699999999999996</v>
      </c>
      <c r="V347" s="50">
        <v>2.0699999999999998</v>
      </c>
      <c r="W347" s="74">
        <v>3.5999999999999997E-2</v>
      </c>
      <c r="X347" s="50">
        <v>0.25600000000000001</v>
      </c>
      <c r="Y347" s="74">
        <f>0.03/2</f>
        <v>1.4999999999999999E-2</v>
      </c>
      <c r="AE347" s="50">
        <v>26.4</v>
      </c>
      <c r="AF347" s="50">
        <f>0.05/2</f>
        <v>2.5000000000000001E-2</v>
      </c>
      <c r="AG347" s="74"/>
      <c r="AH347" s="50"/>
      <c r="AI347" s="113"/>
      <c r="AJ347" s="50"/>
      <c r="AK347" s="74"/>
      <c r="AL347" s="50"/>
      <c r="AM347" s="74"/>
      <c r="AN347" s="50"/>
      <c r="AO347" s="74"/>
      <c r="AP347" s="50"/>
      <c r="AQ347" s="74"/>
      <c r="AR347" s="50"/>
      <c r="AS347" s="74"/>
      <c r="AT347" s="74"/>
    </row>
    <row r="348" spans="1:46" ht="14">
      <c r="A348" s="74" t="s">
        <v>5141</v>
      </c>
      <c r="B348" s="50" t="s">
        <v>2834</v>
      </c>
      <c r="C348" s="50" t="s">
        <v>2989</v>
      </c>
      <c r="D348" s="48" t="s">
        <v>636</v>
      </c>
      <c r="E348" s="50" t="s">
        <v>4601</v>
      </c>
      <c r="F348" s="50" t="s">
        <v>2837</v>
      </c>
      <c r="G348" s="76" t="s">
        <v>2838</v>
      </c>
      <c r="I348" s="49" t="s">
        <v>3878</v>
      </c>
      <c r="J348" s="50" t="s">
        <v>2989</v>
      </c>
      <c r="K348" s="51">
        <v>41466</v>
      </c>
      <c r="L348" s="115">
        <v>41461</v>
      </c>
      <c r="M348" s="402">
        <f t="shared" si="21"/>
        <v>5</v>
      </c>
      <c r="N348" s="50" t="s">
        <v>2</v>
      </c>
      <c r="O348" s="74">
        <v>1.9</v>
      </c>
      <c r="P348" s="50">
        <v>5</v>
      </c>
      <c r="Q348" s="74">
        <v>5.7</v>
      </c>
      <c r="R348" s="50">
        <v>45</v>
      </c>
      <c r="S348" s="74">
        <v>77</v>
      </c>
      <c r="T348" s="50">
        <v>0.16</v>
      </c>
      <c r="U348" s="74">
        <f>0.5/2</f>
        <v>0.25</v>
      </c>
      <c r="V348" s="50">
        <v>0.26</v>
      </c>
      <c r="W348" s="74">
        <v>5.4999999999999997E-3</v>
      </c>
      <c r="X348" s="50">
        <v>6.9000000000000006E-2</v>
      </c>
      <c r="Y348" s="74">
        <f>0.002/2</f>
        <v>1E-3</v>
      </c>
      <c r="Z348" s="164">
        <v>1</v>
      </c>
      <c r="AA348" s="165">
        <v>1</v>
      </c>
      <c r="AB348" s="50">
        <v>28</v>
      </c>
      <c r="AC348" s="74">
        <v>241</v>
      </c>
      <c r="AD348" s="164">
        <v>1</v>
      </c>
      <c r="AG348" s="74"/>
      <c r="AH348" s="50"/>
      <c r="AI348" s="113"/>
      <c r="AJ348" s="50"/>
      <c r="AK348" s="74"/>
      <c r="AL348" s="50"/>
      <c r="AM348" s="74"/>
      <c r="AN348" s="50"/>
      <c r="AO348" s="74"/>
      <c r="AP348" s="50"/>
      <c r="AQ348" s="74"/>
      <c r="AR348" s="50"/>
      <c r="AS348" s="74"/>
      <c r="AT348" s="74"/>
    </row>
    <row r="349" spans="1:46" ht="14">
      <c r="A349" s="74" t="s">
        <v>5141</v>
      </c>
      <c r="B349" s="50" t="s">
        <v>1692</v>
      </c>
      <c r="C349" s="50" t="s">
        <v>1693</v>
      </c>
      <c r="D349" s="48" t="s">
        <v>276</v>
      </c>
      <c r="E349" s="50" t="s">
        <v>4602</v>
      </c>
      <c r="G349" s="76" t="s">
        <v>1694</v>
      </c>
      <c r="H349" s="50">
        <v>4952</v>
      </c>
      <c r="J349" s="50" t="s">
        <v>1508</v>
      </c>
      <c r="K349" s="51">
        <v>41465</v>
      </c>
      <c r="L349" s="115">
        <v>41456</v>
      </c>
      <c r="M349" s="402">
        <f t="shared" si="21"/>
        <v>9</v>
      </c>
      <c r="N349" s="50" t="s">
        <v>2</v>
      </c>
      <c r="O349" s="74">
        <v>1.5</v>
      </c>
      <c r="P349" s="50">
        <v>4.07</v>
      </c>
      <c r="Q349" s="74">
        <v>5.56</v>
      </c>
      <c r="R349" s="50">
        <v>30</v>
      </c>
      <c r="S349" s="74">
        <v>8</v>
      </c>
      <c r="T349" s="50">
        <f>0.05/2</f>
        <v>2.5000000000000001E-2</v>
      </c>
      <c r="U349" s="74">
        <v>1.4</v>
      </c>
      <c r="V349" s="50">
        <v>0.93</v>
      </c>
      <c r="W349" s="74">
        <v>0.02</v>
      </c>
      <c r="X349" s="50">
        <v>0.02</v>
      </c>
      <c r="Y349" s="74">
        <f>0.02/2</f>
        <v>0.01</v>
      </c>
      <c r="AE349" s="50">
        <v>1.3</v>
      </c>
      <c r="AF349" s="50">
        <f>0.005/2</f>
        <v>2.5000000000000001E-3</v>
      </c>
      <c r="AG349" s="74"/>
      <c r="AH349" s="50"/>
      <c r="AI349" s="113"/>
      <c r="AJ349" s="50"/>
      <c r="AK349" s="74"/>
      <c r="AL349" s="50"/>
      <c r="AM349" s="74"/>
      <c r="AN349" s="50"/>
      <c r="AO349" s="74"/>
      <c r="AP349" s="50"/>
      <c r="AQ349" s="74"/>
      <c r="AR349" s="50"/>
      <c r="AS349" s="74"/>
      <c r="AT349" s="74"/>
    </row>
    <row r="350" spans="1:46" ht="14">
      <c r="A350" s="74" t="s">
        <v>5141</v>
      </c>
      <c r="B350" s="50" t="s">
        <v>1692</v>
      </c>
      <c r="C350" s="50" t="s">
        <v>1693</v>
      </c>
      <c r="D350" s="48" t="s">
        <v>4603</v>
      </c>
      <c r="E350" s="50" t="s">
        <v>4602</v>
      </c>
      <c r="G350" s="76" t="s">
        <v>1694</v>
      </c>
      <c r="H350" s="50">
        <v>4952</v>
      </c>
      <c r="J350" s="50" t="s">
        <v>1508</v>
      </c>
      <c r="K350" s="51">
        <v>41499</v>
      </c>
      <c r="L350" s="115">
        <v>41495</v>
      </c>
      <c r="M350" s="402">
        <f t="shared" si="21"/>
        <v>4</v>
      </c>
      <c r="N350" s="50" t="s">
        <v>2</v>
      </c>
      <c r="O350" s="74">
        <f>1/2</f>
        <v>0.5</v>
      </c>
      <c r="P350" s="50">
        <v>5.01</v>
      </c>
      <c r="Q350" s="74">
        <v>7</v>
      </c>
      <c r="R350" s="50">
        <v>10.3</v>
      </c>
      <c r="S350" s="74">
        <v>20</v>
      </c>
      <c r="T350" s="50">
        <f>0.05/2</f>
        <v>2.5000000000000001E-2</v>
      </c>
      <c r="U350" s="74">
        <v>0.57999999999999996</v>
      </c>
      <c r="V350" s="50">
        <v>0.28000000000000003</v>
      </c>
      <c r="W350" s="74">
        <v>0.01</v>
      </c>
      <c r="X350" s="50">
        <v>0.05</v>
      </c>
      <c r="Y350" s="74">
        <f>0.02/2</f>
        <v>0.01</v>
      </c>
      <c r="Z350" s="164">
        <v>1</v>
      </c>
      <c r="AA350" s="165">
        <v>1</v>
      </c>
      <c r="AB350" s="50">
        <v>8.2799999999999994</v>
      </c>
      <c r="AC350" s="74">
        <v>16.2</v>
      </c>
      <c r="AD350" s="164">
        <v>0.85</v>
      </c>
      <c r="AE350" s="50">
        <v>2</v>
      </c>
      <c r="AF350" s="50">
        <f>0.005/2</f>
        <v>2.5000000000000001E-3</v>
      </c>
      <c r="AG350" s="74"/>
      <c r="AH350" s="50"/>
      <c r="AI350" s="113"/>
      <c r="AJ350" s="50"/>
      <c r="AK350" s="74"/>
      <c r="AL350" s="50"/>
      <c r="AM350" s="74"/>
      <c r="AN350" s="50"/>
      <c r="AO350" s="74"/>
      <c r="AP350" s="50"/>
      <c r="AQ350" s="74"/>
      <c r="AR350" s="50"/>
      <c r="AS350" s="74"/>
      <c r="AT350" s="74"/>
    </row>
    <row r="351" spans="1:46" ht="14">
      <c r="A351" s="74" t="s">
        <v>5141</v>
      </c>
      <c r="B351" s="50" t="s">
        <v>4604</v>
      </c>
      <c r="C351" s="50" t="s">
        <v>2757</v>
      </c>
      <c r="D351" s="48" t="s">
        <v>1903</v>
      </c>
      <c r="E351" s="50" t="s">
        <v>4605</v>
      </c>
      <c r="G351" s="76" t="s">
        <v>2759</v>
      </c>
      <c r="H351" s="50">
        <v>9199</v>
      </c>
      <c r="I351" s="49" t="s">
        <v>2</v>
      </c>
      <c r="J351" s="50" t="s">
        <v>2760</v>
      </c>
      <c r="K351" s="51">
        <v>41495</v>
      </c>
      <c r="L351" s="115">
        <v>41489</v>
      </c>
      <c r="M351" s="402">
        <f t="shared" si="21"/>
        <v>6</v>
      </c>
      <c r="N351" s="50" t="s">
        <v>2</v>
      </c>
      <c r="O351" s="74">
        <f>1.4/2</f>
        <v>0.7</v>
      </c>
      <c r="P351" s="50">
        <v>6</v>
      </c>
      <c r="Q351" s="74">
        <v>6.91</v>
      </c>
      <c r="R351" s="50">
        <v>15</v>
      </c>
      <c r="S351" s="74">
        <v>78</v>
      </c>
      <c r="T351" s="50">
        <v>0.21</v>
      </c>
      <c r="U351" s="74">
        <v>0.73</v>
      </c>
      <c r="V351" s="50">
        <v>0.75</v>
      </c>
      <c r="W351" s="74">
        <v>6.0000000000000001E-3</v>
      </c>
      <c r="X351" s="50">
        <v>3.6999999999999998E-2</v>
      </c>
      <c r="Y351" s="74">
        <v>4.0000000000000001E-3</v>
      </c>
      <c r="AE351" s="50">
        <v>2.5</v>
      </c>
      <c r="AF351" s="50">
        <f>0.01/2</f>
        <v>5.0000000000000001E-3</v>
      </c>
      <c r="AG351" s="74"/>
      <c r="AH351" s="50"/>
      <c r="AI351" s="113"/>
      <c r="AJ351" s="50"/>
      <c r="AK351" s="74"/>
      <c r="AL351" s="50"/>
      <c r="AM351" s="74"/>
      <c r="AN351" s="50"/>
      <c r="AO351" s="74"/>
      <c r="AP351" s="50"/>
      <c r="AQ351" s="74"/>
      <c r="AR351" s="50"/>
      <c r="AS351" s="74"/>
      <c r="AT351" s="74"/>
    </row>
    <row r="352" spans="1:46" ht="14">
      <c r="A352" s="74" t="s">
        <v>5141</v>
      </c>
      <c r="B352" s="50" t="s">
        <v>2853</v>
      </c>
      <c r="C352" s="50" t="s">
        <v>2854</v>
      </c>
      <c r="D352" s="48" t="s">
        <v>1135</v>
      </c>
      <c r="E352" s="50" t="s">
        <v>599</v>
      </c>
      <c r="F352" s="50" t="s">
        <v>2855</v>
      </c>
      <c r="G352" s="76" t="s">
        <v>2856</v>
      </c>
      <c r="H352" s="50">
        <v>9199</v>
      </c>
      <c r="I352" s="49" t="s">
        <v>1</v>
      </c>
      <c r="J352" s="50" t="s">
        <v>4607</v>
      </c>
      <c r="K352" s="51">
        <v>41487</v>
      </c>
      <c r="L352" s="115">
        <v>41478</v>
      </c>
      <c r="M352" s="402">
        <f t="shared" si="21"/>
        <v>9</v>
      </c>
      <c r="N352" s="50" t="s">
        <v>2</v>
      </c>
      <c r="O352" s="74">
        <f>2/2</f>
        <v>1</v>
      </c>
      <c r="P352" s="50">
        <v>4.17</v>
      </c>
      <c r="Q352" s="74">
        <v>6.8</v>
      </c>
      <c r="R352" s="50">
        <v>115</v>
      </c>
      <c r="S352" s="74">
        <v>162</v>
      </c>
      <c r="T352" s="50">
        <v>0.25</v>
      </c>
      <c r="U352" s="74">
        <v>3.67</v>
      </c>
      <c r="V352" s="50">
        <v>1.71</v>
      </c>
      <c r="W352" s="74">
        <v>2.9000000000000001E-2</v>
      </c>
      <c r="X352" s="50">
        <v>0.28299999999999997</v>
      </c>
      <c r="Y352" s="74">
        <f t="shared" ref="Y352:Y362" si="22">0.03/2</f>
        <v>1.4999999999999999E-2</v>
      </c>
      <c r="AE352" s="50">
        <v>183</v>
      </c>
      <c r="AF352" s="50">
        <f>0.05/2</f>
        <v>2.5000000000000001E-2</v>
      </c>
      <c r="AG352" s="74"/>
      <c r="AH352" s="50"/>
      <c r="AI352" s="113"/>
      <c r="AJ352" s="50"/>
      <c r="AK352" s="74"/>
      <c r="AL352" s="50"/>
      <c r="AM352" s="74"/>
      <c r="AN352" s="50"/>
      <c r="AO352" s="74"/>
      <c r="AP352" s="50"/>
      <c r="AQ352" s="74"/>
      <c r="AR352" s="50"/>
      <c r="AS352" s="74"/>
      <c r="AT352" s="74"/>
    </row>
    <row r="353" spans="1:46" ht="14">
      <c r="A353" s="74" t="s">
        <v>5141</v>
      </c>
      <c r="B353" s="50" t="s">
        <v>2853</v>
      </c>
      <c r="C353" s="50" t="s">
        <v>2854</v>
      </c>
      <c r="D353" s="48" t="s">
        <v>1135</v>
      </c>
      <c r="E353" s="50" t="s">
        <v>599</v>
      </c>
      <c r="F353" s="50" t="s">
        <v>2855</v>
      </c>
      <c r="G353" s="76" t="s">
        <v>2856</v>
      </c>
      <c r="H353" s="50">
        <v>9199</v>
      </c>
      <c r="I353" s="49" t="s">
        <v>1</v>
      </c>
      <c r="J353" s="50" t="s">
        <v>4608</v>
      </c>
      <c r="K353" s="51">
        <v>41487</v>
      </c>
      <c r="L353" s="115">
        <v>41478</v>
      </c>
      <c r="M353" s="402">
        <f t="shared" si="21"/>
        <v>9</v>
      </c>
      <c r="N353" s="50" t="s">
        <v>2</v>
      </c>
      <c r="O353" s="74">
        <f>2/2</f>
        <v>1</v>
      </c>
      <c r="P353" s="50">
        <v>4.17</v>
      </c>
      <c r="Q353" s="74">
        <v>6.3</v>
      </c>
      <c r="R353" s="50">
        <v>61</v>
      </c>
      <c r="S353" s="74">
        <v>32</v>
      </c>
      <c r="T353" s="50">
        <v>0.16</v>
      </c>
      <c r="U353" s="74">
        <v>3.49</v>
      </c>
      <c r="V353" s="50">
        <v>1.53</v>
      </c>
      <c r="W353" s="74">
        <v>3.5999999999999997E-2</v>
      </c>
      <c r="X353" s="50">
        <v>0.29299999999999998</v>
      </c>
      <c r="Y353" s="74">
        <f t="shared" si="22"/>
        <v>1.4999999999999999E-2</v>
      </c>
      <c r="AG353" s="74"/>
      <c r="AH353" s="50"/>
      <c r="AI353" s="113"/>
      <c r="AJ353" s="50"/>
      <c r="AK353" s="74"/>
      <c r="AL353" s="50"/>
      <c r="AM353" s="74"/>
      <c r="AN353" s="50"/>
      <c r="AO353" s="74"/>
      <c r="AP353" s="50"/>
      <c r="AQ353" s="74"/>
      <c r="AR353" s="50"/>
      <c r="AS353" s="74"/>
      <c r="AT353" s="74"/>
    </row>
    <row r="354" spans="1:46" ht="14">
      <c r="A354" s="74" t="s">
        <v>5141</v>
      </c>
      <c r="B354" s="50" t="s">
        <v>187</v>
      </c>
      <c r="C354" s="50" t="s">
        <v>996</v>
      </c>
      <c r="D354" s="48" t="s">
        <v>188</v>
      </c>
      <c r="E354" s="50" t="s">
        <v>4609</v>
      </c>
      <c r="F354" s="50" t="s">
        <v>997</v>
      </c>
      <c r="G354" s="76" t="s">
        <v>3017</v>
      </c>
      <c r="H354" s="50">
        <v>9199</v>
      </c>
      <c r="I354" s="49" t="s">
        <v>1</v>
      </c>
      <c r="J354" s="50" t="s">
        <v>4610</v>
      </c>
      <c r="K354" s="51">
        <v>41487</v>
      </c>
      <c r="L354" s="115">
        <v>41481</v>
      </c>
      <c r="M354" s="402">
        <f t="shared" si="21"/>
        <v>6</v>
      </c>
      <c r="N354" s="50" t="s">
        <v>2</v>
      </c>
      <c r="O354" s="74">
        <f>2/2</f>
        <v>1</v>
      </c>
      <c r="P354" s="50">
        <v>4.17</v>
      </c>
      <c r="Q354" s="74">
        <v>6.7</v>
      </c>
      <c r="R354" s="50">
        <v>13</v>
      </c>
      <c r="S354" s="74">
        <f>1/2</f>
        <v>0.5</v>
      </c>
      <c r="T354" s="50">
        <v>0.2</v>
      </c>
      <c r="U354" s="74">
        <v>1.1499999999999999</v>
      </c>
      <c r="V354" s="50">
        <v>1.67</v>
      </c>
      <c r="W354" s="74">
        <v>1.0999999999999999E-2</v>
      </c>
      <c r="X354" s="50">
        <v>4.1000000000000002E-2</v>
      </c>
      <c r="Y354" s="74">
        <f t="shared" si="22"/>
        <v>1.4999999999999999E-2</v>
      </c>
      <c r="AE354" s="50">
        <v>8.1999999999999993</v>
      </c>
      <c r="AF354" s="50">
        <f>0.05/2</f>
        <v>2.5000000000000001E-2</v>
      </c>
      <c r="AG354" s="74"/>
      <c r="AH354" s="50"/>
      <c r="AI354" s="113"/>
      <c r="AJ354" s="50"/>
      <c r="AK354" s="74"/>
      <c r="AL354" s="50"/>
      <c r="AM354" s="74"/>
      <c r="AN354" s="50"/>
      <c r="AO354" s="74"/>
      <c r="AP354" s="50"/>
      <c r="AQ354" s="74"/>
      <c r="AR354" s="50"/>
      <c r="AS354" s="74"/>
      <c r="AT354" s="74"/>
    </row>
    <row r="355" spans="1:46" ht="14">
      <c r="A355" s="74" t="s">
        <v>5141</v>
      </c>
      <c r="B355" s="50" t="s">
        <v>404</v>
      </c>
      <c r="C355" s="50" t="s">
        <v>607</v>
      </c>
      <c r="D355" s="48" t="s">
        <v>406</v>
      </c>
      <c r="E355" s="50" t="s">
        <v>608</v>
      </c>
      <c r="G355" s="76" t="s">
        <v>609</v>
      </c>
      <c r="H355" s="50">
        <v>9199</v>
      </c>
      <c r="I355" s="49" t="s">
        <v>2</v>
      </c>
      <c r="J355" s="50" t="s">
        <v>610</v>
      </c>
      <c r="K355" s="51">
        <v>41495</v>
      </c>
      <c r="L355" s="115">
        <v>41479</v>
      </c>
      <c r="M355" s="402">
        <f t="shared" si="21"/>
        <v>16</v>
      </c>
      <c r="N355" s="50" t="s">
        <v>2</v>
      </c>
      <c r="O355" s="74">
        <f>2/2</f>
        <v>1</v>
      </c>
      <c r="P355" s="50">
        <v>7.23</v>
      </c>
      <c r="Q355" s="74">
        <v>6.1</v>
      </c>
      <c r="R355" s="50">
        <v>34</v>
      </c>
      <c r="S355" s="74">
        <v>49</v>
      </c>
      <c r="T355" s="50">
        <v>0.2</v>
      </c>
      <c r="U355" s="74">
        <v>0.99</v>
      </c>
      <c r="V355" s="50">
        <v>0.33</v>
      </c>
      <c r="W355" s="74">
        <v>1.4E-2</v>
      </c>
      <c r="X355" s="50">
        <v>8.2000000000000003E-2</v>
      </c>
      <c r="Y355" s="74">
        <f t="shared" si="22"/>
        <v>1.4999999999999999E-2</v>
      </c>
      <c r="AE355" s="50">
        <v>33.9</v>
      </c>
      <c r="AF355" s="50">
        <f>0.05/2</f>
        <v>2.5000000000000001E-2</v>
      </c>
      <c r="AG355" s="74"/>
      <c r="AH355" s="50"/>
      <c r="AI355" s="113"/>
      <c r="AJ355" s="50"/>
      <c r="AK355" s="74"/>
      <c r="AL355" s="50"/>
      <c r="AM355" s="74"/>
      <c r="AN355" s="50"/>
      <c r="AO355" s="74"/>
      <c r="AP355" s="50"/>
      <c r="AQ355" s="74"/>
      <c r="AR355" s="50"/>
      <c r="AS355" s="74"/>
      <c r="AT355" s="74"/>
    </row>
    <row r="356" spans="1:46" ht="14">
      <c r="A356" s="74" t="s">
        <v>5141</v>
      </c>
      <c r="B356" s="50" t="s">
        <v>404</v>
      </c>
      <c r="C356" s="50" t="s">
        <v>607</v>
      </c>
      <c r="D356" s="48" t="s">
        <v>406</v>
      </c>
      <c r="E356" s="50" t="s">
        <v>608</v>
      </c>
      <c r="G356" s="76" t="s">
        <v>609</v>
      </c>
      <c r="H356" s="50">
        <v>9199</v>
      </c>
      <c r="I356" s="49" t="s">
        <v>2</v>
      </c>
      <c r="J356" s="50" t="s">
        <v>611</v>
      </c>
      <c r="K356" s="51">
        <v>41495</v>
      </c>
      <c r="L356" s="115">
        <v>41479</v>
      </c>
      <c r="M356" s="402">
        <f t="shared" si="21"/>
        <v>16</v>
      </c>
      <c r="N356" s="50" t="s">
        <v>1</v>
      </c>
      <c r="O356" s="74">
        <v>2</v>
      </c>
      <c r="P356" s="50">
        <v>7.23</v>
      </c>
      <c r="Q356" s="74">
        <v>6.3</v>
      </c>
      <c r="R356" s="50">
        <v>45</v>
      </c>
      <c r="S356" s="74">
        <v>74</v>
      </c>
      <c r="T356" s="50">
        <v>0.23</v>
      </c>
      <c r="U356" s="74">
        <v>0.92</v>
      </c>
      <c r="V356" s="50">
        <v>0.3</v>
      </c>
      <c r="W356" s="74">
        <v>1.2E-2</v>
      </c>
      <c r="X356" s="50">
        <v>7.8E-2</v>
      </c>
      <c r="Y356" s="74">
        <f t="shared" si="22"/>
        <v>1.4999999999999999E-2</v>
      </c>
      <c r="AG356" s="74"/>
      <c r="AH356" s="50"/>
      <c r="AI356" s="113"/>
      <c r="AJ356" s="50"/>
      <c r="AK356" s="74"/>
      <c r="AL356" s="50"/>
      <c r="AM356" s="74"/>
      <c r="AN356" s="50"/>
      <c r="AO356" s="74"/>
      <c r="AP356" s="50"/>
      <c r="AQ356" s="74"/>
      <c r="AR356" s="50"/>
      <c r="AS356" s="74"/>
      <c r="AT356" s="74"/>
    </row>
    <row r="357" spans="1:46" ht="14">
      <c r="A357" s="74" t="s">
        <v>5141</v>
      </c>
      <c r="B357" s="50" t="s">
        <v>404</v>
      </c>
      <c r="C357" s="50" t="s">
        <v>607</v>
      </c>
      <c r="D357" s="48" t="s">
        <v>406</v>
      </c>
      <c r="E357" s="50" t="s">
        <v>608</v>
      </c>
      <c r="G357" s="76" t="s">
        <v>609</v>
      </c>
      <c r="H357" s="50">
        <v>9199</v>
      </c>
      <c r="I357" s="49" t="s">
        <v>2</v>
      </c>
      <c r="J357" s="50" t="s">
        <v>612</v>
      </c>
      <c r="K357" s="51">
        <v>41525</v>
      </c>
      <c r="L357" s="115">
        <v>41479</v>
      </c>
      <c r="M357" s="402">
        <f t="shared" si="21"/>
        <v>46</v>
      </c>
      <c r="N357" s="50" t="s">
        <v>2</v>
      </c>
      <c r="O357" s="74">
        <f t="shared" ref="O357:O362" si="23">2/2</f>
        <v>1</v>
      </c>
      <c r="P357" s="50">
        <v>7.23</v>
      </c>
      <c r="Q357" s="74">
        <v>6.7</v>
      </c>
      <c r="R357" s="50">
        <v>61</v>
      </c>
      <c r="S357" s="74">
        <v>114</v>
      </c>
      <c r="T357" s="50">
        <v>1.01</v>
      </c>
      <c r="U357" s="74">
        <v>2.66</v>
      </c>
      <c r="V357" s="50">
        <v>0.92</v>
      </c>
      <c r="W357" s="74">
        <v>2.5000000000000001E-2</v>
      </c>
      <c r="X357" s="50">
        <v>6.4000000000000001E-2</v>
      </c>
      <c r="Y357" s="74">
        <f t="shared" si="22"/>
        <v>1.4999999999999999E-2</v>
      </c>
      <c r="AG357" s="74"/>
      <c r="AH357" s="50"/>
      <c r="AI357" s="113"/>
      <c r="AJ357" s="50"/>
      <c r="AK357" s="74"/>
      <c r="AL357" s="50"/>
      <c r="AM357" s="74"/>
      <c r="AN357" s="50"/>
      <c r="AO357" s="74"/>
      <c r="AP357" s="50"/>
      <c r="AQ357" s="74"/>
      <c r="AR357" s="50"/>
      <c r="AS357" s="74"/>
      <c r="AT357" s="74"/>
    </row>
    <row r="358" spans="1:46" ht="14">
      <c r="A358" s="74" t="s">
        <v>5141</v>
      </c>
      <c r="B358" s="50" t="s">
        <v>404</v>
      </c>
      <c r="C358" s="50" t="s">
        <v>607</v>
      </c>
      <c r="D358" s="48" t="s">
        <v>406</v>
      </c>
      <c r="E358" s="50" t="s">
        <v>608</v>
      </c>
      <c r="G358" s="76" t="s">
        <v>609</v>
      </c>
      <c r="H358" s="50">
        <v>9199</v>
      </c>
      <c r="I358" s="49" t="s">
        <v>2</v>
      </c>
      <c r="J358" s="50" t="s">
        <v>613</v>
      </c>
      <c r="K358" s="51">
        <v>41495</v>
      </c>
      <c r="L358" s="115">
        <v>41479</v>
      </c>
      <c r="M358" s="402">
        <f t="shared" si="21"/>
        <v>16</v>
      </c>
      <c r="N358" s="50" t="s">
        <v>2</v>
      </c>
      <c r="O358" s="74">
        <f t="shared" si="23"/>
        <v>1</v>
      </c>
      <c r="P358" s="50">
        <v>7.23</v>
      </c>
      <c r="Q358" s="74">
        <v>6.5</v>
      </c>
      <c r="R358" s="50">
        <v>43</v>
      </c>
      <c r="S358" s="74">
        <v>120</v>
      </c>
      <c r="T358" s="50">
        <v>0.33</v>
      </c>
      <c r="U358" s="74">
        <v>1.19</v>
      </c>
      <c r="V358" s="50">
        <v>0.17</v>
      </c>
      <c r="W358" s="74">
        <v>1.4999999999999999E-2</v>
      </c>
      <c r="X358" s="50">
        <v>0.107</v>
      </c>
      <c r="Y358" s="74">
        <f t="shared" si="22"/>
        <v>1.4999999999999999E-2</v>
      </c>
      <c r="AG358" s="74"/>
      <c r="AH358" s="50"/>
      <c r="AI358" s="113"/>
      <c r="AJ358" s="50"/>
      <c r="AK358" s="74"/>
      <c r="AL358" s="50"/>
      <c r="AM358" s="74"/>
      <c r="AN358" s="50"/>
      <c r="AO358" s="74"/>
      <c r="AP358" s="50"/>
      <c r="AQ358" s="74"/>
      <c r="AR358" s="50"/>
      <c r="AS358" s="74"/>
      <c r="AT358" s="74"/>
    </row>
    <row r="359" spans="1:46" ht="14">
      <c r="A359" s="74" t="s">
        <v>5141</v>
      </c>
      <c r="B359" s="50" t="s">
        <v>404</v>
      </c>
      <c r="C359" s="50" t="s">
        <v>4611</v>
      </c>
      <c r="D359" s="48" t="s">
        <v>406</v>
      </c>
      <c r="E359" s="50" t="s">
        <v>407</v>
      </c>
      <c r="G359" s="76" t="s">
        <v>408</v>
      </c>
      <c r="H359" s="50">
        <v>4952</v>
      </c>
      <c r="I359" s="49" t="s">
        <v>2</v>
      </c>
      <c r="J359" s="50" t="s">
        <v>3677</v>
      </c>
      <c r="K359" s="51">
        <v>41495</v>
      </c>
      <c r="L359" s="115">
        <v>41479</v>
      </c>
      <c r="M359" s="402">
        <f t="shared" si="21"/>
        <v>16</v>
      </c>
      <c r="N359" s="50" t="s">
        <v>2</v>
      </c>
      <c r="O359" s="74">
        <f t="shared" si="23"/>
        <v>1</v>
      </c>
      <c r="P359" s="50">
        <v>7.23</v>
      </c>
      <c r="Q359" s="74">
        <v>6</v>
      </c>
      <c r="R359" s="50">
        <f>10/2</f>
        <v>5</v>
      </c>
      <c r="S359" s="74">
        <v>6</v>
      </c>
      <c r="T359" s="50">
        <v>7.0000000000000007E-2</v>
      </c>
      <c r="U359" s="74">
        <v>0.83</v>
      </c>
      <c r="V359" s="50">
        <v>0.22</v>
      </c>
      <c r="W359" s="74">
        <v>0.02</v>
      </c>
      <c r="X359" s="50">
        <v>5.1999999999999998E-2</v>
      </c>
      <c r="Y359" s="74">
        <f t="shared" si="22"/>
        <v>1.4999999999999999E-2</v>
      </c>
      <c r="AG359" s="74"/>
      <c r="AH359" s="50"/>
      <c r="AI359" s="113"/>
      <c r="AJ359" s="50"/>
      <c r="AK359" s="74"/>
      <c r="AL359" s="50"/>
      <c r="AM359" s="74"/>
      <c r="AN359" s="50"/>
      <c r="AO359" s="74"/>
      <c r="AP359" s="50"/>
      <c r="AQ359" s="74"/>
      <c r="AR359" s="50"/>
      <c r="AS359" s="74"/>
      <c r="AT359" s="74"/>
    </row>
    <row r="360" spans="1:46" ht="14">
      <c r="A360" s="74" t="s">
        <v>5141</v>
      </c>
      <c r="B360" s="50" t="s">
        <v>404</v>
      </c>
      <c r="C360" s="50" t="s">
        <v>4611</v>
      </c>
      <c r="D360" s="48" t="s">
        <v>406</v>
      </c>
      <c r="E360" s="50" t="s">
        <v>407</v>
      </c>
      <c r="G360" s="76" t="s">
        <v>408</v>
      </c>
      <c r="H360" s="50">
        <v>4952</v>
      </c>
      <c r="I360" s="49" t="s">
        <v>2</v>
      </c>
      <c r="J360" s="50" t="s">
        <v>410</v>
      </c>
      <c r="K360" s="51">
        <v>41495</v>
      </c>
      <c r="L360" s="115">
        <v>41479</v>
      </c>
      <c r="M360" s="402">
        <f t="shared" si="21"/>
        <v>16</v>
      </c>
      <c r="N360" s="50" t="s">
        <v>2</v>
      </c>
      <c r="O360" s="74">
        <f t="shared" si="23"/>
        <v>1</v>
      </c>
      <c r="P360" s="50">
        <v>7.23</v>
      </c>
      <c r="Q360" s="74">
        <v>6.4</v>
      </c>
      <c r="R360" s="50">
        <v>73</v>
      </c>
      <c r="S360" s="74">
        <v>39</v>
      </c>
      <c r="T360" s="50">
        <v>0.27</v>
      </c>
      <c r="U360" s="74">
        <v>3.37</v>
      </c>
      <c r="V360" s="50">
        <v>0.27</v>
      </c>
      <c r="W360" s="74">
        <f>0.01/2</f>
        <v>5.0000000000000001E-3</v>
      </c>
      <c r="X360" s="50">
        <v>4.7E-2</v>
      </c>
      <c r="Y360" s="74">
        <f t="shared" si="22"/>
        <v>1.4999999999999999E-2</v>
      </c>
      <c r="AG360" s="74"/>
      <c r="AH360" s="50"/>
      <c r="AI360" s="113"/>
      <c r="AJ360" s="50"/>
      <c r="AK360" s="74"/>
      <c r="AL360" s="50"/>
      <c r="AM360" s="74"/>
      <c r="AN360" s="50"/>
      <c r="AO360" s="74"/>
      <c r="AP360" s="50"/>
      <c r="AQ360" s="74"/>
      <c r="AR360" s="50"/>
      <c r="AS360" s="74"/>
      <c r="AT360" s="74"/>
    </row>
    <row r="361" spans="1:46" ht="14">
      <c r="A361" s="74" t="s">
        <v>5141</v>
      </c>
      <c r="B361" s="50" t="s">
        <v>3943</v>
      </c>
      <c r="C361" s="50" t="s">
        <v>393</v>
      </c>
      <c r="D361" s="48" t="s">
        <v>195</v>
      </c>
      <c r="E361" s="50" t="s">
        <v>4612</v>
      </c>
      <c r="F361" s="50">
        <v>5302</v>
      </c>
      <c r="G361" s="76" t="s">
        <v>2767</v>
      </c>
      <c r="H361" s="50">
        <v>9199</v>
      </c>
      <c r="I361" s="49" t="s">
        <v>2</v>
      </c>
      <c r="J361" s="50" t="s">
        <v>81</v>
      </c>
      <c r="K361" s="51">
        <v>41487</v>
      </c>
      <c r="L361" s="115">
        <v>41481</v>
      </c>
      <c r="M361" s="402">
        <f t="shared" si="21"/>
        <v>6</v>
      </c>
      <c r="N361" s="50" t="s">
        <v>2</v>
      </c>
      <c r="O361" s="74">
        <f t="shared" si="23"/>
        <v>1</v>
      </c>
      <c r="P361" s="50">
        <v>6</v>
      </c>
      <c r="Q361" s="74">
        <v>6.9</v>
      </c>
      <c r="R361" s="50">
        <v>32</v>
      </c>
      <c r="S361" s="74">
        <v>24</v>
      </c>
      <c r="T361" s="50">
        <f>0.05/2</f>
        <v>2.5000000000000001E-2</v>
      </c>
      <c r="U361" s="74">
        <v>0.89</v>
      </c>
      <c r="V361" s="50">
        <v>1.57</v>
      </c>
      <c r="W361" s="74">
        <f>0.01/2</f>
        <v>5.0000000000000001E-3</v>
      </c>
      <c r="X361" s="50">
        <f>0.03/2</f>
        <v>1.4999999999999999E-2</v>
      </c>
      <c r="Y361" s="74">
        <f t="shared" si="22"/>
        <v>1.4999999999999999E-2</v>
      </c>
      <c r="AE361" s="50">
        <v>528</v>
      </c>
      <c r="AF361" s="50">
        <f>0.05/2</f>
        <v>2.5000000000000001E-2</v>
      </c>
      <c r="AG361" s="74"/>
      <c r="AH361" s="50"/>
      <c r="AI361" s="113"/>
      <c r="AJ361" s="50"/>
      <c r="AK361" s="74"/>
      <c r="AL361" s="50"/>
      <c r="AM361" s="74"/>
      <c r="AN361" s="50"/>
      <c r="AO361" s="74"/>
      <c r="AP361" s="50"/>
      <c r="AQ361" s="74"/>
      <c r="AR361" s="50"/>
      <c r="AS361" s="74"/>
      <c r="AT361" s="74"/>
    </row>
    <row r="362" spans="1:46" ht="14">
      <c r="A362" s="74" t="s">
        <v>5141</v>
      </c>
      <c r="B362" s="50" t="s">
        <v>3943</v>
      </c>
      <c r="C362" s="50" t="s">
        <v>393</v>
      </c>
      <c r="D362" s="48" t="s">
        <v>195</v>
      </c>
      <c r="E362" s="50" t="s">
        <v>4612</v>
      </c>
      <c r="F362" s="50">
        <v>5302</v>
      </c>
      <c r="G362" s="76" t="s">
        <v>2767</v>
      </c>
      <c r="H362" s="50">
        <v>9199</v>
      </c>
      <c r="I362" s="49" t="s">
        <v>2</v>
      </c>
      <c r="J362" s="50" t="s">
        <v>114</v>
      </c>
      <c r="K362" s="51">
        <v>41487</v>
      </c>
      <c r="L362" s="115">
        <v>41481</v>
      </c>
      <c r="M362" s="402">
        <f t="shared" si="21"/>
        <v>6</v>
      </c>
      <c r="N362" s="50" t="s">
        <v>2</v>
      </c>
      <c r="O362" s="74">
        <f t="shared" si="23"/>
        <v>1</v>
      </c>
      <c r="P362" s="50">
        <v>6</v>
      </c>
      <c r="Q362" s="74">
        <v>7.4</v>
      </c>
      <c r="R362" s="50">
        <v>32</v>
      </c>
      <c r="S362" s="74">
        <v>70</v>
      </c>
      <c r="T362" s="50">
        <v>0.15</v>
      </c>
      <c r="U362" s="74">
        <v>0.68</v>
      </c>
      <c r="V362" s="50">
        <v>0.45</v>
      </c>
      <c r="W362" s="74">
        <v>0.01</v>
      </c>
      <c r="X362" s="50">
        <v>7.3999999999999996E-2</v>
      </c>
      <c r="Y362" s="74">
        <f t="shared" si="22"/>
        <v>1.4999999999999999E-2</v>
      </c>
      <c r="AG362" s="74"/>
      <c r="AH362" s="50"/>
      <c r="AI362" s="113"/>
      <c r="AJ362" s="50"/>
      <c r="AK362" s="74"/>
      <c r="AL362" s="50"/>
      <c r="AM362" s="74"/>
      <c r="AN362" s="50"/>
      <c r="AO362" s="74"/>
      <c r="AP362" s="50"/>
      <c r="AQ362" s="74"/>
      <c r="AR362" s="50"/>
      <c r="AS362" s="74"/>
      <c r="AT362" s="74"/>
    </row>
    <row r="363" spans="1:46" ht="14">
      <c r="A363" s="74" t="s">
        <v>5141</v>
      </c>
      <c r="B363" s="50" t="s">
        <v>2716</v>
      </c>
      <c r="C363" s="50" t="s">
        <v>2717</v>
      </c>
      <c r="D363" s="48" t="s">
        <v>443</v>
      </c>
      <c r="E363" s="50" t="s">
        <v>2718</v>
      </c>
      <c r="G363" s="76" t="s">
        <v>2719</v>
      </c>
      <c r="H363" s="50">
        <v>9199</v>
      </c>
      <c r="I363" s="49" t="s">
        <v>2</v>
      </c>
      <c r="J363" s="50" t="s">
        <v>1207</v>
      </c>
      <c r="K363" s="51">
        <v>41499</v>
      </c>
      <c r="L363" s="115">
        <v>41495</v>
      </c>
      <c r="M363" s="402">
        <f t="shared" si="21"/>
        <v>4</v>
      </c>
      <c r="N363" s="50" t="s">
        <v>2</v>
      </c>
      <c r="O363" s="74">
        <v>1.4</v>
      </c>
      <c r="P363" s="50">
        <v>4.5999999999999996</v>
      </c>
      <c r="Q363" s="74">
        <v>5.3</v>
      </c>
      <c r="R363" s="50">
        <v>74</v>
      </c>
      <c r="S363" s="74">
        <v>24</v>
      </c>
      <c r="T363" s="50">
        <v>0.18</v>
      </c>
      <c r="U363" s="74">
        <v>1.55</v>
      </c>
      <c r="V363" s="50">
        <v>0.72</v>
      </c>
      <c r="W363" s="74">
        <v>0.01</v>
      </c>
      <c r="X363" s="50">
        <v>0.16300000000000001</v>
      </c>
      <c r="Y363" s="74">
        <f>0.002/2</f>
        <v>1E-3</v>
      </c>
      <c r="Z363" s="164">
        <v>1</v>
      </c>
      <c r="AA363" s="165">
        <v>1</v>
      </c>
      <c r="AB363" s="50">
        <v>20</v>
      </c>
      <c r="AC363" s="74">
        <v>93</v>
      </c>
      <c r="AD363" s="164">
        <v>1</v>
      </c>
      <c r="AG363" s="74"/>
      <c r="AH363" s="50"/>
      <c r="AI363" s="113"/>
      <c r="AJ363" s="50"/>
      <c r="AK363" s="74"/>
      <c r="AL363" s="50"/>
      <c r="AM363" s="74"/>
      <c r="AN363" s="50"/>
      <c r="AO363" s="74"/>
      <c r="AP363" s="50"/>
      <c r="AQ363" s="74"/>
      <c r="AR363" s="50"/>
      <c r="AS363" s="74"/>
      <c r="AT363" s="74"/>
    </row>
    <row r="364" spans="1:46" ht="14">
      <c r="A364" s="74" t="s">
        <v>4745</v>
      </c>
      <c r="B364" s="50" t="s">
        <v>2716</v>
      </c>
      <c r="C364" s="50" t="s">
        <v>2717</v>
      </c>
      <c r="D364" s="48" t="s">
        <v>443</v>
      </c>
      <c r="E364" s="50" t="s">
        <v>2718</v>
      </c>
      <c r="G364" s="76" t="s">
        <v>2719</v>
      </c>
      <c r="H364" s="50">
        <v>9199</v>
      </c>
      <c r="I364" s="49" t="s">
        <v>2</v>
      </c>
      <c r="J364" s="50" t="s">
        <v>2694</v>
      </c>
      <c r="K364" s="51">
        <v>41499</v>
      </c>
      <c r="L364" s="115">
        <v>41495</v>
      </c>
      <c r="M364" s="402">
        <f t="shared" si="21"/>
        <v>4</v>
      </c>
      <c r="N364" s="50" t="s">
        <v>2</v>
      </c>
      <c r="O364" s="74">
        <f>1.4/2</f>
        <v>0.7</v>
      </c>
      <c r="P364" s="50">
        <v>4.8</v>
      </c>
      <c r="Q364" s="74">
        <v>5.2</v>
      </c>
      <c r="R364" s="50">
        <v>18</v>
      </c>
      <c r="S364" s="74">
        <v>30</v>
      </c>
      <c r="T364" s="50">
        <v>0.1</v>
      </c>
      <c r="U364" s="74">
        <v>0.82</v>
      </c>
      <c r="V364" s="50">
        <v>0.96</v>
      </c>
      <c r="W364" s="74">
        <f>0.005/2</f>
        <v>2.5000000000000001E-3</v>
      </c>
      <c r="X364" s="50">
        <v>0.03</v>
      </c>
      <c r="Y364" s="74">
        <f>0.002/2</f>
        <v>1E-3</v>
      </c>
      <c r="Z364" s="164">
        <v>1</v>
      </c>
      <c r="AA364" s="165">
        <v>1</v>
      </c>
      <c r="AB364" s="50">
        <v>5</v>
      </c>
      <c r="AC364" s="74">
        <v>25</v>
      </c>
      <c r="AD364" s="164">
        <v>1</v>
      </c>
      <c r="AE364" s="50">
        <v>2.7</v>
      </c>
      <c r="AF364" s="50">
        <f>0.01/2</f>
        <v>5.0000000000000001E-3</v>
      </c>
      <c r="AG364" s="74"/>
      <c r="AH364" s="50"/>
      <c r="AI364" s="113"/>
      <c r="AJ364" s="50"/>
      <c r="AK364" s="74"/>
      <c r="AL364" s="50"/>
      <c r="AM364" s="74"/>
      <c r="AN364" s="50"/>
      <c r="AO364" s="74"/>
      <c r="AP364" s="50"/>
      <c r="AQ364" s="74"/>
      <c r="AR364" s="50"/>
      <c r="AS364" s="74"/>
      <c r="AT364" s="74"/>
    </row>
    <row r="365" spans="1:46" ht="14">
      <c r="A365" s="74" t="s">
        <v>5141</v>
      </c>
      <c r="B365" s="50" t="s">
        <v>375</v>
      </c>
      <c r="C365" s="50" t="s">
        <v>4613</v>
      </c>
      <c r="D365" s="48" t="s">
        <v>286</v>
      </c>
      <c r="E365" s="50" t="s">
        <v>3185</v>
      </c>
      <c r="F365" s="50" t="s">
        <v>978</v>
      </c>
      <c r="G365" s="76" t="s">
        <v>376</v>
      </c>
      <c r="H365" s="50">
        <v>9199</v>
      </c>
      <c r="I365" s="49" t="s">
        <v>1</v>
      </c>
      <c r="J365" s="50" t="s">
        <v>4614</v>
      </c>
      <c r="K365" s="51">
        <v>41499</v>
      </c>
      <c r="L365" s="115">
        <v>41488</v>
      </c>
      <c r="M365" s="402">
        <f t="shared" si="21"/>
        <v>11</v>
      </c>
      <c r="N365" s="50" t="s">
        <v>2</v>
      </c>
      <c r="O365" s="74">
        <f>2/2</f>
        <v>1</v>
      </c>
      <c r="P365" s="50">
        <v>4.1100000000000003</v>
      </c>
      <c r="Q365" s="74">
        <v>6.8</v>
      </c>
      <c r="R365" s="50">
        <v>11</v>
      </c>
      <c r="S365" s="74">
        <v>11</v>
      </c>
      <c r="T365" s="50">
        <v>0.1</v>
      </c>
      <c r="U365" s="74">
        <v>0.77</v>
      </c>
      <c r="V365" s="50">
        <f>0.1/2</f>
        <v>0.05</v>
      </c>
      <c r="W365" s="74">
        <f>0.01/2</f>
        <v>5.0000000000000001E-3</v>
      </c>
      <c r="X365" s="50">
        <f>0.03/2</f>
        <v>1.4999999999999999E-2</v>
      </c>
      <c r="Y365" s="74">
        <f>0.03/2</f>
        <v>1.4999999999999999E-2</v>
      </c>
      <c r="AE365" s="50">
        <v>360</v>
      </c>
      <c r="AF365" s="50">
        <f>0.05/2</f>
        <v>2.5000000000000001E-2</v>
      </c>
      <c r="AG365" s="74"/>
      <c r="AH365" s="50"/>
      <c r="AI365" s="113"/>
      <c r="AJ365" s="50"/>
      <c r="AK365" s="74"/>
      <c r="AL365" s="50"/>
      <c r="AM365" s="74"/>
      <c r="AN365" s="50"/>
      <c r="AO365" s="74"/>
      <c r="AP365" s="50"/>
      <c r="AQ365" s="74"/>
      <c r="AR365" s="50"/>
      <c r="AS365" s="74"/>
      <c r="AT365" s="74"/>
    </row>
    <row r="366" spans="1:46" ht="14">
      <c r="A366" s="74" t="s">
        <v>5141</v>
      </c>
      <c r="B366" s="50" t="s">
        <v>4615</v>
      </c>
      <c r="C366" s="50" t="s">
        <v>395</v>
      </c>
      <c r="D366" s="48" t="s">
        <v>186</v>
      </c>
      <c r="E366" s="50" t="s">
        <v>4616</v>
      </c>
      <c r="G366" s="76" t="s">
        <v>992</v>
      </c>
      <c r="H366" s="50">
        <v>9199</v>
      </c>
      <c r="I366" s="49" t="s">
        <v>2</v>
      </c>
      <c r="J366" s="50" t="s">
        <v>1678</v>
      </c>
      <c r="K366" s="51">
        <v>41352</v>
      </c>
      <c r="L366" s="115">
        <v>41345</v>
      </c>
      <c r="M366" s="402">
        <f t="shared" si="21"/>
        <v>7</v>
      </c>
      <c r="N366" s="50" t="s">
        <v>2</v>
      </c>
      <c r="O366" s="74">
        <f>2/2</f>
        <v>1</v>
      </c>
      <c r="P366" s="50">
        <v>5.0999999999999996</v>
      </c>
      <c r="Q366" s="74">
        <v>6.4</v>
      </c>
      <c r="R366" s="50">
        <v>11</v>
      </c>
      <c r="S366" s="74">
        <v>32</v>
      </c>
      <c r="T366" s="50">
        <v>5.5E-2</v>
      </c>
      <c r="U366" s="74">
        <f>0.5/2</f>
        <v>0.25</v>
      </c>
      <c r="V366" s="50">
        <v>1.2</v>
      </c>
      <c r="W366" s="74">
        <v>4.0000000000000001E-3</v>
      </c>
      <c r="X366" s="50">
        <v>2.8000000000000001E-2</v>
      </c>
      <c r="Y366" s="74">
        <f>0.002/2</f>
        <v>1E-3</v>
      </c>
      <c r="Z366" s="164">
        <v>1</v>
      </c>
      <c r="AA366" s="165">
        <v>1</v>
      </c>
      <c r="AB366" s="50">
        <v>41</v>
      </c>
      <c r="AC366" s="74">
        <v>444</v>
      </c>
      <c r="AD366" s="164">
        <v>0.8</v>
      </c>
      <c r="AG366" s="74"/>
      <c r="AH366" s="50"/>
      <c r="AI366" s="113"/>
      <c r="AJ366" s="50"/>
      <c r="AK366" s="74"/>
      <c r="AL366" s="50"/>
      <c r="AM366" s="74"/>
      <c r="AN366" s="50"/>
      <c r="AO366" s="74"/>
      <c r="AP366" s="50"/>
      <c r="AQ366" s="74"/>
      <c r="AR366" s="50"/>
      <c r="AS366" s="74"/>
      <c r="AT366" s="74"/>
    </row>
    <row r="367" spans="1:46" ht="14">
      <c r="A367" s="74" t="s">
        <v>5141</v>
      </c>
      <c r="B367" s="50" t="s">
        <v>4617</v>
      </c>
      <c r="C367" s="50" t="s">
        <v>395</v>
      </c>
      <c r="D367" s="48" t="s">
        <v>1864</v>
      </c>
      <c r="G367" s="76" t="s">
        <v>4618</v>
      </c>
      <c r="J367" s="50" t="s">
        <v>4619</v>
      </c>
      <c r="K367" s="51">
        <v>41428</v>
      </c>
      <c r="L367" s="115"/>
      <c r="N367" s="50" t="s">
        <v>2</v>
      </c>
      <c r="O367" s="74">
        <f>1/2</f>
        <v>0.5</v>
      </c>
      <c r="P367" s="50">
        <v>6.45</v>
      </c>
      <c r="Q367" s="74">
        <v>5.94</v>
      </c>
      <c r="R367" s="50">
        <v>35</v>
      </c>
      <c r="S367" s="74">
        <v>4</v>
      </c>
      <c r="T367" s="50">
        <v>0.14000000000000001</v>
      </c>
      <c r="U367" s="74">
        <v>1.67</v>
      </c>
      <c r="V367" s="50">
        <v>0.36</v>
      </c>
      <c r="W367" s="74">
        <v>3.0000000000000001E-3</v>
      </c>
      <c r="X367" s="50">
        <v>2.7E-2</v>
      </c>
      <c r="Y367" s="74">
        <f>0.002/2</f>
        <v>1E-3</v>
      </c>
      <c r="Z367" s="164">
        <v>1</v>
      </c>
      <c r="AA367" s="165">
        <v>1</v>
      </c>
      <c r="AB367" s="50">
        <v>12</v>
      </c>
      <c r="AC367" s="74">
        <v>22</v>
      </c>
      <c r="AD367" s="164">
        <v>1</v>
      </c>
      <c r="AG367" s="74"/>
      <c r="AH367" s="50"/>
      <c r="AI367" s="113"/>
      <c r="AJ367" s="50"/>
      <c r="AK367" s="74"/>
      <c r="AL367" s="50"/>
      <c r="AM367" s="74"/>
      <c r="AN367" s="50"/>
      <c r="AO367" s="74"/>
      <c r="AP367" s="50"/>
      <c r="AQ367" s="74"/>
      <c r="AR367" s="50"/>
      <c r="AS367" s="74"/>
      <c r="AT367" s="74"/>
    </row>
    <row r="368" spans="1:46" ht="14">
      <c r="A368" s="74" t="s">
        <v>5141</v>
      </c>
      <c r="B368" s="50" t="s">
        <v>1442</v>
      </c>
      <c r="C368" s="50" t="s">
        <v>393</v>
      </c>
      <c r="D368" s="48" t="s">
        <v>356</v>
      </c>
      <c r="E368" s="50" t="s">
        <v>4620</v>
      </c>
      <c r="F368" s="50">
        <v>4009</v>
      </c>
      <c r="G368" s="76" t="s">
        <v>1447</v>
      </c>
      <c r="H368" s="50">
        <v>9199</v>
      </c>
      <c r="I368" s="49" t="s">
        <v>2</v>
      </c>
      <c r="J368" s="50" t="s">
        <v>4621</v>
      </c>
      <c r="K368" s="51">
        <v>41449</v>
      </c>
      <c r="L368" s="115">
        <v>41443</v>
      </c>
      <c r="M368" s="402">
        <f t="shared" ref="M368:M376" si="24">K368-L368</f>
        <v>6</v>
      </c>
      <c r="N368" s="50" t="s">
        <v>2</v>
      </c>
      <c r="O368" s="74">
        <v>0.5</v>
      </c>
      <c r="P368" s="50">
        <v>7.32</v>
      </c>
      <c r="Q368" s="74">
        <v>7.51</v>
      </c>
      <c r="R368" s="50">
        <v>35</v>
      </c>
      <c r="S368" s="74">
        <v>10</v>
      </c>
      <c r="T368" s="50">
        <v>0.1</v>
      </c>
      <c r="U368" s="74">
        <v>0.96</v>
      </c>
      <c r="V368" s="50">
        <v>3.06</v>
      </c>
      <c r="W368" s="74">
        <v>6.0000000000000001E-3</v>
      </c>
      <c r="X368" s="50">
        <v>3.1E-2</v>
      </c>
      <c r="Y368" s="74">
        <v>4.0000000000000001E-3</v>
      </c>
      <c r="Z368" s="164">
        <v>1</v>
      </c>
      <c r="AA368" s="165">
        <v>1</v>
      </c>
      <c r="AB368" s="50">
        <v>64</v>
      </c>
      <c r="AC368" s="74">
        <v>308</v>
      </c>
      <c r="AD368" s="164">
        <v>1</v>
      </c>
      <c r="AE368" s="50">
        <v>3.6</v>
      </c>
      <c r="AF368" s="50">
        <v>0.01</v>
      </c>
      <c r="AG368" s="74"/>
      <c r="AH368" s="50"/>
      <c r="AI368" s="113"/>
      <c r="AJ368" s="50"/>
      <c r="AK368" s="74"/>
      <c r="AL368" s="50"/>
      <c r="AM368" s="74"/>
      <c r="AN368" s="50"/>
      <c r="AO368" s="74"/>
      <c r="AP368" s="50"/>
      <c r="AQ368" s="74"/>
      <c r="AR368" s="50"/>
      <c r="AS368" s="74"/>
      <c r="AT368" s="74"/>
    </row>
    <row r="369" spans="1:49" ht="14">
      <c r="A369" s="74" t="s">
        <v>5141</v>
      </c>
      <c r="B369" s="50" t="s">
        <v>1442</v>
      </c>
      <c r="C369" s="50" t="s">
        <v>393</v>
      </c>
      <c r="D369" s="48" t="s">
        <v>356</v>
      </c>
      <c r="E369" s="50" t="s">
        <v>4620</v>
      </c>
      <c r="F369" s="50">
        <v>4009</v>
      </c>
      <c r="G369" s="76" t="s">
        <v>1447</v>
      </c>
      <c r="H369" s="50">
        <v>9199</v>
      </c>
      <c r="I369" s="49" t="s">
        <v>3878</v>
      </c>
      <c r="J369" s="50" t="s">
        <v>4622</v>
      </c>
      <c r="K369" s="51">
        <v>41449</v>
      </c>
      <c r="L369" s="115">
        <v>41443</v>
      </c>
      <c r="M369" s="402">
        <f t="shared" si="24"/>
        <v>6</v>
      </c>
      <c r="N369" s="50" t="s">
        <v>2</v>
      </c>
      <c r="O369" s="74">
        <v>0.5</v>
      </c>
      <c r="P369" s="50">
        <v>8.1199999999999992</v>
      </c>
      <c r="Q369" s="74">
        <v>8.2100000000000009</v>
      </c>
      <c r="R369" s="50">
        <v>56</v>
      </c>
      <c r="S369" s="74">
        <v>5</v>
      </c>
      <c r="T369" s="50">
        <v>0.05</v>
      </c>
      <c r="U369" s="74">
        <v>0.44</v>
      </c>
      <c r="V369" s="50">
        <v>4.13</v>
      </c>
      <c r="W369" s="74">
        <f>0.005/2</f>
        <v>2.5000000000000001E-3</v>
      </c>
      <c r="X369" s="50">
        <v>2E-3</v>
      </c>
      <c r="Y369" s="74">
        <f>0.002/2</f>
        <v>1E-3</v>
      </c>
      <c r="Z369" s="164">
        <v>1</v>
      </c>
      <c r="AA369" s="165">
        <v>1</v>
      </c>
      <c r="AB369" s="50">
        <v>348</v>
      </c>
      <c r="AC369" s="74">
        <v>46</v>
      </c>
      <c r="AD369" s="164">
        <v>1</v>
      </c>
      <c r="AE369" s="50">
        <v>28.9</v>
      </c>
      <c r="AF369" s="50">
        <v>0.01</v>
      </c>
      <c r="AG369" s="74"/>
      <c r="AH369" s="50"/>
      <c r="AI369" s="113"/>
      <c r="AJ369" s="50"/>
      <c r="AK369" s="74"/>
      <c r="AL369" s="50"/>
      <c r="AM369" s="74"/>
      <c r="AN369" s="50"/>
      <c r="AO369" s="74"/>
      <c r="AP369" s="50"/>
      <c r="AQ369" s="74"/>
      <c r="AR369" s="50"/>
      <c r="AS369" s="74"/>
      <c r="AT369" s="74"/>
    </row>
    <row r="370" spans="1:49" ht="14">
      <c r="A370" s="74" t="s">
        <v>5141</v>
      </c>
      <c r="B370" s="50" t="s">
        <v>1442</v>
      </c>
      <c r="C370" s="50" t="s">
        <v>1443</v>
      </c>
      <c r="D370" s="48" t="s">
        <v>356</v>
      </c>
      <c r="E370" s="50" t="s">
        <v>4625</v>
      </c>
      <c r="F370" s="50">
        <v>4007</v>
      </c>
      <c r="G370" s="76" t="s">
        <v>1445</v>
      </c>
      <c r="H370" s="50">
        <v>4151</v>
      </c>
      <c r="I370" s="49" t="s">
        <v>2</v>
      </c>
      <c r="J370" s="50" t="s">
        <v>4621</v>
      </c>
      <c r="K370" s="51">
        <v>41449</v>
      </c>
      <c r="L370" s="115">
        <v>41443</v>
      </c>
      <c r="M370" s="402">
        <f t="shared" si="24"/>
        <v>6</v>
      </c>
      <c r="N370" s="50" t="s">
        <v>2</v>
      </c>
      <c r="O370" s="74">
        <v>0.5</v>
      </c>
      <c r="P370" s="50">
        <v>6.98</v>
      </c>
      <c r="Q370" s="74">
        <v>7.06</v>
      </c>
      <c r="R370" s="50">
        <v>74</v>
      </c>
      <c r="S370" s="74">
        <v>38</v>
      </c>
      <c r="T370" s="50">
        <v>0.19</v>
      </c>
      <c r="U370" s="74">
        <v>1.79</v>
      </c>
      <c r="V370" s="50">
        <v>0.65</v>
      </c>
      <c r="W370" s="74">
        <v>0.01</v>
      </c>
      <c r="X370" s="50">
        <v>0.13700000000000001</v>
      </c>
      <c r="Y370" s="74">
        <v>3.0000000000000001E-3</v>
      </c>
      <c r="Z370" s="164">
        <v>1</v>
      </c>
      <c r="AA370" s="165">
        <v>1</v>
      </c>
      <c r="AB370" s="50">
        <v>18</v>
      </c>
      <c r="AC370" s="74">
        <v>58</v>
      </c>
      <c r="AD370" s="164">
        <v>1</v>
      </c>
      <c r="AG370" s="74"/>
      <c r="AH370" s="50"/>
      <c r="AI370" s="113"/>
      <c r="AJ370" s="50"/>
      <c r="AK370" s="74"/>
      <c r="AL370" s="50"/>
      <c r="AM370" s="74"/>
      <c r="AN370" s="50"/>
      <c r="AO370" s="74"/>
      <c r="AP370" s="50"/>
      <c r="AQ370" s="74"/>
      <c r="AR370" s="50"/>
      <c r="AS370" s="74"/>
      <c r="AT370" s="74"/>
    </row>
    <row r="371" spans="1:49" ht="14">
      <c r="A371" s="74" t="s">
        <v>5141</v>
      </c>
      <c r="B371" s="50" t="s">
        <v>1442</v>
      </c>
      <c r="C371" s="50" t="s">
        <v>4611</v>
      </c>
      <c r="D371" s="48" t="s">
        <v>356</v>
      </c>
      <c r="E371" s="50" t="s">
        <v>4625</v>
      </c>
      <c r="F371" s="50">
        <v>4007</v>
      </c>
      <c r="G371" s="76" t="s">
        <v>1450</v>
      </c>
      <c r="H371" s="50">
        <v>4952</v>
      </c>
      <c r="J371" s="50" t="s">
        <v>4621</v>
      </c>
      <c r="K371" s="51">
        <v>41449</v>
      </c>
      <c r="L371" s="115">
        <v>41443</v>
      </c>
      <c r="M371" s="402">
        <f t="shared" si="24"/>
        <v>6</v>
      </c>
      <c r="N371" s="50" t="s">
        <v>2</v>
      </c>
      <c r="O371" s="74">
        <v>0.5</v>
      </c>
      <c r="P371" s="50">
        <v>3.73</v>
      </c>
      <c r="Q371" s="74">
        <v>3.73</v>
      </c>
      <c r="R371" s="50">
        <v>673</v>
      </c>
      <c r="S371" s="74">
        <v>24</v>
      </c>
      <c r="T371" s="50">
        <v>0.61</v>
      </c>
      <c r="U371" s="74">
        <v>19.2</v>
      </c>
      <c r="V371" s="50">
        <v>2</v>
      </c>
      <c r="W371" s="74">
        <v>4.4999999999999998E-2</v>
      </c>
      <c r="X371" s="50">
        <v>3.36</v>
      </c>
      <c r="Y371" s="74">
        <v>0.02</v>
      </c>
      <c r="Z371" s="164">
        <v>0.45100000000000001</v>
      </c>
      <c r="AA371" s="165">
        <v>0.34200000000000003</v>
      </c>
      <c r="AB371" s="50">
        <v>36</v>
      </c>
      <c r="AC371" s="74">
        <v>258</v>
      </c>
      <c r="AD371" s="164">
        <v>0</v>
      </c>
      <c r="AG371" s="74"/>
      <c r="AH371" s="50"/>
      <c r="AI371" s="113"/>
      <c r="AJ371" s="50"/>
      <c r="AK371" s="74"/>
      <c r="AL371" s="50"/>
      <c r="AM371" s="74"/>
      <c r="AN371" s="50"/>
      <c r="AO371" s="74"/>
      <c r="AP371" s="50"/>
      <c r="AQ371" s="74"/>
      <c r="AR371" s="50"/>
      <c r="AS371" s="74"/>
      <c r="AT371" s="74"/>
    </row>
    <row r="372" spans="1:49" ht="14">
      <c r="A372" s="74" t="s">
        <v>5141</v>
      </c>
      <c r="B372" s="50" t="s">
        <v>4701</v>
      </c>
      <c r="C372" s="50" t="s">
        <v>393</v>
      </c>
      <c r="D372" s="48" t="s">
        <v>480</v>
      </c>
      <c r="E372" s="50" t="s">
        <v>4626</v>
      </c>
      <c r="G372" s="76" t="s">
        <v>2974</v>
      </c>
      <c r="I372" s="49" t="s">
        <v>1</v>
      </c>
      <c r="J372" s="50" t="s">
        <v>74</v>
      </c>
      <c r="K372" s="51">
        <v>41452</v>
      </c>
      <c r="L372" s="115">
        <v>41443</v>
      </c>
      <c r="M372" s="402">
        <f t="shared" si="24"/>
        <v>9</v>
      </c>
      <c r="N372" s="50" t="s">
        <v>2</v>
      </c>
      <c r="O372" s="74">
        <f>1/2</f>
        <v>0.5</v>
      </c>
      <c r="P372" s="50">
        <v>6.6</v>
      </c>
      <c r="Q372" s="74">
        <v>7.62</v>
      </c>
      <c r="R372" s="50">
        <v>139.30000000000001</v>
      </c>
      <c r="S372" s="74">
        <v>375</v>
      </c>
      <c r="T372" s="50">
        <v>1.33</v>
      </c>
      <c r="U372" s="74">
        <v>3.26</v>
      </c>
      <c r="V372" s="50">
        <v>1.98</v>
      </c>
      <c r="W372" s="74">
        <v>7.1999999999999995E-2</v>
      </c>
      <c r="X372" s="50">
        <v>0.32300000000000001</v>
      </c>
      <c r="Y372" s="74">
        <v>0.06</v>
      </c>
      <c r="Z372" s="164">
        <v>1</v>
      </c>
      <c r="AA372" s="165">
        <v>1</v>
      </c>
      <c r="AB372" s="50">
        <v>165.8</v>
      </c>
      <c r="AC372" s="74">
        <v>1518</v>
      </c>
      <c r="AD372" s="164">
        <v>1</v>
      </c>
      <c r="AG372" s="74"/>
      <c r="AH372" s="50"/>
      <c r="AI372" s="113"/>
      <c r="AJ372" s="50"/>
      <c r="AK372" s="74"/>
      <c r="AL372" s="50"/>
      <c r="AM372" s="74"/>
      <c r="AN372" s="50"/>
      <c r="AO372" s="74"/>
      <c r="AP372" s="50"/>
      <c r="AQ372" s="74"/>
      <c r="AR372" s="50"/>
      <c r="AS372" s="74"/>
      <c r="AT372" s="74"/>
    </row>
    <row r="373" spans="1:49" ht="14">
      <c r="A373" s="53" t="s">
        <v>36</v>
      </c>
      <c r="B373" s="50" t="s">
        <v>4701</v>
      </c>
      <c r="C373" s="50" t="s">
        <v>393</v>
      </c>
      <c r="D373" s="48" t="s">
        <v>480</v>
      </c>
      <c r="E373" s="50" t="s">
        <v>4626</v>
      </c>
      <c r="G373" s="76" t="s">
        <v>2974</v>
      </c>
      <c r="I373" s="49" t="s">
        <v>1</v>
      </c>
      <c r="J373" s="50" t="s">
        <v>75</v>
      </c>
      <c r="K373" s="51">
        <v>41452</v>
      </c>
      <c r="L373" s="115">
        <v>41443</v>
      </c>
      <c r="M373" s="402">
        <f t="shared" si="24"/>
        <v>9</v>
      </c>
      <c r="N373" s="50" t="s">
        <v>2</v>
      </c>
      <c r="O373" s="74">
        <f>1/2</f>
        <v>0.5</v>
      </c>
      <c r="P373" s="50">
        <v>6.6</v>
      </c>
      <c r="Q373" s="74">
        <v>6.77</v>
      </c>
      <c r="R373" s="50">
        <v>131.19999999999999</v>
      </c>
      <c r="S373" s="74">
        <v>405</v>
      </c>
      <c r="T373" s="50">
        <v>0.57999999999999996</v>
      </c>
      <c r="U373" s="74">
        <v>2.06</v>
      </c>
      <c r="V373" s="50">
        <v>0.19</v>
      </c>
      <c r="W373" s="74">
        <v>0.156</v>
      </c>
      <c r="X373" s="50">
        <v>0.188</v>
      </c>
      <c r="Y373" s="74">
        <v>1.9E-2</v>
      </c>
      <c r="Z373" s="164">
        <v>1</v>
      </c>
      <c r="AA373" s="165">
        <v>1</v>
      </c>
      <c r="AB373" s="50">
        <v>138.69999999999999</v>
      </c>
      <c r="AC373" s="74">
        <v>1740</v>
      </c>
      <c r="AD373" s="164">
        <v>0.7</v>
      </c>
      <c r="AG373" s="74"/>
      <c r="AH373" s="50"/>
      <c r="AI373" s="113"/>
      <c r="AJ373" s="50"/>
      <c r="AK373" s="74"/>
      <c r="AL373" s="50"/>
      <c r="AM373" s="74"/>
      <c r="AN373" s="50"/>
      <c r="AO373" s="74"/>
      <c r="AP373" s="50"/>
      <c r="AQ373" s="74"/>
      <c r="AR373" s="50"/>
      <c r="AS373" s="74"/>
      <c r="AT373" s="74"/>
    </row>
    <row r="374" spans="1:49" ht="14">
      <c r="A374" s="53" t="s">
        <v>36</v>
      </c>
      <c r="B374" s="50" t="s">
        <v>4701</v>
      </c>
      <c r="C374" s="50" t="s">
        <v>393</v>
      </c>
      <c r="D374" s="48" t="s">
        <v>480</v>
      </c>
      <c r="E374" s="50" t="s">
        <v>4626</v>
      </c>
      <c r="G374" s="76" t="s">
        <v>2974</v>
      </c>
      <c r="I374" s="49" t="s">
        <v>1</v>
      </c>
      <c r="J374" s="50" t="s">
        <v>687</v>
      </c>
      <c r="K374" s="51">
        <v>41452</v>
      </c>
      <c r="L374" s="115">
        <v>41443</v>
      </c>
      <c r="M374" s="402">
        <f t="shared" si="24"/>
        <v>9</v>
      </c>
      <c r="N374" s="50" t="s">
        <v>2</v>
      </c>
      <c r="O374" s="74">
        <f>1/2</f>
        <v>0.5</v>
      </c>
      <c r="P374" s="50">
        <v>6.6</v>
      </c>
      <c r="Q374" s="74">
        <v>6.99</v>
      </c>
      <c r="R374" s="50">
        <v>68.8</v>
      </c>
      <c r="S374" s="74">
        <v>643</v>
      </c>
      <c r="T374" s="50">
        <v>0.54</v>
      </c>
      <c r="U374" s="74">
        <v>1.68</v>
      </c>
      <c r="V374" s="50">
        <v>2.06</v>
      </c>
      <c r="W374" s="74">
        <v>0.16700000000000001</v>
      </c>
      <c r="X374" s="50">
        <v>1.7629999999999999</v>
      </c>
      <c r="Y374" s="74">
        <v>1.5100000000000001E-2</v>
      </c>
      <c r="Z374" s="164">
        <v>1</v>
      </c>
      <c r="AA374" s="165">
        <v>1</v>
      </c>
      <c r="AB374" s="50">
        <v>185.4</v>
      </c>
      <c r="AC374" s="74">
        <v>244</v>
      </c>
      <c r="AD374" s="164">
        <v>1</v>
      </c>
      <c r="AG374" s="74"/>
      <c r="AH374" s="50"/>
      <c r="AI374" s="113"/>
      <c r="AJ374" s="50"/>
      <c r="AK374" s="74"/>
      <c r="AL374" s="50"/>
      <c r="AM374" s="74"/>
      <c r="AN374" s="50"/>
      <c r="AO374" s="74"/>
      <c r="AP374" s="50"/>
      <c r="AQ374" s="74"/>
      <c r="AR374" s="50"/>
      <c r="AS374" s="74"/>
      <c r="AT374" s="74"/>
    </row>
    <row r="375" spans="1:49" ht="14">
      <c r="A375" s="53" t="s">
        <v>36</v>
      </c>
      <c r="B375" s="50" t="s">
        <v>4701</v>
      </c>
      <c r="C375" s="50" t="s">
        <v>393</v>
      </c>
      <c r="D375" s="48" t="s">
        <v>480</v>
      </c>
      <c r="E375" s="50" t="s">
        <v>4626</v>
      </c>
      <c r="G375" s="76" t="s">
        <v>2974</v>
      </c>
      <c r="I375" s="49" t="s">
        <v>1</v>
      </c>
      <c r="J375" s="50" t="s">
        <v>4627</v>
      </c>
      <c r="K375" s="51">
        <v>41452</v>
      </c>
      <c r="L375" s="115">
        <v>41443</v>
      </c>
      <c r="M375" s="402">
        <f t="shared" si="24"/>
        <v>9</v>
      </c>
      <c r="N375" s="50" t="s">
        <v>2</v>
      </c>
      <c r="O375" s="74">
        <f>1/2</f>
        <v>0.5</v>
      </c>
      <c r="P375" s="50">
        <v>6.6</v>
      </c>
      <c r="Q375" s="74">
        <v>7.01</v>
      </c>
      <c r="R375" s="50">
        <v>38.4</v>
      </c>
      <c r="S375" s="74">
        <v>108</v>
      </c>
      <c r="T375" s="50">
        <v>0.26</v>
      </c>
      <c r="U375" s="74">
        <v>1.36</v>
      </c>
      <c r="V375" s="50">
        <v>1.76</v>
      </c>
      <c r="W375" s="74">
        <v>3.7999999999999999E-2</v>
      </c>
      <c r="X375" s="50">
        <v>7.5999999999999998E-2</v>
      </c>
      <c r="Y375" s="74">
        <v>2.1000000000000001E-2</v>
      </c>
      <c r="Z375" s="164">
        <v>1</v>
      </c>
      <c r="AA375" s="165">
        <v>1</v>
      </c>
      <c r="AB375" s="50">
        <v>52.3</v>
      </c>
      <c r="AC375" s="74">
        <v>262</v>
      </c>
      <c r="AD375" s="164">
        <v>0.1</v>
      </c>
      <c r="AG375" s="74"/>
      <c r="AH375" s="50"/>
      <c r="AI375" s="113"/>
      <c r="AJ375" s="50"/>
      <c r="AK375" s="74"/>
      <c r="AL375" s="50"/>
      <c r="AM375" s="74"/>
      <c r="AN375" s="50"/>
      <c r="AO375" s="74"/>
      <c r="AP375" s="50"/>
      <c r="AQ375" s="74"/>
      <c r="AR375" s="50"/>
      <c r="AS375" s="74"/>
      <c r="AT375" s="74"/>
    </row>
    <row r="376" spans="1:49" ht="14">
      <c r="A376" s="74" t="s">
        <v>5141</v>
      </c>
      <c r="B376" s="50" t="s">
        <v>2770</v>
      </c>
      <c r="C376" s="50" t="s">
        <v>4628</v>
      </c>
      <c r="D376" s="48" t="s">
        <v>2772</v>
      </c>
      <c r="E376" s="50" t="s">
        <v>1941</v>
      </c>
      <c r="G376" s="76" t="s">
        <v>2773</v>
      </c>
      <c r="H376" s="50">
        <v>9199</v>
      </c>
      <c r="I376" s="49" t="s">
        <v>2</v>
      </c>
      <c r="J376" s="50" t="s">
        <v>2694</v>
      </c>
      <c r="K376" s="51">
        <v>41539</v>
      </c>
      <c r="L376" s="115">
        <v>41529</v>
      </c>
      <c r="M376" s="402">
        <f t="shared" si="24"/>
        <v>10</v>
      </c>
      <c r="N376" s="50" t="s">
        <v>2</v>
      </c>
      <c r="O376" s="74">
        <f>1.4/2</f>
        <v>0.7</v>
      </c>
      <c r="P376" s="50">
        <v>5.6</v>
      </c>
      <c r="Q376" s="74">
        <v>6.1</v>
      </c>
      <c r="R376" s="50">
        <v>21</v>
      </c>
      <c r="S376" s="74">
        <v>5.5</v>
      </c>
      <c r="T376" s="50">
        <v>0.16</v>
      </c>
      <c r="U376" s="74">
        <v>0.59</v>
      </c>
      <c r="V376" s="50">
        <v>0.5</v>
      </c>
      <c r="W376" s="74">
        <f>0.005/2</f>
        <v>2.5000000000000001E-3</v>
      </c>
      <c r="X376" s="50">
        <v>2.5000000000000001E-2</v>
      </c>
      <c r="Y376" s="74">
        <f>0.002/2</f>
        <v>1E-3</v>
      </c>
      <c r="AE376" s="50">
        <v>81</v>
      </c>
      <c r="AF376" s="50">
        <f>0.01/2</f>
        <v>5.0000000000000001E-3</v>
      </c>
      <c r="AG376" s="74"/>
      <c r="AH376" s="50"/>
      <c r="AI376" s="113"/>
      <c r="AJ376" s="50"/>
      <c r="AK376" s="74"/>
      <c r="AL376" s="50"/>
      <c r="AM376" s="74"/>
      <c r="AN376" s="50"/>
      <c r="AO376" s="74"/>
      <c r="AP376" s="50"/>
      <c r="AQ376" s="74"/>
      <c r="AR376" s="50"/>
      <c r="AS376" s="74"/>
      <c r="AT376" s="74"/>
    </row>
    <row r="377" spans="1:49" ht="15" customHeight="1">
      <c r="A377" s="53" t="s">
        <v>36</v>
      </c>
      <c r="B377" s="50" t="s">
        <v>3055</v>
      </c>
      <c r="C377" s="74" t="s">
        <v>3056</v>
      </c>
      <c r="D377" s="48" t="s">
        <v>567</v>
      </c>
      <c r="E377" s="74" t="s">
        <v>3057</v>
      </c>
      <c r="F377" s="86" t="s">
        <v>2667</v>
      </c>
      <c r="G377" s="48" t="s">
        <v>3058</v>
      </c>
      <c r="H377" s="74">
        <v>919</v>
      </c>
      <c r="I377" s="50" t="s">
        <v>2</v>
      </c>
      <c r="J377" s="50" t="s">
        <v>1144</v>
      </c>
      <c r="K377" s="51">
        <v>41116</v>
      </c>
      <c r="L377" s="173"/>
      <c r="N377" s="50" t="s">
        <v>2</v>
      </c>
      <c r="O377" s="74">
        <f>5/2</f>
        <v>2.5</v>
      </c>
      <c r="P377" s="50">
        <v>6.48</v>
      </c>
      <c r="Q377" s="74">
        <v>6.47</v>
      </c>
      <c r="R377" s="50">
        <v>51</v>
      </c>
      <c r="S377" s="74">
        <v>28</v>
      </c>
      <c r="T377" s="50">
        <f>0.1/2</f>
        <v>0.05</v>
      </c>
      <c r="U377" s="74">
        <v>1.2</v>
      </c>
      <c r="V377" s="50">
        <v>1.1000000000000001</v>
      </c>
      <c r="W377" s="74">
        <f>0.04/2</f>
        <v>0.02</v>
      </c>
      <c r="X377" s="50">
        <v>3.1E-2</v>
      </c>
      <c r="Y377" s="74">
        <f>0.013/2</f>
        <v>6.4999999999999997E-3</v>
      </c>
      <c r="AE377" s="50">
        <v>1.1000000000000001</v>
      </c>
      <c r="AF377" s="114">
        <f>0.05/2</f>
        <v>2.5000000000000001E-2</v>
      </c>
      <c r="AG377" s="114"/>
      <c r="AH377" s="114"/>
      <c r="AI377" s="114"/>
      <c r="AJ377" s="114"/>
      <c r="AK377" s="114"/>
      <c r="AL377" s="114"/>
      <c r="AM377" s="114"/>
      <c r="AN377" s="114"/>
      <c r="AO377" s="114"/>
      <c r="AP377" s="114"/>
      <c r="AQ377" s="114"/>
      <c r="AR377" s="114"/>
      <c r="AS377" s="50"/>
      <c r="AT377" s="74"/>
      <c r="AU377" s="114"/>
      <c r="AV377" s="114"/>
      <c r="AW377" s="50"/>
    </row>
    <row r="378" spans="1:49" ht="15" customHeight="1">
      <c r="A378" s="53" t="s">
        <v>36</v>
      </c>
      <c r="B378" s="50" t="s">
        <v>3055</v>
      </c>
      <c r="C378" s="74" t="s">
        <v>3056</v>
      </c>
      <c r="D378" s="48" t="s">
        <v>567</v>
      </c>
      <c r="E378" s="74" t="s">
        <v>3057</v>
      </c>
      <c r="F378" s="86" t="s">
        <v>2667</v>
      </c>
      <c r="G378" s="48" t="s">
        <v>3058</v>
      </c>
      <c r="H378" s="74">
        <v>919</v>
      </c>
      <c r="I378" s="50" t="s">
        <v>2</v>
      </c>
      <c r="J378" s="50" t="s">
        <v>1716</v>
      </c>
      <c r="K378" s="51">
        <v>41116</v>
      </c>
      <c r="L378" s="173"/>
      <c r="N378" s="50" t="s">
        <v>2</v>
      </c>
      <c r="O378" s="74">
        <f>5/2</f>
        <v>2.5</v>
      </c>
      <c r="P378" s="50">
        <v>6.48</v>
      </c>
      <c r="Q378" s="74">
        <v>6.69</v>
      </c>
      <c r="R378" s="50">
        <v>70</v>
      </c>
      <c r="S378" s="74">
        <v>46</v>
      </c>
      <c r="T378" s="50">
        <f>0.1/2</f>
        <v>0.05</v>
      </c>
      <c r="U378" s="74">
        <v>1.4</v>
      </c>
      <c r="V378" s="50">
        <v>1.1000000000000001</v>
      </c>
      <c r="W378" s="74">
        <f>0.04/2</f>
        <v>0.02</v>
      </c>
      <c r="X378" s="50">
        <v>3.7999999999999999E-2</v>
      </c>
      <c r="Y378" s="74">
        <f>0.013/2</f>
        <v>6.4999999999999997E-3</v>
      </c>
      <c r="AE378" s="50">
        <v>8.6999999999999993</v>
      </c>
      <c r="AF378" s="114">
        <f>0.05/2</f>
        <v>2.5000000000000001E-2</v>
      </c>
      <c r="AG378" s="114"/>
      <c r="AH378" s="114"/>
      <c r="AI378" s="114"/>
      <c r="AJ378" s="114"/>
      <c r="AK378" s="114"/>
      <c r="AL378" s="114"/>
      <c r="AM378" s="114"/>
      <c r="AN378" s="114"/>
      <c r="AO378" s="114"/>
      <c r="AP378" s="114"/>
      <c r="AQ378" s="114"/>
      <c r="AR378" s="114"/>
      <c r="AS378" s="50"/>
      <c r="AT378" s="74"/>
      <c r="AU378" s="114"/>
      <c r="AV378" s="114"/>
      <c r="AW378" s="50"/>
    </row>
    <row r="379" spans="1:49" ht="14">
      <c r="A379" s="53" t="s">
        <v>36</v>
      </c>
      <c r="B379" s="50" t="s">
        <v>2834</v>
      </c>
      <c r="C379" s="74" t="s">
        <v>2989</v>
      </c>
      <c r="D379" s="48" t="s">
        <v>636</v>
      </c>
      <c r="E379" s="74"/>
      <c r="G379" s="48" t="s">
        <v>2838</v>
      </c>
      <c r="H379" s="74"/>
      <c r="I379" s="50" t="s">
        <v>2</v>
      </c>
      <c r="J379" s="50" t="s">
        <v>2989</v>
      </c>
      <c r="K379" s="51">
        <v>41264</v>
      </c>
      <c r="L379" s="115">
        <v>41261</v>
      </c>
      <c r="M379" s="50">
        <f>K379-L379</f>
        <v>3</v>
      </c>
      <c r="N379" s="50" t="s">
        <v>2</v>
      </c>
      <c r="O379" s="131">
        <v>2.5</v>
      </c>
      <c r="P379" s="50">
        <v>6</v>
      </c>
      <c r="Q379" s="74">
        <v>6.3</v>
      </c>
      <c r="R379" s="50">
        <v>33</v>
      </c>
      <c r="S379" s="74">
        <v>170</v>
      </c>
      <c r="T379" s="50">
        <v>0.2</v>
      </c>
      <c r="U379" s="131">
        <f>0.5/2</f>
        <v>0.25</v>
      </c>
      <c r="V379" s="50">
        <v>0.14000000000000001</v>
      </c>
      <c r="W379" s="74">
        <v>5.7999999999999996E-3</v>
      </c>
      <c r="X379" s="50">
        <v>8.2000000000000003E-2</v>
      </c>
      <c r="Y379" s="74">
        <v>4.8999999999999998E-3</v>
      </c>
      <c r="Z379" s="164">
        <v>1</v>
      </c>
      <c r="AA379" s="165">
        <v>1</v>
      </c>
      <c r="AB379" s="50">
        <v>4</v>
      </c>
      <c r="AC379" s="74">
        <v>26</v>
      </c>
      <c r="AD379" s="164">
        <v>0.95</v>
      </c>
      <c r="AG379" s="74"/>
      <c r="AH379" s="74"/>
      <c r="AI379" s="113"/>
      <c r="AJ379" s="50"/>
      <c r="AK379" s="74"/>
      <c r="AL379" s="74"/>
      <c r="AM379" s="74"/>
      <c r="AN379" s="74"/>
      <c r="AO379" s="74"/>
      <c r="AP379" s="74"/>
      <c r="AQ379" s="74"/>
      <c r="AR379" s="74"/>
      <c r="AS379" s="74"/>
      <c r="AT379" s="74"/>
    </row>
    <row r="380" spans="1:49" ht="14">
      <c r="A380" s="53" t="s">
        <v>36</v>
      </c>
      <c r="B380" s="50" t="s">
        <v>2834</v>
      </c>
      <c r="C380" s="74" t="s">
        <v>2989</v>
      </c>
      <c r="D380" s="48" t="s">
        <v>636</v>
      </c>
      <c r="E380" s="74" t="s">
        <v>2990</v>
      </c>
      <c r="F380" s="85" t="s">
        <v>2837</v>
      </c>
      <c r="G380" s="48" t="s">
        <v>2838</v>
      </c>
      <c r="H380" s="74"/>
      <c r="I380" s="50" t="s">
        <v>2</v>
      </c>
      <c r="J380" s="50" t="s">
        <v>2989</v>
      </c>
      <c r="K380" s="51">
        <v>41156</v>
      </c>
      <c r="L380" s="115">
        <v>41150</v>
      </c>
      <c r="M380" s="50">
        <f>K380-L380</f>
        <v>6</v>
      </c>
      <c r="N380" s="50" t="s">
        <v>2</v>
      </c>
      <c r="O380" s="131">
        <f>1.1/2</f>
        <v>0.55000000000000004</v>
      </c>
      <c r="P380" s="50">
        <v>5.5</v>
      </c>
      <c r="Q380" s="74">
        <v>5.8</v>
      </c>
      <c r="R380" s="50">
        <v>8.1</v>
      </c>
      <c r="S380" s="74">
        <v>31</v>
      </c>
      <c r="T380" s="50">
        <v>8.2000000000000003E-2</v>
      </c>
      <c r="U380" s="131">
        <f>0.5/2</f>
        <v>0.25</v>
      </c>
      <c r="V380" s="50">
        <v>0.32</v>
      </c>
      <c r="W380" s="74">
        <v>3.3999999999999998E-3</v>
      </c>
      <c r="X380" s="50">
        <v>8.3000000000000004E-2</v>
      </c>
      <c r="Y380" s="74">
        <v>2.0999999999999999E-3</v>
      </c>
      <c r="Z380" s="164">
        <v>1</v>
      </c>
      <c r="AA380" s="165">
        <v>1</v>
      </c>
      <c r="AB380" s="50">
        <v>14</v>
      </c>
      <c r="AC380" s="74">
        <v>165</v>
      </c>
      <c r="AD380" s="164">
        <v>0.95</v>
      </c>
      <c r="AG380" s="74"/>
      <c r="AH380" s="74"/>
      <c r="AI380" s="113"/>
      <c r="AJ380" s="50"/>
      <c r="AK380" s="74"/>
      <c r="AL380" s="74"/>
      <c r="AM380" s="74"/>
      <c r="AN380" s="74"/>
      <c r="AO380" s="74"/>
      <c r="AP380" s="74"/>
      <c r="AQ380" s="74"/>
      <c r="AR380" s="74"/>
      <c r="AS380" s="74"/>
      <c r="AT380" s="74"/>
    </row>
    <row r="381" spans="1:49" ht="14">
      <c r="A381" s="53" t="s">
        <v>36</v>
      </c>
      <c r="B381" s="50" t="s">
        <v>2643</v>
      </c>
      <c r="C381" s="74" t="s">
        <v>392</v>
      </c>
      <c r="D381" s="48" t="s">
        <v>290</v>
      </c>
      <c r="E381" s="74" t="s">
        <v>112</v>
      </c>
      <c r="G381" s="48" t="s">
        <v>2644</v>
      </c>
      <c r="H381" s="74">
        <v>4953</v>
      </c>
      <c r="I381" s="50" t="s">
        <v>1</v>
      </c>
      <c r="J381" s="50" t="s">
        <v>2645</v>
      </c>
      <c r="K381" s="51">
        <v>41487</v>
      </c>
      <c r="L381" s="173">
        <v>41481</v>
      </c>
      <c r="M381" s="402">
        <f t="shared" ref="M381:M388" si="25">K381-L381</f>
        <v>6</v>
      </c>
      <c r="N381" s="50" t="s">
        <v>2</v>
      </c>
      <c r="O381" s="74">
        <f>1.4/2</f>
        <v>0.7</v>
      </c>
      <c r="P381" s="50">
        <v>4.62</v>
      </c>
      <c r="Q381" s="74">
        <v>7.66</v>
      </c>
      <c r="R381" s="50">
        <v>34</v>
      </c>
      <c r="S381" s="74">
        <v>7</v>
      </c>
      <c r="T381" s="50">
        <v>0.12</v>
      </c>
      <c r="U381" s="131">
        <v>1.56</v>
      </c>
      <c r="V381" s="50">
        <f>0.01/2</f>
        <v>5.0000000000000001E-3</v>
      </c>
      <c r="W381" s="74">
        <f>0.005/2</f>
        <v>2.5000000000000001E-3</v>
      </c>
      <c r="X381" s="50">
        <v>4.0000000000000001E-3</v>
      </c>
      <c r="Y381" s="74">
        <v>3.0000000000000001E-3</v>
      </c>
      <c r="AE381" s="50">
        <v>13.2</v>
      </c>
      <c r="AF381" s="50">
        <f>0.01/2</f>
        <v>5.0000000000000001E-3</v>
      </c>
      <c r="AG381" s="74"/>
      <c r="AH381" s="74"/>
      <c r="AI381" s="113"/>
      <c r="AJ381" s="50"/>
      <c r="AK381" s="74"/>
      <c r="AL381" s="74"/>
      <c r="AM381" s="74"/>
      <c r="AN381" s="74"/>
      <c r="AO381" s="74"/>
      <c r="AP381" s="74"/>
      <c r="AQ381" s="74"/>
      <c r="AR381" s="74"/>
      <c r="AS381" s="74"/>
      <c r="AT381" s="74"/>
    </row>
    <row r="382" spans="1:49" ht="14">
      <c r="A382" s="74" t="s">
        <v>5141</v>
      </c>
      <c r="B382" s="50" t="s">
        <v>4827</v>
      </c>
      <c r="C382" s="50" t="s">
        <v>392</v>
      </c>
      <c r="D382" s="48" t="s">
        <v>1881</v>
      </c>
      <c r="E382" s="50" t="s">
        <v>49</v>
      </c>
      <c r="G382" s="76" t="s">
        <v>2745</v>
      </c>
      <c r="I382" s="49" t="s">
        <v>2</v>
      </c>
      <c r="J382" s="50" t="s">
        <v>4828</v>
      </c>
      <c r="K382" s="51">
        <v>41345</v>
      </c>
      <c r="L382" s="115">
        <v>41332</v>
      </c>
      <c r="M382" s="402">
        <f t="shared" si="25"/>
        <v>13</v>
      </c>
      <c r="N382" s="50" t="s">
        <v>2</v>
      </c>
      <c r="O382" s="74">
        <f>2/2</f>
        <v>1</v>
      </c>
      <c r="P382" s="50">
        <v>5.9</v>
      </c>
      <c r="Q382" s="74">
        <v>7.2</v>
      </c>
      <c r="R382" s="50">
        <v>15</v>
      </c>
      <c r="S382" s="74">
        <v>33</v>
      </c>
      <c r="T382" s="50">
        <v>0.22</v>
      </c>
      <c r="U382" s="74">
        <v>0.63</v>
      </c>
      <c r="V382" s="50">
        <f>0.1/2</f>
        <v>0.05</v>
      </c>
      <c r="W382" s="74">
        <v>1.7999999999999999E-2</v>
      </c>
      <c r="X382" s="50">
        <v>4.3999999999999997E-2</v>
      </c>
      <c r="Y382" s="74">
        <f>0.03/2</f>
        <v>1.4999999999999999E-2</v>
      </c>
      <c r="Z382" s="164">
        <v>1</v>
      </c>
      <c r="AA382" s="165">
        <v>1</v>
      </c>
      <c r="AB382" s="50">
        <v>45</v>
      </c>
      <c r="AC382" s="74">
        <v>1796</v>
      </c>
      <c r="AD382" s="164">
        <v>0.75</v>
      </c>
      <c r="AG382" s="74"/>
      <c r="AH382" s="50"/>
      <c r="AI382" s="113"/>
      <c r="AJ382" s="50"/>
      <c r="AK382" s="74"/>
      <c r="AL382" s="50"/>
      <c r="AM382" s="74"/>
      <c r="AN382" s="50"/>
      <c r="AO382" s="74"/>
      <c r="AP382" s="50"/>
      <c r="AQ382" s="74"/>
      <c r="AR382" s="50"/>
      <c r="AS382" s="74"/>
      <c r="AT382" s="50"/>
    </row>
    <row r="383" spans="1:49" ht="14">
      <c r="A383" s="74" t="s">
        <v>5141</v>
      </c>
      <c r="B383" s="50" t="s">
        <v>4827</v>
      </c>
      <c r="C383" s="50" t="s">
        <v>392</v>
      </c>
      <c r="D383" s="48" t="s">
        <v>1881</v>
      </c>
      <c r="E383" s="50" t="s">
        <v>49</v>
      </c>
      <c r="G383" s="76" t="s">
        <v>2745</v>
      </c>
      <c r="I383" s="49" t="s">
        <v>2</v>
      </c>
      <c r="J383" s="50" t="s">
        <v>4837</v>
      </c>
      <c r="K383" s="51">
        <v>41345</v>
      </c>
      <c r="L383" s="115">
        <v>41332</v>
      </c>
      <c r="M383" s="402">
        <f t="shared" si="25"/>
        <v>13</v>
      </c>
      <c r="N383" s="50" t="s">
        <v>2</v>
      </c>
      <c r="O383" s="74">
        <v>2.6</v>
      </c>
      <c r="P383" s="50">
        <v>5.9</v>
      </c>
      <c r="Q383" s="74">
        <v>6.9</v>
      </c>
      <c r="R383" s="50">
        <v>37</v>
      </c>
      <c r="S383" s="74">
        <v>76</v>
      </c>
      <c r="T383" s="50">
        <v>0.24</v>
      </c>
      <c r="U383" s="74">
        <v>1.17</v>
      </c>
      <c r="V383" s="50">
        <v>0.81</v>
      </c>
      <c r="W383" s="74">
        <v>2.9000000000000001E-2</v>
      </c>
      <c r="X383" s="50">
        <v>9.1999999999999998E-2</v>
      </c>
      <c r="Y383" s="74">
        <f>0.03/2</f>
        <v>1.4999999999999999E-2</v>
      </c>
      <c r="Z383" s="164">
        <v>1</v>
      </c>
      <c r="AA383" s="165">
        <v>1</v>
      </c>
      <c r="AB383" s="50">
        <v>73</v>
      </c>
      <c r="AC383" s="74">
        <v>1280</v>
      </c>
      <c r="AD383" s="164">
        <v>1</v>
      </c>
      <c r="AG383" s="74"/>
      <c r="AH383" s="50"/>
      <c r="AI383" s="113"/>
      <c r="AJ383" s="50"/>
      <c r="AK383" s="74"/>
      <c r="AL383" s="50"/>
      <c r="AM383" s="74"/>
      <c r="AN383" s="50"/>
      <c r="AO383" s="74"/>
      <c r="AP383" s="50"/>
      <c r="AQ383" s="74"/>
      <c r="AR383" s="50"/>
      <c r="AS383" s="74"/>
      <c r="AT383" s="50"/>
    </row>
    <row r="384" spans="1:49" ht="14">
      <c r="A384" s="74" t="s">
        <v>5141</v>
      </c>
      <c r="B384" s="50" t="s">
        <v>4827</v>
      </c>
      <c r="C384" s="50" t="s">
        <v>392</v>
      </c>
      <c r="D384" s="48" t="s">
        <v>1881</v>
      </c>
      <c r="E384" s="50" t="s">
        <v>49</v>
      </c>
      <c r="G384" s="76" t="s">
        <v>2745</v>
      </c>
      <c r="I384" s="49" t="s">
        <v>2</v>
      </c>
      <c r="J384" s="50" t="s">
        <v>4829</v>
      </c>
      <c r="K384" s="51">
        <v>41345</v>
      </c>
      <c r="L384" s="115">
        <v>41332</v>
      </c>
      <c r="M384" s="402">
        <f t="shared" si="25"/>
        <v>13</v>
      </c>
      <c r="N384" s="50" t="s">
        <v>2</v>
      </c>
      <c r="O384" s="74">
        <f>2/2</f>
        <v>1</v>
      </c>
      <c r="P384" s="50">
        <v>5.9</v>
      </c>
      <c r="Q384" s="74">
        <v>7.4</v>
      </c>
      <c r="R384" s="50">
        <v>52</v>
      </c>
      <c r="S384" s="74">
        <v>35</v>
      </c>
      <c r="T384" s="50">
        <v>1.01</v>
      </c>
      <c r="U384" s="74">
        <v>1.32</v>
      </c>
      <c r="V384" s="50">
        <v>0.1</v>
      </c>
      <c r="W384" s="74">
        <v>1.4999999999999999E-2</v>
      </c>
      <c r="X384" s="50">
        <f>0.03/2</f>
        <v>1.4999999999999999E-2</v>
      </c>
      <c r="Y384" s="74">
        <f>0.03/2</f>
        <v>1.4999999999999999E-2</v>
      </c>
      <c r="Z384" s="164">
        <v>1</v>
      </c>
      <c r="AA384" s="165">
        <v>1</v>
      </c>
      <c r="AB384" s="50">
        <v>35</v>
      </c>
      <c r="AC384" s="74">
        <v>334</v>
      </c>
      <c r="AD384" s="164">
        <v>1</v>
      </c>
      <c r="AG384" s="74"/>
      <c r="AH384" s="50"/>
      <c r="AI384" s="113"/>
      <c r="AJ384" s="50"/>
      <c r="AK384" s="74"/>
      <c r="AL384" s="50"/>
      <c r="AM384" s="74"/>
      <c r="AN384" s="50"/>
      <c r="AO384" s="74"/>
      <c r="AP384" s="50"/>
      <c r="AQ384" s="74"/>
      <c r="AR384" s="50"/>
      <c r="AS384" s="74"/>
      <c r="AT384" s="50"/>
    </row>
    <row r="385" spans="1:49" ht="14">
      <c r="A385" s="74" t="s">
        <v>5141</v>
      </c>
      <c r="B385" s="50" t="s">
        <v>4827</v>
      </c>
      <c r="C385" s="50" t="s">
        <v>393</v>
      </c>
      <c r="D385" s="48" t="s">
        <v>1881</v>
      </c>
      <c r="E385" s="50" t="s">
        <v>49</v>
      </c>
      <c r="G385" s="76" t="s">
        <v>2745</v>
      </c>
      <c r="I385" s="49" t="s">
        <v>2</v>
      </c>
      <c r="J385" s="50" t="s">
        <v>2938</v>
      </c>
      <c r="K385" s="51">
        <v>41345</v>
      </c>
      <c r="L385" s="115">
        <v>41332</v>
      </c>
      <c r="M385" s="402">
        <f t="shared" si="25"/>
        <v>13</v>
      </c>
      <c r="N385" s="50" t="s">
        <v>2</v>
      </c>
      <c r="O385" s="74">
        <v>8.6999999999999993</v>
      </c>
      <c r="P385" s="50">
        <v>5.9</v>
      </c>
      <c r="Q385" s="74">
        <v>6.9</v>
      </c>
      <c r="R385" s="50">
        <v>28</v>
      </c>
      <c r="S385" s="74">
        <v>140</v>
      </c>
      <c r="T385" s="50">
        <v>0.42</v>
      </c>
      <c r="U385" s="74">
        <v>1.36</v>
      </c>
      <c r="V385" s="50">
        <v>0.2</v>
      </c>
      <c r="W385" s="74">
        <v>4.5999999999999999E-2</v>
      </c>
      <c r="X385" s="50">
        <v>0.27900000000000003</v>
      </c>
      <c r="Y385" s="74">
        <v>4.8000000000000001E-2</v>
      </c>
      <c r="Z385" s="164">
        <v>1</v>
      </c>
      <c r="AA385" s="165">
        <v>0.70699999999999996</v>
      </c>
      <c r="AB385" s="50">
        <v>106</v>
      </c>
      <c r="AC385" s="74">
        <v>2800</v>
      </c>
      <c r="AD385" s="164">
        <v>0</v>
      </c>
      <c r="AG385" s="74"/>
      <c r="AH385" s="50"/>
      <c r="AI385" s="113"/>
      <c r="AJ385" s="50"/>
      <c r="AK385" s="74"/>
      <c r="AL385" s="50"/>
      <c r="AM385" s="74"/>
      <c r="AN385" s="50"/>
      <c r="AO385" s="74"/>
      <c r="AP385" s="50"/>
      <c r="AQ385" s="74"/>
      <c r="AR385" s="50"/>
      <c r="AS385" s="74"/>
      <c r="AT385" s="50"/>
    </row>
    <row r="386" spans="1:49" ht="14">
      <c r="A386" s="74" t="s">
        <v>5141</v>
      </c>
      <c r="B386" s="50" t="s">
        <v>4830</v>
      </c>
      <c r="C386" s="50" t="s">
        <v>393</v>
      </c>
      <c r="D386" s="48" t="s">
        <v>1881</v>
      </c>
      <c r="E386" s="50" t="s">
        <v>49</v>
      </c>
      <c r="G386" s="76" t="s">
        <v>2745</v>
      </c>
      <c r="I386" s="49" t="s">
        <v>2</v>
      </c>
      <c r="J386" s="50" t="s">
        <v>4831</v>
      </c>
      <c r="K386" s="51">
        <v>41345</v>
      </c>
      <c r="L386" s="115">
        <v>41332</v>
      </c>
      <c r="M386" s="402">
        <f t="shared" si="25"/>
        <v>13</v>
      </c>
      <c r="N386" s="50" t="s">
        <v>2</v>
      </c>
      <c r="O386" s="74">
        <v>2.1</v>
      </c>
      <c r="P386" s="50">
        <v>5.9</v>
      </c>
      <c r="Q386" s="74">
        <v>6.7</v>
      </c>
      <c r="R386" s="50">
        <v>34</v>
      </c>
      <c r="S386" s="74">
        <v>47</v>
      </c>
      <c r="T386" s="50">
        <v>0.16</v>
      </c>
      <c r="U386" s="74">
        <v>0.96</v>
      </c>
      <c r="V386" s="50">
        <v>1.68</v>
      </c>
      <c r="W386" s="74">
        <v>1.6E-2</v>
      </c>
      <c r="X386" s="50">
        <v>0.32600000000000001</v>
      </c>
      <c r="Y386" s="74">
        <f>0.03/2</f>
        <v>1.4999999999999999E-2</v>
      </c>
      <c r="Z386" s="164">
        <v>1</v>
      </c>
      <c r="AA386" s="165">
        <v>0.74</v>
      </c>
      <c r="AB386" s="50">
        <v>203</v>
      </c>
      <c r="AC386" s="74">
        <v>3790</v>
      </c>
      <c r="AD386" s="164">
        <v>0.05</v>
      </c>
      <c r="AG386" s="74"/>
      <c r="AH386" s="50"/>
      <c r="AI386" s="113"/>
      <c r="AJ386" s="50"/>
      <c r="AK386" s="74"/>
      <c r="AL386" s="50"/>
      <c r="AM386" s="74"/>
      <c r="AN386" s="50"/>
      <c r="AO386" s="74"/>
      <c r="AP386" s="50"/>
      <c r="AQ386" s="74"/>
      <c r="AR386" s="50"/>
      <c r="AS386" s="74"/>
      <c r="AT386" s="50"/>
    </row>
    <row r="387" spans="1:49" ht="14">
      <c r="A387" s="74" t="s">
        <v>5141</v>
      </c>
      <c r="B387" s="50" t="s">
        <v>4830</v>
      </c>
      <c r="C387" s="50" t="s">
        <v>2746</v>
      </c>
      <c r="D387" s="48" t="s">
        <v>1881</v>
      </c>
      <c r="E387" s="50" t="s">
        <v>49</v>
      </c>
      <c r="G387" s="76" t="s">
        <v>2745</v>
      </c>
      <c r="I387" s="49" t="s">
        <v>2</v>
      </c>
      <c r="J387" s="50" t="s">
        <v>4832</v>
      </c>
      <c r="K387" s="51">
        <v>41345</v>
      </c>
      <c r="L387" s="115">
        <v>41332</v>
      </c>
      <c r="M387" s="402">
        <f t="shared" si="25"/>
        <v>13</v>
      </c>
      <c r="N387" s="50" t="s">
        <v>2</v>
      </c>
      <c r="O387" s="74">
        <f>2/2</f>
        <v>1</v>
      </c>
      <c r="P387" s="50">
        <v>5.9</v>
      </c>
      <c r="Q387" s="74">
        <v>6.9</v>
      </c>
      <c r="R387" s="50">
        <v>24</v>
      </c>
      <c r="S387" s="74">
        <v>128</v>
      </c>
      <c r="T387" s="50">
        <v>0.49</v>
      </c>
      <c r="U387" s="74">
        <v>2.37</v>
      </c>
      <c r="V387" s="50">
        <v>0.41</v>
      </c>
      <c r="W387" s="74">
        <v>4.3999999999999997E-2</v>
      </c>
      <c r="X387" s="50">
        <v>0.50900000000000001</v>
      </c>
      <c r="Y387" s="74">
        <f>0.03/2</f>
        <v>1.4999999999999999E-2</v>
      </c>
      <c r="Z387" s="164">
        <v>1</v>
      </c>
      <c r="AA387" s="165">
        <v>1</v>
      </c>
      <c r="AB387" s="50">
        <v>54</v>
      </c>
      <c r="AC387" s="74">
        <v>1796</v>
      </c>
      <c r="AD387" s="164">
        <v>1</v>
      </c>
      <c r="AG387" s="74"/>
      <c r="AH387" s="50"/>
      <c r="AI387" s="113"/>
      <c r="AJ387" s="50"/>
      <c r="AK387" s="74"/>
      <c r="AL387" s="50"/>
      <c r="AM387" s="74"/>
      <c r="AN387" s="50"/>
      <c r="AO387" s="74"/>
      <c r="AP387" s="50"/>
      <c r="AQ387" s="74"/>
      <c r="AR387" s="50"/>
      <c r="AS387" s="74"/>
      <c r="AT387" s="50"/>
    </row>
    <row r="388" spans="1:49" ht="14">
      <c r="A388" s="74" t="s">
        <v>5141</v>
      </c>
      <c r="B388" s="50" t="s">
        <v>4830</v>
      </c>
      <c r="C388" s="50" t="s">
        <v>2746</v>
      </c>
      <c r="D388" s="48" t="s">
        <v>1881</v>
      </c>
      <c r="E388" s="50" t="s">
        <v>49</v>
      </c>
      <c r="G388" s="76" t="s">
        <v>2745</v>
      </c>
      <c r="I388" s="49" t="s">
        <v>2</v>
      </c>
      <c r="J388" s="50" t="s">
        <v>2937</v>
      </c>
      <c r="K388" s="51">
        <v>41345</v>
      </c>
      <c r="L388" s="115">
        <v>41332</v>
      </c>
      <c r="M388" s="402">
        <f t="shared" si="25"/>
        <v>13</v>
      </c>
      <c r="N388" s="50" t="s">
        <v>2</v>
      </c>
      <c r="O388" s="74">
        <f>2/2</f>
        <v>1</v>
      </c>
      <c r="P388" s="50">
        <v>5.9</v>
      </c>
      <c r="Q388" s="74">
        <v>7.2</v>
      </c>
      <c r="R388" s="50">
        <v>70</v>
      </c>
      <c r="S388" s="74">
        <v>79</v>
      </c>
      <c r="T388" s="50">
        <v>0.64</v>
      </c>
      <c r="U388" s="74">
        <v>1.68</v>
      </c>
      <c r="V388" s="50">
        <f>0.1/2</f>
        <v>0.05</v>
      </c>
      <c r="W388" s="74">
        <v>0.03</v>
      </c>
      <c r="X388" s="50">
        <v>6.9000000000000006E-2</v>
      </c>
      <c r="Y388" s="74">
        <f>0.03/2</f>
        <v>1.4999999999999999E-2</v>
      </c>
      <c r="Z388" s="164">
        <v>1</v>
      </c>
      <c r="AA388" s="165">
        <v>1</v>
      </c>
      <c r="AB388" s="50">
        <v>53</v>
      </c>
      <c r="AC388" s="74">
        <v>917</v>
      </c>
      <c r="AD388" s="164">
        <v>1</v>
      </c>
      <c r="AG388" s="74"/>
      <c r="AH388" s="50"/>
      <c r="AI388" s="113"/>
      <c r="AJ388" s="50"/>
      <c r="AK388" s="74"/>
      <c r="AL388" s="50"/>
      <c r="AM388" s="74"/>
      <c r="AN388" s="50"/>
      <c r="AO388" s="74"/>
      <c r="AP388" s="50"/>
      <c r="AQ388" s="74"/>
      <c r="AR388" s="50"/>
      <c r="AS388" s="74"/>
      <c r="AT388" s="50"/>
    </row>
    <row r="389" spans="1:49" ht="15" customHeight="1">
      <c r="A389" s="41" t="s">
        <v>5141</v>
      </c>
      <c r="B389" s="50" t="s">
        <v>3664</v>
      </c>
      <c r="C389" s="74" t="s">
        <v>2660</v>
      </c>
      <c r="D389" s="48" t="s">
        <v>103</v>
      </c>
      <c r="E389" s="74" t="s">
        <v>3665</v>
      </c>
      <c r="G389" s="48" t="s">
        <v>3666</v>
      </c>
      <c r="H389" s="74">
        <v>4214</v>
      </c>
      <c r="I389" s="50" t="s">
        <v>1</v>
      </c>
      <c r="J389" s="74" t="s">
        <v>2660</v>
      </c>
      <c r="K389" s="51">
        <v>41402</v>
      </c>
      <c r="L389" s="173"/>
      <c r="N389" s="50" t="s">
        <v>2</v>
      </c>
      <c r="O389" s="74">
        <f>1/2</f>
        <v>0.5</v>
      </c>
      <c r="P389" s="50">
        <v>6.85</v>
      </c>
      <c r="Q389" s="74">
        <v>7.08</v>
      </c>
      <c r="R389" s="50">
        <v>201</v>
      </c>
      <c r="S389" s="74">
        <v>69</v>
      </c>
      <c r="T389" s="50">
        <v>0.8</v>
      </c>
      <c r="U389" s="74">
        <v>2.3199999999999998</v>
      </c>
      <c r="V389" s="50">
        <v>0.28999999999999998</v>
      </c>
      <c r="W389" s="74">
        <v>5.0999999999999997E-2</v>
      </c>
      <c r="X389" s="50">
        <v>0.3</v>
      </c>
      <c r="Y389" s="74">
        <v>5.3999999999999999E-2</v>
      </c>
      <c r="Z389" s="164">
        <v>1</v>
      </c>
      <c r="AA389" s="165">
        <v>1</v>
      </c>
      <c r="AB389" s="50">
        <v>84.62</v>
      </c>
      <c r="AC389" s="74">
        <v>414</v>
      </c>
      <c r="AD389" s="164">
        <v>1</v>
      </c>
      <c r="AE389" s="50">
        <v>58.3</v>
      </c>
      <c r="AF389" s="114">
        <f>0.01/2</f>
        <v>5.0000000000000001E-3</v>
      </c>
      <c r="AG389" s="114"/>
      <c r="AH389" s="114">
        <v>220</v>
      </c>
      <c r="AI389" s="114"/>
      <c r="AJ389" s="114"/>
      <c r="AK389" s="114"/>
      <c r="AL389" s="114"/>
      <c r="AM389" s="114"/>
      <c r="AN389" s="114"/>
      <c r="AO389" s="114"/>
      <c r="AP389" s="114"/>
      <c r="AQ389" s="114"/>
      <c r="AR389" s="114"/>
      <c r="AS389" s="50"/>
      <c r="AT389" s="74"/>
      <c r="AU389" s="114"/>
      <c r="AV389" s="114"/>
      <c r="AW389" s="50"/>
    </row>
    <row r="390" spans="1:49" ht="14">
      <c r="A390" s="53" t="s">
        <v>36</v>
      </c>
      <c r="B390" s="50" t="s">
        <v>3055</v>
      </c>
      <c r="C390" s="74" t="s">
        <v>3056</v>
      </c>
      <c r="D390" s="48" t="s">
        <v>567</v>
      </c>
      <c r="E390" s="74" t="s">
        <v>3057</v>
      </c>
      <c r="F390" s="86" t="s">
        <v>2667</v>
      </c>
      <c r="G390" s="48" t="s">
        <v>3058</v>
      </c>
      <c r="H390" s="74">
        <v>919</v>
      </c>
      <c r="I390" s="50" t="s">
        <v>2</v>
      </c>
      <c r="J390" s="50" t="s">
        <v>1144</v>
      </c>
      <c r="K390" s="51">
        <v>41417</v>
      </c>
      <c r="L390" s="115"/>
      <c r="N390" s="50" t="s">
        <v>2</v>
      </c>
      <c r="O390" s="74">
        <v>9.9</v>
      </c>
      <c r="P390" s="117">
        <v>5.63</v>
      </c>
      <c r="Q390" s="131">
        <v>8.7200000000000006</v>
      </c>
      <c r="R390" s="50">
        <v>120</v>
      </c>
      <c r="S390" s="74">
        <v>110</v>
      </c>
      <c r="T390" s="50">
        <v>0.23</v>
      </c>
      <c r="U390" s="74">
        <v>1.5</v>
      </c>
      <c r="V390" s="50">
        <v>0.33</v>
      </c>
      <c r="W390" s="74">
        <f>0.04/2</f>
        <v>0.02</v>
      </c>
      <c r="X390" s="50">
        <v>0.13</v>
      </c>
      <c r="Y390" s="74">
        <f>0.013/2</f>
        <v>6.4999999999999997E-3</v>
      </c>
      <c r="Z390" s="164">
        <v>1</v>
      </c>
      <c r="AA390" s="165">
        <v>1</v>
      </c>
      <c r="AB390" s="50">
        <v>42</v>
      </c>
      <c r="AC390" s="74">
        <v>2160</v>
      </c>
      <c r="AD390" s="164">
        <v>1</v>
      </c>
      <c r="AE390" s="50">
        <v>1000</v>
      </c>
      <c r="AF390" s="50">
        <f>0.05/2</f>
        <v>2.5000000000000001E-2</v>
      </c>
      <c r="AG390" s="74"/>
      <c r="AH390" s="74"/>
      <c r="AI390" s="113"/>
      <c r="AJ390" s="50"/>
      <c r="AK390" s="74"/>
      <c r="AL390" s="74"/>
      <c r="AM390" s="74"/>
      <c r="AN390" s="74"/>
      <c r="AO390" s="74"/>
      <c r="AP390" s="74"/>
      <c r="AQ390" s="74"/>
      <c r="AR390" s="74"/>
      <c r="AS390" s="74"/>
      <c r="AT390" s="74"/>
    </row>
    <row r="391" spans="1:49" ht="14">
      <c r="A391" s="53" t="s">
        <v>36</v>
      </c>
      <c r="B391" s="50" t="s">
        <v>3055</v>
      </c>
      <c r="C391" s="74" t="s">
        <v>3056</v>
      </c>
      <c r="D391" s="48" t="s">
        <v>567</v>
      </c>
      <c r="E391" s="74" t="s">
        <v>3057</v>
      </c>
      <c r="F391" s="86" t="s">
        <v>2667</v>
      </c>
      <c r="G391" s="48" t="s">
        <v>3058</v>
      </c>
      <c r="H391" s="74">
        <v>919</v>
      </c>
      <c r="I391" s="50" t="s">
        <v>2</v>
      </c>
      <c r="J391" s="50" t="s">
        <v>1716</v>
      </c>
      <c r="K391" s="51">
        <v>41417</v>
      </c>
      <c r="L391" s="115"/>
      <c r="N391" s="50" t="s">
        <v>2</v>
      </c>
      <c r="O391" s="74">
        <v>9.5</v>
      </c>
      <c r="P391" s="117">
        <v>5.63</v>
      </c>
      <c r="Q391" s="131">
        <v>7.49</v>
      </c>
      <c r="R391" s="50">
        <v>82</v>
      </c>
      <c r="S391" s="74">
        <v>18</v>
      </c>
      <c r="T391" s="50">
        <v>0.17</v>
      </c>
      <c r="U391" s="74">
        <v>1.3</v>
      </c>
      <c r="V391" s="50">
        <v>0.32</v>
      </c>
      <c r="W391" s="74">
        <f>0.04/2</f>
        <v>0.02</v>
      </c>
      <c r="X391" s="50">
        <f>0.02/2</f>
        <v>0.01</v>
      </c>
      <c r="Y391" s="74">
        <f>0.013/2</f>
        <v>6.4999999999999997E-3</v>
      </c>
      <c r="Z391" s="164">
        <v>1</v>
      </c>
      <c r="AA391" s="165">
        <v>1</v>
      </c>
      <c r="AB391" s="50">
        <v>14</v>
      </c>
      <c r="AC391" s="74">
        <v>320</v>
      </c>
      <c r="AD391" s="164">
        <v>1</v>
      </c>
      <c r="AE391" s="50">
        <v>59</v>
      </c>
      <c r="AF391" s="50">
        <f>0.05/2</f>
        <v>2.5000000000000001E-2</v>
      </c>
      <c r="AG391" s="74"/>
      <c r="AH391" s="74"/>
      <c r="AI391" s="113"/>
      <c r="AJ391" s="50"/>
      <c r="AK391" s="74"/>
      <c r="AL391" s="74"/>
      <c r="AM391" s="74"/>
      <c r="AN391" s="74"/>
      <c r="AO391" s="74"/>
      <c r="AP391" s="74"/>
      <c r="AQ391" s="74"/>
      <c r="AR391" s="74"/>
      <c r="AS391" s="74"/>
      <c r="AT391" s="74"/>
    </row>
    <row r="392" spans="1:49" ht="14">
      <c r="A392" s="53" t="s">
        <v>36</v>
      </c>
      <c r="B392" s="50" t="s">
        <v>3055</v>
      </c>
      <c r="C392" s="74" t="s">
        <v>3056</v>
      </c>
      <c r="D392" s="48" t="s">
        <v>567</v>
      </c>
      <c r="E392" s="74" t="s">
        <v>3057</v>
      </c>
      <c r="F392" s="86" t="s">
        <v>2667</v>
      </c>
      <c r="G392" s="48" t="s">
        <v>3058</v>
      </c>
      <c r="H392" s="74">
        <v>919</v>
      </c>
      <c r="I392" s="50" t="s">
        <v>2</v>
      </c>
      <c r="J392" s="50" t="s">
        <v>1144</v>
      </c>
      <c r="K392" s="51">
        <v>41499</v>
      </c>
      <c r="L392" s="115"/>
      <c r="N392" s="50" t="s">
        <v>2</v>
      </c>
      <c r="O392" s="74">
        <f>5/2</f>
        <v>2.5</v>
      </c>
      <c r="P392" s="117">
        <v>6</v>
      </c>
      <c r="Q392" s="131">
        <v>7.3</v>
      </c>
      <c r="R392" s="50">
        <v>44</v>
      </c>
      <c r="S392" s="74">
        <v>27</v>
      </c>
      <c r="T392" s="50">
        <f>0.1/2</f>
        <v>0.05</v>
      </c>
      <c r="U392" s="74">
        <f>1/2</f>
        <v>0.5</v>
      </c>
      <c r="V392" s="50">
        <v>0.34</v>
      </c>
      <c r="W392" s="74">
        <f>0.04/2</f>
        <v>0.02</v>
      </c>
      <c r="X392" s="50">
        <v>3.5999999999999997E-2</v>
      </c>
      <c r="Y392" s="74">
        <f>0.013/2</f>
        <v>6.4999999999999997E-3</v>
      </c>
      <c r="AE392" s="50">
        <v>7.1</v>
      </c>
      <c r="AF392" s="50">
        <f>0.05/2</f>
        <v>2.5000000000000001E-2</v>
      </c>
      <c r="AG392" s="74"/>
      <c r="AH392" s="74"/>
      <c r="AI392" s="113"/>
      <c r="AJ392" s="50"/>
      <c r="AK392" s="74"/>
      <c r="AL392" s="74"/>
      <c r="AM392" s="74"/>
      <c r="AN392" s="74"/>
      <c r="AO392" s="74"/>
      <c r="AP392" s="74"/>
      <c r="AQ392" s="74"/>
      <c r="AR392" s="74"/>
      <c r="AS392" s="74"/>
      <c r="AT392" s="74"/>
    </row>
    <row r="393" spans="1:49" ht="14">
      <c r="A393" s="53" t="s">
        <v>36</v>
      </c>
      <c r="B393" s="50" t="s">
        <v>3055</v>
      </c>
      <c r="C393" s="74" t="s">
        <v>3056</v>
      </c>
      <c r="D393" s="48" t="s">
        <v>567</v>
      </c>
      <c r="E393" s="74" t="s">
        <v>3057</v>
      </c>
      <c r="F393" s="86" t="s">
        <v>2667</v>
      </c>
      <c r="G393" s="48" t="s">
        <v>3058</v>
      </c>
      <c r="H393" s="74">
        <v>919</v>
      </c>
      <c r="I393" s="50" t="s">
        <v>2</v>
      </c>
      <c r="J393" s="50" t="s">
        <v>1716</v>
      </c>
      <c r="K393" s="51">
        <v>41499</v>
      </c>
      <c r="L393" s="115"/>
      <c r="N393" s="50" t="s">
        <v>2</v>
      </c>
      <c r="O393" s="74">
        <f>5/2</f>
        <v>2.5</v>
      </c>
      <c r="P393" s="117">
        <v>6</v>
      </c>
      <c r="Q393" s="131">
        <v>6.98</v>
      </c>
      <c r="R393" s="50">
        <v>40</v>
      </c>
      <c r="S393" s="74">
        <v>45</v>
      </c>
      <c r="T393" s="50">
        <f>0.1/2</f>
        <v>0.05</v>
      </c>
      <c r="U393" s="74">
        <f>1/2</f>
        <v>0.5</v>
      </c>
      <c r="V393" s="50">
        <v>0.38</v>
      </c>
      <c r="W393" s="74">
        <f>0.04/2</f>
        <v>0.02</v>
      </c>
      <c r="X393" s="50">
        <v>2.8000000000000001E-2</v>
      </c>
      <c r="Y393" s="74">
        <f>0.013/2</f>
        <v>6.4999999999999997E-3</v>
      </c>
      <c r="AE393" s="50">
        <v>5.6</v>
      </c>
      <c r="AF393" s="50">
        <f>0.05/2</f>
        <v>2.5000000000000001E-2</v>
      </c>
      <c r="AG393" s="74"/>
      <c r="AH393" s="74"/>
      <c r="AI393" s="113"/>
      <c r="AJ393" s="50"/>
      <c r="AK393" s="74"/>
      <c r="AL393" s="74"/>
      <c r="AM393" s="74"/>
      <c r="AN393" s="74"/>
      <c r="AO393" s="74"/>
      <c r="AP393" s="74"/>
      <c r="AQ393" s="74"/>
      <c r="AR393" s="74"/>
      <c r="AS393" s="74"/>
      <c r="AT393" s="74"/>
    </row>
    <row r="394" spans="1:49" ht="14">
      <c r="A394" s="41" t="s">
        <v>36</v>
      </c>
      <c r="B394" s="50" t="s">
        <v>3168</v>
      </c>
      <c r="C394" s="50" t="s">
        <v>4003</v>
      </c>
      <c r="D394" s="48" t="s">
        <v>559</v>
      </c>
      <c r="E394" s="50" t="s">
        <v>2423</v>
      </c>
      <c r="F394" s="50" t="s">
        <v>3170</v>
      </c>
      <c r="G394" s="76" t="s">
        <v>5079</v>
      </c>
      <c r="H394" s="50">
        <v>9199</v>
      </c>
      <c r="I394" s="49" t="s">
        <v>2</v>
      </c>
      <c r="J394" s="50" t="s">
        <v>81</v>
      </c>
      <c r="K394" s="51">
        <v>41513</v>
      </c>
      <c r="L394" s="115"/>
      <c r="N394" s="50" t="s">
        <v>2</v>
      </c>
      <c r="O394" s="74">
        <f>2.5/2</f>
        <v>1.25</v>
      </c>
      <c r="P394" s="117"/>
      <c r="Q394" s="131"/>
      <c r="AG394" s="74"/>
      <c r="AH394" s="74"/>
      <c r="AI394" s="113"/>
      <c r="AJ394" s="50"/>
      <c r="AK394" s="74"/>
      <c r="AL394" s="74"/>
      <c r="AM394" s="74"/>
      <c r="AN394" s="74"/>
      <c r="AO394" s="74"/>
      <c r="AP394" s="74"/>
      <c r="AQ394" s="74"/>
      <c r="AR394" s="74"/>
      <c r="AS394" s="74"/>
      <c r="AT394" s="74"/>
    </row>
    <row r="395" spans="1:49" ht="14">
      <c r="A395" s="41" t="s">
        <v>36</v>
      </c>
      <c r="B395" s="50" t="s">
        <v>2701</v>
      </c>
      <c r="D395" s="48" t="s">
        <v>156</v>
      </c>
      <c r="E395" s="50" t="s">
        <v>1305</v>
      </c>
      <c r="F395" s="50" t="s">
        <v>2702</v>
      </c>
      <c r="G395" s="76" t="s">
        <v>2703</v>
      </c>
      <c r="H395" s="50" t="s">
        <v>2704</v>
      </c>
      <c r="I395" s="49" t="s">
        <v>1</v>
      </c>
      <c r="J395" s="50" t="s">
        <v>856</v>
      </c>
      <c r="K395" s="51">
        <v>41554</v>
      </c>
      <c r="L395" s="115">
        <v>41553</v>
      </c>
      <c r="M395" s="402">
        <f t="shared" ref="M395:M400" si="26">K395-L395</f>
        <v>1</v>
      </c>
      <c r="N395" s="50" t="s">
        <v>2</v>
      </c>
      <c r="O395" s="74">
        <v>2.2999999999999998</v>
      </c>
      <c r="P395" s="117"/>
      <c r="Q395" s="131"/>
      <c r="R395" s="50">
        <v>17</v>
      </c>
      <c r="S395" s="74">
        <v>49</v>
      </c>
      <c r="T395" s="50">
        <v>0.06</v>
      </c>
      <c r="U395" s="74">
        <v>0.66</v>
      </c>
      <c r="V395" s="50">
        <v>0.12</v>
      </c>
      <c r="W395" s="74">
        <v>1.0999999999999999E-2</v>
      </c>
      <c r="X395" s="50">
        <f t="shared" ref="X395:Y397" si="27">0.03/2</f>
        <v>1.4999999999999999E-2</v>
      </c>
      <c r="Y395" s="74">
        <f t="shared" si="27"/>
        <v>1.4999999999999999E-2</v>
      </c>
      <c r="AG395" s="74"/>
      <c r="AH395" s="74"/>
      <c r="AI395" s="113"/>
      <c r="AJ395" s="50"/>
      <c r="AK395" s="74"/>
      <c r="AL395" s="74"/>
      <c r="AM395" s="74"/>
      <c r="AN395" s="74"/>
      <c r="AO395" s="74"/>
      <c r="AP395" s="74"/>
      <c r="AQ395" s="74"/>
      <c r="AR395" s="74"/>
      <c r="AS395" s="74"/>
      <c r="AT395" s="74"/>
    </row>
    <row r="396" spans="1:49" ht="14">
      <c r="A396" s="41" t="s">
        <v>36</v>
      </c>
      <c r="B396" s="50" t="s">
        <v>2701</v>
      </c>
      <c r="D396" s="48" t="s">
        <v>156</v>
      </c>
      <c r="E396" s="50" t="s">
        <v>1305</v>
      </c>
      <c r="F396" s="50" t="s">
        <v>2702</v>
      </c>
      <c r="G396" s="76" t="s">
        <v>2703</v>
      </c>
      <c r="H396" s="50" t="s">
        <v>3989</v>
      </c>
      <c r="I396" s="49" t="s">
        <v>1</v>
      </c>
      <c r="J396" s="50" t="s">
        <v>2705</v>
      </c>
      <c r="K396" s="51">
        <v>41554</v>
      </c>
      <c r="L396" s="115">
        <v>41553</v>
      </c>
      <c r="M396" s="402">
        <f t="shared" si="26"/>
        <v>1</v>
      </c>
      <c r="N396" s="50" t="s">
        <v>2</v>
      </c>
      <c r="O396" s="74">
        <f>2/2</f>
        <v>1</v>
      </c>
      <c r="P396" s="117"/>
      <c r="Q396" s="131"/>
      <c r="R396" s="50">
        <f>10/2</f>
        <v>5</v>
      </c>
      <c r="S396" s="74">
        <v>18</v>
      </c>
      <c r="T396" s="50">
        <v>7.0000000000000007E-2</v>
      </c>
      <c r="U396" s="74">
        <v>0.51</v>
      </c>
      <c r="V396" s="50">
        <v>0.2</v>
      </c>
      <c r="W396" s="74">
        <v>1.0999999999999999E-2</v>
      </c>
      <c r="X396" s="50">
        <f t="shared" si="27"/>
        <v>1.4999999999999999E-2</v>
      </c>
      <c r="Y396" s="74">
        <f t="shared" si="27"/>
        <v>1.4999999999999999E-2</v>
      </c>
      <c r="AG396" s="74"/>
      <c r="AH396" s="74"/>
      <c r="AI396" s="113"/>
      <c r="AJ396" s="50"/>
      <c r="AK396" s="74"/>
      <c r="AL396" s="74"/>
      <c r="AM396" s="74"/>
      <c r="AN396" s="74"/>
      <c r="AO396" s="74"/>
      <c r="AP396" s="74"/>
      <c r="AQ396" s="74"/>
      <c r="AR396" s="74"/>
      <c r="AS396" s="74"/>
      <c r="AT396" s="74"/>
    </row>
    <row r="397" spans="1:49" ht="14">
      <c r="A397" s="41" t="s">
        <v>36</v>
      </c>
      <c r="B397" s="50" t="s">
        <v>2701</v>
      </c>
      <c r="D397" s="48" t="s">
        <v>156</v>
      </c>
      <c r="E397" s="50" t="s">
        <v>1305</v>
      </c>
      <c r="F397" s="50" t="s">
        <v>2702</v>
      </c>
      <c r="G397" s="76" t="s">
        <v>2703</v>
      </c>
      <c r="H397" s="50" t="s">
        <v>3989</v>
      </c>
      <c r="I397" s="49" t="s">
        <v>1</v>
      </c>
      <c r="J397" s="50" t="s">
        <v>2706</v>
      </c>
      <c r="K397" s="51">
        <v>41554</v>
      </c>
      <c r="L397" s="115">
        <v>41553</v>
      </c>
      <c r="M397" s="402">
        <f t="shared" si="26"/>
        <v>1</v>
      </c>
      <c r="N397" s="50" t="s">
        <v>2</v>
      </c>
      <c r="O397" s="74">
        <f>2/2</f>
        <v>1</v>
      </c>
      <c r="P397" s="117"/>
      <c r="Q397" s="131"/>
      <c r="R397" s="50">
        <v>157</v>
      </c>
      <c r="S397" s="74">
        <v>537</v>
      </c>
      <c r="T397" s="50">
        <v>0.91</v>
      </c>
      <c r="U397" s="74">
        <v>1.99</v>
      </c>
      <c r="V397" s="50">
        <v>0.32</v>
      </c>
      <c r="W397" s="74">
        <v>1.0999999999999999E-2</v>
      </c>
      <c r="X397" s="50">
        <f t="shared" si="27"/>
        <v>1.4999999999999999E-2</v>
      </c>
      <c r="Y397" s="74">
        <f t="shared" si="27"/>
        <v>1.4999999999999999E-2</v>
      </c>
      <c r="AG397" s="74"/>
      <c r="AH397" s="74"/>
      <c r="AI397" s="113"/>
      <c r="AJ397" s="50"/>
      <c r="AK397" s="74"/>
      <c r="AL397" s="74"/>
      <c r="AM397" s="74"/>
      <c r="AN397" s="74"/>
      <c r="AO397" s="74"/>
      <c r="AP397" s="74"/>
      <c r="AQ397" s="74"/>
      <c r="AR397" s="74"/>
      <c r="AS397" s="74"/>
      <c r="AT397" s="74"/>
    </row>
    <row r="398" spans="1:49" ht="14">
      <c r="A398" s="74" t="s">
        <v>36</v>
      </c>
      <c r="B398" s="50" t="s">
        <v>2701</v>
      </c>
      <c r="D398" s="48" t="s">
        <v>156</v>
      </c>
      <c r="E398" s="50" t="s">
        <v>1305</v>
      </c>
      <c r="F398" s="50" t="s">
        <v>2702</v>
      </c>
      <c r="G398" s="76" t="s">
        <v>5080</v>
      </c>
      <c r="H398" s="50">
        <v>9199</v>
      </c>
      <c r="I398" s="49" t="s">
        <v>2</v>
      </c>
      <c r="K398" s="51">
        <v>41554</v>
      </c>
      <c r="L398" s="115">
        <v>41553</v>
      </c>
      <c r="M398" s="402">
        <f t="shared" si="26"/>
        <v>1</v>
      </c>
      <c r="N398" s="50" t="s">
        <v>2</v>
      </c>
      <c r="O398" s="74">
        <f>2/2</f>
        <v>1</v>
      </c>
      <c r="P398" s="117"/>
      <c r="Q398" s="131">
        <v>6.8</v>
      </c>
      <c r="R398" s="50">
        <v>50</v>
      </c>
      <c r="S398" s="74">
        <v>96</v>
      </c>
      <c r="T398" s="50">
        <v>0.22</v>
      </c>
      <c r="U398" s="74">
        <v>1.75</v>
      </c>
      <c r="V398" s="50">
        <v>0.15</v>
      </c>
      <c r="W398" s="74">
        <v>2.1999999999999999E-2</v>
      </c>
      <c r="X398" s="50">
        <v>9.7000000000000003E-2</v>
      </c>
      <c r="Y398" s="74">
        <f>0.03/2</f>
        <v>1.4999999999999999E-2</v>
      </c>
      <c r="Z398" s="164">
        <v>1</v>
      </c>
      <c r="AA398" s="165">
        <v>1</v>
      </c>
      <c r="AB398" s="50">
        <v>32</v>
      </c>
      <c r="AC398" s="74">
        <v>123</v>
      </c>
      <c r="AD398" s="164">
        <v>1</v>
      </c>
      <c r="AG398" s="74"/>
      <c r="AH398" s="74"/>
      <c r="AI398" s="113"/>
      <c r="AJ398" s="50"/>
      <c r="AK398" s="74"/>
      <c r="AL398" s="74"/>
      <c r="AM398" s="74"/>
      <c r="AN398" s="74"/>
      <c r="AO398" s="74"/>
      <c r="AP398" s="74"/>
      <c r="AQ398" s="74"/>
      <c r="AR398" s="74"/>
      <c r="AS398" s="74"/>
      <c r="AT398" s="74"/>
    </row>
    <row r="399" spans="1:49" ht="14">
      <c r="A399" s="53" t="s">
        <v>36</v>
      </c>
      <c r="B399" s="54" t="s">
        <v>470</v>
      </c>
      <c r="C399" s="54" t="s">
        <v>132</v>
      </c>
      <c r="D399" s="56" t="s">
        <v>471</v>
      </c>
      <c r="E399" s="54" t="s">
        <v>975</v>
      </c>
      <c r="F399" s="54">
        <v>6402</v>
      </c>
      <c r="G399" s="61" t="s">
        <v>472</v>
      </c>
      <c r="H399" s="54">
        <v>9199</v>
      </c>
      <c r="I399" s="55" t="s">
        <v>2</v>
      </c>
      <c r="J399" s="54" t="s">
        <v>473</v>
      </c>
      <c r="K399" s="51">
        <v>41554</v>
      </c>
      <c r="L399" s="115">
        <v>41553</v>
      </c>
      <c r="M399" s="402">
        <f t="shared" si="26"/>
        <v>1</v>
      </c>
      <c r="N399" s="50" t="s">
        <v>2</v>
      </c>
      <c r="O399" s="74">
        <v>2.1</v>
      </c>
      <c r="P399" s="117">
        <v>5.5</v>
      </c>
      <c r="Q399" s="131">
        <v>6.5</v>
      </c>
      <c r="R399" s="50">
        <v>39</v>
      </c>
      <c r="S399" s="74">
        <v>19</v>
      </c>
      <c r="T399" s="50">
        <v>0.12</v>
      </c>
      <c r="U399" s="74">
        <v>0.71</v>
      </c>
      <c r="V399" s="50">
        <v>0.25</v>
      </c>
      <c r="W399" s="74">
        <v>7.0000000000000001E-3</v>
      </c>
      <c r="X399" s="50">
        <v>0.33900000000000002</v>
      </c>
      <c r="Y399" s="74">
        <f>0.002/2</f>
        <v>1E-3</v>
      </c>
      <c r="AE399" s="50">
        <v>119</v>
      </c>
      <c r="AF399" s="50">
        <f>0.01/2</f>
        <v>5.0000000000000001E-3</v>
      </c>
      <c r="AG399" s="74"/>
      <c r="AH399" s="74"/>
      <c r="AI399" s="113"/>
      <c r="AJ399" s="50"/>
      <c r="AK399" s="74"/>
      <c r="AL399" s="74"/>
      <c r="AM399" s="74"/>
      <c r="AN399" s="74"/>
      <c r="AO399" s="74"/>
      <c r="AP399" s="74"/>
      <c r="AQ399" s="74"/>
      <c r="AR399" s="74"/>
      <c r="AS399" s="74"/>
      <c r="AT399" s="74"/>
    </row>
    <row r="400" spans="1:49" ht="14">
      <c r="A400" s="53" t="s">
        <v>36</v>
      </c>
      <c r="B400" s="54" t="s">
        <v>470</v>
      </c>
      <c r="C400" s="54" t="s">
        <v>132</v>
      </c>
      <c r="D400" s="56" t="s">
        <v>471</v>
      </c>
      <c r="E400" s="54" t="s">
        <v>975</v>
      </c>
      <c r="F400" s="54">
        <v>6402</v>
      </c>
      <c r="G400" s="61" t="s">
        <v>472</v>
      </c>
      <c r="H400" s="54">
        <v>9199</v>
      </c>
      <c r="I400" s="55" t="s">
        <v>2</v>
      </c>
      <c r="J400" s="54" t="s">
        <v>474</v>
      </c>
      <c r="K400" s="51">
        <v>41554</v>
      </c>
      <c r="L400" s="115">
        <v>41553</v>
      </c>
      <c r="M400" s="402">
        <f t="shared" si="26"/>
        <v>1</v>
      </c>
      <c r="N400" s="50" t="s">
        <v>2</v>
      </c>
      <c r="O400" s="74">
        <f>1.4/2</f>
        <v>0.7</v>
      </c>
      <c r="P400" s="117">
        <v>5.5</v>
      </c>
      <c r="Q400" s="131">
        <v>6.9</v>
      </c>
      <c r="R400" s="50">
        <v>28</v>
      </c>
      <c r="S400" s="74">
        <v>32</v>
      </c>
      <c r="T400" s="50">
        <v>0.23</v>
      </c>
      <c r="U400" s="74">
        <v>1.33</v>
      </c>
      <c r="V400" s="50">
        <v>0.17</v>
      </c>
      <c r="W400" s="74">
        <f>0.005/2</f>
        <v>2.5000000000000001E-3</v>
      </c>
      <c r="X400" s="50">
        <v>1.7999999999999999E-2</v>
      </c>
      <c r="Y400" s="74">
        <f>0.002/2</f>
        <v>1E-3</v>
      </c>
      <c r="AG400" s="74"/>
      <c r="AH400" s="74"/>
      <c r="AI400" s="113"/>
      <c r="AJ400" s="50"/>
      <c r="AK400" s="74"/>
      <c r="AL400" s="74"/>
      <c r="AM400" s="74"/>
      <c r="AN400" s="74"/>
      <c r="AO400" s="74"/>
      <c r="AP400" s="74"/>
      <c r="AQ400" s="74"/>
      <c r="AR400" s="74"/>
      <c r="AS400" s="74"/>
      <c r="AT400" s="74"/>
    </row>
    <row r="401" spans="1:49" ht="14">
      <c r="A401" s="41" t="s">
        <v>36</v>
      </c>
      <c r="B401" s="50" t="s">
        <v>2863</v>
      </c>
      <c r="C401" s="50" t="s">
        <v>2866</v>
      </c>
      <c r="D401" s="48" t="s">
        <v>861</v>
      </c>
      <c r="E401" s="50" t="s">
        <v>2867</v>
      </c>
      <c r="G401" s="76" t="s">
        <v>2868</v>
      </c>
      <c r="H401" s="50">
        <v>4953</v>
      </c>
      <c r="I401" s="49" t="s">
        <v>2</v>
      </c>
      <c r="J401" s="50" t="s">
        <v>700</v>
      </c>
      <c r="K401" s="51">
        <v>41539</v>
      </c>
      <c r="L401" s="115"/>
      <c r="N401" s="50" t="s">
        <v>2</v>
      </c>
      <c r="O401" s="74">
        <f>2.5/2</f>
        <v>1.25</v>
      </c>
      <c r="P401" s="117"/>
      <c r="Q401" s="131">
        <v>6.6</v>
      </c>
      <c r="R401" s="50">
        <v>30</v>
      </c>
      <c r="S401" s="74">
        <v>20.399999999999999</v>
      </c>
      <c r="T401" s="50">
        <v>0.14000000000000001</v>
      </c>
      <c r="U401" s="74">
        <v>1.6</v>
      </c>
      <c r="V401" s="50">
        <f>0.46/2</f>
        <v>0.23</v>
      </c>
      <c r="W401" s="74">
        <v>8.0000000000000002E-3</v>
      </c>
      <c r="X401" s="50">
        <v>5.3999999999999999E-2</v>
      </c>
      <c r="Y401" s="74">
        <v>1.95E-2</v>
      </c>
      <c r="Z401" s="164">
        <v>1</v>
      </c>
      <c r="AA401" s="165">
        <v>1</v>
      </c>
      <c r="AB401" s="50">
        <v>4</v>
      </c>
      <c r="AC401" s="74">
        <v>19</v>
      </c>
      <c r="AD401" s="164">
        <v>0.7</v>
      </c>
      <c r="AG401" s="74"/>
      <c r="AH401" s="74"/>
      <c r="AI401" s="113"/>
      <c r="AJ401" s="50"/>
      <c r="AK401" s="74"/>
      <c r="AL401" s="74"/>
      <c r="AM401" s="74"/>
      <c r="AN401" s="74"/>
      <c r="AO401" s="74"/>
      <c r="AP401" s="74"/>
      <c r="AQ401" s="74"/>
      <c r="AR401" s="74"/>
      <c r="AS401" s="74"/>
      <c r="AT401" s="74"/>
    </row>
    <row r="402" spans="1:49" ht="15" customHeight="1">
      <c r="A402" s="53" t="s">
        <v>36</v>
      </c>
      <c r="B402" s="50" t="s">
        <v>5046</v>
      </c>
      <c r="C402" s="74" t="s">
        <v>2821</v>
      </c>
      <c r="D402" s="48" t="s">
        <v>516</v>
      </c>
      <c r="E402" s="74"/>
      <c r="F402" s="50" t="s">
        <v>4529</v>
      </c>
      <c r="G402" s="48" t="s">
        <v>4530</v>
      </c>
      <c r="H402" s="74">
        <v>9199</v>
      </c>
      <c r="I402" s="50" t="s">
        <v>2</v>
      </c>
      <c r="J402" s="74" t="s">
        <v>510</v>
      </c>
      <c r="K402" s="51">
        <v>41037</v>
      </c>
      <c r="L402" s="173">
        <v>41032</v>
      </c>
      <c r="M402" s="402">
        <f>K402-L402</f>
        <v>5</v>
      </c>
      <c r="N402" s="50" t="s">
        <v>2</v>
      </c>
      <c r="O402" s="74">
        <f>1.4/2</f>
        <v>0.7</v>
      </c>
      <c r="P402" s="50">
        <v>6.5</v>
      </c>
      <c r="Q402" s="74">
        <v>7.11</v>
      </c>
      <c r="R402" s="50">
        <v>43</v>
      </c>
      <c r="S402" s="74">
        <v>57</v>
      </c>
      <c r="T402" s="50">
        <v>0.32</v>
      </c>
      <c r="U402" s="74">
        <v>1.1200000000000001</v>
      </c>
      <c r="V402" s="50">
        <v>0.23</v>
      </c>
      <c r="W402" s="74">
        <v>1.4E-2</v>
      </c>
      <c r="X402" s="50">
        <v>0.03</v>
      </c>
      <c r="Y402" s="74">
        <v>7.0000000000000001E-3</v>
      </c>
      <c r="Z402" s="164">
        <v>1</v>
      </c>
      <c r="AA402" s="165">
        <v>1</v>
      </c>
      <c r="AB402" s="50">
        <v>8</v>
      </c>
      <c r="AC402" s="74">
        <v>129</v>
      </c>
      <c r="AD402" s="164">
        <v>1</v>
      </c>
      <c r="AF402" s="114"/>
      <c r="AG402" s="114"/>
      <c r="AH402" s="114"/>
      <c r="AI402" s="114"/>
      <c r="AJ402" s="114"/>
      <c r="AK402" s="114"/>
      <c r="AL402" s="114"/>
      <c r="AM402" s="114"/>
      <c r="AN402" s="114"/>
      <c r="AO402" s="114"/>
      <c r="AP402" s="114"/>
      <c r="AQ402" s="114"/>
      <c r="AR402" s="114"/>
      <c r="AS402" s="50"/>
      <c r="AT402" s="74"/>
      <c r="AU402" s="114"/>
      <c r="AV402" s="114"/>
      <c r="AW402" s="50"/>
    </row>
    <row r="403" spans="1:49" ht="15" customHeight="1">
      <c r="A403" s="53" t="s">
        <v>36</v>
      </c>
      <c r="B403" s="50" t="s">
        <v>5046</v>
      </c>
      <c r="C403" s="74" t="s">
        <v>2821</v>
      </c>
      <c r="D403" s="48" t="s">
        <v>516</v>
      </c>
      <c r="E403" s="74"/>
      <c r="F403" s="50" t="s">
        <v>4529</v>
      </c>
      <c r="G403" s="48" t="s">
        <v>4530</v>
      </c>
      <c r="H403" s="74">
        <v>9199</v>
      </c>
      <c r="I403" s="50" t="s">
        <v>2</v>
      </c>
      <c r="J403" s="74" t="s">
        <v>510</v>
      </c>
      <c r="K403" s="51">
        <v>41201</v>
      </c>
      <c r="L403" s="173">
        <v>41197</v>
      </c>
      <c r="M403" s="402">
        <f>K403-L403</f>
        <v>4</v>
      </c>
      <c r="N403" s="50" t="s">
        <v>2</v>
      </c>
      <c r="O403" s="74">
        <f>1.4/2</f>
        <v>0.7</v>
      </c>
      <c r="P403" s="50">
        <v>6.5</v>
      </c>
      <c r="Q403" s="74">
        <v>7.2</v>
      </c>
      <c r="R403" s="50">
        <v>75</v>
      </c>
      <c r="S403" s="74">
        <v>64</v>
      </c>
      <c r="T403" s="50">
        <v>0.08</v>
      </c>
      <c r="U403" s="74">
        <v>11.6</v>
      </c>
      <c r="V403" s="50">
        <v>0.01</v>
      </c>
      <c r="W403" s="74">
        <f>0.005/2</f>
        <v>2.5000000000000001E-3</v>
      </c>
      <c r="X403" s="50">
        <f>0.002/2</f>
        <v>1E-3</v>
      </c>
      <c r="Y403" s="74">
        <f>0.002/2</f>
        <v>1E-3</v>
      </c>
      <c r="AF403" s="114"/>
      <c r="AG403" s="114"/>
      <c r="AH403" s="114"/>
      <c r="AI403" s="114"/>
      <c r="AJ403" s="114"/>
      <c r="AK403" s="114"/>
      <c r="AL403" s="114"/>
      <c r="AM403" s="114"/>
      <c r="AN403" s="114"/>
      <c r="AO403" s="114"/>
      <c r="AP403" s="114"/>
      <c r="AQ403" s="114"/>
      <c r="AR403" s="114"/>
      <c r="AS403" s="50"/>
      <c r="AT403" s="74"/>
      <c r="AU403" s="114"/>
      <c r="AV403" s="114"/>
      <c r="AW403" s="50"/>
    </row>
    <row r="404" spans="1:49" ht="14">
      <c r="A404" s="53" t="s">
        <v>36</v>
      </c>
      <c r="B404" s="50" t="s">
        <v>131</v>
      </c>
      <c r="C404" s="50" t="s">
        <v>4066</v>
      </c>
      <c r="D404" s="48" t="s">
        <v>133</v>
      </c>
      <c r="E404" s="50" t="s">
        <v>1546</v>
      </c>
      <c r="G404" s="76" t="s">
        <v>134</v>
      </c>
      <c r="H404" s="50">
        <v>7699</v>
      </c>
      <c r="I404" s="49" t="s">
        <v>1</v>
      </c>
      <c r="J404" s="50" t="s">
        <v>74</v>
      </c>
      <c r="K404" s="51">
        <v>41533</v>
      </c>
      <c r="L404" s="115">
        <v>41529</v>
      </c>
      <c r="M404" s="402">
        <f>K404-L404</f>
        <v>4</v>
      </c>
      <c r="N404" s="50" t="s">
        <v>2</v>
      </c>
      <c r="O404" s="74">
        <v>1.4</v>
      </c>
      <c r="P404" s="117">
        <v>6.71</v>
      </c>
      <c r="Q404" s="131">
        <v>7.31</v>
      </c>
      <c r="R404" s="50">
        <v>34</v>
      </c>
      <c r="S404" s="74">
        <v>300</v>
      </c>
      <c r="T404" s="50">
        <v>0.3</v>
      </c>
      <c r="U404" s="74">
        <v>1.79</v>
      </c>
      <c r="V404" s="50">
        <v>0.96</v>
      </c>
      <c r="W404" s="74">
        <v>3.1E-2</v>
      </c>
      <c r="X404" s="50">
        <v>0.13400000000000001</v>
      </c>
      <c r="Y404" s="74">
        <v>3.7999999999999999E-2</v>
      </c>
      <c r="AG404" s="74"/>
      <c r="AH404" s="74"/>
      <c r="AI404" s="113"/>
      <c r="AJ404" s="50"/>
      <c r="AK404" s="74"/>
      <c r="AL404" s="74"/>
      <c r="AM404" s="74"/>
      <c r="AN404" s="74"/>
      <c r="AO404" s="74"/>
      <c r="AP404" s="74"/>
      <c r="AQ404" s="74"/>
      <c r="AR404" s="74"/>
      <c r="AS404" s="74"/>
      <c r="AT404" s="74"/>
    </row>
    <row r="405" spans="1:49" ht="14">
      <c r="A405" s="53" t="s">
        <v>36</v>
      </c>
      <c r="B405" s="50" t="s">
        <v>131</v>
      </c>
      <c r="C405" s="50" t="s">
        <v>4066</v>
      </c>
      <c r="D405" s="48" t="s">
        <v>133</v>
      </c>
      <c r="E405" s="50" t="s">
        <v>1546</v>
      </c>
      <c r="G405" s="76" t="s">
        <v>134</v>
      </c>
      <c r="H405" s="50">
        <v>7699</v>
      </c>
      <c r="I405" s="49" t="s">
        <v>1</v>
      </c>
      <c r="J405" s="50" t="s">
        <v>135</v>
      </c>
      <c r="K405" s="51">
        <v>41533</v>
      </c>
      <c r="L405" s="115">
        <v>41529</v>
      </c>
      <c r="M405" s="402">
        <f>K405-L405</f>
        <v>4</v>
      </c>
      <c r="N405" s="50" t="s">
        <v>2</v>
      </c>
      <c r="O405" s="74">
        <v>40</v>
      </c>
      <c r="P405" s="117">
        <v>6.71</v>
      </c>
      <c r="Q405" s="131">
        <v>7.04</v>
      </c>
      <c r="R405" s="50">
        <v>108</v>
      </c>
      <c r="S405" s="74">
        <v>100</v>
      </c>
      <c r="T405" s="50">
        <v>0.28999999999999998</v>
      </c>
      <c r="U405" s="74">
        <v>2.72</v>
      </c>
      <c r="V405" s="50">
        <v>0.52</v>
      </c>
      <c r="W405" s="74">
        <v>2.8000000000000001E-2</v>
      </c>
      <c r="X405" s="50">
        <v>0.17399999999999999</v>
      </c>
      <c r="Y405" s="74">
        <v>2.3E-2</v>
      </c>
      <c r="AG405" s="74"/>
      <c r="AH405" s="74"/>
      <c r="AI405" s="113"/>
      <c r="AJ405" s="50"/>
      <c r="AK405" s="74"/>
      <c r="AL405" s="74"/>
      <c r="AM405" s="74"/>
      <c r="AN405" s="74"/>
      <c r="AO405" s="74"/>
      <c r="AP405" s="74"/>
      <c r="AQ405" s="74"/>
      <c r="AR405" s="74"/>
      <c r="AS405" s="74"/>
      <c r="AT405" s="74"/>
    </row>
    <row r="406" spans="1:49" ht="14">
      <c r="A406" s="53" t="s">
        <v>36</v>
      </c>
      <c r="B406" s="54" t="s">
        <v>184</v>
      </c>
      <c r="C406" s="55" t="s">
        <v>185</v>
      </c>
      <c r="D406" s="56" t="s">
        <v>186</v>
      </c>
      <c r="E406" s="55"/>
      <c r="F406" s="54"/>
      <c r="G406" s="56" t="s">
        <v>992</v>
      </c>
      <c r="H406" s="55">
        <v>9199</v>
      </c>
      <c r="I406" s="54"/>
      <c r="J406" s="61" t="s">
        <v>979</v>
      </c>
      <c r="K406" s="57">
        <v>40883</v>
      </c>
      <c r="L406" s="132">
        <v>40876</v>
      </c>
      <c r="M406" s="54">
        <v>7</v>
      </c>
      <c r="N406" s="54" t="s">
        <v>2</v>
      </c>
      <c r="O406" s="135">
        <v>1</v>
      </c>
      <c r="P406" s="134">
        <v>5.2</v>
      </c>
      <c r="Q406" s="135">
        <v>6.4</v>
      </c>
      <c r="R406" s="136">
        <v>12</v>
      </c>
      <c r="S406" s="137">
        <v>12</v>
      </c>
      <c r="T406" s="138">
        <v>2.1999999999999999E-2</v>
      </c>
      <c r="U406" s="139">
        <v>0.1</v>
      </c>
      <c r="V406" s="142">
        <v>0.9</v>
      </c>
      <c r="W406" s="143">
        <v>6.1999999999999998E-3</v>
      </c>
      <c r="X406" s="142">
        <v>4.2999999999999997E-2</v>
      </c>
      <c r="Y406" s="143">
        <v>1E-3</v>
      </c>
      <c r="Z406" s="144"/>
      <c r="AA406" s="144"/>
      <c r="AB406" s="142"/>
      <c r="AC406" s="142"/>
      <c r="AD406" s="144"/>
      <c r="AG406" s="74"/>
      <c r="AH406" s="74"/>
      <c r="AI406" s="113"/>
      <c r="AJ406" s="50"/>
      <c r="AK406" s="74"/>
      <c r="AL406" s="74"/>
      <c r="AM406" s="74"/>
      <c r="AN406" s="74"/>
      <c r="AO406" s="74"/>
      <c r="AP406" s="74"/>
      <c r="AQ406" s="74"/>
      <c r="AR406" s="74"/>
      <c r="AS406" s="74"/>
      <c r="AT406" s="74"/>
    </row>
    <row r="407" spans="1:49" ht="14">
      <c r="A407" s="53" t="s">
        <v>36</v>
      </c>
      <c r="B407" s="50" t="s">
        <v>2966</v>
      </c>
      <c r="C407" s="74" t="s">
        <v>2966</v>
      </c>
      <c r="D407" s="48" t="s">
        <v>186</v>
      </c>
      <c r="E407" s="74" t="s">
        <v>2967</v>
      </c>
      <c r="F407" s="50" t="s">
        <v>2667</v>
      </c>
      <c r="G407" s="48" t="s">
        <v>992</v>
      </c>
      <c r="H407" s="74">
        <v>9199</v>
      </c>
      <c r="I407" s="50" t="s">
        <v>1</v>
      </c>
      <c r="J407" s="48" t="s">
        <v>2968</v>
      </c>
      <c r="K407" s="51">
        <v>41156</v>
      </c>
      <c r="L407" s="115">
        <v>41139</v>
      </c>
      <c r="M407" s="50">
        <v>17</v>
      </c>
      <c r="N407" s="50" t="s">
        <v>2</v>
      </c>
      <c r="O407" s="131">
        <v>0.5</v>
      </c>
      <c r="P407" s="50">
        <v>5</v>
      </c>
      <c r="Q407" s="74">
        <v>5.5</v>
      </c>
      <c r="R407" s="50">
        <v>36</v>
      </c>
      <c r="S407" s="74">
        <v>15</v>
      </c>
      <c r="T407" s="50">
        <v>0.2</v>
      </c>
      <c r="U407" s="131">
        <v>0.9</v>
      </c>
      <c r="V407" s="50">
        <v>0.7</v>
      </c>
      <c r="W407" s="74">
        <v>7.3000000000000001E-3</v>
      </c>
      <c r="X407" s="50">
        <v>3.9E-2</v>
      </c>
      <c r="Y407" s="74">
        <v>1E-3</v>
      </c>
      <c r="Z407" s="164">
        <v>1</v>
      </c>
      <c r="AA407" s="165">
        <v>1</v>
      </c>
      <c r="AB407" s="50">
        <v>9</v>
      </c>
      <c r="AC407" s="74">
        <v>44</v>
      </c>
      <c r="AD407" s="164">
        <v>1</v>
      </c>
      <c r="AG407" s="74"/>
      <c r="AH407" s="74"/>
      <c r="AI407" s="113"/>
      <c r="AJ407" s="50"/>
      <c r="AK407" s="74"/>
      <c r="AL407" s="74"/>
      <c r="AM407" s="74"/>
      <c r="AN407" s="74"/>
      <c r="AO407" s="74"/>
      <c r="AP407" s="74"/>
      <c r="AQ407" s="74"/>
      <c r="AR407" s="74"/>
      <c r="AS407" s="74"/>
      <c r="AT407" s="74"/>
    </row>
    <row r="408" spans="1:49" ht="14">
      <c r="A408" s="53" t="s">
        <v>36</v>
      </c>
      <c r="B408" s="50" t="s">
        <v>2966</v>
      </c>
      <c r="C408" s="74" t="s">
        <v>2966</v>
      </c>
      <c r="D408" s="48" t="s">
        <v>186</v>
      </c>
      <c r="E408" s="74" t="s">
        <v>2967</v>
      </c>
      <c r="F408" s="50" t="s">
        <v>2667</v>
      </c>
      <c r="G408" s="48" t="s">
        <v>992</v>
      </c>
      <c r="H408" s="74">
        <v>9199</v>
      </c>
      <c r="I408" s="50" t="s">
        <v>2</v>
      </c>
      <c r="J408" s="48" t="s">
        <v>2968</v>
      </c>
      <c r="K408" s="51">
        <v>41533</v>
      </c>
      <c r="L408" s="173">
        <v>41529</v>
      </c>
      <c r="M408" s="402">
        <f>K408-L408</f>
        <v>4</v>
      </c>
      <c r="N408" s="50" t="s">
        <v>2</v>
      </c>
      <c r="O408" s="74">
        <v>0.7</v>
      </c>
      <c r="P408" s="50">
        <v>5.0999999999999996</v>
      </c>
      <c r="Q408" s="74">
        <v>5.7</v>
      </c>
      <c r="R408" s="50">
        <v>5</v>
      </c>
      <c r="S408" s="74">
        <v>2.5</v>
      </c>
      <c r="T408" s="50">
        <v>0.05</v>
      </c>
      <c r="U408" s="131">
        <v>0.98</v>
      </c>
      <c r="V408" s="50">
        <v>5.2</v>
      </c>
      <c r="W408" s="74">
        <v>2.5000000000000001E-3</v>
      </c>
      <c r="X408" s="50">
        <v>1.4E-2</v>
      </c>
      <c r="Y408" s="74">
        <v>3.0000000000000001E-3</v>
      </c>
      <c r="Z408" s="164">
        <v>1</v>
      </c>
      <c r="AA408" s="165">
        <v>1</v>
      </c>
      <c r="AB408" s="50">
        <v>24</v>
      </c>
      <c r="AC408" s="74">
        <v>176</v>
      </c>
      <c r="AD408" s="164">
        <v>0.9</v>
      </c>
      <c r="AG408" s="74"/>
      <c r="AH408" s="74"/>
      <c r="AI408" s="113"/>
      <c r="AJ408" s="50"/>
      <c r="AK408" s="74"/>
      <c r="AL408" s="74"/>
      <c r="AM408" s="74"/>
      <c r="AN408" s="74"/>
      <c r="AO408" s="74"/>
      <c r="AP408" s="74"/>
      <c r="AQ408" s="74"/>
      <c r="AR408" s="74"/>
      <c r="AS408" s="74"/>
      <c r="AT408" s="74"/>
    </row>
    <row r="409" spans="1:49" ht="14">
      <c r="A409" s="74" t="s">
        <v>36</v>
      </c>
      <c r="B409" s="50" t="s">
        <v>4155</v>
      </c>
      <c r="C409" s="50" t="s">
        <v>4156</v>
      </c>
      <c r="D409" s="48" t="s">
        <v>4157</v>
      </c>
      <c r="G409" s="76" t="s">
        <v>4158</v>
      </c>
      <c r="H409" s="50">
        <v>9199</v>
      </c>
      <c r="I409" s="49" t="s">
        <v>2</v>
      </c>
      <c r="J409" s="50" t="s">
        <v>4160</v>
      </c>
      <c r="K409" s="51">
        <v>41579</v>
      </c>
      <c r="L409" s="115">
        <v>41574</v>
      </c>
      <c r="M409" s="402">
        <f>K409-L409</f>
        <v>5</v>
      </c>
      <c r="N409" s="50" t="s">
        <v>1</v>
      </c>
      <c r="O409" s="74">
        <f>1/2</f>
        <v>0.5</v>
      </c>
      <c r="P409" s="117">
        <v>7</v>
      </c>
      <c r="Q409" s="131">
        <v>8</v>
      </c>
      <c r="R409" s="50">
        <v>55</v>
      </c>
      <c r="S409" s="74">
        <v>4.5999999999999996</v>
      </c>
      <c r="T409" s="50">
        <v>0.04</v>
      </c>
      <c r="U409" s="74">
        <v>0.78</v>
      </c>
      <c r="V409" s="50">
        <v>1.44</v>
      </c>
      <c r="W409" s="74">
        <v>0.02</v>
      </c>
      <c r="X409" s="50">
        <f>0.005/2</f>
        <v>2.5000000000000001E-3</v>
      </c>
      <c r="Y409" s="74">
        <v>7.0000000000000001E-3</v>
      </c>
      <c r="Z409" s="164">
        <v>1</v>
      </c>
      <c r="AA409" s="165">
        <v>1</v>
      </c>
      <c r="AB409" s="50">
        <v>162</v>
      </c>
      <c r="AC409" s="74">
        <v>957</v>
      </c>
      <c r="AD409" s="164">
        <v>1</v>
      </c>
      <c r="AE409" s="50">
        <v>196.9</v>
      </c>
      <c r="AF409" s="50">
        <f>0.2/2</f>
        <v>0.1</v>
      </c>
      <c r="AG409" s="74"/>
      <c r="AH409" s="74"/>
      <c r="AI409" s="113"/>
      <c r="AJ409" s="50"/>
      <c r="AK409" s="74"/>
      <c r="AL409" s="74"/>
      <c r="AM409" s="74"/>
      <c r="AN409" s="74"/>
      <c r="AO409" s="74"/>
      <c r="AP409" s="74"/>
      <c r="AQ409" s="74"/>
      <c r="AR409" s="74"/>
      <c r="AS409" s="74"/>
      <c r="AT409" s="74"/>
    </row>
    <row r="410" spans="1:49" ht="14">
      <c r="A410" s="74" t="s">
        <v>36</v>
      </c>
      <c r="B410" s="50" t="s">
        <v>4155</v>
      </c>
      <c r="C410" s="50" t="s">
        <v>4156</v>
      </c>
      <c r="D410" s="48" t="s">
        <v>4157</v>
      </c>
      <c r="G410" s="76" t="s">
        <v>4158</v>
      </c>
      <c r="H410" s="50">
        <v>9199</v>
      </c>
      <c r="I410" s="49" t="s">
        <v>2</v>
      </c>
      <c r="J410" s="50" t="s">
        <v>4159</v>
      </c>
      <c r="K410" s="51">
        <v>41579</v>
      </c>
      <c r="L410" s="115">
        <v>41574</v>
      </c>
      <c r="M410" s="402">
        <f>K410-L410</f>
        <v>5</v>
      </c>
      <c r="N410" s="50" t="s">
        <v>1</v>
      </c>
      <c r="O410" s="74">
        <v>1.1000000000000001</v>
      </c>
      <c r="P410" s="117">
        <v>6.8</v>
      </c>
      <c r="Q410" s="131">
        <v>7.8</v>
      </c>
      <c r="R410" s="50">
        <v>152</v>
      </c>
      <c r="S410" s="74">
        <v>298</v>
      </c>
      <c r="T410" s="50">
        <v>0.11</v>
      </c>
      <c r="U410" s="74">
        <v>1.82</v>
      </c>
      <c r="V410" s="50">
        <v>5.0999999999999996</v>
      </c>
      <c r="W410" s="74">
        <v>0.03</v>
      </c>
      <c r="X410" s="50">
        <v>6.0000000000000001E-3</v>
      </c>
      <c r="Y410" s="74">
        <v>8.0000000000000002E-3</v>
      </c>
      <c r="Z410" s="164">
        <v>0.70699999999999996</v>
      </c>
      <c r="AA410" s="165">
        <v>0.55500000000000005</v>
      </c>
      <c r="AB410" s="50">
        <v>804</v>
      </c>
      <c r="AC410" s="74">
        <v>13190</v>
      </c>
      <c r="AD410" s="164">
        <v>0</v>
      </c>
      <c r="AE410" s="50">
        <v>405.8</v>
      </c>
      <c r="AF410" s="50">
        <f>0.2/2</f>
        <v>0.1</v>
      </c>
      <c r="AG410" s="74"/>
      <c r="AH410" s="74"/>
      <c r="AI410" s="113"/>
      <c r="AJ410" s="50"/>
      <c r="AK410" s="74"/>
      <c r="AL410" s="74"/>
      <c r="AM410" s="74"/>
      <c r="AN410" s="74"/>
      <c r="AO410" s="74"/>
      <c r="AP410" s="74"/>
      <c r="AQ410" s="74"/>
      <c r="AR410" s="74"/>
      <c r="AS410" s="74"/>
      <c r="AT410" s="74"/>
    </row>
    <row r="411" spans="1:49" ht="14">
      <c r="A411" s="74" t="s">
        <v>36</v>
      </c>
      <c r="B411" s="50" t="s">
        <v>1381</v>
      </c>
      <c r="C411" s="7" t="s">
        <v>3154</v>
      </c>
      <c r="D411" s="48" t="s">
        <v>200</v>
      </c>
      <c r="E411" s="50" t="s">
        <v>214</v>
      </c>
      <c r="G411" s="76" t="s">
        <v>1480</v>
      </c>
      <c r="H411" s="50">
        <v>4953</v>
      </c>
      <c r="I411" s="49" t="s">
        <v>1</v>
      </c>
      <c r="J411" s="50" t="s">
        <v>1481</v>
      </c>
      <c r="K411" s="51">
        <v>41170</v>
      </c>
      <c r="L411" s="115">
        <v>41161</v>
      </c>
      <c r="M411" s="50">
        <v>9</v>
      </c>
      <c r="N411" s="50" t="s">
        <v>2</v>
      </c>
      <c r="O411" s="74">
        <v>1.4</v>
      </c>
      <c r="P411" s="50">
        <v>5.03</v>
      </c>
      <c r="Q411" s="74">
        <v>7.09</v>
      </c>
      <c r="R411" s="50">
        <v>110</v>
      </c>
      <c r="S411" s="74">
        <v>28</v>
      </c>
      <c r="T411" s="50">
        <v>0.33</v>
      </c>
      <c r="U411" s="74">
        <v>2.68</v>
      </c>
      <c r="V411" s="50">
        <v>0.81</v>
      </c>
      <c r="W411" s="74">
        <v>1.4E-2</v>
      </c>
      <c r="X411" s="50">
        <v>8.1000000000000003E-2</v>
      </c>
      <c r="Y411" s="74">
        <v>6.0000000000000001E-3</v>
      </c>
      <c r="AG411" s="74"/>
      <c r="AH411" s="74"/>
      <c r="AI411" s="113"/>
      <c r="AJ411" s="50"/>
      <c r="AK411" s="50">
        <v>1.23</v>
      </c>
      <c r="AL411" s="50"/>
      <c r="AM411" s="50"/>
      <c r="AN411" s="50"/>
      <c r="AO411" s="50"/>
      <c r="AP411" s="50"/>
      <c r="AQ411" s="50"/>
      <c r="AR411" s="50"/>
      <c r="AS411" s="74"/>
      <c r="AT411" s="74"/>
    </row>
    <row r="412" spans="1:49" ht="14">
      <c r="A412" s="74" t="s">
        <v>36</v>
      </c>
      <c r="B412" s="50" t="s">
        <v>1381</v>
      </c>
      <c r="C412" s="7" t="s">
        <v>3154</v>
      </c>
      <c r="D412" s="48" t="s">
        <v>200</v>
      </c>
      <c r="E412" s="50" t="s">
        <v>214</v>
      </c>
      <c r="G412" s="76" t="s">
        <v>1480</v>
      </c>
      <c r="H412" s="50">
        <v>4953</v>
      </c>
      <c r="I412" s="49" t="s">
        <v>1</v>
      </c>
      <c r="J412" s="50" t="s">
        <v>1483</v>
      </c>
      <c r="K412" s="51">
        <v>41170</v>
      </c>
      <c r="L412" s="115">
        <v>41161</v>
      </c>
      <c r="M412" s="50">
        <v>9</v>
      </c>
      <c r="N412" s="50" t="s">
        <v>2</v>
      </c>
      <c r="O412" s="74">
        <v>3.1</v>
      </c>
      <c r="P412" s="50">
        <v>5.03</v>
      </c>
      <c r="Q412" s="74">
        <v>6.11</v>
      </c>
      <c r="R412" s="50">
        <v>150</v>
      </c>
      <c r="S412" s="74">
        <v>65</v>
      </c>
      <c r="T412" s="50">
        <v>1.45</v>
      </c>
      <c r="U412" s="74">
        <v>2.68</v>
      </c>
      <c r="V412" s="50">
        <v>1.24</v>
      </c>
      <c r="W412" s="74">
        <v>2.5000000000000001E-2</v>
      </c>
      <c r="X412" s="50">
        <v>0.111</v>
      </c>
      <c r="Y412" s="74">
        <v>0.01</v>
      </c>
      <c r="AG412" s="74"/>
      <c r="AH412" s="74"/>
      <c r="AI412" s="113"/>
      <c r="AJ412" s="50"/>
      <c r="AK412" s="50">
        <v>2.36</v>
      </c>
      <c r="AL412" s="50"/>
      <c r="AM412" s="50"/>
      <c r="AN412" s="50"/>
      <c r="AO412" s="50"/>
      <c r="AP412" s="50"/>
      <c r="AQ412" s="50"/>
      <c r="AR412" s="50"/>
      <c r="AS412" s="74"/>
      <c r="AT412" s="74"/>
    </row>
    <row r="413" spans="1:49" ht="14">
      <c r="A413" s="74" t="s">
        <v>36</v>
      </c>
      <c r="B413" s="50" t="s">
        <v>1381</v>
      </c>
      <c r="C413" s="7" t="s">
        <v>3154</v>
      </c>
      <c r="D413" s="48" t="s">
        <v>200</v>
      </c>
      <c r="E413" s="50" t="s">
        <v>214</v>
      </c>
      <c r="G413" s="76" t="s">
        <v>1480</v>
      </c>
      <c r="H413" s="50">
        <v>4953</v>
      </c>
      <c r="I413" s="49" t="s">
        <v>1</v>
      </c>
      <c r="J413" s="50" t="s">
        <v>2365</v>
      </c>
      <c r="K413" s="51">
        <v>40984</v>
      </c>
      <c r="L413" s="115">
        <v>40981</v>
      </c>
      <c r="M413" s="50">
        <v>3</v>
      </c>
      <c r="N413" s="50" t="s">
        <v>2</v>
      </c>
      <c r="O413" s="74">
        <v>2.5</v>
      </c>
      <c r="P413" s="50">
        <v>7.61</v>
      </c>
      <c r="Q413" s="74">
        <v>7.23</v>
      </c>
      <c r="R413" s="50">
        <v>150</v>
      </c>
      <c r="S413" s="74">
        <v>120</v>
      </c>
      <c r="T413" s="50">
        <v>0.42</v>
      </c>
      <c r="U413" s="74">
        <v>4.08</v>
      </c>
      <c r="V413" s="50">
        <v>1.4</v>
      </c>
      <c r="W413" s="74">
        <v>0.04</v>
      </c>
      <c r="X413" s="50">
        <v>0.13100000000000001</v>
      </c>
      <c r="Y413" s="74">
        <v>1.6E-2</v>
      </c>
      <c r="Z413" s="164">
        <v>1</v>
      </c>
      <c r="AA413" s="165">
        <v>1</v>
      </c>
      <c r="AB413" s="50">
        <v>80</v>
      </c>
      <c r="AC413" s="74">
        <v>1830</v>
      </c>
      <c r="AD413" s="164">
        <v>1</v>
      </c>
      <c r="AG413" s="74"/>
      <c r="AH413" s="74"/>
      <c r="AI413" s="113"/>
      <c r="AJ413" s="50"/>
      <c r="AK413" s="50">
        <v>7.47</v>
      </c>
      <c r="AL413" s="50">
        <v>17</v>
      </c>
      <c r="AM413" s="50">
        <v>120</v>
      </c>
      <c r="AN413" s="50">
        <v>2.06</v>
      </c>
      <c r="AO413" s="50">
        <v>5.0000000000000001E-3</v>
      </c>
      <c r="AP413" s="50">
        <v>3.1E-2</v>
      </c>
      <c r="AQ413" s="50">
        <v>6.7000000000000002E-3</v>
      </c>
      <c r="AR413" s="50">
        <v>5.0000000000000001E-3</v>
      </c>
      <c r="AS413" s="74"/>
      <c r="AT413" s="74"/>
    </row>
    <row r="414" spans="1:49" ht="14">
      <c r="A414" s="74" t="s">
        <v>36</v>
      </c>
      <c r="B414" s="50" t="s">
        <v>1381</v>
      </c>
      <c r="C414" s="7" t="s">
        <v>3154</v>
      </c>
      <c r="D414" s="48" t="s">
        <v>200</v>
      </c>
      <c r="E414" s="50" t="s">
        <v>214</v>
      </c>
      <c r="G414" s="76" t="s">
        <v>1480</v>
      </c>
      <c r="H414" s="50">
        <v>4953</v>
      </c>
      <c r="I414" s="49" t="s">
        <v>1</v>
      </c>
      <c r="J414" s="50" t="s">
        <v>2366</v>
      </c>
      <c r="K414" s="51">
        <v>40984</v>
      </c>
      <c r="L414" s="115">
        <v>40981</v>
      </c>
      <c r="M414" s="50">
        <v>3</v>
      </c>
      <c r="N414" s="50" t="s">
        <v>2</v>
      </c>
      <c r="O414" s="74">
        <v>6.3</v>
      </c>
      <c r="P414" s="50">
        <v>7.61</v>
      </c>
      <c r="Q414" s="74">
        <v>6.74</v>
      </c>
      <c r="R414" s="50">
        <v>170</v>
      </c>
      <c r="S414" s="74">
        <v>400</v>
      </c>
      <c r="T414" s="50">
        <v>0.96</v>
      </c>
      <c r="U414" s="74">
        <v>14.4</v>
      </c>
      <c r="V414" s="50">
        <v>1.65</v>
      </c>
      <c r="W414" s="74">
        <v>6.4000000000000001E-2</v>
      </c>
      <c r="X414" s="50">
        <v>0.17899999999999999</v>
      </c>
      <c r="Y414" s="74">
        <v>2.5000000000000001E-2</v>
      </c>
      <c r="Z414" s="164">
        <v>1</v>
      </c>
      <c r="AA414" s="165">
        <v>1</v>
      </c>
      <c r="AB414" s="50">
        <v>20</v>
      </c>
      <c r="AC414" s="74">
        <v>1219</v>
      </c>
      <c r="AD414" s="164">
        <v>1</v>
      </c>
      <c r="AG414" s="74"/>
      <c r="AH414" s="74"/>
      <c r="AI414" s="113"/>
      <c r="AJ414" s="50"/>
      <c r="AK414" s="50">
        <v>8.4</v>
      </c>
      <c r="AL414" s="50">
        <v>30</v>
      </c>
      <c r="AM414" s="50">
        <v>400</v>
      </c>
      <c r="AN414" s="50">
        <v>1.73</v>
      </c>
      <c r="AO414" s="50">
        <v>5.0000000000000001E-3</v>
      </c>
      <c r="AP414" s="50">
        <v>6.5000000000000002E-2</v>
      </c>
      <c r="AQ414" s="50">
        <v>5.0000000000000001E-3</v>
      </c>
      <c r="AR414" s="50">
        <v>5.0000000000000001E-3</v>
      </c>
      <c r="AS414" s="74"/>
      <c r="AT414" s="74"/>
    </row>
    <row r="415" spans="1:49" ht="14">
      <c r="A415" s="74" t="s">
        <v>36</v>
      </c>
      <c r="B415" s="50" t="s">
        <v>2622</v>
      </c>
      <c r="C415" s="50" t="s">
        <v>2682</v>
      </c>
      <c r="D415" s="48" t="s">
        <v>209</v>
      </c>
      <c r="E415" s="50" t="s">
        <v>2875</v>
      </c>
      <c r="G415" s="76" t="s">
        <v>2658</v>
      </c>
      <c r="H415" s="50">
        <v>9199</v>
      </c>
      <c r="J415" s="50" t="s">
        <v>2659</v>
      </c>
      <c r="K415" s="51">
        <v>41495</v>
      </c>
      <c r="L415" s="115"/>
      <c r="N415" s="50" t="s">
        <v>2</v>
      </c>
      <c r="O415" s="74">
        <v>2.7</v>
      </c>
      <c r="P415" s="117">
        <v>7.57</v>
      </c>
      <c r="Q415" s="131">
        <v>7.77</v>
      </c>
      <c r="R415" s="50">
        <v>21</v>
      </c>
      <c r="S415" s="74">
        <v>130</v>
      </c>
      <c r="T415" s="50">
        <v>0.28999999999999998</v>
      </c>
      <c r="U415" s="74">
        <v>0.88</v>
      </c>
      <c r="V415" s="50">
        <v>0.4</v>
      </c>
      <c r="W415" s="74">
        <v>1.6E-2</v>
      </c>
      <c r="X415" s="50">
        <v>5.8000000000000003E-2</v>
      </c>
      <c r="Y415" s="74">
        <v>0.02</v>
      </c>
      <c r="AG415" s="74"/>
      <c r="AH415" s="74"/>
      <c r="AI415" s="113"/>
      <c r="AJ415" s="50"/>
      <c r="AK415" s="74"/>
      <c r="AL415" s="74"/>
      <c r="AM415" s="74"/>
      <c r="AN415" s="74"/>
      <c r="AO415" s="74"/>
      <c r="AP415" s="74"/>
      <c r="AQ415" s="74"/>
      <c r="AR415" s="74"/>
      <c r="AS415" s="74"/>
      <c r="AT415" s="74"/>
    </row>
    <row r="416" spans="1:49" ht="14">
      <c r="A416" s="74" t="s">
        <v>36</v>
      </c>
      <c r="B416" s="50" t="s">
        <v>2857</v>
      </c>
      <c r="C416" s="50" t="s">
        <v>2858</v>
      </c>
      <c r="D416" s="48" t="s">
        <v>2859</v>
      </c>
      <c r="E416" s="50" t="s">
        <v>2860</v>
      </c>
      <c r="F416" s="50" t="s">
        <v>2667</v>
      </c>
      <c r="G416" s="76" t="s">
        <v>2861</v>
      </c>
      <c r="H416" s="50">
        <v>9199</v>
      </c>
      <c r="I416" s="49" t="s">
        <v>2</v>
      </c>
      <c r="J416" s="50" t="s">
        <v>2862</v>
      </c>
      <c r="K416" s="51">
        <v>41345</v>
      </c>
      <c r="L416" s="115">
        <v>41341</v>
      </c>
      <c r="M416" s="402">
        <f t="shared" ref="M416:M422" si="28">K416-L416</f>
        <v>4</v>
      </c>
      <c r="N416" s="50" t="s">
        <v>2</v>
      </c>
      <c r="O416" s="74">
        <v>3.4</v>
      </c>
      <c r="P416" s="117">
        <v>6.3</v>
      </c>
      <c r="Q416" s="131">
        <v>7.3</v>
      </c>
      <c r="R416" s="50">
        <v>12</v>
      </c>
      <c r="S416" s="74">
        <v>6</v>
      </c>
      <c r="T416" s="50">
        <f>0.01/2</f>
        <v>5.0000000000000001E-3</v>
      </c>
      <c r="U416" s="74">
        <f>0.05/2</f>
        <v>2.5000000000000001E-2</v>
      </c>
      <c r="V416" s="50">
        <v>0.59</v>
      </c>
      <c r="W416" s="74">
        <f>0.005/2</f>
        <v>2.5000000000000001E-3</v>
      </c>
      <c r="X416" s="50">
        <f>0.01/2</f>
        <v>5.0000000000000001E-3</v>
      </c>
      <c r="Y416" s="74">
        <f>0.001/2</f>
        <v>5.0000000000000001E-4</v>
      </c>
      <c r="Z416" s="164">
        <v>1</v>
      </c>
      <c r="AA416" s="165">
        <v>1</v>
      </c>
      <c r="AB416" s="50">
        <v>378</v>
      </c>
      <c r="AC416" s="74">
        <v>820</v>
      </c>
      <c r="AD416" s="164">
        <v>0.65</v>
      </c>
      <c r="AE416" s="50">
        <v>55</v>
      </c>
      <c r="AF416" s="50">
        <f>0.01/2</f>
        <v>5.0000000000000001E-3</v>
      </c>
      <c r="AG416" s="74"/>
      <c r="AH416" s="74"/>
      <c r="AI416" s="113"/>
      <c r="AJ416" s="50"/>
      <c r="AK416" s="74"/>
      <c r="AL416" s="74"/>
      <c r="AM416" s="74"/>
      <c r="AN416" s="74"/>
      <c r="AO416" s="74"/>
      <c r="AP416" s="74"/>
      <c r="AQ416" s="74"/>
      <c r="AR416" s="74"/>
      <c r="AS416" s="74"/>
      <c r="AT416" s="74"/>
    </row>
    <row r="417" spans="1:49" ht="14">
      <c r="A417" s="74" t="s">
        <v>36</v>
      </c>
      <c r="B417" s="50" t="s">
        <v>2857</v>
      </c>
      <c r="C417" s="50" t="s">
        <v>2858</v>
      </c>
      <c r="D417" s="48" t="s">
        <v>2859</v>
      </c>
      <c r="E417" s="50" t="s">
        <v>2860</v>
      </c>
      <c r="F417" s="50" t="s">
        <v>2667</v>
      </c>
      <c r="G417" s="76" t="s">
        <v>2861</v>
      </c>
      <c r="H417" s="50">
        <v>9199</v>
      </c>
      <c r="I417" s="49" t="s">
        <v>2</v>
      </c>
      <c r="J417" s="50" t="s">
        <v>2862</v>
      </c>
      <c r="K417" s="51">
        <v>41579</v>
      </c>
      <c r="L417" s="115">
        <v>41554</v>
      </c>
      <c r="M417" s="402">
        <f t="shared" si="28"/>
        <v>25</v>
      </c>
      <c r="N417" s="50" t="s">
        <v>2</v>
      </c>
      <c r="O417" s="74">
        <f>0.5/2</f>
        <v>0.25</v>
      </c>
      <c r="P417" s="117">
        <v>6.4</v>
      </c>
      <c r="Q417" s="131">
        <v>7.3</v>
      </c>
      <c r="R417" s="50">
        <v>11</v>
      </c>
      <c r="S417" s="74">
        <v>8</v>
      </c>
      <c r="T417" s="50">
        <f>0.01/2</f>
        <v>5.0000000000000001E-3</v>
      </c>
      <c r="U417" s="74">
        <v>0.31</v>
      </c>
      <c r="V417" s="50">
        <f>0.05/2</f>
        <v>2.5000000000000001E-2</v>
      </c>
      <c r="W417" s="74">
        <v>0.02</v>
      </c>
      <c r="X417" s="50">
        <v>0.01</v>
      </c>
      <c r="Y417" s="74">
        <f>0.001/2</f>
        <v>5.0000000000000001E-4</v>
      </c>
      <c r="AE417" s="50">
        <v>12</v>
      </c>
      <c r="AF417" s="50">
        <f>0.01/2</f>
        <v>5.0000000000000001E-3</v>
      </c>
      <c r="AG417" s="74"/>
      <c r="AH417" s="74"/>
      <c r="AI417" s="113"/>
      <c r="AJ417" s="50"/>
      <c r="AK417" s="74"/>
      <c r="AL417" s="74"/>
      <c r="AM417" s="74"/>
      <c r="AN417" s="74"/>
      <c r="AO417" s="74"/>
      <c r="AP417" s="74"/>
      <c r="AQ417" s="74"/>
      <c r="AR417" s="74"/>
      <c r="AS417" s="74"/>
      <c r="AT417" s="74"/>
    </row>
    <row r="418" spans="1:49" ht="14">
      <c r="A418" s="74" t="s">
        <v>5141</v>
      </c>
      <c r="B418" s="50" t="s">
        <v>375</v>
      </c>
      <c r="C418" s="50" t="s">
        <v>4613</v>
      </c>
      <c r="D418" s="48" t="s">
        <v>286</v>
      </c>
      <c r="E418" s="50" t="s">
        <v>3185</v>
      </c>
      <c r="F418" s="50" t="s">
        <v>978</v>
      </c>
      <c r="G418" s="76" t="s">
        <v>376</v>
      </c>
      <c r="H418" s="50">
        <v>9199</v>
      </c>
      <c r="I418" s="49" t="s">
        <v>1</v>
      </c>
      <c r="J418" s="50" t="s">
        <v>4614</v>
      </c>
      <c r="K418" s="51">
        <v>41226</v>
      </c>
      <c r="L418" s="115">
        <v>41221</v>
      </c>
      <c r="M418" s="402">
        <f t="shared" si="28"/>
        <v>5</v>
      </c>
      <c r="N418" s="50" t="s">
        <v>2</v>
      </c>
      <c r="O418" s="74">
        <v>4.3</v>
      </c>
      <c r="P418" s="117">
        <v>5.49</v>
      </c>
      <c r="Q418" s="131">
        <v>6.4</v>
      </c>
      <c r="R418" s="50">
        <v>69</v>
      </c>
      <c r="S418" s="74">
        <v>92</v>
      </c>
      <c r="T418" s="50">
        <v>0.12</v>
      </c>
      <c r="U418" s="74">
        <v>1.47</v>
      </c>
      <c r="V418" s="50">
        <v>0.11</v>
      </c>
      <c r="W418" s="74">
        <v>2.8000000000000001E-2</v>
      </c>
      <c r="X418" s="50">
        <v>0.122</v>
      </c>
      <c r="Y418" s="74">
        <f>0.03/2</f>
        <v>1.4999999999999999E-2</v>
      </c>
      <c r="Z418" s="164">
        <v>1</v>
      </c>
      <c r="AA418" s="165">
        <v>1</v>
      </c>
      <c r="AB418" s="50">
        <v>80</v>
      </c>
      <c r="AC418" s="74">
        <v>1840</v>
      </c>
      <c r="AD418" s="164">
        <v>0.9</v>
      </c>
      <c r="AE418" s="50">
        <v>771</v>
      </c>
      <c r="AF418" s="50">
        <f>0.05/2</f>
        <v>2.5000000000000001E-2</v>
      </c>
      <c r="AG418" s="74"/>
      <c r="AH418" s="74"/>
      <c r="AI418" s="113"/>
      <c r="AJ418" s="50"/>
      <c r="AK418" s="74"/>
      <c r="AL418" s="74"/>
      <c r="AM418" s="74"/>
      <c r="AN418" s="74"/>
      <c r="AO418" s="74"/>
      <c r="AP418" s="74"/>
      <c r="AQ418" s="74"/>
      <c r="AR418" s="74"/>
      <c r="AS418" s="74"/>
      <c r="AT418" s="74"/>
    </row>
    <row r="419" spans="1:49" ht="14">
      <c r="A419" s="41" t="s">
        <v>36</v>
      </c>
      <c r="B419" s="50" t="s">
        <v>2931</v>
      </c>
      <c r="C419" s="74" t="s">
        <v>2927</v>
      </c>
      <c r="D419" s="48" t="s">
        <v>806</v>
      </c>
      <c r="E419" s="74" t="s">
        <v>535</v>
      </c>
      <c r="G419" s="48" t="s">
        <v>2929</v>
      </c>
      <c r="H419" s="74"/>
      <c r="I419" s="50" t="s">
        <v>1</v>
      </c>
      <c r="J419" s="50" t="s">
        <v>2932</v>
      </c>
      <c r="K419" s="51">
        <v>41332</v>
      </c>
      <c r="L419" s="115">
        <v>41324</v>
      </c>
      <c r="M419" s="402">
        <f t="shared" si="28"/>
        <v>8</v>
      </c>
      <c r="N419" s="50" t="s">
        <v>1</v>
      </c>
      <c r="O419" s="74">
        <v>12.5</v>
      </c>
      <c r="P419" s="117">
        <v>6.52</v>
      </c>
      <c r="Q419" s="131">
        <v>7.7</v>
      </c>
      <c r="R419" s="50">
        <v>23</v>
      </c>
      <c r="S419" s="74">
        <v>17</v>
      </c>
      <c r="T419" s="50">
        <f>0.01/2</f>
        <v>5.0000000000000001E-3</v>
      </c>
      <c r="U419" s="74">
        <v>0.25</v>
      </c>
      <c r="V419" s="50">
        <f>0.05/2</f>
        <v>2.5000000000000001E-2</v>
      </c>
      <c r="W419" s="74">
        <f>0.005/2</f>
        <v>2.5000000000000001E-3</v>
      </c>
      <c r="X419" s="50">
        <f>0.01/2</f>
        <v>5.0000000000000001E-3</v>
      </c>
      <c r="Y419" s="74">
        <v>1E-3</v>
      </c>
      <c r="Z419" s="164">
        <v>0.17699999999999999</v>
      </c>
      <c r="AA419" s="165">
        <v>0.17100000000000001</v>
      </c>
      <c r="AB419" s="50">
        <v>47</v>
      </c>
      <c r="AC419" s="74">
        <v>6370</v>
      </c>
      <c r="AD419" s="164">
        <v>0</v>
      </c>
      <c r="AE419" s="50">
        <v>2970</v>
      </c>
      <c r="AF419" s="50">
        <f>0.01/2</f>
        <v>5.0000000000000001E-3</v>
      </c>
      <c r="AG419" s="74"/>
      <c r="AH419" s="74">
        <v>3</v>
      </c>
      <c r="AI419" s="113"/>
      <c r="AJ419" s="50"/>
      <c r="AK419" s="74"/>
      <c r="AL419" s="74"/>
      <c r="AM419" s="74"/>
      <c r="AN419" s="74"/>
      <c r="AO419" s="74"/>
      <c r="AP419" s="74"/>
      <c r="AQ419" s="74"/>
      <c r="AR419" s="74"/>
      <c r="AS419" s="74"/>
      <c r="AT419" s="74"/>
    </row>
    <row r="420" spans="1:49" ht="14">
      <c r="A420" s="41" t="s">
        <v>36</v>
      </c>
      <c r="B420" s="50" t="s">
        <v>2931</v>
      </c>
      <c r="C420" s="74" t="s">
        <v>2927</v>
      </c>
      <c r="D420" s="48" t="s">
        <v>806</v>
      </c>
      <c r="E420" s="74" t="s">
        <v>535</v>
      </c>
      <c r="G420" s="48" t="s">
        <v>2929</v>
      </c>
      <c r="H420" s="74"/>
      <c r="I420" s="50" t="s">
        <v>1</v>
      </c>
      <c r="J420" s="50" t="s">
        <v>2930</v>
      </c>
      <c r="K420" s="51">
        <v>41332</v>
      </c>
      <c r="L420" s="115">
        <v>41324</v>
      </c>
      <c r="M420" s="402">
        <f t="shared" si="28"/>
        <v>8</v>
      </c>
      <c r="N420" s="50" t="s">
        <v>1</v>
      </c>
      <c r="O420" s="74">
        <v>7.7</v>
      </c>
      <c r="P420" s="117">
        <v>6.52</v>
      </c>
      <c r="Q420" s="131">
        <v>7.5</v>
      </c>
      <c r="R420" s="50">
        <v>6</v>
      </c>
      <c r="S420" s="74">
        <v>13</v>
      </c>
      <c r="T420" s="50">
        <f>0.01/2</f>
        <v>5.0000000000000001E-3</v>
      </c>
      <c r="U420" s="74">
        <f>0.05/2</f>
        <v>2.5000000000000001E-2</v>
      </c>
      <c r="V420" s="50">
        <v>0.09</v>
      </c>
      <c r="W420" s="74">
        <f>0.005/2</f>
        <v>2.5000000000000001E-3</v>
      </c>
      <c r="X420" s="50">
        <f>0.01/2</f>
        <v>5.0000000000000001E-3</v>
      </c>
      <c r="Y420" s="74">
        <f>0.001/2</f>
        <v>5.0000000000000001E-4</v>
      </c>
      <c r="Z420" s="164">
        <v>1</v>
      </c>
      <c r="AA420" s="165">
        <v>1</v>
      </c>
      <c r="AB420" s="50">
        <v>7</v>
      </c>
      <c r="AC420" s="74">
        <v>203</v>
      </c>
      <c r="AD420" s="164">
        <v>0.85</v>
      </c>
      <c r="AE420" s="50">
        <v>175</v>
      </c>
      <c r="AF420" s="50">
        <f>0.01/2</f>
        <v>5.0000000000000001E-3</v>
      </c>
      <c r="AG420" s="74"/>
      <c r="AH420" s="74">
        <v>9</v>
      </c>
      <c r="AI420" s="113"/>
      <c r="AJ420" s="50"/>
      <c r="AK420" s="74"/>
      <c r="AL420" s="74"/>
      <c r="AM420" s="74"/>
      <c r="AN420" s="74"/>
      <c r="AO420" s="74"/>
      <c r="AP420" s="74"/>
      <c r="AQ420" s="74"/>
      <c r="AR420" s="74"/>
      <c r="AS420" s="74"/>
      <c r="AT420" s="74"/>
    </row>
    <row r="421" spans="1:49" ht="14">
      <c r="A421" s="41" t="s">
        <v>36</v>
      </c>
      <c r="B421" s="50" t="s">
        <v>2740</v>
      </c>
      <c r="C421" s="50" t="s">
        <v>1482</v>
      </c>
      <c r="D421" s="48" t="s">
        <v>2741</v>
      </c>
      <c r="E421" s="50" t="s">
        <v>2742</v>
      </c>
      <c r="G421" s="76" t="s">
        <v>2743</v>
      </c>
      <c r="H421" s="50">
        <v>4953</v>
      </c>
      <c r="I421" s="49" t="s">
        <v>2</v>
      </c>
      <c r="J421" s="50" t="s">
        <v>194</v>
      </c>
      <c r="K421" s="51">
        <v>41443</v>
      </c>
      <c r="L421" s="115">
        <v>41439</v>
      </c>
      <c r="M421" s="402">
        <f t="shared" si="28"/>
        <v>4</v>
      </c>
      <c r="N421" s="50" t="s">
        <v>2</v>
      </c>
      <c r="O421" s="74">
        <f>1.4/2</f>
        <v>0.7</v>
      </c>
      <c r="P421" s="117">
        <v>6.1</v>
      </c>
      <c r="Q421" s="131">
        <v>7.34</v>
      </c>
      <c r="R421" s="50">
        <v>42</v>
      </c>
      <c r="S421" s="74">
        <v>12</v>
      </c>
      <c r="T421" s="50">
        <v>0.09</v>
      </c>
      <c r="U421" s="74">
        <v>0.83</v>
      </c>
      <c r="V421" s="50">
        <v>2.27</v>
      </c>
      <c r="W421" s="74">
        <v>1.2999999999999999E-2</v>
      </c>
      <c r="X421" s="50">
        <v>7.4999999999999997E-2</v>
      </c>
      <c r="Y421" s="74">
        <v>4.0000000000000001E-3</v>
      </c>
      <c r="Z421" s="164">
        <v>1</v>
      </c>
      <c r="AA421" s="165">
        <v>1</v>
      </c>
      <c r="AB421" s="50">
        <v>40</v>
      </c>
      <c r="AC421" s="74">
        <v>452</v>
      </c>
      <c r="AD421" s="164">
        <v>1</v>
      </c>
      <c r="AE421" s="50">
        <v>104</v>
      </c>
      <c r="AF421" s="50">
        <f>0.01/2</f>
        <v>5.0000000000000001E-3</v>
      </c>
      <c r="AG421" s="74"/>
      <c r="AH421" s="74"/>
      <c r="AI421" s="113"/>
      <c r="AJ421" s="50"/>
      <c r="AK421" s="74"/>
      <c r="AL421" s="74"/>
      <c r="AM421" s="74"/>
      <c r="AN421" s="74"/>
      <c r="AO421" s="74"/>
      <c r="AP421" s="74"/>
      <c r="AQ421" s="74"/>
      <c r="AR421" s="74"/>
      <c r="AS421" s="74"/>
      <c r="AT421" s="74"/>
    </row>
    <row r="422" spans="1:49" ht="14">
      <c r="A422" s="41" t="s">
        <v>36</v>
      </c>
      <c r="B422" s="50" t="s">
        <v>2740</v>
      </c>
      <c r="C422" s="50" t="s">
        <v>1482</v>
      </c>
      <c r="D422" s="48" t="s">
        <v>2741</v>
      </c>
      <c r="E422" s="50" t="s">
        <v>2742</v>
      </c>
      <c r="G422" s="76" t="s">
        <v>2743</v>
      </c>
      <c r="H422" s="50">
        <v>4953</v>
      </c>
      <c r="I422" s="49" t="s">
        <v>2</v>
      </c>
      <c r="J422" s="50" t="s">
        <v>569</v>
      </c>
      <c r="K422" s="51">
        <v>41443</v>
      </c>
      <c r="L422" s="115">
        <v>41439</v>
      </c>
      <c r="M422" s="402">
        <f t="shared" si="28"/>
        <v>4</v>
      </c>
      <c r="N422" s="50" t="s">
        <v>2</v>
      </c>
      <c r="O422" s="74">
        <f>1.4/2</f>
        <v>0.7</v>
      </c>
      <c r="P422" s="117">
        <v>6.1</v>
      </c>
      <c r="Q422" s="131">
        <v>6.77</v>
      </c>
      <c r="R422" s="50">
        <v>70</v>
      </c>
      <c r="S422" s="74">
        <v>32</v>
      </c>
      <c r="T422" s="50">
        <v>0.14000000000000001</v>
      </c>
      <c r="U422" s="74">
        <v>1.0900000000000001</v>
      </c>
      <c r="V422" s="50">
        <v>0.56999999999999995</v>
      </c>
      <c r="W422" s="74">
        <v>8.0000000000000002E-3</v>
      </c>
      <c r="X422" s="50">
        <v>3.1E-2</v>
      </c>
      <c r="Y422" s="74">
        <v>3.0000000000000001E-3</v>
      </c>
      <c r="Z422" s="164">
        <v>1</v>
      </c>
      <c r="AA422" s="165">
        <v>1</v>
      </c>
      <c r="AB422" s="50">
        <v>52</v>
      </c>
      <c r="AC422" s="74">
        <v>4910</v>
      </c>
      <c r="AD422" s="164">
        <v>1</v>
      </c>
      <c r="AE422" s="50">
        <v>1630</v>
      </c>
      <c r="AF422" s="50">
        <v>0.02</v>
      </c>
      <c r="AG422" s="74"/>
      <c r="AH422" s="74"/>
      <c r="AI422" s="113"/>
      <c r="AJ422" s="50"/>
      <c r="AK422" s="74"/>
      <c r="AL422" s="74"/>
      <c r="AM422" s="74"/>
      <c r="AN422" s="74"/>
      <c r="AO422" s="74"/>
      <c r="AP422" s="74"/>
      <c r="AQ422" s="74"/>
      <c r="AR422" s="74"/>
      <c r="AS422" s="74"/>
      <c r="AT422" s="74"/>
    </row>
    <row r="423" spans="1:49" s="6" customFormat="1" ht="15" customHeight="1">
      <c r="A423" s="41" t="s">
        <v>36</v>
      </c>
      <c r="B423" s="50" t="s">
        <v>3110</v>
      </c>
      <c r="C423" s="50" t="s">
        <v>1332</v>
      </c>
      <c r="D423" s="48" t="s">
        <v>111</v>
      </c>
      <c r="E423" s="50" t="s">
        <v>112</v>
      </c>
      <c r="F423" s="50"/>
      <c r="G423" s="76" t="s">
        <v>2886</v>
      </c>
      <c r="H423" s="50">
        <v>4952</v>
      </c>
      <c r="I423" s="49" t="s">
        <v>2</v>
      </c>
      <c r="J423" s="48" t="s">
        <v>3111</v>
      </c>
      <c r="K423" s="51">
        <v>41264</v>
      </c>
      <c r="L423" s="115">
        <v>41261</v>
      </c>
      <c r="M423" s="50">
        <f>K423-L423</f>
        <v>3</v>
      </c>
      <c r="N423" s="50" t="s">
        <v>2</v>
      </c>
      <c r="O423" s="131">
        <v>4.4000000000000004</v>
      </c>
      <c r="P423" s="117">
        <v>6.08</v>
      </c>
      <c r="Q423" s="131">
        <v>7.3</v>
      </c>
      <c r="R423" s="50">
        <f>10/2</f>
        <v>5</v>
      </c>
      <c r="S423" s="74">
        <v>637</v>
      </c>
      <c r="T423" s="50">
        <f>0.2/2</f>
        <v>0.1</v>
      </c>
      <c r="U423" s="131">
        <v>0.2</v>
      </c>
      <c r="V423" s="50">
        <v>0.16</v>
      </c>
      <c r="W423" s="74">
        <f>0.001/2</f>
        <v>5.0000000000000001E-4</v>
      </c>
      <c r="X423" s="50">
        <v>4.9000000000000002E-2</v>
      </c>
      <c r="Y423" s="74">
        <f>0.001/2</f>
        <v>5.0000000000000001E-4</v>
      </c>
      <c r="Z423" s="271"/>
      <c r="AA423" s="271"/>
      <c r="AB423" s="114"/>
      <c r="AC423" s="50"/>
      <c r="AD423" s="164"/>
      <c r="AE423" s="50"/>
      <c r="AF423" s="114"/>
      <c r="AG423" s="114"/>
      <c r="AH423" s="114"/>
      <c r="AI423" s="114"/>
      <c r="AJ423" s="114"/>
      <c r="AK423" s="114"/>
      <c r="AL423" s="114"/>
      <c r="AM423" s="114"/>
      <c r="AN423" s="114"/>
      <c r="AO423" s="114"/>
      <c r="AP423" s="114"/>
      <c r="AQ423" s="114"/>
      <c r="AR423" s="114"/>
      <c r="AS423" s="50"/>
      <c r="AT423" s="74"/>
      <c r="AU423" s="114"/>
      <c r="AV423" s="114"/>
      <c r="AW423" s="50"/>
    </row>
    <row r="424" spans="1:49" s="6" customFormat="1" ht="15" customHeight="1">
      <c r="A424" s="41" t="s">
        <v>36</v>
      </c>
      <c r="B424" s="50" t="s">
        <v>3110</v>
      </c>
      <c r="C424" s="50" t="s">
        <v>1332</v>
      </c>
      <c r="D424" s="48" t="s">
        <v>111</v>
      </c>
      <c r="E424" s="50" t="s">
        <v>112</v>
      </c>
      <c r="F424" s="50"/>
      <c r="G424" s="76" t="s">
        <v>2886</v>
      </c>
      <c r="H424" s="50">
        <v>4952</v>
      </c>
      <c r="I424" s="49" t="s">
        <v>2</v>
      </c>
      <c r="J424" s="48" t="s">
        <v>3112</v>
      </c>
      <c r="K424" s="51">
        <v>41264</v>
      </c>
      <c r="L424" s="115">
        <v>41261</v>
      </c>
      <c r="M424" s="50">
        <f>K424-L424</f>
        <v>3</v>
      </c>
      <c r="N424" s="50" t="s">
        <v>2</v>
      </c>
      <c r="O424" s="131">
        <f>2/2</f>
        <v>1</v>
      </c>
      <c r="P424" s="117">
        <v>6.08</v>
      </c>
      <c r="Q424" s="131">
        <v>6.7</v>
      </c>
      <c r="R424" s="50">
        <f>10/2</f>
        <v>5</v>
      </c>
      <c r="S424" s="74">
        <v>137</v>
      </c>
      <c r="T424" s="50">
        <f>0.2/2</f>
        <v>0.1</v>
      </c>
      <c r="U424" s="131">
        <v>0.4</v>
      </c>
      <c r="V424" s="50">
        <v>0.11</v>
      </c>
      <c r="W424" s="74">
        <v>1E-3</v>
      </c>
      <c r="X424" s="50">
        <v>9.5000000000000001E-2</v>
      </c>
      <c r="Y424" s="74">
        <f>0.001/2</f>
        <v>5.0000000000000001E-4</v>
      </c>
      <c r="Z424" s="271"/>
      <c r="AA424" s="271"/>
      <c r="AB424" s="114"/>
      <c r="AC424" s="50"/>
      <c r="AD424" s="164"/>
      <c r="AE424" s="50"/>
      <c r="AF424" s="114"/>
      <c r="AG424" s="114"/>
      <c r="AH424" s="114"/>
      <c r="AI424" s="114"/>
      <c r="AJ424" s="114"/>
      <c r="AK424" s="114"/>
      <c r="AL424" s="114"/>
      <c r="AM424" s="114"/>
      <c r="AN424" s="114"/>
      <c r="AO424" s="114"/>
      <c r="AP424" s="114"/>
      <c r="AQ424" s="114"/>
      <c r="AR424" s="114"/>
      <c r="AS424" s="50"/>
      <c r="AT424" s="74"/>
      <c r="AU424" s="114"/>
      <c r="AV424" s="114"/>
      <c r="AW424" s="50"/>
    </row>
    <row r="425" spans="1:49" ht="14">
      <c r="A425" s="74" t="s">
        <v>36</v>
      </c>
      <c r="B425" s="50" t="s">
        <v>3110</v>
      </c>
      <c r="C425" s="50" t="s">
        <v>1332</v>
      </c>
      <c r="D425" s="48" t="s">
        <v>111</v>
      </c>
      <c r="E425" s="50" t="s">
        <v>112</v>
      </c>
      <c r="G425" s="76" t="s">
        <v>2886</v>
      </c>
      <c r="H425" s="50">
        <v>4952</v>
      </c>
      <c r="I425" s="49" t="s">
        <v>2</v>
      </c>
      <c r="J425" s="50" t="s">
        <v>3111</v>
      </c>
      <c r="K425" s="51">
        <v>41529</v>
      </c>
      <c r="L425" s="115">
        <v>41518</v>
      </c>
      <c r="M425" s="402">
        <f>K425-L425</f>
        <v>11</v>
      </c>
      <c r="N425" s="50" t="s">
        <v>2</v>
      </c>
      <c r="O425" s="74">
        <v>17.100000000000001</v>
      </c>
      <c r="P425" s="117">
        <v>5.0999999999999996</v>
      </c>
      <c r="Q425" s="131">
        <v>7.6</v>
      </c>
      <c r="R425" s="50">
        <v>28</v>
      </c>
      <c r="S425" s="74">
        <v>1600</v>
      </c>
      <c r="T425" s="50">
        <v>1</v>
      </c>
      <c r="U425" s="74">
        <v>0.72</v>
      </c>
      <c r="V425" s="50">
        <v>0.34</v>
      </c>
      <c r="W425" s="74">
        <v>1.9E-2</v>
      </c>
      <c r="X425" s="50">
        <v>0.114</v>
      </c>
      <c r="Y425" s="74">
        <v>0.01</v>
      </c>
      <c r="Z425" s="164">
        <v>1</v>
      </c>
      <c r="AA425" s="165">
        <v>1</v>
      </c>
      <c r="AB425" s="50">
        <v>22</v>
      </c>
      <c r="AC425" s="74">
        <v>72</v>
      </c>
      <c r="AD425" s="164">
        <v>1</v>
      </c>
      <c r="AG425" s="74"/>
      <c r="AH425" s="74"/>
      <c r="AI425" s="113"/>
      <c r="AJ425" s="50"/>
      <c r="AK425" s="74"/>
      <c r="AL425" s="74"/>
      <c r="AM425" s="74"/>
      <c r="AN425" s="74"/>
      <c r="AO425" s="74"/>
      <c r="AP425" s="74"/>
      <c r="AQ425" s="74"/>
      <c r="AR425" s="74"/>
      <c r="AS425" s="74"/>
      <c r="AT425" s="74"/>
    </row>
    <row r="426" spans="1:49" ht="14">
      <c r="A426" s="74" t="s">
        <v>36</v>
      </c>
      <c r="B426" s="50" t="s">
        <v>3110</v>
      </c>
      <c r="C426" s="50" t="s">
        <v>1332</v>
      </c>
      <c r="D426" s="48" t="s">
        <v>111</v>
      </c>
      <c r="E426" s="50" t="s">
        <v>112</v>
      </c>
      <c r="G426" s="76" t="s">
        <v>2886</v>
      </c>
      <c r="H426" s="50">
        <v>4952</v>
      </c>
      <c r="I426" s="49" t="s">
        <v>2</v>
      </c>
      <c r="J426" s="50" t="s">
        <v>3112</v>
      </c>
      <c r="K426" s="51">
        <v>41529</v>
      </c>
      <c r="L426" s="115">
        <v>41518</v>
      </c>
      <c r="M426" s="402">
        <f>K426-L426</f>
        <v>11</v>
      </c>
      <c r="N426" s="50" t="s">
        <v>2</v>
      </c>
      <c r="O426" s="74">
        <f>2/2</f>
        <v>1</v>
      </c>
      <c r="P426" s="117">
        <v>5.0999999999999996</v>
      </c>
      <c r="Q426" s="131">
        <v>6.8</v>
      </c>
      <c r="R426" s="50">
        <v>26</v>
      </c>
      <c r="S426" s="74">
        <v>4.3</v>
      </c>
      <c r="T426" s="50">
        <v>0.2</v>
      </c>
      <c r="U426" s="74">
        <v>0.86</v>
      </c>
      <c r="V426" s="50">
        <v>0.38</v>
      </c>
      <c r="W426" s="74">
        <v>5.0000000000000001E-3</v>
      </c>
      <c r="X426" s="50">
        <v>2.1999999999999999E-2</v>
      </c>
      <c r="Y426" s="74">
        <v>2E-3</v>
      </c>
      <c r="Z426" s="164">
        <v>1</v>
      </c>
      <c r="AA426" s="165">
        <v>1</v>
      </c>
      <c r="AB426" s="50">
        <v>12</v>
      </c>
      <c r="AC426" s="74">
        <v>30</v>
      </c>
      <c r="AD426" s="164">
        <v>0.85</v>
      </c>
      <c r="AG426" s="74"/>
      <c r="AH426" s="74"/>
      <c r="AI426" s="113"/>
      <c r="AJ426" s="50"/>
      <c r="AK426" s="74"/>
      <c r="AL426" s="74"/>
      <c r="AM426" s="74"/>
      <c r="AN426" s="74"/>
      <c r="AO426" s="74"/>
      <c r="AP426" s="74"/>
      <c r="AQ426" s="74"/>
      <c r="AR426" s="74"/>
      <c r="AS426" s="74"/>
      <c r="AT426" s="74"/>
    </row>
    <row r="427" spans="1:49" ht="15" customHeight="1">
      <c r="A427" s="53" t="s">
        <v>36</v>
      </c>
      <c r="B427" s="50" t="s">
        <v>2973</v>
      </c>
      <c r="C427" s="74"/>
      <c r="D427" s="48" t="s">
        <v>480</v>
      </c>
      <c r="E427" s="74" t="s">
        <v>2329</v>
      </c>
      <c r="G427" s="48" t="s">
        <v>2974</v>
      </c>
      <c r="H427" s="74">
        <v>9199</v>
      </c>
      <c r="I427" s="50" t="s">
        <v>1</v>
      </c>
      <c r="J427" s="48" t="s">
        <v>2975</v>
      </c>
      <c r="K427" s="51">
        <v>40996</v>
      </c>
      <c r="L427" s="115">
        <v>40993</v>
      </c>
      <c r="M427" s="50">
        <v>3</v>
      </c>
      <c r="N427" s="50" t="s">
        <v>2</v>
      </c>
      <c r="O427" s="131">
        <v>1</v>
      </c>
      <c r="P427" s="50">
        <v>6.5</v>
      </c>
      <c r="Q427" s="74">
        <v>7.4</v>
      </c>
      <c r="R427" s="50">
        <v>53</v>
      </c>
      <c r="S427" s="74">
        <v>353</v>
      </c>
      <c r="T427" s="50">
        <v>0.59</v>
      </c>
      <c r="U427" s="131">
        <v>0.68</v>
      </c>
      <c r="V427" s="50">
        <v>1.72</v>
      </c>
      <c r="W427" s="74">
        <v>4.4999999999999998E-2</v>
      </c>
      <c r="X427" s="50">
        <v>0.127</v>
      </c>
      <c r="Y427" s="74">
        <v>4.5999999999999999E-2</v>
      </c>
      <c r="Z427" s="271">
        <v>1</v>
      </c>
      <c r="AA427" s="271">
        <v>1</v>
      </c>
      <c r="AB427" s="114">
        <v>78</v>
      </c>
      <c r="AC427" s="50">
        <v>568</v>
      </c>
      <c r="AD427" s="164">
        <v>1</v>
      </c>
      <c r="AE427" s="114"/>
      <c r="AG427" s="74"/>
      <c r="AH427" s="74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</row>
    <row r="428" spans="1:49" ht="14">
      <c r="A428" s="53" t="s">
        <v>36</v>
      </c>
      <c r="B428" s="50" t="s">
        <v>2973</v>
      </c>
      <c r="C428" s="74"/>
      <c r="D428" s="48" t="s">
        <v>480</v>
      </c>
      <c r="E428" s="74" t="s">
        <v>2329</v>
      </c>
      <c r="G428" s="48" t="s">
        <v>2974</v>
      </c>
      <c r="H428" s="74">
        <v>9199</v>
      </c>
      <c r="I428" s="50" t="s">
        <v>1</v>
      </c>
      <c r="J428" s="48" t="s">
        <v>2976</v>
      </c>
      <c r="K428" s="51">
        <v>40996</v>
      </c>
      <c r="L428" s="115">
        <v>40993</v>
      </c>
      <c r="M428" s="50">
        <v>3</v>
      </c>
      <c r="N428" s="50" t="s">
        <v>2</v>
      </c>
      <c r="O428" s="131">
        <v>13.1</v>
      </c>
      <c r="P428" s="50">
        <v>6.5</v>
      </c>
      <c r="Q428" s="74">
        <v>7.5</v>
      </c>
      <c r="R428" s="50">
        <v>191</v>
      </c>
      <c r="S428" s="74">
        <v>630</v>
      </c>
      <c r="T428" s="50">
        <v>0.54</v>
      </c>
      <c r="U428" s="131">
        <v>0.35</v>
      </c>
      <c r="V428" s="50">
        <v>0.16</v>
      </c>
      <c r="W428" s="74">
        <v>6.8000000000000005E-2</v>
      </c>
      <c r="X428" s="50">
        <v>0.17399999999999999</v>
      </c>
      <c r="Y428" s="74">
        <v>1.4999999999999999E-2</v>
      </c>
      <c r="Z428" s="271">
        <v>1</v>
      </c>
      <c r="AA428" s="271">
        <v>1</v>
      </c>
      <c r="AB428" s="114">
        <v>69</v>
      </c>
      <c r="AC428" s="50">
        <v>1002</v>
      </c>
      <c r="AD428" s="164">
        <v>1</v>
      </c>
      <c r="AE428" s="114"/>
      <c r="AG428" s="74"/>
      <c r="AH428" s="74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</row>
    <row r="429" spans="1:49" ht="14">
      <c r="A429" s="53" t="s">
        <v>36</v>
      </c>
      <c r="B429" s="50" t="s">
        <v>2973</v>
      </c>
      <c r="C429" s="74"/>
      <c r="D429" s="48" t="s">
        <v>480</v>
      </c>
      <c r="E429" s="74" t="s">
        <v>2329</v>
      </c>
      <c r="G429" s="48" t="s">
        <v>2974</v>
      </c>
      <c r="H429" s="74">
        <v>9199</v>
      </c>
      <c r="I429" s="50" t="s">
        <v>1</v>
      </c>
      <c r="J429" s="48" t="s">
        <v>2977</v>
      </c>
      <c r="K429" s="51">
        <v>40996</v>
      </c>
      <c r="L429" s="115">
        <v>40993</v>
      </c>
      <c r="M429" s="50">
        <v>3</v>
      </c>
      <c r="N429" s="50" t="s">
        <v>2</v>
      </c>
      <c r="O429" s="131">
        <v>12.6</v>
      </c>
      <c r="P429" s="50">
        <v>6.5</v>
      </c>
      <c r="Q429" s="74">
        <v>6.8</v>
      </c>
      <c r="R429" s="50">
        <v>146</v>
      </c>
      <c r="S429" s="74">
        <v>776</v>
      </c>
      <c r="T429" s="50">
        <v>0.49</v>
      </c>
      <c r="U429" s="131">
        <v>0.37</v>
      </c>
      <c r="V429" s="50">
        <v>0.05</v>
      </c>
      <c r="W429" s="74">
        <v>6.6000000000000003E-2</v>
      </c>
      <c r="X429" s="50">
        <v>0.24399999999999999</v>
      </c>
      <c r="Y429" s="74">
        <v>1.4999999999999999E-2</v>
      </c>
      <c r="Z429" s="271">
        <v>1</v>
      </c>
      <c r="AA429" s="271">
        <v>1</v>
      </c>
      <c r="AB429" s="114">
        <v>40</v>
      </c>
      <c r="AC429" s="50">
        <v>101</v>
      </c>
      <c r="AD429" s="164">
        <v>1</v>
      </c>
      <c r="AE429" s="114">
        <v>74.3</v>
      </c>
      <c r="AF429" s="50">
        <v>2.5000000000000001E-2</v>
      </c>
      <c r="AG429" s="74"/>
      <c r="AH429" s="74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</row>
    <row r="430" spans="1:49" ht="14">
      <c r="A430" s="53" t="s">
        <v>36</v>
      </c>
      <c r="B430" s="50" t="s">
        <v>2973</v>
      </c>
      <c r="C430" s="74"/>
      <c r="D430" s="48" t="s">
        <v>480</v>
      </c>
      <c r="E430" s="74" t="s">
        <v>2329</v>
      </c>
      <c r="G430" s="48" t="s">
        <v>2974</v>
      </c>
      <c r="H430" s="74">
        <v>9199</v>
      </c>
      <c r="I430" s="50" t="s">
        <v>1</v>
      </c>
      <c r="J430" s="48" t="s">
        <v>2978</v>
      </c>
      <c r="K430" s="51">
        <v>40996</v>
      </c>
      <c r="L430" s="115">
        <v>40993</v>
      </c>
      <c r="M430" s="50">
        <v>3</v>
      </c>
      <c r="N430" s="50" t="s">
        <v>2</v>
      </c>
      <c r="O430" s="131">
        <v>3.6</v>
      </c>
      <c r="P430" s="50">
        <v>6.5</v>
      </c>
      <c r="Q430" s="74">
        <v>7.5</v>
      </c>
      <c r="R430" s="50">
        <v>33</v>
      </c>
      <c r="S430" s="74">
        <v>56</v>
      </c>
      <c r="T430" s="50">
        <v>7.0000000000000007E-2</v>
      </c>
      <c r="U430" s="131">
        <v>0.5</v>
      </c>
      <c r="V430" s="50">
        <v>0.15</v>
      </c>
      <c r="W430" s="74">
        <v>1.7000000000000001E-2</v>
      </c>
      <c r="X430" s="50">
        <v>4.7E-2</v>
      </c>
      <c r="Y430" s="74">
        <v>1.4999999999999999E-2</v>
      </c>
      <c r="Z430" s="271">
        <v>1</v>
      </c>
      <c r="AA430" s="271">
        <v>1</v>
      </c>
      <c r="AB430" s="114">
        <v>43</v>
      </c>
      <c r="AC430" s="50">
        <v>607</v>
      </c>
      <c r="AD430" s="164">
        <v>1</v>
      </c>
      <c r="AE430" s="114"/>
      <c r="AG430" s="74"/>
      <c r="AH430" s="74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</row>
    <row r="431" spans="1:49" ht="14">
      <c r="A431" s="53" t="s">
        <v>36</v>
      </c>
      <c r="B431" s="50" t="s">
        <v>2973</v>
      </c>
      <c r="C431" s="74" t="s">
        <v>2981</v>
      </c>
      <c r="D431" s="48" t="s">
        <v>480</v>
      </c>
      <c r="E431" s="74" t="s">
        <v>2329</v>
      </c>
      <c r="G431" s="48" t="s">
        <v>2974</v>
      </c>
      <c r="H431" s="74">
        <v>9199</v>
      </c>
      <c r="I431" s="50" t="s">
        <v>1</v>
      </c>
      <c r="J431" s="48" t="s">
        <v>2975</v>
      </c>
      <c r="K431" s="51">
        <v>41264</v>
      </c>
      <c r="L431" s="115">
        <v>41261</v>
      </c>
      <c r="M431" s="50">
        <v>3</v>
      </c>
      <c r="N431" s="50" t="s">
        <v>2</v>
      </c>
      <c r="O431" s="131">
        <v>1</v>
      </c>
      <c r="P431" s="50">
        <v>7</v>
      </c>
      <c r="Q431" s="74">
        <v>7.9</v>
      </c>
      <c r="R431" s="50">
        <v>77</v>
      </c>
      <c r="S431" s="74">
        <v>516</v>
      </c>
      <c r="T431" s="50">
        <v>1.01</v>
      </c>
      <c r="U431" s="131">
        <v>2.4900000000000002</v>
      </c>
      <c r="V431" s="50">
        <v>0.05</v>
      </c>
      <c r="W431" s="74">
        <v>0.05</v>
      </c>
      <c r="X431" s="50">
        <v>8.2000000000000003E-2</v>
      </c>
      <c r="Y431" s="74">
        <v>4.3999999999999997E-2</v>
      </c>
      <c r="Z431" s="271">
        <v>1</v>
      </c>
      <c r="AA431" s="271">
        <v>1</v>
      </c>
      <c r="AB431" s="114">
        <v>71</v>
      </c>
      <c r="AC431" s="50">
        <v>118</v>
      </c>
      <c r="AD431" s="164">
        <v>1</v>
      </c>
      <c r="AE431" s="114"/>
      <c r="AG431" s="74"/>
      <c r="AH431" s="74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</row>
    <row r="432" spans="1:49" ht="14">
      <c r="A432" s="53" t="s">
        <v>36</v>
      </c>
      <c r="B432" s="50" t="s">
        <v>2973</v>
      </c>
      <c r="C432" s="74" t="s">
        <v>2981</v>
      </c>
      <c r="D432" s="48" t="s">
        <v>480</v>
      </c>
      <c r="E432" s="74" t="s">
        <v>2329</v>
      </c>
      <c r="G432" s="48" t="s">
        <v>2974</v>
      </c>
      <c r="H432" s="74">
        <v>9199</v>
      </c>
      <c r="I432" s="50" t="s">
        <v>1</v>
      </c>
      <c r="J432" s="48" t="s">
        <v>2976</v>
      </c>
      <c r="K432" s="51">
        <v>41264</v>
      </c>
      <c r="L432" s="115">
        <v>41261</v>
      </c>
      <c r="M432" s="50">
        <v>3</v>
      </c>
      <c r="N432" s="50" t="s">
        <v>2</v>
      </c>
      <c r="O432" s="131">
        <v>18.899999999999999</v>
      </c>
      <c r="P432" s="50">
        <v>7</v>
      </c>
      <c r="Q432" s="74">
        <v>8.8000000000000007</v>
      </c>
      <c r="R432" s="50">
        <v>164</v>
      </c>
      <c r="S432" s="74">
        <v>659</v>
      </c>
      <c r="T432" s="50">
        <v>1.89</v>
      </c>
      <c r="U432" s="131">
        <v>4.08</v>
      </c>
      <c r="V432" s="50">
        <v>0.42</v>
      </c>
      <c r="W432" s="74">
        <v>6.3E-2</v>
      </c>
      <c r="X432" s="50">
        <v>0.14599999999999999</v>
      </c>
      <c r="Y432" s="74">
        <v>1.4999999999999999E-2</v>
      </c>
      <c r="Z432" s="271">
        <v>0.70699999999999996</v>
      </c>
      <c r="AA432" s="271">
        <v>0.24199999999999999</v>
      </c>
      <c r="AB432" s="114">
        <v>64</v>
      </c>
      <c r="AC432" s="50">
        <v>180</v>
      </c>
      <c r="AD432" s="164">
        <v>0</v>
      </c>
      <c r="AE432" s="114"/>
      <c r="AG432" s="74"/>
      <c r="AH432" s="74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</row>
    <row r="433" spans="1:52" ht="14">
      <c r="A433" s="53" t="s">
        <v>36</v>
      </c>
      <c r="B433" s="50" t="s">
        <v>2973</v>
      </c>
      <c r="C433" s="74" t="s">
        <v>2981</v>
      </c>
      <c r="D433" s="48" t="s">
        <v>480</v>
      </c>
      <c r="E433" s="74" t="s">
        <v>2329</v>
      </c>
      <c r="G433" s="48" t="s">
        <v>2974</v>
      </c>
      <c r="H433" s="74">
        <v>9199</v>
      </c>
      <c r="I433" s="50" t="s">
        <v>1</v>
      </c>
      <c r="J433" s="48" t="s">
        <v>2977</v>
      </c>
      <c r="K433" s="51">
        <v>41264</v>
      </c>
      <c r="L433" s="115">
        <v>41261</v>
      </c>
      <c r="M433" s="50">
        <v>3</v>
      </c>
      <c r="N433" s="50" t="s">
        <v>2</v>
      </c>
      <c r="O433" s="131">
        <v>15</v>
      </c>
      <c r="P433" s="50">
        <v>7</v>
      </c>
      <c r="Q433" s="74">
        <v>7</v>
      </c>
      <c r="R433" s="50">
        <v>72</v>
      </c>
      <c r="S433" s="74">
        <v>386</v>
      </c>
      <c r="T433" s="50">
        <v>0.52</v>
      </c>
      <c r="U433" s="131">
        <v>1.57</v>
      </c>
      <c r="V433" s="50">
        <v>0.05</v>
      </c>
      <c r="W433" s="74">
        <v>3.9E-2</v>
      </c>
      <c r="X433" s="50">
        <v>0.23799999999999999</v>
      </c>
      <c r="Y433" s="74">
        <v>1.4999999999999999E-2</v>
      </c>
      <c r="Z433" s="271">
        <v>0.66300000000000003</v>
      </c>
      <c r="AA433" s="271">
        <v>0.66300000000000003</v>
      </c>
      <c r="AB433" s="114">
        <v>22</v>
      </c>
      <c r="AC433" s="50">
        <v>21</v>
      </c>
      <c r="AD433" s="164">
        <v>0</v>
      </c>
      <c r="AE433" s="114"/>
      <c r="AG433" s="74"/>
      <c r="AH433" s="74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</row>
    <row r="434" spans="1:52" ht="14">
      <c r="A434" s="53" t="s">
        <v>36</v>
      </c>
      <c r="B434" s="50" t="s">
        <v>2973</v>
      </c>
      <c r="C434" s="74" t="s">
        <v>2981</v>
      </c>
      <c r="D434" s="48" t="s">
        <v>480</v>
      </c>
      <c r="E434" s="74" t="s">
        <v>2329</v>
      </c>
      <c r="G434" s="48" t="s">
        <v>2974</v>
      </c>
      <c r="H434" s="74">
        <v>9199</v>
      </c>
      <c r="I434" s="50" t="s">
        <v>1</v>
      </c>
      <c r="J434" s="48" t="s">
        <v>2978</v>
      </c>
      <c r="K434" s="51">
        <v>41264</v>
      </c>
      <c r="L434" s="115">
        <v>41261</v>
      </c>
      <c r="M434" s="50">
        <v>3</v>
      </c>
      <c r="N434" s="50" t="s">
        <v>2</v>
      </c>
      <c r="O434" s="131">
        <v>3.1</v>
      </c>
      <c r="P434" s="50">
        <v>7</v>
      </c>
      <c r="Q434" s="74">
        <v>6.8</v>
      </c>
      <c r="R434" s="50">
        <v>47</v>
      </c>
      <c r="S434" s="74">
        <v>153</v>
      </c>
      <c r="T434" s="50">
        <v>0.19</v>
      </c>
      <c r="U434" s="131">
        <v>0.56999999999999995</v>
      </c>
      <c r="V434" s="50">
        <v>0.05</v>
      </c>
      <c r="W434" s="74">
        <v>1.7000000000000001E-2</v>
      </c>
      <c r="X434" s="50">
        <v>7.0999999999999994E-2</v>
      </c>
      <c r="Y434" s="74">
        <v>1.4999999999999999E-2</v>
      </c>
      <c r="Z434" s="271">
        <v>1</v>
      </c>
      <c r="AA434" s="271">
        <v>1</v>
      </c>
      <c r="AB434" s="114">
        <v>9</v>
      </c>
      <c r="AC434" s="50">
        <v>30</v>
      </c>
      <c r="AD434" s="164">
        <v>0.85</v>
      </c>
      <c r="AE434" s="114"/>
      <c r="AG434" s="74"/>
      <c r="AH434" s="7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</row>
    <row r="435" spans="1:52" ht="14">
      <c r="A435" s="53" t="s">
        <v>36</v>
      </c>
      <c r="B435" s="50" t="s">
        <v>2973</v>
      </c>
      <c r="C435" s="74"/>
      <c r="D435" s="48" t="s">
        <v>480</v>
      </c>
      <c r="E435" s="74" t="s">
        <v>2329</v>
      </c>
      <c r="G435" s="48" t="s">
        <v>2974</v>
      </c>
      <c r="H435" s="74">
        <v>9199</v>
      </c>
      <c r="I435" s="50" t="s">
        <v>1</v>
      </c>
      <c r="J435" s="48" t="s">
        <v>2975</v>
      </c>
      <c r="K435" s="51">
        <v>41170</v>
      </c>
      <c r="L435" s="115">
        <v>41160</v>
      </c>
      <c r="M435" s="50">
        <f>K435-L435</f>
        <v>10</v>
      </c>
      <c r="N435" s="50" t="s">
        <v>2</v>
      </c>
      <c r="O435" s="74">
        <v>1</v>
      </c>
      <c r="P435" s="50">
        <v>7</v>
      </c>
      <c r="Q435" s="74">
        <v>7</v>
      </c>
      <c r="R435" s="50">
        <v>26</v>
      </c>
      <c r="S435" s="74">
        <v>25</v>
      </c>
      <c r="T435" s="50">
        <v>0.1</v>
      </c>
      <c r="U435" s="131">
        <v>0.97</v>
      </c>
      <c r="V435" s="50">
        <v>0.83</v>
      </c>
      <c r="W435" s="74">
        <v>1.7999999999999999E-2</v>
      </c>
      <c r="X435" s="50">
        <v>1.4999999999999999E-2</v>
      </c>
      <c r="Y435" s="74">
        <v>1.4999999999999999E-2</v>
      </c>
      <c r="Z435" s="271"/>
      <c r="AA435" s="271"/>
      <c r="AB435" s="114"/>
      <c r="AC435" s="50"/>
      <c r="AE435" s="114"/>
      <c r="AG435" s="74"/>
      <c r="AH435" s="74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</row>
    <row r="436" spans="1:52" ht="14">
      <c r="A436" s="53" t="s">
        <v>36</v>
      </c>
      <c r="B436" s="50" t="s">
        <v>2973</v>
      </c>
      <c r="C436" s="74"/>
      <c r="D436" s="48" t="s">
        <v>480</v>
      </c>
      <c r="E436" s="74" t="s">
        <v>2329</v>
      </c>
      <c r="G436" s="48" t="s">
        <v>2974</v>
      </c>
      <c r="H436" s="74">
        <v>9199</v>
      </c>
      <c r="I436" s="50" t="s">
        <v>1</v>
      </c>
      <c r="J436" s="339" t="s">
        <v>2976</v>
      </c>
      <c r="K436" s="51">
        <v>41170</v>
      </c>
      <c r="L436" s="173">
        <v>41160</v>
      </c>
      <c r="M436" s="50">
        <f t="shared" ref="M436:M456" si="29">K436-L436</f>
        <v>10</v>
      </c>
      <c r="N436" s="50" t="s">
        <v>2</v>
      </c>
      <c r="O436" s="74">
        <v>7.8</v>
      </c>
      <c r="P436" s="50">
        <v>7</v>
      </c>
      <c r="Q436" s="74">
        <v>7</v>
      </c>
      <c r="R436" s="50">
        <v>104</v>
      </c>
      <c r="S436" s="74">
        <v>220</v>
      </c>
      <c r="T436" s="50">
        <v>0.37</v>
      </c>
      <c r="U436" s="131">
        <v>1.59</v>
      </c>
      <c r="V436" s="50">
        <v>0.82</v>
      </c>
      <c r="W436" s="74">
        <v>0.04</v>
      </c>
      <c r="X436" s="50">
        <v>7.8E-2</v>
      </c>
      <c r="Y436" s="74">
        <v>1.4999999999999999E-2</v>
      </c>
      <c r="Z436" s="271"/>
      <c r="AA436" s="271"/>
      <c r="AB436" s="114"/>
      <c r="AC436" s="50"/>
      <c r="AE436" s="114"/>
      <c r="AG436" s="74"/>
      <c r="AH436" s="74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</row>
    <row r="437" spans="1:52" ht="14">
      <c r="A437" s="53" t="s">
        <v>36</v>
      </c>
      <c r="B437" s="50" t="s">
        <v>2973</v>
      </c>
      <c r="C437" s="74"/>
      <c r="D437" s="48" t="s">
        <v>480</v>
      </c>
      <c r="E437" s="74" t="s">
        <v>2329</v>
      </c>
      <c r="G437" s="48" t="s">
        <v>2974</v>
      </c>
      <c r="H437" s="74">
        <v>9199</v>
      </c>
      <c r="I437" s="50" t="s">
        <v>1</v>
      </c>
      <c r="J437" s="339" t="s">
        <v>2977</v>
      </c>
      <c r="K437" s="51">
        <v>41170</v>
      </c>
      <c r="L437" s="173">
        <v>41160</v>
      </c>
      <c r="M437" s="50">
        <f t="shared" si="29"/>
        <v>10</v>
      </c>
      <c r="N437" s="50" t="s">
        <v>2</v>
      </c>
      <c r="O437" s="74">
        <v>5.4</v>
      </c>
      <c r="P437" s="50">
        <v>7</v>
      </c>
      <c r="Q437" s="74">
        <v>6.6</v>
      </c>
      <c r="R437" s="50">
        <v>62</v>
      </c>
      <c r="S437" s="74">
        <v>84</v>
      </c>
      <c r="T437" s="50">
        <v>0.16</v>
      </c>
      <c r="U437" s="131">
        <v>0.99</v>
      </c>
      <c r="V437" s="50">
        <v>0.76</v>
      </c>
      <c r="W437" s="74">
        <v>2.5000000000000001E-2</v>
      </c>
      <c r="X437" s="50">
        <v>9.7000000000000003E-2</v>
      </c>
      <c r="Y437" s="74">
        <v>1.4999999999999999E-2</v>
      </c>
      <c r="Z437" s="271"/>
      <c r="AA437" s="271"/>
      <c r="AB437" s="114"/>
      <c r="AC437" s="50"/>
      <c r="AE437" s="114">
        <v>82</v>
      </c>
      <c r="AF437" s="50">
        <v>2.5000000000000001E-2</v>
      </c>
      <c r="AG437" s="74"/>
      <c r="AH437" s="74"/>
      <c r="AI437"/>
      <c r="AJ437"/>
      <c r="AK437"/>
      <c r="AL437"/>
      <c r="AM437"/>
      <c r="AN437"/>
      <c r="AO437"/>
      <c r="AP437"/>
      <c r="AQ437"/>
      <c r="AR437"/>
      <c r="AS437"/>
      <c r="AT437"/>
    </row>
    <row r="438" spans="1:52" ht="14">
      <c r="A438" s="53" t="s">
        <v>36</v>
      </c>
      <c r="B438" s="50" t="s">
        <v>3446</v>
      </c>
      <c r="C438" s="7" t="s">
        <v>1482</v>
      </c>
      <c r="D438" s="48" t="s">
        <v>200</v>
      </c>
      <c r="E438" s="50" t="s">
        <v>214</v>
      </c>
      <c r="F438" s="48"/>
      <c r="G438" s="76" t="s">
        <v>1480</v>
      </c>
      <c r="H438" s="50">
        <v>4953</v>
      </c>
      <c r="I438" s="49" t="s">
        <v>2</v>
      </c>
      <c r="J438" s="50" t="s">
        <v>1483</v>
      </c>
      <c r="K438" s="51">
        <v>41352</v>
      </c>
      <c r="L438" s="115">
        <v>41345</v>
      </c>
      <c r="M438" s="50">
        <f t="shared" si="29"/>
        <v>7</v>
      </c>
      <c r="N438" s="50" t="s">
        <v>1</v>
      </c>
      <c r="AE438" s="164"/>
      <c r="AF438" s="164"/>
      <c r="AG438" s="74"/>
      <c r="AH438" s="49"/>
      <c r="AI438" s="113"/>
      <c r="AJ438" s="50"/>
      <c r="AK438" s="50">
        <v>18.2</v>
      </c>
      <c r="AL438" s="50"/>
      <c r="AM438" s="50"/>
      <c r="AN438" s="50"/>
      <c r="AO438" s="50"/>
      <c r="AP438" s="50"/>
      <c r="AQ438" s="50"/>
      <c r="AR438" s="50"/>
      <c r="AS438" s="50"/>
      <c r="AT438" s="50"/>
    </row>
    <row r="439" spans="1:52" ht="14">
      <c r="A439" s="53" t="s">
        <v>36</v>
      </c>
      <c r="B439" s="50" t="s">
        <v>1381</v>
      </c>
      <c r="C439" s="7" t="s">
        <v>1482</v>
      </c>
      <c r="D439" s="48" t="s">
        <v>200</v>
      </c>
      <c r="E439" s="50" t="s">
        <v>214</v>
      </c>
      <c r="G439" s="76" t="s">
        <v>1480</v>
      </c>
      <c r="H439" s="50">
        <v>4953</v>
      </c>
      <c r="J439" s="50" t="s">
        <v>1483</v>
      </c>
      <c r="K439" s="51">
        <v>41201</v>
      </c>
      <c r="L439" s="115">
        <v>41198</v>
      </c>
      <c r="M439" s="50">
        <f t="shared" si="29"/>
        <v>3</v>
      </c>
      <c r="N439" s="50" t="s">
        <v>2</v>
      </c>
      <c r="O439" s="74">
        <v>0.7</v>
      </c>
      <c r="P439" s="117">
        <v>5.92</v>
      </c>
      <c r="Q439" s="131">
        <v>6.8</v>
      </c>
      <c r="R439" s="50">
        <v>5</v>
      </c>
      <c r="S439" s="74">
        <v>2.5</v>
      </c>
      <c r="T439" s="50">
        <v>0.03</v>
      </c>
      <c r="U439" s="74">
        <v>0.34</v>
      </c>
      <c r="V439" s="50">
        <v>0.03</v>
      </c>
      <c r="W439" s="74">
        <v>2.5000000000000001E-3</v>
      </c>
      <c r="X439" s="50">
        <v>8.0000000000000002E-3</v>
      </c>
      <c r="Y439" s="74">
        <v>5.0000000000000001E-3</v>
      </c>
      <c r="Z439" s="164">
        <v>1</v>
      </c>
      <c r="AA439" s="165">
        <v>1</v>
      </c>
      <c r="AB439" s="50">
        <v>1</v>
      </c>
      <c r="AC439" s="74">
        <v>10</v>
      </c>
      <c r="AD439" s="164">
        <v>1</v>
      </c>
      <c r="AE439" s="164"/>
      <c r="AF439" s="164"/>
      <c r="AG439" s="74"/>
      <c r="AH439" s="49">
        <v>800</v>
      </c>
      <c r="AI439" s="113"/>
      <c r="AJ439" s="50"/>
      <c r="AK439" s="50">
        <v>8.6999999999999994E-2</v>
      </c>
      <c r="AL439" s="50">
        <v>2</v>
      </c>
      <c r="AM439" s="50">
        <v>2.5</v>
      </c>
      <c r="AN439" s="50">
        <v>0.11</v>
      </c>
      <c r="AO439" s="50">
        <v>0.05</v>
      </c>
      <c r="AP439" s="50">
        <v>0.05</v>
      </c>
      <c r="AQ439" s="50">
        <v>0.05</v>
      </c>
      <c r="AR439" s="50">
        <v>0.05</v>
      </c>
      <c r="AS439" s="50">
        <v>8.0000000000000002E-3</v>
      </c>
      <c r="AT439" s="50">
        <v>6.8</v>
      </c>
    </row>
    <row r="440" spans="1:52" ht="14">
      <c r="A440" s="53" t="s">
        <v>36</v>
      </c>
      <c r="B440" s="50" t="s">
        <v>1381</v>
      </c>
      <c r="C440" s="74"/>
      <c r="D440" s="48" t="s">
        <v>200</v>
      </c>
      <c r="E440" s="74" t="s">
        <v>214</v>
      </c>
      <c r="G440" s="48" t="s">
        <v>1480</v>
      </c>
      <c r="H440" s="74">
        <v>9199</v>
      </c>
      <c r="I440" s="50" t="s">
        <v>1</v>
      </c>
      <c r="J440" s="339" t="s">
        <v>2366</v>
      </c>
      <c r="K440" s="51">
        <v>41487</v>
      </c>
      <c r="L440" s="173">
        <v>41481</v>
      </c>
      <c r="M440" s="50">
        <f t="shared" si="29"/>
        <v>6</v>
      </c>
      <c r="N440" s="50" t="s">
        <v>2</v>
      </c>
      <c r="O440" s="74">
        <v>0.7</v>
      </c>
      <c r="P440" s="50">
        <v>4.78</v>
      </c>
      <c r="Q440" s="74">
        <v>6.6</v>
      </c>
      <c r="R440" s="50">
        <v>193</v>
      </c>
      <c r="S440" s="74">
        <v>40</v>
      </c>
      <c r="T440" s="50">
        <v>0.87</v>
      </c>
      <c r="U440" s="131">
        <v>3.74</v>
      </c>
      <c r="V440" s="50">
        <v>1.85</v>
      </c>
      <c r="W440" s="74">
        <v>3.5000000000000003E-2</v>
      </c>
      <c r="X440" s="50">
        <v>0.223</v>
      </c>
      <c r="Y440" s="74">
        <v>3.0000000000000001E-3</v>
      </c>
      <c r="Z440" s="50"/>
      <c r="AA440" s="164"/>
      <c r="AB440" s="74"/>
      <c r="AC440" s="50"/>
      <c r="AD440" s="165"/>
      <c r="AE440" s="164"/>
      <c r="AG440" s="50"/>
      <c r="AH440" s="50"/>
      <c r="AI440" s="50"/>
      <c r="AJ440" s="50"/>
      <c r="AK440" s="50"/>
      <c r="AL440" s="50"/>
      <c r="AM440" s="50"/>
      <c r="AN440" s="50"/>
      <c r="AO440" s="114"/>
      <c r="AP440" s="114"/>
      <c r="AQ440" s="50"/>
      <c r="AR440" s="49"/>
      <c r="AS440" s="50"/>
      <c r="AT440" s="49"/>
      <c r="AU440" s="50"/>
      <c r="AV440" s="2"/>
      <c r="AW440" s="1"/>
      <c r="AX440" s="5"/>
      <c r="AZ440" s="3"/>
    </row>
    <row r="441" spans="1:52" ht="14">
      <c r="A441" s="74" t="s">
        <v>36</v>
      </c>
      <c r="B441" s="50" t="s">
        <v>4155</v>
      </c>
      <c r="C441" s="50" t="s">
        <v>4156</v>
      </c>
      <c r="D441" s="48" t="s">
        <v>4157</v>
      </c>
      <c r="G441" s="76" t="s">
        <v>4158</v>
      </c>
      <c r="H441" s="50">
        <v>9199</v>
      </c>
      <c r="I441" s="49" t="s">
        <v>2</v>
      </c>
      <c r="J441" s="50" t="s">
        <v>4159</v>
      </c>
      <c r="K441" s="51">
        <v>41402</v>
      </c>
      <c r="L441" s="115">
        <v>41384</v>
      </c>
      <c r="M441" s="50">
        <f t="shared" si="29"/>
        <v>18</v>
      </c>
      <c r="N441" s="50" t="s">
        <v>2</v>
      </c>
      <c r="O441" s="74">
        <v>49.2</v>
      </c>
      <c r="P441" s="117">
        <v>7</v>
      </c>
      <c r="Q441" s="131">
        <v>7.4</v>
      </c>
      <c r="R441" s="50">
        <v>276</v>
      </c>
      <c r="S441" s="74">
        <v>624</v>
      </c>
      <c r="T441" s="50">
        <v>0.37</v>
      </c>
      <c r="U441" s="74">
        <v>2.4300000000000002</v>
      </c>
      <c r="V441" s="50">
        <v>0.34</v>
      </c>
      <c r="W441" s="74">
        <v>0.06</v>
      </c>
      <c r="X441" s="50">
        <v>0.01</v>
      </c>
      <c r="Y441" s="74">
        <v>3.9E-2</v>
      </c>
      <c r="Z441" s="164">
        <v>0.70699999999999996</v>
      </c>
      <c r="AA441" s="165">
        <v>0.38300000000000001</v>
      </c>
      <c r="AB441" s="50">
        <v>204</v>
      </c>
      <c r="AC441" s="74">
        <v>10530</v>
      </c>
      <c r="AD441" s="164">
        <v>0.95</v>
      </c>
      <c r="AG441" s="74"/>
      <c r="AH441" s="74"/>
      <c r="AI441" s="113"/>
      <c r="AJ441" s="50"/>
      <c r="AK441" s="74"/>
      <c r="AL441" s="74"/>
      <c r="AM441" s="74"/>
      <c r="AN441" s="74"/>
      <c r="AO441" s="74"/>
      <c r="AP441" s="74"/>
      <c r="AQ441" s="74"/>
      <c r="AR441" s="74"/>
      <c r="AS441" s="74"/>
      <c r="AT441" s="74"/>
    </row>
    <row r="442" spans="1:52" ht="14">
      <c r="A442" s="74" t="s">
        <v>36</v>
      </c>
      <c r="B442" s="50" t="s">
        <v>4155</v>
      </c>
      <c r="C442" s="50" t="s">
        <v>4156</v>
      </c>
      <c r="D442" s="48" t="s">
        <v>4157</v>
      </c>
      <c r="G442" s="76" t="s">
        <v>4158</v>
      </c>
      <c r="H442" s="50">
        <v>9199</v>
      </c>
      <c r="I442" s="49" t="s">
        <v>2</v>
      </c>
      <c r="J442" s="50" t="s">
        <v>4160</v>
      </c>
      <c r="K442" s="51">
        <v>41402</v>
      </c>
      <c r="L442" s="115">
        <v>41384</v>
      </c>
      <c r="M442" s="50">
        <f t="shared" si="29"/>
        <v>18</v>
      </c>
      <c r="N442" s="50" t="s">
        <v>2</v>
      </c>
      <c r="O442" s="74">
        <f>1/2</f>
        <v>0.5</v>
      </c>
      <c r="P442" s="117">
        <v>7</v>
      </c>
      <c r="Q442" s="131">
        <v>7.4</v>
      </c>
      <c r="R442" s="50">
        <v>20</v>
      </c>
      <c r="S442" s="74">
        <v>1</v>
      </c>
      <c r="T442" s="50">
        <v>0.09</v>
      </c>
      <c r="U442" s="74">
        <v>1.1499999999999999</v>
      </c>
      <c r="V442" s="50">
        <v>0.59</v>
      </c>
      <c r="W442" s="74">
        <v>0.02</v>
      </c>
      <c r="X442" s="50">
        <f>0.005/2</f>
        <v>2.5000000000000001E-3</v>
      </c>
      <c r="Y442" s="74">
        <v>1.4E-2</v>
      </c>
      <c r="Z442" s="164">
        <v>1</v>
      </c>
      <c r="AA442" s="165">
        <v>1</v>
      </c>
      <c r="AB442" s="50">
        <v>36</v>
      </c>
      <c r="AC442" s="74">
        <v>121</v>
      </c>
      <c r="AD442" s="164">
        <v>0.95</v>
      </c>
      <c r="AG442" s="74"/>
      <c r="AH442" s="74"/>
      <c r="AI442" s="113"/>
      <c r="AJ442" s="50"/>
      <c r="AK442" s="74"/>
      <c r="AL442" s="74"/>
      <c r="AM442" s="74"/>
      <c r="AN442" s="74"/>
      <c r="AO442" s="74"/>
      <c r="AP442" s="74"/>
      <c r="AQ442" s="74"/>
      <c r="AR442" s="74"/>
      <c r="AS442" s="74"/>
      <c r="AT442" s="74"/>
    </row>
    <row r="443" spans="1:52" ht="14">
      <c r="A443" s="74" t="s">
        <v>36</v>
      </c>
      <c r="B443" s="50" t="s">
        <v>5271</v>
      </c>
      <c r="C443" s="50" t="s">
        <v>5276</v>
      </c>
      <c r="D443" s="48" t="s">
        <v>5272</v>
      </c>
      <c r="E443" s="50" t="s">
        <v>5277</v>
      </c>
      <c r="G443" s="76" t="s">
        <v>5278</v>
      </c>
      <c r="H443" s="50">
        <v>4653</v>
      </c>
      <c r="I443" s="49" t="s">
        <v>2</v>
      </c>
      <c r="J443" s="50" t="s">
        <v>5279</v>
      </c>
      <c r="K443" s="51">
        <v>40996</v>
      </c>
      <c r="L443" s="115">
        <v>40981</v>
      </c>
      <c r="M443" s="50">
        <f t="shared" si="29"/>
        <v>15</v>
      </c>
      <c r="N443" s="50" t="s">
        <v>2</v>
      </c>
      <c r="O443" s="74">
        <v>15.6</v>
      </c>
      <c r="P443" s="117">
        <v>6.8</v>
      </c>
      <c r="Q443" s="131">
        <v>6.8</v>
      </c>
      <c r="R443" s="50">
        <v>101</v>
      </c>
      <c r="S443" s="74">
        <v>268</v>
      </c>
      <c r="T443" s="50">
        <v>0.25</v>
      </c>
      <c r="U443" s="74">
        <v>1.65</v>
      </c>
      <c r="V443" s="50">
        <v>0.28000000000000003</v>
      </c>
      <c r="W443" s="74">
        <v>3.6999999999999998E-2</v>
      </c>
      <c r="X443" s="50">
        <v>9.4E-2</v>
      </c>
      <c r="Y443" s="74">
        <f>0.03/2</f>
        <v>1.4999999999999999E-2</v>
      </c>
      <c r="Z443" s="164">
        <v>1</v>
      </c>
      <c r="AA443" s="165">
        <v>1</v>
      </c>
      <c r="AB443" s="50">
        <v>32</v>
      </c>
      <c r="AC443" s="74">
        <v>368</v>
      </c>
      <c r="AD443" s="164">
        <v>1</v>
      </c>
      <c r="AG443" s="74"/>
      <c r="AH443" s="74"/>
      <c r="AI443" s="113"/>
      <c r="AJ443" s="50"/>
      <c r="AK443" s="74"/>
      <c r="AL443" s="74"/>
      <c r="AM443" s="74"/>
      <c r="AN443" s="74"/>
      <c r="AO443" s="74"/>
      <c r="AP443" s="74"/>
      <c r="AQ443" s="74"/>
      <c r="AR443" s="74"/>
      <c r="AS443" s="74"/>
      <c r="AT443" s="74"/>
    </row>
    <row r="444" spans="1:52" ht="14">
      <c r="A444" s="74" t="s">
        <v>36</v>
      </c>
      <c r="B444" s="50" t="s">
        <v>5271</v>
      </c>
      <c r="C444" s="50" t="s">
        <v>5276</v>
      </c>
      <c r="D444" s="48" t="s">
        <v>5272</v>
      </c>
      <c r="E444" s="50" t="s">
        <v>5277</v>
      </c>
      <c r="G444" s="76" t="s">
        <v>5278</v>
      </c>
      <c r="H444" s="50">
        <v>4653</v>
      </c>
      <c r="I444" s="49" t="s">
        <v>2</v>
      </c>
      <c r="J444" s="50" t="s">
        <v>5279</v>
      </c>
      <c r="K444" s="51">
        <v>41073</v>
      </c>
      <c r="L444" s="115">
        <v>41067</v>
      </c>
      <c r="M444" s="50">
        <f t="shared" si="29"/>
        <v>6</v>
      </c>
      <c r="N444" s="50" t="s">
        <v>2</v>
      </c>
      <c r="O444" s="74">
        <f>2/2</f>
        <v>1</v>
      </c>
      <c r="P444" s="117">
        <v>7.4</v>
      </c>
      <c r="Q444" s="131">
        <v>6.7</v>
      </c>
      <c r="R444" s="50">
        <v>36</v>
      </c>
      <c r="S444" s="74">
        <v>45</v>
      </c>
      <c r="T444" s="50">
        <v>0.13</v>
      </c>
      <c r="U444" s="74">
        <v>1.47</v>
      </c>
      <c r="V444" s="50">
        <v>0.28999999999999998</v>
      </c>
      <c r="W444" s="74">
        <v>1.4999999999999999E-2</v>
      </c>
      <c r="X444" s="50">
        <v>7.5999999999999998E-2</v>
      </c>
      <c r="Y444" s="74">
        <f>0.03/2</f>
        <v>1.4999999999999999E-2</v>
      </c>
      <c r="Z444" s="164">
        <v>1</v>
      </c>
      <c r="AA444" s="165">
        <v>1</v>
      </c>
      <c r="AB444" s="50">
        <v>19</v>
      </c>
      <c r="AC444" s="74">
        <v>83</v>
      </c>
      <c r="AD444" s="164">
        <v>1</v>
      </c>
      <c r="AG444" s="74"/>
      <c r="AH444" s="74"/>
      <c r="AI444" s="113"/>
      <c r="AJ444" s="50"/>
      <c r="AK444" s="74"/>
      <c r="AL444" s="74"/>
      <c r="AM444" s="74"/>
      <c r="AN444" s="74"/>
      <c r="AO444" s="74"/>
      <c r="AP444" s="74"/>
      <c r="AQ444" s="74"/>
      <c r="AR444" s="74"/>
      <c r="AS444" s="74"/>
      <c r="AT444" s="74"/>
    </row>
    <row r="445" spans="1:52" ht="14">
      <c r="A445" s="74" t="s">
        <v>36</v>
      </c>
      <c r="B445" s="50" t="s">
        <v>5271</v>
      </c>
      <c r="C445" s="50" t="s">
        <v>5276</v>
      </c>
      <c r="D445" s="48" t="s">
        <v>5272</v>
      </c>
      <c r="E445" s="50" t="s">
        <v>5277</v>
      </c>
      <c r="G445" s="76" t="s">
        <v>5278</v>
      </c>
      <c r="H445" s="50">
        <v>4653</v>
      </c>
      <c r="I445" s="49" t="s">
        <v>2</v>
      </c>
      <c r="J445" s="50" t="s">
        <v>5279</v>
      </c>
      <c r="K445" s="51">
        <v>41345</v>
      </c>
      <c r="L445" s="115">
        <v>41332</v>
      </c>
      <c r="M445" s="50">
        <f t="shared" si="29"/>
        <v>13</v>
      </c>
      <c r="N445" s="50" t="s">
        <v>2</v>
      </c>
      <c r="O445" s="74">
        <f>2/2</f>
        <v>1</v>
      </c>
      <c r="P445" s="117">
        <v>7.1</v>
      </c>
      <c r="Q445" s="131">
        <v>6.7</v>
      </c>
      <c r="R445" s="50">
        <v>32</v>
      </c>
      <c r="S445" s="74">
        <v>250</v>
      </c>
      <c r="T445" s="50">
        <v>0.95</v>
      </c>
      <c r="U445" s="74">
        <v>3.34</v>
      </c>
      <c r="V445" s="50">
        <v>0.33</v>
      </c>
      <c r="W445" s="74">
        <v>7.4999999999999997E-2</v>
      </c>
      <c r="X445" s="50">
        <v>0.157</v>
      </c>
      <c r="Y445" s="74">
        <v>4.3999999999999997E-2</v>
      </c>
      <c r="Z445" s="164">
        <v>1</v>
      </c>
      <c r="AA445" s="165">
        <v>1</v>
      </c>
      <c r="AB445" s="50">
        <v>54</v>
      </c>
      <c r="AC445" s="74">
        <v>1840</v>
      </c>
      <c r="AD445" s="164">
        <v>0.5</v>
      </c>
      <c r="AG445" s="74"/>
      <c r="AH445" s="74"/>
      <c r="AI445" s="113"/>
      <c r="AJ445" s="50"/>
      <c r="AK445" s="74"/>
      <c r="AL445" s="74"/>
      <c r="AM445" s="74"/>
      <c r="AN445" s="74"/>
      <c r="AO445" s="74"/>
      <c r="AP445" s="74"/>
      <c r="AQ445" s="74"/>
      <c r="AR445" s="74"/>
      <c r="AS445" s="74"/>
      <c r="AT445" s="74"/>
    </row>
    <row r="446" spans="1:52" ht="14">
      <c r="A446" s="74" t="s">
        <v>36</v>
      </c>
      <c r="B446" s="50" t="s">
        <v>5271</v>
      </c>
      <c r="C446" s="50" t="s">
        <v>5276</v>
      </c>
      <c r="D446" s="48" t="s">
        <v>5272</v>
      </c>
      <c r="E446" s="50" t="s">
        <v>5277</v>
      </c>
      <c r="G446" s="76" t="s">
        <v>5278</v>
      </c>
      <c r="H446" s="50">
        <v>4653</v>
      </c>
      <c r="I446" s="49" t="s">
        <v>2</v>
      </c>
      <c r="J446" s="50" t="s">
        <v>5279</v>
      </c>
      <c r="K446" s="51">
        <v>41529</v>
      </c>
      <c r="L446" s="115">
        <v>41520</v>
      </c>
      <c r="M446" s="50">
        <f t="shared" si="29"/>
        <v>9</v>
      </c>
      <c r="N446" s="50" t="s">
        <v>2</v>
      </c>
      <c r="O446" s="74">
        <f>2/2</f>
        <v>1</v>
      </c>
      <c r="P446" s="117">
        <v>6.3</v>
      </c>
      <c r="Q446" s="131">
        <v>6.5</v>
      </c>
      <c r="R446" s="50">
        <v>35</v>
      </c>
      <c r="S446" s="74">
        <v>92</v>
      </c>
      <c r="T446" s="50">
        <v>0.13</v>
      </c>
      <c r="U446" s="74">
        <v>0.97</v>
      </c>
      <c r="V446" s="50">
        <v>0.39</v>
      </c>
      <c r="W446" s="74">
        <v>1.2E-2</v>
      </c>
      <c r="X446" s="50">
        <v>0.05</v>
      </c>
      <c r="Y446" s="74">
        <f>0.03/2</f>
        <v>1.4999999999999999E-2</v>
      </c>
      <c r="AG446" s="74"/>
      <c r="AH446" s="74"/>
      <c r="AI446" s="113"/>
      <c r="AJ446" s="50"/>
      <c r="AK446" s="74"/>
      <c r="AL446" s="74"/>
      <c r="AM446" s="74"/>
      <c r="AN446" s="74"/>
      <c r="AO446" s="74"/>
      <c r="AP446" s="74"/>
      <c r="AQ446" s="74"/>
      <c r="AR446" s="74"/>
      <c r="AS446" s="74"/>
      <c r="AT446" s="74"/>
    </row>
    <row r="447" spans="1:52" ht="14">
      <c r="A447" s="88" t="s">
        <v>36</v>
      </c>
      <c r="B447" s="50" t="s">
        <v>2707</v>
      </c>
      <c r="C447" s="50" t="s">
        <v>2708</v>
      </c>
      <c r="D447" s="48" t="s">
        <v>379</v>
      </c>
      <c r="E447" s="50" t="s">
        <v>3350</v>
      </c>
      <c r="G447" s="76" t="s">
        <v>2710</v>
      </c>
      <c r="H447" s="50">
        <v>7538</v>
      </c>
      <c r="I447" s="49" t="s">
        <v>2</v>
      </c>
      <c r="J447" s="72" t="s">
        <v>3351</v>
      </c>
      <c r="K447" s="51">
        <v>41579</v>
      </c>
      <c r="L447" s="115">
        <v>41554</v>
      </c>
      <c r="M447" s="50">
        <f t="shared" si="29"/>
        <v>25</v>
      </c>
      <c r="N447" s="50" t="s">
        <v>2</v>
      </c>
      <c r="O447" s="74">
        <v>1.4</v>
      </c>
      <c r="P447" s="117">
        <v>6</v>
      </c>
      <c r="Q447" s="131">
        <v>7.06</v>
      </c>
      <c r="R447" s="50">
        <v>37</v>
      </c>
      <c r="S447" s="74">
        <f>5/2</f>
        <v>2.5</v>
      </c>
      <c r="T447" s="50">
        <v>0.43</v>
      </c>
      <c r="U447" s="74">
        <v>0.82</v>
      </c>
      <c r="V447" s="50">
        <v>0.43</v>
      </c>
      <c r="W447" s="74">
        <v>0.01</v>
      </c>
      <c r="X447" s="50">
        <v>0.05</v>
      </c>
      <c r="Y447" s="74">
        <v>3.0000000000000001E-3</v>
      </c>
      <c r="AE447" s="50">
        <v>55</v>
      </c>
      <c r="AF447" s="50">
        <f>0.01/2</f>
        <v>5.0000000000000001E-3</v>
      </c>
      <c r="AG447" s="74"/>
      <c r="AH447" s="74"/>
      <c r="AI447" s="113"/>
      <c r="AJ447" s="50"/>
      <c r="AK447" s="74"/>
      <c r="AL447" s="74"/>
      <c r="AM447" s="74"/>
      <c r="AN447" s="74"/>
      <c r="AO447" s="74"/>
      <c r="AP447" s="74"/>
      <c r="AQ447" s="74"/>
      <c r="AR447" s="74"/>
      <c r="AS447" s="74"/>
      <c r="AT447" s="74"/>
    </row>
    <row r="448" spans="1:52" ht="14">
      <c r="A448" s="53" t="s">
        <v>36</v>
      </c>
      <c r="B448" s="7" t="s">
        <v>2347</v>
      </c>
      <c r="C448" s="7" t="s">
        <v>393</v>
      </c>
      <c r="D448" s="14" t="s">
        <v>684</v>
      </c>
      <c r="E448" s="7" t="s">
        <v>2812</v>
      </c>
      <c r="F448" s="7"/>
      <c r="G448" s="15" t="s">
        <v>2352</v>
      </c>
      <c r="H448" s="7">
        <v>9199</v>
      </c>
      <c r="I448" s="19" t="s">
        <v>2</v>
      </c>
      <c r="J448" s="7" t="s">
        <v>2353</v>
      </c>
      <c r="K448" s="51">
        <v>41600</v>
      </c>
      <c r="L448" s="115">
        <v>41596</v>
      </c>
      <c r="M448" s="50">
        <f t="shared" si="29"/>
        <v>4</v>
      </c>
      <c r="N448" s="7" t="s">
        <v>2</v>
      </c>
      <c r="O448" s="74">
        <v>6.4</v>
      </c>
      <c r="P448" s="117">
        <v>6.1</v>
      </c>
      <c r="Q448" s="131">
        <v>6.7</v>
      </c>
      <c r="R448" s="50">
        <v>132</v>
      </c>
      <c r="S448" s="74">
        <v>49</v>
      </c>
      <c r="T448" s="50">
        <v>0.26</v>
      </c>
      <c r="U448" s="74">
        <v>1.9</v>
      </c>
      <c r="V448" s="50">
        <v>0.68</v>
      </c>
      <c r="W448" s="74">
        <v>1.7999999999999999E-2</v>
      </c>
      <c r="X448" s="50">
        <v>0.25700000000000001</v>
      </c>
      <c r="Y448" s="74">
        <f>0.03/2</f>
        <v>1.4999999999999999E-2</v>
      </c>
      <c r="Z448" s="164">
        <v>1</v>
      </c>
      <c r="AA448" s="165">
        <v>1</v>
      </c>
      <c r="AB448" s="50">
        <v>19</v>
      </c>
      <c r="AD448" s="164">
        <v>1</v>
      </c>
      <c r="AG448" s="74"/>
      <c r="AH448" s="74"/>
      <c r="AI448" s="113"/>
      <c r="AJ448" s="50"/>
      <c r="AK448" s="74"/>
      <c r="AL448" s="74"/>
      <c r="AM448" s="74"/>
      <c r="AN448" s="74"/>
      <c r="AO448" s="74"/>
      <c r="AP448" s="74"/>
      <c r="AQ448" s="74"/>
      <c r="AR448" s="74"/>
      <c r="AS448" s="74"/>
      <c r="AT448" s="74"/>
    </row>
    <row r="449" spans="1:46" ht="14">
      <c r="A449" s="53" t="s">
        <v>36</v>
      </c>
      <c r="B449" s="7" t="s">
        <v>2347</v>
      </c>
      <c r="C449" s="7" t="s">
        <v>393</v>
      </c>
      <c r="D449" s="14" t="s">
        <v>684</v>
      </c>
      <c r="E449" s="7" t="s">
        <v>2812</v>
      </c>
      <c r="F449" s="7"/>
      <c r="G449" s="15" t="s">
        <v>2352</v>
      </c>
      <c r="H449" s="7">
        <v>9199</v>
      </c>
      <c r="I449" s="19" t="s">
        <v>2</v>
      </c>
      <c r="J449" s="7" t="s">
        <v>2354</v>
      </c>
      <c r="K449" s="51">
        <v>41600</v>
      </c>
      <c r="L449" s="115">
        <v>41596</v>
      </c>
      <c r="M449" s="50">
        <f>K449-L449</f>
        <v>4</v>
      </c>
      <c r="N449" s="7" t="s">
        <v>2</v>
      </c>
      <c r="O449" s="74">
        <v>2.2000000000000002</v>
      </c>
      <c r="P449" s="117">
        <v>6.1</v>
      </c>
      <c r="Q449" s="131">
        <v>6.6</v>
      </c>
      <c r="R449" s="50">
        <v>84</v>
      </c>
      <c r="S449" s="74">
        <v>54</v>
      </c>
      <c r="T449" s="50">
        <v>0.16</v>
      </c>
      <c r="U449" s="74">
        <v>1.35</v>
      </c>
      <c r="V449" s="50">
        <v>0.67</v>
      </c>
      <c r="W449" s="74">
        <v>1.4E-2</v>
      </c>
      <c r="X449" s="50">
        <v>0.503</v>
      </c>
      <c r="Y449" s="74">
        <f>0.03/2</f>
        <v>1.4999999999999999E-2</v>
      </c>
      <c r="Z449" s="164">
        <v>1</v>
      </c>
      <c r="AA449" s="165">
        <v>1</v>
      </c>
      <c r="AB449" s="50">
        <v>17</v>
      </c>
      <c r="AD449" s="164">
        <v>0.75</v>
      </c>
      <c r="AG449" s="74"/>
      <c r="AH449" s="74"/>
      <c r="AI449" s="113"/>
      <c r="AJ449" s="50"/>
      <c r="AK449" s="74"/>
      <c r="AL449" s="74"/>
      <c r="AM449" s="74"/>
      <c r="AN449" s="74"/>
      <c r="AO449" s="74"/>
      <c r="AP449" s="74"/>
      <c r="AQ449" s="74"/>
      <c r="AR449" s="74"/>
      <c r="AS449" s="74"/>
      <c r="AT449" s="74"/>
    </row>
    <row r="450" spans="1:46" ht="14">
      <c r="A450" s="53" t="s">
        <v>36</v>
      </c>
      <c r="B450" s="7" t="s">
        <v>2347</v>
      </c>
      <c r="C450" s="7" t="s">
        <v>393</v>
      </c>
      <c r="D450" s="14" t="s">
        <v>684</v>
      </c>
      <c r="E450" s="7" t="s">
        <v>2812</v>
      </c>
      <c r="F450" s="7"/>
      <c r="G450" s="15" t="s">
        <v>2352</v>
      </c>
      <c r="H450" s="7">
        <v>9199</v>
      </c>
      <c r="I450" s="19" t="s">
        <v>2</v>
      </c>
      <c r="J450" s="7" t="s">
        <v>2355</v>
      </c>
      <c r="K450" s="51">
        <v>41600</v>
      </c>
      <c r="L450" s="115">
        <v>41596</v>
      </c>
      <c r="M450" s="50">
        <f>K450-L450</f>
        <v>4</v>
      </c>
      <c r="N450" s="7" t="s">
        <v>2</v>
      </c>
      <c r="O450" s="74">
        <f>2/2</f>
        <v>1</v>
      </c>
      <c r="P450" s="117">
        <v>6.1</v>
      </c>
      <c r="Q450" s="131">
        <v>6.4</v>
      </c>
      <c r="R450" s="50">
        <f>10/2</f>
        <v>5</v>
      </c>
      <c r="S450" s="74">
        <v>2</v>
      </c>
      <c r="T450" s="50">
        <f>0.05/2</f>
        <v>2.5000000000000001E-2</v>
      </c>
      <c r="U450" s="74">
        <v>0.38</v>
      </c>
      <c r="V450" s="50">
        <v>0.65</v>
      </c>
      <c r="W450" s="74">
        <f>0.01/2</f>
        <v>5.0000000000000001E-3</v>
      </c>
      <c r="X450" s="50">
        <f>0.03/2</f>
        <v>1.4999999999999999E-2</v>
      </c>
      <c r="Y450" s="74">
        <f>0.03/2</f>
        <v>1.4999999999999999E-2</v>
      </c>
      <c r="Z450" s="164">
        <v>1</v>
      </c>
      <c r="AA450" s="165">
        <v>1</v>
      </c>
      <c r="AB450" s="50">
        <v>41</v>
      </c>
      <c r="AD450" s="164">
        <v>1</v>
      </c>
      <c r="AE450" s="50">
        <v>29.3</v>
      </c>
      <c r="AF450" s="50">
        <f>0.05/2</f>
        <v>2.5000000000000001E-2</v>
      </c>
      <c r="AG450" s="74"/>
      <c r="AH450" s="74"/>
      <c r="AI450" s="113"/>
      <c r="AJ450" s="50"/>
      <c r="AK450" s="74"/>
      <c r="AL450" s="74"/>
      <c r="AM450" s="74"/>
      <c r="AN450" s="74"/>
      <c r="AO450" s="74"/>
      <c r="AP450" s="74"/>
      <c r="AQ450" s="74"/>
      <c r="AR450" s="74"/>
      <c r="AS450" s="74"/>
      <c r="AT450" s="74"/>
    </row>
    <row r="451" spans="1:46" ht="14">
      <c r="A451" s="74" t="s">
        <v>36</v>
      </c>
      <c r="B451" s="7" t="s">
        <v>2347</v>
      </c>
      <c r="C451" s="7" t="s">
        <v>393</v>
      </c>
      <c r="D451" s="14" t="s">
        <v>684</v>
      </c>
      <c r="E451" s="7" t="s">
        <v>2812</v>
      </c>
      <c r="F451" s="7"/>
      <c r="G451" s="15" t="s">
        <v>2352</v>
      </c>
      <c r="H451" s="7">
        <v>9199</v>
      </c>
      <c r="I451" s="19" t="s">
        <v>2</v>
      </c>
      <c r="J451" s="7" t="s">
        <v>3020</v>
      </c>
      <c r="K451" s="51">
        <v>41600</v>
      </c>
      <c r="L451" s="115">
        <v>41596</v>
      </c>
      <c r="M451" s="50">
        <f>K451-L451</f>
        <v>4</v>
      </c>
      <c r="N451" s="7" t="s">
        <v>2</v>
      </c>
      <c r="O451" s="74">
        <f>2/2</f>
        <v>1</v>
      </c>
      <c r="P451" s="117">
        <v>6.1</v>
      </c>
      <c r="Q451" s="131">
        <v>7.1</v>
      </c>
      <c r="R451" s="50">
        <f>10/2</f>
        <v>5</v>
      </c>
      <c r="S451" s="74">
        <v>6</v>
      </c>
      <c r="T451" s="50">
        <f>0.05/2</f>
        <v>2.5000000000000001E-2</v>
      </c>
      <c r="U451" s="74">
        <v>0.43</v>
      </c>
      <c r="V451" s="50">
        <v>0.51</v>
      </c>
      <c r="W451" s="74">
        <f>0.01/2</f>
        <v>5.0000000000000001E-3</v>
      </c>
      <c r="X451" s="50">
        <v>3.1E-2</v>
      </c>
      <c r="Y451" s="74">
        <f>0.03/2</f>
        <v>1.4999999999999999E-2</v>
      </c>
      <c r="Z451" s="164">
        <v>1</v>
      </c>
      <c r="AA451" s="165">
        <v>1</v>
      </c>
      <c r="AB451" s="50">
        <v>10</v>
      </c>
      <c r="AD451" s="164">
        <v>1</v>
      </c>
      <c r="AG451" s="74"/>
      <c r="AH451" s="74"/>
      <c r="AI451" s="113"/>
      <c r="AJ451" s="50"/>
      <c r="AK451" s="74"/>
      <c r="AL451" s="74"/>
      <c r="AM451" s="74"/>
      <c r="AN451" s="74"/>
      <c r="AO451" s="74"/>
      <c r="AP451" s="74"/>
      <c r="AQ451" s="74"/>
      <c r="AR451" s="74"/>
      <c r="AS451" s="74"/>
      <c r="AT451" s="74"/>
    </row>
    <row r="452" spans="1:46" ht="14">
      <c r="A452" s="74" t="s">
        <v>36</v>
      </c>
      <c r="B452" s="50" t="s">
        <v>2907</v>
      </c>
      <c r="C452" s="50" t="s">
        <v>2757</v>
      </c>
      <c r="D452" s="48" t="s">
        <v>268</v>
      </c>
      <c r="E452" s="50" t="s">
        <v>2908</v>
      </c>
      <c r="F452" s="50">
        <v>4403</v>
      </c>
      <c r="G452" s="76" t="s">
        <v>2909</v>
      </c>
      <c r="H452" s="50">
        <v>9199</v>
      </c>
      <c r="I452" s="49" t="s">
        <v>1</v>
      </c>
      <c r="J452" s="50" t="s">
        <v>4506</v>
      </c>
      <c r="K452" s="51">
        <v>41614</v>
      </c>
      <c r="L452" s="115">
        <v>41605</v>
      </c>
      <c r="M452" s="402">
        <f>K452-L452</f>
        <v>9</v>
      </c>
      <c r="N452" s="7" t="s">
        <v>2</v>
      </c>
      <c r="P452" s="117"/>
      <c r="Q452" s="131"/>
      <c r="R452" s="50">
        <v>1000</v>
      </c>
      <c r="S452" s="74">
        <v>310</v>
      </c>
      <c r="T452" s="50">
        <v>3.01</v>
      </c>
      <c r="U452" s="74">
        <v>18.600000000000001</v>
      </c>
      <c r="V452" s="50">
        <v>0.78</v>
      </c>
      <c r="W452" s="74">
        <v>0.09</v>
      </c>
      <c r="X452" s="50">
        <v>0.53</v>
      </c>
      <c r="AG452" s="74"/>
      <c r="AH452" s="74">
        <v>1250</v>
      </c>
      <c r="AI452" s="113"/>
      <c r="AJ452" s="50"/>
      <c r="AK452" s="74"/>
      <c r="AL452" s="74"/>
      <c r="AM452" s="74"/>
      <c r="AN452" s="74"/>
      <c r="AO452" s="74"/>
      <c r="AP452" s="74"/>
      <c r="AQ452" s="74"/>
      <c r="AR452" s="74"/>
      <c r="AS452" s="74"/>
      <c r="AT452" s="74"/>
    </row>
    <row r="453" spans="1:46" ht="14">
      <c r="A453" s="41" t="s">
        <v>36</v>
      </c>
      <c r="B453" s="50" t="s">
        <v>4525</v>
      </c>
      <c r="C453" s="50" t="s">
        <v>393</v>
      </c>
      <c r="D453" s="48" t="s">
        <v>1505</v>
      </c>
      <c r="E453" s="50" t="s">
        <v>4009</v>
      </c>
      <c r="G453" s="76" t="s">
        <v>2748</v>
      </c>
      <c r="H453" s="50">
        <v>9199</v>
      </c>
      <c r="I453" s="49" t="s">
        <v>2</v>
      </c>
      <c r="J453" s="50" t="s">
        <v>2749</v>
      </c>
      <c r="K453" s="51">
        <v>41579</v>
      </c>
      <c r="L453" s="115">
        <v>41554</v>
      </c>
      <c r="M453" s="50">
        <f t="shared" si="29"/>
        <v>25</v>
      </c>
      <c r="N453" s="50" t="s">
        <v>2</v>
      </c>
      <c r="P453" s="117"/>
      <c r="Q453" s="131"/>
      <c r="S453" s="74">
        <v>240</v>
      </c>
      <c r="T453" s="50">
        <v>0.46</v>
      </c>
      <c r="AG453" s="74"/>
      <c r="AH453" s="74"/>
      <c r="AI453" s="113"/>
      <c r="AJ453" s="50"/>
      <c r="AK453" s="74"/>
      <c r="AL453" s="74"/>
      <c r="AM453" s="74"/>
      <c r="AN453" s="74"/>
      <c r="AO453" s="74"/>
      <c r="AP453" s="74"/>
      <c r="AQ453" s="74"/>
      <c r="AR453" s="74"/>
      <c r="AS453" s="74"/>
      <c r="AT453" s="74"/>
    </row>
    <row r="454" spans="1:46" ht="14">
      <c r="A454" s="53" t="s">
        <v>36</v>
      </c>
      <c r="B454" s="50" t="s">
        <v>5046</v>
      </c>
      <c r="C454" s="50" t="s">
        <v>2821</v>
      </c>
      <c r="D454" s="48" t="s">
        <v>516</v>
      </c>
      <c r="F454" s="50" t="s">
        <v>4529</v>
      </c>
      <c r="G454" s="76" t="s">
        <v>4530</v>
      </c>
      <c r="H454" s="50">
        <v>9199</v>
      </c>
      <c r="I454" s="49" t="s">
        <v>2</v>
      </c>
      <c r="J454" s="50" t="s">
        <v>510</v>
      </c>
      <c r="K454" s="51">
        <v>41710</v>
      </c>
      <c r="L454" s="115">
        <v>41691</v>
      </c>
      <c r="M454" s="50">
        <f t="shared" si="29"/>
        <v>19</v>
      </c>
      <c r="N454" s="50" t="s">
        <v>2</v>
      </c>
      <c r="O454" s="74">
        <f>1.4/2</f>
        <v>0.7</v>
      </c>
      <c r="P454" s="117">
        <v>6.5</v>
      </c>
      <c r="Q454" s="131">
        <v>7.11</v>
      </c>
      <c r="R454" s="50">
        <v>53</v>
      </c>
      <c r="S454" s="74">
        <v>47</v>
      </c>
      <c r="T454" s="50">
        <v>0.34</v>
      </c>
      <c r="U454" s="74">
        <v>5.66</v>
      </c>
      <c r="V454" s="50">
        <v>0.34</v>
      </c>
      <c r="W454" s="74">
        <f>0.005/2</f>
        <v>2.5000000000000001E-3</v>
      </c>
      <c r="X454" s="50">
        <v>8.9999999999999993E-3</v>
      </c>
      <c r="Y454" s="74">
        <v>8.9999999999999993E-3</v>
      </c>
      <c r="AE454" s="50">
        <v>213</v>
      </c>
      <c r="AF454" s="50">
        <f>0.01/2</f>
        <v>5.0000000000000001E-3</v>
      </c>
      <c r="AG454" s="74"/>
      <c r="AH454" s="74"/>
      <c r="AI454" s="113"/>
      <c r="AJ454" s="50"/>
      <c r="AK454" s="74"/>
      <c r="AL454" s="74"/>
      <c r="AM454" s="74"/>
      <c r="AN454" s="74"/>
      <c r="AO454" s="74"/>
      <c r="AP454" s="74"/>
      <c r="AQ454" s="74"/>
      <c r="AR454" s="74"/>
      <c r="AS454" s="74"/>
      <c r="AT454" s="74"/>
    </row>
    <row r="455" spans="1:46" ht="14">
      <c r="A455" s="53" t="s">
        <v>36</v>
      </c>
      <c r="B455" s="50" t="s">
        <v>2643</v>
      </c>
      <c r="C455" s="50" t="s">
        <v>392</v>
      </c>
      <c r="D455" s="48" t="s">
        <v>290</v>
      </c>
      <c r="E455" s="50" t="s">
        <v>112</v>
      </c>
      <c r="G455" s="76" t="s">
        <v>2644</v>
      </c>
      <c r="H455" s="50">
        <v>4953</v>
      </c>
      <c r="I455" s="49" t="s">
        <v>1</v>
      </c>
      <c r="J455" s="50" t="s">
        <v>2681</v>
      </c>
      <c r="K455" s="51">
        <v>41585</v>
      </c>
      <c r="L455" s="115">
        <v>41554</v>
      </c>
      <c r="M455" s="50">
        <f t="shared" si="29"/>
        <v>31</v>
      </c>
      <c r="N455" s="50" t="s">
        <v>2</v>
      </c>
      <c r="P455" s="117">
        <v>6.5</v>
      </c>
      <c r="Q455" s="131"/>
      <c r="R455" s="50">
        <v>100</v>
      </c>
      <c r="AG455" s="74"/>
      <c r="AH455" s="74"/>
      <c r="AI455" s="113"/>
      <c r="AJ455" s="50"/>
      <c r="AK455" s="74"/>
      <c r="AL455" s="74"/>
      <c r="AM455" s="74"/>
      <c r="AN455" s="74"/>
      <c r="AO455" s="74"/>
      <c r="AP455" s="74"/>
      <c r="AQ455" s="74"/>
      <c r="AR455" s="74"/>
      <c r="AS455" s="74"/>
      <c r="AT455" s="74"/>
    </row>
    <row r="456" spans="1:46" ht="14">
      <c r="A456" s="74" t="s">
        <v>36</v>
      </c>
      <c r="B456" s="50" t="s">
        <v>2643</v>
      </c>
      <c r="C456" s="50" t="s">
        <v>392</v>
      </c>
      <c r="D456" s="48" t="s">
        <v>290</v>
      </c>
      <c r="E456" s="50" t="s">
        <v>112</v>
      </c>
      <c r="G456" s="76" t="s">
        <v>2644</v>
      </c>
      <c r="H456" s="50">
        <v>4953</v>
      </c>
      <c r="I456" s="49" t="s">
        <v>1</v>
      </c>
      <c r="J456" s="50" t="s">
        <v>2645</v>
      </c>
      <c r="K456" s="51">
        <v>41585</v>
      </c>
      <c r="L456" s="115">
        <v>41554</v>
      </c>
      <c r="M456" s="50">
        <f t="shared" si="29"/>
        <v>31</v>
      </c>
      <c r="N456" s="50" t="s">
        <v>2</v>
      </c>
      <c r="P456" s="117">
        <v>6.5</v>
      </c>
      <c r="Q456" s="131"/>
      <c r="T456" s="50">
        <v>1.85</v>
      </c>
      <c r="AG456" s="74"/>
      <c r="AH456" s="74"/>
      <c r="AI456" s="113"/>
      <c r="AJ456" s="50"/>
      <c r="AK456" s="74"/>
      <c r="AL456" s="74"/>
      <c r="AM456" s="74"/>
      <c r="AN456" s="74"/>
      <c r="AO456" s="74"/>
      <c r="AP456" s="74"/>
      <c r="AQ456" s="74"/>
      <c r="AR456" s="74"/>
      <c r="AS456" s="74"/>
      <c r="AT456" s="74"/>
    </row>
    <row r="457" spans="1:46" ht="14">
      <c r="A457" s="53" t="s">
        <v>36</v>
      </c>
      <c r="B457" s="50" t="s">
        <v>5543</v>
      </c>
      <c r="C457" s="7" t="s">
        <v>5544</v>
      </c>
      <c r="D457" s="14" t="s">
        <v>507</v>
      </c>
      <c r="E457" s="7" t="s">
        <v>392</v>
      </c>
      <c r="F457" s="7"/>
      <c r="G457" s="15" t="s">
        <v>5545</v>
      </c>
      <c r="H457" s="7"/>
      <c r="I457" s="19" t="s">
        <v>2</v>
      </c>
      <c r="J457" s="7" t="s">
        <v>5546</v>
      </c>
      <c r="K457" s="51">
        <v>41737</v>
      </c>
      <c r="L457" s="115">
        <v>41733</v>
      </c>
      <c r="M457" s="402">
        <f>K457-L457</f>
        <v>4</v>
      </c>
      <c r="N457" s="50" t="s">
        <v>2</v>
      </c>
      <c r="O457" s="74">
        <v>2.6</v>
      </c>
      <c r="P457" s="50">
        <v>6</v>
      </c>
      <c r="Q457" s="74">
        <v>6.6</v>
      </c>
      <c r="R457" s="50">
        <v>32</v>
      </c>
      <c r="S457" s="74">
        <v>24</v>
      </c>
      <c r="T457" s="50">
        <v>0.14000000000000001</v>
      </c>
      <c r="U457" s="74">
        <v>1.1000000000000001</v>
      </c>
      <c r="V457" s="50">
        <v>0.1</v>
      </c>
      <c r="W457" s="74">
        <v>8.2000000000000007E-3</v>
      </c>
      <c r="X457" s="50">
        <v>4.2000000000000003E-2</v>
      </c>
      <c r="Y457" s="74">
        <f>0.002/2</f>
        <v>1E-3</v>
      </c>
      <c r="Z457" s="164">
        <v>1</v>
      </c>
      <c r="AA457" s="165">
        <v>1</v>
      </c>
      <c r="AB457" s="50">
        <v>20</v>
      </c>
      <c r="AC457" s="74">
        <v>134</v>
      </c>
      <c r="AD457" s="164">
        <v>1</v>
      </c>
      <c r="AE457" s="1">
        <v>16</v>
      </c>
      <c r="AF457" s="5">
        <f>0.01/2</f>
        <v>5.0000000000000001E-3</v>
      </c>
      <c r="AG457" s="74"/>
      <c r="AH457" s="74"/>
      <c r="AI457" s="113"/>
      <c r="AJ457" s="50"/>
      <c r="AK457" s="74"/>
      <c r="AL457" s="74"/>
      <c r="AM457" s="74"/>
      <c r="AN457" s="74"/>
      <c r="AO457" s="74"/>
      <c r="AP457" s="74"/>
      <c r="AQ457" s="74"/>
      <c r="AR457" s="74"/>
      <c r="AS457" s="74"/>
      <c r="AT457" s="74"/>
    </row>
    <row r="458" spans="1:46" ht="14">
      <c r="A458" s="53" t="s">
        <v>36</v>
      </c>
      <c r="B458" s="50" t="s">
        <v>5543</v>
      </c>
      <c r="C458" s="7" t="s">
        <v>5544</v>
      </c>
      <c r="D458" s="14" t="s">
        <v>507</v>
      </c>
      <c r="E458" s="7" t="s">
        <v>3443</v>
      </c>
      <c r="F458" s="7"/>
      <c r="G458" s="15" t="s">
        <v>5545</v>
      </c>
      <c r="H458" s="7"/>
      <c r="I458" s="19" t="s">
        <v>2</v>
      </c>
      <c r="J458" s="7" t="s">
        <v>5547</v>
      </c>
      <c r="K458" s="51">
        <v>41737</v>
      </c>
      <c r="L458" s="115">
        <v>41733</v>
      </c>
      <c r="M458" s="402">
        <f>K458-L458</f>
        <v>4</v>
      </c>
      <c r="N458" s="50" t="s">
        <v>2</v>
      </c>
      <c r="O458" s="74">
        <v>1.2</v>
      </c>
      <c r="P458" s="50">
        <v>6</v>
      </c>
      <c r="Q458" s="74">
        <v>6.4</v>
      </c>
      <c r="R458" s="50">
        <v>56</v>
      </c>
      <c r="S458" s="74">
        <v>120</v>
      </c>
      <c r="T458" s="50">
        <v>0.23</v>
      </c>
      <c r="U458" s="74">
        <f>0.5/2</f>
        <v>0.25</v>
      </c>
      <c r="V458" s="50">
        <v>7.1999999999999995E-2</v>
      </c>
      <c r="W458" s="74">
        <v>1.4E-2</v>
      </c>
      <c r="X458" s="50">
        <v>3.3000000000000002E-2</v>
      </c>
      <c r="Y458" s="74">
        <v>1.2999999999999999E-2</v>
      </c>
      <c r="Z458" s="164">
        <v>1</v>
      </c>
      <c r="AA458" s="165">
        <v>1</v>
      </c>
      <c r="AB458" s="50">
        <v>14</v>
      </c>
      <c r="AC458" s="74">
        <v>1555</v>
      </c>
      <c r="AD458" s="164">
        <v>1</v>
      </c>
      <c r="AE458" s="1">
        <v>470</v>
      </c>
      <c r="AF458" s="5">
        <v>1.9E-2</v>
      </c>
      <c r="AG458" s="74"/>
      <c r="AH458" s="74"/>
      <c r="AI458" s="113"/>
      <c r="AJ458" s="50"/>
      <c r="AK458" s="74"/>
      <c r="AL458" s="74"/>
      <c r="AM458" s="74"/>
      <c r="AN458" s="74"/>
      <c r="AO458" s="74"/>
      <c r="AP458" s="74"/>
      <c r="AQ458" s="74"/>
      <c r="AR458" s="74"/>
      <c r="AS458" s="74"/>
      <c r="AT458" s="74"/>
    </row>
    <row r="459" spans="1:46" ht="14">
      <c r="A459" s="41" t="s">
        <v>36</v>
      </c>
      <c r="B459" s="50" t="s">
        <v>2107</v>
      </c>
      <c r="C459" s="50" t="s">
        <v>3189</v>
      </c>
      <c r="D459" s="48" t="s">
        <v>308</v>
      </c>
      <c r="E459" s="50" t="s">
        <v>235</v>
      </c>
      <c r="G459" s="76" t="s">
        <v>2876</v>
      </c>
      <c r="H459" s="50">
        <v>9199</v>
      </c>
      <c r="I459" s="49" t="s">
        <v>1</v>
      </c>
      <c r="J459" s="50" t="s">
        <v>194</v>
      </c>
      <c r="K459" s="51">
        <v>41631</v>
      </c>
      <c r="L459" s="115">
        <v>41625</v>
      </c>
      <c r="M459" s="402">
        <f>K459-L459</f>
        <v>6</v>
      </c>
      <c r="N459" s="50" t="s">
        <v>2</v>
      </c>
      <c r="O459" s="74">
        <f>2/2</f>
        <v>1</v>
      </c>
      <c r="P459" s="117">
        <v>7.5</v>
      </c>
      <c r="Q459" s="131">
        <v>6.9</v>
      </c>
      <c r="R459" s="50">
        <v>66</v>
      </c>
      <c r="S459" s="74">
        <v>72</v>
      </c>
      <c r="T459" s="50">
        <v>0.11</v>
      </c>
      <c r="U459" s="74">
        <v>0.85</v>
      </c>
      <c r="V459" s="50">
        <v>0.13</v>
      </c>
      <c r="W459" s="74">
        <v>2.5999999999999999E-2</v>
      </c>
      <c r="X459" s="50">
        <v>7.0999999999999994E-2</v>
      </c>
      <c r="Y459" s="74">
        <f>0.03/2</f>
        <v>1.4999999999999999E-2</v>
      </c>
      <c r="AE459" s="50">
        <v>1620</v>
      </c>
      <c r="AF459" s="50">
        <f>0.05/2</f>
        <v>2.5000000000000001E-2</v>
      </c>
      <c r="AG459" s="74"/>
      <c r="AH459" s="74"/>
      <c r="AI459" s="113"/>
      <c r="AJ459" s="50"/>
      <c r="AK459" s="74"/>
      <c r="AL459" s="74"/>
      <c r="AM459" s="74"/>
      <c r="AN459" s="74"/>
      <c r="AO459" s="74"/>
      <c r="AP459" s="74"/>
      <c r="AQ459" s="74"/>
      <c r="AR459" s="74"/>
      <c r="AS459" s="74"/>
      <c r="AT459" s="74"/>
    </row>
    <row r="460" spans="1:46" ht="14">
      <c r="A460" s="74" t="s">
        <v>36</v>
      </c>
      <c r="B460" s="50" t="s">
        <v>2107</v>
      </c>
      <c r="C460" s="50" t="s">
        <v>3189</v>
      </c>
      <c r="D460" s="48" t="s">
        <v>308</v>
      </c>
      <c r="E460" s="50" t="s">
        <v>235</v>
      </c>
      <c r="G460" s="76" t="s">
        <v>2876</v>
      </c>
      <c r="H460" s="50">
        <v>9199</v>
      </c>
      <c r="I460" s="49" t="s">
        <v>1</v>
      </c>
      <c r="J460" s="50" t="s">
        <v>194</v>
      </c>
      <c r="K460" s="51">
        <v>41726</v>
      </c>
      <c r="L460" s="115">
        <v>41720</v>
      </c>
      <c r="M460" s="402">
        <f>K460-L460</f>
        <v>6</v>
      </c>
      <c r="N460" s="50" t="s">
        <v>2</v>
      </c>
      <c r="O460" s="74">
        <v>2.1</v>
      </c>
      <c r="P460" s="117">
        <v>6.6</v>
      </c>
      <c r="Q460" s="131">
        <v>7.2</v>
      </c>
      <c r="R460" s="50">
        <v>155</v>
      </c>
      <c r="S460" s="74">
        <v>76</v>
      </c>
      <c r="AG460" s="74"/>
      <c r="AH460" s="74"/>
      <c r="AI460" s="113"/>
      <c r="AJ460" s="50"/>
      <c r="AK460" s="74"/>
      <c r="AL460" s="74"/>
      <c r="AM460" s="74"/>
      <c r="AN460" s="74"/>
      <c r="AO460" s="74"/>
      <c r="AP460" s="74"/>
      <c r="AQ460" s="74"/>
      <c r="AR460" s="74"/>
      <c r="AS460" s="74"/>
      <c r="AT460" s="74"/>
    </row>
    <row r="461" spans="1:46" ht="14">
      <c r="A461" s="53" t="s">
        <v>36</v>
      </c>
      <c r="B461" s="50" t="s">
        <v>2877</v>
      </c>
      <c r="C461" s="50" t="s">
        <v>2882</v>
      </c>
      <c r="D461" s="48" t="s">
        <v>1175</v>
      </c>
      <c r="E461" s="50" t="s">
        <v>2883</v>
      </c>
      <c r="F461" s="50" t="s">
        <v>2884</v>
      </c>
      <c r="G461" s="76" t="s">
        <v>2885</v>
      </c>
      <c r="H461" s="50">
        <v>9199</v>
      </c>
      <c r="I461" s="49" t="s">
        <v>2</v>
      </c>
      <c r="J461" s="50" t="s">
        <v>856</v>
      </c>
      <c r="K461" s="51">
        <v>41744</v>
      </c>
      <c r="L461" s="115"/>
      <c r="M461" s="50" t="s">
        <v>5617</v>
      </c>
      <c r="N461" s="50" t="s">
        <v>2</v>
      </c>
      <c r="P461" s="117"/>
      <c r="Q461" s="131">
        <v>6.98</v>
      </c>
      <c r="S461" s="74">
        <v>200</v>
      </c>
      <c r="AE461" s="50">
        <v>35.5</v>
      </c>
      <c r="AF461" s="50">
        <v>0.01</v>
      </c>
      <c r="AG461" s="74"/>
      <c r="AH461" s="74"/>
      <c r="AI461" s="113"/>
      <c r="AJ461" s="50"/>
      <c r="AK461" s="74"/>
      <c r="AL461" s="74"/>
      <c r="AM461" s="74"/>
      <c r="AN461" s="74"/>
      <c r="AO461" s="74"/>
      <c r="AP461" s="74"/>
      <c r="AQ461" s="74"/>
      <c r="AR461" s="74"/>
      <c r="AS461" s="74"/>
      <c r="AT461" s="74"/>
    </row>
    <row r="462" spans="1:46" ht="14">
      <c r="A462" s="53" t="s">
        <v>36</v>
      </c>
      <c r="B462" s="50" t="s">
        <v>2877</v>
      </c>
      <c r="C462" s="50" t="s">
        <v>2878</v>
      </c>
      <c r="D462" s="48" t="s">
        <v>1175</v>
      </c>
      <c r="E462" s="50" t="s">
        <v>4154</v>
      </c>
      <c r="F462" s="50" t="s">
        <v>2880</v>
      </c>
      <c r="G462" s="76" t="s">
        <v>2881</v>
      </c>
      <c r="H462" s="50">
        <v>9199</v>
      </c>
      <c r="I462" s="49" t="s">
        <v>1</v>
      </c>
      <c r="J462" s="50" t="s">
        <v>856</v>
      </c>
      <c r="K462" s="51">
        <v>41744</v>
      </c>
      <c r="L462" s="115"/>
      <c r="M462" s="50" t="s">
        <v>5617</v>
      </c>
      <c r="N462" s="50" t="s">
        <v>2</v>
      </c>
      <c r="P462" s="117"/>
      <c r="Q462" s="131"/>
      <c r="R462" s="50">
        <v>161</v>
      </c>
      <c r="S462" s="74">
        <v>410</v>
      </c>
      <c r="T462" s="50">
        <v>0.63</v>
      </c>
      <c r="U462" s="74">
        <v>2.61</v>
      </c>
      <c r="AG462" s="74"/>
      <c r="AH462" s="74">
        <v>60</v>
      </c>
      <c r="AI462" s="113"/>
      <c r="AJ462" s="50"/>
      <c r="AK462" s="74"/>
      <c r="AL462" s="74"/>
      <c r="AM462" s="74"/>
      <c r="AN462" s="74"/>
      <c r="AO462" s="74"/>
      <c r="AP462" s="74"/>
      <c r="AQ462" s="74"/>
      <c r="AR462" s="74"/>
      <c r="AS462" s="74"/>
      <c r="AT462" s="74"/>
    </row>
    <row r="463" spans="1:46" ht="14">
      <c r="A463" s="53" t="s">
        <v>36</v>
      </c>
      <c r="B463" s="50" t="s">
        <v>3499</v>
      </c>
      <c r="C463" s="50" t="s">
        <v>2660</v>
      </c>
      <c r="D463" s="48" t="s">
        <v>640</v>
      </c>
      <c r="E463" s="50" t="s">
        <v>3500</v>
      </c>
      <c r="G463" s="76" t="s">
        <v>646</v>
      </c>
      <c r="H463" s="50">
        <v>9199</v>
      </c>
      <c r="I463" s="49" t="s">
        <v>2</v>
      </c>
      <c r="J463" s="50" t="s">
        <v>647</v>
      </c>
      <c r="K463" s="51">
        <v>41717</v>
      </c>
      <c r="L463" s="115">
        <v>41710</v>
      </c>
      <c r="M463" s="402">
        <f>K463-L463</f>
        <v>7</v>
      </c>
      <c r="N463" s="50" t="s">
        <v>2</v>
      </c>
      <c r="P463" s="117">
        <v>5.52</v>
      </c>
      <c r="Q463" s="131">
        <v>6.57</v>
      </c>
      <c r="R463" s="50">
        <v>1203</v>
      </c>
      <c r="S463" s="74">
        <v>580</v>
      </c>
      <c r="T463" s="50">
        <v>0.2</v>
      </c>
      <c r="U463" s="74">
        <v>1.02</v>
      </c>
      <c r="W463" s="74">
        <v>2.5000000000000001E-2</v>
      </c>
      <c r="X463" s="50">
        <v>0.14599999999999999</v>
      </c>
      <c r="AG463" s="74"/>
      <c r="AH463" s="74"/>
      <c r="AI463" s="113"/>
      <c r="AJ463" s="50"/>
      <c r="AK463" s="74"/>
      <c r="AL463" s="74"/>
      <c r="AM463" s="74"/>
      <c r="AN463" s="74"/>
      <c r="AO463" s="74"/>
      <c r="AP463" s="74"/>
      <c r="AQ463" s="74"/>
      <c r="AR463" s="74"/>
      <c r="AS463" s="74"/>
      <c r="AT463" s="74"/>
    </row>
    <row r="464" spans="1:46" ht="14">
      <c r="A464" s="53" t="s">
        <v>36</v>
      </c>
      <c r="B464" s="7" t="s">
        <v>2961</v>
      </c>
      <c r="C464" s="7" t="s">
        <v>395</v>
      </c>
      <c r="D464" s="14" t="s">
        <v>2962</v>
      </c>
      <c r="E464" s="7" t="s">
        <v>5914</v>
      </c>
      <c r="F464" s="7"/>
      <c r="G464" s="15" t="s">
        <v>2964</v>
      </c>
      <c r="H464" s="7"/>
      <c r="I464" s="19" t="s">
        <v>2</v>
      </c>
      <c r="J464" s="7" t="s">
        <v>5915</v>
      </c>
      <c r="K464" s="51">
        <v>41744</v>
      </c>
      <c r="L464" s="115"/>
      <c r="N464" s="7" t="s">
        <v>2</v>
      </c>
      <c r="O464" s="74">
        <f>1.7/2</f>
        <v>0.85</v>
      </c>
      <c r="P464" s="117">
        <v>6.3</v>
      </c>
      <c r="Q464" s="131">
        <v>8</v>
      </c>
      <c r="R464" s="50">
        <f>20/2</f>
        <v>10</v>
      </c>
      <c r="S464" s="74">
        <v>272</v>
      </c>
      <c r="T464" s="50">
        <v>0.32100000000000001</v>
      </c>
      <c r="U464" s="74">
        <v>1.7</v>
      </c>
      <c r="V464" s="50">
        <v>0.55000000000000004</v>
      </c>
      <c r="W464" s="74">
        <v>2.1000000000000001E-2</v>
      </c>
      <c r="X464" s="50">
        <v>8.7999999999999995E-2</v>
      </c>
      <c r="Y464" s="74">
        <v>1.21E-2</v>
      </c>
      <c r="Z464" s="164">
        <v>1</v>
      </c>
      <c r="AA464" s="165">
        <v>1</v>
      </c>
      <c r="AB464" s="50">
        <v>90</v>
      </c>
      <c r="AC464" s="74">
        <v>792</v>
      </c>
      <c r="AD464" s="164">
        <v>1</v>
      </c>
      <c r="AG464" s="74"/>
      <c r="AH464" s="74"/>
      <c r="AI464" s="113"/>
      <c r="AJ464" s="50"/>
      <c r="AK464" s="74"/>
      <c r="AL464" s="50"/>
      <c r="AM464" s="74"/>
      <c r="AN464" s="50"/>
      <c r="AO464" s="74"/>
      <c r="AP464" s="50"/>
      <c r="AQ464" s="74"/>
      <c r="AR464" s="50"/>
      <c r="AS464" s="74"/>
      <c r="AT464" s="50"/>
    </row>
    <row r="465" spans="1:46" ht="14">
      <c r="A465" s="53" t="s">
        <v>36</v>
      </c>
      <c r="B465" s="7" t="s">
        <v>2790</v>
      </c>
      <c r="C465" s="7" t="s">
        <v>2757</v>
      </c>
      <c r="D465" s="14" t="s">
        <v>303</v>
      </c>
      <c r="E465" s="7" t="s">
        <v>2791</v>
      </c>
      <c r="F465" s="7"/>
      <c r="G465" s="15" t="s">
        <v>2792</v>
      </c>
      <c r="H465" s="7">
        <v>9199</v>
      </c>
      <c r="I465" s="19" t="s">
        <v>2</v>
      </c>
      <c r="J465" s="7" t="s">
        <v>2793</v>
      </c>
      <c r="K465" s="51">
        <v>41727</v>
      </c>
      <c r="L465" s="115">
        <v>41718</v>
      </c>
      <c r="M465" s="402">
        <f>K465-L465</f>
        <v>9</v>
      </c>
      <c r="N465" s="7" t="s">
        <v>2</v>
      </c>
      <c r="O465" s="74">
        <v>5.7</v>
      </c>
      <c r="P465" s="117"/>
      <c r="Q465" s="131"/>
      <c r="R465" s="50">
        <v>83</v>
      </c>
      <c r="S465" s="74">
        <v>7.5</v>
      </c>
      <c r="T465" s="50">
        <v>0.32</v>
      </c>
      <c r="U465" s="74">
        <v>1.28</v>
      </c>
      <c r="W465" s="74">
        <v>1.9E-2</v>
      </c>
      <c r="X465" s="50">
        <v>7.0999999999999994E-2</v>
      </c>
      <c r="Y465" s="74">
        <v>2.3E-2</v>
      </c>
      <c r="AG465" s="74"/>
      <c r="AH465" s="74"/>
      <c r="AI465" s="113"/>
      <c r="AJ465" s="50"/>
      <c r="AK465" s="74"/>
      <c r="AL465" s="50"/>
      <c r="AM465" s="74"/>
      <c r="AN465" s="50"/>
      <c r="AO465" s="74"/>
      <c r="AP465" s="50"/>
      <c r="AQ465" s="74"/>
      <c r="AR465" s="50"/>
      <c r="AS465" s="74"/>
      <c r="AT465" s="50"/>
    </row>
    <row r="466" spans="1:46" ht="14">
      <c r="A466" s="53" t="s">
        <v>36</v>
      </c>
      <c r="B466" s="7" t="s">
        <v>3456</v>
      </c>
      <c r="C466" s="7" t="s">
        <v>3489</v>
      </c>
      <c r="D466" s="14" t="s">
        <v>165</v>
      </c>
      <c r="E466" s="7"/>
      <c r="F466" s="7" t="s">
        <v>3490</v>
      </c>
      <c r="G466" s="15" t="s">
        <v>3491</v>
      </c>
      <c r="H466" s="7">
        <v>9199</v>
      </c>
      <c r="I466" s="19"/>
      <c r="J466" s="7" t="s">
        <v>510</v>
      </c>
      <c r="K466" s="51">
        <v>41585</v>
      </c>
      <c r="L466" s="115">
        <v>41552</v>
      </c>
      <c r="M466" s="402">
        <f>K466-L466</f>
        <v>33</v>
      </c>
      <c r="N466" s="7" t="s">
        <v>2</v>
      </c>
      <c r="O466" s="74">
        <f>1.4/2</f>
        <v>0.7</v>
      </c>
      <c r="P466" s="117">
        <v>6.5</v>
      </c>
      <c r="Q466" s="131">
        <v>6.67</v>
      </c>
      <c r="R466" s="50">
        <v>41</v>
      </c>
      <c r="S466" s="74">
        <v>29</v>
      </c>
      <c r="T466" s="50">
        <v>0.05</v>
      </c>
      <c r="U466" s="74">
        <v>0.78</v>
      </c>
      <c r="V466" s="50">
        <v>7.0000000000000007E-2</v>
      </c>
      <c r="W466" s="74">
        <v>7.0000000000000001E-3</v>
      </c>
      <c r="X466" s="50">
        <v>0.184</v>
      </c>
      <c r="Y466" s="74">
        <f>0.002/2</f>
        <v>1E-3</v>
      </c>
      <c r="AG466" s="74"/>
      <c r="AH466" s="74"/>
      <c r="AI466" s="113"/>
      <c r="AJ466" s="50"/>
      <c r="AK466" s="74"/>
      <c r="AL466" s="50"/>
      <c r="AM466" s="74"/>
      <c r="AN466" s="50"/>
      <c r="AO466" s="74"/>
      <c r="AP466" s="50"/>
      <c r="AQ466" s="74"/>
      <c r="AR466" s="50"/>
      <c r="AS466" s="74"/>
      <c r="AT466" s="50"/>
    </row>
    <row r="467" spans="1:46" ht="14">
      <c r="A467" s="53" t="s">
        <v>36</v>
      </c>
      <c r="B467" s="7" t="s">
        <v>2820</v>
      </c>
      <c r="C467" s="7" t="s">
        <v>3992</v>
      </c>
      <c r="D467" s="14" t="s">
        <v>588</v>
      </c>
      <c r="E467" s="7"/>
      <c r="F467" s="7" t="s">
        <v>2822</v>
      </c>
      <c r="G467" s="15" t="s">
        <v>2823</v>
      </c>
      <c r="H467" s="7">
        <v>9199</v>
      </c>
      <c r="I467" s="19" t="s">
        <v>2</v>
      </c>
      <c r="J467" s="7" t="s">
        <v>510</v>
      </c>
      <c r="K467" s="51">
        <v>41605</v>
      </c>
      <c r="L467" s="115">
        <v>41596</v>
      </c>
      <c r="M467" s="50">
        <f t="shared" ref="M467:M476" si="30">K467-L467</f>
        <v>9</v>
      </c>
      <c r="N467" s="7" t="s">
        <v>2</v>
      </c>
      <c r="P467" s="117">
        <v>6.5</v>
      </c>
      <c r="Q467" s="131"/>
      <c r="S467" s="74">
        <v>36</v>
      </c>
      <c r="AE467" s="50">
        <v>31.4</v>
      </c>
      <c r="AF467" s="50">
        <f>0.01/2</f>
        <v>5.0000000000000001E-3</v>
      </c>
      <c r="AG467" s="74"/>
      <c r="AH467" s="74"/>
      <c r="AI467" s="113"/>
      <c r="AJ467" s="50"/>
      <c r="AK467" s="74"/>
      <c r="AL467" s="50"/>
      <c r="AM467" s="74"/>
      <c r="AN467" s="50"/>
      <c r="AO467" s="74"/>
      <c r="AP467" s="50"/>
      <c r="AQ467" s="74"/>
      <c r="AR467" s="50"/>
      <c r="AS467" s="74"/>
      <c r="AT467" s="50"/>
    </row>
    <row r="468" spans="1:46" ht="14">
      <c r="A468" s="293" t="s">
        <v>36</v>
      </c>
      <c r="B468" s="7" t="s">
        <v>2761</v>
      </c>
      <c r="C468" s="7"/>
      <c r="D468" s="14" t="s">
        <v>406</v>
      </c>
      <c r="E468" s="7" t="s">
        <v>398</v>
      </c>
      <c r="F468" s="7"/>
      <c r="G468" s="15" t="s">
        <v>1806</v>
      </c>
      <c r="H468" s="7">
        <v>4952</v>
      </c>
      <c r="I468" s="19"/>
      <c r="J468" s="7" t="s">
        <v>5916</v>
      </c>
      <c r="K468" s="51">
        <v>41529</v>
      </c>
      <c r="L468" s="115">
        <v>41520</v>
      </c>
      <c r="M468" s="402">
        <f t="shared" si="30"/>
        <v>9</v>
      </c>
      <c r="N468" s="7" t="s">
        <v>2</v>
      </c>
      <c r="O468" s="74">
        <f>1.4/2</f>
        <v>0.7</v>
      </c>
      <c r="P468" s="117">
        <v>5.6</v>
      </c>
      <c r="Q468" s="131">
        <v>5.8</v>
      </c>
      <c r="R468" s="50">
        <v>1.3</v>
      </c>
      <c r="S468" s="74">
        <v>43</v>
      </c>
      <c r="T468" s="50">
        <v>0.13</v>
      </c>
      <c r="U468" s="74">
        <v>1.36</v>
      </c>
      <c r="V468" s="50">
        <v>0.18</v>
      </c>
      <c r="W468" s="74">
        <v>1.7000000000000001E-2</v>
      </c>
      <c r="X468" s="50">
        <v>8.6999999999999994E-2</v>
      </c>
      <c r="Y468" s="74">
        <v>1.9E-2</v>
      </c>
      <c r="Z468" s="164">
        <v>1</v>
      </c>
      <c r="AA468" s="165">
        <v>0.77100000000000002</v>
      </c>
      <c r="AB468" s="50">
        <v>4</v>
      </c>
      <c r="AC468" s="74">
        <v>27</v>
      </c>
      <c r="AD468" s="164">
        <v>0.2</v>
      </c>
      <c r="AG468" s="74"/>
      <c r="AH468" s="74"/>
      <c r="AI468" s="113"/>
      <c r="AJ468" s="50"/>
      <c r="AK468" s="74"/>
      <c r="AL468" s="50"/>
      <c r="AM468" s="74"/>
      <c r="AN468" s="50"/>
      <c r="AO468" s="74"/>
      <c r="AP468" s="50"/>
      <c r="AQ468" s="74"/>
      <c r="AR468" s="50"/>
      <c r="AS468" s="74"/>
      <c r="AT468" s="50"/>
    </row>
    <row r="469" spans="1:46" ht="14">
      <c r="A469" s="53" t="s">
        <v>36</v>
      </c>
      <c r="B469" s="7" t="s">
        <v>3442</v>
      </c>
      <c r="C469" s="7" t="s">
        <v>3443</v>
      </c>
      <c r="D469" s="14" t="s">
        <v>818</v>
      </c>
      <c r="E469" s="7" t="s">
        <v>3444</v>
      </c>
      <c r="F469" s="7"/>
      <c r="G469" s="15" t="s">
        <v>3445</v>
      </c>
      <c r="H469" s="7"/>
      <c r="I469" s="19"/>
      <c r="J469" s="7" t="s">
        <v>5917</v>
      </c>
      <c r="K469" s="51">
        <v>41456</v>
      </c>
      <c r="L469" s="115">
        <v>41449</v>
      </c>
      <c r="M469" s="402">
        <f t="shared" si="30"/>
        <v>7</v>
      </c>
      <c r="N469" s="7" t="s">
        <v>2</v>
      </c>
      <c r="O469" s="74">
        <v>5.88</v>
      </c>
      <c r="P469" s="117">
        <v>6.96</v>
      </c>
      <c r="Q469" s="131">
        <v>5.78</v>
      </c>
      <c r="R469" s="50">
        <v>50</v>
      </c>
      <c r="S469" s="74">
        <v>72</v>
      </c>
      <c r="T469" s="50">
        <v>0.23</v>
      </c>
      <c r="U469" s="74">
        <v>1.31</v>
      </c>
      <c r="V469" s="50">
        <v>0.1</v>
      </c>
      <c r="W469" s="74">
        <v>8.9999999999999993E-3</v>
      </c>
      <c r="X469" s="50">
        <v>0.06</v>
      </c>
      <c r="Y469" s="74">
        <v>0.06</v>
      </c>
      <c r="AG469" s="74"/>
      <c r="AH469" s="74"/>
      <c r="AI469" s="113"/>
      <c r="AJ469" s="50"/>
      <c r="AK469" s="74"/>
      <c r="AL469" s="50"/>
      <c r="AM469" s="74"/>
      <c r="AN469" s="50"/>
      <c r="AO469" s="74"/>
      <c r="AP469" s="50"/>
      <c r="AQ469" s="74"/>
      <c r="AR469" s="50"/>
      <c r="AS469" s="74"/>
      <c r="AT469" s="50"/>
    </row>
    <row r="470" spans="1:46" ht="14">
      <c r="A470" s="53" t="s">
        <v>36</v>
      </c>
      <c r="B470" s="7" t="s">
        <v>3442</v>
      </c>
      <c r="C470" s="7" t="s">
        <v>3443</v>
      </c>
      <c r="D470" s="14" t="s">
        <v>818</v>
      </c>
      <c r="E470" s="7" t="s">
        <v>3444</v>
      </c>
      <c r="F470" s="7"/>
      <c r="G470" s="15" t="s">
        <v>3445</v>
      </c>
      <c r="H470" s="7"/>
      <c r="I470" s="19" t="s">
        <v>2</v>
      </c>
      <c r="J470" s="7" t="s">
        <v>5918</v>
      </c>
      <c r="K470" s="51">
        <v>41156</v>
      </c>
      <c r="L470" s="115">
        <v>41148</v>
      </c>
      <c r="M470" s="402">
        <f t="shared" si="30"/>
        <v>8</v>
      </c>
      <c r="N470" s="7" t="s">
        <v>2</v>
      </c>
      <c r="O470" s="74">
        <f>5/2</f>
        <v>2.5</v>
      </c>
      <c r="P470" s="117">
        <v>5</v>
      </c>
      <c r="Q470" s="131">
        <v>6.58</v>
      </c>
      <c r="R470" s="50">
        <v>26.3</v>
      </c>
      <c r="S470" s="74">
        <v>19</v>
      </c>
      <c r="T470" s="50">
        <v>0.21</v>
      </c>
      <c r="U470" s="74">
        <f>0.5/2</f>
        <v>0.25</v>
      </c>
      <c r="V470" s="50">
        <v>0.56000000000000005</v>
      </c>
      <c r="W470" s="74">
        <v>5.0000000000000001E-3</v>
      </c>
      <c r="X470" s="50">
        <v>0.05</v>
      </c>
      <c r="Y470" s="74">
        <v>2E-3</v>
      </c>
      <c r="AG470" s="74"/>
      <c r="AH470" s="74"/>
      <c r="AI470" s="113"/>
      <c r="AJ470" s="50"/>
      <c r="AK470" s="74"/>
      <c r="AL470" s="50"/>
      <c r="AM470" s="74"/>
      <c r="AN470" s="50"/>
      <c r="AO470" s="74"/>
      <c r="AP470" s="50"/>
      <c r="AQ470" s="74"/>
      <c r="AR470" s="50"/>
      <c r="AS470" s="74"/>
      <c r="AT470" s="50"/>
    </row>
    <row r="471" spans="1:46" ht="14">
      <c r="A471" s="53" t="s">
        <v>36</v>
      </c>
      <c r="B471" s="7" t="s">
        <v>2327</v>
      </c>
      <c r="C471" s="7" t="s">
        <v>5919</v>
      </c>
      <c r="D471" s="14" t="s">
        <v>2328</v>
      </c>
      <c r="E471" s="7" t="s">
        <v>2329</v>
      </c>
      <c r="F471" s="7">
        <v>4607</v>
      </c>
      <c r="G471" s="15" t="s">
        <v>2330</v>
      </c>
      <c r="H471" s="7">
        <v>9199</v>
      </c>
      <c r="I471" s="19" t="s">
        <v>1</v>
      </c>
      <c r="J471" s="7" t="s">
        <v>2332</v>
      </c>
      <c r="K471" s="51">
        <v>41499</v>
      </c>
      <c r="L471" s="115">
        <v>41495</v>
      </c>
      <c r="M471" s="402">
        <f t="shared" si="30"/>
        <v>4</v>
      </c>
      <c r="N471" s="7" t="s">
        <v>2</v>
      </c>
      <c r="O471" s="74">
        <f>1.4/2</f>
        <v>0.7</v>
      </c>
      <c r="P471" s="117">
        <v>4.5999999999999996</v>
      </c>
      <c r="Q471" s="131">
        <v>8.1</v>
      </c>
      <c r="R471" s="50">
        <v>21</v>
      </c>
      <c r="S471" s="74">
        <f>5/2</f>
        <v>2.5</v>
      </c>
      <c r="T471" s="50">
        <v>0.05</v>
      </c>
      <c r="U471" s="74">
        <v>0.42</v>
      </c>
      <c r="V471" s="50">
        <v>1.1599999999999999</v>
      </c>
      <c r="W471" s="74">
        <f>0.005/2</f>
        <v>2.5000000000000001E-3</v>
      </c>
      <c r="X471" s="50">
        <f>0.002/2</f>
        <v>1E-3</v>
      </c>
      <c r="Y471" s="74">
        <v>3.0000000000000001E-3</v>
      </c>
      <c r="Z471" s="164">
        <v>1</v>
      </c>
      <c r="AA471" s="165">
        <v>1</v>
      </c>
      <c r="AB471" s="50">
        <v>134</v>
      </c>
      <c r="AC471" s="74">
        <v>497</v>
      </c>
      <c r="AD471" s="164">
        <v>0.55000000000000004</v>
      </c>
      <c r="AE471" s="50">
        <v>73.8</v>
      </c>
      <c r="AF471" s="50">
        <f>0.01/2</f>
        <v>5.0000000000000001E-3</v>
      </c>
      <c r="AG471" s="74"/>
      <c r="AH471" s="74"/>
      <c r="AI471" s="113"/>
      <c r="AJ471" s="50"/>
      <c r="AK471" s="74"/>
      <c r="AL471" s="50"/>
      <c r="AM471" s="74"/>
      <c r="AN471" s="50"/>
      <c r="AO471" s="74"/>
      <c r="AP471" s="50"/>
      <c r="AQ471" s="74"/>
      <c r="AR471" s="50"/>
      <c r="AS471" s="74"/>
      <c r="AT471" s="50"/>
    </row>
    <row r="472" spans="1:46" ht="14">
      <c r="A472" s="53" t="s">
        <v>36</v>
      </c>
      <c r="B472" s="7" t="s">
        <v>2327</v>
      </c>
      <c r="C472" s="7" t="s">
        <v>5920</v>
      </c>
      <c r="D472" s="14" t="s">
        <v>2328</v>
      </c>
      <c r="E472" s="7" t="s">
        <v>2329</v>
      </c>
      <c r="F472" s="7">
        <v>4607</v>
      </c>
      <c r="G472" s="15" t="s">
        <v>2330</v>
      </c>
      <c r="H472" s="7">
        <v>9199</v>
      </c>
      <c r="I472" s="19" t="s">
        <v>1</v>
      </c>
      <c r="J472" s="7" t="s">
        <v>2331</v>
      </c>
      <c r="K472" s="51">
        <v>41499</v>
      </c>
      <c r="L472" s="115">
        <v>41495</v>
      </c>
      <c r="M472" s="402">
        <f t="shared" si="30"/>
        <v>4</v>
      </c>
      <c r="N472" s="7" t="s">
        <v>2</v>
      </c>
      <c r="O472" s="74">
        <f>1.4/2</f>
        <v>0.7</v>
      </c>
      <c r="P472" s="117">
        <v>4.5999999999999996</v>
      </c>
      <c r="Q472" s="131">
        <v>7.9</v>
      </c>
      <c r="R472" s="50">
        <v>67</v>
      </c>
      <c r="S472" s="74">
        <v>7</v>
      </c>
      <c r="T472" s="50">
        <v>0.19</v>
      </c>
      <c r="U472" s="74">
        <v>1.1000000000000001</v>
      </c>
      <c r="V472" s="50">
        <v>1.3</v>
      </c>
      <c r="W472" s="74">
        <v>6.0000000000000001E-3</v>
      </c>
      <c r="X472" s="50">
        <v>1.4E-2</v>
      </c>
      <c r="Y472" s="74">
        <f>0.002/2</f>
        <v>1E-3</v>
      </c>
      <c r="Z472" s="164">
        <v>1</v>
      </c>
      <c r="AA472" s="165">
        <v>1</v>
      </c>
      <c r="AB472" s="50">
        <v>130</v>
      </c>
      <c r="AC472" s="74">
        <v>923</v>
      </c>
      <c r="AD472" s="164">
        <v>1</v>
      </c>
      <c r="AE472" s="50">
        <v>226</v>
      </c>
      <c r="AF472" s="50">
        <f>0.01/2</f>
        <v>5.0000000000000001E-3</v>
      </c>
      <c r="AG472" s="74"/>
      <c r="AH472" s="74"/>
      <c r="AI472" s="113"/>
      <c r="AJ472" s="50"/>
      <c r="AK472" s="74"/>
      <c r="AL472" s="50"/>
      <c r="AM472" s="74"/>
      <c r="AN472" s="50"/>
      <c r="AO472" s="74"/>
      <c r="AP472" s="50"/>
      <c r="AQ472" s="74"/>
      <c r="AR472" s="50"/>
      <c r="AS472" s="74"/>
      <c r="AT472" s="50"/>
    </row>
    <row r="473" spans="1:46" ht="14">
      <c r="A473" s="53" t="s">
        <v>36</v>
      </c>
      <c r="B473" s="7" t="s">
        <v>2912</v>
      </c>
      <c r="C473" s="7"/>
      <c r="D473" s="14" t="s">
        <v>2913</v>
      </c>
      <c r="E473" s="7" t="s">
        <v>2914</v>
      </c>
      <c r="F473" s="7"/>
      <c r="G473" s="15" t="s">
        <v>5921</v>
      </c>
      <c r="H473" s="7">
        <v>4952</v>
      </c>
      <c r="I473" s="19" t="s">
        <v>1</v>
      </c>
      <c r="J473" s="7" t="s">
        <v>194</v>
      </c>
      <c r="K473" s="51">
        <v>41495</v>
      </c>
      <c r="L473" s="115">
        <v>41490</v>
      </c>
      <c r="M473" s="402">
        <f t="shared" si="30"/>
        <v>5</v>
      </c>
      <c r="N473" s="7" t="s">
        <v>2</v>
      </c>
      <c r="O473" s="74">
        <v>2.1</v>
      </c>
      <c r="P473" s="117"/>
      <c r="Q473" s="131">
        <v>7.3</v>
      </c>
      <c r="R473" s="50">
        <f>10/2</f>
        <v>5</v>
      </c>
      <c r="S473" s="74">
        <v>19</v>
      </c>
      <c r="T473" s="50">
        <v>0.06</v>
      </c>
      <c r="U473" s="74">
        <v>0.28999999999999998</v>
      </c>
      <c r="V473" s="50">
        <f>0.1/2</f>
        <v>0.05</v>
      </c>
      <c r="W473" s="74">
        <f>0.01/2</f>
        <v>5.0000000000000001E-3</v>
      </c>
      <c r="X473" s="50">
        <f>0.03/2</f>
        <v>1.4999999999999999E-2</v>
      </c>
      <c r="Y473" s="74">
        <f>0.03/2</f>
        <v>1.4999999999999999E-2</v>
      </c>
      <c r="AG473" s="74"/>
      <c r="AH473" s="74">
        <v>5600</v>
      </c>
      <c r="AI473" s="113"/>
      <c r="AJ473" s="50"/>
      <c r="AK473" s="74"/>
      <c r="AL473" s="50"/>
      <c r="AM473" s="74"/>
      <c r="AN473" s="50"/>
      <c r="AO473" s="74"/>
      <c r="AP473" s="50"/>
      <c r="AQ473" s="74"/>
      <c r="AR473" s="50"/>
      <c r="AS473" s="74"/>
      <c r="AT473" s="50"/>
    </row>
    <row r="474" spans="1:46" ht="14">
      <c r="A474" s="53" t="s">
        <v>36</v>
      </c>
      <c r="B474" s="7" t="s">
        <v>5922</v>
      </c>
      <c r="C474" s="7"/>
      <c r="D474" s="14" t="s">
        <v>884</v>
      </c>
      <c r="E474" s="7" t="s">
        <v>4069</v>
      </c>
      <c r="F474" s="7"/>
      <c r="G474" s="15" t="s">
        <v>4070</v>
      </c>
      <c r="H474" s="7">
        <v>9199</v>
      </c>
      <c r="I474" s="19" t="s">
        <v>2</v>
      </c>
      <c r="J474" s="7" t="s">
        <v>194</v>
      </c>
      <c r="K474" s="51">
        <v>41487</v>
      </c>
      <c r="L474" s="115">
        <v>41478</v>
      </c>
      <c r="M474" s="402">
        <f t="shared" si="30"/>
        <v>9</v>
      </c>
      <c r="N474" s="7" t="s">
        <v>2</v>
      </c>
      <c r="O474" s="74">
        <f>2/2</f>
        <v>1</v>
      </c>
      <c r="P474" s="117">
        <v>7.5</v>
      </c>
      <c r="Q474" s="131">
        <v>7.5</v>
      </c>
      <c r="R474" s="50">
        <v>18</v>
      </c>
      <c r="S474" s="74">
        <v>146</v>
      </c>
      <c r="T474" s="50">
        <v>0.21</v>
      </c>
      <c r="U474" s="74">
        <v>0.85</v>
      </c>
      <c r="V474" s="50">
        <v>0.34</v>
      </c>
      <c r="W474" s="74">
        <v>2.5000000000000001E-2</v>
      </c>
      <c r="X474" s="50">
        <v>4.2000000000000003E-2</v>
      </c>
      <c r="Y474" s="74">
        <f>0.03/2</f>
        <v>1.4999999999999999E-2</v>
      </c>
      <c r="AE474" s="50">
        <v>107</v>
      </c>
      <c r="AF474" s="50">
        <f>0.05/2</f>
        <v>2.5000000000000001E-2</v>
      </c>
      <c r="AG474" s="74"/>
      <c r="AH474" s="74"/>
      <c r="AI474" s="113"/>
      <c r="AJ474" s="50"/>
      <c r="AK474" s="74"/>
      <c r="AL474" s="50"/>
      <c r="AM474" s="74"/>
      <c r="AN474" s="50"/>
      <c r="AO474" s="74"/>
      <c r="AP474" s="50"/>
      <c r="AQ474" s="74"/>
      <c r="AR474" s="50"/>
      <c r="AS474" s="74"/>
      <c r="AT474" s="50"/>
    </row>
    <row r="475" spans="1:46" ht="14">
      <c r="A475" s="53" t="s">
        <v>36</v>
      </c>
      <c r="B475" s="7" t="s">
        <v>5922</v>
      </c>
      <c r="C475" s="7"/>
      <c r="D475" s="14" t="s">
        <v>884</v>
      </c>
      <c r="E475" s="7" t="s">
        <v>4069</v>
      </c>
      <c r="F475" s="7"/>
      <c r="G475" s="15" t="s">
        <v>4070</v>
      </c>
      <c r="H475" s="7">
        <v>9199</v>
      </c>
      <c r="I475" s="19" t="s">
        <v>2</v>
      </c>
      <c r="J475" s="7" t="s">
        <v>586</v>
      </c>
      <c r="K475" s="51">
        <v>41487</v>
      </c>
      <c r="L475" s="115">
        <v>41478</v>
      </c>
      <c r="M475" s="402">
        <f t="shared" si="30"/>
        <v>9</v>
      </c>
      <c r="N475" s="7" t="s">
        <v>2</v>
      </c>
      <c r="O475" s="74">
        <f>2/2</f>
        <v>1</v>
      </c>
      <c r="P475" s="117">
        <v>7.6</v>
      </c>
      <c r="Q475" s="131">
        <v>7.5</v>
      </c>
      <c r="R475" s="50">
        <v>32</v>
      </c>
      <c r="S475" s="74">
        <v>164</v>
      </c>
      <c r="T475" s="50">
        <v>0.12</v>
      </c>
      <c r="U475" s="74">
        <v>0.83</v>
      </c>
      <c r="V475" s="50">
        <v>0.23</v>
      </c>
      <c r="W475" s="74">
        <f>0.01/2</f>
        <v>5.0000000000000001E-3</v>
      </c>
      <c r="X475" s="50">
        <f>0.03/2</f>
        <v>1.4999999999999999E-2</v>
      </c>
      <c r="Y475" s="74">
        <f>0.03/2</f>
        <v>1.4999999999999999E-2</v>
      </c>
      <c r="AE475" s="50">
        <v>10.5</v>
      </c>
      <c r="AF475" s="50">
        <f>0.05/2</f>
        <v>2.5000000000000001E-2</v>
      </c>
      <c r="AG475" s="74"/>
      <c r="AH475" s="74"/>
      <c r="AI475" s="113"/>
      <c r="AJ475" s="50"/>
      <c r="AK475" s="74"/>
      <c r="AL475" s="50"/>
      <c r="AM475" s="74"/>
      <c r="AN475" s="50"/>
      <c r="AO475" s="74"/>
      <c r="AP475" s="50"/>
      <c r="AQ475" s="74"/>
      <c r="AR475" s="50"/>
      <c r="AS475" s="74"/>
      <c r="AT475" s="50"/>
    </row>
    <row r="476" spans="1:46" ht="14">
      <c r="A476" s="53" t="s">
        <v>36</v>
      </c>
      <c r="B476" s="7" t="s">
        <v>457</v>
      </c>
      <c r="C476" s="7" t="s">
        <v>1482</v>
      </c>
      <c r="D476" s="14" t="s">
        <v>458</v>
      </c>
      <c r="E476" s="7" t="s">
        <v>1245</v>
      </c>
      <c r="F476" s="7">
        <v>4000</v>
      </c>
      <c r="G476" s="15" t="s">
        <v>2739</v>
      </c>
      <c r="H476" s="7">
        <v>9199</v>
      </c>
      <c r="I476" s="19" t="s">
        <v>2</v>
      </c>
      <c r="J476" s="7" t="s">
        <v>510</v>
      </c>
      <c r="K476" s="51">
        <v>41710</v>
      </c>
      <c r="L476" s="115">
        <v>41689</v>
      </c>
      <c r="M476" s="402">
        <f t="shared" si="30"/>
        <v>21</v>
      </c>
      <c r="N476" s="7" t="s">
        <v>1</v>
      </c>
      <c r="O476" s="74">
        <v>4.8</v>
      </c>
      <c r="P476" s="117">
        <v>5.8</v>
      </c>
      <c r="Q476" s="131">
        <v>6.4</v>
      </c>
      <c r="R476" s="50">
        <v>110</v>
      </c>
      <c r="S476" s="74">
        <v>200</v>
      </c>
      <c r="T476" s="50">
        <v>0.42</v>
      </c>
      <c r="U476" s="74">
        <v>1.33</v>
      </c>
      <c r="V476" s="50">
        <v>0.57999999999999996</v>
      </c>
      <c r="W476" s="74">
        <v>3.3000000000000002E-2</v>
      </c>
      <c r="X476" s="50">
        <v>0.11700000000000001</v>
      </c>
      <c r="Y476" s="74">
        <v>7.0000000000000001E-3</v>
      </c>
      <c r="Z476" s="164">
        <v>0.34100000000000003</v>
      </c>
      <c r="AA476" s="165">
        <v>0.29299999999999998</v>
      </c>
      <c r="AB476" s="50">
        <v>400</v>
      </c>
      <c r="AC476" s="74">
        <v>9420</v>
      </c>
      <c r="AD476" s="164">
        <v>0</v>
      </c>
      <c r="AE476" s="50">
        <v>2820</v>
      </c>
      <c r="AF476" s="50">
        <v>0.06</v>
      </c>
      <c r="AG476" s="74"/>
      <c r="AH476" s="74"/>
      <c r="AI476" s="113"/>
      <c r="AJ476" s="50"/>
      <c r="AK476" s="74"/>
      <c r="AL476" s="50"/>
      <c r="AM476" s="74"/>
      <c r="AN476" s="50"/>
      <c r="AO476" s="74"/>
      <c r="AP476" s="50"/>
      <c r="AQ476" s="74"/>
      <c r="AR476" s="50"/>
      <c r="AS476" s="74"/>
      <c r="AT476" s="50"/>
    </row>
    <row r="477" spans="1:46" ht="14">
      <c r="A477" s="293" t="s">
        <v>36</v>
      </c>
      <c r="B477" s="7" t="s">
        <v>5923</v>
      </c>
      <c r="C477" s="7" t="s">
        <v>5924</v>
      </c>
      <c r="D477" s="14" t="s">
        <v>406</v>
      </c>
      <c r="E477" s="7"/>
      <c r="F477" s="7"/>
      <c r="G477" s="15" t="s">
        <v>4311</v>
      </c>
      <c r="H477" s="7"/>
      <c r="I477" s="19" t="s">
        <v>2</v>
      </c>
      <c r="J477" s="7" t="s">
        <v>1392</v>
      </c>
      <c r="K477" s="51">
        <v>41605</v>
      </c>
      <c r="L477" s="115"/>
      <c r="N477" s="7" t="s">
        <v>2</v>
      </c>
      <c r="O477" s="74">
        <v>2.7</v>
      </c>
      <c r="P477" s="117">
        <v>6.26</v>
      </c>
      <c r="Q477" s="131">
        <v>6.33</v>
      </c>
      <c r="R477" s="50">
        <f>10/2</f>
        <v>5</v>
      </c>
      <c r="S477" s="74">
        <v>84</v>
      </c>
      <c r="T477" s="50">
        <v>0.05</v>
      </c>
      <c r="U477" s="74">
        <v>0.37</v>
      </c>
      <c r="V477" s="50">
        <v>7.0000000000000007E-2</v>
      </c>
      <c r="W477" s="74">
        <v>6.4000000000000001E-2</v>
      </c>
      <c r="X477" s="50">
        <v>0.19500000000000001</v>
      </c>
      <c r="Y477" s="74">
        <v>3.4000000000000002E-2</v>
      </c>
      <c r="Z477" s="164">
        <v>1</v>
      </c>
      <c r="AA477" s="165">
        <v>0.70699999999999996</v>
      </c>
      <c r="AB477" s="50">
        <v>8</v>
      </c>
      <c r="AC477" s="74">
        <v>60</v>
      </c>
      <c r="AD477" s="164">
        <v>0</v>
      </c>
    </row>
    <row r="478" spans="1:46" ht="14">
      <c r="A478" s="53" t="s">
        <v>36</v>
      </c>
      <c r="B478" s="7" t="s">
        <v>3123</v>
      </c>
      <c r="C478" s="7" t="s">
        <v>5925</v>
      </c>
      <c r="D478" s="14" t="s">
        <v>3125</v>
      </c>
      <c r="E478" s="7" t="s">
        <v>194</v>
      </c>
      <c r="F478" s="7"/>
      <c r="G478" s="15" t="s">
        <v>3127</v>
      </c>
      <c r="H478" s="7"/>
      <c r="I478" s="19"/>
      <c r="J478" s="7" t="s">
        <v>81</v>
      </c>
      <c r="K478" s="51">
        <v>41726</v>
      </c>
      <c r="L478" s="115" t="s">
        <v>3434</v>
      </c>
      <c r="N478" s="7" t="s">
        <v>2</v>
      </c>
      <c r="O478" s="74">
        <f>2.5/2</f>
        <v>1.25</v>
      </c>
      <c r="P478" s="117">
        <v>6.4</v>
      </c>
      <c r="Q478" s="131">
        <v>6.5</v>
      </c>
      <c r="R478" s="50">
        <v>21.2</v>
      </c>
      <c r="S478" s="74">
        <v>55</v>
      </c>
      <c r="T478" s="50">
        <v>0.44</v>
      </c>
      <c r="U478" s="74">
        <v>1.1299999999999999</v>
      </c>
      <c r="V478" s="50">
        <v>4</v>
      </c>
      <c r="W478" s="74">
        <v>0.08</v>
      </c>
      <c r="X478" s="50">
        <v>0.04</v>
      </c>
      <c r="Y478" s="74">
        <v>4.0000000000000001E-3</v>
      </c>
      <c r="AG478" s="74"/>
      <c r="AH478" s="74"/>
      <c r="AI478" s="113"/>
      <c r="AJ478" s="50"/>
      <c r="AK478" s="74"/>
      <c r="AL478" s="50"/>
      <c r="AM478" s="74"/>
      <c r="AN478" s="50"/>
      <c r="AO478" s="74"/>
      <c r="AP478" s="50"/>
      <c r="AQ478" s="74"/>
      <c r="AR478" s="50"/>
      <c r="AS478" s="74"/>
      <c r="AT478" s="50"/>
    </row>
    <row r="479" spans="1:46" ht="14">
      <c r="A479" s="53" t="s">
        <v>36</v>
      </c>
      <c r="B479" s="7" t="s">
        <v>3123</v>
      </c>
      <c r="C479" s="7" t="s">
        <v>5926</v>
      </c>
      <c r="D479" s="14" t="s">
        <v>3125</v>
      </c>
      <c r="E479" s="7" t="s">
        <v>569</v>
      </c>
      <c r="F479" s="7"/>
      <c r="G479" s="15" t="s">
        <v>3127</v>
      </c>
      <c r="H479" s="7"/>
      <c r="I479" s="19" t="s">
        <v>2</v>
      </c>
      <c r="J479" s="7" t="s">
        <v>114</v>
      </c>
      <c r="K479" s="51">
        <v>41726</v>
      </c>
      <c r="L479" s="115" t="s">
        <v>3434</v>
      </c>
      <c r="N479" s="7" t="s">
        <v>2</v>
      </c>
      <c r="O479" s="74">
        <f>2.5/2</f>
        <v>1.25</v>
      </c>
      <c r="P479" s="117">
        <v>6.4</v>
      </c>
      <c r="Q479" s="131">
        <v>6.6</v>
      </c>
      <c r="R479" s="50">
        <v>33.700000000000003</v>
      </c>
      <c r="S479" s="74">
        <v>53</v>
      </c>
      <c r="T479" s="50">
        <v>0.31</v>
      </c>
      <c r="U479" s="74">
        <v>1.78</v>
      </c>
      <c r="V479" s="50">
        <v>2.93</v>
      </c>
      <c r="W479" s="74">
        <v>0.03</v>
      </c>
      <c r="X479" s="50">
        <f>0.01/2</f>
        <v>5.0000000000000001E-3</v>
      </c>
      <c r="Y479" s="74">
        <f>0.004/2</f>
        <v>2E-3</v>
      </c>
      <c r="AG479" s="74"/>
      <c r="AH479" s="74"/>
      <c r="AI479" s="113"/>
      <c r="AJ479" s="50"/>
      <c r="AK479" s="74"/>
      <c r="AL479" s="50"/>
      <c r="AM479" s="74"/>
      <c r="AN479" s="50"/>
      <c r="AO479" s="74"/>
      <c r="AP479" s="50"/>
      <c r="AQ479" s="74"/>
      <c r="AR479" s="50"/>
      <c r="AS479" s="74"/>
      <c r="AT479" s="50"/>
    </row>
    <row r="480" spans="1:46" ht="14">
      <c r="A480" s="53" t="s">
        <v>36</v>
      </c>
      <c r="B480" s="7" t="s">
        <v>5923</v>
      </c>
      <c r="C480" s="7" t="s">
        <v>4300</v>
      </c>
      <c r="D480" s="14" t="s">
        <v>1565</v>
      </c>
      <c r="E480" s="7"/>
      <c r="F480" s="7"/>
      <c r="G480" s="15" t="s">
        <v>4301</v>
      </c>
      <c r="H480" s="7"/>
      <c r="I480" s="19" t="s">
        <v>2</v>
      </c>
      <c r="J480" s="7" t="s">
        <v>1392</v>
      </c>
      <c r="K480" s="51">
        <v>41605</v>
      </c>
      <c r="L480" s="115"/>
      <c r="N480" s="7" t="s">
        <v>2</v>
      </c>
      <c r="O480" s="74">
        <f t="shared" ref="O480:O487" si="31">1.4/2</f>
        <v>0.7</v>
      </c>
      <c r="P480" s="117">
        <v>6.95</v>
      </c>
      <c r="Q480" s="131">
        <v>7.1</v>
      </c>
      <c r="R480" s="50">
        <f>10/2</f>
        <v>5</v>
      </c>
      <c r="S480" s="74">
        <v>5</v>
      </c>
      <c r="T480" s="50">
        <v>0.05</v>
      </c>
      <c r="U480" s="74">
        <v>0.33</v>
      </c>
      <c r="V480" s="50">
        <v>7.0000000000000007E-2</v>
      </c>
      <c r="W480" s="74">
        <f>0.005/2</f>
        <v>2.5000000000000001E-3</v>
      </c>
      <c r="X480" s="50">
        <v>0.02</v>
      </c>
      <c r="Y480" s="74">
        <f>0.002/2</f>
        <v>1E-3</v>
      </c>
      <c r="Z480" s="164">
        <v>1</v>
      </c>
      <c r="AA480" s="165">
        <v>1</v>
      </c>
      <c r="AB480" s="50">
        <v>4</v>
      </c>
      <c r="AC480" s="74">
        <v>28</v>
      </c>
      <c r="AD480" s="164">
        <v>0.95</v>
      </c>
      <c r="AG480" s="74"/>
      <c r="AH480" s="74"/>
      <c r="AI480" s="113"/>
      <c r="AJ480" s="50"/>
      <c r="AK480" s="74"/>
      <c r="AL480" s="50"/>
      <c r="AM480" s="74"/>
      <c r="AN480" s="50"/>
      <c r="AO480" s="74"/>
      <c r="AP480" s="50"/>
      <c r="AQ480" s="74"/>
      <c r="AR480" s="50"/>
      <c r="AS480" s="74"/>
      <c r="AT480" s="50"/>
    </row>
    <row r="481" spans="1:46" ht="14">
      <c r="A481" s="53" t="s">
        <v>36</v>
      </c>
      <c r="B481" s="7" t="s">
        <v>5923</v>
      </c>
      <c r="C481" s="7" t="s">
        <v>4298</v>
      </c>
      <c r="D481" s="14" t="s">
        <v>133</v>
      </c>
      <c r="E481" s="7"/>
      <c r="F481" s="7"/>
      <c r="G481" s="15" t="s">
        <v>4299</v>
      </c>
      <c r="H481" s="7"/>
      <c r="I481" s="19" t="s">
        <v>2</v>
      </c>
      <c r="J481" s="7" t="s">
        <v>1392</v>
      </c>
      <c r="K481" s="51">
        <v>41718</v>
      </c>
      <c r="L481" s="115"/>
      <c r="N481" s="7" t="s">
        <v>1</v>
      </c>
      <c r="O481" s="74">
        <f t="shared" si="31"/>
        <v>0.7</v>
      </c>
      <c r="P481" s="117">
        <v>6</v>
      </c>
      <c r="Q481" s="131">
        <v>7.87</v>
      </c>
      <c r="R481" s="50">
        <v>16</v>
      </c>
      <c r="S481" s="74">
        <f>5/2</f>
        <v>2.5</v>
      </c>
      <c r="T481" s="50">
        <v>0.13</v>
      </c>
      <c r="U481" s="74">
        <v>0.78</v>
      </c>
      <c r="V481" s="50">
        <v>0.43</v>
      </c>
      <c r="W481" s="74">
        <v>1.4999999999999999E-2</v>
      </c>
      <c r="X481" s="50">
        <v>5.8999999999999997E-2</v>
      </c>
      <c r="Y481" s="74">
        <v>7.0000000000000001E-3</v>
      </c>
      <c r="AG481" s="74"/>
      <c r="AH481" s="74"/>
      <c r="AI481" s="113"/>
      <c r="AJ481" s="50"/>
      <c r="AK481" s="74"/>
      <c r="AL481" s="50"/>
      <c r="AM481" s="74"/>
      <c r="AN481" s="50"/>
      <c r="AO481" s="74"/>
      <c r="AP481" s="50"/>
      <c r="AQ481" s="74"/>
      <c r="AR481" s="50"/>
      <c r="AS481" s="74"/>
      <c r="AT481" s="50"/>
    </row>
    <row r="482" spans="1:46" ht="14">
      <c r="A482" s="53" t="s">
        <v>36</v>
      </c>
      <c r="B482" s="7" t="s">
        <v>5923</v>
      </c>
      <c r="C482" s="7" t="s">
        <v>5927</v>
      </c>
      <c r="D482" s="14" t="s">
        <v>192</v>
      </c>
      <c r="E482" s="7"/>
      <c r="F482" s="7"/>
      <c r="G482" s="15" t="s">
        <v>229</v>
      </c>
      <c r="H482" s="7"/>
      <c r="I482" s="19" t="s">
        <v>2</v>
      </c>
      <c r="J482" s="7" t="s">
        <v>1392</v>
      </c>
      <c r="K482" s="51">
        <v>41718</v>
      </c>
      <c r="L482" s="115"/>
      <c r="N482" s="7" t="s">
        <v>1</v>
      </c>
      <c r="O482" s="74">
        <f t="shared" si="31"/>
        <v>0.7</v>
      </c>
      <c r="P482" s="117">
        <v>6</v>
      </c>
      <c r="Q482" s="131">
        <v>7.73</v>
      </c>
      <c r="R482" s="50">
        <f>10/2</f>
        <v>5</v>
      </c>
      <c r="S482" s="74">
        <f>5/2</f>
        <v>2.5</v>
      </c>
      <c r="T482" s="50">
        <v>0.03</v>
      </c>
      <c r="U482" s="74">
        <v>0.48</v>
      </c>
      <c r="V482" s="50">
        <v>0.98</v>
      </c>
      <c r="W482" s="74">
        <v>6.0000000000000001E-3</v>
      </c>
      <c r="X482" s="50">
        <v>3.0000000000000001E-3</v>
      </c>
      <c r="Y482" s="74">
        <v>2E-3</v>
      </c>
      <c r="AG482" s="74"/>
      <c r="AH482" s="74"/>
      <c r="AI482" s="113"/>
      <c r="AJ482" s="50"/>
      <c r="AK482" s="74"/>
      <c r="AL482" s="50"/>
      <c r="AM482" s="74"/>
      <c r="AN482" s="50"/>
      <c r="AO482" s="74"/>
      <c r="AP482" s="50"/>
      <c r="AQ482" s="74"/>
      <c r="AR482" s="50"/>
      <c r="AS482" s="74"/>
      <c r="AT482" s="50"/>
    </row>
    <row r="483" spans="1:46" ht="14">
      <c r="A483" s="53" t="s">
        <v>36</v>
      </c>
      <c r="B483" s="7" t="s">
        <v>5923</v>
      </c>
      <c r="C483" s="7" t="s">
        <v>5927</v>
      </c>
      <c r="D483" s="14" t="s">
        <v>192</v>
      </c>
      <c r="E483" s="7"/>
      <c r="F483" s="7"/>
      <c r="G483" s="15" t="s">
        <v>229</v>
      </c>
      <c r="H483" s="7"/>
      <c r="I483" s="19" t="s">
        <v>2</v>
      </c>
      <c r="J483" s="7" t="s">
        <v>4303</v>
      </c>
      <c r="K483" s="51">
        <v>41718</v>
      </c>
      <c r="L483" s="115"/>
      <c r="N483" s="7" t="s">
        <v>1</v>
      </c>
      <c r="O483" s="74">
        <f t="shared" si="31"/>
        <v>0.7</v>
      </c>
      <c r="P483" s="117">
        <v>6</v>
      </c>
      <c r="Q483" s="131">
        <v>7.47</v>
      </c>
      <c r="R483" s="50">
        <v>16</v>
      </c>
      <c r="S483" s="74">
        <f>5/2</f>
        <v>2.5</v>
      </c>
      <c r="T483" s="50">
        <v>7.0000000000000007E-2</v>
      </c>
      <c r="U483" s="74">
        <v>0.74</v>
      </c>
      <c r="V483" s="50">
        <v>0.99</v>
      </c>
      <c r="W483" s="74">
        <v>7.0000000000000001E-3</v>
      </c>
      <c r="X483" s="50">
        <v>1.7999999999999999E-2</v>
      </c>
      <c r="Y483" s="74">
        <f>0.002/2</f>
        <v>1E-3</v>
      </c>
      <c r="AG483" s="74"/>
      <c r="AH483" s="74"/>
      <c r="AI483" s="113"/>
      <c r="AJ483" s="50"/>
      <c r="AK483" s="74"/>
      <c r="AL483" s="50"/>
      <c r="AM483" s="74"/>
      <c r="AN483" s="50"/>
      <c r="AO483" s="74"/>
      <c r="AP483" s="50"/>
      <c r="AQ483" s="74"/>
      <c r="AR483" s="50"/>
      <c r="AS483" s="74"/>
      <c r="AT483" s="50"/>
    </row>
    <row r="484" spans="1:46" ht="14">
      <c r="A484" s="53" t="s">
        <v>36</v>
      </c>
      <c r="B484" s="7" t="s">
        <v>5923</v>
      </c>
      <c r="C484" s="7" t="s">
        <v>5927</v>
      </c>
      <c r="D484" s="14" t="s">
        <v>192</v>
      </c>
      <c r="E484" s="7"/>
      <c r="F484" s="7"/>
      <c r="G484" s="15" t="s">
        <v>229</v>
      </c>
      <c r="H484" s="7"/>
      <c r="I484" s="19" t="s">
        <v>2</v>
      </c>
      <c r="J484" s="7" t="s">
        <v>5928</v>
      </c>
      <c r="K484" s="51">
        <v>41718</v>
      </c>
      <c r="L484" s="115"/>
      <c r="N484" s="7" t="s">
        <v>1</v>
      </c>
      <c r="O484" s="74">
        <f t="shared" si="31"/>
        <v>0.7</v>
      </c>
      <c r="P484" s="117">
        <v>6</v>
      </c>
      <c r="Q484" s="131">
        <v>7.34</v>
      </c>
      <c r="R484" s="50">
        <v>51</v>
      </c>
      <c r="S484" s="74">
        <f>5/2</f>
        <v>2.5</v>
      </c>
      <c r="T484" s="50">
        <v>7.0000000000000007E-2</v>
      </c>
      <c r="U484" s="74">
        <v>0.91</v>
      </c>
      <c r="V484" s="50">
        <v>0.38</v>
      </c>
      <c r="W484" s="74">
        <v>6.0000000000000001E-3</v>
      </c>
      <c r="X484" s="50">
        <v>0.01</v>
      </c>
      <c r="Y484" s="74">
        <f>0.002/2</f>
        <v>1E-3</v>
      </c>
      <c r="AG484" s="74"/>
      <c r="AH484" s="74"/>
      <c r="AI484" s="113"/>
      <c r="AJ484" s="50"/>
      <c r="AK484" s="74"/>
      <c r="AL484" s="50"/>
      <c r="AM484" s="74"/>
      <c r="AN484" s="50"/>
      <c r="AO484" s="74"/>
      <c r="AP484" s="50"/>
      <c r="AQ484" s="74"/>
      <c r="AR484" s="50"/>
      <c r="AS484" s="74"/>
      <c r="AT484" s="50"/>
    </row>
    <row r="485" spans="1:46" ht="14">
      <c r="A485" s="53" t="s">
        <v>36</v>
      </c>
      <c r="B485" s="7" t="s">
        <v>5923</v>
      </c>
      <c r="C485" s="7" t="s">
        <v>4306</v>
      </c>
      <c r="D485" s="14" t="s">
        <v>290</v>
      </c>
      <c r="E485" s="7" t="s">
        <v>112</v>
      </c>
      <c r="F485" s="7"/>
      <c r="G485" s="15" t="s">
        <v>4307</v>
      </c>
      <c r="H485" s="7"/>
      <c r="I485" s="19" t="s">
        <v>2</v>
      </c>
      <c r="J485" s="7" t="s">
        <v>1392</v>
      </c>
      <c r="K485" s="51">
        <v>41718</v>
      </c>
      <c r="L485" s="115"/>
      <c r="N485" s="7" t="s">
        <v>1</v>
      </c>
      <c r="O485" s="74">
        <f t="shared" si="31"/>
        <v>0.7</v>
      </c>
      <c r="P485" s="117">
        <v>6</v>
      </c>
      <c r="Q485" s="131">
        <v>6.91</v>
      </c>
      <c r="R485" s="50">
        <f>10/2</f>
        <v>5</v>
      </c>
      <c r="S485" s="74">
        <v>10</v>
      </c>
      <c r="T485" s="50">
        <v>0.06</v>
      </c>
      <c r="U485" s="74">
        <v>0.51</v>
      </c>
      <c r="V485" s="50">
        <v>0.03</v>
      </c>
      <c r="W485" s="74">
        <f>0.005/2</f>
        <v>2.5000000000000001E-3</v>
      </c>
      <c r="X485" s="50">
        <v>7.0000000000000007E-2</v>
      </c>
      <c r="Y485" s="74">
        <f>0.002/2</f>
        <v>1E-3</v>
      </c>
      <c r="AG485" s="74"/>
      <c r="AH485" s="74"/>
      <c r="AI485" s="113"/>
      <c r="AJ485" s="50"/>
      <c r="AK485" s="74"/>
      <c r="AL485" s="50"/>
      <c r="AM485" s="74"/>
      <c r="AN485" s="50"/>
      <c r="AO485" s="74"/>
      <c r="AP485" s="50"/>
      <c r="AQ485" s="74"/>
      <c r="AR485" s="50"/>
      <c r="AS485" s="74"/>
      <c r="AT485" s="50"/>
    </row>
    <row r="486" spans="1:46" ht="14">
      <c r="A486" s="53" t="s">
        <v>36</v>
      </c>
      <c r="B486" s="7" t="s">
        <v>5923</v>
      </c>
      <c r="C486" s="7" t="s">
        <v>4308</v>
      </c>
      <c r="D486" s="14" t="s">
        <v>192</v>
      </c>
      <c r="E486" s="7"/>
      <c r="F486" s="7"/>
      <c r="G486" s="15" t="s">
        <v>4309</v>
      </c>
      <c r="H486" s="7"/>
      <c r="I486" s="19" t="s">
        <v>2</v>
      </c>
      <c r="J486" s="7" t="s">
        <v>1392</v>
      </c>
      <c r="K486" s="51">
        <v>41718</v>
      </c>
      <c r="L486" s="115"/>
      <c r="N486" s="7" t="s">
        <v>1</v>
      </c>
      <c r="O486" s="74">
        <f t="shared" si="31"/>
        <v>0.7</v>
      </c>
      <c r="P486" s="117">
        <v>6</v>
      </c>
      <c r="Q486" s="131">
        <v>7.73</v>
      </c>
      <c r="R486" s="50">
        <f>10/2</f>
        <v>5</v>
      </c>
      <c r="S486" s="74">
        <f>5/2</f>
        <v>2.5</v>
      </c>
      <c r="T486" s="50">
        <v>0.03</v>
      </c>
      <c r="U486" s="74">
        <v>0.48</v>
      </c>
      <c r="V486" s="50">
        <v>0.98</v>
      </c>
      <c r="W486" s="74">
        <v>6.0000000000000001E-3</v>
      </c>
      <c r="X486" s="50">
        <v>3.0000000000000001E-3</v>
      </c>
      <c r="Y486" s="74">
        <v>2E-3</v>
      </c>
      <c r="AG486" s="74"/>
      <c r="AH486" s="74"/>
      <c r="AI486" s="113"/>
      <c r="AJ486" s="50"/>
      <c r="AK486" s="74"/>
      <c r="AL486" s="50"/>
      <c r="AM486" s="74"/>
      <c r="AN486" s="50"/>
      <c r="AO486" s="74"/>
      <c r="AP486" s="50"/>
      <c r="AQ486" s="74"/>
      <c r="AR486" s="50"/>
      <c r="AS486" s="74"/>
      <c r="AT486" s="50"/>
    </row>
    <row r="487" spans="1:46" ht="14">
      <c r="A487" s="53" t="s">
        <v>36</v>
      </c>
      <c r="B487" s="7" t="s">
        <v>5923</v>
      </c>
      <c r="C487" s="7" t="s">
        <v>4308</v>
      </c>
      <c r="D487" s="14" t="s">
        <v>192</v>
      </c>
      <c r="E487" s="7"/>
      <c r="F487" s="7"/>
      <c r="G487" s="15" t="s">
        <v>4309</v>
      </c>
      <c r="H487" s="7"/>
      <c r="I487" s="19" t="s">
        <v>2</v>
      </c>
      <c r="J487" s="7" t="s">
        <v>4303</v>
      </c>
      <c r="K487" s="51">
        <v>41718</v>
      </c>
      <c r="L487" s="115"/>
      <c r="N487" s="7" t="s">
        <v>1</v>
      </c>
      <c r="O487" s="74">
        <f t="shared" si="31"/>
        <v>0.7</v>
      </c>
      <c r="P487" s="117">
        <v>6</v>
      </c>
      <c r="Q487" s="131">
        <v>7.47</v>
      </c>
      <c r="R487" s="50">
        <v>16</v>
      </c>
      <c r="S487" s="74">
        <f>5/2</f>
        <v>2.5</v>
      </c>
      <c r="T487" s="50">
        <v>7.0000000000000007E-2</v>
      </c>
      <c r="U487" s="74">
        <v>0.74</v>
      </c>
      <c r="V487" s="50">
        <v>0.99</v>
      </c>
      <c r="W487" s="74">
        <v>7.0000000000000001E-3</v>
      </c>
      <c r="X487" s="50">
        <v>1.7999999999999999E-2</v>
      </c>
      <c r="Y487" s="74">
        <f>0.002/2</f>
        <v>1E-3</v>
      </c>
      <c r="AG487" s="74"/>
      <c r="AH487" s="74"/>
      <c r="AI487" s="113"/>
      <c r="AJ487" s="50"/>
      <c r="AK487" s="74"/>
      <c r="AL487" s="50"/>
      <c r="AM487" s="74"/>
      <c r="AN487" s="50"/>
      <c r="AO487" s="74"/>
      <c r="AP487" s="50"/>
      <c r="AQ487" s="74"/>
      <c r="AR487" s="50"/>
      <c r="AS487" s="74"/>
      <c r="AT487" s="50"/>
    </row>
    <row r="488" spans="1:46" ht="14">
      <c r="A488" s="53" t="s">
        <v>36</v>
      </c>
      <c r="B488" s="7" t="s">
        <v>2794</v>
      </c>
      <c r="C488" s="7" t="s">
        <v>5929</v>
      </c>
      <c r="D488" s="14" t="s">
        <v>397</v>
      </c>
      <c r="E488" s="7" t="s">
        <v>1027</v>
      </c>
      <c r="F488" s="7"/>
      <c r="G488" s="15" t="s">
        <v>5930</v>
      </c>
      <c r="H488" s="7">
        <v>9199</v>
      </c>
      <c r="I488" s="19" t="s">
        <v>2</v>
      </c>
      <c r="J488" s="7" t="s">
        <v>74</v>
      </c>
      <c r="K488" s="51">
        <v>41332</v>
      </c>
      <c r="L488" s="115"/>
      <c r="N488" s="7" t="s">
        <v>1</v>
      </c>
      <c r="O488" s="74">
        <v>4.5</v>
      </c>
      <c r="P488" s="117"/>
      <c r="Q488" s="131">
        <v>6.56</v>
      </c>
      <c r="R488" s="50">
        <v>49</v>
      </c>
      <c r="S488" s="74">
        <v>160</v>
      </c>
      <c r="T488" s="50">
        <v>0.25</v>
      </c>
      <c r="U488" s="74">
        <v>0.57999999999999996</v>
      </c>
      <c r="V488" s="50">
        <v>0.11</v>
      </c>
      <c r="W488" s="74">
        <v>1.4999999999999999E-2</v>
      </c>
      <c r="X488" s="50">
        <v>6.2E-2</v>
      </c>
      <c r="Y488" s="74">
        <v>0.01</v>
      </c>
      <c r="AG488" s="74"/>
      <c r="AH488" s="74"/>
      <c r="AI488" s="113"/>
      <c r="AJ488" s="50"/>
      <c r="AK488" s="74"/>
      <c r="AL488" s="50"/>
      <c r="AM488" s="74"/>
      <c r="AN488" s="50"/>
      <c r="AO488" s="74"/>
      <c r="AP488" s="50"/>
      <c r="AQ488" s="74"/>
      <c r="AR488" s="50"/>
      <c r="AS488" s="74"/>
      <c r="AT488" s="50"/>
    </row>
    <row r="489" spans="1:46" ht="14">
      <c r="A489" s="53" t="s">
        <v>36</v>
      </c>
      <c r="B489" s="7" t="s">
        <v>2794</v>
      </c>
      <c r="C489" s="7" t="s">
        <v>5929</v>
      </c>
      <c r="D489" s="14" t="s">
        <v>397</v>
      </c>
      <c r="E489" s="7" t="s">
        <v>1027</v>
      </c>
      <c r="F489" s="7"/>
      <c r="G489" s="15" t="s">
        <v>5930</v>
      </c>
      <c r="H489" s="7">
        <v>9199</v>
      </c>
      <c r="I489" s="19" t="s">
        <v>2</v>
      </c>
      <c r="J489" s="7" t="s">
        <v>75</v>
      </c>
      <c r="K489" s="51">
        <v>41332</v>
      </c>
      <c r="L489" s="115"/>
      <c r="N489" s="7" t="s">
        <v>1</v>
      </c>
      <c r="O489" s="74">
        <v>15</v>
      </c>
      <c r="P489" s="117"/>
      <c r="Q489" s="131">
        <v>6.84</v>
      </c>
      <c r="R489" s="50">
        <v>111</v>
      </c>
      <c r="S489" s="74">
        <v>520</v>
      </c>
      <c r="T489" s="50">
        <v>0.66</v>
      </c>
      <c r="U489" s="74">
        <v>1.27</v>
      </c>
      <c r="V489" s="50">
        <v>0.33</v>
      </c>
      <c r="W489" s="74">
        <v>0.128</v>
      </c>
      <c r="X489" s="50">
        <v>0.18</v>
      </c>
      <c r="Y489" s="74">
        <v>2.3E-2</v>
      </c>
      <c r="AG489" s="74"/>
      <c r="AH489" s="74"/>
      <c r="AI489" s="113"/>
      <c r="AJ489" s="50"/>
      <c r="AK489" s="74"/>
      <c r="AL489" s="50"/>
      <c r="AM489" s="74"/>
      <c r="AN489" s="50"/>
      <c r="AO489" s="74"/>
      <c r="AP489" s="50"/>
      <c r="AQ489" s="74"/>
      <c r="AR489" s="50"/>
      <c r="AS489" s="74"/>
      <c r="AT489" s="50"/>
    </row>
    <row r="490" spans="1:46" ht="14">
      <c r="A490" s="53" t="s">
        <v>36</v>
      </c>
      <c r="B490" s="7" t="s">
        <v>2794</v>
      </c>
      <c r="C490" s="7" t="s">
        <v>5929</v>
      </c>
      <c r="D490" s="14" t="s">
        <v>397</v>
      </c>
      <c r="E490" s="7" t="s">
        <v>1027</v>
      </c>
      <c r="F490" s="7"/>
      <c r="G490" s="15" t="s">
        <v>5930</v>
      </c>
      <c r="H490" s="7">
        <v>9199</v>
      </c>
      <c r="I490" s="19"/>
      <c r="J490" s="7" t="s">
        <v>74</v>
      </c>
      <c r="K490" s="51">
        <v>41508</v>
      </c>
      <c r="L490" s="115"/>
      <c r="N490" s="7" t="s">
        <v>2</v>
      </c>
      <c r="O490" s="74">
        <f>1.4/2</f>
        <v>0.7</v>
      </c>
      <c r="P490" s="117"/>
      <c r="Q490" s="131">
        <v>6.56</v>
      </c>
      <c r="R490" s="50">
        <v>37</v>
      </c>
      <c r="S490" s="74">
        <v>14</v>
      </c>
      <c r="T490" s="50">
        <v>0.13</v>
      </c>
      <c r="U490" s="74">
        <v>0.48</v>
      </c>
      <c r="V490" s="50">
        <v>0.23</v>
      </c>
      <c r="W490" s="74">
        <f>0.005/2</f>
        <v>2.5000000000000001E-3</v>
      </c>
      <c r="X490" s="50">
        <v>3.5000000000000003E-2</v>
      </c>
      <c r="Y490" s="74">
        <v>3.0000000000000001E-3</v>
      </c>
      <c r="Z490" s="164">
        <v>1</v>
      </c>
      <c r="AA490" s="165">
        <v>1</v>
      </c>
      <c r="AB490" s="50">
        <v>6</v>
      </c>
      <c r="AC490" s="74">
        <v>88</v>
      </c>
      <c r="AD490" s="164">
        <v>1</v>
      </c>
      <c r="AG490" s="74"/>
      <c r="AH490" s="74"/>
      <c r="AI490" s="113"/>
      <c r="AJ490" s="50"/>
      <c r="AK490" s="74"/>
      <c r="AL490" s="50"/>
      <c r="AM490" s="74"/>
      <c r="AN490" s="50"/>
      <c r="AO490" s="74"/>
      <c r="AP490" s="50"/>
      <c r="AQ490" s="74"/>
      <c r="AR490" s="50"/>
      <c r="AS490" s="74"/>
      <c r="AT490" s="50"/>
    </row>
    <row r="491" spans="1:46" ht="14">
      <c r="A491" s="53" t="s">
        <v>36</v>
      </c>
      <c r="B491" s="7" t="s">
        <v>2794</v>
      </c>
      <c r="C491" s="7" t="s">
        <v>5929</v>
      </c>
      <c r="D491" s="14" t="s">
        <v>397</v>
      </c>
      <c r="E491" s="7" t="s">
        <v>1027</v>
      </c>
      <c r="F491" s="7"/>
      <c r="G491" s="15" t="s">
        <v>5930</v>
      </c>
      <c r="H491" s="7">
        <v>9199</v>
      </c>
      <c r="I491" s="19" t="s">
        <v>2</v>
      </c>
      <c r="J491" s="7" t="s">
        <v>75</v>
      </c>
      <c r="K491" s="51">
        <v>41508</v>
      </c>
      <c r="L491" s="115"/>
      <c r="N491" s="7" t="s">
        <v>2</v>
      </c>
      <c r="O491" s="74">
        <f>1.4/2</f>
        <v>0.7</v>
      </c>
      <c r="P491" s="117"/>
      <c r="Q491" s="131">
        <v>6.65</v>
      </c>
      <c r="R491" s="50">
        <v>24</v>
      </c>
      <c r="S491" s="74">
        <v>22</v>
      </c>
      <c r="T491" s="50">
        <v>0.12</v>
      </c>
      <c r="U491" s="74">
        <v>0.56999999999999995</v>
      </c>
      <c r="V491" s="50">
        <v>0.79</v>
      </c>
      <c r="W491" s="74">
        <v>0.01</v>
      </c>
      <c r="X491" s="50">
        <v>2.5999999999999999E-2</v>
      </c>
      <c r="Y491" s="74">
        <v>6.0000000000000001E-3</v>
      </c>
      <c r="Z491" s="164">
        <v>1</v>
      </c>
      <c r="AA491" s="165">
        <v>1</v>
      </c>
      <c r="AB491" s="50">
        <v>34</v>
      </c>
      <c r="AC491" s="74">
        <v>592</v>
      </c>
      <c r="AD491" s="164">
        <v>1</v>
      </c>
      <c r="AG491" s="74"/>
      <c r="AH491" s="74"/>
      <c r="AI491" s="113"/>
      <c r="AJ491" s="50"/>
      <c r="AK491" s="74"/>
      <c r="AL491" s="50"/>
      <c r="AM491" s="74"/>
      <c r="AN491" s="50"/>
      <c r="AO491" s="74"/>
      <c r="AP491" s="50"/>
      <c r="AQ491" s="74"/>
      <c r="AR491" s="50"/>
      <c r="AS491" s="74"/>
      <c r="AT491" s="50"/>
    </row>
    <row r="492" spans="1:46" ht="14">
      <c r="A492" s="53" t="s">
        <v>36</v>
      </c>
      <c r="B492" s="7" t="s">
        <v>2907</v>
      </c>
      <c r="C492" s="7" t="s">
        <v>2757</v>
      </c>
      <c r="D492" s="14" t="s">
        <v>268</v>
      </c>
      <c r="E492" s="7" t="s">
        <v>2908</v>
      </c>
      <c r="F492" s="7"/>
      <c r="G492" s="15" t="s">
        <v>2909</v>
      </c>
      <c r="H492" s="7">
        <v>9199</v>
      </c>
      <c r="I492" s="19" t="s">
        <v>1</v>
      </c>
      <c r="J492" s="7" t="s">
        <v>5931</v>
      </c>
      <c r="K492" s="51">
        <v>41717</v>
      </c>
      <c r="L492" s="115">
        <v>41710</v>
      </c>
      <c r="M492" s="402">
        <f t="shared" ref="M492:M526" si="32">K492-L492</f>
        <v>7</v>
      </c>
      <c r="N492" s="7" t="s">
        <v>2</v>
      </c>
      <c r="O492" s="74">
        <f>1.4/2</f>
        <v>0.7</v>
      </c>
      <c r="P492" s="117">
        <v>5</v>
      </c>
      <c r="Q492" s="131">
        <v>5.84</v>
      </c>
      <c r="Y492" s="74">
        <f>0.002/2</f>
        <v>1E-3</v>
      </c>
      <c r="AE492" s="50">
        <v>3.9</v>
      </c>
      <c r="AF492" s="50">
        <f>0.01/2</f>
        <v>5.0000000000000001E-3</v>
      </c>
      <c r="AG492" s="74"/>
      <c r="AH492" s="74"/>
      <c r="AI492" s="113"/>
      <c r="AJ492" s="50"/>
      <c r="AK492" s="74"/>
      <c r="AL492" s="50"/>
      <c r="AM492" s="74"/>
      <c r="AN492" s="50"/>
      <c r="AO492" s="74"/>
      <c r="AP492" s="50"/>
      <c r="AQ492" s="74"/>
      <c r="AR492" s="50"/>
      <c r="AS492" s="74"/>
      <c r="AT492" s="50"/>
    </row>
    <row r="493" spans="1:46" ht="14">
      <c r="A493" s="53" t="s">
        <v>36</v>
      </c>
      <c r="B493" s="7" t="s">
        <v>2747</v>
      </c>
      <c r="C493" s="7" t="s">
        <v>393</v>
      </c>
      <c r="D493" s="14" t="s">
        <v>1505</v>
      </c>
      <c r="E493" s="7" t="s">
        <v>4009</v>
      </c>
      <c r="F493" s="7"/>
      <c r="G493" s="15" t="s">
        <v>2748</v>
      </c>
      <c r="H493" s="7">
        <v>9199</v>
      </c>
      <c r="I493" s="19" t="s">
        <v>2</v>
      </c>
      <c r="J493" s="7" t="s">
        <v>2749</v>
      </c>
      <c r="K493" s="51">
        <v>41717</v>
      </c>
      <c r="L493" s="115">
        <v>41710</v>
      </c>
      <c r="M493" s="402">
        <f t="shared" si="32"/>
        <v>7</v>
      </c>
      <c r="N493" s="7" t="s">
        <v>2</v>
      </c>
      <c r="O493" s="74">
        <f>1.4/2</f>
        <v>0.7</v>
      </c>
      <c r="P493" s="117"/>
      <c r="Q493" s="131">
        <v>7.05</v>
      </c>
      <c r="R493" s="50">
        <v>12</v>
      </c>
      <c r="U493" s="74">
        <v>0.61</v>
      </c>
      <c r="V493" s="50">
        <v>1.39</v>
      </c>
      <c r="W493" s="74">
        <v>0.04</v>
      </c>
      <c r="X493" s="50">
        <v>7.5999999999999998E-2</v>
      </c>
      <c r="Y493" s="74">
        <f>0.002/2</f>
        <v>1E-3</v>
      </c>
      <c r="AG493" s="74"/>
      <c r="AH493" s="74"/>
      <c r="AI493" s="113"/>
      <c r="AJ493" s="50"/>
      <c r="AK493" s="74"/>
      <c r="AL493" s="50"/>
      <c r="AM493" s="74"/>
      <c r="AN493" s="50"/>
      <c r="AO493" s="74"/>
      <c r="AP493" s="50"/>
      <c r="AQ493" s="74"/>
      <c r="AR493" s="50"/>
      <c r="AS493" s="74"/>
      <c r="AT493" s="50"/>
    </row>
    <row r="494" spans="1:46" ht="14">
      <c r="A494" s="53" t="s">
        <v>36</v>
      </c>
      <c r="B494" s="7" t="s">
        <v>2684</v>
      </c>
      <c r="C494" s="7" t="s">
        <v>2685</v>
      </c>
      <c r="D494" s="14" t="s">
        <v>836</v>
      </c>
      <c r="E494" s="7" t="s">
        <v>364</v>
      </c>
      <c r="F494" s="7"/>
      <c r="G494" s="15" t="s">
        <v>2686</v>
      </c>
      <c r="H494" s="7">
        <v>9199</v>
      </c>
      <c r="I494" s="19" t="s">
        <v>2</v>
      </c>
      <c r="J494" s="7" t="s">
        <v>2687</v>
      </c>
      <c r="K494" s="51">
        <v>41717</v>
      </c>
      <c r="L494" s="115">
        <v>41710</v>
      </c>
      <c r="M494" s="402">
        <f t="shared" si="32"/>
        <v>7</v>
      </c>
      <c r="N494" s="7" t="s">
        <v>2</v>
      </c>
      <c r="O494" s="74">
        <v>14</v>
      </c>
      <c r="P494" s="117">
        <v>5</v>
      </c>
      <c r="Q494" s="131">
        <v>7.22</v>
      </c>
      <c r="R494" s="50">
        <v>38</v>
      </c>
      <c r="S494" s="74">
        <v>290</v>
      </c>
      <c r="T494" s="50">
        <v>0.2</v>
      </c>
      <c r="U494" s="74">
        <v>1.3</v>
      </c>
      <c r="V494" s="50">
        <v>0.28999999999999998</v>
      </c>
      <c r="W494" s="74">
        <v>7.1999999999999995E-2</v>
      </c>
      <c r="X494" s="50">
        <v>0.35199999999999998</v>
      </c>
      <c r="Y494" s="74">
        <v>4.7E-2</v>
      </c>
      <c r="AE494" s="50">
        <v>620</v>
      </c>
      <c r="AF494" s="50">
        <v>0.02</v>
      </c>
      <c r="AG494" s="74"/>
      <c r="AH494" s="74"/>
      <c r="AI494" s="113"/>
      <c r="AJ494" s="50"/>
      <c r="AK494" s="74"/>
      <c r="AL494" s="50"/>
      <c r="AM494" s="74"/>
      <c r="AN494" s="50"/>
      <c r="AO494" s="74"/>
      <c r="AP494" s="50"/>
      <c r="AQ494" s="74"/>
      <c r="AR494" s="50"/>
      <c r="AS494" s="74"/>
      <c r="AT494" s="50"/>
    </row>
    <row r="495" spans="1:46" ht="14">
      <c r="A495" s="53" t="s">
        <v>36</v>
      </c>
      <c r="B495" s="7" t="s">
        <v>3577</v>
      </c>
      <c r="C495" s="7" t="s">
        <v>194</v>
      </c>
      <c r="D495" s="14" t="s">
        <v>3578</v>
      </c>
      <c r="E495" s="7" t="s">
        <v>3579</v>
      </c>
      <c r="F495" s="7"/>
      <c r="G495" s="15" t="s">
        <v>3587</v>
      </c>
      <c r="H495" s="7"/>
      <c r="I495" s="19" t="s">
        <v>1</v>
      </c>
      <c r="J495" s="7" t="s">
        <v>194</v>
      </c>
      <c r="K495" s="51">
        <v>41736</v>
      </c>
      <c r="L495" s="115">
        <v>41732</v>
      </c>
      <c r="M495" s="402">
        <f t="shared" si="32"/>
        <v>4</v>
      </c>
      <c r="N495" s="7" t="s">
        <v>2</v>
      </c>
      <c r="O495" s="74">
        <f>1/2</f>
        <v>0.5</v>
      </c>
      <c r="P495" s="117">
        <v>5.65</v>
      </c>
      <c r="Q495" s="131">
        <v>6.03</v>
      </c>
      <c r="R495" s="50">
        <v>7.5</v>
      </c>
      <c r="S495" s="74">
        <v>10</v>
      </c>
      <c r="T495" s="50">
        <v>0.15</v>
      </c>
      <c r="U495" s="74">
        <v>1.2</v>
      </c>
      <c r="V495" s="50">
        <v>0.51</v>
      </c>
      <c r="W495" s="74">
        <v>1.4999999999999999E-2</v>
      </c>
      <c r="X495" s="50">
        <v>0.17599999999999999</v>
      </c>
      <c r="Y495" s="74">
        <v>4.0000000000000001E-3</v>
      </c>
      <c r="AG495" s="74"/>
      <c r="AH495" s="74"/>
      <c r="AI495" s="113"/>
      <c r="AJ495" s="50"/>
      <c r="AK495" s="74"/>
      <c r="AL495" s="50"/>
      <c r="AM495" s="74"/>
      <c r="AN495" s="50"/>
      <c r="AO495" s="74"/>
      <c r="AP495" s="50"/>
      <c r="AQ495" s="74"/>
      <c r="AR495" s="50"/>
      <c r="AS495" s="74"/>
      <c r="AT495" s="50"/>
    </row>
    <row r="496" spans="1:46" ht="14">
      <c r="A496" s="53" t="s">
        <v>36</v>
      </c>
      <c r="B496" s="7" t="s">
        <v>3577</v>
      </c>
      <c r="C496" s="7" t="s">
        <v>569</v>
      </c>
      <c r="D496" s="14" t="s">
        <v>3578</v>
      </c>
      <c r="E496" s="7" t="s">
        <v>3579</v>
      </c>
      <c r="F496" s="7"/>
      <c r="G496" s="15" t="s">
        <v>3587</v>
      </c>
      <c r="H496" s="7"/>
      <c r="I496" s="19" t="s">
        <v>1</v>
      </c>
      <c r="J496" s="7" t="s">
        <v>569</v>
      </c>
      <c r="K496" s="51">
        <v>41736</v>
      </c>
      <c r="L496" s="115">
        <v>41732</v>
      </c>
      <c r="M496" s="402">
        <f t="shared" si="32"/>
        <v>4</v>
      </c>
      <c r="N496" s="7" t="s">
        <v>2</v>
      </c>
      <c r="O496" s="74">
        <f>1/2</f>
        <v>0.5</v>
      </c>
      <c r="P496" s="117">
        <v>5.65</v>
      </c>
      <c r="Q496" s="131">
        <v>6.19</v>
      </c>
      <c r="R496" s="50">
        <f>1/2</f>
        <v>0.5</v>
      </c>
      <c r="S496" s="74">
        <v>4</v>
      </c>
      <c r="T496" s="50">
        <v>0.09</v>
      </c>
      <c r="U496" s="74">
        <v>2.6</v>
      </c>
      <c r="V496" s="50">
        <v>0.2</v>
      </c>
      <c r="W496" s="74">
        <v>1.2999999999999999E-2</v>
      </c>
      <c r="X496" s="50">
        <v>0.17</v>
      </c>
      <c r="Y496" s="74">
        <v>4.0000000000000001E-3</v>
      </c>
      <c r="AG496" s="74"/>
      <c r="AH496" s="74"/>
      <c r="AI496" s="113"/>
      <c r="AJ496" s="50"/>
      <c r="AK496" s="74"/>
      <c r="AL496" s="50"/>
      <c r="AM496" s="74"/>
      <c r="AN496" s="50"/>
      <c r="AO496" s="74"/>
      <c r="AP496" s="50"/>
      <c r="AQ496" s="74"/>
      <c r="AR496" s="50"/>
      <c r="AS496" s="74"/>
      <c r="AT496" s="50"/>
    </row>
    <row r="497" spans="1:46" ht="14">
      <c r="A497" s="53" t="s">
        <v>36</v>
      </c>
      <c r="B497" s="7" t="s">
        <v>2828</v>
      </c>
      <c r="C497" s="7" t="s">
        <v>70</v>
      </c>
      <c r="D497" s="14" t="s">
        <v>564</v>
      </c>
      <c r="E497" s="7" t="s">
        <v>2829</v>
      </c>
      <c r="F497" s="7"/>
      <c r="G497" s="15" t="s">
        <v>2830</v>
      </c>
      <c r="H497" s="7">
        <v>9199</v>
      </c>
      <c r="I497" s="19" t="s">
        <v>2</v>
      </c>
      <c r="J497" s="7" t="s">
        <v>2831</v>
      </c>
      <c r="K497" s="51">
        <v>41710</v>
      </c>
      <c r="L497" s="115">
        <v>41679</v>
      </c>
      <c r="M497" s="402">
        <f t="shared" si="32"/>
        <v>31</v>
      </c>
      <c r="N497" s="7" t="s">
        <v>1</v>
      </c>
      <c r="O497" s="74">
        <v>7.1</v>
      </c>
      <c r="P497" s="117">
        <v>5.8</v>
      </c>
      <c r="Q497" s="131">
        <v>6.9</v>
      </c>
      <c r="R497" s="50">
        <v>150</v>
      </c>
      <c r="S497" s="74">
        <v>1000</v>
      </c>
      <c r="T497" s="50">
        <v>1.68</v>
      </c>
      <c r="U497" s="74">
        <v>6.1</v>
      </c>
      <c r="V497" s="50">
        <v>0.63</v>
      </c>
      <c r="W497" s="74">
        <v>0.11700000000000001</v>
      </c>
      <c r="X497" s="50">
        <v>0.39200000000000002</v>
      </c>
      <c r="Y497" s="74">
        <v>8.2000000000000003E-2</v>
      </c>
      <c r="AG497" s="74"/>
      <c r="AH497" s="74"/>
      <c r="AI497" s="113"/>
      <c r="AJ497" s="50"/>
      <c r="AK497" s="74"/>
      <c r="AL497" s="50"/>
      <c r="AM497" s="74"/>
      <c r="AN497" s="50"/>
      <c r="AO497" s="74"/>
      <c r="AP497" s="50"/>
      <c r="AQ497" s="74"/>
      <c r="AR497" s="50"/>
      <c r="AS497" s="74"/>
      <c r="AT497" s="50"/>
    </row>
    <row r="498" spans="1:46" ht="14">
      <c r="A498" s="293" t="s">
        <v>36</v>
      </c>
      <c r="B498" s="7" t="s">
        <v>2828</v>
      </c>
      <c r="C498" s="7" t="s">
        <v>70</v>
      </c>
      <c r="D498" s="14" t="s">
        <v>564</v>
      </c>
      <c r="E498" s="7" t="s">
        <v>2829</v>
      </c>
      <c r="F498" s="7"/>
      <c r="G498" s="15" t="s">
        <v>2830</v>
      </c>
      <c r="H498" s="7">
        <v>9199</v>
      </c>
      <c r="I498" s="19" t="s">
        <v>2</v>
      </c>
      <c r="J498" s="7" t="s">
        <v>2832</v>
      </c>
      <c r="K498" s="51">
        <v>41710</v>
      </c>
      <c r="L498" s="115">
        <v>41679</v>
      </c>
      <c r="M498" s="402">
        <f t="shared" si="32"/>
        <v>31</v>
      </c>
      <c r="N498" s="7" t="s">
        <v>1</v>
      </c>
      <c r="O498" s="74">
        <v>6.1</v>
      </c>
      <c r="P498" s="117">
        <v>5.8</v>
      </c>
      <c r="Q498" s="131">
        <v>7.4</v>
      </c>
      <c r="R498" s="50">
        <v>64</v>
      </c>
      <c r="S498" s="74">
        <v>310</v>
      </c>
      <c r="T498" s="50">
        <v>0.67</v>
      </c>
      <c r="U498" s="74">
        <v>2.6</v>
      </c>
      <c r="V498" s="50">
        <v>0.48</v>
      </c>
      <c r="W498" s="74">
        <v>6.4000000000000001E-2</v>
      </c>
      <c r="X498" s="50">
        <v>0.184</v>
      </c>
      <c r="Y498" s="74">
        <v>3.3000000000000002E-2</v>
      </c>
      <c r="AG498" s="74"/>
      <c r="AH498" s="74"/>
      <c r="AI498" s="113"/>
      <c r="AJ498" s="50"/>
      <c r="AK498" s="74"/>
      <c r="AL498" s="50"/>
      <c r="AM498" s="74"/>
      <c r="AN498" s="50"/>
      <c r="AO498" s="74"/>
      <c r="AP498" s="50"/>
      <c r="AQ498" s="74"/>
      <c r="AR498" s="50"/>
      <c r="AS498" s="74"/>
      <c r="AT498" s="50"/>
    </row>
    <row r="499" spans="1:46" ht="14">
      <c r="A499" s="53" t="s">
        <v>36</v>
      </c>
      <c r="B499" s="7" t="s">
        <v>2828</v>
      </c>
      <c r="C499" s="7" t="s">
        <v>70</v>
      </c>
      <c r="D499" s="14" t="s">
        <v>564</v>
      </c>
      <c r="E499" s="7" t="s">
        <v>2829</v>
      </c>
      <c r="F499" s="7"/>
      <c r="G499" s="15" t="s">
        <v>2830</v>
      </c>
      <c r="H499" s="7">
        <v>9199</v>
      </c>
      <c r="I499" s="19" t="s">
        <v>2</v>
      </c>
      <c r="J499" s="7" t="s">
        <v>2833</v>
      </c>
      <c r="K499" s="51">
        <v>41710</v>
      </c>
      <c r="L499" s="115">
        <v>41689</v>
      </c>
      <c r="M499" s="402">
        <f t="shared" si="32"/>
        <v>21</v>
      </c>
      <c r="N499" s="7" t="s">
        <v>1</v>
      </c>
      <c r="O499" s="74">
        <v>7</v>
      </c>
      <c r="P499" s="117">
        <v>5.8</v>
      </c>
      <c r="Q499" s="131">
        <v>7.3</v>
      </c>
      <c r="R499" s="50">
        <v>34</v>
      </c>
      <c r="S499" s="74">
        <v>660</v>
      </c>
      <c r="T499" s="50">
        <v>0.8</v>
      </c>
      <c r="U499" s="74">
        <v>2.7</v>
      </c>
      <c r="V499" s="50">
        <v>0.2</v>
      </c>
      <c r="W499" s="74">
        <v>0.13</v>
      </c>
      <c r="X499" s="50">
        <v>0.33600000000000002</v>
      </c>
      <c r="Y499" s="74">
        <v>6.3E-2</v>
      </c>
      <c r="AG499" s="74"/>
      <c r="AH499" s="74"/>
      <c r="AI499" s="113"/>
      <c r="AJ499" s="50"/>
      <c r="AK499" s="74"/>
      <c r="AL499" s="50"/>
      <c r="AM499" s="74"/>
      <c r="AN499" s="50"/>
      <c r="AO499" s="74"/>
      <c r="AP499" s="50"/>
      <c r="AQ499" s="74"/>
      <c r="AR499" s="50"/>
      <c r="AS499" s="74"/>
      <c r="AT499" s="50"/>
    </row>
    <row r="500" spans="1:46" ht="14">
      <c r="A500" s="53" t="s">
        <v>36</v>
      </c>
      <c r="B500" s="7" t="s">
        <v>2834</v>
      </c>
      <c r="C500" s="7" t="s">
        <v>2989</v>
      </c>
      <c r="D500" s="14" t="s">
        <v>636</v>
      </c>
      <c r="E500" s="7" t="s">
        <v>5932</v>
      </c>
      <c r="F500" s="7" t="s">
        <v>2837</v>
      </c>
      <c r="G500" s="15" t="s">
        <v>2838</v>
      </c>
      <c r="H500" s="7"/>
      <c r="I500" s="19" t="s">
        <v>2</v>
      </c>
      <c r="J500" s="7" t="s">
        <v>2989</v>
      </c>
      <c r="K500" s="51">
        <v>41737</v>
      </c>
      <c r="L500" s="115">
        <v>41733</v>
      </c>
      <c r="M500" s="402">
        <f t="shared" si="32"/>
        <v>4</v>
      </c>
      <c r="N500" s="7" t="s">
        <v>2</v>
      </c>
      <c r="O500" s="74">
        <v>3.2</v>
      </c>
      <c r="P500" s="117">
        <v>6</v>
      </c>
      <c r="Q500" s="131">
        <v>6.3</v>
      </c>
      <c r="R500" s="50">
        <v>9.6</v>
      </c>
      <c r="S500" s="74">
        <v>5.3</v>
      </c>
      <c r="T500" s="50">
        <v>1.7999999999999999E-2</v>
      </c>
      <c r="U500" s="74">
        <f>0.5/2</f>
        <v>0.25</v>
      </c>
      <c r="V500" s="50">
        <v>0.51</v>
      </c>
      <c r="W500" s="74">
        <f>0.002/2</f>
        <v>1E-3</v>
      </c>
      <c r="X500" s="50">
        <v>3.5000000000000003E-2</v>
      </c>
      <c r="Y500" s="74">
        <f>0.002/2</f>
        <v>1E-3</v>
      </c>
      <c r="Z500" s="164">
        <v>1</v>
      </c>
      <c r="AA500" s="165">
        <v>1</v>
      </c>
      <c r="AB500" s="50">
        <v>22</v>
      </c>
      <c r="AC500" s="74">
        <v>288</v>
      </c>
      <c r="AD500" s="164">
        <v>1</v>
      </c>
      <c r="AG500" s="74"/>
      <c r="AH500" s="74"/>
      <c r="AI500" s="113"/>
      <c r="AJ500" s="50"/>
      <c r="AK500" s="74"/>
      <c r="AL500" s="50"/>
      <c r="AM500" s="74"/>
      <c r="AN500" s="50"/>
      <c r="AO500" s="74"/>
      <c r="AP500" s="50"/>
      <c r="AQ500" s="74"/>
      <c r="AR500" s="50"/>
      <c r="AS500" s="74"/>
      <c r="AT500" s="50"/>
    </row>
    <row r="501" spans="1:46" ht="14">
      <c r="A501" s="53" t="s">
        <v>36</v>
      </c>
      <c r="B501" s="7" t="s">
        <v>2617</v>
      </c>
      <c r="C501" s="7" t="s">
        <v>5276</v>
      </c>
      <c r="D501" s="14" t="s">
        <v>1569</v>
      </c>
      <c r="E501" s="7" t="s">
        <v>1601</v>
      </c>
      <c r="F501" s="7"/>
      <c r="G501" s="15" t="s">
        <v>2872</v>
      </c>
      <c r="H501" s="7">
        <v>9199</v>
      </c>
      <c r="I501" s="19" t="s">
        <v>2</v>
      </c>
      <c r="J501" s="7" t="s">
        <v>2873</v>
      </c>
      <c r="K501" s="51">
        <v>41718</v>
      </c>
      <c r="L501" s="115">
        <v>41710</v>
      </c>
      <c r="M501" s="402">
        <f t="shared" si="32"/>
        <v>8</v>
      </c>
      <c r="N501" s="7" t="s">
        <v>2</v>
      </c>
      <c r="O501" s="74">
        <v>2</v>
      </c>
      <c r="P501" s="117">
        <v>5</v>
      </c>
      <c r="Q501" s="131">
        <v>6.99</v>
      </c>
      <c r="R501" s="50">
        <v>160</v>
      </c>
      <c r="S501" s="74">
        <v>65</v>
      </c>
      <c r="T501" s="50">
        <v>0.15</v>
      </c>
      <c r="U501" s="74">
        <v>1.95</v>
      </c>
      <c r="V501" s="50">
        <v>0.26</v>
      </c>
      <c r="W501" s="74">
        <v>2.7E-2</v>
      </c>
      <c r="X501" s="50">
        <v>0.16500000000000001</v>
      </c>
      <c r="Y501" s="74">
        <v>1.0999999999999999E-2</v>
      </c>
      <c r="AE501" s="50">
        <v>2960</v>
      </c>
      <c r="AF501" s="50">
        <v>0.09</v>
      </c>
      <c r="AG501" s="74"/>
      <c r="AH501" s="74"/>
      <c r="AI501" s="113"/>
      <c r="AJ501" s="50"/>
      <c r="AK501" s="74"/>
      <c r="AL501" s="50"/>
      <c r="AM501" s="74"/>
      <c r="AN501" s="50"/>
      <c r="AO501" s="74"/>
      <c r="AP501" s="50"/>
      <c r="AQ501" s="74"/>
      <c r="AR501" s="50"/>
      <c r="AS501" s="74"/>
      <c r="AT501" s="50"/>
    </row>
    <row r="502" spans="1:46" ht="14">
      <c r="A502" s="53" t="s">
        <v>36</v>
      </c>
      <c r="B502" s="7" t="s">
        <v>5568</v>
      </c>
      <c r="C502" s="7" t="s">
        <v>5933</v>
      </c>
      <c r="D502" s="14" t="s">
        <v>1830</v>
      </c>
      <c r="E502" s="7" t="s">
        <v>3271</v>
      </c>
      <c r="F502" s="7"/>
      <c r="G502" s="15" t="s">
        <v>5934</v>
      </c>
      <c r="H502" s="7"/>
      <c r="I502" s="19" t="s">
        <v>2</v>
      </c>
      <c r="J502" s="7" t="s">
        <v>5933</v>
      </c>
      <c r="K502" s="51">
        <v>41180</v>
      </c>
      <c r="L502" s="115">
        <v>41170</v>
      </c>
      <c r="M502" s="402">
        <f t="shared" si="32"/>
        <v>10</v>
      </c>
      <c r="N502" s="7" t="s">
        <v>2</v>
      </c>
      <c r="O502" s="74">
        <v>7.4</v>
      </c>
      <c r="P502" s="117">
        <v>4.5</v>
      </c>
      <c r="Q502" s="131">
        <v>7.4</v>
      </c>
      <c r="R502" s="50">
        <v>350</v>
      </c>
      <c r="S502" s="74">
        <v>610</v>
      </c>
      <c r="T502" s="50">
        <v>0.95</v>
      </c>
      <c r="U502" s="74">
        <v>2.9</v>
      </c>
      <c r="V502" s="50">
        <v>0.13</v>
      </c>
      <c r="W502" s="74">
        <v>4.8000000000000001E-2</v>
      </c>
      <c r="X502" s="50">
        <v>0.17</v>
      </c>
      <c r="Y502" s="74">
        <v>3.2000000000000001E-2</v>
      </c>
      <c r="Z502" s="164">
        <v>1</v>
      </c>
      <c r="AA502" s="165">
        <v>1</v>
      </c>
      <c r="AB502" s="50">
        <v>46</v>
      </c>
      <c r="AC502" s="74">
        <v>328</v>
      </c>
      <c r="AD502" s="164">
        <v>1</v>
      </c>
      <c r="AG502" s="74"/>
      <c r="AH502" s="74"/>
      <c r="AI502" s="113"/>
      <c r="AJ502" s="50"/>
      <c r="AK502" s="74"/>
      <c r="AL502" s="50"/>
      <c r="AM502" s="74"/>
      <c r="AN502" s="50"/>
      <c r="AO502" s="74"/>
      <c r="AP502" s="50"/>
      <c r="AQ502" s="74"/>
      <c r="AR502" s="50"/>
      <c r="AS502" s="74"/>
      <c r="AT502" s="50"/>
    </row>
    <row r="503" spans="1:46" ht="14">
      <c r="A503" s="53" t="s">
        <v>36</v>
      </c>
      <c r="B503" s="7" t="s">
        <v>5568</v>
      </c>
      <c r="C503" s="7" t="s">
        <v>5935</v>
      </c>
      <c r="D503" s="14" t="s">
        <v>1830</v>
      </c>
      <c r="E503" s="7" t="s">
        <v>3271</v>
      </c>
      <c r="F503" s="7"/>
      <c r="G503" s="15" t="s">
        <v>5934</v>
      </c>
      <c r="H503" s="7"/>
      <c r="I503" s="19" t="s">
        <v>2</v>
      </c>
      <c r="J503" s="7" t="s">
        <v>5935</v>
      </c>
      <c r="K503" s="51">
        <v>41180</v>
      </c>
      <c r="L503" s="115">
        <v>41170</v>
      </c>
      <c r="M503" s="402">
        <f t="shared" si="32"/>
        <v>10</v>
      </c>
      <c r="N503" s="7" t="s">
        <v>2</v>
      </c>
      <c r="O503" s="74">
        <v>4.5999999999999996</v>
      </c>
      <c r="P503" s="117">
        <v>4.5</v>
      </c>
      <c r="Q503" s="131">
        <v>6.8</v>
      </c>
      <c r="R503" s="50">
        <v>320</v>
      </c>
      <c r="S503" s="74">
        <v>100</v>
      </c>
      <c r="T503" s="50">
        <v>0.25</v>
      </c>
      <c r="U503" s="74">
        <v>4.2</v>
      </c>
      <c r="V503" s="50">
        <v>0.57999999999999996</v>
      </c>
      <c r="W503" s="74">
        <v>1.4E-2</v>
      </c>
      <c r="X503" s="50">
        <v>4.3999999999999997E-2</v>
      </c>
      <c r="Y503" s="74">
        <v>0.01</v>
      </c>
      <c r="Z503" s="164">
        <v>1</v>
      </c>
      <c r="AA503" s="165">
        <v>1</v>
      </c>
      <c r="AB503" s="50">
        <v>32</v>
      </c>
      <c r="AC503" s="74">
        <v>248</v>
      </c>
      <c r="AD503" s="164">
        <v>1</v>
      </c>
      <c r="AG503" s="74"/>
      <c r="AH503" s="74"/>
      <c r="AI503" s="113"/>
      <c r="AJ503" s="50"/>
      <c r="AK503" s="74"/>
      <c r="AL503" s="50"/>
      <c r="AM503" s="74"/>
      <c r="AN503" s="50"/>
      <c r="AO503" s="74"/>
      <c r="AP503" s="50"/>
      <c r="AQ503" s="74"/>
      <c r="AR503" s="50"/>
      <c r="AS503" s="74"/>
      <c r="AT503" s="50"/>
    </row>
    <row r="504" spans="1:46" ht="14">
      <c r="A504" s="53" t="s">
        <v>36</v>
      </c>
      <c r="B504" s="7" t="s">
        <v>5936</v>
      </c>
      <c r="C504" s="7" t="s">
        <v>395</v>
      </c>
      <c r="D504" s="14"/>
      <c r="E504" s="7" t="s">
        <v>5937</v>
      </c>
      <c r="F504" s="7"/>
      <c r="G504" s="15" t="s">
        <v>5938</v>
      </c>
      <c r="H504" s="7">
        <v>9199</v>
      </c>
      <c r="I504" s="19" t="s">
        <v>2</v>
      </c>
      <c r="J504" s="7" t="s">
        <v>395</v>
      </c>
      <c r="K504" s="51">
        <v>41728</v>
      </c>
      <c r="L504" s="115">
        <v>41717</v>
      </c>
      <c r="M504" s="402">
        <f t="shared" si="32"/>
        <v>11</v>
      </c>
      <c r="N504" s="7" t="s">
        <v>2</v>
      </c>
      <c r="O504" s="74">
        <f>0.5/2</f>
        <v>0.25</v>
      </c>
      <c r="P504" s="117">
        <v>5.19</v>
      </c>
      <c r="Q504" s="131">
        <v>6.4</v>
      </c>
      <c r="R504" s="50">
        <v>11</v>
      </c>
      <c r="S504" s="74">
        <v>16</v>
      </c>
      <c r="T504" s="50">
        <v>0.05</v>
      </c>
      <c r="U504" s="74">
        <v>0.28000000000000003</v>
      </c>
      <c r="V504" s="50">
        <f>0.05/2</f>
        <v>2.5000000000000001E-2</v>
      </c>
      <c r="W504" s="74">
        <v>0.01</v>
      </c>
      <c r="X504" s="50">
        <v>0.02</v>
      </c>
      <c r="Y504" s="74">
        <f>0.001/2</f>
        <v>5.0000000000000001E-4</v>
      </c>
      <c r="Z504" s="164">
        <v>1</v>
      </c>
      <c r="AA504" s="165">
        <v>1</v>
      </c>
      <c r="AB504" s="50">
        <v>42</v>
      </c>
      <c r="AC504" s="74">
        <v>94.3</v>
      </c>
      <c r="AD504" s="164">
        <v>1</v>
      </c>
      <c r="AE504" s="50">
        <v>40</v>
      </c>
      <c r="AF504" s="50">
        <f>0.01/2</f>
        <v>5.0000000000000001E-3</v>
      </c>
      <c r="AG504" s="74"/>
      <c r="AH504" s="74"/>
      <c r="AI504" s="113"/>
      <c r="AJ504" s="50"/>
      <c r="AK504" s="74"/>
      <c r="AL504" s="50"/>
      <c r="AM504" s="74"/>
      <c r="AN504" s="50"/>
      <c r="AO504" s="74"/>
      <c r="AP504" s="50"/>
      <c r="AQ504" s="74"/>
      <c r="AR504" s="50"/>
      <c r="AS504" s="74"/>
      <c r="AT504" s="50"/>
    </row>
    <row r="505" spans="1:46" ht="14">
      <c r="A505" s="53" t="s">
        <v>36</v>
      </c>
      <c r="B505" s="7" t="s">
        <v>2690</v>
      </c>
      <c r="C505" s="7" t="s">
        <v>1482</v>
      </c>
      <c r="D505" s="14" t="s">
        <v>2691</v>
      </c>
      <c r="E505" s="7" t="s">
        <v>5939</v>
      </c>
      <c r="F505" s="7"/>
      <c r="G505" s="15" t="s">
        <v>2693</v>
      </c>
      <c r="H505" s="7">
        <v>9199</v>
      </c>
      <c r="I505" s="19" t="s">
        <v>2</v>
      </c>
      <c r="J505" s="7" t="s">
        <v>569</v>
      </c>
      <c r="K505" s="51">
        <v>41710</v>
      </c>
      <c r="L505" s="115">
        <v>41689</v>
      </c>
      <c r="M505" s="402">
        <f t="shared" si="32"/>
        <v>21</v>
      </c>
      <c r="N505" s="7" t="s">
        <v>2</v>
      </c>
      <c r="O505" s="74">
        <v>41</v>
      </c>
      <c r="P505" s="117">
        <v>5.8</v>
      </c>
      <c r="Q505" s="131">
        <v>7.13</v>
      </c>
      <c r="R505" s="50">
        <v>29</v>
      </c>
      <c r="S505" s="74">
        <v>49</v>
      </c>
      <c r="T505" s="50">
        <v>0.09</v>
      </c>
      <c r="U505" s="74">
        <v>0.75</v>
      </c>
      <c r="V505" s="50">
        <v>0.88</v>
      </c>
      <c r="W505" s="74">
        <v>8.9999999999999993E-3</v>
      </c>
      <c r="X505" s="50">
        <v>0.03</v>
      </c>
      <c r="Y505" s="74">
        <v>3.0000000000000001E-3</v>
      </c>
      <c r="AG505" s="74"/>
      <c r="AH505" s="74"/>
      <c r="AI505" s="113"/>
      <c r="AJ505" s="50"/>
      <c r="AK505" s="74"/>
      <c r="AL505" s="50"/>
      <c r="AM505" s="74"/>
      <c r="AN505" s="50"/>
      <c r="AO505" s="74"/>
      <c r="AP505" s="50"/>
      <c r="AQ505" s="74"/>
      <c r="AR505" s="50"/>
      <c r="AS505" s="74"/>
      <c r="AT505" s="50"/>
    </row>
    <row r="506" spans="1:46" ht="14">
      <c r="A506" s="53" t="s">
        <v>36</v>
      </c>
      <c r="B506" s="7" t="s">
        <v>2690</v>
      </c>
      <c r="C506" s="7" t="s">
        <v>1482</v>
      </c>
      <c r="D506" s="14" t="s">
        <v>2691</v>
      </c>
      <c r="E506" s="7" t="s">
        <v>5939</v>
      </c>
      <c r="F506" s="7"/>
      <c r="G506" s="15" t="s">
        <v>2693</v>
      </c>
      <c r="H506" s="7">
        <v>9199</v>
      </c>
      <c r="I506" s="19" t="s">
        <v>2</v>
      </c>
      <c r="J506" s="7" t="s">
        <v>194</v>
      </c>
      <c r="K506" s="51">
        <v>41710</v>
      </c>
      <c r="L506" s="115">
        <v>41689</v>
      </c>
      <c r="M506" s="402">
        <f t="shared" si="32"/>
        <v>21</v>
      </c>
      <c r="N506" s="7" t="s">
        <v>1</v>
      </c>
      <c r="O506" s="281">
        <f>1.5/2</f>
        <v>0.75</v>
      </c>
      <c r="P506" s="117">
        <v>5.8</v>
      </c>
      <c r="Q506" s="131">
        <v>7.11</v>
      </c>
      <c r="R506" s="50">
        <v>14</v>
      </c>
      <c r="S506" s="74">
        <v>16</v>
      </c>
      <c r="T506" s="50">
        <v>0.05</v>
      </c>
      <c r="U506" s="74">
        <v>0.6</v>
      </c>
      <c r="V506" s="50">
        <v>1.21</v>
      </c>
      <c r="W506" s="74">
        <f>0.005/2</f>
        <v>2.5000000000000001E-3</v>
      </c>
      <c r="X506" s="50">
        <v>3.2000000000000001E-2</v>
      </c>
      <c r="Y506" s="74">
        <f>0.002/2</f>
        <v>1E-3</v>
      </c>
      <c r="AG506" s="74"/>
      <c r="AH506" s="74"/>
      <c r="AI506" s="113"/>
      <c r="AJ506" s="50"/>
      <c r="AK506" s="74"/>
      <c r="AL506" s="50"/>
      <c r="AM506" s="74"/>
      <c r="AN506" s="50"/>
      <c r="AO506" s="74"/>
      <c r="AP506" s="50"/>
      <c r="AQ506" s="74"/>
      <c r="AR506" s="50"/>
      <c r="AS506" s="74"/>
      <c r="AT506" s="50"/>
    </row>
    <row r="507" spans="1:46" ht="14">
      <c r="A507" s="53" t="s">
        <v>36</v>
      </c>
      <c r="B507" s="7" t="s">
        <v>4604</v>
      </c>
      <c r="C507" s="7" t="s">
        <v>2757</v>
      </c>
      <c r="D507" s="14" t="s">
        <v>1903</v>
      </c>
      <c r="E507" s="7" t="s">
        <v>5940</v>
      </c>
      <c r="F507" s="7"/>
      <c r="G507" s="15" t="s">
        <v>2759</v>
      </c>
      <c r="H507" s="7">
        <v>9199</v>
      </c>
      <c r="I507" s="19" t="s">
        <v>2</v>
      </c>
      <c r="J507" s="7" t="s">
        <v>2760</v>
      </c>
      <c r="K507" s="51">
        <v>41717</v>
      </c>
      <c r="L507" s="115">
        <v>41710</v>
      </c>
      <c r="M507" s="402">
        <f t="shared" si="32"/>
        <v>7</v>
      </c>
      <c r="N507" s="7" t="s">
        <v>2</v>
      </c>
      <c r="O507" s="74">
        <v>3.9</v>
      </c>
      <c r="P507" s="117">
        <v>5</v>
      </c>
      <c r="Q507" s="131">
        <v>7.04</v>
      </c>
      <c r="R507" s="50">
        <v>170</v>
      </c>
      <c r="S507" s="74">
        <v>190</v>
      </c>
      <c r="T507" s="50">
        <v>0.53</v>
      </c>
      <c r="U507" s="74">
        <v>2.02</v>
      </c>
      <c r="V507" s="50">
        <v>1.06</v>
      </c>
      <c r="W507" s="74">
        <v>3.5000000000000003E-2</v>
      </c>
      <c r="X507" s="50">
        <v>0.155</v>
      </c>
      <c r="Y507" s="74">
        <v>8.0000000000000002E-3</v>
      </c>
      <c r="Z507" s="164">
        <v>0.70699999999999996</v>
      </c>
      <c r="AA507" s="165">
        <v>0.70699999999999996</v>
      </c>
      <c r="AB507" s="50">
        <v>160</v>
      </c>
      <c r="AC507" s="74">
        <v>10890</v>
      </c>
      <c r="AD507" s="164">
        <v>0</v>
      </c>
      <c r="AE507" s="50">
        <v>3260</v>
      </c>
      <c r="AF507" s="50">
        <v>0.05</v>
      </c>
      <c r="AG507" s="74"/>
      <c r="AH507" s="74"/>
      <c r="AI507" s="113"/>
      <c r="AJ507" s="50"/>
      <c r="AK507" s="74"/>
      <c r="AL507" s="50"/>
      <c r="AM507" s="74"/>
      <c r="AN507" s="50"/>
      <c r="AO507" s="74"/>
      <c r="AP507" s="50"/>
      <c r="AQ507" s="74"/>
      <c r="AR507" s="50"/>
      <c r="AS507" s="74"/>
      <c r="AT507" s="50"/>
    </row>
    <row r="508" spans="1:46" ht="14">
      <c r="A508" s="53" t="s">
        <v>36</v>
      </c>
      <c r="B508" s="7" t="s">
        <v>2740</v>
      </c>
      <c r="C508" s="7" t="s">
        <v>1482</v>
      </c>
      <c r="D508" s="14" t="s">
        <v>2741</v>
      </c>
      <c r="E508" s="7" t="s">
        <v>2742</v>
      </c>
      <c r="F508" s="7"/>
      <c r="G508" s="15" t="s">
        <v>2743</v>
      </c>
      <c r="H508" s="7">
        <v>4953</v>
      </c>
      <c r="I508" s="19" t="s">
        <v>2</v>
      </c>
      <c r="J508" s="7" t="s">
        <v>194</v>
      </c>
      <c r="K508" s="51">
        <v>41149</v>
      </c>
      <c r="L508" s="115">
        <v>41139</v>
      </c>
      <c r="M508" s="402">
        <f t="shared" si="32"/>
        <v>10</v>
      </c>
      <c r="N508" s="7" t="s">
        <v>2</v>
      </c>
      <c r="O508" s="74">
        <v>3.5</v>
      </c>
      <c r="P508" s="117">
        <v>6.3</v>
      </c>
      <c r="Q508" s="131">
        <v>6.53</v>
      </c>
      <c r="R508" s="50">
        <v>68</v>
      </c>
      <c r="S508" s="74">
        <v>54</v>
      </c>
      <c r="T508" s="50">
        <v>0.24</v>
      </c>
      <c r="U508" s="74">
        <v>1.6</v>
      </c>
      <c r="V508" s="50">
        <v>0.64</v>
      </c>
      <c r="W508" s="74">
        <v>1.7999999999999999E-2</v>
      </c>
      <c r="X508" s="50">
        <v>8.4000000000000005E-2</v>
      </c>
      <c r="Y508" s="74">
        <f>0.002/2</f>
        <v>1E-3</v>
      </c>
      <c r="AE508" s="50">
        <v>15.1</v>
      </c>
      <c r="AF508" s="50">
        <f>0.01/2</f>
        <v>5.0000000000000001E-3</v>
      </c>
      <c r="AG508" s="74"/>
      <c r="AH508" s="74"/>
      <c r="AI508" s="113"/>
      <c r="AJ508" s="50"/>
      <c r="AK508" s="74"/>
      <c r="AL508" s="50"/>
      <c r="AM508" s="74"/>
      <c r="AN508" s="50"/>
      <c r="AO508" s="74"/>
      <c r="AP508" s="50"/>
      <c r="AQ508" s="74"/>
      <c r="AR508" s="50"/>
      <c r="AS508" s="74"/>
      <c r="AT508" s="50"/>
    </row>
    <row r="509" spans="1:46" ht="14">
      <c r="A509" s="53" t="s">
        <v>36</v>
      </c>
      <c r="B509" s="7" t="s">
        <v>2740</v>
      </c>
      <c r="C509" s="7" t="s">
        <v>1482</v>
      </c>
      <c r="D509" s="14" t="s">
        <v>2741</v>
      </c>
      <c r="E509" s="7" t="s">
        <v>2742</v>
      </c>
      <c r="F509" s="7"/>
      <c r="G509" s="15" t="s">
        <v>2743</v>
      </c>
      <c r="H509" s="7">
        <v>4953</v>
      </c>
      <c r="I509" s="19" t="s">
        <v>2</v>
      </c>
      <c r="J509" s="7" t="s">
        <v>569</v>
      </c>
      <c r="K509" s="51">
        <v>41149</v>
      </c>
      <c r="L509" s="115">
        <v>41139</v>
      </c>
      <c r="M509" s="402">
        <f t="shared" si="32"/>
        <v>10</v>
      </c>
      <c r="N509" s="7" t="s">
        <v>2</v>
      </c>
      <c r="O509" s="74">
        <v>1.8</v>
      </c>
      <c r="P509" s="117">
        <v>6.3</v>
      </c>
      <c r="Q509" s="131">
        <v>6.38</v>
      </c>
      <c r="R509" s="50">
        <v>70</v>
      </c>
      <c r="S509" s="74">
        <v>130</v>
      </c>
      <c r="T509" s="50">
        <v>0.47</v>
      </c>
      <c r="U509" s="74">
        <v>3.44</v>
      </c>
      <c r="V509" s="50">
        <v>0.66</v>
      </c>
      <c r="W509" s="74">
        <v>1.9E-2</v>
      </c>
      <c r="X509" s="50">
        <v>7.4999999999999997E-2</v>
      </c>
      <c r="Y509" s="74">
        <v>3.0000000000000001E-3</v>
      </c>
      <c r="AE509" s="50">
        <v>30.4</v>
      </c>
      <c r="AF509" s="50">
        <f>0.01/2</f>
        <v>5.0000000000000001E-3</v>
      </c>
      <c r="AG509" s="74"/>
      <c r="AH509" s="74"/>
      <c r="AI509" s="113"/>
      <c r="AJ509" s="50"/>
      <c r="AK509" s="74"/>
      <c r="AL509" s="50"/>
      <c r="AM509" s="74"/>
      <c r="AN509" s="50"/>
      <c r="AO509" s="74"/>
      <c r="AP509" s="50"/>
      <c r="AQ509" s="74"/>
      <c r="AR509" s="50"/>
      <c r="AS509" s="74"/>
      <c r="AT509" s="50"/>
    </row>
    <row r="510" spans="1:46" ht="14">
      <c r="A510" s="293" t="s">
        <v>36</v>
      </c>
      <c r="B510" s="7" t="s">
        <v>2863</v>
      </c>
      <c r="C510" s="7" t="s">
        <v>2866</v>
      </c>
      <c r="D510" s="14" t="s">
        <v>1864</v>
      </c>
      <c r="E510" s="7" t="s">
        <v>2867</v>
      </c>
      <c r="F510" s="7"/>
      <c r="G510" s="15" t="s">
        <v>2868</v>
      </c>
      <c r="H510" s="7">
        <v>4953</v>
      </c>
      <c r="I510" s="19" t="s">
        <v>2</v>
      </c>
      <c r="J510" s="7" t="s">
        <v>700</v>
      </c>
      <c r="K510" s="51">
        <v>41710</v>
      </c>
      <c r="L510" s="115">
        <v>41691</v>
      </c>
      <c r="M510" s="402">
        <f t="shared" si="32"/>
        <v>19</v>
      </c>
      <c r="N510" s="7" t="s">
        <v>1</v>
      </c>
      <c r="P510" s="117"/>
      <c r="Q510" s="131"/>
      <c r="R510" s="50">
        <v>110</v>
      </c>
      <c r="S510" s="74">
        <v>214</v>
      </c>
      <c r="T510" s="50">
        <v>0.505</v>
      </c>
      <c r="U510" s="74">
        <v>2.4</v>
      </c>
      <c r="X510" s="50">
        <v>0.154</v>
      </c>
      <c r="AG510" s="74"/>
      <c r="AH510" s="74"/>
      <c r="AI510" s="113"/>
      <c r="AJ510" s="50"/>
      <c r="AK510" s="74"/>
      <c r="AL510" s="50"/>
      <c r="AM510" s="74"/>
      <c r="AN510" s="50"/>
      <c r="AO510" s="74"/>
      <c r="AP510" s="50"/>
      <c r="AQ510" s="74"/>
      <c r="AR510" s="50"/>
      <c r="AS510" s="74"/>
      <c r="AT510" s="50"/>
    </row>
    <row r="511" spans="1:46" ht="14">
      <c r="A511" s="53" t="s">
        <v>36</v>
      </c>
      <c r="B511" s="7" t="s">
        <v>336</v>
      </c>
      <c r="C511" s="7" t="s">
        <v>2892</v>
      </c>
      <c r="D511" s="14" t="s">
        <v>338</v>
      </c>
      <c r="E511" s="7" t="s">
        <v>599</v>
      </c>
      <c r="F511" s="7">
        <v>6900</v>
      </c>
      <c r="G511" s="15" t="s">
        <v>998</v>
      </c>
      <c r="H511" s="7">
        <v>4953</v>
      </c>
      <c r="I511" s="19"/>
      <c r="J511" s="7" t="s">
        <v>5941</v>
      </c>
      <c r="K511" s="51">
        <v>41729</v>
      </c>
      <c r="L511" s="115">
        <v>41717</v>
      </c>
      <c r="M511" s="402">
        <f t="shared" si="32"/>
        <v>12</v>
      </c>
      <c r="N511" s="7" t="s">
        <v>2</v>
      </c>
      <c r="O511" s="74">
        <v>5.3</v>
      </c>
      <c r="P511" s="117">
        <v>6.26</v>
      </c>
      <c r="Q511" s="131">
        <v>7</v>
      </c>
      <c r="R511" s="50">
        <v>50.2</v>
      </c>
      <c r="S511" s="74">
        <v>138.5</v>
      </c>
      <c r="T511" s="50">
        <v>0.24</v>
      </c>
      <c r="U511" s="74">
        <v>0.85</v>
      </c>
      <c r="V511" s="50">
        <f>0.2/2</f>
        <v>0.1</v>
      </c>
      <c r="W511" s="74">
        <v>0.01</v>
      </c>
      <c r="X511" s="50">
        <v>0.12</v>
      </c>
      <c r="Y511" s="74">
        <f>0.02/2</f>
        <v>0.01</v>
      </c>
      <c r="AE511" s="50">
        <v>660</v>
      </c>
      <c r="AF511" s="50">
        <f>0.005/2</f>
        <v>2.5000000000000001E-3</v>
      </c>
      <c r="AG511" s="74"/>
      <c r="AH511" s="74"/>
      <c r="AI511" s="113"/>
      <c r="AJ511" s="50"/>
      <c r="AK511" s="74"/>
      <c r="AL511" s="50"/>
      <c r="AM511" s="74"/>
      <c r="AN511" s="50"/>
      <c r="AO511" s="74"/>
      <c r="AP511" s="50"/>
      <c r="AQ511" s="74"/>
      <c r="AR511" s="50"/>
      <c r="AS511" s="74"/>
      <c r="AT511" s="50"/>
    </row>
    <row r="512" spans="1:46" ht="14">
      <c r="A512" s="53" t="s">
        <v>36</v>
      </c>
      <c r="B512" s="7" t="s">
        <v>336</v>
      </c>
      <c r="C512" s="7" t="s">
        <v>2892</v>
      </c>
      <c r="D512" s="14" t="s">
        <v>338</v>
      </c>
      <c r="E512" s="7" t="s">
        <v>599</v>
      </c>
      <c r="F512" s="7">
        <v>6900</v>
      </c>
      <c r="G512" s="15" t="s">
        <v>998</v>
      </c>
      <c r="H512" s="7">
        <v>4953</v>
      </c>
      <c r="I512" s="19"/>
      <c r="J512" s="7" t="s">
        <v>5942</v>
      </c>
      <c r="K512" s="51">
        <v>41729</v>
      </c>
      <c r="L512" s="115">
        <v>41717</v>
      </c>
      <c r="M512" s="402">
        <f t="shared" si="32"/>
        <v>12</v>
      </c>
      <c r="N512" s="7" t="s">
        <v>2</v>
      </c>
      <c r="O512" s="74">
        <v>7.2</v>
      </c>
      <c r="P512" s="117">
        <v>6.26</v>
      </c>
      <c r="Q512" s="131">
        <v>7.17</v>
      </c>
      <c r="R512" s="50">
        <v>50.2</v>
      </c>
      <c r="S512" s="74">
        <v>292</v>
      </c>
      <c r="T512" s="50">
        <v>0.24</v>
      </c>
      <c r="U512" s="74">
        <v>1.1299999999999999</v>
      </c>
      <c r="V512" s="50">
        <v>0.31</v>
      </c>
      <c r="W512" s="74">
        <v>0.01</v>
      </c>
      <c r="X512" s="50">
        <v>0.14000000000000001</v>
      </c>
      <c r="Y512" s="74">
        <f>0.02/2</f>
        <v>0.01</v>
      </c>
      <c r="AE512" s="50">
        <v>610</v>
      </c>
      <c r="AF512" s="50">
        <f>0.005/2</f>
        <v>2.5000000000000001E-3</v>
      </c>
      <c r="AG512" s="74"/>
      <c r="AH512" s="74"/>
      <c r="AI512" s="113"/>
      <c r="AJ512" s="50"/>
      <c r="AK512" s="74"/>
      <c r="AL512" s="50"/>
      <c r="AM512" s="74"/>
      <c r="AN512" s="50"/>
      <c r="AO512" s="74"/>
      <c r="AP512" s="50"/>
      <c r="AQ512" s="74"/>
      <c r="AR512" s="50"/>
      <c r="AS512" s="74"/>
      <c r="AT512" s="50"/>
    </row>
    <row r="513" spans="1:46" ht="14">
      <c r="A513" s="53" t="s">
        <v>36</v>
      </c>
      <c r="B513" s="7" t="s">
        <v>5943</v>
      </c>
      <c r="C513" s="7" t="s">
        <v>5944</v>
      </c>
      <c r="D513" s="14" t="s">
        <v>5945</v>
      </c>
      <c r="E513" s="7" t="s">
        <v>5946</v>
      </c>
      <c r="F513" s="7"/>
      <c r="G513" s="15" t="s">
        <v>5947</v>
      </c>
      <c r="H513" s="7">
        <v>9199</v>
      </c>
      <c r="I513" s="19" t="s">
        <v>2</v>
      </c>
      <c r="J513" s="7" t="s">
        <v>5948</v>
      </c>
      <c r="K513" s="51">
        <v>41539</v>
      </c>
      <c r="L513" s="115">
        <v>41532</v>
      </c>
      <c r="M513" s="402">
        <f t="shared" si="32"/>
        <v>7</v>
      </c>
      <c r="N513" s="7" t="s">
        <v>2</v>
      </c>
      <c r="O513" s="74">
        <f>1.6/2</f>
        <v>0.8</v>
      </c>
      <c r="P513" s="117">
        <v>6.2</v>
      </c>
      <c r="Q513" s="131">
        <v>6.35</v>
      </c>
      <c r="R513" s="50">
        <f>10/2</f>
        <v>5</v>
      </c>
      <c r="S513" s="74">
        <f>5/2</f>
        <v>2.5</v>
      </c>
      <c r="T513" s="50">
        <v>0.03</v>
      </c>
      <c r="U513" s="74">
        <v>0.31</v>
      </c>
      <c r="V513" s="50">
        <v>0.05</v>
      </c>
      <c r="W513" s="74">
        <f>0.005/2</f>
        <v>2.5000000000000001E-3</v>
      </c>
      <c r="X513" s="50">
        <v>6.3E-2</v>
      </c>
      <c r="Y513" s="74">
        <f>0.002/2</f>
        <v>1E-3</v>
      </c>
      <c r="AG513" s="74"/>
      <c r="AH513" s="74"/>
      <c r="AI513" s="113"/>
      <c r="AJ513" s="50"/>
      <c r="AK513" s="74"/>
      <c r="AL513" s="50"/>
      <c r="AM513" s="74"/>
      <c r="AN513" s="50"/>
      <c r="AO513" s="74"/>
      <c r="AP513" s="50"/>
      <c r="AQ513" s="74"/>
      <c r="AR513" s="50"/>
      <c r="AS513" s="74"/>
      <c r="AT513" s="50"/>
    </row>
    <row r="514" spans="1:46" ht="14">
      <c r="A514" s="53" t="s">
        <v>36</v>
      </c>
      <c r="B514" s="7" t="s">
        <v>5943</v>
      </c>
      <c r="C514" s="7" t="s">
        <v>5944</v>
      </c>
      <c r="D514" s="14" t="s">
        <v>5945</v>
      </c>
      <c r="E514" s="7" t="s">
        <v>5946</v>
      </c>
      <c r="F514" s="7"/>
      <c r="G514" s="15" t="s">
        <v>5947</v>
      </c>
      <c r="H514" s="7">
        <v>9199</v>
      </c>
      <c r="I514" s="19" t="s">
        <v>2</v>
      </c>
      <c r="J514" s="7" t="s">
        <v>5949</v>
      </c>
      <c r="K514" s="51">
        <v>41539</v>
      </c>
      <c r="L514" s="115">
        <v>41532</v>
      </c>
      <c r="M514" s="402">
        <f t="shared" si="32"/>
        <v>7</v>
      </c>
      <c r="N514" s="7" t="s">
        <v>2</v>
      </c>
      <c r="O514" s="74">
        <f>1.5/2</f>
        <v>0.75</v>
      </c>
      <c r="P514" s="117">
        <v>6.2</v>
      </c>
      <c r="Q514" s="131">
        <v>6.8</v>
      </c>
      <c r="R514" s="50">
        <v>26</v>
      </c>
      <c r="S514" s="74">
        <v>14</v>
      </c>
      <c r="T514" s="50">
        <v>0.22</v>
      </c>
      <c r="U514" s="74">
        <v>0.72</v>
      </c>
      <c r="V514" s="50">
        <v>0.05</v>
      </c>
      <c r="W514" s="74">
        <v>5.5E-2</v>
      </c>
      <c r="X514" s="50">
        <v>0.10100000000000001</v>
      </c>
      <c r="Y514" s="74">
        <v>1.4E-2</v>
      </c>
      <c r="AG514" s="74"/>
      <c r="AH514" s="74"/>
      <c r="AI514" s="113"/>
      <c r="AJ514" s="50"/>
      <c r="AK514" s="74"/>
      <c r="AL514" s="50"/>
      <c r="AM514" s="74"/>
      <c r="AN514" s="50"/>
      <c r="AO514" s="74"/>
      <c r="AP514" s="50"/>
      <c r="AQ514" s="74"/>
      <c r="AR514" s="50"/>
      <c r="AS514" s="74"/>
      <c r="AT514" s="50"/>
    </row>
    <row r="515" spans="1:46" ht="14">
      <c r="A515" s="53" t="s">
        <v>36</v>
      </c>
      <c r="B515" s="7" t="s">
        <v>2690</v>
      </c>
      <c r="C515" s="7" t="s">
        <v>1482</v>
      </c>
      <c r="D515" s="14" t="s">
        <v>2691</v>
      </c>
      <c r="E515" s="7" t="s">
        <v>5939</v>
      </c>
      <c r="F515" s="7"/>
      <c r="G515" s="15" t="s">
        <v>2693</v>
      </c>
      <c r="H515" s="7">
        <v>9199</v>
      </c>
      <c r="I515" s="19" t="s">
        <v>2</v>
      </c>
      <c r="J515" s="7" t="s">
        <v>194</v>
      </c>
      <c r="K515" s="51">
        <v>41529</v>
      </c>
      <c r="L515" s="115">
        <v>41519</v>
      </c>
      <c r="M515" s="402">
        <f t="shared" si="32"/>
        <v>10</v>
      </c>
      <c r="N515" s="7" t="s">
        <v>2</v>
      </c>
      <c r="O515" s="74">
        <f>1.8/2</f>
        <v>0.9</v>
      </c>
      <c r="P515" s="117">
        <v>4.7</v>
      </c>
      <c r="Q515" s="131">
        <v>6.12</v>
      </c>
      <c r="R515" s="50">
        <v>17</v>
      </c>
      <c r="S515" s="74">
        <v>31</v>
      </c>
      <c r="T515" s="50">
        <v>0.06</v>
      </c>
      <c r="U515" s="74">
        <v>0.73</v>
      </c>
      <c r="V515" s="50">
        <v>0.51</v>
      </c>
      <c r="W515" s="74">
        <v>8.0000000000000002E-3</v>
      </c>
      <c r="X515" s="50">
        <v>0.15</v>
      </c>
      <c r="Y515" s="74">
        <v>8.0000000000000002E-3</v>
      </c>
      <c r="AE515" s="50">
        <v>156</v>
      </c>
      <c r="AF515" s="50">
        <f>0.01/2</f>
        <v>5.0000000000000001E-3</v>
      </c>
      <c r="AG515" s="74"/>
      <c r="AH515" s="74"/>
      <c r="AI515" s="113"/>
      <c r="AJ515" s="50"/>
      <c r="AK515" s="74"/>
      <c r="AL515" s="50"/>
      <c r="AM515" s="74"/>
      <c r="AN515" s="50"/>
      <c r="AO515" s="74"/>
      <c r="AP515" s="50"/>
      <c r="AQ515" s="74"/>
      <c r="AR515" s="50"/>
      <c r="AS515" s="74"/>
      <c r="AT515" s="50"/>
    </row>
    <row r="516" spans="1:46" ht="14">
      <c r="A516" s="53" t="s">
        <v>36</v>
      </c>
      <c r="B516" s="7" t="s">
        <v>2690</v>
      </c>
      <c r="C516" s="7" t="s">
        <v>1482</v>
      </c>
      <c r="D516" s="14" t="s">
        <v>2691</v>
      </c>
      <c r="E516" s="7" t="s">
        <v>5939</v>
      </c>
      <c r="F516" s="7"/>
      <c r="G516" s="15" t="s">
        <v>2693</v>
      </c>
      <c r="H516" s="7">
        <v>9199</v>
      </c>
      <c r="I516" s="19" t="s">
        <v>2</v>
      </c>
      <c r="J516" s="7" t="s">
        <v>569</v>
      </c>
      <c r="K516" s="51">
        <v>41529</v>
      </c>
      <c r="L516" s="115">
        <v>41519</v>
      </c>
      <c r="M516" s="402">
        <f t="shared" si="32"/>
        <v>10</v>
      </c>
      <c r="N516" s="7" t="s">
        <v>2</v>
      </c>
      <c r="O516" s="74">
        <f>1.5/2</f>
        <v>0.75</v>
      </c>
      <c r="P516" s="117">
        <v>4.7</v>
      </c>
      <c r="Q516" s="131">
        <v>7.1</v>
      </c>
      <c r="R516" s="50">
        <v>21</v>
      </c>
      <c r="S516" s="74">
        <v>25</v>
      </c>
      <c r="T516" s="50">
        <v>0.11</v>
      </c>
      <c r="U516" s="74">
        <v>0.77</v>
      </c>
      <c r="V516" s="50">
        <v>0.4</v>
      </c>
      <c r="W516" s="74">
        <f>0.005/2</f>
        <v>2.5000000000000001E-3</v>
      </c>
      <c r="X516" s="50">
        <v>1.0999999999999999E-2</v>
      </c>
      <c r="Y516" s="74">
        <v>8.9999999999999993E-3</v>
      </c>
      <c r="AG516" s="74"/>
      <c r="AH516" s="74"/>
      <c r="AI516" s="113"/>
      <c r="AJ516" s="50"/>
      <c r="AK516" s="74"/>
      <c r="AL516" s="50"/>
      <c r="AM516" s="74"/>
      <c r="AN516" s="50"/>
      <c r="AO516" s="74"/>
      <c r="AP516" s="50"/>
      <c r="AQ516" s="74"/>
      <c r="AR516" s="50"/>
      <c r="AS516" s="74"/>
      <c r="AT516" s="50"/>
    </row>
    <row r="517" spans="1:46" ht="14">
      <c r="A517" s="53" t="s">
        <v>36</v>
      </c>
      <c r="B517" s="7" t="s">
        <v>2834</v>
      </c>
      <c r="C517" s="7" t="s">
        <v>2989</v>
      </c>
      <c r="D517" s="14" t="s">
        <v>636</v>
      </c>
      <c r="E517" s="7" t="s">
        <v>4601</v>
      </c>
      <c r="F517" s="7" t="s">
        <v>2837</v>
      </c>
      <c r="G517" s="15" t="s">
        <v>2838</v>
      </c>
      <c r="H517" s="7"/>
      <c r="I517" s="19" t="s">
        <v>2</v>
      </c>
      <c r="J517" s="7" t="s">
        <v>2989</v>
      </c>
      <c r="K517" s="51">
        <v>41466</v>
      </c>
      <c r="L517" s="115">
        <v>41461</v>
      </c>
      <c r="M517" s="402">
        <f t="shared" si="32"/>
        <v>5</v>
      </c>
      <c r="N517" s="7" t="s">
        <v>2</v>
      </c>
      <c r="O517" s="74">
        <v>1.9</v>
      </c>
      <c r="P517" s="117">
        <v>5</v>
      </c>
      <c r="Q517" s="131">
        <v>5.7</v>
      </c>
      <c r="R517" s="50">
        <v>45</v>
      </c>
      <c r="S517" s="74">
        <v>77</v>
      </c>
      <c r="T517" s="50">
        <v>0.16</v>
      </c>
      <c r="U517" s="74">
        <f>0.5/2</f>
        <v>0.25</v>
      </c>
      <c r="V517" s="50">
        <v>0.26</v>
      </c>
      <c r="W517" s="74">
        <v>5.4999999999999997E-3</v>
      </c>
      <c r="X517" s="50">
        <v>6.9000000000000006E-2</v>
      </c>
      <c r="Y517" s="74">
        <f>0.002/2</f>
        <v>1E-3</v>
      </c>
      <c r="Z517" s="164">
        <v>1</v>
      </c>
      <c r="AA517" s="165">
        <v>1</v>
      </c>
      <c r="AB517" s="50">
        <v>28</v>
      </c>
      <c r="AC517" s="74">
        <v>241</v>
      </c>
      <c r="AD517" s="164">
        <v>1</v>
      </c>
      <c r="AG517" s="74"/>
      <c r="AH517" s="74"/>
      <c r="AI517" s="113"/>
      <c r="AJ517" s="50"/>
      <c r="AK517" s="74"/>
      <c r="AL517" s="50"/>
      <c r="AM517" s="74"/>
      <c r="AN517" s="50"/>
      <c r="AO517" s="74"/>
      <c r="AP517" s="50"/>
      <c r="AQ517" s="74"/>
      <c r="AR517" s="50"/>
      <c r="AS517" s="74"/>
      <c r="AT517" s="50"/>
    </row>
    <row r="518" spans="1:46" ht="14">
      <c r="A518" s="53" t="s">
        <v>36</v>
      </c>
      <c r="B518" s="7" t="s">
        <v>2730</v>
      </c>
      <c r="C518" s="7" t="s">
        <v>2731</v>
      </c>
      <c r="D518" s="14" t="s">
        <v>1541</v>
      </c>
      <c r="E518" s="7" t="s">
        <v>2732</v>
      </c>
      <c r="F518" s="7"/>
      <c r="G518" s="15" t="s">
        <v>2733</v>
      </c>
      <c r="H518" s="7">
        <v>9199</v>
      </c>
      <c r="I518" s="19" t="s">
        <v>2</v>
      </c>
      <c r="J518" s="7" t="s">
        <v>2694</v>
      </c>
      <c r="K518" s="51">
        <v>41201</v>
      </c>
      <c r="L518" s="115">
        <v>41197</v>
      </c>
      <c r="M518" s="402">
        <f t="shared" si="32"/>
        <v>4</v>
      </c>
      <c r="N518" s="7" t="s">
        <v>2</v>
      </c>
      <c r="O518" s="74">
        <f>1.4/2</f>
        <v>0.7</v>
      </c>
      <c r="P518" s="117">
        <v>6.3</v>
      </c>
      <c r="Q518" s="131">
        <v>6.8</v>
      </c>
      <c r="R518" s="50">
        <v>21</v>
      </c>
      <c r="S518" s="74">
        <v>5.5</v>
      </c>
      <c r="T518" s="50">
        <v>0.06</v>
      </c>
      <c r="U518" s="74">
        <v>0.48</v>
      </c>
      <c r="V518" s="50">
        <v>0.21</v>
      </c>
      <c r="W518" s="74">
        <f>0.005/2</f>
        <v>2.5000000000000001E-3</v>
      </c>
      <c r="X518" s="50">
        <v>1.2999999999999999E-2</v>
      </c>
      <c r="Y518" s="74">
        <f>0.002/2</f>
        <v>1E-3</v>
      </c>
      <c r="AG518" s="74"/>
      <c r="AH518" s="74"/>
      <c r="AI518" s="113"/>
      <c r="AJ518" s="50"/>
      <c r="AK518" s="74"/>
      <c r="AL518" s="50"/>
      <c r="AM518" s="74"/>
      <c r="AN518" s="50"/>
      <c r="AO518" s="74"/>
      <c r="AP518" s="50"/>
      <c r="AQ518" s="74"/>
      <c r="AR518" s="50"/>
      <c r="AS518" s="74"/>
      <c r="AT518" s="50"/>
    </row>
    <row r="519" spans="1:46" ht="14">
      <c r="A519" s="53" t="s">
        <v>36</v>
      </c>
      <c r="B519" s="7" t="s">
        <v>2730</v>
      </c>
      <c r="C519" s="7" t="s">
        <v>2731</v>
      </c>
      <c r="D519" s="14" t="s">
        <v>1541</v>
      </c>
      <c r="E519" s="7" t="s">
        <v>2732</v>
      </c>
      <c r="F519" s="7"/>
      <c r="G519" s="15" t="s">
        <v>2733</v>
      </c>
      <c r="H519" s="7">
        <v>9199</v>
      </c>
      <c r="I519" s="19" t="s">
        <v>2</v>
      </c>
      <c r="J519" s="7" t="s">
        <v>1207</v>
      </c>
      <c r="K519" s="51">
        <v>41201</v>
      </c>
      <c r="L519" s="115">
        <v>41197</v>
      </c>
      <c r="M519" s="402">
        <f t="shared" si="32"/>
        <v>4</v>
      </c>
      <c r="N519" s="7" t="s">
        <v>2</v>
      </c>
      <c r="O519" s="74">
        <f>1.5/2</f>
        <v>0.75</v>
      </c>
      <c r="P519" s="117">
        <v>6.3</v>
      </c>
      <c r="Q519" s="131">
        <v>6.7</v>
      </c>
      <c r="R519" s="50">
        <v>52</v>
      </c>
      <c r="S519" s="74">
        <v>6.5</v>
      </c>
      <c r="T519" s="50">
        <v>0.09</v>
      </c>
      <c r="U519" s="74">
        <v>2.3199999999999998</v>
      </c>
      <c r="V519" s="50">
        <v>0.01</v>
      </c>
      <c r="W519" s="74">
        <v>5.0000000000000001E-3</v>
      </c>
      <c r="X519" s="50">
        <v>1.9E-2</v>
      </c>
      <c r="Y519" s="74">
        <f>0.002/2</f>
        <v>1E-3</v>
      </c>
      <c r="AE519" s="50">
        <v>5.9</v>
      </c>
      <c r="AF519" s="50">
        <f>0.01/2</f>
        <v>5.0000000000000001E-3</v>
      </c>
      <c r="AG519" s="74"/>
      <c r="AH519" s="74"/>
      <c r="AI519" s="113"/>
      <c r="AJ519" s="50"/>
      <c r="AK519" s="74"/>
      <c r="AL519" s="50"/>
      <c r="AM519" s="74"/>
      <c r="AN519" s="50"/>
      <c r="AO519" s="74"/>
      <c r="AP519" s="50"/>
      <c r="AQ519" s="74"/>
      <c r="AR519" s="50"/>
      <c r="AS519" s="74"/>
      <c r="AT519" s="50"/>
    </row>
    <row r="520" spans="1:46" ht="14">
      <c r="A520" s="53" t="s">
        <v>36</v>
      </c>
      <c r="B520" s="7" t="s">
        <v>2730</v>
      </c>
      <c r="C520" s="7" t="s">
        <v>2731</v>
      </c>
      <c r="D520" s="14" t="s">
        <v>1541</v>
      </c>
      <c r="E520" s="7" t="s">
        <v>2732</v>
      </c>
      <c r="F520" s="7"/>
      <c r="G520" s="15" t="s">
        <v>2733</v>
      </c>
      <c r="H520" s="7">
        <v>9199</v>
      </c>
      <c r="I520" s="19" t="s">
        <v>2</v>
      </c>
      <c r="J520" s="7" t="s">
        <v>2734</v>
      </c>
      <c r="K520" s="51">
        <v>41201</v>
      </c>
      <c r="L520" s="115">
        <v>41197</v>
      </c>
      <c r="M520" s="402">
        <f t="shared" si="32"/>
        <v>4</v>
      </c>
      <c r="N520" s="7" t="s">
        <v>2</v>
      </c>
      <c r="O520" s="74">
        <f>1.4/2</f>
        <v>0.7</v>
      </c>
      <c r="P520" s="117">
        <v>6.3</v>
      </c>
      <c r="Q520" s="131">
        <v>6.4</v>
      </c>
      <c r="R520" s="50">
        <v>12</v>
      </c>
      <c r="S520" s="74">
        <v>24</v>
      </c>
      <c r="T520" s="50">
        <v>0.02</v>
      </c>
      <c r="U520" s="74">
        <v>1.7</v>
      </c>
      <c r="V520" s="50">
        <v>0.1</v>
      </c>
      <c r="W520" s="74">
        <f>0.005/2</f>
        <v>2.5000000000000001E-3</v>
      </c>
      <c r="X520" s="50">
        <f>0.002/2</f>
        <v>1E-3</v>
      </c>
      <c r="Y520" s="74">
        <f>0.002/2</f>
        <v>1E-3</v>
      </c>
      <c r="AG520" s="74"/>
      <c r="AH520" s="74"/>
      <c r="AI520" s="113"/>
      <c r="AJ520" s="50"/>
      <c r="AK520" s="74"/>
      <c r="AL520" s="50"/>
      <c r="AM520" s="74"/>
      <c r="AN520" s="50"/>
      <c r="AO520" s="74"/>
      <c r="AP520" s="50"/>
      <c r="AQ520" s="74"/>
      <c r="AR520" s="50"/>
      <c r="AS520" s="74"/>
      <c r="AT520" s="50"/>
    </row>
    <row r="521" spans="1:46" ht="14">
      <c r="A521" s="53" t="s">
        <v>36</v>
      </c>
      <c r="B521" s="7" t="s">
        <v>5950</v>
      </c>
      <c r="C521" s="7"/>
      <c r="D521" s="14" t="s">
        <v>2913</v>
      </c>
      <c r="E521" s="7" t="s">
        <v>2914</v>
      </c>
      <c r="F521" s="7"/>
      <c r="G521" s="15" t="s">
        <v>2915</v>
      </c>
      <c r="H521" s="7">
        <v>9199</v>
      </c>
      <c r="I521" s="19" t="s">
        <v>1</v>
      </c>
      <c r="J521" s="7" t="s">
        <v>569</v>
      </c>
      <c r="K521" s="51">
        <v>41487</v>
      </c>
      <c r="L521" s="115">
        <v>41481</v>
      </c>
      <c r="M521" s="402">
        <f t="shared" si="32"/>
        <v>6</v>
      </c>
      <c r="N521" s="7" t="s">
        <v>2</v>
      </c>
      <c r="O521" s="74">
        <f>2/2</f>
        <v>1</v>
      </c>
      <c r="P521" s="117">
        <v>7.6</v>
      </c>
      <c r="Q521" s="131">
        <v>7.6</v>
      </c>
      <c r="R521" s="50">
        <f>10/2</f>
        <v>5</v>
      </c>
      <c r="S521" s="74">
        <v>52</v>
      </c>
      <c r="T521" s="50">
        <v>0.14000000000000001</v>
      </c>
      <c r="U521" s="74">
        <v>0.82</v>
      </c>
      <c r="V521" s="50">
        <v>0.31</v>
      </c>
      <c r="W521" s="74">
        <v>2.1999999999999999E-2</v>
      </c>
      <c r="X521" s="50">
        <f>0.03/2</f>
        <v>1.4999999999999999E-2</v>
      </c>
      <c r="Y521" s="74">
        <f>0.03/2</f>
        <v>1.4999999999999999E-2</v>
      </c>
      <c r="AE521" s="50">
        <v>7600</v>
      </c>
      <c r="AF521" s="50">
        <f>0.05/2</f>
        <v>2.5000000000000001E-2</v>
      </c>
      <c r="AG521" s="74"/>
      <c r="AH521" s="74"/>
      <c r="AI521" s="113"/>
      <c r="AJ521" s="50"/>
      <c r="AK521" s="74"/>
      <c r="AL521" s="50"/>
      <c r="AM521" s="74"/>
      <c r="AN521" s="50"/>
      <c r="AO521" s="74"/>
      <c r="AP521" s="50"/>
      <c r="AQ521" s="74"/>
      <c r="AR521" s="50"/>
      <c r="AS521" s="74"/>
      <c r="AT521" s="50"/>
    </row>
    <row r="522" spans="1:46" ht="14">
      <c r="A522" s="293" t="s">
        <v>36</v>
      </c>
      <c r="B522" s="7" t="s">
        <v>2982</v>
      </c>
      <c r="C522" s="7" t="s">
        <v>393</v>
      </c>
      <c r="D522" s="14" t="s">
        <v>2983</v>
      </c>
      <c r="E522" s="7" t="s">
        <v>3009</v>
      </c>
      <c r="F522" s="7"/>
      <c r="G522" s="15" t="s">
        <v>2985</v>
      </c>
      <c r="H522" s="7">
        <v>9199</v>
      </c>
      <c r="I522" s="19" t="s">
        <v>2</v>
      </c>
      <c r="J522" s="7" t="s">
        <v>194</v>
      </c>
      <c r="K522" s="51">
        <v>41495</v>
      </c>
      <c r="L522" s="115"/>
      <c r="M522" s="402"/>
      <c r="N522" s="7" t="s">
        <v>2</v>
      </c>
      <c r="O522" s="74">
        <f>2/2</f>
        <v>1</v>
      </c>
      <c r="P522" s="117"/>
      <c r="Q522" s="131">
        <v>8.9</v>
      </c>
      <c r="R522" s="50">
        <f>10/2</f>
        <v>5</v>
      </c>
      <c r="S522" s="74">
        <v>88</v>
      </c>
      <c r="T522" s="50">
        <v>0.25</v>
      </c>
      <c r="U522" s="74">
        <v>0.32</v>
      </c>
      <c r="V522" s="50">
        <v>0.18</v>
      </c>
      <c r="W522" s="74">
        <v>1.4999999999999999E-2</v>
      </c>
      <c r="X522" s="50">
        <v>3.5999999999999997E-2</v>
      </c>
      <c r="Y522" s="74">
        <f>0.03/2</f>
        <v>1.4999999999999999E-2</v>
      </c>
      <c r="AE522" s="50">
        <v>72.8</v>
      </c>
      <c r="AF522" s="50">
        <f>0.05/2</f>
        <v>2.5000000000000001E-2</v>
      </c>
      <c r="AG522" s="74"/>
      <c r="AH522" s="74"/>
      <c r="AI522" s="113"/>
      <c r="AJ522" s="50"/>
      <c r="AK522" s="74"/>
      <c r="AL522" s="50"/>
      <c r="AM522" s="74"/>
      <c r="AN522" s="50"/>
      <c r="AO522" s="74"/>
      <c r="AP522" s="50"/>
      <c r="AQ522" s="74"/>
      <c r="AR522" s="50"/>
      <c r="AS522" s="74"/>
      <c r="AT522" s="50"/>
    </row>
    <row r="523" spans="1:46" ht="14">
      <c r="A523" s="53" t="s">
        <v>36</v>
      </c>
      <c r="B523" s="7" t="s">
        <v>2853</v>
      </c>
      <c r="C523" s="7" t="s">
        <v>2854</v>
      </c>
      <c r="D523" s="14" t="s">
        <v>1135</v>
      </c>
      <c r="E523" s="7" t="s">
        <v>235</v>
      </c>
      <c r="F523" s="7" t="s">
        <v>2855</v>
      </c>
      <c r="G523" s="15" t="s">
        <v>2856</v>
      </c>
      <c r="H523" s="7">
        <v>9199</v>
      </c>
      <c r="I523" s="19" t="s">
        <v>1</v>
      </c>
      <c r="J523" s="7" t="s">
        <v>5951</v>
      </c>
      <c r="K523" s="51">
        <v>41184</v>
      </c>
      <c r="L523" s="115">
        <v>41180</v>
      </c>
      <c r="M523" s="402">
        <f t="shared" si="32"/>
        <v>4</v>
      </c>
      <c r="N523" s="7" t="s">
        <v>2</v>
      </c>
      <c r="O523" s="74">
        <v>3.6</v>
      </c>
      <c r="P523" s="117">
        <v>4.0999999999999996</v>
      </c>
      <c r="Q523" s="131">
        <v>6.3</v>
      </c>
      <c r="R523" s="50">
        <v>66</v>
      </c>
      <c r="S523" s="74">
        <v>53</v>
      </c>
      <c r="T523" s="50">
        <v>0.25</v>
      </c>
      <c r="U523" s="74">
        <v>4.88</v>
      </c>
      <c r="V523" s="50">
        <v>0.75</v>
      </c>
      <c r="W523" s="74">
        <v>2.4E-2</v>
      </c>
      <c r="X523" s="50">
        <v>0.316</v>
      </c>
      <c r="Y523" s="74">
        <f>0.03/2</f>
        <v>1.4999999999999999E-2</v>
      </c>
      <c r="Z523" s="164">
        <v>1</v>
      </c>
      <c r="AA523" s="165">
        <v>1</v>
      </c>
      <c r="AB523" s="50">
        <v>10</v>
      </c>
      <c r="AC523" s="74">
        <v>60</v>
      </c>
      <c r="AD523" s="164">
        <v>0.5</v>
      </c>
      <c r="AG523" s="74"/>
      <c r="AH523" s="74"/>
      <c r="AI523" s="113"/>
      <c r="AJ523" s="50"/>
      <c r="AK523" s="74"/>
      <c r="AL523" s="50"/>
      <c r="AM523" s="74"/>
      <c r="AN523" s="50"/>
      <c r="AO523" s="74"/>
      <c r="AP523" s="50"/>
      <c r="AQ523" s="74"/>
      <c r="AR523" s="50"/>
      <c r="AS523" s="74"/>
      <c r="AT523" s="50"/>
    </row>
    <row r="524" spans="1:46" ht="14">
      <c r="A524" s="53" t="s">
        <v>36</v>
      </c>
      <c r="B524" s="7" t="s">
        <v>3037</v>
      </c>
      <c r="C524" s="7" t="s">
        <v>5952</v>
      </c>
      <c r="D524" s="14" t="s">
        <v>910</v>
      </c>
      <c r="E524" s="7"/>
      <c r="F524" s="7"/>
      <c r="G524" s="15" t="s">
        <v>3040</v>
      </c>
      <c r="H524" s="7"/>
      <c r="I524" s="19" t="s">
        <v>2</v>
      </c>
      <c r="J524" s="7" t="s">
        <v>5953</v>
      </c>
      <c r="K524" s="51">
        <v>41184</v>
      </c>
      <c r="L524" s="115">
        <v>41180</v>
      </c>
      <c r="M524" s="402">
        <f t="shared" si="32"/>
        <v>4</v>
      </c>
      <c r="N524" s="7" t="s">
        <v>2</v>
      </c>
      <c r="O524" s="74">
        <v>7.8</v>
      </c>
      <c r="P524" s="117">
        <v>6</v>
      </c>
      <c r="Q524" s="131">
        <v>6.4</v>
      </c>
      <c r="R524" s="50">
        <v>103</v>
      </c>
      <c r="S524" s="74">
        <v>206</v>
      </c>
      <c r="T524" s="50">
        <v>0.28999999999999998</v>
      </c>
      <c r="U524" s="74">
        <v>2.2999999999999998</v>
      </c>
      <c r="V524" s="50">
        <v>0.11</v>
      </c>
      <c r="W524" s="74">
        <f>0.02/2</f>
        <v>0.01</v>
      </c>
      <c r="X524" s="50">
        <v>0.16</v>
      </c>
      <c r="Y524" s="74">
        <v>3.9E-2</v>
      </c>
      <c r="AG524" s="74"/>
      <c r="AH524" s="74"/>
      <c r="AI524" s="113"/>
      <c r="AJ524" s="50"/>
      <c r="AK524" s="74"/>
      <c r="AL524" s="50"/>
      <c r="AM524" s="74"/>
      <c r="AN524" s="50"/>
      <c r="AO524" s="74"/>
      <c r="AP524" s="50"/>
      <c r="AQ524" s="74"/>
      <c r="AR524" s="50"/>
      <c r="AS524" s="74"/>
      <c r="AT524" s="50"/>
    </row>
    <row r="525" spans="1:46" ht="14">
      <c r="A525" s="53" t="s">
        <v>36</v>
      </c>
      <c r="B525" s="7" t="s">
        <v>3037</v>
      </c>
      <c r="C525" s="7" t="s">
        <v>5952</v>
      </c>
      <c r="D525" s="14" t="s">
        <v>910</v>
      </c>
      <c r="E525" s="7"/>
      <c r="F525" s="7"/>
      <c r="G525" s="15" t="s">
        <v>3040</v>
      </c>
      <c r="H525" s="7"/>
      <c r="I525" s="19" t="s">
        <v>2</v>
      </c>
      <c r="J525" s="7" t="s">
        <v>5954</v>
      </c>
      <c r="K525" s="51">
        <v>41184</v>
      </c>
      <c r="L525" s="115">
        <v>41180</v>
      </c>
      <c r="M525" s="402">
        <f t="shared" si="32"/>
        <v>4</v>
      </c>
      <c r="N525" s="7" t="s">
        <v>2</v>
      </c>
      <c r="O525" s="74">
        <v>10.199999999999999</v>
      </c>
      <c r="P525" s="117">
        <v>6</v>
      </c>
      <c r="Q525" s="131">
        <v>6.8</v>
      </c>
      <c r="R525" s="50">
        <v>195</v>
      </c>
      <c r="S525" s="74">
        <v>244</v>
      </c>
      <c r="T525" s="50">
        <v>0.41</v>
      </c>
      <c r="U525" s="74">
        <v>3.3</v>
      </c>
      <c r="V525" s="50">
        <v>0.28000000000000003</v>
      </c>
      <c r="W525" s="74">
        <f>0.02/2</f>
        <v>0.01</v>
      </c>
      <c r="X525" s="50">
        <v>0.21</v>
      </c>
      <c r="Y525" s="74">
        <v>3.2000000000000001E-2</v>
      </c>
      <c r="AG525" s="74"/>
      <c r="AH525" s="74"/>
      <c r="AI525" s="113"/>
      <c r="AJ525" s="50"/>
      <c r="AK525" s="74"/>
      <c r="AL525" s="50"/>
      <c r="AM525" s="74"/>
      <c r="AN525" s="50"/>
      <c r="AO525" s="74"/>
      <c r="AP525" s="50"/>
      <c r="AQ525" s="74"/>
      <c r="AR525" s="50"/>
      <c r="AS525" s="74"/>
      <c r="AT525" s="50"/>
    </row>
    <row r="526" spans="1:46" ht="14">
      <c r="A526" s="53" t="s">
        <v>36</v>
      </c>
      <c r="B526" s="7" t="s">
        <v>3037</v>
      </c>
      <c r="C526" s="7" t="s">
        <v>5952</v>
      </c>
      <c r="D526" s="14" t="s">
        <v>910</v>
      </c>
      <c r="E526" s="7"/>
      <c r="F526" s="7"/>
      <c r="G526" s="15" t="s">
        <v>3040</v>
      </c>
      <c r="H526" s="7"/>
      <c r="I526" s="19"/>
      <c r="J526" s="7" t="s">
        <v>5955</v>
      </c>
      <c r="K526" s="51">
        <v>41184</v>
      </c>
      <c r="L526" s="115">
        <v>41180</v>
      </c>
      <c r="M526" s="402">
        <f t="shared" si="32"/>
        <v>4</v>
      </c>
      <c r="N526" s="7" t="s">
        <v>2</v>
      </c>
      <c r="O526" s="74">
        <v>16.7</v>
      </c>
      <c r="P526" s="117">
        <v>6</v>
      </c>
      <c r="Q526" s="131">
        <v>6.6</v>
      </c>
      <c r="R526" s="50">
        <v>111</v>
      </c>
      <c r="S526" s="74">
        <v>107</v>
      </c>
      <c r="T526" s="50">
        <v>0.84</v>
      </c>
      <c r="U526" s="74">
        <v>5.4</v>
      </c>
      <c r="V526" s="50">
        <v>0.11</v>
      </c>
      <c r="W526" s="74">
        <f>0.02/2</f>
        <v>0.01</v>
      </c>
      <c r="X526" s="50">
        <v>0.16</v>
      </c>
      <c r="Y526" s="74">
        <v>2.4E-2</v>
      </c>
      <c r="AG526" s="74"/>
      <c r="AH526" s="74"/>
      <c r="AI526" s="113"/>
      <c r="AJ526" s="50"/>
      <c r="AK526" s="74"/>
      <c r="AL526" s="50"/>
      <c r="AM526" s="74"/>
      <c r="AN526" s="50"/>
      <c r="AO526" s="74"/>
      <c r="AP526" s="50"/>
      <c r="AQ526" s="74"/>
      <c r="AR526" s="50"/>
      <c r="AS526" s="74"/>
      <c r="AT526" s="50"/>
    </row>
    <row r="527" spans="1:46" ht="14">
      <c r="A527" s="53" t="s">
        <v>36</v>
      </c>
      <c r="B527" s="7" t="s">
        <v>2952</v>
      </c>
      <c r="C527" s="7" t="s">
        <v>393</v>
      </c>
      <c r="D527" s="14" t="s">
        <v>2953</v>
      </c>
      <c r="E527" s="7"/>
      <c r="F527" s="7"/>
      <c r="G527" s="15" t="s">
        <v>2954</v>
      </c>
      <c r="H527" s="7"/>
      <c r="I527" s="19"/>
      <c r="J527" s="7" t="s">
        <v>2955</v>
      </c>
      <c r="K527" s="51">
        <v>41332</v>
      </c>
      <c r="L527" s="115" t="s">
        <v>3434</v>
      </c>
      <c r="N527" s="7" t="s">
        <v>2</v>
      </c>
      <c r="O527" s="74">
        <v>3.16</v>
      </c>
      <c r="P527" s="117">
        <v>7.13</v>
      </c>
      <c r="Q527" s="131">
        <v>7.69</v>
      </c>
      <c r="R527" s="50">
        <v>24.1</v>
      </c>
      <c r="S527" s="74">
        <v>9</v>
      </c>
      <c r="T527" s="50">
        <v>0.08</v>
      </c>
      <c r="U527" s="74">
        <v>1.33</v>
      </c>
      <c r="V527" s="50">
        <v>3.2</v>
      </c>
      <c r="W527" s="74">
        <v>0.02</v>
      </c>
      <c r="X527" s="50">
        <v>0.04</v>
      </c>
      <c r="Y527" s="74">
        <f>0.004/2</f>
        <v>2E-3</v>
      </c>
      <c r="AG527" s="74"/>
      <c r="AH527" s="74"/>
      <c r="AI527" s="113"/>
      <c r="AJ527" s="50"/>
      <c r="AK527" s="74"/>
      <c r="AL527" s="50"/>
      <c r="AM527" s="74"/>
      <c r="AN527" s="50"/>
      <c r="AO527" s="74"/>
      <c r="AP527" s="50"/>
      <c r="AQ527" s="74"/>
      <c r="AR527" s="50"/>
      <c r="AS527" s="74"/>
      <c r="AT527" s="50"/>
    </row>
    <row r="528" spans="1:46" ht="14">
      <c r="A528" s="53" t="s">
        <v>36</v>
      </c>
      <c r="B528" s="7" t="s">
        <v>3314</v>
      </c>
      <c r="C528" s="7" t="s">
        <v>4929</v>
      </c>
      <c r="D528" s="14" t="s">
        <v>78</v>
      </c>
      <c r="E528" s="7" t="s">
        <v>3312</v>
      </c>
      <c r="F528" s="7"/>
      <c r="G528" s="15" t="s">
        <v>4930</v>
      </c>
      <c r="H528" s="7">
        <v>4953</v>
      </c>
      <c r="I528" s="19" t="s">
        <v>1</v>
      </c>
      <c r="J528" s="7" t="s">
        <v>510</v>
      </c>
      <c r="K528" s="51">
        <v>41499</v>
      </c>
      <c r="L528" s="115">
        <v>41495</v>
      </c>
      <c r="M528" s="402">
        <f>K528-L528</f>
        <v>4</v>
      </c>
      <c r="N528" s="7" t="s">
        <v>2</v>
      </c>
      <c r="O528" s="74">
        <f>5/2</f>
        <v>2.5</v>
      </c>
      <c r="P528" s="117">
        <v>6.55</v>
      </c>
      <c r="Q528" s="131">
        <v>7.02</v>
      </c>
      <c r="R528" s="50">
        <v>74</v>
      </c>
      <c r="S528" s="74">
        <v>17</v>
      </c>
      <c r="T528" s="50">
        <v>0.23</v>
      </c>
      <c r="U528" s="74">
        <v>1.7</v>
      </c>
      <c r="V528" s="50">
        <v>1.2</v>
      </c>
      <c r="W528" s="74">
        <f>0.04/2</f>
        <v>0.02</v>
      </c>
      <c r="X528" s="50">
        <v>7.8E-2</v>
      </c>
      <c r="Y528" s="74">
        <f>0.013/2</f>
        <v>6.4999999999999997E-3</v>
      </c>
      <c r="Z528" s="164">
        <v>1</v>
      </c>
      <c r="AA528" s="165">
        <v>1</v>
      </c>
      <c r="AB528" s="50">
        <v>25</v>
      </c>
      <c r="AC528" s="74">
        <v>136</v>
      </c>
      <c r="AD528" s="164">
        <v>1</v>
      </c>
      <c r="AG528" s="74"/>
      <c r="AH528" s="74"/>
      <c r="AI528" s="113"/>
      <c r="AJ528" s="50"/>
      <c r="AK528" s="74"/>
      <c r="AL528" s="50"/>
      <c r="AM528" s="74"/>
      <c r="AN528" s="50"/>
      <c r="AO528" s="74"/>
      <c r="AP528" s="50"/>
      <c r="AQ528" s="74"/>
      <c r="AR528" s="50"/>
      <c r="AS528" s="74"/>
      <c r="AT528" s="50"/>
    </row>
    <row r="529" spans="1:46" ht="14">
      <c r="A529" s="53" t="s">
        <v>36</v>
      </c>
      <c r="B529" s="7" t="s">
        <v>3314</v>
      </c>
      <c r="C529" s="7" t="s">
        <v>4929</v>
      </c>
      <c r="D529" s="14" t="s">
        <v>78</v>
      </c>
      <c r="E529" s="7" t="s">
        <v>3312</v>
      </c>
      <c r="F529" s="7"/>
      <c r="G529" s="15" t="s">
        <v>4930</v>
      </c>
      <c r="H529" s="7">
        <v>4953</v>
      </c>
      <c r="I529" s="19" t="s">
        <v>1</v>
      </c>
      <c r="J529" s="7" t="s">
        <v>460</v>
      </c>
      <c r="K529" s="51">
        <v>41499</v>
      </c>
      <c r="L529" s="115">
        <v>41495</v>
      </c>
      <c r="M529" s="402">
        <f>K529-L529</f>
        <v>4</v>
      </c>
      <c r="N529" s="7" t="s">
        <v>2</v>
      </c>
      <c r="O529" s="74">
        <f>5/2</f>
        <v>2.5</v>
      </c>
      <c r="P529" s="117">
        <v>6.55</v>
      </c>
      <c r="Q529" s="131">
        <v>7.49</v>
      </c>
      <c r="R529" s="50">
        <v>160</v>
      </c>
      <c r="S529" s="74">
        <v>80</v>
      </c>
      <c r="T529" s="50">
        <v>0.43</v>
      </c>
      <c r="U529" s="74">
        <v>2.2000000000000002</v>
      </c>
      <c r="V529" s="50">
        <v>1.5</v>
      </c>
      <c r="W529" s="74">
        <f>0.04/2</f>
        <v>0.02</v>
      </c>
      <c r="X529" s="50">
        <v>5.8000000000000003E-2</v>
      </c>
      <c r="Y529" s="74">
        <f>0.013/2</f>
        <v>6.4999999999999997E-3</v>
      </c>
      <c r="Z529" s="164">
        <v>1</v>
      </c>
      <c r="AA529" s="165">
        <v>1</v>
      </c>
      <c r="AB529" s="50">
        <v>32</v>
      </c>
      <c r="AC529" s="74">
        <v>369</v>
      </c>
      <c r="AD529" s="164">
        <v>1</v>
      </c>
      <c r="AG529" s="74"/>
      <c r="AH529" s="74"/>
      <c r="AI529" s="113"/>
      <c r="AJ529" s="50"/>
      <c r="AK529" s="74"/>
      <c r="AL529" s="50"/>
      <c r="AM529" s="74"/>
      <c r="AN529" s="50"/>
      <c r="AO529" s="74"/>
      <c r="AP529" s="50"/>
      <c r="AQ529" s="74"/>
      <c r="AR529" s="50"/>
      <c r="AS529" s="74"/>
      <c r="AT529" s="50"/>
    </row>
    <row r="530" spans="1:46" ht="14">
      <c r="A530" s="53" t="s">
        <v>36</v>
      </c>
      <c r="B530" s="7" t="s">
        <v>2730</v>
      </c>
      <c r="C530" s="7" t="s">
        <v>2731</v>
      </c>
      <c r="D530" s="14" t="s">
        <v>1541</v>
      </c>
      <c r="E530" s="7" t="s">
        <v>5983</v>
      </c>
      <c r="F530" s="7"/>
      <c r="G530" s="15" t="s">
        <v>2733</v>
      </c>
      <c r="H530" s="7">
        <v>9199</v>
      </c>
      <c r="I530" s="19" t="s">
        <v>2</v>
      </c>
      <c r="J530" s="7" t="s">
        <v>2694</v>
      </c>
      <c r="K530" s="51">
        <v>41499</v>
      </c>
      <c r="L530" s="115">
        <v>41495</v>
      </c>
      <c r="M530" s="50">
        <f t="shared" ref="M530:M587" si="33">K530-L530</f>
        <v>4</v>
      </c>
      <c r="N530" s="7" t="s">
        <v>2</v>
      </c>
      <c r="O530" s="74">
        <v>3.5</v>
      </c>
      <c r="P530" s="117">
        <v>4.5999999999999996</v>
      </c>
      <c r="Q530" s="131">
        <v>6.2</v>
      </c>
      <c r="R530" s="50">
        <v>104</v>
      </c>
      <c r="S530" s="74">
        <v>120</v>
      </c>
      <c r="T530" s="50">
        <v>0.34</v>
      </c>
      <c r="U530" s="74">
        <v>2.94</v>
      </c>
      <c r="V530" s="50">
        <v>1.22</v>
      </c>
      <c r="W530" s="74">
        <v>1.7000000000000001E-2</v>
      </c>
      <c r="X530" s="50">
        <v>0.16400000000000001</v>
      </c>
      <c r="Y530" s="74">
        <v>4.9000000000000002E-2</v>
      </c>
      <c r="Z530" s="164">
        <v>1</v>
      </c>
      <c r="AA530" s="165">
        <v>1</v>
      </c>
      <c r="AB530" s="50">
        <v>98</v>
      </c>
      <c r="AC530" s="74">
        <v>267</v>
      </c>
      <c r="AD530" s="164">
        <v>1</v>
      </c>
      <c r="AG530" s="74"/>
      <c r="AH530" s="74"/>
      <c r="AI530" s="113"/>
      <c r="AJ530" s="50"/>
      <c r="AK530" s="74"/>
      <c r="AL530" s="50"/>
      <c r="AM530" s="74"/>
      <c r="AN530" s="50"/>
      <c r="AO530" s="74"/>
      <c r="AP530" s="50"/>
      <c r="AQ530" s="74"/>
      <c r="AR530" s="50"/>
      <c r="AS530" s="74"/>
      <c r="AT530" s="50"/>
    </row>
    <row r="531" spans="1:46" ht="14">
      <c r="A531" s="53" t="s">
        <v>36</v>
      </c>
      <c r="B531" s="7" t="s">
        <v>2730</v>
      </c>
      <c r="C531" s="7" t="s">
        <v>2731</v>
      </c>
      <c r="D531" s="14" t="s">
        <v>1541</v>
      </c>
      <c r="E531" s="7" t="s">
        <v>5983</v>
      </c>
      <c r="F531" s="7"/>
      <c r="G531" s="15" t="s">
        <v>2733</v>
      </c>
      <c r="H531" s="7">
        <v>9199</v>
      </c>
      <c r="I531" s="19" t="s">
        <v>2</v>
      </c>
      <c r="J531" s="7" t="s">
        <v>1207</v>
      </c>
      <c r="K531" s="51">
        <v>41499</v>
      </c>
      <c r="L531" s="115">
        <v>41495</v>
      </c>
      <c r="M531" s="50">
        <f t="shared" si="33"/>
        <v>4</v>
      </c>
      <c r="N531" s="7" t="s">
        <v>2</v>
      </c>
      <c r="O531" s="74">
        <v>1.6</v>
      </c>
      <c r="P531" s="117">
        <v>4.5999999999999996</v>
      </c>
      <c r="Q531" s="131">
        <v>6.2</v>
      </c>
      <c r="R531" s="50">
        <v>63</v>
      </c>
      <c r="S531" s="74">
        <v>83</v>
      </c>
      <c r="T531" s="50">
        <v>0.32</v>
      </c>
      <c r="U531" s="74">
        <v>3.07</v>
      </c>
      <c r="V531" s="50">
        <v>0.51</v>
      </c>
      <c r="W531" s="74">
        <v>1.9E-2</v>
      </c>
      <c r="X531" s="50">
        <v>8.1000000000000003E-2</v>
      </c>
      <c r="Y531" s="74">
        <v>1.4999999999999999E-2</v>
      </c>
      <c r="Z531" s="164">
        <v>1</v>
      </c>
      <c r="AA531" s="165">
        <v>1</v>
      </c>
      <c r="AB531" s="50">
        <v>10</v>
      </c>
      <c r="AC531" s="74">
        <v>88</v>
      </c>
      <c r="AD531" s="164">
        <v>1</v>
      </c>
      <c r="AE531" s="50">
        <v>15.5</v>
      </c>
      <c r="AF531" s="50">
        <f>0.01/2</f>
        <v>5.0000000000000001E-3</v>
      </c>
      <c r="AG531" s="74"/>
      <c r="AH531" s="74"/>
      <c r="AI531" s="113"/>
      <c r="AJ531" s="50"/>
      <c r="AK531" s="74"/>
      <c r="AL531" s="50"/>
      <c r="AM531" s="74"/>
      <c r="AN531" s="50"/>
      <c r="AO531" s="74"/>
      <c r="AP531" s="50"/>
      <c r="AQ531" s="74"/>
      <c r="AR531" s="50"/>
      <c r="AS531" s="74"/>
      <c r="AT531" s="50"/>
    </row>
    <row r="532" spans="1:46" ht="14">
      <c r="A532" s="53" t="s">
        <v>36</v>
      </c>
      <c r="B532" s="7" t="s">
        <v>2730</v>
      </c>
      <c r="C532" s="7" t="s">
        <v>2731</v>
      </c>
      <c r="D532" s="14" t="s">
        <v>1541</v>
      </c>
      <c r="E532" s="7" t="s">
        <v>5983</v>
      </c>
      <c r="F532" s="7"/>
      <c r="G532" s="15" t="s">
        <v>2733</v>
      </c>
      <c r="H532" s="7">
        <v>9199</v>
      </c>
      <c r="I532" s="19" t="s">
        <v>2</v>
      </c>
      <c r="J532" s="7" t="s">
        <v>2734</v>
      </c>
      <c r="K532" s="51">
        <v>41499</v>
      </c>
      <c r="L532" s="115">
        <v>41495</v>
      </c>
      <c r="M532" s="50">
        <f t="shared" si="33"/>
        <v>4</v>
      </c>
      <c r="N532" s="7" t="s">
        <v>2</v>
      </c>
      <c r="O532" s="74">
        <f>1.4/2</f>
        <v>0.7</v>
      </c>
      <c r="P532" s="117">
        <v>4.5999999999999996</v>
      </c>
      <c r="Q532" s="131">
        <v>6</v>
      </c>
      <c r="R532" s="50">
        <v>24</v>
      </c>
      <c r="S532" s="74">
        <v>55</v>
      </c>
      <c r="T532" s="50">
        <v>0.08</v>
      </c>
      <c r="U532" s="74">
        <v>3.96</v>
      </c>
      <c r="V532" s="50">
        <v>0.04</v>
      </c>
      <c r="W532" s="74">
        <f>0.005/2</f>
        <v>2.5000000000000001E-3</v>
      </c>
      <c r="X532" s="50">
        <f>0.002/2</f>
        <v>1E-3</v>
      </c>
      <c r="Y532" s="50">
        <f>0.002/2</f>
        <v>1E-3</v>
      </c>
      <c r="Z532" s="164">
        <v>1</v>
      </c>
      <c r="AA532" s="165">
        <v>1</v>
      </c>
      <c r="AD532" s="164">
        <v>1</v>
      </c>
      <c r="AG532" s="74"/>
      <c r="AH532" s="74"/>
      <c r="AI532" s="113"/>
      <c r="AJ532" s="50"/>
      <c r="AK532" s="74"/>
      <c r="AL532" s="50"/>
      <c r="AM532" s="74"/>
      <c r="AN532" s="50"/>
      <c r="AO532" s="74"/>
      <c r="AP532" s="50"/>
      <c r="AQ532" s="74"/>
      <c r="AR532" s="50"/>
      <c r="AS532" s="74"/>
      <c r="AT532" s="50"/>
    </row>
    <row r="533" spans="1:46" ht="14">
      <c r="A533" s="293" t="s">
        <v>36</v>
      </c>
      <c r="B533" s="7" t="s">
        <v>2622</v>
      </c>
      <c r="C533" s="7" t="s">
        <v>2653</v>
      </c>
      <c r="D533" s="14" t="s">
        <v>5984</v>
      </c>
      <c r="E533" s="7" t="s">
        <v>5985</v>
      </c>
      <c r="F533" s="7"/>
      <c r="G533" s="15" t="s">
        <v>2655</v>
      </c>
      <c r="H533" s="7">
        <v>9199</v>
      </c>
      <c r="I533" s="19" t="s">
        <v>2</v>
      </c>
      <c r="J533" s="7" t="s">
        <v>2656</v>
      </c>
      <c r="K533" s="51">
        <v>41579</v>
      </c>
      <c r="L533" s="115">
        <v>41495</v>
      </c>
      <c r="M533" s="50">
        <f t="shared" si="33"/>
        <v>84</v>
      </c>
      <c r="N533" s="7" t="s">
        <v>2</v>
      </c>
      <c r="O533" s="74">
        <f>1.4/2</f>
        <v>0.7</v>
      </c>
      <c r="P533" s="117">
        <v>7.71</v>
      </c>
      <c r="Q533" s="131">
        <v>7.84</v>
      </c>
      <c r="R533" s="50">
        <v>17</v>
      </c>
      <c r="S533" s="74">
        <v>2767</v>
      </c>
      <c r="T533" s="50">
        <v>0.03</v>
      </c>
      <c r="U533" s="74">
        <v>0.63</v>
      </c>
      <c r="V533" s="50">
        <v>1.22</v>
      </c>
      <c r="W533" s="74">
        <v>8.0000000000000002E-3</v>
      </c>
      <c r="X533" s="50">
        <v>0.01</v>
      </c>
      <c r="Y533" s="74">
        <f>0.002/2</f>
        <v>1E-3</v>
      </c>
      <c r="AG533" s="74"/>
      <c r="AH533" s="74"/>
      <c r="AI533" s="113"/>
      <c r="AJ533" s="50"/>
      <c r="AK533" s="74"/>
      <c r="AL533" s="50"/>
      <c r="AM533" s="74"/>
      <c r="AN533" s="50"/>
      <c r="AO533" s="74"/>
      <c r="AP533" s="50"/>
      <c r="AQ533" s="74"/>
      <c r="AR533" s="50"/>
      <c r="AS533" s="74"/>
      <c r="AT533" s="50"/>
    </row>
    <row r="534" spans="1:46" ht="14">
      <c r="A534" s="53" t="s">
        <v>36</v>
      </c>
      <c r="B534" s="7" t="s">
        <v>345</v>
      </c>
      <c r="C534" s="7" t="s">
        <v>2757</v>
      </c>
      <c r="D534" s="14" t="s">
        <v>347</v>
      </c>
      <c r="E534" s="7" t="s">
        <v>5986</v>
      </c>
      <c r="F534" s="7"/>
      <c r="G534" s="15" t="s">
        <v>5987</v>
      </c>
      <c r="H534" s="7">
        <v>9199</v>
      </c>
      <c r="I534" s="19" t="s">
        <v>2</v>
      </c>
      <c r="J534" s="7" t="s">
        <v>3399</v>
      </c>
      <c r="K534" s="51">
        <v>41352</v>
      </c>
      <c r="L534" s="115">
        <v>41345</v>
      </c>
      <c r="M534" s="50">
        <f t="shared" si="33"/>
        <v>7</v>
      </c>
      <c r="N534" s="7" t="s">
        <v>1</v>
      </c>
      <c r="O534" s="74">
        <v>8.6</v>
      </c>
      <c r="P534" s="117">
        <v>6.11</v>
      </c>
      <c r="Q534" s="131">
        <v>7.64</v>
      </c>
      <c r="R534" s="50">
        <v>170</v>
      </c>
      <c r="S534" s="74">
        <v>240</v>
      </c>
      <c r="T534" s="50">
        <v>0.4</v>
      </c>
      <c r="U534" s="74">
        <v>1.7</v>
      </c>
      <c r="V534" s="50">
        <v>0.53</v>
      </c>
      <c r="W534" s="74">
        <v>4.7E-2</v>
      </c>
      <c r="X534" s="50">
        <v>0.16700000000000001</v>
      </c>
      <c r="Y534" s="74">
        <v>8.0000000000000002E-3</v>
      </c>
      <c r="Z534" s="164">
        <v>0.70699999999999996</v>
      </c>
      <c r="AA534" s="165">
        <v>0.36799999999999999</v>
      </c>
      <c r="AB534" s="50">
        <v>172</v>
      </c>
      <c r="AC534" s="74">
        <v>12900</v>
      </c>
      <c r="AD534" s="164">
        <v>0</v>
      </c>
      <c r="AE534" s="356">
        <v>4000</v>
      </c>
      <c r="AF534" s="50">
        <v>0.12</v>
      </c>
      <c r="AG534" s="74"/>
      <c r="AH534" s="74"/>
      <c r="AI534" s="113"/>
      <c r="AJ534" s="50"/>
      <c r="AK534" s="74"/>
      <c r="AL534" s="50"/>
      <c r="AM534" s="74"/>
      <c r="AN534" s="50"/>
      <c r="AO534" s="74"/>
      <c r="AP534" s="50"/>
      <c r="AQ534" s="74"/>
      <c r="AR534" s="50"/>
      <c r="AS534" s="74"/>
      <c r="AT534" s="50"/>
    </row>
    <row r="535" spans="1:46" ht="14">
      <c r="A535" s="53" t="s">
        <v>36</v>
      </c>
      <c r="B535" s="7" t="s">
        <v>5988</v>
      </c>
      <c r="C535" s="7" t="s">
        <v>5989</v>
      </c>
      <c r="D535" s="14" t="s">
        <v>548</v>
      </c>
      <c r="E535" s="7" t="s">
        <v>5990</v>
      </c>
      <c r="F535" s="7" t="s">
        <v>5991</v>
      </c>
      <c r="G535" s="15" t="s">
        <v>5992</v>
      </c>
      <c r="H535" s="7">
        <v>9199</v>
      </c>
      <c r="I535" s="19" t="s">
        <v>2</v>
      </c>
      <c r="J535" s="7" t="s">
        <v>856</v>
      </c>
      <c r="K535" s="51">
        <v>41744</v>
      </c>
      <c r="L535" s="115"/>
      <c r="N535" s="7" t="s">
        <v>2</v>
      </c>
      <c r="O535" s="74">
        <f>1.4/2</f>
        <v>0.7</v>
      </c>
      <c r="P535" s="117">
        <v>7.53</v>
      </c>
      <c r="Q535" s="131">
        <v>6.94</v>
      </c>
      <c r="R535" s="50">
        <v>40</v>
      </c>
      <c r="S535" s="74">
        <v>290</v>
      </c>
      <c r="T535" s="50">
        <v>0.43</v>
      </c>
      <c r="U535" s="74">
        <v>0.9</v>
      </c>
      <c r="V535" s="50">
        <v>0.09</v>
      </c>
      <c r="W535" s="74">
        <v>1.6E-2</v>
      </c>
      <c r="X535" s="50">
        <v>0.05</v>
      </c>
      <c r="Y535" s="74">
        <v>4.0000000000000001E-3</v>
      </c>
      <c r="AE535" s="50">
        <v>49.1</v>
      </c>
      <c r="AF535" s="50">
        <f>0.01/2</f>
        <v>5.0000000000000001E-3</v>
      </c>
      <c r="AG535" s="74"/>
      <c r="AH535" s="74"/>
      <c r="AI535" s="113"/>
      <c r="AJ535" s="50"/>
      <c r="AK535" s="74"/>
      <c r="AL535" s="50"/>
      <c r="AM535" s="74"/>
      <c r="AN535" s="50"/>
      <c r="AO535" s="74"/>
      <c r="AP535" s="50"/>
      <c r="AQ535" s="74"/>
      <c r="AR535" s="50"/>
      <c r="AS535" s="74"/>
      <c r="AT535" s="50"/>
    </row>
    <row r="536" spans="1:46" ht="14">
      <c r="A536" s="53" t="s">
        <v>36</v>
      </c>
      <c r="B536" s="7" t="s">
        <v>2847</v>
      </c>
      <c r="C536" s="7" t="s">
        <v>2717</v>
      </c>
      <c r="D536" s="14" t="s">
        <v>2848</v>
      </c>
      <c r="E536" s="7" t="s">
        <v>2851</v>
      </c>
      <c r="F536" s="7"/>
      <c r="G536" s="15" t="s">
        <v>2852</v>
      </c>
      <c r="H536" s="7">
        <v>9199</v>
      </c>
      <c r="I536" s="19" t="s">
        <v>2</v>
      </c>
      <c r="J536" s="7" t="s">
        <v>2694</v>
      </c>
      <c r="K536" s="51">
        <v>41710</v>
      </c>
      <c r="L536" s="115">
        <v>41689</v>
      </c>
      <c r="M536" s="50">
        <f t="shared" si="33"/>
        <v>21</v>
      </c>
      <c r="N536" s="7" t="s">
        <v>1</v>
      </c>
      <c r="P536" s="117">
        <v>5.8</v>
      </c>
      <c r="Q536" s="131"/>
      <c r="R536" s="50">
        <v>23</v>
      </c>
      <c r="S536" s="74">
        <v>61</v>
      </c>
      <c r="T536" s="50">
        <v>0.21</v>
      </c>
      <c r="AE536" s="50">
        <v>27.9</v>
      </c>
      <c r="AF536" s="50">
        <f>0.01/2</f>
        <v>5.0000000000000001E-3</v>
      </c>
      <c r="AG536" s="74"/>
      <c r="AH536" s="74"/>
      <c r="AI536" s="113"/>
      <c r="AJ536" s="50"/>
      <c r="AK536" s="74"/>
      <c r="AL536" s="50"/>
      <c r="AM536" s="74"/>
      <c r="AN536" s="50"/>
      <c r="AO536" s="74"/>
      <c r="AP536" s="50"/>
      <c r="AQ536" s="74"/>
      <c r="AR536" s="50"/>
      <c r="AS536" s="74"/>
      <c r="AT536" s="50"/>
    </row>
    <row r="537" spans="1:46" ht="14">
      <c r="A537" s="53" t="s">
        <v>36</v>
      </c>
      <c r="B537" s="7" t="s">
        <v>2770</v>
      </c>
      <c r="C537" s="7" t="s">
        <v>4628</v>
      </c>
      <c r="D537" s="14" t="s">
        <v>2772</v>
      </c>
      <c r="E537" s="7" t="s">
        <v>1941</v>
      </c>
      <c r="F537" s="7"/>
      <c r="G537" s="15" t="s">
        <v>2773</v>
      </c>
      <c r="H537" s="7">
        <v>9199</v>
      </c>
      <c r="I537" s="19" t="s">
        <v>2</v>
      </c>
      <c r="J537" s="7" t="s">
        <v>2694</v>
      </c>
      <c r="K537" s="51">
        <v>41710</v>
      </c>
      <c r="L537" s="115">
        <v>41689</v>
      </c>
      <c r="M537" s="50">
        <f t="shared" si="33"/>
        <v>21</v>
      </c>
      <c r="N537" s="7" t="s">
        <v>1</v>
      </c>
      <c r="O537" s="74">
        <f>1.4/2</f>
        <v>0.7</v>
      </c>
      <c r="P537" s="117">
        <v>5.8</v>
      </c>
      <c r="Q537" s="131">
        <v>7</v>
      </c>
      <c r="R537" s="50">
        <v>21</v>
      </c>
      <c r="S537" s="74">
        <f>5/2</f>
        <v>2.5</v>
      </c>
      <c r="T537" s="50">
        <v>0.08</v>
      </c>
      <c r="U537" s="74">
        <v>0.7</v>
      </c>
      <c r="V537" s="50">
        <v>0.03</v>
      </c>
      <c r="W537" s="74">
        <v>5.0000000000000001E-3</v>
      </c>
      <c r="X537" s="50">
        <v>4.0000000000000001E-3</v>
      </c>
      <c r="Y537" s="74">
        <f>0.002/2</f>
        <v>1E-3</v>
      </c>
      <c r="AG537" s="74"/>
      <c r="AH537" s="74"/>
      <c r="AI537" s="113"/>
      <c r="AJ537" s="50"/>
      <c r="AK537" s="74"/>
      <c r="AL537" s="50"/>
      <c r="AM537" s="74"/>
      <c r="AN537" s="50"/>
      <c r="AO537" s="74"/>
      <c r="AP537" s="50"/>
      <c r="AQ537" s="74"/>
      <c r="AR537" s="50"/>
      <c r="AS537" s="74"/>
      <c r="AT537" s="50"/>
    </row>
    <row r="538" spans="1:46" ht="14">
      <c r="A538" s="53" t="s">
        <v>36</v>
      </c>
      <c r="B538" s="7" t="s">
        <v>2780</v>
      </c>
      <c r="C538" s="7" t="s">
        <v>1482</v>
      </c>
      <c r="D538" s="14" t="s">
        <v>2781</v>
      </c>
      <c r="E538" s="7" t="s">
        <v>2782</v>
      </c>
      <c r="F538" s="7" t="s">
        <v>5993</v>
      </c>
      <c r="G538" s="15" t="s">
        <v>2784</v>
      </c>
      <c r="H538" s="7">
        <v>9199</v>
      </c>
      <c r="I538" s="19" t="s">
        <v>2</v>
      </c>
      <c r="J538" s="7" t="s">
        <v>2694</v>
      </c>
      <c r="K538" s="51">
        <v>41710</v>
      </c>
      <c r="L538" s="115">
        <v>41689</v>
      </c>
      <c r="M538" s="50">
        <f t="shared" si="33"/>
        <v>21</v>
      </c>
      <c r="N538" s="7" t="s">
        <v>1</v>
      </c>
      <c r="O538" s="74">
        <f>1.4/2</f>
        <v>0.7</v>
      </c>
      <c r="P538" s="117">
        <v>5.8</v>
      </c>
      <c r="Q538" s="131">
        <v>6.7</v>
      </c>
      <c r="R538" s="50">
        <v>36</v>
      </c>
      <c r="S538" s="74">
        <v>41</v>
      </c>
      <c r="T538" s="50">
        <v>0.18</v>
      </c>
      <c r="U538" s="74">
        <v>1.75</v>
      </c>
      <c r="V538" s="50">
        <v>0.12</v>
      </c>
      <c r="W538" s="74">
        <v>1.2999999999999999E-2</v>
      </c>
      <c r="X538" s="50">
        <v>3.1E-2</v>
      </c>
      <c r="Y538" s="74">
        <v>0.01</v>
      </c>
      <c r="AG538" s="74"/>
      <c r="AH538" s="74"/>
      <c r="AI538" s="113"/>
      <c r="AJ538" s="50"/>
      <c r="AK538" s="74"/>
      <c r="AL538" s="50"/>
      <c r="AM538" s="74"/>
      <c r="AN538" s="50"/>
      <c r="AO538" s="74"/>
      <c r="AP538" s="50"/>
      <c r="AQ538" s="74"/>
      <c r="AR538" s="50"/>
      <c r="AS538" s="74"/>
      <c r="AT538" s="50"/>
    </row>
    <row r="539" spans="1:46" ht="14">
      <c r="A539" s="293" t="s">
        <v>36</v>
      </c>
      <c r="B539" s="7" t="s">
        <v>2780</v>
      </c>
      <c r="C539" s="7" t="s">
        <v>392</v>
      </c>
      <c r="D539" s="14" t="s">
        <v>2781</v>
      </c>
      <c r="E539" s="7" t="s">
        <v>2785</v>
      </c>
      <c r="F539" s="22" t="s">
        <v>5994</v>
      </c>
      <c r="G539" s="15" t="s">
        <v>2787</v>
      </c>
      <c r="H539" s="7">
        <v>9199</v>
      </c>
      <c r="I539" s="19" t="s">
        <v>2</v>
      </c>
      <c r="J539" s="7" t="s">
        <v>2788</v>
      </c>
      <c r="K539" s="51">
        <v>41710</v>
      </c>
      <c r="L539" s="115">
        <v>41689</v>
      </c>
      <c r="M539" s="50">
        <f t="shared" si="33"/>
        <v>21</v>
      </c>
      <c r="N539" s="7" t="s">
        <v>1</v>
      </c>
      <c r="O539" s="74">
        <f>1.4/2</f>
        <v>0.7</v>
      </c>
      <c r="P539" s="117">
        <v>5.8</v>
      </c>
      <c r="Q539" s="131">
        <v>6.6</v>
      </c>
      <c r="R539" s="50">
        <v>25</v>
      </c>
      <c r="S539" s="74">
        <v>13</v>
      </c>
      <c r="T539" s="50">
        <v>0.09</v>
      </c>
      <c r="U539" s="74">
        <v>0.7</v>
      </c>
      <c r="V539" s="50">
        <v>0.04</v>
      </c>
      <c r="W539" s="74">
        <v>7.0000000000000001E-3</v>
      </c>
      <c r="X539" s="50">
        <v>1.2999999999999999E-2</v>
      </c>
      <c r="Y539" s="74">
        <v>2E-3</v>
      </c>
      <c r="AG539" s="74"/>
      <c r="AH539" s="74"/>
      <c r="AI539" s="113"/>
      <c r="AJ539" s="50"/>
      <c r="AK539" s="74"/>
      <c r="AL539" s="50"/>
      <c r="AM539" s="74"/>
      <c r="AN539" s="50"/>
      <c r="AO539" s="74"/>
      <c r="AP539" s="50"/>
      <c r="AQ539" s="74"/>
      <c r="AR539" s="50"/>
      <c r="AS539" s="74"/>
      <c r="AT539" s="50"/>
    </row>
    <row r="540" spans="1:46" ht="14">
      <c r="A540" s="53" t="s">
        <v>36</v>
      </c>
      <c r="B540" s="7" t="s">
        <v>470</v>
      </c>
      <c r="C540" s="7" t="s">
        <v>2757</v>
      </c>
      <c r="D540" s="14" t="s">
        <v>471</v>
      </c>
      <c r="E540" s="7" t="s">
        <v>975</v>
      </c>
      <c r="F540" s="369">
        <v>6402</v>
      </c>
      <c r="G540" s="15" t="s">
        <v>472</v>
      </c>
      <c r="H540" s="7">
        <v>9199</v>
      </c>
      <c r="I540" s="19" t="s">
        <v>2</v>
      </c>
      <c r="J540" s="7" t="s">
        <v>473</v>
      </c>
      <c r="K540" s="51">
        <v>41710</v>
      </c>
      <c r="L540" s="115">
        <v>41691</v>
      </c>
      <c r="M540" s="50">
        <f t="shared" si="33"/>
        <v>19</v>
      </c>
      <c r="N540" s="7" t="s">
        <v>2</v>
      </c>
      <c r="O540" s="74">
        <v>4.5</v>
      </c>
      <c r="P540" s="117">
        <v>5.5</v>
      </c>
      <c r="Q540" s="131">
        <v>7.8</v>
      </c>
      <c r="R540" s="50">
        <v>27</v>
      </c>
      <c r="S540" s="74">
        <v>370</v>
      </c>
      <c r="T540" s="50">
        <v>0.56999999999999995</v>
      </c>
      <c r="U540" s="74">
        <v>1.08</v>
      </c>
      <c r="V540" s="50">
        <v>0.14000000000000001</v>
      </c>
      <c r="W540" s="74">
        <v>1.4E-2</v>
      </c>
      <c r="X540" s="50">
        <v>5.3999999999999999E-2</v>
      </c>
      <c r="Y540" s="74">
        <v>8.9999999999999993E-3</v>
      </c>
      <c r="AG540" s="74"/>
      <c r="AH540" s="74"/>
      <c r="AI540" s="113"/>
      <c r="AJ540" s="50"/>
      <c r="AK540" s="74"/>
      <c r="AL540" s="50"/>
      <c r="AM540" s="74"/>
      <c r="AN540" s="50"/>
      <c r="AO540" s="74"/>
      <c r="AP540" s="50"/>
      <c r="AQ540" s="74"/>
      <c r="AR540" s="50"/>
      <c r="AS540" s="74"/>
      <c r="AT540" s="50"/>
    </row>
    <row r="541" spans="1:46" ht="14">
      <c r="A541" s="53" t="s">
        <v>36</v>
      </c>
      <c r="B541" s="7" t="s">
        <v>470</v>
      </c>
      <c r="C541" s="7" t="s">
        <v>5995</v>
      </c>
      <c r="D541" s="14" t="s">
        <v>471</v>
      </c>
      <c r="E541" s="7" t="s">
        <v>975</v>
      </c>
      <c r="F541" s="369">
        <v>6402</v>
      </c>
      <c r="G541" s="15" t="s">
        <v>472</v>
      </c>
      <c r="H541" s="7">
        <v>9199</v>
      </c>
      <c r="I541" s="19" t="s">
        <v>2</v>
      </c>
      <c r="J541" s="7" t="s">
        <v>474</v>
      </c>
      <c r="K541" s="51">
        <v>41710</v>
      </c>
      <c r="L541" s="115">
        <v>41691</v>
      </c>
      <c r="M541" s="50">
        <f t="shared" si="33"/>
        <v>19</v>
      </c>
      <c r="N541" s="7" t="s">
        <v>2</v>
      </c>
      <c r="O541" s="74">
        <f>1.4/2</f>
        <v>0.7</v>
      </c>
      <c r="P541" s="117">
        <v>5.5</v>
      </c>
      <c r="Q541" s="131">
        <v>7.66</v>
      </c>
      <c r="R541" s="50">
        <v>51</v>
      </c>
      <c r="S541" s="74">
        <v>12</v>
      </c>
      <c r="T541" s="50">
        <v>0.39</v>
      </c>
      <c r="U541" s="74">
        <v>2.5</v>
      </c>
      <c r="V541" s="50">
        <v>0.03</v>
      </c>
      <c r="W541" s="74">
        <v>1.0999999999999999E-2</v>
      </c>
      <c r="X541" s="50">
        <v>8.9999999999999993E-3</v>
      </c>
      <c r="Y541" s="74">
        <v>3.0000000000000001E-3</v>
      </c>
      <c r="AG541" s="74"/>
      <c r="AH541" s="74"/>
      <c r="AI541" s="113"/>
      <c r="AJ541" s="50"/>
      <c r="AK541" s="74"/>
      <c r="AL541" s="50"/>
      <c r="AM541" s="74"/>
      <c r="AN541" s="50"/>
      <c r="AO541" s="74"/>
      <c r="AP541" s="50"/>
      <c r="AQ541" s="74"/>
      <c r="AR541" s="50"/>
      <c r="AS541" s="74"/>
      <c r="AT541" s="50"/>
    </row>
    <row r="542" spans="1:46" ht="14">
      <c r="A542" s="53" t="s">
        <v>36</v>
      </c>
      <c r="B542" s="7" t="s">
        <v>2966</v>
      </c>
      <c r="C542" s="7" t="s">
        <v>395</v>
      </c>
      <c r="D542" s="14" t="s">
        <v>186</v>
      </c>
      <c r="E542" s="7" t="s">
        <v>4616</v>
      </c>
      <c r="F542" s="7"/>
      <c r="G542" s="15" t="s">
        <v>992</v>
      </c>
      <c r="H542" s="7">
        <v>9199</v>
      </c>
      <c r="I542" s="19" t="s">
        <v>2</v>
      </c>
      <c r="J542" s="7" t="s">
        <v>1678</v>
      </c>
      <c r="K542" s="51">
        <v>41718</v>
      </c>
      <c r="L542" s="115">
        <v>41709</v>
      </c>
      <c r="M542" s="50">
        <f t="shared" si="33"/>
        <v>9</v>
      </c>
      <c r="N542" s="7" t="s">
        <v>2</v>
      </c>
      <c r="O542" s="74">
        <f>1.4/2</f>
        <v>0.7</v>
      </c>
      <c r="P542" s="117">
        <v>4.7</v>
      </c>
      <c r="Q542" s="131">
        <v>6.2</v>
      </c>
      <c r="R542" s="50">
        <f>10/2</f>
        <v>5</v>
      </c>
      <c r="S542" s="74">
        <v>53</v>
      </c>
      <c r="T542" s="50">
        <v>0.02</v>
      </c>
      <c r="U542" s="74">
        <v>0.34</v>
      </c>
      <c r="V542" s="50">
        <v>2.4</v>
      </c>
      <c r="W542" s="74">
        <f>0.005/2</f>
        <v>2.5000000000000001E-3</v>
      </c>
      <c r="X542" s="50">
        <v>0.01</v>
      </c>
      <c r="Y542" s="74">
        <f>0.002/2</f>
        <v>1E-3</v>
      </c>
      <c r="AE542" s="50">
        <v>140</v>
      </c>
      <c r="AF542" s="50">
        <f>0.01/2</f>
        <v>5.0000000000000001E-3</v>
      </c>
      <c r="AG542" s="74"/>
      <c r="AH542" s="74"/>
      <c r="AI542" s="113"/>
      <c r="AJ542" s="50"/>
      <c r="AK542" s="74"/>
      <c r="AL542" s="50"/>
      <c r="AM542" s="74"/>
      <c r="AN542" s="50"/>
      <c r="AO542" s="74"/>
      <c r="AP542" s="50"/>
      <c r="AQ542" s="74"/>
      <c r="AR542" s="50"/>
      <c r="AS542" s="74"/>
      <c r="AT542" s="50"/>
    </row>
    <row r="543" spans="1:46" ht="14">
      <c r="A543" s="53" t="s">
        <v>36</v>
      </c>
      <c r="B543" s="7" t="s">
        <v>4011</v>
      </c>
      <c r="C543" s="7" t="s">
        <v>4012</v>
      </c>
      <c r="D543" s="14" t="s">
        <v>127</v>
      </c>
      <c r="E543" s="7" t="s">
        <v>128</v>
      </c>
      <c r="F543" s="369">
        <v>7105</v>
      </c>
      <c r="G543" s="15" t="s">
        <v>4013</v>
      </c>
      <c r="H543" s="7">
        <v>9199</v>
      </c>
      <c r="I543" s="19" t="s">
        <v>1</v>
      </c>
      <c r="J543" s="7" t="s">
        <v>856</v>
      </c>
      <c r="K543" s="51">
        <v>41402</v>
      </c>
      <c r="L543" s="115">
        <v>41384</v>
      </c>
      <c r="M543" s="50">
        <f t="shared" si="33"/>
        <v>18</v>
      </c>
      <c r="N543" s="7" t="s">
        <v>2</v>
      </c>
      <c r="O543" s="74">
        <f>5/2</f>
        <v>2.5</v>
      </c>
      <c r="P543" s="117"/>
      <c r="Q543" s="131">
        <v>6.41</v>
      </c>
      <c r="R543" s="50">
        <v>38</v>
      </c>
      <c r="S543" s="74">
        <f>4/2</f>
        <v>2</v>
      </c>
      <c r="T543" s="50">
        <v>5.1999999999999998E-2</v>
      </c>
      <c r="U543" s="74">
        <v>0.8</v>
      </c>
      <c r="V543" s="50">
        <f>0.05/2</f>
        <v>2.5000000000000001E-2</v>
      </c>
      <c r="W543" s="74">
        <f>0.01/2</f>
        <v>5.0000000000000001E-3</v>
      </c>
      <c r="X543" s="50">
        <v>0.1</v>
      </c>
      <c r="Y543" s="74">
        <f>0.005/2</f>
        <v>2.5000000000000001E-3</v>
      </c>
      <c r="Z543" s="164">
        <v>1</v>
      </c>
      <c r="AA543" s="165">
        <v>1</v>
      </c>
      <c r="AC543" s="74">
        <v>128</v>
      </c>
      <c r="AD543" s="164">
        <v>1</v>
      </c>
      <c r="AG543" s="74"/>
      <c r="AH543" s="74"/>
      <c r="AI543" s="113"/>
      <c r="AJ543" s="50"/>
      <c r="AK543" s="74"/>
      <c r="AL543" s="50"/>
      <c r="AM543" s="74"/>
      <c r="AN543" s="50"/>
      <c r="AO543" s="74"/>
      <c r="AP543" s="50"/>
      <c r="AQ543" s="74"/>
      <c r="AR543" s="50"/>
      <c r="AS543" s="74"/>
      <c r="AT543" s="50"/>
    </row>
    <row r="544" spans="1:46" ht="14">
      <c r="A544" s="53" t="s">
        <v>36</v>
      </c>
      <c r="B544" s="7" t="s">
        <v>4011</v>
      </c>
      <c r="C544" s="7" t="s">
        <v>4012</v>
      </c>
      <c r="D544" s="14" t="s">
        <v>127</v>
      </c>
      <c r="E544" s="7" t="s">
        <v>128</v>
      </c>
      <c r="F544" s="369">
        <v>7105</v>
      </c>
      <c r="G544" s="15" t="s">
        <v>4013</v>
      </c>
      <c r="H544" s="7">
        <v>9199</v>
      </c>
      <c r="I544" s="19" t="s">
        <v>1</v>
      </c>
      <c r="J544" s="7" t="s">
        <v>2705</v>
      </c>
      <c r="K544" s="51">
        <v>41402</v>
      </c>
      <c r="L544" s="115">
        <v>41384</v>
      </c>
      <c r="M544" s="50">
        <f t="shared" si="33"/>
        <v>18</v>
      </c>
      <c r="N544" s="7" t="s">
        <v>2</v>
      </c>
      <c r="O544" s="74">
        <f>5/2</f>
        <v>2.5</v>
      </c>
      <c r="P544" s="117"/>
      <c r="Q544" s="131">
        <v>6.93</v>
      </c>
      <c r="R544" s="50">
        <v>43</v>
      </c>
      <c r="S544" s="74">
        <v>8.8000000000000007</v>
      </c>
      <c r="T544" s="50">
        <v>0.11</v>
      </c>
      <c r="U544" s="74">
        <v>1.1000000000000001</v>
      </c>
      <c r="V544" s="50">
        <v>0.56000000000000005</v>
      </c>
      <c r="W544" s="74">
        <v>0.01</v>
      </c>
      <c r="X544" s="50">
        <v>6.3E-2</v>
      </c>
      <c r="Y544" s="74">
        <f>0.005/2</f>
        <v>2.5000000000000001E-3</v>
      </c>
      <c r="Z544" s="164">
        <v>1</v>
      </c>
      <c r="AA544" s="165">
        <v>1</v>
      </c>
      <c r="AC544" s="74">
        <v>365</v>
      </c>
      <c r="AD544" s="164">
        <v>1</v>
      </c>
      <c r="AG544" s="74"/>
      <c r="AH544" s="74"/>
      <c r="AI544" s="113"/>
      <c r="AJ544" s="50"/>
      <c r="AK544" s="74"/>
      <c r="AL544" s="50"/>
      <c r="AM544" s="74"/>
      <c r="AN544" s="50"/>
      <c r="AO544" s="74"/>
      <c r="AP544" s="50"/>
      <c r="AQ544" s="74"/>
      <c r="AR544" s="50"/>
      <c r="AS544" s="74"/>
      <c r="AT544" s="50"/>
    </row>
    <row r="545" spans="1:46" ht="14">
      <c r="A545" s="53" t="s">
        <v>36</v>
      </c>
      <c r="B545" s="7" t="s">
        <v>2920</v>
      </c>
      <c r="C545" s="7" t="s">
        <v>393</v>
      </c>
      <c r="D545" s="14" t="s">
        <v>2921</v>
      </c>
      <c r="E545" s="7" t="s">
        <v>2922</v>
      </c>
      <c r="F545" s="7"/>
      <c r="G545" s="15" t="s">
        <v>2923</v>
      </c>
      <c r="H545" s="7">
        <v>9199</v>
      </c>
      <c r="I545" s="19" t="s">
        <v>2</v>
      </c>
      <c r="J545" s="7" t="s">
        <v>271</v>
      </c>
      <c r="K545" s="51">
        <v>41539</v>
      </c>
      <c r="L545" s="115">
        <v>41530</v>
      </c>
      <c r="M545" s="50">
        <f t="shared" si="33"/>
        <v>9</v>
      </c>
      <c r="N545" s="7" t="s">
        <v>2</v>
      </c>
      <c r="O545" s="74">
        <f>1/2</f>
        <v>0.5</v>
      </c>
      <c r="P545" s="117">
        <v>6.31</v>
      </c>
      <c r="Q545" s="131">
        <v>6.44</v>
      </c>
      <c r="R545" s="50">
        <v>388</v>
      </c>
      <c r="S545" s="336">
        <v>1152</v>
      </c>
      <c r="T545" s="50">
        <v>3.55</v>
      </c>
      <c r="U545" s="74">
        <v>5.8</v>
      </c>
      <c r="V545" s="50">
        <v>0.33</v>
      </c>
      <c r="W545" s="74">
        <v>0.10100000000000001</v>
      </c>
      <c r="X545" s="50">
        <v>0.432</v>
      </c>
      <c r="Y545" s="74">
        <v>0.249</v>
      </c>
      <c r="Z545" s="164">
        <v>1</v>
      </c>
      <c r="AA545" s="165">
        <v>1</v>
      </c>
      <c r="AB545" s="50">
        <v>38.97</v>
      </c>
      <c r="AC545" s="74">
        <v>89</v>
      </c>
      <c r="AD545" s="164">
        <v>1</v>
      </c>
      <c r="AE545" s="50">
        <v>14.07</v>
      </c>
      <c r="AF545" s="50">
        <f>0.01/2</f>
        <v>5.0000000000000001E-3</v>
      </c>
      <c r="AG545" s="74"/>
      <c r="AH545" s="74"/>
      <c r="AI545" s="113"/>
      <c r="AJ545" s="50"/>
      <c r="AK545" s="74"/>
      <c r="AL545" s="50"/>
      <c r="AM545" s="74"/>
      <c r="AN545" s="50"/>
      <c r="AO545" s="74"/>
      <c r="AP545" s="50"/>
      <c r="AQ545" s="74"/>
      <c r="AR545" s="50"/>
      <c r="AS545" s="74"/>
      <c r="AT545" s="50"/>
    </row>
    <row r="546" spans="1:46" ht="14">
      <c r="A546" s="53" t="s">
        <v>36</v>
      </c>
      <c r="B546" s="7" t="s">
        <v>2863</v>
      </c>
      <c r="C546" s="7" t="s">
        <v>2864</v>
      </c>
      <c r="D546" s="14" t="s">
        <v>861</v>
      </c>
      <c r="E546" s="7" t="s">
        <v>862</v>
      </c>
      <c r="F546" s="7"/>
      <c r="G546" s="15" t="s">
        <v>2865</v>
      </c>
      <c r="H546" s="7">
        <v>9199</v>
      </c>
      <c r="I546" s="19" t="s">
        <v>2</v>
      </c>
      <c r="J546" s="7" t="s">
        <v>700</v>
      </c>
      <c r="K546" s="51">
        <v>41539</v>
      </c>
      <c r="L546" s="115">
        <v>41530</v>
      </c>
      <c r="M546" s="50">
        <f t="shared" si="33"/>
        <v>9</v>
      </c>
      <c r="N546" s="7" t="s">
        <v>2</v>
      </c>
      <c r="O546" s="74">
        <f>1.9/2</f>
        <v>0.95</v>
      </c>
      <c r="P546" s="117"/>
      <c r="Q546" s="131">
        <v>6.6</v>
      </c>
      <c r="R546" s="50">
        <f>20/2</f>
        <v>10</v>
      </c>
      <c r="S546" s="74">
        <v>8.4</v>
      </c>
      <c r="T546" s="50">
        <v>4.1000000000000002E-2</v>
      </c>
      <c r="U546" s="74">
        <f>1/2</f>
        <v>0.5</v>
      </c>
      <c r="V546" s="50">
        <f>0.46/2</f>
        <v>0.23</v>
      </c>
      <c r="W546" s="74">
        <f>0.005/2</f>
        <v>2.5000000000000001E-3</v>
      </c>
      <c r="X546" s="50">
        <v>8.3000000000000004E-2</v>
      </c>
      <c r="Y546" s="74">
        <f>0.005/2</f>
        <v>2.5000000000000001E-3</v>
      </c>
      <c r="Z546" s="164">
        <v>1</v>
      </c>
      <c r="AA546" s="165">
        <v>0.752</v>
      </c>
      <c r="AB546" s="50">
        <v>2</v>
      </c>
      <c r="AC546" s="74">
        <v>17</v>
      </c>
      <c r="AD546" s="164">
        <v>0.15</v>
      </c>
      <c r="AG546" s="74"/>
      <c r="AH546" s="74"/>
      <c r="AI546" s="113"/>
      <c r="AJ546" s="50"/>
      <c r="AK546" s="74"/>
      <c r="AL546" s="50"/>
      <c r="AM546" s="74"/>
      <c r="AN546" s="50"/>
      <c r="AO546" s="74"/>
      <c r="AP546" s="50"/>
      <c r="AQ546" s="74"/>
      <c r="AR546" s="50"/>
      <c r="AS546" s="74"/>
      <c r="AT546" s="50"/>
    </row>
    <row r="547" spans="1:46" ht="14">
      <c r="A547" s="53" t="s">
        <v>36</v>
      </c>
      <c r="B547" s="7" t="s">
        <v>2952</v>
      </c>
      <c r="C547" s="7" t="s">
        <v>393</v>
      </c>
      <c r="D547" s="14" t="s">
        <v>2953</v>
      </c>
      <c r="E547" s="7"/>
      <c r="F547" s="7"/>
      <c r="G547" s="15" t="s">
        <v>2954</v>
      </c>
      <c r="H547" s="7">
        <v>9199</v>
      </c>
      <c r="I547" s="19" t="s">
        <v>2</v>
      </c>
      <c r="J547" s="7" t="s">
        <v>2955</v>
      </c>
      <c r="K547" s="51">
        <v>41131</v>
      </c>
      <c r="L547" s="115">
        <v>41128</v>
      </c>
      <c r="M547" s="50">
        <f t="shared" si="33"/>
        <v>3</v>
      </c>
      <c r="N547" s="7" t="s">
        <v>2</v>
      </c>
      <c r="O547" s="74">
        <f>5/2</f>
        <v>2.5</v>
      </c>
      <c r="P547" s="117">
        <v>6.67</v>
      </c>
      <c r="Q547" s="131">
        <v>7.07</v>
      </c>
      <c r="R547" s="50">
        <v>33.299999999999997</v>
      </c>
      <c r="S547" s="74">
        <v>10</v>
      </c>
      <c r="T547" s="50">
        <f>0.5/2</f>
        <v>0.25</v>
      </c>
      <c r="U547" s="74">
        <v>0.81</v>
      </c>
      <c r="V547" s="50">
        <v>0.78</v>
      </c>
      <c r="W547" s="74">
        <v>0.04</v>
      </c>
      <c r="X547" s="50">
        <v>0.1</v>
      </c>
      <c r="Y547" s="74">
        <f>0.004/2</f>
        <v>2E-3</v>
      </c>
      <c r="Z547" s="164">
        <v>1</v>
      </c>
      <c r="AA547" s="165">
        <v>1</v>
      </c>
      <c r="AB547" s="50">
        <v>8</v>
      </c>
      <c r="AC547" s="74">
        <v>45</v>
      </c>
      <c r="AD547" s="164">
        <v>1</v>
      </c>
      <c r="AG547" s="74"/>
      <c r="AH547" s="74"/>
      <c r="AI547" s="113"/>
      <c r="AJ547" s="50"/>
      <c r="AK547" s="74"/>
      <c r="AL547" s="50"/>
      <c r="AM547" s="74"/>
      <c r="AN547" s="50"/>
      <c r="AO547" s="74"/>
      <c r="AP547" s="50"/>
      <c r="AQ547" s="74"/>
      <c r="AR547" s="50"/>
      <c r="AS547" s="74"/>
      <c r="AT547" s="50"/>
    </row>
    <row r="548" spans="1:46" ht="14">
      <c r="A548" s="293" t="s">
        <v>36</v>
      </c>
      <c r="B548" s="7" t="s">
        <v>2794</v>
      </c>
      <c r="C548" s="7" t="s">
        <v>5996</v>
      </c>
      <c r="D548" s="14" t="s">
        <v>397</v>
      </c>
      <c r="E548" s="7" t="s">
        <v>5997</v>
      </c>
      <c r="F548" s="7"/>
      <c r="G548" s="15" t="s">
        <v>2796</v>
      </c>
      <c r="H548" s="7">
        <v>4952</v>
      </c>
      <c r="I548" s="19" t="s">
        <v>1</v>
      </c>
      <c r="J548" s="7" t="s">
        <v>194</v>
      </c>
      <c r="K548" s="51">
        <v>41529</v>
      </c>
      <c r="L548" s="115">
        <v>41519</v>
      </c>
      <c r="M548" s="50">
        <f t="shared" si="33"/>
        <v>10</v>
      </c>
      <c r="N548" s="7" t="s">
        <v>2</v>
      </c>
      <c r="O548" s="74">
        <f>1/2</f>
        <v>0.5</v>
      </c>
      <c r="P548" s="117">
        <v>5.81</v>
      </c>
      <c r="Q548" s="131">
        <v>6.35</v>
      </c>
      <c r="R548" s="50">
        <v>40</v>
      </c>
      <c r="S548" s="74">
        <v>30</v>
      </c>
      <c r="T548" s="50">
        <v>0.74</v>
      </c>
      <c r="U548" s="74">
        <v>0.97</v>
      </c>
      <c r="V548" s="50">
        <v>1.52</v>
      </c>
      <c r="W548" s="74">
        <v>4.0000000000000001E-3</v>
      </c>
      <c r="X548" s="50">
        <v>4.2000000000000003E-2</v>
      </c>
      <c r="Y548" s="74">
        <v>5.0000000000000001E-3</v>
      </c>
      <c r="Z548" s="164">
        <v>1</v>
      </c>
      <c r="AA548" s="165">
        <v>1</v>
      </c>
      <c r="AB548" s="50">
        <v>10</v>
      </c>
      <c r="AC548" s="74">
        <v>44</v>
      </c>
      <c r="AD548" s="164">
        <v>0.7</v>
      </c>
      <c r="AG548" s="74"/>
      <c r="AH548" s="74"/>
      <c r="AI548" s="113">
        <v>697</v>
      </c>
      <c r="AJ548" s="50" t="s">
        <v>6366</v>
      </c>
      <c r="AK548" s="74"/>
      <c r="AL548" s="50"/>
      <c r="AM548" s="74"/>
      <c r="AN548" s="50"/>
      <c r="AO548" s="74"/>
      <c r="AP548" s="50"/>
      <c r="AQ548" s="74"/>
      <c r="AR548" s="50"/>
      <c r="AS548" s="74"/>
      <c r="AT548" s="50"/>
    </row>
    <row r="549" spans="1:46" ht="14">
      <c r="A549" s="53" t="s">
        <v>36</v>
      </c>
      <c r="B549" s="7" t="s">
        <v>3996</v>
      </c>
      <c r="C549" s="7" t="s">
        <v>5998</v>
      </c>
      <c r="D549" s="14" t="s">
        <v>756</v>
      </c>
      <c r="E549" s="7" t="s">
        <v>3998</v>
      </c>
      <c r="F549" s="7" t="s">
        <v>3999</v>
      </c>
      <c r="G549" s="15" t="s">
        <v>4000</v>
      </c>
      <c r="H549" s="7">
        <v>9199</v>
      </c>
      <c r="I549" s="19" t="s">
        <v>1</v>
      </c>
      <c r="J549" s="7" t="s">
        <v>840</v>
      </c>
      <c r="K549" s="51">
        <v>41579</v>
      </c>
      <c r="L549" s="115">
        <v>41554</v>
      </c>
      <c r="M549" s="50">
        <f t="shared" si="33"/>
        <v>25</v>
      </c>
      <c r="N549" s="7" t="s">
        <v>1</v>
      </c>
      <c r="O549" s="74">
        <v>2.7</v>
      </c>
      <c r="P549" s="117">
        <v>5.16</v>
      </c>
      <c r="Q549" s="131"/>
      <c r="R549" s="50">
        <v>139</v>
      </c>
      <c r="S549" s="74">
        <v>80</v>
      </c>
      <c r="V549" s="50">
        <v>4.63</v>
      </c>
      <c r="AG549" s="74"/>
      <c r="AH549" s="74"/>
      <c r="AI549" s="113"/>
      <c r="AJ549" s="50"/>
      <c r="AK549" s="74"/>
      <c r="AL549" s="50"/>
      <c r="AM549" s="74"/>
      <c r="AN549" s="50"/>
      <c r="AO549" s="74"/>
      <c r="AP549" s="50"/>
      <c r="AQ549" s="74"/>
      <c r="AR549" s="50"/>
      <c r="AS549" s="74"/>
      <c r="AT549" s="50"/>
    </row>
    <row r="550" spans="1:46" ht="14">
      <c r="A550" s="293" t="s">
        <v>36</v>
      </c>
      <c r="B550" s="7" t="s">
        <v>2794</v>
      </c>
      <c r="C550" s="7" t="s">
        <v>5996</v>
      </c>
      <c r="D550" s="14" t="s">
        <v>397</v>
      </c>
      <c r="E550" s="7" t="s">
        <v>5997</v>
      </c>
      <c r="F550" s="7"/>
      <c r="G550" s="15" t="s">
        <v>2796</v>
      </c>
      <c r="H550" s="7">
        <v>4952</v>
      </c>
      <c r="I550" s="19" t="s">
        <v>1</v>
      </c>
      <c r="J550" s="7" t="s">
        <v>569</v>
      </c>
      <c r="K550" s="51">
        <v>41529</v>
      </c>
      <c r="L550" s="115">
        <v>41519</v>
      </c>
      <c r="M550" s="50">
        <f t="shared" si="33"/>
        <v>10</v>
      </c>
      <c r="N550" s="7" t="s">
        <v>2</v>
      </c>
      <c r="O550" s="74">
        <v>0.5</v>
      </c>
      <c r="P550" s="117">
        <v>5.81</v>
      </c>
      <c r="Q550" s="131">
        <v>5.91</v>
      </c>
      <c r="R550" s="50">
        <v>20</v>
      </c>
      <c r="S550" s="74">
        <v>36</v>
      </c>
      <c r="T550" s="50">
        <v>0.28000000000000003</v>
      </c>
      <c r="U550" s="74">
        <v>2.36</v>
      </c>
      <c r="V550" s="50">
        <v>0.32</v>
      </c>
      <c r="W550" s="74">
        <v>1.0999999999999999E-2</v>
      </c>
      <c r="X550" s="50">
        <v>0.1</v>
      </c>
      <c r="Y550" s="74">
        <v>6.0000000000000001E-3</v>
      </c>
      <c r="Z550" s="164">
        <v>1</v>
      </c>
      <c r="AA550" s="165">
        <v>1</v>
      </c>
      <c r="AB550" s="50">
        <v>2</v>
      </c>
      <c r="AC550" s="74">
        <v>18</v>
      </c>
      <c r="AD550" s="164">
        <v>0.95</v>
      </c>
      <c r="AG550" s="74"/>
      <c r="AH550" s="74"/>
      <c r="AI550" s="113">
        <v>207</v>
      </c>
      <c r="AJ550" s="50" t="s">
        <v>6366</v>
      </c>
      <c r="AK550" s="74"/>
      <c r="AL550" s="50"/>
      <c r="AM550" s="74"/>
      <c r="AN550" s="50"/>
      <c r="AO550" s="74"/>
      <c r="AP550" s="50"/>
      <c r="AQ550" s="74"/>
      <c r="AR550" s="50"/>
      <c r="AS550" s="74"/>
      <c r="AT550" s="50"/>
    </row>
    <row r="551" spans="1:46" ht="14">
      <c r="A551" s="53" t="s">
        <v>36</v>
      </c>
      <c r="B551" s="7" t="s">
        <v>2790</v>
      </c>
      <c r="C551" s="7" t="s">
        <v>2757</v>
      </c>
      <c r="D551" s="14" t="s">
        <v>303</v>
      </c>
      <c r="E551" s="7" t="s">
        <v>2791</v>
      </c>
      <c r="F551" s="7"/>
      <c r="G551" s="15" t="s">
        <v>2792</v>
      </c>
      <c r="H551" s="7">
        <v>9199</v>
      </c>
      <c r="I551" s="19" t="s">
        <v>2</v>
      </c>
      <c r="J551" s="7" t="s">
        <v>81</v>
      </c>
      <c r="K551" s="51">
        <v>40863</v>
      </c>
      <c r="L551" s="115">
        <v>40845</v>
      </c>
      <c r="M551" s="50">
        <f t="shared" si="33"/>
        <v>18</v>
      </c>
      <c r="N551" s="7" t="s">
        <v>2</v>
      </c>
      <c r="O551" s="74">
        <v>7.4</v>
      </c>
      <c r="P551" s="117">
        <v>5.5</v>
      </c>
      <c r="Q551" s="131">
        <v>7.92</v>
      </c>
      <c r="R551" s="50">
        <v>270</v>
      </c>
      <c r="S551" s="74">
        <v>340</v>
      </c>
      <c r="T551" s="50">
        <v>0.49</v>
      </c>
      <c r="U551" s="74">
        <v>2.9</v>
      </c>
      <c r="V551" s="50">
        <v>1.5</v>
      </c>
      <c r="W551" s="74">
        <v>6.8000000000000005E-2</v>
      </c>
      <c r="X551" s="50">
        <v>0.33500000000000002</v>
      </c>
      <c r="Y551" s="74">
        <v>2.3E-2</v>
      </c>
      <c r="Z551" s="164">
        <v>1</v>
      </c>
      <c r="AA551" s="165">
        <v>1</v>
      </c>
      <c r="AB551" s="50">
        <v>34</v>
      </c>
      <c r="AC551" s="74">
        <v>256</v>
      </c>
      <c r="AD551" s="164">
        <v>1</v>
      </c>
      <c r="AG551" s="74"/>
      <c r="AH551" s="74"/>
      <c r="AI551" s="113"/>
      <c r="AJ551" s="50"/>
      <c r="AK551" s="74"/>
      <c r="AL551" s="50"/>
      <c r="AM551" s="74"/>
      <c r="AN551" s="50"/>
      <c r="AO551" s="74"/>
      <c r="AP551" s="50"/>
      <c r="AQ551" s="74"/>
      <c r="AR551" s="50"/>
      <c r="AS551" s="74"/>
      <c r="AT551" s="50"/>
    </row>
    <row r="552" spans="1:46" ht="14">
      <c r="A552" s="53" t="s">
        <v>36</v>
      </c>
      <c r="B552" s="7" t="s">
        <v>2790</v>
      </c>
      <c r="C552" s="7" t="s">
        <v>2757</v>
      </c>
      <c r="D552" s="14" t="s">
        <v>303</v>
      </c>
      <c r="E552" s="7" t="s">
        <v>2791</v>
      </c>
      <c r="F552" s="7"/>
      <c r="G552" s="15" t="s">
        <v>2792</v>
      </c>
      <c r="H552" s="7">
        <v>9199</v>
      </c>
      <c r="I552" s="19" t="s">
        <v>2</v>
      </c>
      <c r="J552" s="7" t="s">
        <v>2793</v>
      </c>
      <c r="K552" s="51">
        <v>40863</v>
      </c>
      <c r="L552" s="115">
        <v>40845</v>
      </c>
      <c r="M552" s="50">
        <f t="shared" si="33"/>
        <v>18</v>
      </c>
      <c r="N552" s="7" t="s">
        <v>2</v>
      </c>
      <c r="O552" s="74">
        <v>16</v>
      </c>
      <c r="P552" s="117">
        <v>5.5</v>
      </c>
      <c r="Q552" s="131">
        <v>7.92</v>
      </c>
      <c r="R552" s="50">
        <v>430</v>
      </c>
      <c r="S552" s="74">
        <v>580</v>
      </c>
      <c r="T552" s="50">
        <v>0.23</v>
      </c>
      <c r="U552" s="74">
        <v>1.5</v>
      </c>
      <c r="V552" s="50">
        <v>0.44</v>
      </c>
      <c r="W552" s="74">
        <v>9.4E-2</v>
      </c>
      <c r="X552" s="50">
        <v>0.35699999999999998</v>
      </c>
      <c r="Y552" s="74">
        <v>0.10199999999999999</v>
      </c>
      <c r="Z552" s="164">
        <v>1</v>
      </c>
      <c r="AA552" s="165">
        <v>1</v>
      </c>
      <c r="AB552" s="50">
        <v>34</v>
      </c>
      <c r="AC552" s="74">
        <v>256</v>
      </c>
      <c r="AD552" s="164">
        <v>1</v>
      </c>
      <c r="AE552" s="50">
        <v>46</v>
      </c>
      <c r="AF552" s="50">
        <f>0.01/2</f>
        <v>5.0000000000000001E-3</v>
      </c>
      <c r="AG552" s="74"/>
      <c r="AH552" s="74"/>
      <c r="AI552" s="113"/>
      <c r="AJ552" s="50"/>
      <c r="AK552" s="74"/>
      <c r="AL552" s="50"/>
      <c r="AM552" s="74"/>
      <c r="AN552" s="50"/>
      <c r="AO552" s="74"/>
      <c r="AP552" s="50"/>
      <c r="AQ552" s="74"/>
      <c r="AR552" s="50"/>
      <c r="AS552" s="74"/>
      <c r="AT552" s="50"/>
    </row>
    <row r="553" spans="1:46" ht="14">
      <c r="A553" s="53" t="s">
        <v>36</v>
      </c>
      <c r="B553" s="7" t="s">
        <v>2877</v>
      </c>
      <c r="C553" s="7" t="s">
        <v>2882</v>
      </c>
      <c r="D553" s="14" t="s">
        <v>1175</v>
      </c>
      <c r="E553" s="7" t="s">
        <v>5999</v>
      </c>
      <c r="F553" s="7" t="s">
        <v>2884</v>
      </c>
      <c r="G553" s="15" t="s">
        <v>2885</v>
      </c>
      <c r="H553" s="7">
        <v>9199</v>
      </c>
      <c r="I553" s="19" t="s">
        <v>2</v>
      </c>
      <c r="J553" s="7" t="s">
        <v>856</v>
      </c>
      <c r="K553" s="51">
        <v>41527</v>
      </c>
      <c r="L553" s="115">
        <v>41524</v>
      </c>
      <c r="M553" s="50">
        <f t="shared" si="33"/>
        <v>3</v>
      </c>
      <c r="N553" s="7" t="s">
        <v>2</v>
      </c>
      <c r="O553" s="74">
        <f>1.4/2</f>
        <v>0.7</v>
      </c>
      <c r="P553" s="117">
        <v>6.12</v>
      </c>
      <c r="Q553" s="131">
        <v>6.98</v>
      </c>
      <c r="R553" s="50">
        <v>36</v>
      </c>
      <c r="S553" s="74">
        <v>300</v>
      </c>
      <c r="T553" s="50">
        <v>0.23</v>
      </c>
      <c r="U553" s="74">
        <v>2.11</v>
      </c>
      <c r="V553" s="50">
        <v>0.27</v>
      </c>
      <c r="W553" s="74">
        <f>0.005/2</f>
        <v>2.5000000000000001E-3</v>
      </c>
      <c r="X553" s="50">
        <v>2.4E-2</v>
      </c>
      <c r="Y553" s="74">
        <v>0.02</v>
      </c>
      <c r="Z553" s="164">
        <v>1</v>
      </c>
      <c r="AA553" s="165">
        <v>1</v>
      </c>
      <c r="AB553" s="50">
        <v>102</v>
      </c>
      <c r="AC553" s="74">
        <v>1433</v>
      </c>
      <c r="AD553" s="164">
        <v>1</v>
      </c>
      <c r="AE553" s="50">
        <v>410</v>
      </c>
      <c r="AF553" s="50">
        <f>0.01/2</f>
        <v>5.0000000000000001E-3</v>
      </c>
      <c r="AG553" s="74"/>
      <c r="AH553" s="74"/>
      <c r="AI553" s="113"/>
      <c r="AJ553" s="50"/>
      <c r="AK553" s="74"/>
      <c r="AL553" s="50"/>
      <c r="AM553" s="74"/>
      <c r="AN553" s="50"/>
      <c r="AO553" s="74"/>
      <c r="AP553" s="50"/>
      <c r="AQ553" s="74"/>
      <c r="AR553" s="50"/>
      <c r="AS553" s="74"/>
      <c r="AT553" s="50"/>
    </row>
    <row r="554" spans="1:46" ht="14">
      <c r="A554" s="53" t="s">
        <v>36</v>
      </c>
      <c r="B554" s="7" t="s">
        <v>2877</v>
      </c>
      <c r="C554" s="7" t="s">
        <v>2878</v>
      </c>
      <c r="D554" s="14" t="s">
        <v>1175</v>
      </c>
      <c r="E554" s="7" t="s">
        <v>4154</v>
      </c>
      <c r="F554" s="7" t="s">
        <v>2880</v>
      </c>
      <c r="G554" s="15" t="s">
        <v>2881</v>
      </c>
      <c r="H554" s="7">
        <v>9199</v>
      </c>
      <c r="I554" s="19" t="s">
        <v>1</v>
      </c>
      <c r="J554" s="7" t="s">
        <v>856</v>
      </c>
      <c r="K554" s="51">
        <v>41529</v>
      </c>
      <c r="L554" s="115">
        <v>41526</v>
      </c>
      <c r="M554" s="50">
        <f t="shared" si="33"/>
        <v>3</v>
      </c>
      <c r="N554" s="7" t="s">
        <v>2</v>
      </c>
      <c r="O554" s="74">
        <f>1.4/2</f>
        <v>0.7</v>
      </c>
      <c r="P554" s="117">
        <v>6.22</v>
      </c>
      <c r="Q554" s="131">
        <v>7.15</v>
      </c>
      <c r="R554" s="50">
        <v>120</v>
      </c>
      <c r="S554" s="74">
        <v>77</v>
      </c>
      <c r="T554" s="50">
        <v>1.23</v>
      </c>
      <c r="U554" s="74">
        <v>6.25</v>
      </c>
      <c r="V554" s="50">
        <v>0.57999999999999996</v>
      </c>
      <c r="W554" s="74">
        <v>2.3E-2</v>
      </c>
      <c r="X554" s="50">
        <v>6.2E-2</v>
      </c>
      <c r="Y554" s="74">
        <v>3.0000000000000001E-3</v>
      </c>
      <c r="Z554" s="164">
        <v>1</v>
      </c>
      <c r="AA554" s="165">
        <v>1</v>
      </c>
      <c r="AB554" s="50">
        <v>110</v>
      </c>
      <c r="AC554" s="74">
        <v>759</v>
      </c>
      <c r="AD554" s="164">
        <v>0.95</v>
      </c>
      <c r="AG554" s="74"/>
      <c r="AH554" s="74"/>
      <c r="AI554" s="113"/>
      <c r="AJ554" s="50"/>
      <c r="AK554" s="74"/>
      <c r="AL554" s="50"/>
      <c r="AM554" s="74"/>
      <c r="AN554" s="50"/>
      <c r="AO554" s="74"/>
      <c r="AP554" s="50"/>
      <c r="AQ554" s="74"/>
      <c r="AR554" s="50"/>
      <c r="AS554" s="74"/>
      <c r="AT554" s="50"/>
    </row>
    <row r="555" spans="1:46" ht="14">
      <c r="A555" s="53" t="s">
        <v>36</v>
      </c>
      <c r="B555" s="7" t="s">
        <v>2814</v>
      </c>
      <c r="C555" s="7" t="s">
        <v>2815</v>
      </c>
      <c r="D555" s="14" t="s">
        <v>251</v>
      </c>
      <c r="E555" s="7" t="s">
        <v>252</v>
      </c>
      <c r="F555" s="7" t="s">
        <v>2816</v>
      </c>
      <c r="G555" s="15" t="s">
        <v>2817</v>
      </c>
      <c r="H555" s="7">
        <v>9199</v>
      </c>
      <c r="I555" s="19" t="s">
        <v>1</v>
      </c>
      <c r="J555" s="7" t="s">
        <v>2818</v>
      </c>
      <c r="K555" s="51">
        <v>41529</v>
      </c>
      <c r="L555" s="115">
        <v>41519</v>
      </c>
      <c r="M555" s="50">
        <f t="shared" si="33"/>
        <v>10</v>
      </c>
      <c r="N555" s="7" t="s">
        <v>2</v>
      </c>
      <c r="O555" s="74">
        <f>5/2</f>
        <v>2.5</v>
      </c>
      <c r="P555" s="117">
        <v>6.11</v>
      </c>
      <c r="Q555" s="131">
        <v>6.29</v>
      </c>
      <c r="R555" s="50">
        <v>31</v>
      </c>
      <c r="S555" s="74">
        <v>25</v>
      </c>
      <c r="T555" s="50">
        <f>0.1/2</f>
        <v>0.05</v>
      </c>
      <c r="U555" s="74">
        <v>1.3</v>
      </c>
      <c r="V555" s="50">
        <v>0.7</v>
      </c>
      <c r="W555" s="74">
        <f>0.04/2</f>
        <v>0.02</v>
      </c>
      <c r="X555" s="50">
        <v>3.4000000000000002E-2</v>
      </c>
      <c r="Y555" s="74">
        <f>0.013/2</f>
        <v>6.4999999999999997E-3</v>
      </c>
      <c r="Z555" s="164">
        <v>1</v>
      </c>
      <c r="AA555" s="165">
        <v>1</v>
      </c>
      <c r="AB555" s="50">
        <v>9</v>
      </c>
      <c r="AC555" s="74">
        <v>51</v>
      </c>
      <c r="AD555" s="164">
        <v>1</v>
      </c>
      <c r="AE555" s="50">
        <v>3.8</v>
      </c>
      <c r="AF555" s="50">
        <f>0.05/2</f>
        <v>2.5000000000000001E-2</v>
      </c>
      <c r="AG555" s="74"/>
      <c r="AH555" s="74">
        <v>7200</v>
      </c>
      <c r="AI555" s="113"/>
      <c r="AJ555" s="50"/>
      <c r="AK555" s="74"/>
      <c r="AL555" s="50"/>
      <c r="AM555" s="74"/>
      <c r="AN555" s="50"/>
      <c r="AO555" s="74"/>
      <c r="AP555" s="50"/>
      <c r="AQ555" s="74"/>
      <c r="AR555" s="50"/>
      <c r="AS555" s="74"/>
      <c r="AT555" s="50"/>
    </row>
    <row r="556" spans="1:46" ht="14">
      <c r="A556" s="53" t="s">
        <v>36</v>
      </c>
      <c r="B556" s="7" t="s">
        <v>2814</v>
      </c>
      <c r="C556" s="7" t="s">
        <v>2815</v>
      </c>
      <c r="D556" s="14" t="s">
        <v>251</v>
      </c>
      <c r="E556" s="7" t="s">
        <v>252</v>
      </c>
      <c r="F556" s="7" t="s">
        <v>2816</v>
      </c>
      <c r="G556" s="15" t="s">
        <v>2817</v>
      </c>
      <c r="H556" s="7">
        <v>9199</v>
      </c>
      <c r="I556" s="19" t="s">
        <v>1</v>
      </c>
      <c r="J556" s="7" t="s">
        <v>2819</v>
      </c>
      <c r="K556" s="51">
        <v>41529</v>
      </c>
      <c r="L556" s="115">
        <v>41519</v>
      </c>
      <c r="M556" s="50">
        <f t="shared" si="33"/>
        <v>10</v>
      </c>
      <c r="N556" s="7" t="s">
        <v>2</v>
      </c>
      <c r="O556" s="74">
        <f>5/2</f>
        <v>2.5</v>
      </c>
      <c r="P556" s="117">
        <v>6.11</v>
      </c>
      <c r="Q556" s="131">
        <v>6.23</v>
      </c>
      <c r="R556" s="50">
        <v>23</v>
      </c>
      <c r="S556" s="74">
        <v>16</v>
      </c>
      <c r="T556" s="50">
        <f>0.1/2</f>
        <v>0.05</v>
      </c>
      <c r="U556" s="74">
        <v>1.1000000000000001</v>
      </c>
      <c r="V556" s="50">
        <v>0.57999999999999996</v>
      </c>
      <c r="W556" s="74">
        <f>0.04/2</f>
        <v>0.02</v>
      </c>
      <c r="X556" s="50">
        <v>3.6999999999999998E-2</v>
      </c>
      <c r="Y556" s="74">
        <v>2.1999999999999999E-2</v>
      </c>
      <c r="Z556" s="164">
        <v>1</v>
      </c>
      <c r="AA556" s="165">
        <v>1</v>
      </c>
      <c r="AB556" s="50">
        <v>4.8</v>
      </c>
      <c r="AC556" s="74">
        <v>57</v>
      </c>
      <c r="AD556" s="164">
        <v>1</v>
      </c>
      <c r="AE556" s="50">
        <v>8.5</v>
      </c>
      <c r="AF556" s="50">
        <f>0.05/2</f>
        <v>2.5000000000000001E-2</v>
      </c>
      <c r="AG556" s="74"/>
      <c r="AH556" s="336">
        <v>11000</v>
      </c>
      <c r="AI556" s="113"/>
      <c r="AJ556" s="50"/>
      <c r="AK556" s="74"/>
      <c r="AL556" s="50"/>
      <c r="AM556" s="74"/>
      <c r="AN556" s="50"/>
      <c r="AO556" s="74"/>
      <c r="AP556" s="50"/>
      <c r="AQ556" s="74"/>
      <c r="AR556" s="50"/>
      <c r="AS556" s="74"/>
      <c r="AT556" s="50"/>
    </row>
    <row r="557" spans="1:46" ht="14">
      <c r="A557" s="293" t="s">
        <v>36</v>
      </c>
      <c r="B557" s="7" t="s">
        <v>2780</v>
      </c>
      <c r="C557" s="7" t="s">
        <v>392</v>
      </c>
      <c r="D557" s="14" t="s">
        <v>2781</v>
      </c>
      <c r="E557" s="7" t="s">
        <v>6000</v>
      </c>
      <c r="F557" s="7" t="s">
        <v>5994</v>
      </c>
      <c r="G557" s="15" t="s">
        <v>2787</v>
      </c>
      <c r="H557" s="7">
        <v>9199</v>
      </c>
      <c r="I557" s="19" t="s">
        <v>2</v>
      </c>
      <c r="J557" s="7" t="s">
        <v>4165</v>
      </c>
      <c r="K557" s="51">
        <v>41539</v>
      </c>
      <c r="L557" s="115">
        <v>41529</v>
      </c>
      <c r="M557" s="50">
        <f t="shared" si="33"/>
        <v>10</v>
      </c>
      <c r="N557" s="7" t="s">
        <v>2</v>
      </c>
      <c r="O557" s="74">
        <f>1.4/2</f>
        <v>0.7</v>
      </c>
      <c r="P557" s="117">
        <v>5.6</v>
      </c>
      <c r="Q557" s="131">
        <v>7.1</v>
      </c>
      <c r="R557" s="50">
        <v>28</v>
      </c>
      <c r="S557" s="74">
        <v>12</v>
      </c>
      <c r="T557" s="50">
        <v>0.18</v>
      </c>
      <c r="U557" s="74">
        <v>0.99</v>
      </c>
      <c r="V557" s="50">
        <f>0.01/2</f>
        <v>5.0000000000000001E-3</v>
      </c>
      <c r="W557" s="74">
        <f>0.005/2</f>
        <v>2.5000000000000001E-3</v>
      </c>
      <c r="X557" s="50">
        <v>3.0000000000000001E-3</v>
      </c>
      <c r="Y557" s="74">
        <f>0.002/2</f>
        <v>1E-3</v>
      </c>
      <c r="AG557" s="74"/>
      <c r="AH557" s="74"/>
      <c r="AI557" s="113"/>
      <c r="AJ557" s="50"/>
      <c r="AK557" s="74"/>
      <c r="AL557" s="50"/>
      <c r="AM557" s="74"/>
      <c r="AN557" s="50"/>
      <c r="AO557" s="74"/>
      <c r="AP557" s="50"/>
      <c r="AQ557" s="74"/>
      <c r="AR557" s="50"/>
      <c r="AS557" s="74"/>
      <c r="AT557" s="50"/>
    </row>
    <row r="558" spans="1:46" ht="14">
      <c r="A558" s="53" t="s">
        <v>36</v>
      </c>
      <c r="B558" s="7" t="s">
        <v>2780</v>
      </c>
      <c r="C558" s="7" t="s">
        <v>6001</v>
      </c>
      <c r="D558" s="14" t="s">
        <v>2781</v>
      </c>
      <c r="E558" s="7" t="s">
        <v>6002</v>
      </c>
      <c r="F558" s="7" t="s">
        <v>6003</v>
      </c>
      <c r="G558" s="15" t="s">
        <v>2784</v>
      </c>
      <c r="H558" s="7">
        <v>9199</v>
      </c>
      <c r="I558" s="19" t="s">
        <v>2</v>
      </c>
      <c r="J558" s="7" t="s">
        <v>2694</v>
      </c>
      <c r="K558" s="51">
        <v>41539</v>
      </c>
      <c r="L558" s="115">
        <v>41529</v>
      </c>
      <c r="M558" s="50">
        <f t="shared" si="33"/>
        <v>10</v>
      </c>
      <c r="N558" s="7" t="s">
        <v>2</v>
      </c>
      <c r="O558" s="74">
        <f>1.4/2</f>
        <v>0.7</v>
      </c>
      <c r="P558" s="117">
        <v>5.6</v>
      </c>
      <c r="Q558" s="131">
        <v>7.6</v>
      </c>
      <c r="R558" s="50">
        <f>10/2</f>
        <v>5</v>
      </c>
      <c r="S558" s="74">
        <v>29</v>
      </c>
      <c r="T558" s="50">
        <v>0.1</v>
      </c>
      <c r="U558" s="74">
        <v>0.41</v>
      </c>
      <c r="V558" s="50">
        <v>0.04</v>
      </c>
      <c r="W558" s="74">
        <f>0.005/2</f>
        <v>2.5000000000000001E-3</v>
      </c>
      <c r="X558" s="50">
        <v>1.4999999999999999E-2</v>
      </c>
      <c r="Y558" s="74">
        <f>0.002/2</f>
        <v>1E-3</v>
      </c>
      <c r="AE558" s="50">
        <v>24.5</v>
      </c>
      <c r="AF558" s="50">
        <f>0.01/2</f>
        <v>5.0000000000000001E-3</v>
      </c>
      <c r="AG558" s="74"/>
      <c r="AH558" s="74"/>
      <c r="AI558" s="113"/>
      <c r="AJ558" s="50"/>
      <c r="AK558" s="74"/>
      <c r="AL558" s="50"/>
      <c r="AM558" s="74"/>
      <c r="AN558" s="50"/>
      <c r="AO558" s="74"/>
      <c r="AP558" s="50"/>
      <c r="AQ558" s="74"/>
      <c r="AR558" s="50"/>
      <c r="AS558" s="74"/>
      <c r="AT558" s="50"/>
    </row>
    <row r="559" spans="1:46" ht="14">
      <c r="A559" s="41" t="s">
        <v>36</v>
      </c>
      <c r="B559" s="7" t="s">
        <v>2847</v>
      </c>
      <c r="C559" s="7" t="s">
        <v>392</v>
      </c>
      <c r="D559" s="14" t="s">
        <v>2848</v>
      </c>
      <c r="E559" s="7" t="s">
        <v>6004</v>
      </c>
      <c r="F559" s="7"/>
      <c r="G559" s="15" t="s">
        <v>2850</v>
      </c>
      <c r="H559" s="7">
        <v>9199</v>
      </c>
      <c r="I559" s="19" t="s">
        <v>2</v>
      </c>
      <c r="J559" s="7" t="s">
        <v>2694</v>
      </c>
      <c r="K559" s="51">
        <v>41539</v>
      </c>
      <c r="L559" s="115">
        <v>41529</v>
      </c>
      <c r="M559" s="50">
        <f t="shared" si="33"/>
        <v>10</v>
      </c>
      <c r="N559" s="7" t="s">
        <v>2</v>
      </c>
      <c r="O559" s="74">
        <v>0.7</v>
      </c>
      <c r="P559" s="117">
        <v>5.6</v>
      </c>
      <c r="Q559" s="131">
        <v>7.8</v>
      </c>
      <c r="R559" s="50">
        <v>34</v>
      </c>
      <c r="S559" s="74">
        <v>130</v>
      </c>
      <c r="T559" s="50">
        <v>0.36</v>
      </c>
      <c r="U559" s="74">
        <v>1.71</v>
      </c>
      <c r="V559" s="50">
        <v>0.62</v>
      </c>
      <c r="W559" s="74">
        <v>1.2999999999999999E-2</v>
      </c>
      <c r="X559" s="50">
        <v>4.8000000000000001E-2</v>
      </c>
      <c r="Y559" s="74">
        <v>5.0000000000000001E-3</v>
      </c>
      <c r="AG559" s="74"/>
      <c r="AH559" s="74"/>
      <c r="AI559" s="113"/>
      <c r="AJ559" s="50"/>
      <c r="AK559" s="74"/>
      <c r="AL559" s="50"/>
      <c r="AM559" s="74"/>
      <c r="AN559" s="50"/>
      <c r="AO559" s="74"/>
      <c r="AP559" s="50"/>
      <c r="AQ559" s="74"/>
      <c r="AR559" s="50"/>
      <c r="AS559" s="74"/>
      <c r="AT559" s="50"/>
    </row>
    <row r="560" spans="1:46" ht="14">
      <c r="A560" s="53" t="s">
        <v>36</v>
      </c>
      <c r="B560" s="7" t="s">
        <v>2847</v>
      </c>
      <c r="C560" s="7" t="s">
        <v>6005</v>
      </c>
      <c r="D560" s="14" t="s">
        <v>2848</v>
      </c>
      <c r="E560" s="7" t="s">
        <v>2851</v>
      </c>
      <c r="F560" s="7"/>
      <c r="G560" s="15" t="s">
        <v>2852</v>
      </c>
      <c r="H560" s="7">
        <v>9199</v>
      </c>
      <c r="I560" s="19" t="s">
        <v>2</v>
      </c>
      <c r="J560" s="7" t="s">
        <v>2694</v>
      </c>
      <c r="K560" s="51">
        <v>41539</v>
      </c>
      <c r="L560" s="115">
        <v>41529</v>
      </c>
      <c r="M560" s="50">
        <f t="shared" si="33"/>
        <v>10</v>
      </c>
      <c r="N560" s="7" t="s">
        <v>2</v>
      </c>
      <c r="O560" s="74">
        <v>1.6</v>
      </c>
      <c r="P560" s="117">
        <v>5.6</v>
      </c>
      <c r="Q560" s="131">
        <v>7.1</v>
      </c>
      <c r="R560" s="50">
        <v>95</v>
      </c>
      <c r="S560" s="74">
        <v>120</v>
      </c>
      <c r="T560" s="50">
        <v>0.63</v>
      </c>
      <c r="U560" s="74">
        <v>3.8</v>
      </c>
      <c r="V560" s="50">
        <v>0.13</v>
      </c>
      <c r="W560" s="74">
        <v>2.3E-2</v>
      </c>
      <c r="X560" s="50">
        <v>8.1000000000000003E-2</v>
      </c>
      <c r="Y560" s="74">
        <v>5.0000000000000001E-3</v>
      </c>
      <c r="AE560" s="50">
        <v>27.9</v>
      </c>
      <c r="AF560" s="50">
        <f>0.01/2</f>
        <v>5.0000000000000001E-3</v>
      </c>
      <c r="AG560" s="74"/>
      <c r="AH560" s="74"/>
      <c r="AI560" s="113"/>
      <c r="AJ560" s="50"/>
      <c r="AK560" s="74"/>
      <c r="AL560" s="50"/>
      <c r="AM560" s="74"/>
      <c r="AN560" s="50"/>
      <c r="AO560" s="74"/>
      <c r="AP560" s="50"/>
      <c r="AQ560" s="74"/>
      <c r="AR560" s="50"/>
      <c r="AS560" s="74"/>
      <c r="AT560" s="50"/>
    </row>
    <row r="561" spans="1:46" ht="14">
      <c r="A561" s="53" t="s">
        <v>36</v>
      </c>
      <c r="B561" s="7" t="s">
        <v>3499</v>
      </c>
      <c r="C561" s="7" t="s">
        <v>2660</v>
      </c>
      <c r="D561" s="14" t="s">
        <v>640</v>
      </c>
      <c r="E561" s="7" t="s">
        <v>3500</v>
      </c>
      <c r="F561" s="7"/>
      <c r="G561" s="15" t="s">
        <v>646</v>
      </c>
      <c r="H561" s="7">
        <v>9199</v>
      </c>
      <c r="I561" s="19" t="s">
        <v>2</v>
      </c>
      <c r="J561" s="7" t="s">
        <v>647</v>
      </c>
      <c r="K561" s="51">
        <v>41539</v>
      </c>
      <c r="L561" s="115">
        <v>41530</v>
      </c>
      <c r="M561" s="50">
        <f t="shared" si="33"/>
        <v>9</v>
      </c>
      <c r="N561" s="7" t="s">
        <v>2</v>
      </c>
      <c r="O561" s="74">
        <f>1/2</f>
        <v>0.5</v>
      </c>
      <c r="P561" s="117">
        <v>6</v>
      </c>
      <c r="Q561" s="131">
        <v>7.31</v>
      </c>
      <c r="R561" s="50">
        <v>18.7</v>
      </c>
      <c r="S561" s="74">
        <v>19</v>
      </c>
      <c r="T561" s="50">
        <v>0.08</v>
      </c>
      <c r="U561" s="74">
        <v>1.08</v>
      </c>
      <c r="V561" s="50">
        <v>0.46</v>
      </c>
      <c r="W561" s="74">
        <v>0.01</v>
      </c>
      <c r="X561" s="50">
        <v>0.02</v>
      </c>
      <c r="Y561" s="74">
        <v>2E-3</v>
      </c>
      <c r="AB561" s="50">
        <v>5.56</v>
      </c>
      <c r="AE561" s="50">
        <v>30.18</v>
      </c>
      <c r="AF561" s="50">
        <f>0.01/2</f>
        <v>5.0000000000000001E-3</v>
      </c>
      <c r="AG561" s="74"/>
      <c r="AH561" s="74"/>
      <c r="AI561" s="113"/>
      <c r="AJ561" s="50"/>
      <c r="AK561" s="74"/>
      <c r="AL561" s="50"/>
      <c r="AM561" s="74"/>
      <c r="AN561" s="50"/>
      <c r="AO561" s="74"/>
      <c r="AP561" s="50"/>
      <c r="AQ561" s="74"/>
      <c r="AR561" s="50"/>
      <c r="AS561" s="74"/>
      <c r="AT561" s="50"/>
    </row>
    <row r="562" spans="1:46" ht="14">
      <c r="A562" s="53" t="s">
        <v>36</v>
      </c>
      <c r="B562" s="7" t="s">
        <v>6006</v>
      </c>
      <c r="C562" s="7" t="s">
        <v>6007</v>
      </c>
      <c r="D562" s="14" t="s">
        <v>368</v>
      </c>
      <c r="E562" s="7" t="s">
        <v>6008</v>
      </c>
      <c r="F562" s="7"/>
      <c r="G562" s="15" t="s">
        <v>6009</v>
      </c>
      <c r="H562" s="7">
        <v>9199</v>
      </c>
      <c r="I562" s="19" t="s">
        <v>2</v>
      </c>
      <c r="J562" s="7" t="s">
        <v>81</v>
      </c>
      <c r="K562" s="51">
        <v>41795</v>
      </c>
      <c r="L562" s="115">
        <v>41792</v>
      </c>
      <c r="M562" s="50">
        <f t="shared" si="33"/>
        <v>3</v>
      </c>
      <c r="N562" s="7" t="s">
        <v>2</v>
      </c>
      <c r="O562" s="74">
        <v>9</v>
      </c>
      <c r="P562" s="117">
        <v>6.25</v>
      </c>
      <c r="Q562" s="131">
        <v>7.04</v>
      </c>
      <c r="R562" s="50">
        <v>32.299999999999997</v>
      </c>
      <c r="S562" s="74">
        <f>5/2</f>
        <v>2.5</v>
      </c>
      <c r="T562" s="50">
        <v>1.1000000000000001</v>
      </c>
      <c r="U562" s="74">
        <v>0.96</v>
      </c>
      <c r="V562" s="50">
        <v>0.69</v>
      </c>
      <c r="W562" s="74">
        <v>0.21</v>
      </c>
      <c r="X562" s="50">
        <f>0.01/2</f>
        <v>5.0000000000000001E-3</v>
      </c>
      <c r="Y562" s="74">
        <f>0.004/2</f>
        <v>2E-3</v>
      </c>
      <c r="AE562" s="50">
        <v>67.5</v>
      </c>
      <c r="AF562" s="50">
        <v>0.01</v>
      </c>
      <c r="AG562" s="74"/>
      <c r="AH562" s="74"/>
      <c r="AI562" s="113"/>
      <c r="AJ562" s="50"/>
      <c r="AK562" s="74"/>
      <c r="AL562" s="50"/>
      <c r="AM562" s="74"/>
      <c r="AN562" s="50"/>
      <c r="AO562" s="74"/>
      <c r="AP562" s="50"/>
      <c r="AQ562" s="74"/>
      <c r="AR562" s="50"/>
      <c r="AS562" s="74"/>
      <c r="AT562" s="50"/>
    </row>
    <row r="563" spans="1:46" ht="14">
      <c r="A563" s="53" t="s">
        <v>36</v>
      </c>
      <c r="B563" s="7" t="s">
        <v>6006</v>
      </c>
      <c r="C563" s="7" t="s">
        <v>6007</v>
      </c>
      <c r="D563" s="14" t="s">
        <v>368</v>
      </c>
      <c r="E563" s="7" t="s">
        <v>6010</v>
      </c>
      <c r="F563" s="7"/>
      <c r="G563" s="15" t="s">
        <v>6009</v>
      </c>
      <c r="H563" s="7">
        <v>9199</v>
      </c>
      <c r="I563" s="19" t="s">
        <v>2</v>
      </c>
      <c r="J563" s="7" t="s">
        <v>114</v>
      </c>
      <c r="K563" s="51">
        <v>41795</v>
      </c>
      <c r="L563" s="115">
        <v>41792</v>
      </c>
      <c r="M563" s="50">
        <f t="shared" si="33"/>
        <v>3</v>
      </c>
      <c r="N563" s="7" t="s">
        <v>2</v>
      </c>
      <c r="O563" s="74">
        <v>9.5</v>
      </c>
      <c r="P563" s="117">
        <v>6.25</v>
      </c>
      <c r="Q563" s="131">
        <v>6.73</v>
      </c>
      <c r="R563" s="50">
        <v>22.9</v>
      </c>
      <c r="S563" s="74">
        <v>21.5</v>
      </c>
      <c r="T563" s="50">
        <v>0.14000000000000001</v>
      </c>
      <c r="U563" s="74">
        <v>2.57</v>
      </c>
      <c r="V563" s="50">
        <v>1.74</v>
      </c>
      <c r="W563" s="74">
        <v>0.06</v>
      </c>
      <c r="X563" s="50">
        <v>0.03</v>
      </c>
      <c r="Y563" s="74">
        <f>0.004/2</f>
        <v>2E-3</v>
      </c>
      <c r="AE563" s="50">
        <v>62</v>
      </c>
      <c r="AF563" s="50">
        <f>0.01/2</f>
        <v>5.0000000000000001E-3</v>
      </c>
      <c r="AG563" s="74"/>
      <c r="AH563" s="74"/>
      <c r="AI563" s="113"/>
      <c r="AJ563" s="50"/>
      <c r="AK563" s="74"/>
      <c r="AL563" s="50"/>
      <c r="AM563" s="74"/>
      <c r="AN563" s="50"/>
      <c r="AO563" s="74"/>
      <c r="AP563" s="50"/>
      <c r="AQ563" s="74"/>
      <c r="AR563" s="50"/>
      <c r="AS563" s="74"/>
      <c r="AT563" s="50"/>
    </row>
    <row r="564" spans="1:46" ht="14">
      <c r="A564" s="53" t="s">
        <v>36</v>
      </c>
      <c r="B564" s="7" t="s">
        <v>2877</v>
      </c>
      <c r="C564" s="7" t="s">
        <v>2878</v>
      </c>
      <c r="D564" s="14" t="s">
        <v>1175</v>
      </c>
      <c r="E564" s="7" t="s">
        <v>4154</v>
      </c>
      <c r="F564" s="7" t="s">
        <v>2880</v>
      </c>
      <c r="G564" s="15" t="s">
        <v>2881</v>
      </c>
      <c r="H564" s="7">
        <v>9199</v>
      </c>
      <c r="I564" s="19" t="s">
        <v>1</v>
      </c>
      <c r="J564" s="7" t="s">
        <v>856</v>
      </c>
      <c r="K564" s="51">
        <v>41795</v>
      </c>
      <c r="L564" s="115">
        <v>41792</v>
      </c>
      <c r="M564" s="50">
        <f t="shared" si="33"/>
        <v>3</v>
      </c>
      <c r="N564" s="7" t="s">
        <v>2</v>
      </c>
      <c r="P564" s="117"/>
      <c r="Q564" s="131"/>
      <c r="R564" s="50">
        <v>63</v>
      </c>
      <c r="S564" s="74">
        <v>96</v>
      </c>
      <c r="T564" s="50">
        <v>0.77</v>
      </c>
      <c r="U564" s="74">
        <v>3.57</v>
      </c>
      <c r="AG564" s="74"/>
      <c r="AH564" s="74"/>
      <c r="AI564" s="113"/>
      <c r="AJ564" s="50"/>
      <c r="AK564" s="74"/>
      <c r="AL564" s="50"/>
      <c r="AM564" s="74"/>
      <c r="AN564" s="50"/>
      <c r="AO564" s="74"/>
      <c r="AP564" s="50"/>
      <c r="AQ564" s="74"/>
      <c r="AR564" s="50"/>
      <c r="AS564" s="74"/>
      <c r="AT564" s="50"/>
    </row>
    <row r="565" spans="1:46" ht="14">
      <c r="A565" s="53" t="s">
        <v>36</v>
      </c>
      <c r="B565" s="7" t="s">
        <v>2877</v>
      </c>
      <c r="C565" s="7" t="s">
        <v>2882</v>
      </c>
      <c r="D565" s="14" t="s">
        <v>1175</v>
      </c>
      <c r="E565" s="7" t="s">
        <v>2883</v>
      </c>
      <c r="F565" s="7" t="s">
        <v>6011</v>
      </c>
      <c r="G565" s="15" t="s">
        <v>2885</v>
      </c>
      <c r="H565" s="7">
        <v>9199</v>
      </c>
      <c r="I565" s="19" t="s">
        <v>2</v>
      </c>
      <c r="J565" s="7" t="s">
        <v>856</v>
      </c>
      <c r="K565" s="51">
        <v>41795</v>
      </c>
      <c r="L565" s="115">
        <v>41792</v>
      </c>
      <c r="M565" s="50">
        <f t="shared" si="33"/>
        <v>3</v>
      </c>
      <c r="N565" s="7" t="s">
        <v>2</v>
      </c>
      <c r="P565" s="117"/>
      <c r="Q565" s="131"/>
      <c r="S565" s="74">
        <v>10</v>
      </c>
      <c r="AG565" s="74"/>
      <c r="AH565" s="74"/>
      <c r="AI565" s="113"/>
      <c r="AJ565" s="50"/>
      <c r="AK565" s="74"/>
      <c r="AL565" s="50"/>
      <c r="AM565" s="74"/>
      <c r="AN565" s="50"/>
      <c r="AO565" s="74"/>
      <c r="AP565" s="50"/>
      <c r="AQ565" s="74"/>
      <c r="AR565" s="50"/>
      <c r="AS565" s="74"/>
      <c r="AT565" s="50"/>
    </row>
    <row r="566" spans="1:46" ht="14">
      <c r="A566" s="53" t="s">
        <v>36</v>
      </c>
      <c r="B566" s="7" t="s">
        <v>3314</v>
      </c>
      <c r="C566" s="7" t="s">
        <v>4929</v>
      </c>
      <c r="D566" s="14" t="s">
        <v>78</v>
      </c>
      <c r="E566" s="7" t="s">
        <v>3312</v>
      </c>
      <c r="F566" s="7"/>
      <c r="G566" s="15" t="s">
        <v>4930</v>
      </c>
      <c r="H566" s="7">
        <v>4953</v>
      </c>
      <c r="I566" s="19" t="s">
        <v>1</v>
      </c>
      <c r="J566" s="7" t="s">
        <v>510</v>
      </c>
      <c r="K566" s="51">
        <v>41795</v>
      </c>
      <c r="L566" s="115">
        <v>41787</v>
      </c>
      <c r="M566" s="50">
        <f t="shared" si="33"/>
        <v>8</v>
      </c>
      <c r="N566" s="7" t="s">
        <v>2</v>
      </c>
      <c r="O566" s="74">
        <f>5/2</f>
        <v>2.5</v>
      </c>
      <c r="P566" s="117">
        <v>4.8600000000000003</v>
      </c>
      <c r="Q566" s="131">
        <v>6.16</v>
      </c>
      <c r="R566" s="50">
        <v>37</v>
      </c>
      <c r="S566" s="74">
        <v>17</v>
      </c>
      <c r="T566" s="50">
        <v>0.15</v>
      </c>
      <c r="U566" s="74">
        <v>1</v>
      </c>
      <c r="V566" s="50">
        <v>0.49</v>
      </c>
      <c r="W566" s="74">
        <f>0.04/2</f>
        <v>0.02</v>
      </c>
      <c r="X566" s="50">
        <v>5.6000000000000001E-2</v>
      </c>
      <c r="Y566" s="74">
        <f>0.013/2</f>
        <v>6.4999999999999997E-3</v>
      </c>
      <c r="AG566" s="74"/>
      <c r="AH566" s="74"/>
      <c r="AI566" s="113"/>
      <c r="AJ566" s="50"/>
      <c r="AK566" s="74"/>
      <c r="AL566" s="50"/>
      <c r="AM566" s="74"/>
      <c r="AN566" s="50"/>
      <c r="AO566" s="74"/>
      <c r="AP566" s="50"/>
      <c r="AQ566" s="74"/>
      <c r="AR566" s="50"/>
      <c r="AS566" s="74"/>
      <c r="AT566" s="50"/>
    </row>
    <row r="567" spans="1:46" ht="14">
      <c r="A567" s="53" t="s">
        <v>36</v>
      </c>
      <c r="B567" s="7" t="s">
        <v>3314</v>
      </c>
      <c r="C567" s="7" t="s">
        <v>4929</v>
      </c>
      <c r="D567" s="14" t="s">
        <v>78</v>
      </c>
      <c r="E567" s="7" t="s">
        <v>3312</v>
      </c>
      <c r="F567" s="7"/>
      <c r="G567" s="15" t="s">
        <v>4930</v>
      </c>
      <c r="H567" s="7">
        <v>4953</v>
      </c>
      <c r="I567" s="19" t="s">
        <v>1</v>
      </c>
      <c r="J567" s="7" t="s">
        <v>460</v>
      </c>
      <c r="K567" s="51">
        <v>41795</v>
      </c>
      <c r="L567" s="115">
        <v>41787</v>
      </c>
      <c r="M567" s="50">
        <f t="shared" si="33"/>
        <v>8</v>
      </c>
      <c r="N567" s="7" t="s">
        <v>2</v>
      </c>
      <c r="O567" s="74">
        <f>5/2</f>
        <v>2.5</v>
      </c>
      <c r="P567" s="117">
        <v>4.8600000000000003</v>
      </c>
      <c r="Q567" s="131">
        <v>6.57</v>
      </c>
      <c r="R567" s="50">
        <v>50</v>
      </c>
      <c r="S567" s="74">
        <v>63</v>
      </c>
      <c r="T567" s="50">
        <v>0.18</v>
      </c>
      <c r="U567" s="74">
        <v>1.1000000000000001</v>
      </c>
      <c r="V567" s="50">
        <v>0.75</v>
      </c>
      <c r="W567" s="74">
        <f>0.04/2</f>
        <v>0.02</v>
      </c>
      <c r="X567" s="50">
        <v>0.06</v>
      </c>
      <c r="Y567" s="74">
        <f>0.013/2</f>
        <v>6.4999999999999997E-3</v>
      </c>
      <c r="AG567" s="74"/>
      <c r="AH567" s="74"/>
      <c r="AI567" s="113"/>
      <c r="AJ567" s="50"/>
      <c r="AK567" s="74"/>
      <c r="AL567" s="50"/>
      <c r="AM567" s="74"/>
      <c r="AN567" s="50"/>
      <c r="AO567" s="74"/>
      <c r="AP567" s="50"/>
      <c r="AQ567" s="74"/>
      <c r="AR567" s="50"/>
      <c r="AS567" s="74"/>
      <c r="AT567" s="50"/>
    </row>
    <row r="568" spans="1:46" ht="14">
      <c r="A568" s="53" t="s">
        <v>36</v>
      </c>
      <c r="B568" s="7" t="s">
        <v>4155</v>
      </c>
      <c r="C568" s="7" t="s">
        <v>4156</v>
      </c>
      <c r="D568" s="14" t="s">
        <v>4157</v>
      </c>
      <c r="E568" s="7"/>
      <c r="F568" s="7"/>
      <c r="G568" s="15" t="s">
        <v>4158</v>
      </c>
      <c r="H568" s="7">
        <v>9199</v>
      </c>
      <c r="I568" s="19" t="s">
        <v>2</v>
      </c>
      <c r="J568" s="7" t="s">
        <v>4686</v>
      </c>
      <c r="K568" s="51">
        <v>41744</v>
      </c>
      <c r="L568" s="115">
        <v>41740</v>
      </c>
      <c r="M568" s="50">
        <f t="shared" si="33"/>
        <v>4</v>
      </c>
      <c r="N568" s="7" t="s">
        <v>2</v>
      </c>
      <c r="O568" s="74">
        <f>1/2</f>
        <v>0.5</v>
      </c>
      <c r="P568" s="117">
        <v>7.3</v>
      </c>
      <c r="Q568" s="131">
        <v>7.1</v>
      </c>
      <c r="R568" s="50">
        <v>10</v>
      </c>
      <c r="S568" s="74">
        <v>1.6</v>
      </c>
      <c r="T568" s="50">
        <f>0.01/2</f>
        <v>5.0000000000000001E-3</v>
      </c>
      <c r="U568" s="74">
        <v>0.88</v>
      </c>
      <c r="V568" s="50">
        <v>0.6</v>
      </c>
      <c r="W568" s="74">
        <v>1.2999999999999999E-2</v>
      </c>
      <c r="X568" s="50">
        <v>2.7E-2</v>
      </c>
      <c r="Y568" s="74">
        <v>7.0000000000000001E-3</v>
      </c>
      <c r="AE568" s="50">
        <v>21.8</v>
      </c>
      <c r="AF568" s="50">
        <f>0.05/2</f>
        <v>2.5000000000000001E-2</v>
      </c>
      <c r="AG568" s="74"/>
      <c r="AH568" s="74"/>
      <c r="AI568" s="113"/>
      <c r="AJ568" s="50"/>
      <c r="AK568" s="74"/>
      <c r="AL568" s="50"/>
      <c r="AM568" s="74"/>
      <c r="AN568" s="50"/>
      <c r="AO568" s="74"/>
      <c r="AP568" s="50"/>
      <c r="AQ568" s="74"/>
      <c r="AR568" s="50"/>
      <c r="AS568" s="74"/>
      <c r="AT568" s="50"/>
    </row>
    <row r="569" spans="1:46" ht="14">
      <c r="A569" s="53" t="s">
        <v>36</v>
      </c>
      <c r="B569" s="7" t="s">
        <v>4155</v>
      </c>
      <c r="C569" s="7" t="s">
        <v>4156</v>
      </c>
      <c r="D569" s="14" t="s">
        <v>4157</v>
      </c>
      <c r="E569" s="7"/>
      <c r="F569" s="7"/>
      <c r="G569" s="15" t="s">
        <v>4158</v>
      </c>
      <c r="H569" s="7">
        <v>9199</v>
      </c>
      <c r="I569" s="19" t="s">
        <v>2</v>
      </c>
      <c r="J569" s="7" t="s">
        <v>4675</v>
      </c>
      <c r="K569" s="51">
        <v>41744</v>
      </c>
      <c r="L569" s="115">
        <v>41740</v>
      </c>
      <c r="M569" s="50">
        <f t="shared" si="33"/>
        <v>4</v>
      </c>
      <c r="N569" s="7" t="s">
        <v>2</v>
      </c>
      <c r="O569" s="74">
        <v>1.1000000000000001</v>
      </c>
      <c r="P569" s="117">
        <v>7.3</v>
      </c>
      <c r="Q569" s="131">
        <v>7.8</v>
      </c>
      <c r="R569" s="50">
        <v>274</v>
      </c>
      <c r="S569" s="74">
        <v>192</v>
      </c>
      <c r="T569" s="50">
        <v>0.42</v>
      </c>
      <c r="U569" s="74">
        <v>3.37</v>
      </c>
      <c r="V569" s="50">
        <v>1.06</v>
      </c>
      <c r="W569" s="74">
        <v>0.18</v>
      </c>
      <c r="X569" s="50">
        <v>0.374</v>
      </c>
      <c r="Y569" s="74">
        <v>9.2999999999999999E-2</v>
      </c>
      <c r="AE569" s="50">
        <v>921.9</v>
      </c>
      <c r="AF569" s="50">
        <v>6.7000000000000004E-2</v>
      </c>
      <c r="AG569" s="74"/>
      <c r="AH569" s="74"/>
      <c r="AI569" s="113"/>
      <c r="AJ569" s="50"/>
      <c r="AK569" s="74"/>
      <c r="AL569" s="50"/>
      <c r="AM569" s="74"/>
      <c r="AN569" s="50"/>
      <c r="AO569" s="74"/>
      <c r="AP569" s="50"/>
      <c r="AQ569" s="74"/>
      <c r="AR569" s="50"/>
      <c r="AS569" s="74"/>
      <c r="AT569" s="50"/>
    </row>
    <row r="570" spans="1:46" ht="14">
      <c r="A570" s="53" t="s">
        <v>36</v>
      </c>
      <c r="B570" s="7" t="s">
        <v>5943</v>
      </c>
      <c r="C570" s="7" t="s">
        <v>395</v>
      </c>
      <c r="D570" s="14" t="s">
        <v>5945</v>
      </c>
      <c r="E570" s="7" t="s">
        <v>6012</v>
      </c>
      <c r="F570" s="7"/>
      <c r="G570" s="15" t="s">
        <v>5947</v>
      </c>
      <c r="H570" s="7"/>
      <c r="I570" s="19"/>
      <c r="J570" s="7" t="s">
        <v>6012</v>
      </c>
      <c r="K570" s="51">
        <v>41728</v>
      </c>
      <c r="L570" s="115"/>
      <c r="N570" s="7" t="s">
        <v>2</v>
      </c>
      <c r="O570" s="74">
        <v>13</v>
      </c>
      <c r="P570" s="117">
        <v>6.2</v>
      </c>
      <c r="Q570" s="131">
        <v>6.9</v>
      </c>
      <c r="R570" s="50">
        <v>170</v>
      </c>
      <c r="S570" s="74">
        <v>510</v>
      </c>
      <c r="T570" s="50">
        <v>0.72</v>
      </c>
      <c r="U570" s="74">
        <v>2.74</v>
      </c>
      <c r="V570" s="50">
        <v>0.05</v>
      </c>
      <c r="W570" s="74">
        <v>7.0000000000000007E-2</v>
      </c>
      <c r="X570" s="50">
        <v>0.32600000000000001</v>
      </c>
      <c r="Y570" s="74">
        <v>1.2E-2</v>
      </c>
      <c r="Z570" s="164">
        <v>0.70699999999999996</v>
      </c>
      <c r="AA570" s="165">
        <v>0.70699999999999996</v>
      </c>
      <c r="AB570" s="50">
        <v>752</v>
      </c>
      <c r="AC570" s="74">
        <v>12100</v>
      </c>
      <c r="AD570" s="164">
        <v>0</v>
      </c>
      <c r="AG570" s="74"/>
      <c r="AH570" s="74"/>
      <c r="AI570" s="113"/>
      <c r="AJ570" s="50"/>
      <c r="AK570" s="74"/>
      <c r="AL570" s="50"/>
      <c r="AM570" s="74"/>
      <c r="AN570" s="50"/>
      <c r="AO570" s="74"/>
      <c r="AP570" s="50"/>
      <c r="AQ570" s="74"/>
      <c r="AR570" s="50"/>
      <c r="AS570" s="74"/>
      <c r="AT570" s="50"/>
    </row>
    <row r="571" spans="1:46" ht="14">
      <c r="A571" s="53" t="s">
        <v>36</v>
      </c>
      <c r="B571" s="7" t="s">
        <v>5943</v>
      </c>
      <c r="C571" s="7" t="s">
        <v>395</v>
      </c>
      <c r="D571" s="14" t="s">
        <v>5945</v>
      </c>
      <c r="E571" s="7" t="s">
        <v>6013</v>
      </c>
      <c r="F571" s="7"/>
      <c r="G571" s="15" t="s">
        <v>5947</v>
      </c>
      <c r="H571" s="7"/>
      <c r="I571" s="19"/>
      <c r="J571" s="7" t="s">
        <v>6014</v>
      </c>
      <c r="K571" s="51">
        <v>41729</v>
      </c>
      <c r="L571" s="115"/>
      <c r="N571" s="7" t="s">
        <v>2</v>
      </c>
      <c r="O571" s="74">
        <f>2.9/2</f>
        <v>1.45</v>
      </c>
      <c r="P571" s="117">
        <v>6.2</v>
      </c>
      <c r="Q571" s="131">
        <v>7.26</v>
      </c>
      <c r="R571" s="50">
        <v>19</v>
      </c>
      <c r="S571" s="74">
        <v>24</v>
      </c>
      <c r="T571" s="50">
        <v>0.13</v>
      </c>
      <c r="U571" s="74">
        <v>0.47</v>
      </c>
      <c r="V571" s="50">
        <v>0.03</v>
      </c>
      <c r="W571" s="74">
        <v>6.0000000000000001E-3</v>
      </c>
      <c r="X571" s="50">
        <v>7.0000000000000001E-3</v>
      </c>
      <c r="Y571" s="74">
        <f>0.002/2</f>
        <v>1E-3</v>
      </c>
      <c r="Z571" s="164">
        <v>1</v>
      </c>
      <c r="AA571" s="165">
        <v>1</v>
      </c>
      <c r="AB571" s="50">
        <v>8</v>
      </c>
      <c r="AC571" s="74">
        <v>997</v>
      </c>
      <c r="AD571" s="164">
        <v>1</v>
      </c>
      <c r="AG571" s="74"/>
      <c r="AH571" s="74"/>
      <c r="AI571" s="113"/>
      <c r="AJ571" s="50"/>
      <c r="AK571" s="74"/>
      <c r="AL571" s="50"/>
      <c r="AM571" s="74"/>
      <c r="AN571" s="50"/>
      <c r="AO571" s="74"/>
      <c r="AP571" s="50"/>
      <c r="AQ571" s="74"/>
      <c r="AR571" s="50"/>
      <c r="AS571" s="74"/>
      <c r="AT571" s="50"/>
    </row>
    <row r="572" spans="1:46" ht="14">
      <c r="A572" s="53" t="s">
        <v>36</v>
      </c>
      <c r="B572" s="7" t="s">
        <v>4004</v>
      </c>
      <c r="C572" s="7" t="s">
        <v>4005</v>
      </c>
      <c r="D572" s="14" t="s">
        <v>205</v>
      </c>
      <c r="E572" s="7" t="s">
        <v>4006</v>
      </c>
      <c r="F572" s="7" t="s">
        <v>6015</v>
      </c>
      <c r="G572" s="15" t="s">
        <v>4008</v>
      </c>
      <c r="H572" s="7">
        <v>9199</v>
      </c>
      <c r="I572" s="19" t="s">
        <v>1</v>
      </c>
      <c r="J572" s="7" t="s">
        <v>840</v>
      </c>
      <c r="K572" s="51">
        <v>41718</v>
      </c>
      <c r="L572" s="115">
        <v>41714</v>
      </c>
      <c r="M572" s="50">
        <f t="shared" si="33"/>
        <v>4</v>
      </c>
      <c r="N572" s="7" t="s">
        <v>1</v>
      </c>
      <c r="O572" s="74">
        <f>1.4/2</f>
        <v>0.7</v>
      </c>
      <c r="P572" s="117">
        <v>6</v>
      </c>
      <c r="Q572" s="131">
        <v>7.7</v>
      </c>
      <c r="R572" s="50">
        <v>12</v>
      </c>
      <c r="S572" s="74">
        <f>5/2</f>
        <v>2.5</v>
      </c>
      <c r="T572" s="50">
        <v>0.06</v>
      </c>
      <c r="U572" s="74">
        <v>0.34</v>
      </c>
      <c r="V572" s="50">
        <v>2.5</v>
      </c>
      <c r="W572" s="74">
        <f>0.005/2</f>
        <v>2.5000000000000001E-3</v>
      </c>
      <c r="X572" s="50">
        <v>2.9000000000000001E-2</v>
      </c>
      <c r="Y572" s="74">
        <f>0.002/2</f>
        <v>1E-3</v>
      </c>
      <c r="AG572" s="74"/>
      <c r="AH572" s="74"/>
      <c r="AI572" s="113"/>
      <c r="AJ572" s="50"/>
      <c r="AK572" s="74"/>
      <c r="AL572" s="50"/>
      <c r="AM572" s="74"/>
      <c r="AN572" s="50"/>
      <c r="AO572" s="74"/>
      <c r="AP572" s="50"/>
      <c r="AQ572" s="74"/>
      <c r="AR572" s="50"/>
      <c r="AS572" s="74"/>
      <c r="AT572" s="50"/>
    </row>
    <row r="573" spans="1:46" ht="14">
      <c r="A573" s="53" t="s">
        <v>36</v>
      </c>
      <c r="B573" s="7" t="s">
        <v>4004</v>
      </c>
      <c r="C573" s="7" t="s">
        <v>4005</v>
      </c>
      <c r="D573" s="14" t="s">
        <v>205</v>
      </c>
      <c r="E573" s="7" t="s">
        <v>4006</v>
      </c>
      <c r="F573" s="7" t="s">
        <v>6015</v>
      </c>
      <c r="G573" s="15" t="s">
        <v>4008</v>
      </c>
      <c r="H573" s="7">
        <v>9199</v>
      </c>
      <c r="I573" s="19" t="s">
        <v>1</v>
      </c>
      <c r="J573" s="7" t="s">
        <v>2826</v>
      </c>
      <c r="K573" s="51">
        <v>41718</v>
      </c>
      <c r="L573" s="115">
        <v>41714</v>
      </c>
      <c r="M573" s="50">
        <f t="shared" si="33"/>
        <v>4</v>
      </c>
      <c r="N573" s="7" t="s">
        <v>1</v>
      </c>
      <c r="O573" s="74">
        <f>1.4/2</f>
        <v>0.7</v>
      </c>
      <c r="P573" s="117">
        <v>6</v>
      </c>
      <c r="Q573" s="131">
        <v>7.69</v>
      </c>
      <c r="R573" s="50">
        <v>47</v>
      </c>
      <c r="S573" s="74">
        <v>55</v>
      </c>
      <c r="T573" s="50">
        <v>0.13</v>
      </c>
      <c r="U573" s="74">
        <v>0.89</v>
      </c>
      <c r="V573" s="50">
        <v>0.18</v>
      </c>
      <c r="W573" s="74">
        <v>1.0999999999999999E-2</v>
      </c>
      <c r="X573" s="50">
        <v>6.3E-2</v>
      </c>
      <c r="Y573" s="74">
        <v>3.0000000000000001E-3</v>
      </c>
      <c r="AG573" s="74"/>
      <c r="AH573" s="74"/>
      <c r="AI573" s="113"/>
      <c r="AJ573" s="50"/>
      <c r="AK573" s="74"/>
      <c r="AL573" s="50"/>
      <c r="AM573" s="74"/>
      <c r="AN573" s="50"/>
      <c r="AO573" s="74"/>
      <c r="AP573" s="50"/>
      <c r="AQ573" s="74"/>
      <c r="AR573" s="50"/>
      <c r="AS573" s="74"/>
      <c r="AT573" s="50"/>
    </row>
    <row r="574" spans="1:46" ht="14">
      <c r="A574" s="53" t="s">
        <v>36</v>
      </c>
      <c r="B574" s="7" t="s">
        <v>4004</v>
      </c>
      <c r="C574" s="7" t="s">
        <v>4005</v>
      </c>
      <c r="D574" s="14" t="s">
        <v>205</v>
      </c>
      <c r="E574" s="7" t="s">
        <v>4006</v>
      </c>
      <c r="F574" s="7" t="s">
        <v>6015</v>
      </c>
      <c r="G574" s="15" t="s">
        <v>4008</v>
      </c>
      <c r="H574" s="7">
        <v>9199</v>
      </c>
      <c r="I574" s="19" t="s">
        <v>1</v>
      </c>
      <c r="J574" s="7" t="s">
        <v>937</v>
      </c>
      <c r="K574" s="51">
        <v>41718</v>
      </c>
      <c r="L574" s="115">
        <v>41714</v>
      </c>
      <c r="M574" s="50">
        <f t="shared" si="33"/>
        <v>4</v>
      </c>
      <c r="N574" s="7" t="s">
        <v>1</v>
      </c>
      <c r="O574" s="74">
        <f>1.4/2</f>
        <v>0.7</v>
      </c>
      <c r="P574" s="117">
        <v>6</v>
      </c>
      <c r="Q574" s="131">
        <v>7.74</v>
      </c>
      <c r="R574" s="50">
        <v>170</v>
      </c>
      <c r="S574" s="74">
        <v>17</v>
      </c>
      <c r="T574" s="50">
        <v>0.19</v>
      </c>
      <c r="U574" s="74">
        <v>1.44</v>
      </c>
      <c r="V574" s="50">
        <v>0.38</v>
      </c>
      <c r="W574" s="74">
        <v>1.7000000000000001E-2</v>
      </c>
      <c r="X574" s="50">
        <v>0.02</v>
      </c>
      <c r="Y574" s="74">
        <f>0.002/2</f>
        <v>1E-3</v>
      </c>
      <c r="AE574" s="50">
        <v>4120</v>
      </c>
      <c r="AF574" s="50">
        <v>0.04</v>
      </c>
      <c r="AG574" s="74"/>
      <c r="AH574" s="74"/>
      <c r="AI574" s="113"/>
      <c r="AJ574" s="50"/>
      <c r="AK574" s="74"/>
      <c r="AL574" s="50"/>
      <c r="AM574" s="74"/>
      <c r="AN574" s="50"/>
      <c r="AO574" s="74"/>
      <c r="AP574" s="50"/>
      <c r="AQ574" s="74"/>
      <c r="AR574" s="50"/>
      <c r="AS574" s="74"/>
      <c r="AT574" s="50"/>
    </row>
    <row r="575" spans="1:46" ht="14">
      <c r="A575" s="53" t="s">
        <v>36</v>
      </c>
      <c r="B575" s="7" t="s">
        <v>6006</v>
      </c>
      <c r="C575" s="7" t="s">
        <v>393</v>
      </c>
      <c r="D575" s="14" t="s">
        <v>368</v>
      </c>
      <c r="E575" s="7" t="s">
        <v>6010</v>
      </c>
      <c r="F575" s="7"/>
      <c r="G575" s="15" t="s">
        <v>6009</v>
      </c>
      <c r="H575" s="7">
        <v>9199</v>
      </c>
      <c r="I575" s="19" t="s">
        <v>2</v>
      </c>
      <c r="J575" s="7" t="s">
        <v>114</v>
      </c>
      <c r="K575" s="51">
        <v>41744</v>
      </c>
      <c r="L575" s="115"/>
      <c r="N575" s="7" t="s">
        <v>2</v>
      </c>
      <c r="O575" s="74">
        <v>16.5</v>
      </c>
      <c r="P575" s="117">
        <v>6</v>
      </c>
      <c r="Q575" s="131">
        <v>7.2</v>
      </c>
      <c r="R575" s="50">
        <v>15.4</v>
      </c>
      <c r="S575" s="74">
        <v>18</v>
      </c>
      <c r="T575" s="50">
        <v>0.26</v>
      </c>
      <c r="U575" s="74">
        <v>0.72</v>
      </c>
      <c r="V575" s="50">
        <v>0.68</v>
      </c>
      <c r="W575" s="74">
        <v>0.08</v>
      </c>
      <c r="X575" s="50">
        <v>0.12</v>
      </c>
      <c r="Y575" s="74">
        <v>5.0000000000000001E-3</v>
      </c>
      <c r="Z575" s="164">
        <v>1</v>
      </c>
      <c r="AA575" s="165">
        <v>1</v>
      </c>
      <c r="AB575" s="50">
        <v>28</v>
      </c>
      <c r="AC575" s="74">
        <v>784</v>
      </c>
      <c r="AD575" s="164">
        <v>0.9</v>
      </c>
      <c r="AE575" s="50">
        <v>125</v>
      </c>
      <c r="AF575" s="50">
        <v>0.01</v>
      </c>
      <c r="AG575" s="74"/>
      <c r="AH575" s="74"/>
      <c r="AI575" s="113"/>
      <c r="AJ575" s="50"/>
      <c r="AK575" s="74"/>
      <c r="AL575" s="50"/>
      <c r="AM575" s="74"/>
      <c r="AN575" s="50"/>
      <c r="AO575" s="74"/>
      <c r="AP575" s="50"/>
      <c r="AQ575" s="74"/>
      <c r="AR575" s="50"/>
      <c r="AS575" s="74"/>
      <c r="AT575" s="50"/>
    </row>
    <row r="576" spans="1:46" ht="14">
      <c r="A576" s="53" t="s">
        <v>36</v>
      </c>
      <c r="B576" s="7" t="s">
        <v>6006</v>
      </c>
      <c r="C576" s="7" t="s">
        <v>393</v>
      </c>
      <c r="D576" s="14" t="s">
        <v>368</v>
      </c>
      <c r="E576" s="7" t="s">
        <v>6008</v>
      </c>
      <c r="F576" s="7"/>
      <c r="G576" s="15" t="s">
        <v>6009</v>
      </c>
      <c r="H576" s="7">
        <v>9199</v>
      </c>
      <c r="I576" s="19" t="s">
        <v>2</v>
      </c>
      <c r="J576" s="7" t="s">
        <v>81</v>
      </c>
      <c r="K576" s="51">
        <v>41744</v>
      </c>
      <c r="L576" s="115">
        <v>41741</v>
      </c>
      <c r="M576" s="50">
        <f t="shared" si="33"/>
        <v>3</v>
      </c>
      <c r="N576" s="7" t="s">
        <v>2</v>
      </c>
      <c r="O576" s="74">
        <v>13.5</v>
      </c>
      <c r="P576" s="117">
        <v>6</v>
      </c>
      <c r="Q576" s="131">
        <v>7.39</v>
      </c>
      <c r="R576" s="50">
        <v>22.5</v>
      </c>
      <c r="S576" s="74">
        <v>27</v>
      </c>
      <c r="T576" s="50">
        <v>0.161</v>
      </c>
      <c r="U576" s="74">
        <v>0.84</v>
      </c>
      <c r="V576" s="50">
        <v>0.63</v>
      </c>
      <c r="W576" s="74">
        <f>0.01/2</f>
        <v>5.0000000000000001E-3</v>
      </c>
      <c r="X576" s="50">
        <v>0.05</v>
      </c>
      <c r="Y576" s="74">
        <f>0.04/2</f>
        <v>0.02</v>
      </c>
      <c r="Z576" s="164">
        <v>1</v>
      </c>
      <c r="AA576" s="165">
        <v>1</v>
      </c>
      <c r="AB576" s="50">
        <f>2/2</f>
        <v>1</v>
      </c>
      <c r="AC576" s="74">
        <v>1380</v>
      </c>
      <c r="AD576" s="164">
        <v>1</v>
      </c>
      <c r="AE576" s="50">
        <v>261</v>
      </c>
      <c r="AF576" s="50">
        <v>0.03</v>
      </c>
      <c r="AG576" s="74"/>
      <c r="AH576" s="74"/>
      <c r="AI576" s="113"/>
      <c r="AJ576" s="50"/>
      <c r="AK576" s="74"/>
      <c r="AL576" s="50"/>
      <c r="AM576" s="74"/>
      <c r="AN576" s="50"/>
      <c r="AO576" s="74"/>
      <c r="AP576" s="50"/>
      <c r="AQ576" s="74"/>
      <c r="AR576" s="50"/>
      <c r="AS576" s="74"/>
      <c r="AT576" s="50"/>
    </row>
    <row r="577" spans="1:47" ht="14">
      <c r="A577" s="53" t="s">
        <v>36</v>
      </c>
      <c r="B577" s="7" t="s">
        <v>5979</v>
      </c>
      <c r="C577" s="7" t="s">
        <v>6016</v>
      </c>
      <c r="D577" s="14" t="s">
        <v>2591</v>
      </c>
      <c r="E577" s="7" t="s">
        <v>395</v>
      </c>
      <c r="F577" s="7"/>
      <c r="G577" s="15" t="s">
        <v>3913</v>
      </c>
      <c r="H577" s="7"/>
      <c r="I577" s="19" t="s">
        <v>2</v>
      </c>
      <c r="J577" s="7" t="s">
        <v>395</v>
      </c>
      <c r="K577" s="51">
        <v>41726</v>
      </c>
      <c r="L577" s="115">
        <v>41717</v>
      </c>
      <c r="M577" s="50">
        <f t="shared" si="33"/>
        <v>9</v>
      </c>
      <c r="N577" s="7" t="s">
        <v>2</v>
      </c>
      <c r="O577" s="74">
        <f>0.5/2</f>
        <v>0.25</v>
      </c>
      <c r="P577" s="117">
        <v>5.19</v>
      </c>
      <c r="Q577" s="131">
        <v>7.1</v>
      </c>
      <c r="R577" s="50">
        <v>14</v>
      </c>
      <c r="S577" s="74">
        <v>52</v>
      </c>
      <c r="T577" s="50">
        <v>0.04</v>
      </c>
      <c r="U577" s="74">
        <v>0.97</v>
      </c>
      <c r="V577" s="50">
        <v>0.9</v>
      </c>
      <c r="W577" s="74">
        <v>0.02</v>
      </c>
      <c r="X577" s="50">
        <v>0.03</v>
      </c>
      <c r="Y577" s="74">
        <v>5.0000000000000001E-3</v>
      </c>
      <c r="Z577" s="164">
        <v>1</v>
      </c>
      <c r="AA577" s="165">
        <v>1</v>
      </c>
      <c r="AB577" s="50">
        <v>88</v>
      </c>
      <c r="AC577" s="74">
        <v>560</v>
      </c>
      <c r="AD577" s="164">
        <v>0.8</v>
      </c>
      <c r="AE577" s="50">
        <v>146</v>
      </c>
      <c r="AF577" s="50">
        <v>1.0999999999999999E-2</v>
      </c>
      <c r="AG577" s="74"/>
      <c r="AH577" s="74"/>
      <c r="AI577" s="113"/>
      <c r="AJ577" s="50"/>
      <c r="AK577" s="74"/>
      <c r="AL577" s="50"/>
      <c r="AM577" s="74"/>
      <c r="AN577" s="50"/>
      <c r="AO577" s="74"/>
      <c r="AP577" s="50"/>
      <c r="AQ577" s="74"/>
      <c r="AR577" s="50"/>
      <c r="AS577" s="74"/>
      <c r="AT577" s="50"/>
    </row>
    <row r="578" spans="1:47" ht="14">
      <c r="A578" s="53" t="s">
        <v>36</v>
      </c>
      <c r="B578" s="7" t="s">
        <v>3990</v>
      </c>
      <c r="C578" s="7" t="s">
        <v>3990</v>
      </c>
      <c r="D578" s="14" t="s">
        <v>1896</v>
      </c>
      <c r="E578" s="7" t="s">
        <v>2870</v>
      </c>
      <c r="F578" s="7"/>
      <c r="G578" s="15" t="s">
        <v>3991</v>
      </c>
      <c r="H578" s="7">
        <v>9199</v>
      </c>
      <c r="I578" s="19" t="s">
        <v>2</v>
      </c>
      <c r="J578" s="7" t="s">
        <v>510</v>
      </c>
      <c r="K578" s="51">
        <v>41402</v>
      </c>
      <c r="L578" s="115">
        <v>41384</v>
      </c>
      <c r="M578" s="50">
        <f t="shared" si="33"/>
        <v>18</v>
      </c>
      <c r="N578" s="7" t="s">
        <v>2</v>
      </c>
      <c r="O578" s="74">
        <f>2/2</f>
        <v>1</v>
      </c>
      <c r="P578" s="117">
        <v>6.59</v>
      </c>
      <c r="Q578" s="131">
        <v>6.11</v>
      </c>
      <c r="R578" s="50">
        <v>672</v>
      </c>
      <c r="S578" s="74">
        <v>129</v>
      </c>
      <c r="T578" s="50">
        <v>0.39</v>
      </c>
      <c r="U578" s="74">
        <v>6.66</v>
      </c>
      <c r="V578" s="50">
        <v>0.91</v>
      </c>
      <c r="W578" s="74">
        <v>9.4E-2</v>
      </c>
      <c r="X578" s="50">
        <v>0.11700000000000001</v>
      </c>
      <c r="Y578" s="74">
        <f>0.03/2</f>
        <v>1.4999999999999999E-2</v>
      </c>
      <c r="AE578" s="356">
        <v>1421</v>
      </c>
      <c r="AF578" s="50">
        <f>0.05/2</f>
        <v>2.5000000000000001E-2</v>
      </c>
      <c r="AG578" s="74"/>
      <c r="AH578" s="74"/>
      <c r="AI578" s="113"/>
      <c r="AJ578" s="50"/>
      <c r="AK578" s="74"/>
      <c r="AL578" s="50"/>
      <c r="AM578" s="74"/>
      <c r="AN578" s="50"/>
      <c r="AO578" s="74"/>
      <c r="AP578" s="50"/>
      <c r="AQ578" s="74"/>
      <c r="AR578" s="50"/>
      <c r="AS578" s="74"/>
      <c r="AT578" s="50"/>
    </row>
    <row r="579" spans="1:47" s="400" customFormat="1" ht="14">
      <c r="A579" s="53" t="s">
        <v>36</v>
      </c>
      <c r="B579" s="385" t="s">
        <v>5568</v>
      </c>
      <c r="C579" s="385" t="s">
        <v>6017</v>
      </c>
      <c r="D579" s="374" t="s">
        <v>1830</v>
      </c>
      <c r="E579" s="385" t="s">
        <v>3271</v>
      </c>
      <c r="F579" s="385"/>
      <c r="G579" s="377" t="s">
        <v>6018</v>
      </c>
      <c r="H579" s="385"/>
      <c r="I579" s="378" t="s">
        <v>2</v>
      </c>
      <c r="J579" s="385" t="s">
        <v>6017</v>
      </c>
      <c r="K579" s="403">
        <v>40835</v>
      </c>
      <c r="L579" s="379">
        <v>40809</v>
      </c>
      <c r="M579" s="402">
        <f t="shared" si="33"/>
        <v>26</v>
      </c>
      <c r="N579" s="385" t="s">
        <v>2</v>
      </c>
      <c r="O579" s="404">
        <v>8.8000000000000007</v>
      </c>
      <c r="P579" s="380">
        <v>4.74</v>
      </c>
      <c r="Q579" s="395">
        <v>6.2</v>
      </c>
      <c r="R579" s="402">
        <v>450</v>
      </c>
      <c r="S579" s="404">
        <v>270</v>
      </c>
      <c r="T579" s="402">
        <v>3.5</v>
      </c>
      <c r="U579" s="404">
        <v>13</v>
      </c>
      <c r="V579" s="402" t="s">
        <v>955</v>
      </c>
      <c r="W579" s="404">
        <v>6.8000000000000005E-2</v>
      </c>
      <c r="X579" s="402">
        <v>0.56000000000000005</v>
      </c>
      <c r="Y579" s="404">
        <v>5.0000000000000001E-3</v>
      </c>
      <c r="Z579" s="396">
        <v>1</v>
      </c>
      <c r="AA579" s="397">
        <v>1</v>
      </c>
      <c r="AB579" s="402">
        <v>80</v>
      </c>
      <c r="AC579" s="404">
        <v>377</v>
      </c>
      <c r="AD579" s="396">
        <v>1</v>
      </c>
      <c r="AE579" s="402"/>
      <c r="AF579" s="402"/>
      <c r="AG579" s="404"/>
      <c r="AH579" s="404"/>
      <c r="AI579" s="113"/>
      <c r="AJ579" s="402"/>
      <c r="AK579" s="404"/>
      <c r="AL579" s="402"/>
      <c r="AM579" s="404"/>
      <c r="AN579" s="402"/>
      <c r="AO579" s="404"/>
      <c r="AP579" s="402"/>
      <c r="AQ579" s="404"/>
      <c r="AR579" s="402"/>
      <c r="AS579" s="404"/>
      <c r="AT579" s="402"/>
      <c r="AU579" s="404"/>
    </row>
    <row r="580" spans="1:47" s="400" customFormat="1" ht="14">
      <c r="A580" s="53" t="s">
        <v>36</v>
      </c>
      <c r="B580" s="385" t="s">
        <v>5568</v>
      </c>
      <c r="C580" s="385" t="s">
        <v>6019</v>
      </c>
      <c r="D580" s="374" t="s">
        <v>1830</v>
      </c>
      <c r="E580" s="385" t="s">
        <v>3271</v>
      </c>
      <c r="F580" s="385"/>
      <c r="G580" s="377" t="s">
        <v>6018</v>
      </c>
      <c r="H580" s="385"/>
      <c r="I580" s="378" t="s">
        <v>2</v>
      </c>
      <c r="J580" s="385" t="s">
        <v>6019</v>
      </c>
      <c r="K580" s="403">
        <v>40835</v>
      </c>
      <c r="L580" s="379">
        <v>40809</v>
      </c>
      <c r="M580" s="402">
        <f t="shared" si="33"/>
        <v>26</v>
      </c>
      <c r="N580" s="385" t="s">
        <v>2</v>
      </c>
      <c r="O580" s="404">
        <v>3</v>
      </c>
      <c r="P580" s="380">
        <v>4.74</v>
      </c>
      <c r="Q580" s="395">
        <v>7.4</v>
      </c>
      <c r="R580" s="402">
        <v>1600</v>
      </c>
      <c r="S580" s="404">
        <v>390</v>
      </c>
      <c r="T580" s="402">
        <v>10</v>
      </c>
      <c r="U580" s="404">
        <v>54</v>
      </c>
      <c r="V580" s="402">
        <v>1.8</v>
      </c>
      <c r="W580" s="404">
        <v>0.59</v>
      </c>
      <c r="X580" s="402">
        <v>0.74</v>
      </c>
      <c r="Y580" s="404">
        <v>0.22</v>
      </c>
      <c r="Z580" s="396">
        <v>1</v>
      </c>
      <c r="AA580" s="397">
        <v>1</v>
      </c>
      <c r="AB580" s="402">
        <v>140</v>
      </c>
      <c r="AC580" s="404">
        <v>865</v>
      </c>
      <c r="AD580" s="396">
        <v>0.75</v>
      </c>
      <c r="AE580" s="402"/>
      <c r="AF580" s="402"/>
      <c r="AG580" s="404"/>
      <c r="AH580" s="404"/>
      <c r="AI580" s="113"/>
      <c r="AJ580" s="402"/>
      <c r="AK580" s="404"/>
      <c r="AL580" s="402"/>
      <c r="AM580" s="404"/>
      <c r="AN580" s="402"/>
      <c r="AO580" s="404"/>
      <c r="AP580" s="402"/>
      <c r="AQ580" s="404"/>
      <c r="AR580" s="402"/>
      <c r="AS580" s="404"/>
      <c r="AT580" s="402"/>
      <c r="AU580" s="404"/>
    </row>
    <row r="581" spans="1:47" s="400" customFormat="1" ht="14">
      <c r="A581" s="53" t="s">
        <v>36</v>
      </c>
      <c r="B581" s="385" t="s">
        <v>5568</v>
      </c>
      <c r="C581" s="385" t="s">
        <v>5933</v>
      </c>
      <c r="D581" s="374" t="s">
        <v>1830</v>
      </c>
      <c r="E581" s="385" t="s">
        <v>3271</v>
      </c>
      <c r="F581" s="385"/>
      <c r="G581" s="377" t="s">
        <v>5934</v>
      </c>
      <c r="H581" s="385"/>
      <c r="I581" s="378" t="s">
        <v>2</v>
      </c>
      <c r="J581" s="385" t="s">
        <v>5933</v>
      </c>
      <c r="K581" s="403">
        <v>40835</v>
      </c>
      <c r="L581" s="379">
        <v>40809</v>
      </c>
      <c r="M581" s="402">
        <f t="shared" si="33"/>
        <v>26</v>
      </c>
      <c r="N581" s="385" t="s">
        <v>2</v>
      </c>
      <c r="O581" s="404">
        <v>4</v>
      </c>
      <c r="P581" s="380">
        <v>4.74</v>
      </c>
      <c r="Q581" s="395">
        <v>7.2</v>
      </c>
      <c r="R581" s="402">
        <v>110</v>
      </c>
      <c r="S581" s="404">
        <v>130</v>
      </c>
      <c r="T581" s="402">
        <v>0.28999999999999998</v>
      </c>
      <c r="U581" s="404">
        <v>0.98</v>
      </c>
      <c r="V581" s="402">
        <v>0.11</v>
      </c>
      <c r="W581" s="404">
        <v>2.8000000000000001E-2</v>
      </c>
      <c r="X581" s="402">
        <v>7.1999999999999995E-2</v>
      </c>
      <c r="Y581" s="404">
        <v>1.7000000000000001E-2</v>
      </c>
      <c r="Z581" s="396">
        <v>1</v>
      </c>
      <c r="AA581" s="397">
        <v>1</v>
      </c>
      <c r="AB581" s="402">
        <v>38</v>
      </c>
      <c r="AC581" s="404">
        <v>1009</v>
      </c>
      <c r="AD581" s="396">
        <v>1</v>
      </c>
      <c r="AE581" s="402"/>
      <c r="AF581" s="402"/>
      <c r="AG581" s="404"/>
      <c r="AH581" s="404"/>
      <c r="AI581" s="113"/>
      <c r="AJ581" s="402"/>
      <c r="AK581" s="404"/>
      <c r="AL581" s="402"/>
      <c r="AM581" s="404"/>
      <c r="AN581" s="402"/>
      <c r="AO581" s="404"/>
      <c r="AP581" s="402"/>
      <c r="AQ581" s="404"/>
      <c r="AR581" s="402"/>
      <c r="AS581" s="404"/>
      <c r="AT581" s="402"/>
      <c r="AU581" s="404"/>
    </row>
    <row r="582" spans="1:47" s="400" customFormat="1" ht="14">
      <c r="A582" s="53" t="s">
        <v>36</v>
      </c>
      <c r="B582" s="385" t="s">
        <v>5568</v>
      </c>
      <c r="C582" s="385" t="s">
        <v>5935</v>
      </c>
      <c r="D582" s="374" t="s">
        <v>1830</v>
      </c>
      <c r="E582" s="385" t="s">
        <v>3271</v>
      </c>
      <c r="F582" s="385"/>
      <c r="G582" s="377" t="s">
        <v>5934</v>
      </c>
      <c r="H582" s="385"/>
      <c r="I582" s="378" t="s">
        <v>2</v>
      </c>
      <c r="J582" s="385" t="s">
        <v>5935</v>
      </c>
      <c r="K582" s="403">
        <v>40835</v>
      </c>
      <c r="L582" s="379">
        <v>40809</v>
      </c>
      <c r="M582" s="402">
        <f t="shared" si="33"/>
        <v>26</v>
      </c>
      <c r="N582" s="385" t="s">
        <v>2</v>
      </c>
      <c r="O582" s="404" t="s">
        <v>955</v>
      </c>
      <c r="P582" s="380">
        <v>4.74</v>
      </c>
      <c r="Q582" s="395">
        <v>6.5</v>
      </c>
      <c r="R582" s="402">
        <v>180</v>
      </c>
      <c r="S582" s="404">
        <v>22</v>
      </c>
      <c r="T582" s="402">
        <v>0.73</v>
      </c>
      <c r="U582" s="404">
        <v>4.2</v>
      </c>
      <c r="V582" s="402">
        <v>1.1000000000000001</v>
      </c>
      <c r="W582" s="404">
        <v>1.4E-2</v>
      </c>
      <c r="X582" s="402">
        <v>4.2999999999999997E-2</v>
      </c>
      <c r="Y582" s="404">
        <v>3.5999999999999999E-3</v>
      </c>
      <c r="Z582" s="396">
        <v>1</v>
      </c>
      <c r="AA582" s="397">
        <v>1</v>
      </c>
      <c r="AB582" s="402">
        <v>40</v>
      </c>
      <c r="AC582" s="404">
        <v>7</v>
      </c>
      <c r="AD582" s="396">
        <v>1</v>
      </c>
      <c r="AE582" s="402"/>
      <c r="AF582" s="402"/>
      <c r="AG582" s="404"/>
      <c r="AH582" s="404"/>
      <c r="AI582" s="113"/>
      <c r="AJ582" s="402"/>
      <c r="AK582" s="404"/>
      <c r="AL582" s="402"/>
      <c r="AM582" s="404"/>
      <c r="AN582" s="402"/>
      <c r="AO582" s="404"/>
      <c r="AP582" s="402"/>
      <c r="AQ582" s="404"/>
      <c r="AR582" s="402"/>
      <c r="AS582" s="404"/>
      <c r="AT582" s="402"/>
      <c r="AU582" s="404"/>
    </row>
    <row r="583" spans="1:47" s="400" customFormat="1" ht="14">
      <c r="A583" s="53" t="s">
        <v>36</v>
      </c>
      <c r="B583" s="385" t="s">
        <v>5568</v>
      </c>
      <c r="C583" s="385" t="s">
        <v>6022</v>
      </c>
      <c r="D583" s="374" t="s">
        <v>1830</v>
      </c>
      <c r="E583" s="385" t="s">
        <v>6023</v>
      </c>
      <c r="F583" s="385"/>
      <c r="G583" s="377" t="s">
        <v>5934</v>
      </c>
      <c r="H583" s="385"/>
      <c r="I583" s="378" t="s">
        <v>2</v>
      </c>
      <c r="J583" s="385" t="s">
        <v>6022</v>
      </c>
      <c r="K583" s="403">
        <v>40835</v>
      </c>
      <c r="L583" s="379">
        <v>40809</v>
      </c>
      <c r="M583" s="402">
        <f t="shared" si="33"/>
        <v>26</v>
      </c>
      <c r="N583" s="385" t="s">
        <v>2</v>
      </c>
      <c r="O583" s="404" t="s">
        <v>955</v>
      </c>
      <c r="P583" s="380">
        <v>4.74</v>
      </c>
      <c r="Q583" s="395">
        <v>7.3</v>
      </c>
      <c r="R583" s="402">
        <v>130</v>
      </c>
      <c r="S583" s="404">
        <v>34</v>
      </c>
      <c r="T583" s="402">
        <v>0.25</v>
      </c>
      <c r="U583" s="404">
        <v>1.8</v>
      </c>
      <c r="V583" s="402">
        <v>1.3</v>
      </c>
      <c r="W583" s="404">
        <v>2.1000000000000001E-2</v>
      </c>
      <c r="X583" s="402">
        <v>3.4000000000000002E-2</v>
      </c>
      <c r="Y583" s="404">
        <v>1.0999999999999999E-2</v>
      </c>
      <c r="Z583" s="396">
        <v>1</v>
      </c>
      <c r="AA583" s="397">
        <v>1</v>
      </c>
      <c r="AB583" s="402">
        <v>166</v>
      </c>
      <c r="AC583" s="404">
        <v>711</v>
      </c>
      <c r="AD583" s="396">
        <v>1</v>
      </c>
      <c r="AE583" s="402"/>
      <c r="AF583" s="402"/>
      <c r="AG583" s="404"/>
      <c r="AH583" s="404"/>
      <c r="AI583" s="113"/>
      <c r="AJ583" s="402"/>
      <c r="AK583" s="404"/>
      <c r="AL583" s="402"/>
      <c r="AM583" s="404"/>
      <c r="AN583" s="402"/>
      <c r="AO583" s="404"/>
      <c r="AP583" s="402"/>
      <c r="AQ583" s="404"/>
      <c r="AR583" s="402"/>
      <c r="AS583" s="404"/>
      <c r="AT583" s="402"/>
      <c r="AU583" s="404"/>
    </row>
    <row r="584" spans="1:47" s="400" customFormat="1" ht="14">
      <c r="A584" s="293" t="s">
        <v>36</v>
      </c>
      <c r="B584" s="385" t="s">
        <v>5568</v>
      </c>
      <c r="C584" s="385" t="s">
        <v>5933</v>
      </c>
      <c r="D584" s="374" t="s">
        <v>1830</v>
      </c>
      <c r="E584" s="385" t="s">
        <v>3271</v>
      </c>
      <c r="F584" s="385"/>
      <c r="G584" s="377" t="s">
        <v>5934</v>
      </c>
      <c r="H584" s="385"/>
      <c r="I584" s="378" t="s">
        <v>2</v>
      </c>
      <c r="J584" s="385" t="s">
        <v>5933</v>
      </c>
      <c r="K584" s="403">
        <v>41432</v>
      </c>
      <c r="L584" s="379">
        <v>41423</v>
      </c>
      <c r="M584" s="402">
        <f t="shared" si="33"/>
        <v>9</v>
      </c>
      <c r="N584" s="385" t="s">
        <v>2</v>
      </c>
      <c r="O584" s="404">
        <v>1.7</v>
      </c>
      <c r="P584" s="380">
        <v>6</v>
      </c>
      <c r="Q584" s="395">
        <v>7.2</v>
      </c>
      <c r="R584" s="402">
        <v>84</v>
      </c>
      <c r="S584" s="404">
        <v>23</v>
      </c>
      <c r="T584" s="402">
        <v>0.15</v>
      </c>
      <c r="U584" s="404">
        <v>1.2</v>
      </c>
      <c r="V584" s="402">
        <v>0.22</v>
      </c>
      <c r="W584" s="404">
        <v>2.1000000000000001E-2</v>
      </c>
      <c r="X584" s="402">
        <v>6.3E-2</v>
      </c>
      <c r="Y584" s="404">
        <v>5.0000000000000001E-3</v>
      </c>
      <c r="Z584" s="396"/>
      <c r="AA584" s="397"/>
      <c r="AB584" s="402"/>
      <c r="AC584" s="404">
        <v>120</v>
      </c>
      <c r="AD584" s="396"/>
      <c r="AE584" s="402"/>
      <c r="AF584" s="402"/>
      <c r="AG584" s="404"/>
      <c r="AH584" s="404"/>
      <c r="AI584" s="113"/>
      <c r="AJ584" s="402"/>
      <c r="AK584" s="404"/>
      <c r="AL584" s="402"/>
      <c r="AM584" s="404"/>
      <c r="AN584" s="402"/>
      <c r="AO584" s="404"/>
      <c r="AP584" s="402"/>
      <c r="AQ584" s="404"/>
      <c r="AR584" s="402"/>
      <c r="AS584" s="404"/>
      <c r="AT584" s="402"/>
      <c r="AU584" s="404"/>
    </row>
    <row r="585" spans="1:47" s="400" customFormat="1" ht="14">
      <c r="A585" s="53" t="s">
        <v>36</v>
      </c>
      <c r="B585" s="385" t="s">
        <v>5568</v>
      </c>
      <c r="C585" s="385" t="s">
        <v>5935</v>
      </c>
      <c r="D585" s="374" t="s">
        <v>1830</v>
      </c>
      <c r="E585" s="385" t="s">
        <v>3271</v>
      </c>
      <c r="F585" s="385"/>
      <c r="G585" s="377" t="s">
        <v>5934</v>
      </c>
      <c r="H585" s="385"/>
      <c r="I585" s="378" t="s">
        <v>2</v>
      </c>
      <c r="J585" s="385" t="s">
        <v>5935</v>
      </c>
      <c r="K585" s="403">
        <v>41432</v>
      </c>
      <c r="L585" s="379">
        <v>41423</v>
      </c>
      <c r="M585" s="402">
        <f t="shared" si="33"/>
        <v>9</v>
      </c>
      <c r="N585" s="385" t="s">
        <v>2</v>
      </c>
      <c r="O585" s="404">
        <v>1.4</v>
      </c>
      <c r="P585" s="380">
        <v>6</v>
      </c>
      <c r="Q585" s="395">
        <v>6.6</v>
      </c>
      <c r="R585" s="402">
        <v>210</v>
      </c>
      <c r="S585" s="404">
        <v>14</v>
      </c>
      <c r="T585" s="402">
        <v>0.01</v>
      </c>
      <c r="U585" s="404">
        <v>3.6</v>
      </c>
      <c r="V585" s="402">
        <v>1.4</v>
      </c>
      <c r="W585" s="404">
        <v>6.1999999999999998E-3</v>
      </c>
      <c r="X585" s="402">
        <v>3.2000000000000001E-2</v>
      </c>
      <c r="Y585" s="404">
        <v>3.8999999999999998E-3</v>
      </c>
      <c r="Z585" s="396">
        <v>0.53600000000000003</v>
      </c>
      <c r="AA585" s="397">
        <v>0.24199999999999999</v>
      </c>
      <c r="AB585" s="402"/>
      <c r="AC585" s="404">
        <v>8670</v>
      </c>
      <c r="AD585" s="396">
        <v>0</v>
      </c>
      <c r="AE585" s="402"/>
      <c r="AF585" s="402"/>
      <c r="AG585" s="404"/>
      <c r="AH585" s="404"/>
      <c r="AI585" s="113"/>
      <c r="AJ585" s="402"/>
      <c r="AK585" s="404"/>
      <c r="AL585" s="402"/>
      <c r="AM585" s="404"/>
      <c r="AN585" s="402"/>
      <c r="AO585" s="404"/>
      <c r="AP585" s="402"/>
      <c r="AQ585" s="404"/>
      <c r="AR585" s="402"/>
      <c r="AS585" s="404"/>
      <c r="AT585" s="402"/>
      <c r="AU585" s="404"/>
    </row>
    <row r="586" spans="1:47" s="400" customFormat="1" ht="14">
      <c r="A586" s="53" t="s">
        <v>36</v>
      </c>
      <c r="B586" s="385" t="s">
        <v>5568</v>
      </c>
      <c r="C586" s="385" t="s">
        <v>6017</v>
      </c>
      <c r="D586" s="374" t="s">
        <v>1830</v>
      </c>
      <c r="E586" s="385" t="s">
        <v>3271</v>
      </c>
      <c r="F586" s="385"/>
      <c r="G586" s="377" t="s">
        <v>6018</v>
      </c>
      <c r="H586" s="385"/>
      <c r="I586" s="378" t="s">
        <v>2</v>
      </c>
      <c r="J586" s="385" t="s">
        <v>6017</v>
      </c>
      <c r="K586" s="403">
        <v>41432</v>
      </c>
      <c r="L586" s="379">
        <v>41423</v>
      </c>
      <c r="M586" s="402">
        <f t="shared" si="33"/>
        <v>9</v>
      </c>
      <c r="N586" s="385" t="s">
        <v>2</v>
      </c>
      <c r="O586" s="404">
        <v>2</v>
      </c>
      <c r="P586" s="380">
        <v>6</v>
      </c>
      <c r="Q586" s="395">
        <v>6.8</v>
      </c>
      <c r="R586" s="402">
        <v>540</v>
      </c>
      <c r="S586" s="404">
        <v>400</v>
      </c>
      <c r="T586" s="402">
        <v>2.8</v>
      </c>
      <c r="U586" s="404">
        <v>13</v>
      </c>
      <c r="V586" s="402">
        <v>0.16</v>
      </c>
      <c r="W586" s="404">
        <v>0.12</v>
      </c>
      <c r="X586" s="402">
        <v>0.49</v>
      </c>
      <c r="Y586" s="404">
        <v>7.2999999999999995E-2</v>
      </c>
      <c r="Z586" s="396">
        <v>0.70699999999999996</v>
      </c>
      <c r="AA586" s="397">
        <v>0.53600000000000003</v>
      </c>
      <c r="AB586" s="402"/>
      <c r="AC586" s="404">
        <v>120</v>
      </c>
      <c r="AD586" s="396">
        <v>0</v>
      </c>
      <c r="AE586" s="402"/>
      <c r="AF586" s="402"/>
      <c r="AG586" s="404"/>
      <c r="AH586" s="404"/>
      <c r="AI586" s="113"/>
      <c r="AJ586" s="402"/>
      <c r="AK586" s="404"/>
      <c r="AL586" s="402"/>
      <c r="AM586" s="404"/>
      <c r="AN586" s="402"/>
      <c r="AO586" s="404"/>
      <c r="AP586" s="402"/>
      <c r="AQ586" s="404"/>
      <c r="AR586" s="402"/>
      <c r="AS586" s="404"/>
      <c r="AT586" s="402"/>
      <c r="AU586" s="404"/>
    </row>
    <row r="587" spans="1:47" s="400" customFormat="1" ht="14">
      <c r="A587" s="53" t="s">
        <v>36</v>
      </c>
      <c r="B587" s="385" t="s">
        <v>5568</v>
      </c>
      <c r="C587" s="385" t="s">
        <v>6019</v>
      </c>
      <c r="D587" s="374" t="s">
        <v>1830</v>
      </c>
      <c r="E587" s="385" t="s">
        <v>3271</v>
      </c>
      <c r="F587" s="385"/>
      <c r="G587" s="377" t="s">
        <v>6018</v>
      </c>
      <c r="H587" s="385"/>
      <c r="I587" s="378" t="s">
        <v>2</v>
      </c>
      <c r="J587" s="385" t="s">
        <v>6019</v>
      </c>
      <c r="K587" s="403">
        <v>41432</v>
      </c>
      <c r="L587" s="379">
        <v>41423</v>
      </c>
      <c r="M587" s="402">
        <f t="shared" si="33"/>
        <v>9</v>
      </c>
      <c r="N587" s="385" t="s">
        <v>2</v>
      </c>
      <c r="O587" s="404">
        <v>4</v>
      </c>
      <c r="P587" s="380">
        <v>6</v>
      </c>
      <c r="Q587" s="395">
        <v>6.9</v>
      </c>
      <c r="R587" s="402">
        <v>870</v>
      </c>
      <c r="S587" s="404">
        <v>580</v>
      </c>
      <c r="T587" s="402">
        <v>14</v>
      </c>
      <c r="U587" s="404">
        <v>56</v>
      </c>
      <c r="V587" s="402">
        <v>0.05</v>
      </c>
      <c r="W587" s="404">
        <v>0.17</v>
      </c>
      <c r="X587" s="402">
        <v>0.46</v>
      </c>
      <c r="Y587" s="404">
        <v>4.3999999999999997E-2</v>
      </c>
      <c r="Z587" s="396">
        <v>1</v>
      </c>
      <c r="AA587" s="397">
        <v>1</v>
      </c>
      <c r="AB587" s="402"/>
      <c r="AC587" s="404">
        <v>426</v>
      </c>
      <c r="AD587" s="396">
        <v>1</v>
      </c>
      <c r="AE587" s="402"/>
      <c r="AF587" s="402"/>
      <c r="AG587" s="404"/>
      <c r="AH587" s="404"/>
      <c r="AI587" s="113"/>
      <c r="AJ587" s="402"/>
      <c r="AK587" s="404"/>
      <c r="AL587" s="402"/>
      <c r="AM587" s="404"/>
      <c r="AN587" s="402"/>
      <c r="AO587" s="404"/>
      <c r="AP587" s="402"/>
      <c r="AQ587" s="404"/>
      <c r="AR587" s="402"/>
      <c r="AS587" s="404"/>
      <c r="AT587" s="402"/>
      <c r="AU587" s="404"/>
    </row>
    <row r="588" spans="1:47" ht="14">
      <c r="A588" s="74" t="s">
        <v>36</v>
      </c>
      <c r="B588" s="50" t="s">
        <v>954</v>
      </c>
      <c r="C588" s="50" t="s">
        <v>2685</v>
      </c>
      <c r="D588" s="48" t="s">
        <v>98</v>
      </c>
      <c r="E588" s="50" t="s">
        <v>6028</v>
      </c>
      <c r="G588" s="76" t="s">
        <v>6029</v>
      </c>
      <c r="H588" s="50">
        <v>9199</v>
      </c>
      <c r="I588" s="49" t="s">
        <v>2</v>
      </c>
      <c r="J588" s="50" t="s">
        <v>6030</v>
      </c>
      <c r="K588" s="51">
        <v>41539</v>
      </c>
      <c r="L588" s="115">
        <v>41529</v>
      </c>
      <c r="M588" s="50">
        <f>K588-L588</f>
        <v>10</v>
      </c>
      <c r="N588" s="50" t="s">
        <v>2</v>
      </c>
      <c r="O588" s="74">
        <f>1/2</f>
        <v>0.5</v>
      </c>
      <c r="P588" s="117">
        <v>6.3</v>
      </c>
      <c r="Q588" s="131">
        <v>7.39</v>
      </c>
      <c r="R588" s="50">
        <f>1/2</f>
        <v>0.5</v>
      </c>
      <c r="S588" s="74">
        <f>1/2</f>
        <v>0.5</v>
      </c>
      <c r="T588" s="50">
        <v>0.44</v>
      </c>
      <c r="U588" s="74">
        <v>0.7</v>
      </c>
      <c r="V588" s="50">
        <v>0.23</v>
      </c>
      <c r="W588" s="74">
        <v>7.0000000000000007E-2</v>
      </c>
      <c r="X588" s="50">
        <v>4.2000000000000003E-2</v>
      </c>
      <c r="Y588" s="74">
        <v>3.0000000000000001E-3</v>
      </c>
      <c r="Z588" s="164">
        <v>1</v>
      </c>
      <c r="AA588" s="165">
        <v>1</v>
      </c>
      <c r="AB588" s="50">
        <v>4.1500000000000004</v>
      </c>
      <c r="AC588" s="74">
        <v>16</v>
      </c>
      <c r="AD588" s="164">
        <v>1</v>
      </c>
      <c r="AG588" s="74"/>
      <c r="AH588" s="74"/>
      <c r="AI588" s="113"/>
      <c r="AJ588" s="50"/>
      <c r="AK588" s="74"/>
      <c r="AL588" s="74"/>
      <c r="AM588" s="74"/>
      <c r="AN588" s="74"/>
      <c r="AO588" s="74"/>
      <c r="AP588" s="74"/>
      <c r="AQ588" s="74"/>
      <c r="AR588" s="74"/>
      <c r="AS588" s="74"/>
      <c r="AT588" s="74"/>
    </row>
    <row r="589" spans="1:47" ht="14">
      <c r="A589" s="74" t="s">
        <v>36</v>
      </c>
      <c r="B589" s="50" t="s">
        <v>954</v>
      </c>
      <c r="C589" s="50" t="s">
        <v>2685</v>
      </c>
      <c r="D589" s="48" t="s">
        <v>98</v>
      </c>
      <c r="E589" s="50" t="s">
        <v>6028</v>
      </c>
      <c r="G589" s="76" t="s">
        <v>6029</v>
      </c>
      <c r="H589" s="50">
        <v>9199</v>
      </c>
      <c r="I589" s="49" t="s">
        <v>2</v>
      </c>
      <c r="J589" s="50" t="s">
        <v>6031</v>
      </c>
      <c r="K589" s="51">
        <v>41539</v>
      </c>
      <c r="L589" s="115">
        <v>41529</v>
      </c>
      <c r="M589" s="50">
        <f>K589-L589</f>
        <v>10</v>
      </c>
      <c r="N589" s="50" t="s">
        <v>2</v>
      </c>
      <c r="O589" s="74">
        <f>1/2</f>
        <v>0.5</v>
      </c>
      <c r="P589" s="117">
        <v>6.3</v>
      </c>
      <c r="Q589" s="131">
        <v>6.93</v>
      </c>
      <c r="R589" s="50">
        <v>7.5</v>
      </c>
      <c r="S589" s="74">
        <v>2</v>
      </c>
      <c r="T589" s="50">
        <v>2.15</v>
      </c>
      <c r="U589" s="74">
        <v>0.72</v>
      </c>
      <c r="V589" s="50">
        <v>0.43</v>
      </c>
      <c r="W589" s="74">
        <v>0.01</v>
      </c>
      <c r="X589" s="50">
        <v>1.4999999999999999E-2</v>
      </c>
      <c r="Y589" s="74">
        <v>2E-3</v>
      </c>
      <c r="Z589" s="164">
        <v>1</v>
      </c>
      <c r="AA589" s="165">
        <v>1</v>
      </c>
      <c r="AB589" s="50">
        <v>7.47</v>
      </c>
      <c r="AC589" s="74">
        <v>33</v>
      </c>
      <c r="AD589" s="164">
        <v>1</v>
      </c>
      <c r="AG589" s="74"/>
      <c r="AH589" s="74"/>
      <c r="AI589" s="113"/>
      <c r="AJ589" s="50"/>
      <c r="AK589" s="74"/>
      <c r="AL589" s="74"/>
      <c r="AM589" s="74"/>
      <c r="AN589" s="74"/>
      <c r="AO589" s="74"/>
      <c r="AP589" s="74"/>
      <c r="AQ589" s="74"/>
      <c r="AR589" s="74"/>
      <c r="AS589" s="74"/>
      <c r="AT589" s="74"/>
    </row>
    <row r="590" spans="1:47" ht="14">
      <c r="A590" s="74" t="s">
        <v>36</v>
      </c>
      <c r="B590" s="50" t="s">
        <v>954</v>
      </c>
      <c r="C590" s="50" t="s">
        <v>2685</v>
      </c>
      <c r="D590" s="48" t="s">
        <v>98</v>
      </c>
      <c r="E590" s="50" t="s">
        <v>6028</v>
      </c>
      <c r="G590" s="76" t="s">
        <v>6029</v>
      </c>
      <c r="H590" s="50">
        <v>9199</v>
      </c>
      <c r="I590" s="49" t="s">
        <v>2</v>
      </c>
      <c r="J590" s="50" t="s">
        <v>6030</v>
      </c>
      <c r="K590" s="51">
        <v>41710</v>
      </c>
      <c r="L590" s="115"/>
      <c r="N590" s="50" t="s">
        <v>2</v>
      </c>
      <c r="O590" s="74">
        <f>1/2</f>
        <v>0.5</v>
      </c>
      <c r="P590" s="117">
        <v>6.93</v>
      </c>
      <c r="Q590" s="131">
        <v>7.36</v>
      </c>
      <c r="R590" s="50">
        <v>374</v>
      </c>
      <c r="S590" s="74">
        <v>1660</v>
      </c>
      <c r="T590" s="50">
        <v>1.59</v>
      </c>
      <c r="U590" s="74">
        <v>7.2</v>
      </c>
      <c r="V590" s="50">
        <v>0.37</v>
      </c>
      <c r="W590" s="74">
        <v>4.5999999999999999E-2</v>
      </c>
      <c r="X590" s="50">
        <v>9.1999999999999998E-2</v>
      </c>
      <c r="Y590" s="74">
        <v>2.7E-2</v>
      </c>
      <c r="Z590" s="164">
        <v>1</v>
      </c>
      <c r="AA590" s="165">
        <v>1</v>
      </c>
      <c r="AB590" s="50">
        <v>24.57</v>
      </c>
      <c r="AC590" s="74">
        <v>133</v>
      </c>
      <c r="AD590" s="164">
        <v>1</v>
      </c>
      <c r="AG590" s="74"/>
      <c r="AH590" s="74"/>
      <c r="AI590" s="113"/>
      <c r="AJ590" s="50"/>
      <c r="AK590" s="74"/>
      <c r="AL590" s="74"/>
      <c r="AM590" s="74"/>
      <c r="AN590" s="74"/>
      <c r="AO590" s="74"/>
      <c r="AP590" s="74"/>
      <c r="AQ590" s="74"/>
      <c r="AR590" s="74"/>
      <c r="AS590" s="74"/>
      <c r="AT590" s="74"/>
    </row>
    <row r="591" spans="1:47" ht="14">
      <c r="A591" s="74" t="s">
        <v>36</v>
      </c>
      <c r="B591" s="50" t="s">
        <v>954</v>
      </c>
      <c r="C591" s="50" t="s">
        <v>2685</v>
      </c>
      <c r="D591" s="48" t="s">
        <v>98</v>
      </c>
      <c r="E591" s="50" t="s">
        <v>6028</v>
      </c>
      <c r="G591" s="76" t="s">
        <v>6029</v>
      </c>
      <c r="H591" s="50">
        <v>9199</v>
      </c>
      <c r="I591" s="49" t="s">
        <v>2</v>
      </c>
      <c r="J591" s="50" t="s">
        <v>6031</v>
      </c>
      <c r="K591" s="51">
        <v>41710</v>
      </c>
      <c r="L591" s="115"/>
      <c r="N591" s="50" t="s">
        <v>2</v>
      </c>
      <c r="O591" s="74">
        <f>1/2</f>
        <v>0.5</v>
      </c>
      <c r="P591" s="117">
        <v>6.93</v>
      </c>
      <c r="Q591" s="131">
        <v>6.84</v>
      </c>
      <c r="R591" s="50">
        <v>239</v>
      </c>
      <c r="S591" s="74">
        <v>530</v>
      </c>
      <c r="T591" s="50">
        <v>0.56000000000000005</v>
      </c>
      <c r="U591" s="74">
        <v>2.2599999999999998</v>
      </c>
      <c r="V591" s="50">
        <v>0.57999999999999996</v>
      </c>
      <c r="W591" s="74">
        <v>4.3999999999999997E-2</v>
      </c>
      <c r="X591" s="50">
        <v>0.08</v>
      </c>
      <c r="Y591" s="74">
        <v>1.2999999999999999E-2</v>
      </c>
      <c r="Z591" s="164">
        <v>1</v>
      </c>
      <c r="AA591" s="165">
        <v>1</v>
      </c>
      <c r="AB591" s="50">
        <v>22.87</v>
      </c>
      <c r="AC591" s="74">
        <v>303</v>
      </c>
      <c r="AD591" s="164">
        <v>1</v>
      </c>
      <c r="AG591" s="74"/>
      <c r="AH591" s="74"/>
      <c r="AI591" s="113"/>
      <c r="AJ591" s="50"/>
      <c r="AK591" s="74"/>
      <c r="AL591" s="74"/>
      <c r="AM591" s="74"/>
      <c r="AN591" s="74"/>
      <c r="AO591" s="74"/>
      <c r="AP591" s="74"/>
      <c r="AQ591" s="74"/>
      <c r="AR591" s="74"/>
      <c r="AS591" s="74"/>
      <c r="AT591" s="74"/>
    </row>
    <row r="592" spans="1:47" ht="14">
      <c r="A592" s="53" t="s">
        <v>36</v>
      </c>
      <c r="B592" s="7" t="s">
        <v>2761</v>
      </c>
      <c r="C592" s="7"/>
      <c r="D592" s="14" t="s">
        <v>406</v>
      </c>
      <c r="E592" s="7" t="s">
        <v>5344</v>
      </c>
      <c r="F592" s="7"/>
      <c r="G592" s="15" t="s">
        <v>6074</v>
      </c>
      <c r="H592" s="7"/>
      <c r="I592" s="19" t="s">
        <v>2</v>
      </c>
      <c r="J592" s="7" t="s">
        <v>142</v>
      </c>
      <c r="K592" s="51">
        <v>40996</v>
      </c>
      <c r="L592" s="115">
        <v>40983</v>
      </c>
      <c r="M592" s="402">
        <f>K592-L592</f>
        <v>13</v>
      </c>
      <c r="N592" s="7" t="s">
        <v>2</v>
      </c>
      <c r="O592" s="74">
        <f>2/2</f>
        <v>1</v>
      </c>
      <c r="P592" s="117"/>
      <c r="Q592" s="131">
        <v>6.4</v>
      </c>
      <c r="R592" s="50">
        <v>17</v>
      </c>
      <c r="S592" s="74">
        <v>26</v>
      </c>
      <c r="T592" s="50">
        <f>0.05/2</f>
        <v>2.5000000000000001E-2</v>
      </c>
      <c r="U592" s="74">
        <v>0.94</v>
      </c>
      <c r="V592" s="50">
        <v>0.56999999999999995</v>
      </c>
      <c r="W592" s="74">
        <v>0.01</v>
      </c>
      <c r="X592" s="50">
        <v>5.5E-2</v>
      </c>
      <c r="Y592" s="74">
        <f>0.01/2</f>
        <v>5.0000000000000001E-3</v>
      </c>
      <c r="Z592" s="164">
        <v>1</v>
      </c>
      <c r="AA592" s="165">
        <v>1</v>
      </c>
      <c r="AB592" s="50">
        <v>86</v>
      </c>
      <c r="AC592" s="74">
        <v>690</v>
      </c>
      <c r="AD592" s="164">
        <v>1</v>
      </c>
      <c r="AG592" s="74"/>
      <c r="AH592" s="74"/>
      <c r="AI592" s="113"/>
      <c r="AJ592" s="50"/>
      <c r="AK592" s="74"/>
      <c r="AL592" s="50"/>
      <c r="AM592" s="74"/>
      <c r="AN592" s="50"/>
      <c r="AO592" s="74"/>
      <c r="AP592" s="50"/>
      <c r="AQ592" s="74"/>
      <c r="AR592" s="50"/>
      <c r="AS592" s="74"/>
      <c r="AT592" s="50"/>
    </row>
    <row r="593" spans="1:46" ht="14">
      <c r="A593" s="53" t="s">
        <v>36</v>
      </c>
      <c r="B593" s="7" t="s">
        <v>2761</v>
      </c>
      <c r="C593" s="7"/>
      <c r="D593" s="14" t="s">
        <v>406</v>
      </c>
      <c r="E593" s="7" t="s">
        <v>5344</v>
      </c>
      <c r="F593" s="7"/>
      <c r="G593" s="15" t="s">
        <v>6074</v>
      </c>
      <c r="H593" s="7"/>
      <c r="I593" s="19" t="s">
        <v>2</v>
      </c>
      <c r="J593" s="7" t="s">
        <v>144</v>
      </c>
      <c r="K593" s="51">
        <v>40996</v>
      </c>
      <c r="L593" s="115">
        <v>40983</v>
      </c>
      <c r="M593" s="402">
        <f>K593-L593</f>
        <v>13</v>
      </c>
      <c r="N593" s="7" t="s">
        <v>2</v>
      </c>
      <c r="O593" s="74">
        <v>31.9</v>
      </c>
      <c r="P593" s="117"/>
      <c r="Q593" s="131">
        <v>6.6</v>
      </c>
      <c r="R593" s="50">
        <v>74</v>
      </c>
      <c r="S593" s="74">
        <v>253</v>
      </c>
      <c r="T593" s="50">
        <v>0.35</v>
      </c>
      <c r="U593" s="74">
        <v>3.02</v>
      </c>
      <c r="V593" s="50">
        <v>0.34</v>
      </c>
      <c r="W593" s="74">
        <v>3.9E-2</v>
      </c>
      <c r="X593" s="50">
        <v>0.218</v>
      </c>
      <c r="Y593" s="74">
        <v>0.03</v>
      </c>
      <c r="Z593" s="164">
        <v>0.35399999999999998</v>
      </c>
      <c r="AA593" s="165">
        <v>0.28299999999999997</v>
      </c>
      <c r="AB593" s="50">
        <v>108</v>
      </c>
      <c r="AC593" s="74">
        <v>2810</v>
      </c>
      <c r="AD593" s="164">
        <v>0</v>
      </c>
      <c r="AE593" s="50">
        <v>1105</v>
      </c>
      <c r="AF593" s="50">
        <f>0.05/2</f>
        <v>2.5000000000000001E-2</v>
      </c>
      <c r="AG593" s="74"/>
      <c r="AH593" s="74"/>
      <c r="AI593" s="113"/>
      <c r="AJ593" s="50"/>
      <c r="AK593" s="74"/>
      <c r="AL593" s="50"/>
      <c r="AM593" s="74"/>
      <c r="AN593" s="50"/>
      <c r="AO593" s="74"/>
      <c r="AP593" s="50"/>
      <c r="AQ593" s="74"/>
      <c r="AR593" s="50"/>
      <c r="AS593" s="74"/>
      <c r="AT593" s="50"/>
    </row>
    <row r="594" spans="1:46" ht="14">
      <c r="A594" s="53" t="s">
        <v>36</v>
      </c>
      <c r="B594" s="7" t="s">
        <v>2324</v>
      </c>
      <c r="C594" s="7" t="s">
        <v>6075</v>
      </c>
      <c r="D594" s="14" t="s">
        <v>1537</v>
      </c>
      <c r="E594" s="7" t="s">
        <v>1555</v>
      </c>
      <c r="F594" s="7"/>
      <c r="G594" s="15" t="s">
        <v>2325</v>
      </c>
      <c r="H594" s="7">
        <v>9199</v>
      </c>
      <c r="I594" s="19" t="s">
        <v>1</v>
      </c>
      <c r="J594" s="7" t="s">
        <v>2813</v>
      </c>
      <c r="K594" s="51">
        <v>41579</v>
      </c>
      <c r="L594" s="115">
        <v>41564</v>
      </c>
      <c r="M594" s="402">
        <f>K594-L594</f>
        <v>15</v>
      </c>
      <c r="N594" s="7" t="s">
        <v>2</v>
      </c>
      <c r="O594" s="74">
        <f>5/2</f>
        <v>2.5</v>
      </c>
      <c r="P594" s="117">
        <v>6.54</v>
      </c>
      <c r="Q594" s="131">
        <v>7.03</v>
      </c>
      <c r="R594" s="50">
        <v>67.7</v>
      </c>
      <c r="S594" s="74">
        <v>63</v>
      </c>
      <c r="T594" s="50">
        <v>0.45</v>
      </c>
      <c r="U594" s="74">
        <v>1.56</v>
      </c>
      <c r="V594" s="50">
        <v>0.75</v>
      </c>
      <c r="W594" s="74">
        <v>1.4999999999999999E-2</v>
      </c>
      <c r="X594" s="50">
        <v>0.12</v>
      </c>
      <c r="Y594" s="74">
        <v>8.0000000000000002E-3</v>
      </c>
      <c r="Z594" s="164">
        <v>8.8400000000000006E-2</v>
      </c>
      <c r="AA594" s="165">
        <v>6.54E-2</v>
      </c>
      <c r="AB594" s="50">
        <v>2027</v>
      </c>
      <c r="AC594" s="74">
        <v>19170</v>
      </c>
      <c r="AD594" s="164">
        <v>0</v>
      </c>
      <c r="AE594" s="50">
        <v>11074</v>
      </c>
      <c r="AF594" s="50">
        <f>0.01/2</f>
        <v>5.0000000000000001E-3</v>
      </c>
      <c r="AG594" s="74"/>
      <c r="AH594" s="74"/>
      <c r="AI594" s="113" t="s">
        <v>6367</v>
      </c>
      <c r="AJ594" s="50">
        <v>1100</v>
      </c>
      <c r="AK594" s="74"/>
      <c r="AL594" s="50"/>
      <c r="AM594" s="74"/>
      <c r="AN594" s="50"/>
      <c r="AO594" s="74"/>
      <c r="AP594" s="50"/>
      <c r="AQ594" s="74"/>
      <c r="AR594" s="50"/>
      <c r="AS594" s="74"/>
      <c r="AT594" s="50"/>
    </row>
    <row r="595" spans="1:46" ht="14">
      <c r="A595" s="53" t="s">
        <v>36</v>
      </c>
      <c r="B595" s="7" t="s">
        <v>3008</v>
      </c>
      <c r="C595" s="7" t="s">
        <v>393</v>
      </c>
      <c r="D595" s="14" t="s">
        <v>1633</v>
      </c>
      <c r="E595" s="7" t="s">
        <v>3011</v>
      </c>
      <c r="F595" s="7"/>
      <c r="G595" s="15" t="s">
        <v>3012</v>
      </c>
      <c r="H595" s="7">
        <v>9199</v>
      </c>
      <c r="I595" s="19" t="s">
        <v>2</v>
      </c>
      <c r="J595" s="7" t="s">
        <v>194</v>
      </c>
      <c r="K595" s="51">
        <v>41495</v>
      </c>
      <c r="L595" s="115">
        <v>41488</v>
      </c>
      <c r="M595" s="402">
        <f>K595-L595</f>
        <v>7</v>
      </c>
      <c r="N595" s="7" t="s">
        <v>2</v>
      </c>
      <c r="O595" s="74">
        <v>11.5</v>
      </c>
      <c r="P595" s="117"/>
      <c r="Q595" s="131">
        <v>8.6999999999999993</v>
      </c>
      <c r="R595" s="50">
        <v>168</v>
      </c>
      <c r="S595" s="74">
        <v>1148</v>
      </c>
      <c r="T595" s="50">
        <v>0.97</v>
      </c>
      <c r="U595" s="74">
        <v>3.8</v>
      </c>
      <c r="V595" s="50">
        <f>0.1/2</f>
        <v>0.05</v>
      </c>
      <c r="W595" s="74">
        <v>7.8E-2</v>
      </c>
      <c r="X595" s="50">
        <v>0.184</v>
      </c>
      <c r="Y595" s="74">
        <f>0.03/2</f>
        <v>1.4999999999999999E-2</v>
      </c>
      <c r="AE595" s="50">
        <v>176</v>
      </c>
      <c r="AF595" s="50">
        <f>0.05/2</f>
        <v>2.5000000000000001E-2</v>
      </c>
      <c r="AG595" s="74"/>
      <c r="AH595" s="74"/>
      <c r="AI595" s="113"/>
      <c r="AJ595" s="50"/>
      <c r="AK595" s="74"/>
      <c r="AL595" s="50"/>
      <c r="AM595" s="74"/>
      <c r="AN595" s="50"/>
      <c r="AO595" s="74"/>
      <c r="AP595" s="50"/>
      <c r="AQ595" s="74"/>
      <c r="AR595" s="50"/>
      <c r="AS595" s="74"/>
      <c r="AT595" s="50"/>
    </row>
    <row r="596" spans="1:46" ht="14">
      <c r="A596" s="53" t="s">
        <v>36</v>
      </c>
      <c r="B596" s="7" t="s">
        <v>3008</v>
      </c>
      <c r="C596" s="7" t="s">
        <v>393</v>
      </c>
      <c r="D596" s="14" t="s">
        <v>1633</v>
      </c>
      <c r="E596" s="7" t="s">
        <v>3011</v>
      </c>
      <c r="F596" s="7"/>
      <c r="G596" s="15" t="s">
        <v>3012</v>
      </c>
      <c r="H596" s="7">
        <v>9199</v>
      </c>
      <c r="I596" s="19" t="s">
        <v>2</v>
      </c>
      <c r="J596" s="7" t="s">
        <v>569</v>
      </c>
      <c r="K596" s="51">
        <v>41495</v>
      </c>
      <c r="L596" s="115">
        <v>41488</v>
      </c>
      <c r="M596" s="402">
        <f>K596-L596</f>
        <v>7</v>
      </c>
      <c r="N596" s="7" t="s">
        <v>2</v>
      </c>
      <c r="O596" s="74">
        <v>5.4</v>
      </c>
      <c r="P596" s="117"/>
      <c r="Q596" s="131">
        <v>7.9</v>
      </c>
      <c r="R596" s="50">
        <v>149</v>
      </c>
      <c r="S596" s="74">
        <v>980</v>
      </c>
      <c r="T596" s="50">
        <v>2.0499999999999998</v>
      </c>
      <c r="U596" s="74">
        <v>6.32</v>
      </c>
      <c r="V596" s="50">
        <v>0.18</v>
      </c>
      <c r="W596" s="74">
        <v>8.4000000000000005E-2</v>
      </c>
      <c r="X596" s="50">
        <v>0.24299999999999999</v>
      </c>
      <c r="Y596" s="74">
        <v>4.5999999999999999E-2</v>
      </c>
      <c r="AE596" s="50">
        <v>247</v>
      </c>
      <c r="AF596" s="50">
        <f>0.05/2</f>
        <v>2.5000000000000001E-2</v>
      </c>
      <c r="AG596" s="74"/>
      <c r="AH596" s="74"/>
      <c r="AI596" s="113"/>
      <c r="AJ596" s="50"/>
      <c r="AK596" s="74"/>
      <c r="AL596" s="50"/>
      <c r="AM596" s="74"/>
      <c r="AN596" s="50"/>
      <c r="AO596" s="74"/>
      <c r="AP596" s="50"/>
      <c r="AQ596" s="74"/>
      <c r="AR596" s="50"/>
      <c r="AS596" s="74"/>
      <c r="AT596" s="50"/>
    </row>
    <row r="597" spans="1:46" ht="14">
      <c r="A597" s="53" t="s">
        <v>36</v>
      </c>
      <c r="B597" s="7" t="s">
        <v>2752</v>
      </c>
      <c r="C597" s="7" t="s">
        <v>395</v>
      </c>
      <c r="D597" s="14" t="s">
        <v>1550</v>
      </c>
      <c r="E597" s="7"/>
      <c r="F597" s="7"/>
      <c r="G597" s="15" t="s">
        <v>2753</v>
      </c>
      <c r="H597" s="7"/>
      <c r="I597" s="19"/>
      <c r="J597" s="7" t="s">
        <v>335</v>
      </c>
      <c r="K597" s="51">
        <v>41579</v>
      </c>
      <c r="L597" s="115"/>
      <c r="N597" s="7" t="s">
        <v>2</v>
      </c>
      <c r="O597" s="74">
        <f>5/2</f>
        <v>2.5</v>
      </c>
      <c r="P597" s="117">
        <v>5.5</v>
      </c>
      <c r="Q597" s="131">
        <v>6.8</v>
      </c>
      <c r="R597" s="50">
        <v>37</v>
      </c>
      <c r="S597" s="74">
        <v>1</v>
      </c>
      <c r="T597" s="50">
        <v>0.24</v>
      </c>
      <c r="U597" s="74">
        <v>2.93</v>
      </c>
      <c r="V597" s="50">
        <v>0.68</v>
      </c>
      <c r="W597" s="74">
        <v>8.9999999999999993E-3</v>
      </c>
      <c r="X597" s="50">
        <v>0.03</v>
      </c>
      <c r="Y597" s="74">
        <v>2E-3</v>
      </c>
      <c r="AG597" s="74"/>
      <c r="AH597" s="74"/>
      <c r="AI597" s="113"/>
      <c r="AJ597" s="50"/>
      <c r="AK597" s="74"/>
      <c r="AL597" s="50"/>
      <c r="AM597" s="74"/>
      <c r="AN597" s="50"/>
      <c r="AO597" s="74"/>
      <c r="AP597" s="50"/>
      <c r="AQ597" s="74"/>
      <c r="AR597" s="50"/>
      <c r="AS597" s="74"/>
      <c r="AT597" s="50"/>
    </row>
    <row r="598" spans="1:46" ht="14">
      <c r="A598" s="53" t="s">
        <v>36</v>
      </c>
      <c r="B598" s="7" t="s">
        <v>387</v>
      </c>
      <c r="C598" s="7" t="s">
        <v>395</v>
      </c>
      <c r="D598" s="14" t="s">
        <v>389</v>
      </c>
      <c r="E598" s="7" t="s">
        <v>112</v>
      </c>
      <c r="F598" s="7"/>
      <c r="G598" s="15" t="s">
        <v>394</v>
      </c>
      <c r="H598" s="7"/>
      <c r="I598" s="19"/>
      <c r="J598" s="7" t="s">
        <v>395</v>
      </c>
      <c r="K598" s="51">
        <v>41579</v>
      </c>
      <c r="L598" s="115">
        <v>41554</v>
      </c>
      <c r="M598" s="402">
        <f>K598-L598</f>
        <v>25</v>
      </c>
      <c r="N598" s="7" t="s">
        <v>2</v>
      </c>
      <c r="O598" s="74">
        <f>1/2</f>
        <v>0.5</v>
      </c>
      <c r="P598" s="117">
        <v>6.08</v>
      </c>
      <c r="Q598" s="131">
        <v>6.42</v>
      </c>
      <c r="R598" s="50">
        <v>38.4</v>
      </c>
      <c r="S598" s="74">
        <v>67</v>
      </c>
      <c r="T598" s="50">
        <v>0.61</v>
      </c>
      <c r="U598" s="74">
        <v>2.6</v>
      </c>
      <c r="V598" s="50">
        <v>4.01</v>
      </c>
      <c r="W598" s="74">
        <v>4.7E-2</v>
      </c>
      <c r="X598" s="50">
        <v>8.1000000000000003E-2</v>
      </c>
      <c r="Y598" s="74">
        <v>2.1999999999999999E-2</v>
      </c>
      <c r="AG598" s="74"/>
      <c r="AH598" s="74"/>
      <c r="AI598" s="113"/>
      <c r="AJ598" s="50"/>
      <c r="AK598" s="74"/>
      <c r="AL598" s="50"/>
      <c r="AM598" s="74"/>
      <c r="AN598" s="50"/>
      <c r="AO598" s="74"/>
      <c r="AP598" s="50"/>
      <c r="AQ598" s="74"/>
      <c r="AR598" s="50"/>
      <c r="AS598" s="74"/>
      <c r="AT598" s="50"/>
    </row>
    <row r="599" spans="1:46" ht="14">
      <c r="A599" s="53" t="s">
        <v>36</v>
      </c>
      <c r="B599" s="7" t="s">
        <v>3459</v>
      </c>
      <c r="C599" s="7" t="s">
        <v>395</v>
      </c>
      <c r="D599" s="14" t="s">
        <v>3461</v>
      </c>
      <c r="E599" s="7"/>
      <c r="F599" s="7"/>
      <c r="G599" s="15" t="s">
        <v>6077</v>
      </c>
      <c r="H599" s="7"/>
      <c r="I599" s="19"/>
      <c r="J599" s="7" t="s">
        <v>395</v>
      </c>
      <c r="K599" s="51">
        <v>41530</v>
      </c>
      <c r="L599" s="115">
        <v>41519</v>
      </c>
      <c r="M599" s="402">
        <f>K599-L599</f>
        <v>11</v>
      </c>
      <c r="N599" s="7" t="s">
        <v>2</v>
      </c>
      <c r="O599" s="74">
        <f>0.5/2</f>
        <v>0.25</v>
      </c>
      <c r="P599" s="117">
        <v>7.34</v>
      </c>
      <c r="Q599" s="131">
        <v>6.6</v>
      </c>
      <c r="R599" s="50">
        <v>9</v>
      </c>
      <c r="S599" s="74">
        <v>19</v>
      </c>
      <c r="T599" s="50">
        <f>0.01/2</f>
        <v>5.0000000000000001E-3</v>
      </c>
      <c r="U599" s="74">
        <f>0.05/2</f>
        <v>2.5000000000000001E-2</v>
      </c>
      <c r="V599" s="50">
        <v>0.11</v>
      </c>
      <c r="W599" s="74">
        <f>0.005/2</f>
        <v>2.5000000000000001E-3</v>
      </c>
      <c r="X599" s="50">
        <f>0.01/2</f>
        <v>5.0000000000000001E-3</v>
      </c>
      <c r="Y599" s="74">
        <f>0.001/2</f>
        <v>5.0000000000000001E-4</v>
      </c>
      <c r="AE599" s="50">
        <f>5/2</f>
        <v>2.5</v>
      </c>
      <c r="AF599" s="50">
        <f>0.01/2</f>
        <v>5.0000000000000001E-3</v>
      </c>
      <c r="AG599" s="74"/>
      <c r="AH599" s="74"/>
      <c r="AI599" s="113"/>
      <c r="AJ599" s="50"/>
      <c r="AK599" s="74"/>
      <c r="AL599" s="50"/>
      <c r="AM599" s="74"/>
      <c r="AN599" s="50"/>
      <c r="AO599" s="74"/>
      <c r="AP599" s="50"/>
      <c r="AQ599" s="74"/>
      <c r="AR599" s="50"/>
      <c r="AS599" s="74"/>
      <c r="AT599" s="50"/>
    </row>
    <row r="600" spans="1:46" ht="14">
      <c r="A600" s="53" t="s">
        <v>36</v>
      </c>
      <c r="B600" s="7" t="s">
        <v>2877</v>
      </c>
      <c r="C600" s="7" t="s">
        <v>2882</v>
      </c>
      <c r="D600" s="14" t="s">
        <v>1175</v>
      </c>
      <c r="E600" s="7" t="s">
        <v>2883</v>
      </c>
      <c r="F600" s="7" t="s">
        <v>2884</v>
      </c>
      <c r="G600" s="15" t="s">
        <v>2885</v>
      </c>
      <c r="H600" s="7">
        <v>9199</v>
      </c>
      <c r="I600" s="19" t="s">
        <v>2</v>
      </c>
      <c r="J600" s="7" t="s">
        <v>856</v>
      </c>
      <c r="K600" s="51">
        <v>41596</v>
      </c>
      <c r="L600" s="115"/>
      <c r="N600" s="7" t="s">
        <v>2</v>
      </c>
      <c r="P600" s="117"/>
      <c r="Q600" s="131"/>
      <c r="AE600" s="50">
        <v>26.3</v>
      </c>
      <c r="AF600" s="50">
        <v>0.02</v>
      </c>
      <c r="AG600" s="74"/>
      <c r="AH600" s="74"/>
      <c r="AI600" s="113"/>
      <c r="AJ600" s="50"/>
      <c r="AK600" s="74"/>
      <c r="AL600" s="50"/>
      <c r="AM600" s="74"/>
      <c r="AN600" s="50"/>
      <c r="AO600" s="74"/>
      <c r="AP600" s="50"/>
      <c r="AQ600" s="74"/>
      <c r="AR600" s="50"/>
      <c r="AS600" s="74"/>
      <c r="AT600" s="50"/>
    </row>
    <row r="601" spans="1:46" ht="14">
      <c r="A601" s="53" t="s">
        <v>36</v>
      </c>
      <c r="B601" s="7" t="s">
        <v>2763</v>
      </c>
      <c r="C601" s="7" t="s">
        <v>4524</v>
      </c>
      <c r="D601" s="14" t="s">
        <v>2378</v>
      </c>
      <c r="E601" s="7"/>
      <c r="F601" s="7" t="s">
        <v>4166</v>
      </c>
      <c r="G601" s="15" t="s">
        <v>2765</v>
      </c>
      <c r="H601" s="7">
        <v>4212</v>
      </c>
      <c r="I601" s="19" t="s">
        <v>2</v>
      </c>
      <c r="J601" s="7" t="s">
        <v>510</v>
      </c>
      <c r="K601" s="51">
        <v>41585</v>
      </c>
      <c r="L601" s="115">
        <v>41554</v>
      </c>
      <c r="M601" s="402">
        <f t="shared" ref="M601:M608" si="34">K601-L601</f>
        <v>31</v>
      </c>
      <c r="N601" s="7" t="s">
        <v>2</v>
      </c>
      <c r="O601" s="74">
        <v>5.4</v>
      </c>
      <c r="P601" s="117">
        <v>6.5</v>
      </c>
      <c r="Q601" s="131">
        <v>7.12</v>
      </c>
      <c r="R601" s="50">
        <v>15</v>
      </c>
      <c r="S601" s="74">
        <v>130</v>
      </c>
      <c r="T601" s="50">
        <v>0.24</v>
      </c>
      <c r="U601" s="74">
        <v>1.33</v>
      </c>
      <c r="V601" s="50">
        <v>0.1</v>
      </c>
      <c r="W601" s="74">
        <v>2.9000000000000001E-2</v>
      </c>
      <c r="X601" s="50">
        <v>0.114</v>
      </c>
      <c r="Y601" s="74">
        <v>1.2E-2</v>
      </c>
      <c r="Z601" s="164">
        <v>1</v>
      </c>
      <c r="AA601" s="165">
        <v>1</v>
      </c>
      <c r="AB601" s="50">
        <v>6</v>
      </c>
      <c r="AC601" s="74">
        <v>399</v>
      </c>
      <c r="AD601" s="164">
        <v>0.95</v>
      </c>
      <c r="AE601" s="50">
        <v>151</v>
      </c>
      <c r="AF601" s="50">
        <f>0.01/2</f>
        <v>5.0000000000000001E-3</v>
      </c>
      <c r="AG601" s="74"/>
      <c r="AH601" s="74"/>
      <c r="AI601" s="113"/>
      <c r="AJ601" s="50"/>
      <c r="AK601" s="74"/>
      <c r="AL601" s="50"/>
      <c r="AM601" s="74"/>
      <c r="AN601" s="50"/>
      <c r="AO601" s="74"/>
      <c r="AP601" s="50"/>
      <c r="AQ601" s="74"/>
      <c r="AR601" s="50"/>
      <c r="AS601" s="74"/>
      <c r="AT601" s="50"/>
    </row>
    <row r="602" spans="1:46" ht="14">
      <c r="A602" s="53" t="s">
        <v>36</v>
      </c>
      <c r="B602" s="7" t="s">
        <v>2750</v>
      </c>
      <c r="C602" s="7" t="s">
        <v>5276</v>
      </c>
      <c r="D602" s="14" t="s">
        <v>247</v>
      </c>
      <c r="E602" s="7" t="s">
        <v>3038</v>
      </c>
      <c r="F602" s="7"/>
      <c r="G602" s="15" t="s">
        <v>2751</v>
      </c>
      <c r="H602" s="7"/>
      <c r="I602" s="19" t="s">
        <v>2</v>
      </c>
      <c r="J602" s="7"/>
      <c r="K602" s="51">
        <v>41614</v>
      </c>
      <c r="L602" s="115">
        <v>41605</v>
      </c>
      <c r="M602" s="402">
        <f t="shared" si="34"/>
        <v>9</v>
      </c>
      <c r="N602" s="7" t="s">
        <v>1</v>
      </c>
      <c r="O602" s="74">
        <f>1.8/2</f>
        <v>0.9</v>
      </c>
      <c r="P602" s="117"/>
      <c r="Q602" s="131">
        <v>7.63</v>
      </c>
      <c r="R602" s="50">
        <v>15</v>
      </c>
      <c r="S602" s="74">
        <v>79</v>
      </c>
      <c r="T602" s="50">
        <v>0.17</v>
      </c>
      <c r="U602" s="74">
        <v>1.05</v>
      </c>
      <c r="V602" s="50">
        <v>0.89</v>
      </c>
      <c r="W602" s="74">
        <v>7.0000000000000001E-3</v>
      </c>
      <c r="X602" s="50">
        <v>2.4E-2</v>
      </c>
      <c r="Y602" s="74">
        <v>3.0000000000000001E-3</v>
      </c>
      <c r="Z602" s="164">
        <v>1</v>
      </c>
      <c r="AA602" s="165">
        <v>1</v>
      </c>
      <c r="AB602" s="50">
        <v>84</v>
      </c>
      <c r="AC602" s="74">
        <v>454</v>
      </c>
      <c r="AD602" s="164">
        <v>1</v>
      </c>
      <c r="AG602" s="74"/>
      <c r="AH602" s="74"/>
      <c r="AI602" s="113"/>
      <c r="AJ602" s="50"/>
      <c r="AK602" s="74"/>
      <c r="AL602" s="50"/>
      <c r="AM602" s="74"/>
      <c r="AN602" s="50"/>
      <c r="AO602" s="74"/>
      <c r="AP602" s="50"/>
      <c r="AQ602" s="74"/>
      <c r="AR602" s="50"/>
      <c r="AS602" s="74"/>
      <c r="AT602" s="50"/>
    </row>
    <row r="603" spans="1:46" ht="14">
      <c r="A603" s="293" t="s">
        <v>36</v>
      </c>
      <c r="B603" s="7" t="s">
        <v>3037</v>
      </c>
      <c r="C603" s="7" t="s">
        <v>5952</v>
      </c>
      <c r="D603" s="14" t="s">
        <v>910</v>
      </c>
      <c r="E603" s="7"/>
      <c r="F603" s="7"/>
      <c r="G603" s="15" t="s">
        <v>3040</v>
      </c>
      <c r="H603" s="7"/>
      <c r="I603" s="19" t="s">
        <v>2</v>
      </c>
      <c r="J603" s="7" t="s">
        <v>6078</v>
      </c>
      <c r="K603" s="51">
        <v>41579</v>
      </c>
      <c r="L603" s="115"/>
      <c r="M603" s="402"/>
      <c r="N603" s="7" t="s">
        <v>2</v>
      </c>
      <c r="O603" s="74">
        <v>31.5</v>
      </c>
      <c r="P603" s="117">
        <v>5.5</v>
      </c>
      <c r="Q603" s="131">
        <v>6.9</v>
      </c>
      <c r="R603" s="50">
        <v>193</v>
      </c>
      <c r="S603" s="74">
        <v>74</v>
      </c>
      <c r="T603" s="50">
        <f>0.1/2</f>
        <v>0.05</v>
      </c>
      <c r="U603" s="74">
        <v>1.02</v>
      </c>
      <c r="V603" s="50">
        <v>0.08</v>
      </c>
      <c r="W603" s="74">
        <f>0.02/2</f>
        <v>0.01</v>
      </c>
      <c r="X603" s="50">
        <v>0.1</v>
      </c>
      <c r="Y603" s="74">
        <v>6.0000000000000001E-3</v>
      </c>
      <c r="AG603" s="74"/>
      <c r="AH603" s="74"/>
      <c r="AI603" s="113"/>
      <c r="AJ603" s="50"/>
      <c r="AK603" s="74"/>
      <c r="AL603" s="50"/>
      <c r="AM603" s="74"/>
      <c r="AN603" s="50"/>
      <c r="AO603" s="74"/>
      <c r="AP603" s="50"/>
      <c r="AQ603" s="74"/>
      <c r="AR603" s="50"/>
      <c r="AS603" s="74"/>
      <c r="AT603" s="50"/>
    </row>
    <row r="604" spans="1:46" ht="14">
      <c r="A604" s="53" t="s">
        <v>36</v>
      </c>
      <c r="B604" s="7" t="s">
        <v>3037</v>
      </c>
      <c r="C604" s="7" t="s">
        <v>5952</v>
      </c>
      <c r="D604" s="14" t="s">
        <v>910</v>
      </c>
      <c r="E604" s="7"/>
      <c r="F604" s="7"/>
      <c r="G604" s="15" t="s">
        <v>3040</v>
      </c>
      <c r="H604" s="7"/>
      <c r="I604" s="19" t="s">
        <v>2</v>
      </c>
      <c r="J604" s="7" t="s">
        <v>5954</v>
      </c>
      <c r="K604" s="51">
        <v>41585</v>
      </c>
      <c r="L604" s="115">
        <v>41579</v>
      </c>
      <c r="M604" s="402">
        <f t="shared" si="34"/>
        <v>6</v>
      </c>
      <c r="N604" s="7" t="s">
        <v>2</v>
      </c>
      <c r="O604" s="74">
        <v>27.4</v>
      </c>
      <c r="P604" s="117">
        <v>5.5</v>
      </c>
      <c r="Q604" s="131">
        <v>6.7</v>
      </c>
      <c r="R604" s="50">
        <v>121.5</v>
      </c>
      <c r="S604" s="74">
        <v>98</v>
      </c>
      <c r="T604" s="50">
        <f>0.1/2</f>
        <v>0.05</v>
      </c>
      <c r="U604" s="74">
        <v>1.91</v>
      </c>
      <c r="V604" s="50">
        <f>0.05/2</f>
        <v>2.5000000000000001E-2</v>
      </c>
      <c r="W604" s="74">
        <f>0.02/2</f>
        <v>0.01</v>
      </c>
      <c r="X604" s="50">
        <f>0.05/2</f>
        <v>2.5000000000000001E-2</v>
      </c>
      <c r="Y604" s="74">
        <v>0.01</v>
      </c>
      <c r="AG604" s="74"/>
      <c r="AH604" s="74"/>
      <c r="AI604" s="113"/>
      <c r="AJ604" s="50"/>
      <c r="AK604" s="74"/>
      <c r="AL604" s="50"/>
      <c r="AM604" s="74"/>
      <c r="AN604" s="50"/>
      <c r="AO604" s="74"/>
      <c r="AP604" s="50"/>
      <c r="AQ604" s="74"/>
      <c r="AR604" s="50"/>
      <c r="AS604" s="74"/>
      <c r="AT604" s="50"/>
    </row>
    <row r="605" spans="1:46" ht="14">
      <c r="A605" s="53" t="s">
        <v>36</v>
      </c>
      <c r="B605" s="7" t="s">
        <v>3037</v>
      </c>
      <c r="C605" s="7" t="s">
        <v>5952</v>
      </c>
      <c r="D605" s="14" t="s">
        <v>910</v>
      </c>
      <c r="E605" s="7"/>
      <c r="F605" s="7"/>
      <c r="G605" s="15" t="s">
        <v>3040</v>
      </c>
      <c r="H605" s="7"/>
      <c r="I605" s="19" t="s">
        <v>2</v>
      </c>
      <c r="J605" s="7" t="s">
        <v>5955</v>
      </c>
      <c r="K605" s="51">
        <v>41585</v>
      </c>
      <c r="L605" s="115">
        <v>41579</v>
      </c>
      <c r="M605" s="402">
        <f t="shared" si="34"/>
        <v>6</v>
      </c>
      <c r="N605" s="7" t="s">
        <v>2</v>
      </c>
      <c r="O605" s="74">
        <v>41.7</v>
      </c>
      <c r="P605" s="117">
        <v>5.5</v>
      </c>
      <c r="Q605" s="131">
        <v>6.5</v>
      </c>
      <c r="R605" s="50">
        <v>179</v>
      </c>
      <c r="S605" s="74">
        <v>124</v>
      </c>
      <c r="T605" s="50">
        <f>0.1/2</f>
        <v>0.05</v>
      </c>
      <c r="U605" s="74">
        <v>1.82</v>
      </c>
      <c r="V605" s="50">
        <v>0.06</v>
      </c>
      <c r="W605" s="74">
        <f>0.02/2</f>
        <v>0.01</v>
      </c>
      <c r="X605" s="50">
        <f>0.05/2</f>
        <v>2.5000000000000001E-2</v>
      </c>
      <c r="Y605" s="74">
        <v>1.2E-2</v>
      </c>
      <c r="AG605" s="74"/>
      <c r="AH605" s="74"/>
      <c r="AI605" s="113"/>
      <c r="AJ605" s="50"/>
      <c r="AK605" s="74"/>
      <c r="AL605" s="50"/>
      <c r="AM605" s="74"/>
      <c r="AN605" s="50"/>
      <c r="AO605" s="74"/>
      <c r="AP605" s="50"/>
      <c r="AQ605" s="74"/>
      <c r="AR605" s="50"/>
      <c r="AS605" s="74"/>
      <c r="AT605" s="50"/>
    </row>
    <row r="606" spans="1:46" ht="14">
      <c r="A606" s="53" t="s">
        <v>36</v>
      </c>
      <c r="B606" s="7" t="s">
        <v>3044</v>
      </c>
      <c r="C606" s="7" t="s">
        <v>6079</v>
      </c>
      <c r="D606" s="14" t="s">
        <v>462</v>
      </c>
      <c r="E606" s="7" t="s">
        <v>6080</v>
      </c>
      <c r="F606" s="7" t="s">
        <v>3114</v>
      </c>
      <c r="G606" s="15" t="s">
        <v>3115</v>
      </c>
      <c r="H606" s="7">
        <v>9199</v>
      </c>
      <c r="I606" s="19" t="s">
        <v>2</v>
      </c>
      <c r="J606" s="7" t="s">
        <v>4520</v>
      </c>
      <c r="K606" s="51">
        <v>41691</v>
      </c>
      <c r="L606" s="115">
        <v>41689</v>
      </c>
      <c r="M606" s="402">
        <f t="shared" si="34"/>
        <v>2</v>
      </c>
      <c r="N606" s="7" t="s">
        <v>1</v>
      </c>
      <c r="O606" s="74">
        <v>53</v>
      </c>
      <c r="P606" s="117">
        <v>5.5</v>
      </c>
      <c r="Q606" s="131">
        <v>7.5</v>
      </c>
      <c r="R606" s="50">
        <v>137</v>
      </c>
      <c r="S606" s="74">
        <v>21000</v>
      </c>
      <c r="T606" s="50">
        <v>6.3</v>
      </c>
      <c r="U606" s="74">
        <v>19.3</v>
      </c>
      <c r="V606" s="50">
        <v>1.47</v>
      </c>
      <c r="W606" s="74">
        <v>1.25</v>
      </c>
      <c r="X606" s="50">
        <v>3.8</v>
      </c>
      <c r="Y606" s="74">
        <v>0.45600000000000002</v>
      </c>
      <c r="AG606" s="74"/>
      <c r="AH606" s="74"/>
      <c r="AI606" s="113"/>
      <c r="AJ606" s="50"/>
      <c r="AK606" s="74"/>
      <c r="AL606" s="50"/>
      <c r="AM606" s="74"/>
      <c r="AN606" s="50"/>
      <c r="AO606" s="74"/>
      <c r="AP606" s="50"/>
      <c r="AQ606" s="74"/>
      <c r="AR606" s="50"/>
      <c r="AS606" s="74"/>
      <c r="AT606" s="50"/>
    </row>
    <row r="607" spans="1:46" ht="14">
      <c r="A607" s="53" t="s">
        <v>36</v>
      </c>
      <c r="B607" s="7" t="s">
        <v>3044</v>
      </c>
      <c r="C607" s="7" t="s">
        <v>6079</v>
      </c>
      <c r="D607" s="14" t="s">
        <v>462</v>
      </c>
      <c r="E607" s="7" t="s">
        <v>6080</v>
      </c>
      <c r="F607" s="7" t="s">
        <v>3114</v>
      </c>
      <c r="G607" s="15" t="s">
        <v>3115</v>
      </c>
      <c r="H607" s="7">
        <v>9199</v>
      </c>
      <c r="I607" s="19" t="s">
        <v>2</v>
      </c>
      <c r="J607" s="7" t="s">
        <v>4534</v>
      </c>
      <c r="K607" s="51">
        <v>41691</v>
      </c>
      <c r="L607" s="115">
        <v>41689</v>
      </c>
      <c r="M607" s="402">
        <f t="shared" si="34"/>
        <v>2</v>
      </c>
      <c r="N607" s="7" t="s">
        <v>1</v>
      </c>
      <c r="O607" s="74">
        <v>8.9</v>
      </c>
      <c r="P607" s="117">
        <v>5.5</v>
      </c>
      <c r="Q607" s="131">
        <v>7.46</v>
      </c>
      <c r="R607" s="50">
        <v>140</v>
      </c>
      <c r="S607" s="74">
        <v>2800</v>
      </c>
      <c r="T607" s="50">
        <v>5.3</v>
      </c>
      <c r="U607" s="74">
        <v>4.95</v>
      </c>
      <c r="V607" s="50">
        <v>0.94</v>
      </c>
      <c r="W607" s="74">
        <v>0.22500000000000001</v>
      </c>
      <c r="X607" s="50">
        <v>0.56799999999999995</v>
      </c>
      <c r="Y607" s="74">
        <v>0.06</v>
      </c>
      <c r="AG607" s="74"/>
      <c r="AH607" s="74"/>
      <c r="AI607" s="113"/>
      <c r="AJ607" s="50"/>
      <c r="AK607" s="74"/>
      <c r="AL607" s="50"/>
      <c r="AM607" s="74"/>
      <c r="AN607" s="50"/>
      <c r="AO607" s="74"/>
      <c r="AP607" s="50"/>
      <c r="AQ607" s="74"/>
      <c r="AR607" s="50"/>
      <c r="AS607" s="74"/>
      <c r="AT607" s="50"/>
    </row>
    <row r="608" spans="1:46" ht="14">
      <c r="A608" s="293" t="s">
        <v>36</v>
      </c>
      <c r="B608" s="7" t="s">
        <v>3044</v>
      </c>
      <c r="C608" s="7" t="s">
        <v>1332</v>
      </c>
      <c r="D608" s="14" t="s">
        <v>462</v>
      </c>
      <c r="E608" s="7" t="s">
        <v>1245</v>
      </c>
      <c r="F608" s="7" t="s">
        <v>4522</v>
      </c>
      <c r="G608" s="15" t="s">
        <v>4821</v>
      </c>
      <c r="H608" s="7">
        <v>4952</v>
      </c>
      <c r="I608" s="19" t="s">
        <v>1</v>
      </c>
      <c r="J608" s="7" t="s">
        <v>2000</v>
      </c>
      <c r="K608" s="51">
        <v>41691</v>
      </c>
      <c r="L608" s="115">
        <v>41689</v>
      </c>
      <c r="M608" s="402">
        <f t="shared" si="34"/>
        <v>2</v>
      </c>
      <c r="N608" s="7" t="s">
        <v>1</v>
      </c>
      <c r="O608" s="74">
        <f>1.4/2</f>
        <v>0.7</v>
      </c>
      <c r="P608" s="117">
        <v>5.5</v>
      </c>
      <c r="Q608" s="131">
        <v>7.18</v>
      </c>
      <c r="R608" s="50">
        <v>25</v>
      </c>
      <c r="S608" s="74">
        <v>390</v>
      </c>
      <c r="T608" s="50">
        <v>0.57999999999999996</v>
      </c>
      <c r="U608" s="74">
        <v>1.74</v>
      </c>
      <c r="V608" s="50">
        <v>1.1399999999999999</v>
      </c>
      <c r="W608" s="74">
        <v>0.04</v>
      </c>
      <c r="X608" s="50">
        <v>7.5999999999999998E-2</v>
      </c>
      <c r="Y608" s="74">
        <v>1.2999999999999999E-2</v>
      </c>
      <c r="AG608" s="74"/>
      <c r="AH608" s="74"/>
      <c r="AI608" s="113"/>
      <c r="AJ608" s="50"/>
      <c r="AK608" s="74"/>
      <c r="AL608" s="50"/>
      <c r="AM608" s="74"/>
      <c r="AN608" s="50"/>
      <c r="AO608" s="74"/>
      <c r="AP608" s="50"/>
      <c r="AQ608" s="74"/>
      <c r="AR608" s="50"/>
      <c r="AS608" s="74"/>
      <c r="AT608" s="50"/>
    </row>
    <row r="609" spans="1:46" ht="14">
      <c r="A609" s="53" t="s">
        <v>36</v>
      </c>
      <c r="B609" s="7" t="s">
        <v>3168</v>
      </c>
      <c r="C609" s="7" t="s">
        <v>4003</v>
      </c>
      <c r="D609" s="14" t="s">
        <v>559</v>
      </c>
      <c r="E609" s="7" t="s">
        <v>2423</v>
      </c>
      <c r="F609" s="7" t="s">
        <v>3170</v>
      </c>
      <c r="G609" s="15" t="s">
        <v>5079</v>
      </c>
      <c r="H609" s="7">
        <v>9199</v>
      </c>
      <c r="I609" s="19" t="s">
        <v>2</v>
      </c>
      <c r="J609" s="7" t="s">
        <v>81</v>
      </c>
      <c r="K609" s="51">
        <v>41345</v>
      </c>
      <c r="L609" s="115" t="s">
        <v>3434</v>
      </c>
      <c r="N609" s="7" t="s">
        <v>2</v>
      </c>
      <c r="O609" s="74">
        <v>5.26</v>
      </c>
      <c r="P609" s="117">
        <v>7.57</v>
      </c>
      <c r="Q609" s="131">
        <v>6.4</v>
      </c>
      <c r="R609" s="50">
        <v>1734</v>
      </c>
      <c r="S609" s="74">
        <v>23</v>
      </c>
      <c r="T609" s="50">
        <f>0.05/2</f>
        <v>2.5000000000000001E-2</v>
      </c>
      <c r="U609" s="74">
        <v>0.53</v>
      </c>
      <c r="V609" s="50">
        <v>22</v>
      </c>
      <c r="W609" s="74">
        <v>0.02</v>
      </c>
      <c r="X609" s="50">
        <v>0.43</v>
      </c>
      <c r="Y609" s="74">
        <f>0.004/2</f>
        <v>2E-3</v>
      </c>
      <c r="Z609" s="164">
        <v>1</v>
      </c>
      <c r="AA609" s="165">
        <v>1</v>
      </c>
      <c r="AB609" s="50">
        <v>220</v>
      </c>
      <c r="AC609" s="74">
        <v>1397</v>
      </c>
      <c r="AD609" s="164">
        <v>1</v>
      </c>
      <c r="AE609" s="50">
        <v>5198</v>
      </c>
      <c r="AF609" s="50">
        <f>0.01/2</f>
        <v>5.0000000000000001E-3</v>
      </c>
      <c r="AG609" s="74"/>
      <c r="AH609" s="74"/>
      <c r="AI609" s="113"/>
      <c r="AJ609" s="50"/>
      <c r="AK609" s="74"/>
      <c r="AL609" s="50"/>
      <c r="AM609" s="74"/>
      <c r="AN609" s="50"/>
      <c r="AO609" s="74"/>
      <c r="AP609" s="50"/>
      <c r="AQ609" s="74"/>
      <c r="AR609" s="50"/>
      <c r="AS609" s="74"/>
      <c r="AT609" s="50"/>
    </row>
    <row r="610" spans="1:46" ht="14">
      <c r="A610" s="53" t="s">
        <v>36</v>
      </c>
      <c r="B610" s="7" t="s">
        <v>2663</v>
      </c>
      <c r="C610" s="7"/>
      <c r="D610" s="14" t="s">
        <v>2665</v>
      </c>
      <c r="E610" s="7" t="s">
        <v>6081</v>
      </c>
      <c r="F610" s="7"/>
      <c r="G610" s="15" t="s">
        <v>2668</v>
      </c>
      <c r="H610" s="7"/>
      <c r="I610" s="19"/>
      <c r="J610" s="7" t="s">
        <v>6082</v>
      </c>
      <c r="K610" s="51">
        <v>41553</v>
      </c>
      <c r="L610" s="115">
        <v>41539</v>
      </c>
      <c r="M610" s="402">
        <f>K610-L610</f>
        <v>14</v>
      </c>
      <c r="N610" s="7" t="s">
        <v>2</v>
      </c>
      <c r="O610" s="74">
        <v>0.9</v>
      </c>
      <c r="P610" s="117">
        <v>5.54</v>
      </c>
      <c r="Q610" s="131">
        <v>6.2</v>
      </c>
      <c r="R610" s="50">
        <f>5/2</f>
        <v>2.5</v>
      </c>
      <c r="S610" s="74">
        <f>1/2</f>
        <v>0.5</v>
      </c>
      <c r="T610" s="50">
        <v>0.01</v>
      </c>
      <c r="U610" s="74">
        <v>0.21</v>
      </c>
      <c r="V610" s="50">
        <v>0.74</v>
      </c>
      <c r="W610" s="74">
        <v>0.01</v>
      </c>
      <c r="X610" s="50">
        <f>0.01/2</f>
        <v>5.0000000000000001E-3</v>
      </c>
      <c r="Y610" s="74">
        <f>0.001/2</f>
        <v>5.0000000000000001E-4</v>
      </c>
      <c r="Z610" s="164">
        <v>1</v>
      </c>
      <c r="AA610" s="165">
        <v>1</v>
      </c>
      <c r="AB610" s="50">
        <v>27</v>
      </c>
      <c r="AC610" s="74">
        <v>109</v>
      </c>
      <c r="AD610" s="164">
        <v>1</v>
      </c>
      <c r="AG610" s="74"/>
      <c r="AH610" s="74"/>
      <c r="AI610" s="113"/>
      <c r="AJ610" s="50"/>
      <c r="AK610" s="74"/>
      <c r="AL610" s="50"/>
      <c r="AM610" s="74"/>
      <c r="AN610" s="50"/>
      <c r="AO610" s="74"/>
      <c r="AP610" s="50"/>
      <c r="AQ610" s="74"/>
      <c r="AR610" s="50"/>
      <c r="AS610" s="74"/>
      <c r="AT610" s="50"/>
    </row>
    <row r="611" spans="1:46" ht="14">
      <c r="A611" s="53" t="s">
        <v>36</v>
      </c>
      <c r="B611" s="7" t="s">
        <v>2663</v>
      </c>
      <c r="C611" s="7"/>
      <c r="D611" s="14" t="s">
        <v>2665</v>
      </c>
      <c r="E611" s="7" t="s">
        <v>6081</v>
      </c>
      <c r="F611" s="7"/>
      <c r="G611" s="15" t="s">
        <v>2668</v>
      </c>
      <c r="H611" s="7"/>
      <c r="I611" s="19"/>
      <c r="J611" s="7" t="s">
        <v>6083</v>
      </c>
      <c r="K611" s="51">
        <v>41553</v>
      </c>
      <c r="L611" s="115">
        <v>41539</v>
      </c>
      <c r="M611" s="402">
        <f>K611-L611</f>
        <v>14</v>
      </c>
      <c r="N611" s="7" t="s">
        <v>2</v>
      </c>
      <c r="O611" s="74">
        <f>0.5/2</f>
        <v>0.25</v>
      </c>
      <c r="P611" s="117">
        <v>5.54</v>
      </c>
      <c r="Q611" s="131">
        <v>6.3</v>
      </c>
      <c r="R611" s="50">
        <v>14</v>
      </c>
      <c r="S611" s="74">
        <v>2.4</v>
      </c>
      <c r="T611" s="50">
        <v>0.06</v>
      </c>
      <c r="U611" s="74">
        <v>0.6</v>
      </c>
      <c r="V611" s="50">
        <v>3.15</v>
      </c>
      <c r="W611" s="74">
        <v>0.02</v>
      </c>
      <c r="X611" s="50">
        <v>0.01</v>
      </c>
      <c r="Y611" s="74">
        <f>0.001/2</f>
        <v>5.0000000000000001E-4</v>
      </c>
      <c r="Z611" s="164">
        <v>1</v>
      </c>
      <c r="AA611" s="165">
        <v>1</v>
      </c>
      <c r="AB611" s="50">
        <v>87</v>
      </c>
      <c r="AC611" s="74">
        <v>404</v>
      </c>
      <c r="AD611" s="164">
        <v>1</v>
      </c>
      <c r="AE611" s="50">
        <v>89</v>
      </c>
      <c r="AF611" s="50">
        <f>0.01/2</f>
        <v>5.0000000000000001E-3</v>
      </c>
      <c r="AG611" s="74"/>
      <c r="AH611" s="74"/>
      <c r="AI611" s="113"/>
      <c r="AJ611" s="50"/>
      <c r="AK611" s="74"/>
      <c r="AL611" s="50"/>
      <c r="AM611" s="74"/>
      <c r="AN611" s="50"/>
      <c r="AO611" s="74"/>
      <c r="AP611" s="50"/>
      <c r="AQ611" s="74"/>
      <c r="AR611" s="50"/>
      <c r="AS611" s="74"/>
      <c r="AT611" s="50"/>
    </row>
    <row r="612" spans="1:46" ht="14">
      <c r="A612" s="53" t="s">
        <v>36</v>
      </c>
      <c r="B612" s="7" t="s">
        <v>6084</v>
      </c>
      <c r="C612" s="7" t="s">
        <v>6085</v>
      </c>
      <c r="D612" s="14" t="s">
        <v>5297</v>
      </c>
      <c r="E612" s="7" t="s">
        <v>6086</v>
      </c>
      <c r="F612" s="7"/>
      <c r="G612" s="15" t="s">
        <v>6087</v>
      </c>
      <c r="H612" s="7"/>
      <c r="I612" s="19" t="s">
        <v>2</v>
      </c>
      <c r="J612" s="7" t="s">
        <v>6088</v>
      </c>
      <c r="K612" s="51">
        <v>41637</v>
      </c>
      <c r="L612" s="115">
        <v>41632</v>
      </c>
      <c r="M612" s="402">
        <f>K612-L612</f>
        <v>5</v>
      </c>
      <c r="N612" s="7" t="s">
        <v>2</v>
      </c>
      <c r="O612" s="74">
        <v>1.8</v>
      </c>
      <c r="P612" s="117">
        <v>6</v>
      </c>
      <c r="Q612" s="131">
        <v>6.3</v>
      </c>
      <c r="R612" s="50">
        <v>36</v>
      </c>
      <c r="S612" s="74">
        <f>2/2</f>
        <v>1</v>
      </c>
      <c r="T612" s="50">
        <v>2.1000000000000001E-2</v>
      </c>
      <c r="U612" s="74">
        <f>0.5/2</f>
        <v>0.25</v>
      </c>
      <c r="V612" s="50">
        <v>0.28000000000000003</v>
      </c>
      <c r="W612" s="74">
        <f>0.002/2</f>
        <v>1E-3</v>
      </c>
      <c r="X612" s="50">
        <v>1.2E-2</v>
      </c>
      <c r="Y612" s="74">
        <f>0.002/2</f>
        <v>1E-3</v>
      </c>
      <c r="Z612" s="164">
        <v>1</v>
      </c>
      <c r="AA612" s="165">
        <v>1</v>
      </c>
      <c r="AB612" s="50">
        <v>16</v>
      </c>
      <c r="AC612" s="74">
        <v>71</v>
      </c>
      <c r="AD612" s="164">
        <v>1</v>
      </c>
      <c r="AG612" s="74"/>
      <c r="AH612" s="74"/>
      <c r="AI612" s="113"/>
      <c r="AJ612" s="50"/>
      <c r="AK612" s="74"/>
      <c r="AL612" s="50"/>
      <c r="AM612" s="74"/>
      <c r="AN612" s="50"/>
      <c r="AO612" s="74"/>
      <c r="AP612" s="50"/>
      <c r="AQ612" s="74"/>
      <c r="AR612" s="50"/>
      <c r="AS612" s="74"/>
      <c r="AT612" s="50"/>
    </row>
    <row r="613" spans="1:46" ht="14">
      <c r="A613" s="53" t="s">
        <v>36</v>
      </c>
      <c r="B613" s="7" t="s">
        <v>2933</v>
      </c>
      <c r="C613" s="7" t="s">
        <v>6089</v>
      </c>
      <c r="D613" s="14" t="s">
        <v>2934</v>
      </c>
      <c r="E613" s="7"/>
      <c r="F613" s="7"/>
      <c r="G613" s="15" t="s">
        <v>2935</v>
      </c>
      <c r="H613" s="7"/>
      <c r="I613" s="19"/>
      <c r="J613" s="372" t="s">
        <v>1943</v>
      </c>
      <c r="K613" s="51">
        <v>41402</v>
      </c>
      <c r="L613" s="115"/>
      <c r="N613" s="7" t="s">
        <v>2</v>
      </c>
      <c r="O613" s="74">
        <f>2/2</f>
        <v>1</v>
      </c>
      <c r="P613" s="117">
        <v>5.9</v>
      </c>
      <c r="Q613" s="131">
        <v>8.9</v>
      </c>
      <c r="R613" s="50">
        <v>180</v>
      </c>
      <c r="S613" s="74">
        <v>562</v>
      </c>
      <c r="T613" s="50">
        <v>0.71699999999999997</v>
      </c>
      <c r="U613" s="74">
        <v>3</v>
      </c>
      <c r="V613" s="50">
        <f>0.46/2</f>
        <v>0.23</v>
      </c>
      <c r="W613" s="74">
        <v>0.04</v>
      </c>
      <c r="X613" s="50">
        <v>0.21199999999999999</v>
      </c>
      <c r="Y613" s="74">
        <v>2.9700000000000001E-2</v>
      </c>
      <c r="AG613" s="74"/>
      <c r="AH613" s="74"/>
      <c r="AI613" s="113"/>
      <c r="AJ613" s="50"/>
      <c r="AK613" s="74"/>
      <c r="AL613" s="50"/>
      <c r="AM613" s="74"/>
      <c r="AN613" s="50"/>
      <c r="AO613" s="74"/>
      <c r="AP613" s="50"/>
      <c r="AQ613" s="74"/>
      <c r="AR613" s="50"/>
      <c r="AS613" s="74"/>
      <c r="AT613" s="50"/>
    </row>
    <row r="614" spans="1:46" ht="14">
      <c r="A614" s="53" t="s">
        <v>36</v>
      </c>
      <c r="B614" s="7" t="s">
        <v>2933</v>
      </c>
      <c r="C614" s="7" t="s">
        <v>6089</v>
      </c>
      <c r="D614" s="14" t="s">
        <v>2934</v>
      </c>
      <c r="E614" s="7"/>
      <c r="F614" s="7"/>
      <c r="G614" s="15" t="s">
        <v>2935</v>
      </c>
      <c r="H614" s="7"/>
      <c r="I614" s="19"/>
      <c r="J614" s="372" t="s">
        <v>425</v>
      </c>
      <c r="K614" s="51">
        <v>41402</v>
      </c>
      <c r="L614" s="115"/>
      <c r="N614" s="7" t="s">
        <v>2</v>
      </c>
      <c r="O614" s="74">
        <f>1.7/2</f>
        <v>0.85</v>
      </c>
      <c r="P614" s="117">
        <v>5.9</v>
      </c>
      <c r="Q614" s="131">
        <v>7.4</v>
      </c>
      <c r="R614" s="50">
        <v>110</v>
      </c>
      <c r="S614" s="74">
        <v>294</v>
      </c>
      <c r="T614" s="50">
        <v>0.35</v>
      </c>
      <c r="U614" s="74">
        <v>2.4</v>
      </c>
      <c r="V614" s="50">
        <f>0.46/2</f>
        <v>0.23</v>
      </c>
      <c r="W614" s="74">
        <v>1.2999999999999999E-2</v>
      </c>
      <c r="X614" s="50">
        <v>8.2000000000000003E-2</v>
      </c>
      <c r="Y614" s="74">
        <v>7.3000000000000001E-3</v>
      </c>
      <c r="AG614" s="74"/>
      <c r="AH614" s="74"/>
      <c r="AI614" s="113"/>
      <c r="AJ614" s="50"/>
      <c r="AK614" s="74"/>
      <c r="AL614" s="50"/>
      <c r="AM614" s="74"/>
      <c r="AN614" s="50"/>
      <c r="AO614" s="74"/>
      <c r="AP614" s="50"/>
      <c r="AQ614" s="74"/>
      <c r="AR614" s="50"/>
      <c r="AS614" s="74"/>
      <c r="AT614" s="50"/>
    </row>
    <row r="615" spans="1:46" ht="14">
      <c r="A615" s="53" t="s">
        <v>36</v>
      </c>
      <c r="B615" s="7" t="s">
        <v>2933</v>
      </c>
      <c r="C615" s="7" t="s">
        <v>6089</v>
      </c>
      <c r="D615" s="14" t="s">
        <v>2934</v>
      </c>
      <c r="E615" s="7"/>
      <c r="F615" s="7"/>
      <c r="G615" s="15" t="s">
        <v>2935</v>
      </c>
      <c r="H615" s="7"/>
      <c r="I615" s="19"/>
      <c r="J615" s="372" t="s">
        <v>1341</v>
      </c>
      <c r="K615" s="51">
        <v>41402</v>
      </c>
      <c r="L615" s="115"/>
      <c r="N615" s="7" t="s">
        <v>2</v>
      </c>
      <c r="O615" s="74">
        <f>1.9/2</f>
        <v>0.95</v>
      </c>
      <c r="P615" s="117">
        <v>5.9</v>
      </c>
      <c r="Q615" s="131">
        <v>7.1</v>
      </c>
      <c r="R615" s="50">
        <v>48</v>
      </c>
      <c r="S615" s="74">
        <v>29</v>
      </c>
      <c r="T615" s="50">
        <v>0.14599999999999999</v>
      </c>
      <c r="U615" s="74">
        <v>2.2000000000000002</v>
      </c>
      <c r="V615" s="50">
        <f>0.46/2</f>
        <v>0.23</v>
      </c>
      <c r="W615" s="74">
        <v>6.0000000000000001E-3</v>
      </c>
      <c r="X615" s="50">
        <v>2.5999999999999999E-2</v>
      </c>
      <c r="Y615" s="74">
        <f>0.005/2</f>
        <v>2.5000000000000001E-3</v>
      </c>
      <c r="AG615" s="74"/>
      <c r="AH615" s="74"/>
      <c r="AI615" s="113"/>
      <c r="AJ615" s="50"/>
      <c r="AK615" s="74"/>
      <c r="AL615" s="50"/>
      <c r="AM615" s="74"/>
      <c r="AN615" s="50"/>
      <c r="AO615" s="74"/>
      <c r="AP615" s="50"/>
      <c r="AQ615" s="74"/>
      <c r="AR615" s="50"/>
      <c r="AS615" s="74"/>
      <c r="AT615" s="50"/>
    </row>
    <row r="616" spans="1:46" ht="14">
      <c r="A616" s="53" t="s">
        <v>36</v>
      </c>
      <c r="B616" s="7" t="s">
        <v>2966</v>
      </c>
      <c r="C616" s="7" t="s">
        <v>395</v>
      </c>
      <c r="D616" s="14" t="s">
        <v>186</v>
      </c>
      <c r="E616" s="7" t="s">
        <v>4616</v>
      </c>
      <c r="F616" s="7"/>
      <c r="G616" s="15" t="s">
        <v>992</v>
      </c>
      <c r="H616" s="7">
        <v>9199</v>
      </c>
      <c r="I616" s="19" t="s">
        <v>2</v>
      </c>
      <c r="J616" s="7" t="s">
        <v>1678</v>
      </c>
      <c r="K616" s="51">
        <v>41352</v>
      </c>
      <c r="L616" s="115">
        <v>41345</v>
      </c>
      <c r="M616" s="402">
        <f>K616-L616</f>
        <v>7</v>
      </c>
      <c r="N616" s="7" t="s">
        <v>2</v>
      </c>
      <c r="O616" s="74">
        <f>2/2</f>
        <v>1</v>
      </c>
      <c r="P616" s="117">
        <v>5.0999999999999996</v>
      </c>
      <c r="Q616" s="131">
        <v>6.4</v>
      </c>
      <c r="R616" s="50">
        <v>11</v>
      </c>
      <c r="S616" s="74">
        <v>32</v>
      </c>
      <c r="T616" s="50">
        <v>5.5E-2</v>
      </c>
      <c r="U616" s="74">
        <f>0.5/2</f>
        <v>0.25</v>
      </c>
      <c r="V616" s="50">
        <v>1.2</v>
      </c>
      <c r="W616" s="74">
        <v>4.0000000000000001E-3</v>
      </c>
      <c r="X616" s="50">
        <v>2.8000000000000001E-2</v>
      </c>
      <c r="Y616" s="74">
        <f>0.002/2</f>
        <v>1E-3</v>
      </c>
      <c r="Z616" s="164">
        <v>1</v>
      </c>
      <c r="AA616" s="165">
        <v>1</v>
      </c>
      <c r="AB616" s="50">
        <v>41</v>
      </c>
      <c r="AC616" s="74">
        <v>444</v>
      </c>
      <c r="AD616" s="164">
        <v>0.8</v>
      </c>
      <c r="AG616" s="74"/>
      <c r="AH616" s="74"/>
      <c r="AI616" s="113"/>
      <c r="AJ616" s="50"/>
      <c r="AK616" s="74"/>
      <c r="AL616" s="50"/>
      <c r="AM616" s="74"/>
      <c r="AN616" s="50"/>
      <c r="AO616" s="74"/>
      <c r="AP616" s="50"/>
      <c r="AQ616" s="74"/>
      <c r="AR616" s="50"/>
      <c r="AS616" s="74"/>
      <c r="AT616" s="50"/>
    </row>
    <row r="617" spans="1:46" ht="14">
      <c r="A617" s="53" t="s">
        <v>36</v>
      </c>
      <c r="B617" s="7" t="s">
        <v>2794</v>
      </c>
      <c r="C617" s="7" t="s">
        <v>5929</v>
      </c>
      <c r="D617" s="14" t="s">
        <v>397</v>
      </c>
      <c r="E617" s="7" t="s">
        <v>1027</v>
      </c>
      <c r="F617" s="7"/>
      <c r="G617" s="15" t="s">
        <v>5930</v>
      </c>
      <c r="H617" s="7">
        <v>9199</v>
      </c>
      <c r="I617" s="19"/>
      <c r="J617" s="7" t="s">
        <v>74</v>
      </c>
      <c r="K617" s="51">
        <v>41653</v>
      </c>
      <c r="L617" s="115">
        <v>41649</v>
      </c>
      <c r="M617" s="402">
        <f>K617-L617</f>
        <v>4</v>
      </c>
      <c r="N617" s="7" t="s">
        <v>2</v>
      </c>
      <c r="O617" s="74">
        <v>1.9</v>
      </c>
      <c r="P617" s="117"/>
      <c r="Q617" s="131">
        <v>6.53</v>
      </c>
      <c r="R617" s="50">
        <v>12</v>
      </c>
      <c r="S617" s="74">
        <v>65</v>
      </c>
      <c r="T617" s="50">
        <v>0.14000000000000001</v>
      </c>
      <c r="U617" s="74">
        <v>0.45</v>
      </c>
      <c r="V617" s="50">
        <v>0.05</v>
      </c>
      <c r="W617" s="74">
        <v>1.6E-2</v>
      </c>
      <c r="X617" s="50">
        <v>4.3999999999999997E-2</v>
      </c>
      <c r="Y617" s="74">
        <v>8.0000000000000002E-3</v>
      </c>
      <c r="Z617" s="164">
        <v>1</v>
      </c>
      <c r="AA617" s="165">
        <v>1</v>
      </c>
      <c r="AB617" s="50">
        <v>10</v>
      </c>
      <c r="AC617" s="74">
        <v>1148</v>
      </c>
      <c r="AD617" s="164">
        <v>1</v>
      </c>
      <c r="AG617" s="74"/>
      <c r="AH617" s="74"/>
      <c r="AI617" s="113"/>
      <c r="AJ617" s="50"/>
      <c r="AK617" s="74"/>
      <c r="AL617" s="50"/>
      <c r="AM617" s="74"/>
      <c r="AN617" s="50"/>
      <c r="AO617" s="74"/>
      <c r="AP617" s="50"/>
      <c r="AQ617" s="74"/>
      <c r="AR617" s="50"/>
      <c r="AS617" s="74"/>
      <c r="AT617" s="50"/>
    </row>
    <row r="618" spans="1:46" ht="14">
      <c r="A618" s="293" t="s">
        <v>36</v>
      </c>
      <c r="B618" s="7" t="s">
        <v>2794</v>
      </c>
      <c r="C618" s="7" t="s">
        <v>5929</v>
      </c>
      <c r="D618" s="14" t="s">
        <v>397</v>
      </c>
      <c r="E618" s="7" t="s">
        <v>1027</v>
      </c>
      <c r="F618" s="7"/>
      <c r="G618" s="15" t="s">
        <v>5930</v>
      </c>
      <c r="H618" s="7">
        <v>9199</v>
      </c>
      <c r="I618" s="19"/>
      <c r="J618" s="7" t="s">
        <v>75</v>
      </c>
      <c r="K618" s="51">
        <v>41653</v>
      </c>
      <c r="L618" s="115">
        <v>41649</v>
      </c>
      <c r="M618" s="402">
        <f>K618-L618</f>
        <v>4</v>
      </c>
      <c r="N618" s="7" t="s">
        <v>2</v>
      </c>
      <c r="O618" s="74">
        <v>4.2</v>
      </c>
      <c r="P618" s="117"/>
      <c r="Q618" s="131">
        <v>6.55</v>
      </c>
      <c r="R618" s="50">
        <v>340</v>
      </c>
      <c r="S618" s="74">
        <v>950</v>
      </c>
      <c r="T618" s="50">
        <v>1.23</v>
      </c>
      <c r="U618" s="74">
        <v>1.83</v>
      </c>
      <c r="V618" s="50">
        <v>0.53</v>
      </c>
      <c r="W618" s="74">
        <v>8.6999999999999994E-2</v>
      </c>
      <c r="X618" s="50">
        <v>0.501</v>
      </c>
      <c r="Y618" s="74">
        <v>0.11899999999999999</v>
      </c>
      <c r="Z618" s="164">
        <v>0.24099999999999999</v>
      </c>
      <c r="AA618" s="165">
        <v>0.20899999999999999</v>
      </c>
      <c r="AB618" s="50">
        <v>170</v>
      </c>
      <c r="AC618" s="74">
        <v>22870</v>
      </c>
      <c r="AD618" s="164">
        <v>0</v>
      </c>
      <c r="AG618" s="74"/>
      <c r="AH618" s="74"/>
      <c r="AI618" s="113"/>
      <c r="AJ618" s="50"/>
      <c r="AK618" s="74"/>
      <c r="AL618" s="50"/>
      <c r="AM618" s="74"/>
      <c r="AN618" s="50"/>
      <c r="AO618" s="74"/>
      <c r="AP618" s="50"/>
      <c r="AQ618" s="74"/>
      <c r="AR618" s="50"/>
      <c r="AS618" s="74"/>
      <c r="AT618" s="50"/>
    </row>
    <row r="619" spans="1:46" ht="14">
      <c r="A619" s="53" t="s">
        <v>36</v>
      </c>
      <c r="B619" s="7" t="s">
        <v>69</v>
      </c>
      <c r="C619" s="7" t="s">
        <v>6093</v>
      </c>
      <c r="D619" s="14" t="s">
        <v>71</v>
      </c>
      <c r="E619" s="7"/>
      <c r="F619" s="7" t="s">
        <v>72</v>
      </c>
      <c r="G619" s="15" t="s">
        <v>73</v>
      </c>
      <c r="H619" s="7">
        <v>9199</v>
      </c>
      <c r="I619" s="19" t="s">
        <v>2</v>
      </c>
      <c r="J619" s="7" t="s">
        <v>194</v>
      </c>
      <c r="K619" s="51">
        <v>41653</v>
      </c>
      <c r="L619" s="115"/>
      <c r="N619" s="7" t="s">
        <v>2</v>
      </c>
      <c r="O619" s="74">
        <v>4.4000000000000004</v>
      </c>
      <c r="P619" s="117"/>
      <c r="Q619" s="131">
        <v>6.9</v>
      </c>
      <c r="R619" s="50">
        <v>44</v>
      </c>
      <c r="S619" s="74">
        <v>92</v>
      </c>
      <c r="T619" s="50">
        <v>0.16</v>
      </c>
      <c r="U619" s="74">
        <v>0.69</v>
      </c>
      <c r="V619" s="50">
        <v>0.02</v>
      </c>
      <c r="W619" s="74">
        <v>0.02</v>
      </c>
      <c r="X619" s="50">
        <v>9.1999999999999998E-2</v>
      </c>
      <c r="Y619" s="74">
        <v>1.7000000000000001E-2</v>
      </c>
      <c r="Z619" s="164">
        <v>1</v>
      </c>
      <c r="AA619" s="165">
        <v>1</v>
      </c>
      <c r="AB619" s="50">
        <v>32</v>
      </c>
      <c r="AC619" s="74">
        <v>3040</v>
      </c>
      <c r="AD619" s="164">
        <v>0.65</v>
      </c>
      <c r="AG619" s="74"/>
      <c r="AH619" s="74"/>
      <c r="AI619" s="113"/>
      <c r="AJ619" s="50"/>
      <c r="AK619" s="74"/>
      <c r="AL619" s="50"/>
      <c r="AM619" s="74"/>
      <c r="AN619" s="50"/>
      <c r="AO619" s="74"/>
      <c r="AP619" s="50"/>
      <c r="AQ619" s="74"/>
      <c r="AR619" s="50"/>
      <c r="AS619" s="74"/>
      <c r="AT619" s="50"/>
    </row>
    <row r="620" spans="1:46" ht="14">
      <c r="A620" s="53" t="s">
        <v>36</v>
      </c>
      <c r="B620" s="7" t="s">
        <v>69</v>
      </c>
      <c r="C620" s="7" t="s">
        <v>6093</v>
      </c>
      <c r="D620" s="14" t="s">
        <v>71</v>
      </c>
      <c r="E620" s="7"/>
      <c r="F620" s="7" t="s">
        <v>72</v>
      </c>
      <c r="G620" s="15" t="s">
        <v>73</v>
      </c>
      <c r="H620" s="7">
        <v>9199</v>
      </c>
      <c r="I620" s="19" t="s">
        <v>2</v>
      </c>
      <c r="J620" s="7" t="s">
        <v>75</v>
      </c>
      <c r="K620" s="51">
        <v>41653</v>
      </c>
      <c r="L620" s="115">
        <v>41649</v>
      </c>
      <c r="M620" s="402">
        <f>K620-L620</f>
        <v>4</v>
      </c>
      <c r="N620" s="7" t="s">
        <v>2</v>
      </c>
      <c r="O620" s="74">
        <f>1.4/2</f>
        <v>0.7</v>
      </c>
      <c r="P620" s="117"/>
      <c r="Q620" s="131">
        <v>7.41</v>
      </c>
      <c r="R620" s="50">
        <v>42</v>
      </c>
      <c r="S620" s="74">
        <f>5/2</f>
        <v>2.5</v>
      </c>
      <c r="T620" s="50">
        <v>0.04</v>
      </c>
      <c r="U620" s="74">
        <v>0.59</v>
      </c>
      <c r="V620" s="50">
        <v>1.01</v>
      </c>
      <c r="W620" s="74">
        <v>8.9999999999999993E-3</v>
      </c>
      <c r="X620" s="50">
        <v>3.2000000000000001E-2</v>
      </c>
      <c r="Y620" s="74">
        <f>0.002/2</f>
        <v>1E-3</v>
      </c>
      <c r="Z620" s="164">
        <v>1</v>
      </c>
      <c r="AA620" s="165">
        <v>1</v>
      </c>
      <c r="AB620" s="50">
        <v>112</v>
      </c>
      <c r="AC620" s="74">
        <v>463</v>
      </c>
      <c r="AD620" s="164">
        <v>1</v>
      </c>
      <c r="AG620" s="74"/>
      <c r="AH620" s="74"/>
      <c r="AI620" s="113"/>
      <c r="AJ620" s="50"/>
      <c r="AK620" s="74"/>
      <c r="AL620" s="50"/>
      <c r="AM620" s="74"/>
      <c r="AN620" s="50"/>
      <c r="AO620" s="74"/>
      <c r="AP620" s="50"/>
      <c r="AQ620" s="74"/>
      <c r="AR620" s="50"/>
      <c r="AS620" s="74"/>
      <c r="AT620" s="50"/>
    </row>
    <row r="621" spans="1:46" ht="14">
      <c r="A621" s="53" t="s">
        <v>36</v>
      </c>
      <c r="B621" s="7" t="s">
        <v>5966</v>
      </c>
      <c r="C621" s="7" t="s">
        <v>395</v>
      </c>
      <c r="D621" s="14" t="s">
        <v>5968</v>
      </c>
      <c r="E621" s="7" t="s">
        <v>6094</v>
      </c>
      <c r="F621" s="7">
        <v>6700</v>
      </c>
      <c r="G621" s="15" t="s">
        <v>6095</v>
      </c>
      <c r="H621" s="7"/>
      <c r="I621" s="19" t="s">
        <v>2</v>
      </c>
      <c r="J621" s="7" t="s">
        <v>5397</v>
      </c>
      <c r="K621" s="51">
        <v>41345</v>
      </c>
      <c r="L621" s="115">
        <v>41341</v>
      </c>
      <c r="M621" s="402">
        <f>K621-L621</f>
        <v>4</v>
      </c>
      <c r="N621" s="7" t="s">
        <v>2</v>
      </c>
      <c r="O621" s="74">
        <v>3.98</v>
      </c>
      <c r="P621" s="117">
        <v>4.87</v>
      </c>
      <c r="Q621" s="131">
        <v>6.9</v>
      </c>
      <c r="R621" s="50">
        <v>38</v>
      </c>
      <c r="S621" s="74">
        <v>34</v>
      </c>
      <c r="T621" s="50">
        <f>0.01/2</f>
        <v>5.0000000000000001E-3</v>
      </c>
      <c r="U621" s="74">
        <f>0.05/2</f>
        <v>2.5000000000000001E-2</v>
      </c>
      <c r="V621" s="50">
        <f>0.05/2</f>
        <v>2.5000000000000001E-2</v>
      </c>
      <c r="W621" s="74">
        <v>0.04</v>
      </c>
      <c r="X621" s="50">
        <v>0.04</v>
      </c>
      <c r="Y621" s="74">
        <v>6.0000000000000001E-3</v>
      </c>
      <c r="Z621" s="164">
        <v>1</v>
      </c>
      <c r="AA621" s="165">
        <v>0.91700000000000004</v>
      </c>
      <c r="AB621" s="50">
        <v>65</v>
      </c>
      <c r="AC621" s="74">
        <v>2230</v>
      </c>
      <c r="AD621" s="164">
        <v>0.4</v>
      </c>
      <c r="AE621" s="50">
        <v>1100</v>
      </c>
      <c r="AF621" s="50">
        <v>9.1999999999999998E-2</v>
      </c>
      <c r="AG621" s="74"/>
      <c r="AH621" s="74"/>
      <c r="AI621" s="113"/>
      <c r="AJ621" s="50"/>
      <c r="AK621" s="74"/>
      <c r="AL621" s="50"/>
      <c r="AM621" s="74"/>
      <c r="AN621" s="50"/>
      <c r="AO621" s="74"/>
      <c r="AP621" s="50"/>
      <c r="AQ621" s="74"/>
      <c r="AR621" s="50"/>
      <c r="AS621" s="74"/>
      <c r="AT621" s="50"/>
    </row>
    <row r="622" spans="1:46" ht="14">
      <c r="A622" s="53" t="s">
        <v>36</v>
      </c>
      <c r="B622" s="7" t="s">
        <v>3168</v>
      </c>
      <c r="C622" s="7" t="s">
        <v>4003</v>
      </c>
      <c r="D622" s="14" t="s">
        <v>559</v>
      </c>
      <c r="E622" s="7" t="s">
        <v>6096</v>
      </c>
      <c r="F622" s="7"/>
      <c r="G622" s="15" t="s">
        <v>5079</v>
      </c>
      <c r="H622" s="7">
        <v>9199</v>
      </c>
      <c r="I622" s="19" t="s">
        <v>2</v>
      </c>
      <c r="J622" s="7" t="s">
        <v>81</v>
      </c>
      <c r="K622" s="51">
        <v>41653</v>
      </c>
      <c r="L622" s="115" t="s">
        <v>3434</v>
      </c>
      <c r="N622" s="7" t="s">
        <v>2</v>
      </c>
      <c r="O622" s="74">
        <f>2.5/2</f>
        <v>1.25</v>
      </c>
      <c r="P622" s="117">
        <v>6.88</v>
      </c>
      <c r="Q622" s="131">
        <v>7.1</v>
      </c>
      <c r="R622" s="50">
        <v>21</v>
      </c>
      <c r="S622" s="74">
        <v>40</v>
      </c>
      <c r="T622" s="50">
        <f>0.05/2</f>
        <v>2.5000000000000001E-2</v>
      </c>
      <c r="U622" s="74">
        <v>0.88</v>
      </c>
      <c r="V622" s="50">
        <f>0.25/2</f>
        <v>0.125</v>
      </c>
      <c r="W622" s="74">
        <v>0.05</v>
      </c>
      <c r="X622" s="50">
        <v>0.05</v>
      </c>
      <c r="Y622" s="74">
        <v>8.0000000000000002E-3</v>
      </c>
      <c r="Z622" s="164">
        <v>1</v>
      </c>
      <c r="AA622" s="165">
        <v>1</v>
      </c>
      <c r="AB622" s="50">
        <v>16</v>
      </c>
      <c r="AC622" s="74">
        <v>1055</v>
      </c>
      <c r="AD622" s="164">
        <v>0.75</v>
      </c>
      <c r="AE622" s="50">
        <v>324</v>
      </c>
      <c r="AF622" s="50">
        <v>0.04</v>
      </c>
      <c r="AG622" s="74"/>
      <c r="AH622" s="74"/>
      <c r="AI622" s="113"/>
      <c r="AJ622" s="50"/>
      <c r="AK622" s="74"/>
      <c r="AL622" s="50"/>
      <c r="AM622" s="74"/>
      <c r="AN622" s="50"/>
      <c r="AO622" s="74"/>
      <c r="AP622" s="50"/>
      <c r="AQ622" s="74"/>
      <c r="AR622" s="50"/>
      <c r="AS622" s="74"/>
      <c r="AT622" s="50"/>
    </row>
    <row r="623" spans="1:46" ht="14">
      <c r="A623" s="53" t="s">
        <v>36</v>
      </c>
      <c r="B623" s="7" t="s">
        <v>375</v>
      </c>
      <c r="C623" s="7"/>
      <c r="D623" s="14" t="s">
        <v>286</v>
      </c>
      <c r="E623" s="7" t="s">
        <v>3185</v>
      </c>
      <c r="F623" s="7" t="s">
        <v>978</v>
      </c>
      <c r="G623" s="15" t="s">
        <v>376</v>
      </c>
      <c r="H623" s="7">
        <v>9199</v>
      </c>
      <c r="I623" s="19" t="s">
        <v>1</v>
      </c>
      <c r="J623" s="7" t="s">
        <v>6097</v>
      </c>
      <c r="K623" s="51">
        <v>41226</v>
      </c>
      <c r="L623" s="115">
        <v>41221</v>
      </c>
      <c r="M623" s="402">
        <f t="shared" ref="M623:M628" si="35">K623-L623</f>
        <v>5</v>
      </c>
      <c r="N623" s="7" t="s">
        <v>1</v>
      </c>
      <c r="O623" s="74">
        <v>4.3</v>
      </c>
      <c r="P623" s="117">
        <v>5.49</v>
      </c>
      <c r="Q623" s="131">
        <v>6.4</v>
      </c>
      <c r="R623" s="50">
        <v>69</v>
      </c>
      <c r="S623" s="74">
        <v>92</v>
      </c>
      <c r="T623" s="50">
        <v>0.12</v>
      </c>
      <c r="U623" s="74">
        <v>1.47</v>
      </c>
      <c r="V623" s="50">
        <v>0.11</v>
      </c>
      <c r="W623" s="74">
        <v>2.8000000000000001E-2</v>
      </c>
      <c r="X623" s="50">
        <v>0.122</v>
      </c>
      <c r="Y623" s="74">
        <f>0.03/2</f>
        <v>1.4999999999999999E-2</v>
      </c>
      <c r="Z623" s="164">
        <v>1</v>
      </c>
      <c r="AA623" s="165">
        <v>1</v>
      </c>
      <c r="AB623" s="50">
        <v>80</v>
      </c>
      <c r="AC623" s="74">
        <v>1840</v>
      </c>
      <c r="AD623" s="164">
        <v>0.9</v>
      </c>
      <c r="AE623" s="50">
        <v>771</v>
      </c>
      <c r="AF623" s="50">
        <f>0.05/2</f>
        <v>2.5000000000000001E-2</v>
      </c>
      <c r="AG623" s="74"/>
      <c r="AH623" s="74"/>
      <c r="AI623" s="113"/>
      <c r="AJ623" s="50"/>
      <c r="AK623" s="74"/>
      <c r="AL623" s="50"/>
      <c r="AM623" s="74"/>
      <c r="AN623" s="50"/>
      <c r="AO623" s="74"/>
      <c r="AP623" s="50"/>
      <c r="AQ623" s="74"/>
      <c r="AR623" s="50"/>
      <c r="AS623" s="74"/>
      <c r="AT623" s="50"/>
    </row>
    <row r="624" spans="1:46" ht="14">
      <c r="A624" s="293" t="s">
        <v>36</v>
      </c>
      <c r="B624" s="7" t="s">
        <v>2761</v>
      </c>
      <c r="C624" s="7"/>
      <c r="D624" s="14" t="s">
        <v>406</v>
      </c>
      <c r="E624" s="7" t="s">
        <v>5344</v>
      </c>
      <c r="F624" s="7"/>
      <c r="G624" s="15" t="s">
        <v>6074</v>
      </c>
      <c r="H624" s="7"/>
      <c r="I624" s="19" t="s">
        <v>2</v>
      </c>
      <c r="J624" s="7" t="s">
        <v>6098</v>
      </c>
      <c r="K624" s="51">
        <v>41631</v>
      </c>
      <c r="L624" s="115">
        <v>41627</v>
      </c>
      <c r="M624" s="402"/>
      <c r="N624" s="7" t="s">
        <v>1</v>
      </c>
      <c r="O624" s="74">
        <v>5.9</v>
      </c>
      <c r="P624" s="117">
        <v>5.9</v>
      </c>
      <c r="Q624" s="131">
        <v>6.5</v>
      </c>
      <c r="R624" s="50">
        <v>68</v>
      </c>
      <c r="S624" s="74">
        <v>126</v>
      </c>
      <c r="T624" s="50">
        <v>0.23</v>
      </c>
      <c r="U624" s="74">
        <v>1.02</v>
      </c>
      <c r="V624" s="50">
        <v>0.18</v>
      </c>
      <c r="W624" s="74">
        <v>3.5000000000000003E-2</v>
      </c>
      <c r="X624" s="50">
        <v>0.12</v>
      </c>
      <c r="Y624" s="74">
        <f>0.03/2</f>
        <v>1.4999999999999999E-2</v>
      </c>
      <c r="Z624" s="164">
        <v>0.17699999999999999</v>
      </c>
      <c r="AA624" s="165">
        <v>7.1599999999999997E-2</v>
      </c>
      <c r="AB624" s="50">
        <v>48</v>
      </c>
      <c r="AC624" s="74">
        <v>4160</v>
      </c>
      <c r="AD624" s="164">
        <v>0</v>
      </c>
      <c r="AE624" s="50">
        <v>2080</v>
      </c>
      <c r="AF624" s="50">
        <f>0.05/2</f>
        <v>2.5000000000000001E-2</v>
      </c>
      <c r="AG624" s="74"/>
      <c r="AH624" s="74"/>
      <c r="AI624" s="113"/>
      <c r="AJ624" s="50"/>
      <c r="AK624" s="74"/>
      <c r="AL624" s="50"/>
      <c r="AM624" s="74"/>
      <c r="AN624" s="50"/>
      <c r="AO624" s="74"/>
      <c r="AP624" s="50"/>
      <c r="AQ624" s="74"/>
      <c r="AR624" s="50"/>
      <c r="AS624" s="74"/>
      <c r="AT624" s="50"/>
    </row>
    <row r="625" spans="1:46" ht="14">
      <c r="A625" s="53" t="s">
        <v>36</v>
      </c>
      <c r="B625" s="7" t="s">
        <v>2663</v>
      </c>
      <c r="C625" s="7"/>
      <c r="D625" s="14" t="s">
        <v>2665</v>
      </c>
      <c r="E625" s="7" t="s">
        <v>6081</v>
      </c>
      <c r="F625" s="7"/>
      <c r="G625" s="15" t="s">
        <v>2668</v>
      </c>
      <c r="H625" s="7"/>
      <c r="I625" s="19"/>
      <c r="J625" s="7" t="s">
        <v>6082</v>
      </c>
      <c r="K625" s="51">
        <v>41744</v>
      </c>
      <c r="L625" s="115">
        <v>41737</v>
      </c>
      <c r="M625" s="402">
        <f t="shared" si="35"/>
        <v>7</v>
      </c>
      <c r="N625" s="7" t="s">
        <v>2</v>
      </c>
      <c r="O625" s="74">
        <f>0.5/2</f>
        <v>0.25</v>
      </c>
      <c r="P625" s="117">
        <v>4.92</v>
      </c>
      <c r="Q625" s="131">
        <v>6.5</v>
      </c>
      <c r="R625" s="50">
        <v>12</v>
      </c>
      <c r="S625" s="74">
        <v>19</v>
      </c>
      <c r="T625" s="50">
        <v>0.04</v>
      </c>
      <c r="U625" s="74">
        <v>0.19</v>
      </c>
      <c r="V625" s="50">
        <v>0.2</v>
      </c>
      <c r="W625" s="74">
        <v>0.05</v>
      </c>
      <c r="X625" s="50">
        <v>0.01</v>
      </c>
      <c r="Y625" s="74">
        <f>0.001/2</f>
        <v>5.0000000000000001E-4</v>
      </c>
      <c r="AG625" s="74"/>
      <c r="AH625" s="74"/>
      <c r="AI625" s="113"/>
      <c r="AJ625" s="50"/>
      <c r="AK625" s="74"/>
      <c r="AL625" s="50"/>
      <c r="AM625" s="74"/>
      <c r="AN625" s="50"/>
      <c r="AO625" s="74"/>
      <c r="AP625" s="50"/>
      <c r="AQ625" s="74"/>
      <c r="AR625" s="50"/>
      <c r="AS625" s="74"/>
      <c r="AT625" s="50"/>
    </row>
    <row r="626" spans="1:46" ht="14">
      <c r="A626" s="53" t="s">
        <v>36</v>
      </c>
      <c r="B626" s="7" t="s">
        <v>2663</v>
      </c>
      <c r="C626" s="7"/>
      <c r="D626" s="14" t="s">
        <v>2665</v>
      </c>
      <c r="E626" s="7" t="s">
        <v>6081</v>
      </c>
      <c r="F626" s="7"/>
      <c r="G626" s="15" t="s">
        <v>2668</v>
      </c>
      <c r="H626" s="7"/>
      <c r="I626" s="19"/>
      <c r="J626" s="7" t="s">
        <v>6083</v>
      </c>
      <c r="K626" s="51">
        <v>41744</v>
      </c>
      <c r="L626" s="115">
        <v>41737</v>
      </c>
      <c r="M626" s="402">
        <f t="shared" si="35"/>
        <v>7</v>
      </c>
      <c r="N626" s="7" t="s">
        <v>2</v>
      </c>
      <c r="O626" s="74">
        <f>0.5/2</f>
        <v>0.25</v>
      </c>
      <c r="P626" s="117">
        <v>4.92</v>
      </c>
      <c r="Q626" s="131">
        <v>6.5</v>
      </c>
      <c r="R626" s="50">
        <v>27</v>
      </c>
      <c r="S626" s="74">
        <v>53</v>
      </c>
      <c r="T626" s="50">
        <v>0.04</v>
      </c>
      <c r="U626" s="74">
        <v>0.77</v>
      </c>
      <c r="V626" s="50">
        <v>0.19</v>
      </c>
      <c r="W626" s="74">
        <v>0.02</v>
      </c>
      <c r="X626" s="50">
        <v>0.01</v>
      </c>
      <c r="Y626" s="74">
        <v>1E-3</v>
      </c>
      <c r="AE626" s="50">
        <v>124</v>
      </c>
      <c r="AF626" s="50">
        <f>0.01/2</f>
        <v>5.0000000000000001E-3</v>
      </c>
      <c r="AG626" s="74"/>
      <c r="AH626" s="74"/>
      <c r="AI626" s="113"/>
      <c r="AJ626" s="50"/>
      <c r="AK626" s="74"/>
      <c r="AL626" s="50"/>
      <c r="AM626" s="74"/>
      <c r="AN626" s="50"/>
      <c r="AO626" s="74"/>
      <c r="AP626" s="50"/>
      <c r="AQ626" s="74"/>
      <c r="AR626" s="50"/>
      <c r="AS626" s="74"/>
      <c r="AT626" s="50"/>
    </row>
    <row r="627" spans="1:46" ht="14">
      <c r="A627" s="53" t="s">
        <v>36</v>
      </c>
      <c r="B627" s="7" t="s">
        <v>131</v>
      </c>
      <c r="C627" s="7" t="s">
        <v>2757</v>
      </c>
      <c r="D627" s="14" t="s">
        <v>133</v>
      </c>
      <c r="E627" s="7" t="s">
        <v>1546</v>
      </c>
      <c r="F627" s="7"/>
      <c r="G627" s="15" t="s">
        <v>134</v>
      </c>
      <c r="H627" s="7">
        <v>7699</v>
      </c>
      <c r="I627" s="19" t="s">
        <v>1</v>
      </c>
      <c r="J627" s="7" t="s">
        <v>74</v>
      </c>
      <c r="K627" s="51">
        <v>41727</v>
      </c>
      <c r="L627" s="115">
        <v>41718</v>
      </c>
      <c r="M627" s="402">
        <f t="shared" si="35"/>
        <v>9</v>
      </c>
      <c r="N627" s="7" t="s">
        <v>2</v>
      </c>
      <c r="O627" s="74">
        <v>6.7</v>
      </c>
      <c r="P627" s="117"/>
      <c r="Q627" s="131"/>
      <c r="R627" s="50">
        <v>58</v>
      </c>
      <c r="S627" s="74">
        <v>78</v>
      </c>
      <c r="X627" s="50">
        <v>0.123</v>
      </c>
      <c r="AG627" s="74"/>
      <c r="AH627" s="74"/>
      <c r="AI627" s="113"/>
      <c r="AJ627" s="50"/>
      <c r="AK627" s="74"/>
      <c r="AL627" s="50"/>
      <c r="AM627" s="74"/>
      <c r="AN627" s="50"/>
      <c r="AO627" s="74"/>
      <c r="AP627" s="50"/>
      <c r="AQ627" s="74"/>
      <c r="AR627" s="50"/>
      <c r="AS627" s="74"/>
      <c r="AT627" s="50"/>
    </row>
    <row r="628" spans="1:46" ht="14">
      <c r="A628" s="53" t="s">
        <v>36</v>
      </c>
      <c r="B628" s="7" t="s">
        <v>131</v>
      </c>
      <c r="C628" s="7" t="s">
        <v>2757</v>
      </c>
      <c r="D628" s="14" t="s">
        <v>133</v>
      </c>
      <c r="E628" s="7" t="s">
        <v>1546</v>
      </c>
      <c r="F628" s="7"/>
      <c r="G628" s="15" t="s">
        <v>134</v>
      </c>
      <c r="H628" s="7">
        <v>7699</v>
      </c>
      <c r="I628" s="19" t="s">
        <v>1</v>
      </c>
      <c r="J628" s="7" t="s">
        <v>135</v>
      </c>
      <c r="K628" s="51">
        <v>41727</v>
      </c>
      <c r="L628" s="115">
        <v>41718</v>
      </c>
      <c r="M628" s="402">
        <f t="shared" si="35"/>
        <v>9</v>
      </c>
      <c r="N628" s="7" t="s">
        <v>2</v>
      </c>
      <c r="O628" s="74">
        <f>2/2</f>
        <v>1</v>
      </c>
      <c r="P628" s="117"/>
      <c r="Q628" s="131"/>
      <c r="R628" s="50">
        <v>132</v>
      </c>
      <c r="S628" s="74">
        <v>249</v>
      </c>
      <c r="T628" s="50">
        <v>0.43</v>
      </c>
      <c r="U628" s="74">
        <v>2.2400000000000002</v>
      </c>
      <c r="X628" s="50">
        <v>0.26200000000000001</v>
      </c>
      <c r="AG628" s="74"/>
      <c r="AH628" s="74"/>
      <c r="AI628" s="113"/>
      <c r="AJ628" s="50"/>
      <c r="AK628" s="74"/>
      <c r="AL628" s="50"/>
      <c r="AM628" s="74"/>
      <c r="AN628" s="50"/>
      <c r="AO628" s="74"/>
      <c r="AP628" s="50"/>
      <c r="AQ628" s="74"/>
      <c r="AR628" s="50"/>
      <c r="AS628" s="74"/>
      <c r="AT628" s="50"/>
    </row>
    <row r="629" spans="1:46" ht="14">
      <c r="A629" s="53" t="s">
        <v>36</v>
      </c>
      <c r="B629" s="7" t="s">
        <v>2222</v>
      </c>
      <c r="C629" s="7" t="s">
        <v>2895</v>
      </c>
      <c r="D629" s="14" t="s">
        <v>372</v>
      </c>
      <c r="E629" s="7" t="s">
        <v>235</v>
      </c>
      <c r="F629" s="7" t="s">
        <v>2896</v>
      </c>
      <c r="G629" s="15" t="s">
        <v>2897</v>
      </c>
      <c r="H629" s="7">
        <v>9199</v>
      </c>
      <c r="I629" s="19" t="s">
        <v>2</v>
      </c>
      <c r="J629" s="7" t="s">
        <v>6099</v>
      </c>
      <c r="K629" s="51">
        <v>41726</v>
      </c>
      <c r="L629" s="115" t="s">
        <v>3434</v>
      </c>
      <c r="N629" s="7" t="s">
        <v>2</v>
      </c>
      <c r="P629" s="117"/>
      <c r="Q629" s="131"/>
      <c r="R629" s="50">
        <v>46.6</v>
      </c>
      <c r="S629" s="74">
        <v>56</v>
      </c>
      <c r="T629" s="50">
        <v>0.39</v>
      </c>
      <c r="V629" s="50">
        <v>3.31</v>
      </c>
      <c r="Y629" s="74">
        <f>0.004/2</f>
        <v>2E-3</v>
      </c>
      <c r="AG629" s="74"/>
      <c r="AH629" s="74"/>
      <c r="AI629" s="113"/>
      <c r="AJ629" s="50"/>
      <c r="AK629" s="74"/>
      <c r="AL629" s="50"/>
      <c r="AM629" s="74"/>
      <c r="AN629" s="50"/>
      <c r="AO629" s="74"/>
      <c r="AP629" s="50"/>
      <c r="AQ629" s="74"/>
      <c r="AR629" s="50"/>
      <c r="AS629" s="74"/>
      <c r="AT629" s="50"/>
    </row>
    <row r="630" spans="1:46" ht="14">
      <c r="A630" s="53" t="s">
        <v>36</v>
      </c>
      <c r="B630" s="7" t="s">
        <v>2222</v>
      </c>
      <c r="C630" s="7" t="s">
        <v>2895</v>
      </c>
      <c r="D630" s="14" t="s">
        <v>372</v>
      </c>
      <c r="E630" s="7" t="s">
        <v>235</v>
      </c>
      <c r="F630" s="7" t="s">
        <v>2896</v>
      </c>
      <c r="G630" s="15" t="s">
        <v>2897</v>
      </c>
      <c r="H630" s="7">
        <v>9199</v>
      </c>
      <c r="I630" s="19" t="s">
        <v>2</v>
      </c>
      <c r="J630" s="7" t="s">
        <v>6100</v>
      </c>
      <c r="K630" s="51">
        <v>41726</v>
      </c>
      <c r="L630" s="115" t="s">
        <v>3434</v>
      </c>
      <c r="N630" s="7" t="s">
        <v>2</v>
      </c>
      <c r="O630" s="74">
        <v>0</v>
      </c>
      <c r="P630" s="117"/>
      <c r="Q630" s="131"/>
      <c r="R630" s="50">
        <v>21.2</v>
      </c>
      <c r="S630" s="74">
        <v>14</v>
      </c>
      <c r="T630" s="50">
        <v>0.44</v>
      </c>
      <c r="V630" s="50">
        <v>4.16</v>
      </c>
      <c r="W630" s="74">
        <v>0.02</v>
      </c>
      <c r="AG630" s="74"/>
      <c r="AH630" s="74"/>
      <c r="AI630" s="113"/>
      <c r="AJ630" s="50"/>
      <c r="AK630" s="74"/>
      <c r="AL630" s="50"/>
      <c r="AM630" s="74"/>
      <c r="AN630" s="50"/>
      <c r="AO630" s="74"/>
      <c r="AP630" s="50"/>
      <c r="AQ630" s="74"/>
      <c r="AR630" s="50"/>
      <c r="AS630" s="74"/>
      <c r="AT630" s="50"/>
    </row>
    <row r="631" spans="1:46" ht="14">
      <c r="A631" s="53" t="s">
        <v>36</v>
      </c>
      <c r="B631" s="7" t="s">
        <v>4011</v>
      </c>
      <c r="C631" s="7" t="s">
        <v>4012</v>
      </c>
      <c r="D631" s="14" t="s">
        <v>127</v>
      </c>
      <c r="E631" s="7" t="s">
        <v>128</v>
      </c>
      <c r="F631" s="7"/>
      <c r="G631" s="15" t="s">
        <v>4013</v>
      </c>
      <c r="H631" s="7">
        <v>9199</v>
      </c>
      <c r="I631" s="19" t="s">
        <v>1</v>
      </c>
      <c r="J631" s="7" t="s">
        <v>4014</v>
      </c>
      <c r="K631" s="51">
        <v>41744</v>
      </c>
      <c r="L631" s="115">
        <v>41737</v>
      </c>
      <c r="M631" s="402">
        <f t="shared" ref="M631:M636" si="36">K631-L631</f>
        <v>7</v>
      </c>
      <c r="N631" s="7" t="s">
        <v>2</v>
      </c>
      <c r="O631" s="74">
        <f>5/2</f>
        <v>2.5</v>
      </c>
      <c r="P631" s="117"/>
      <c r="Q631" s="131">
        <v>6.4</v>
      </c>
      <c r="R631" s="50">
        <v>29</v>
      </c>
      <c r="S631" s="74">
        <v>11</v>
      </c>
      <c r="T631" s="50">
        <v>7.0000000000000007E-2</v>
      </c>
      <c r="U631" s="74">
        <v>0.31</v>
      </c>
      <c r="V631" s="50">
        <v>0.11</v>
      </c>
      <c r="W631" s="74">
        <f>0.01/2</f>
        <v>5.0000000000000001E-3</v>
      </c>
      <c r="X631" s="50">
        <v>0.01</v>
      </c>
      <c r="Y631" s="74">
        <f>0.01/2</f>
        <v>5.0000000000000001E-3</v>
      </c>
      <c r="Z631" s="164">
        <v>1</v>
      </c>
      <c r="AA631" s="165">
        <v>1</v>
      </c>
      <c r="AC631" s="74">
        <v>50</v>
      </c>
      <c r="AD631" s="164">
        <v>1</v>
      </c>
      <c r="AE631" s="50">
        <v>6.5</v>
      </c>
      <c r="AF631" s="50" t="s">
        <v>955</v>
      </c>
      <c r="AG631" s="74"/>
      <c r="AH631" s="74"/>
      <c r="AI631" s="113"/>
      <c r="AJ631" s="50"/>
      <c r="AK631" s="74"/>
      <c r="AL631" s="50"/>
      <c r="AM631" s="74"/>
      <c r="AN631" s="50"/>
      <c r="AO631" s="74"/>
      <c r="AP631" s="50"/>
      <c r="AQ631" s="74"/>
      <c r="AR631" s="50"/>
      <c r="AS631" s="74"/>
      <c r="AT631" s="50"/>
    </row>
    <row r="632" spans="1:46" ht="14">
      <c r="A632" s="53" t="s">
        <v>36</v>
      </c>
      <c r="B632" s="7" t="s">
        <v>4011</v>
      </c>
      <c r="C632" s="7" t="s">
        <v>4012</v>
      </c>
      <c r="D632" s="14" t="s">
        <v>127</v>
      </c>
      <c r="E632" s="7" t="s">
        <v>128</v>
      </c>
      <c r="F632" s="7"/>
      <c r="G632" s="15" t="s">
        <v>4013</v>
      </c>
      <c r="H632" s="7">
        <v>9199</v>
      </c>
      <c r="I632" s="19" t="s">
        <v>1</v>
      </c>
      <c r="J632" s="7" t="s">
        <v>4015</v>
      </c>
      <c r="K632" s="51">
        <v>41744</v>
      </c>
      <c r="L632" s="115">
        <v>41737</v>
      </c>
      <c r="M632" s="402">
        <f t="shared" si="36"/>
        <v>7</v>
      </c>
      <c r="N632" s="7" t="s">
        <v>2</v>
      </c>
      <c r="O632" s="74">
        <v>9.1</v>
      </c>
      <c r="P632" s="117"/>
      <c r="Q632" s="131">
        <v>6.44</v>
      </c>
      <c r="R632" s="50">
        <v>54</v>
      </c>
      <c r="S632" s="74">
        <v>230</v>
      </c>
      <c r="T632" s="50">
        <v>0.33</v>
      </c>
      <c r="U632" s="74">
        <v>1.4</v>
      </c>
      <c r="V632" s="50">
        <v>0.9</v>
      </c>
      <c r="W632" s="74">
        <v>2.9000000000000001E-2</v>
      </c>
      <c r="X632" s="50">
        <v>0.13</v>
      </c>
      <c r="Y632" s="74">
        <v>1.7999999999999999E-2</v>
      </c>
      <c r="Z632" s="164">
        <v>1</v>
      </c>
      <c r="AA632" s="165">
        <v>1</v>
      </c>
      <c r="AC632" s="74">
        <v>360</v>
      </c>
      <c r="AD632" s="164">
        <v>1</v>
      </c>
      <c r="AE632" s="50">
        <v>74</v>
      </c>
      <c r="AF632" s="50" t="s">
        <v>955</v>
      </c>
      <c r="AG632" s="74"/>
      <c r="AH632" s="74"/>
      <c r="AI632" s="113"/>
      <c r="AJ632" s="50"/>
      <c r="AK632" s="74"/>
      <c r="AL632" s="50"/>
      <c r="AM632" s="74"/>
      <c r="AN632" s="50"/>
      <c r="AO632" s="74"/>
      <c r="AP632" s="50"/>
      <c r="AQ632" s="74"/>
      <c r="AR632" s="50"/>
      <c r="AS632" s="74"/>
      <c r="AT632" s="50"/>
    </row>
    <row r="633" spans="1:46" ht="14">
      <c r="A633" s="53" t="s">
        <v>36</v>
      </c>
      <c r="B633" s="7" t="s">
        <v>2927</v>
      </c>
      <c r="C633" s="7" t="s">
        <v>6101</v>
      </c>
      <c r="D633" s="14" t="s">
        <v>806</v>
      </c>
      <c r="E633" s="7" t="s">
        <v>535</v>
      </c>
      <c r="F633" s="7"/>
      <c r="G633" s="15" t="s">
        <v>2929</v>
      </c>
      <c r="H633" s="7"/>
      <c r="I633" s="19" t="s">
        <v>1</v>
      </c>
      <c r="J633" s="7" t="s">
        <v>6102</v>
      </c>
      <c r="K633" s="51">
        <v>41743</v>
      </c>
      <c r="L633" s="115">
        <v>41737</v>
      </c>
      <c r="M633" s="402">
        <f t="shared" si="36"/>
        <v>6</v>
      </c>
      <c r="N633" s="7" t="s">
        <v>1</v>
      </c>
      <c r="O633" s="74">
        <f>0.5/2</f>
        <v>0.25</v>
      </c>
      <c r="P633" s="117">
        <v>4.92</v>
      </c>
      <c r="Q633" s="131">
        <v>7.6</v>
      </c>
      <c r="R633" s="50">
        <v>67</v>
      </c>
      <c r="S633" s="74">
        <v>169</v>
      </c>
      <c r="T633" s="50">
        <v>0.19</v>
      </c>
      <c r="U633" s="74">
        <v>0.73</v>
      </c>
      <c r="V633" s="50">
        <f>0.05/2</f>
        <v>2.5000000000000001E-2</v>
      </c>
      <c r="W633" s="74">
        <v>0.02</v>
      </c>
      <c r="X633" s="50">
        <v>0.02</v>
      </c>
      <c r="Y633" s="74">
        <v>1.2E-2</v>
      </c>
      <c r="AE633" s="50">
        <v>4942</v>
      </c>
      <c r="AF633" s="50">
        <v>7.8E-2</v>
      </c>
      <c r="AG633" s="74"/>
      <c r="AH633" s="74">
        <v>2</v>
      </c>
      <c r="AI633" s="113"/>
      <c r="AJ633" s="50"/>
      <c r="AK633" s="74"/>
      <c r="AL633" s="50"/>
      <c r="AM633" s="74"/>
      <c r="AN633" s="50"/>
      <c r="AO633" s="74"/>
      <c r="AP633" s="50"/>
      <c r="AQ633" s="74"/>
      <c r="AR633" s="50"/>
      <c r="AS633" s="74"/>
      <c r="AT633" s="50"/>
    </row>
    <row r="634" spans="1:46" ht="14">
      <c r="A634" s="53" t="s">
        <v>36</v>
      </c>
      <c r="B634" s="7" t="s">
        <v>2927</v>
      </c>
      <c r="C634" s="7" t="s">
        <v>6103</v>
      </c>
      <c r="D634" s="14" t="s">
        <v>806</v>
      </c>
      <c r="E634" s="7" t="s">
        <v>535</v>
      </c>
      <c r="F634" s="7"/>
      <c r="G634" s="15" t="s">
        <v>2929</v>
      </c>
      <c r="H634" s="7"/>
      <c r="I634" s="19" t="s">
        <v>1</v>
      </c>
      <c r="J634" s="7" t="s">
        <v>2930</v>
      </c>
      <c r="K634" s="51">
        <v>41743</v>
      </c>
      <c r="L634" s="115">
        <v>41737</v>
      </c>
      <c r="M634" s="402">
        <f t="shared" si="36"/>
        <v>6</v>
      </c>
      <c r="N634" s="7" t="s">
        <v>1</v>
      </c>
      <c r="O634" s="74">
        <f>0.5/2</f>
        <v>0.25</v>
      </c>
      <c r="P634" s="117">
        <v>4.92</v>
      </c>
      <c r="Q634" s="131">
        <v>7.5</v>
      </c>
      <c r="R634" s="50">
        <v>141</v>
      </c>
      <c r="S634" s="74">
        <v>230</v>
      </c>
      <c r="T634" s="50">
        <v>0.17</v>
      </c>
      <c r="U634" s="74">
        <v>0.89</v>
      </c>
      <c r="V634" s="50">
        <v>0.05</v>
      </c>
      <c r="W634" s="74">
        <v>0.01</v>
      </c>
      <c r="X634" s="50">
        <f>0.01/2</f>
        <v>5.0000000000000001E-3</v>
      </c>
      <c r="Y634" s="74">
        <v>2E-3</v>
      </c>
      <c r="AE634" s="50">
        <v>15</v>
      </c>
      <c r="AF634" s="50">
        <f>0.01/2</f>
        <v>5.0000000000000001E-3</v>
      </c>
      <c r="AG634" s="74"/>
      <c r="AH634" s="74">
        <v>2</v>
      </c>
      <c r="AI634" s="113"/>
      <c r="AJ634" s="50"/>
      <c r="AK634" s="74"/>
      <c r="AL634" s="50"/>
      <c r="AM634" s="74"/>
      <c r="AN634" s="50"/>
      <c r="AO634" s="74"/>
      <c r="AP634" s="50"/>
      <c r="AQ634" s="74"/>
      <c r="AR634" s="50"/>
      <c r="AS634" s="74"/>
      <c r="AT634" s="50"/>
    </row>
    <row r="635" spans="1:46" ht="14">
      <c r="A635" s="53" t="s">
        <v>36</v>
      </c>
      <c r="B635" s="7" t="s">
        <v>3664</v>
      </c>
      <c r="C635" s="7" t="s">
        <v>6104</v>
      </c>
      <c r="D635" s="14" t="s">
        <v>103</v>
      </c>
      <c r="E635" s="7" t="s">
        <v>3665</v>
      </c>
      <c r="F635" s="7"/>
      <c r="G635" s="15" t="s">
        <v>3666</v>
      </c>
      <c r="H635" s="7">
        <v>4214</v>
      </c>
      <c r="I635" s="19" t="s">
        <v>1</v>
      </c>
      <c r="J635" s="7" t="s">
        <v>6104</v>
      </c>
      <c r="K635" s="51">
        <v>41781</v>
      </c>
      <c r="L635" s="115">
        <v>41776</v>
      </c>
      <c r="M635" s="402">
        <f t="shared" si="36"/>
        <v>5</v>
      </c>
      <c r="N635" s="7" t="s">
        <v>2</v>
      </c>
      <c r="O635" s="74">
        <v>6.8</v>
      </c>
      <c r="P635" s="117"/>
      <c r="Q635" s="131">
        <v>5.66</v>
      </c>
      <c r="R635" s="50">
        <v>277</v>
      </c>
      <c r="S635" s="74">
        <v>80</v>
      </c>
      <c r="T635" s="50">
        <v>0.45</v>
      </c>
      <c r="U635" s="74">
        <v>3.6</v>
      </c>
      <c r="V635" s="50">
        <v>0.91</v>
      </c>
      <c r="W635" s="74">
        <v>3.5999999999999997E-2</v>
      </c>
      <c r="X635" s="50">
        <v>0.16600000000000001</v>
      </c>
      <c r="Y635" s="74">
        <v>3.0000000000000001E-3</v>
      </c>
      <c r="AE635" s="50">
        <v>26.03</v>
      </c>
      <c r="AF635" s="50">
        <f>0.01/2</f>
        <v>5.0000000000000001E-3</v>
      </c>
      <c r="AG635" s="74"/>
      <c r="AH635" s="74">
        <v>193</v>
      </c>
      <c r="AI635" s="113"/>
      <c r="AJ635" s="50"/>
      <c r="AK635" s="74"/>
      <c r="AL635" s="50"/>
      <c r="AM635" s="74"/>
      <c r="AN635" s="50"/>
      <c r="AO635" s="74"/>
      <c r="AP635" s="50"/>
      <c r="AQ635" s="74"/>
      <c r="AR635" s="50"/>
      <c r="AS635" s="74"/>
      <c r="AT635" s="50"/>
    </row>
    <row r="636" spans="1:46" ht="14">
      <c r="A636" s="53" t="s">
        <v>36</v>
      </c>
      <c r="B636" s="7" t="s">
        <v>5966</v>
      </c>
      <c r="C636" s="7" t="s">
        <v>395</v>
      </c>
      <c r="D636" s="14" t="s">
        <v>5968</v>
      </c>
      <c r="E636" s="7" t="s">
        <v>6094</v>
      </c>
      <c r="F636" s="7">
        <v>6700</v>
      </c>
      <c r="G636" s="15" t="s">
        <v>6095</v>
      </c>
      <c r="H636" s="7"/>
      <c r="I636" s="19" t="s">
        <v>2</v>
      </c>
      <c r="J636" s="7" t="s">
        <v>5397</v>
      </c>
      <c r="K636" s="51">
        <v>41744</v>
      </c>
      <c r="L636" s="115">
        <v>41737</v>
      </c>
      <c r="M636" s="402">
        <f t="shared" si="36"/>
        <v>7</v>
      </c>
      <c r="N636" s="7" t="s">
        <v>2</v>
      </c>
      <c r="O636" s="74">
        <f>0.5/2</f>
        <v>0.25</v>
      </c>
      <c r="P636" s="117">
        <v>4.92</v>
      </c>
      <c r="Q636" s="131">
        <v>7.1</v>
      </c>
      <c r="R636" s="50">
        <v>109</v>
      </c>
      <c r="S636" s="74">
        <v>267</v>
      </c>
      <c r="T636" s="50">
        <v>0.37</v>
      </c>
      <c r="U636" s="74">
        <v>0.59</v>
      </c>
      <c r="V636" s="50">
        <f>0.05/2</f>
        <v>2.5000000000000001E-2</v>
      </c>
      <c r="W636" s="74">
        <v>0.02</v>
      </c>
      <c r="X636" s="50">
        <f>0.01/2</f>
        <v>5.0000000000000001E-3</v>
      </c>
      <c r="Y636" s="74">
        <v>2E-3</v>
      </c>
      <c r="AE636" s="50">
        <v>454</v>
      </c>
      <c r="AF636" s="50">
        <v>0.02</v>
      </c>
      <c r="AG636" s="74"/>
      <c r="AH636" s="74"/>
      <c r="AI636" s="113"/>
      <c r="AJ636" s="50"/>
      <c r="AK636" s="74"/>
      <c r="AL636" s="50"/>
      <c r="AM636" s="74"/>
      <c r="AN636" s="50"/>
      <c r="AO636" s="74"/>
      <c r="AP636" s="50"/>
      <c r="AQ636" s="74"/>
      <c r="AR636" s="50"/>
      <c r="AS636" s="74"/>
      <c r="AT636" s="50"/>
    </row>
    <row r="637" spans="1:46" ht="14">
      <c r="A637" s="53" t="s">
        <v>36</v>
      </c>
      <c r="B637" s="7" t="s">
        <v>1488</v>
      </c>
      <c r="C637" s="7" t="s">
        <v>393</v>
      </c>
      <c r="D637" s="14" t="s">
        <v>1490</v>
      </c>
      <c r="E637" s="7" t="s">
        <v>1687</v>
      </c>
      <c r="F637" s="7"/>
      <c r="G637" s="15" t="s">
        <v>1688</v>
      </c>
      <c r="H637" s="7"/>
      <c r="I637" s="19" t="s">
        <v>2</v>
      </c>
      <c r="J637" s="7" t="s">
        <v>1689</v>
      </c>
      <c r="K637" s="51">
        <v>41781</v>
      </c>
      <c r="L637" s="115" t="s">
        <v>6070</v>
      </c>
      <c r="N637" s="7" t="s">
        <v>2</v>
      </c>
      <c r="O637" s="74">
        <v>6.9</v>
      </c>
      <c r="P637" s="117">
        <v>6</v>
      </c>
      <c r="Q637" s="131">
        <v>6</v>
      </c>
      <c r="R637" s="50">
        <v>86</v>
      </c>
      <c r="S637" s="74">
        <v>43</v>
      </c>
      <c r="T637" s="50">
        <v>0.18</v>
      </c>
      <c r="U637" s="74">
        <v>1.6</v>
      </c>
      <c r="V637" s="50">
        <v>0.47</v>
      </c>
      <c r="W637" s="74">
        <v>1.0999999999999999E-2</v>
      </c>
      <c r="X637" s="50">
        <v>6.9000000000000006E-2</v>
      </c>
      <c r="Y637" s="74">
        <f>0.002/2</f>
        <v>1E-3</v>
      </c>
      <c r="Z637" s="164">
        <v>1</v>
      </c>
      <c r="AA637" s="165">
        <v>1</v>
      </c>
      <c r="AB637" s="50">
        <v>20</v>
      </c>
      <c r="AC637" s="74">
        <v>498</v>
      </c>
      <c r="AD637" s="164">
        <v>1</v>
      </c>
      <c r="AG637" s="74"/>
      <c r="AH637" s="74"/>
      <c r="AI637" s="113"/>
      <c r="AJ637" s="50"/>
      <c r="AK637" s="74"/>
      <c r="AL637" s="50"/>
      <c r="AM637" s="74"/>
      <c r="AN637" s="50"/>
      <c r="AO637" s="74"/>
      <c r="AP637" s="50"/>
      <c r="AQ637" s="74"/>
      <c r="AR637" s="50"/>
      <c r="AS637" s="74"/>
      <c r="AT637" s="50"/>
    </row>
    <row r="638" spans="1:46" ht="14">
      <c r="A638" s="53" t="s">
        <v>36</v>
      </c>
      <c r="B638" s="7" t="s">
        <v>1488</v>
      </c>
      <c r="C638" s="7" t="s">
        <v>393</v>
      </c>
      <c r="D638" s="14" t="s">
        <v>1490</v>
      </c>
      <c r="E638" s="7" t="s">
        <v>1687</v>
      </c>
      <c r="F638" s="7"/>
      <c r="G638" s="15" t="s">
        <v>1688</v>
      </c>
      <c r="H638" s="7"/>
      <c r="I638" s="19" t="s">
        <v>2</v>
      </c>
      <c r="J638" s="7" t="s">
        <v>1690</v>
      </c>
      <c r="K638" s="51">
        <v>41781</v>
      </c>
      <c r="L638" s="115" t="s">
        <v>6070</v>
      </c>
      <c r="N638" s="7" t="s">
        <v>2</v>
      </c>
      <c r="O638" s="74">
        <v>5.9</v>
      </c>
      <c r="P638" s="117">
        <v>6</v>
      </c>
      <c r="Q638" s="131">
        <v>6.4</v>
      </c>
      <c r="R638" s="50">
        <v>160</v>
      </c>
      <c r="S638" s="74">
        <v>210</v>
      </c>
      <c r="T638" s="50">
        <v>0.53</v>
      </c>
      <c r="U638" s="74">
        <v>3.1</v>
      </c>
      <c r="V638" s="50">
        <v>0.38</v>
      </c>
      <c r="W638" s="74">
        <v>3.5999999999999997E-2</v>
      </c>
      <c r="X638" s="50">
        <v>0.26</v>
      </c>
      <c r="Y638" s="74">
        <v>1.9E-2</v>
      </c>
      <c r="Z638" s="164">
        <v>1</v>
      </c>
      <c r="AA638" s="165">
        <v>1</v>
      </c>
      <c r="AB638" s="50">
        <v>18</v>
      </c>
      <c r="AC638" s="74">
        <v>468</v>
      </c>
      <c r="AD638" s="164">
        <v>1</v>
      </c>
      <c r="AG638" s="74"/>
      <c r="AH638" s="74"/>
      <c r="AI638" s="113"/>
      <c r="AJ638" s="50"/>
      <c r="AK638" s="74"/>
      <c r="AL638" s="50"/>
      <c r="AM638" s="74"/>
      <c r="AN638" s="50"/>
      <c r="AO638" s="74"/>
      <c r="AP638" s="50"/>
      <c r="AQ638" s="74"/>
      <c r="AR638" s="50"/>
      <c r="AS638" s="74"/>
      <c r="AT638" s="50"/>
    </row>
    <row r="639" spans="1:46" ht="14">
      <c r="A639" s="53" t="s">
        <v>36</v>
      </c>
      <c r="B639" s="7" t="s">
        <v>1488</v>
      </c>
      <c r="C639" s="7" t="s">
        <v>393</v>
      </c>
      <c r="D639" s="14" t="s">
        <v>1490</v>
      </c>
      <c r="E639" s="7" t="s">
        <v>1687</v>
      </c>
      <c r="F639" s="7"/>
      <c r="G639" s="15" t="s">
        <v>1688</v>
      </c>
      <c r="H639" s="7"/>
      <c r="I639" s="19" t="s">
        <v>2</v>
      </c>
      <c r="J639" s="7" t="s">
        <v>1691</v>
      </c>
      <c r="K639" s="51">
        <v>41781</v>
      </c>
      <c r="L639" s="115" t="s">
        <v>6070</v>
      </c>
      <c r="N639" s="7" t="s">
        <v>2</v>
      </c>
      <c r="O639" s="74">
        <v>3.8</v>
      </c>
      <c r="P639" s="117">
        <v>6</v>
      </c>
      <c r="Q639" s="131">
        <v>5.9</v>
      </c>
      <c r="R639" s="50">
        <v>99</v>
      </c>
      <c r="S639" s="74">
        <v>180</v>
      </c>
      <c r="T639" s="50">
        <v>0.34</v>
      </c>
      <c r="U639" s="74">
        <v>1.8</v>
      </c>
      <c r="V639" s="50">
        <v>0.22</v>
      </c>
      <c r="W639" s="74">
        <v>3.6999999999999998E-2</v>
      </c>
      <c r="X639" s="50">
        <v>0.14000000000000001</v>
      </c>
      <c r="Y639" s="74">
        <v>1.2E-2</v>
      </c>
      <c r="Z639" s="164">
        <v>1</v>
      </c>
      <c r="AA639" s="165">
        <v>1</v>
      </c>
      <c r="AB639" s="50">
        <v>2</v>
      </c>
      <c r="AC639" s="74">
        <v>175</v>
      </c>
      <c r="AD639" s="164">
        <v>0.95</v>
      </c>
      <c r="AG639" s="74"/>
      <c r="AH639" s="74"/>
      <c r="AI639" s="113"/>
      <c r="AJ639" s="50"/>
      <c r="AK639" s="74"/>
      <c r="AL639" s="50"/>
      <c r="AM639" s="74"/>
      <c r="AN639" s="50"/>
      <c r="AO639" s="74"/>
      <c r="AP639" s="50"/>
      <c r="AQ639" s="74"/>
      <c r="AR639" s="50"/>
      <c r="AS639" s="74"/>
      <c r="AT639" s="50"/>
    </row>
    <row r="640" spans="1:46" ht="14">
      <c r="A640" s="53" t="s">
        <v>36</v>
      </c>
      <c r="B640" s="7" t="s">
        <v>3044</v>
      </c>
      <c r="C640" s="7" t="s">
        <v>4521</v>
      </c>
      <c r="D640" s="14" t="s">
        <v>462</v>
      </c>
      <c r="E640" s="7" t="s">
        <v>1546</v>
      </c>
      <c r="F640" s="7" t="s">
        <v>4522</v>
      </c>
      <c r="G640" s="15" t="s">
        <v>3051</v>
      </c>
      <c r="H640" s="7">
        <v>9199</v>
      </c>
      <c r="I640" s="19" t="s">
        <v>1</v>
      </c>
      <c r="J640" s="7" t="s">
        <v>4523</v>
      </c>
      <c r="K640" s="51">
        <v>41744</v>
      </c>
      <c r="L640" s="115">
        <v>41740</v>
      </c>
      <c r="M640" s="402">
        <f t="shared" ref="M640:M645" si="37">K640-L640</f>
        <v>4</v>
      </c>
      <c r="N640" s="7" t="s">
        <v>2</v>
      </c>
      <c r="O640" s="74">
        <v>8.9</v>
      </c>
      <c r="P640" s="117">
        <v>7</v>
      </c>
      <c r="Q640" s="131">
        <v>6.89</v>
      </c>
      <c r="R640" s="50">
        <v>77</v>
      </c>
      <c r="S640" s="74">
        <v>190</v>
      </c>
      <c r="T640" s="50">
        <v>0.8</v>
      </c>
      <c r="U640" s="74">
        <v>1.68</v>
      </c>
      <c r="V640" s="50">
        <v>0.15</v>
      </c>
      <c r="W640" s="74">
        <v>1.9E-2</v>
      </c>
      <c r="X640" s="50">
        <v>7.0999999999999994E-2</v>
      </c>
      <c r="Y640" s="74">
        <v>8.9999999999999993E-3</v>
      </c>
      <c r="Z640" s="164">
        <v>1</v>
      </c>
      <c r="AA640" s="165">
        <v>1</v>
      </c>
      <c r="AB640" s="50">
        <v>14</v>
      </c>
      <c r="AC640" s="74">
        <v>254</v>
      </c>
      <c r="AD640" s="164">
        <v>1</v>
      </c>
      <c r="AG640" s="74"/>
      <c r="AH640" s="74"/>
      <c r="AI640" s="113"/>
      <c r="AJ640" s="50"/>
      <c r="AK640" s="74"/>
      <c r="AL640" s="50"/>
      <c r="AM640" s="74"/>
      <c r="AN640" s="50"/>
      <c r="AO640" s="74"/>
      <c r="AP640" s="50"/>
      <c r="AQ640" s="74"/>
      <c r="AR640" s="50"/>
      <c r="AS640" s="74"/>
      <c r="AT640" s="50"/>
    </row>
    <row r="641" spans="1:46" ht="14">
      <c r="A641" s="293" t="s">
        <v>36</v>
      </c>
      <c r="B641" s="7" t="s">
        <v>3044</v>
      </c>
      <c r="C641" s="7" t="s">
        <v>6114</v>
      </c>
      <c r="D641" s="14" t="s">
        <v>462</v>
      </c>
      <c r="E641" s="7" t="s">
        <v>530</v>
      </c>
      <c r="F641" s="7" t="s">
        <v>4211</v>
      </c>
      <c r="G641" s="15" t="s">
        <v>3046</v>
      </c>
      <c r="H641" s="7">
        <v>4953</v>
      </c>
      <c r="I641" s="19" t="s">
        <v>2</v>
      </c>
      <c r="J641" s="7" t="s">
        <v>4826</v>
      </c>
      <c r="K641" s="51">
        <v>41691</v>
      </c>
      <c r="L641" s="115">
        <v>41689</v>
      </c>
      <c r="M641" s="402">
        <f t="shared" si="37"/>
        <v>2</v>
      </c>
      <c r="N641" s="7" t="s">
        <v>1</v>
      </c>
      <c r="O641" s="74">
        <f>1.4/2</f>
        <v>0.7</v>
      </c>
      <c r="P641" s="117">
        <v>5.5</v>
      </c>
      <c r="Q641" s="131">
        <v>7.7</v>
      </c>
      <c r="R641" s="50">
        <v>23</v>
      </c>
      <c r="S641" s="74">
        <v>53</v>
      </c>
      <c r="T641" s="50">
        <v>0.26</v>
      </c>
      <c r="U641" s="74">
        <v>1.43</v>
      </c>
      <c r="V641" s="50">
        <v>0.63</v>
      </c>
      <c r="W641" s="74">
        <v>1.2999999999999999E-2</v>
      </c>
      <c r="X641" s="50">
        <v>0.03</v>
      </c>
      <c r="Y641" s="74">
        <v>8.0000000000000002E-3</v>
      </c>
      <c r="AG641" s="74"/>
      <c r="AH641" s="74"/>
      <c r="AI641" s="113"/>
      <c r="AJ641" s="50"/>
      <c r="AK641" s="74"/>
      <c r="AL641" s="50"/>
      <c r="AM641" s="74"/>
      <c r="AN641" s="50"/>
      <c r="AO641" s="74"/>
      <c r="AP641" s="50"/>
      <c r="AQ641" s="74"/>
      <c r="AR641" s="50"/>
      <c r="AS641" s="74"/>
      <c r="AT641" s="50"/>
    </row>
    <row r="642" spans="1:46" ht="14">
      <c r="A642" s="53" t="s">
        <v>36</v>
      </c>
      <c r="B642" s="7" t="s">
        <v>2853</v>
      </c>
      <c r="C642" s="7" t="s">
        <v>2854</v>
      </c>
      <c r="D642" s="14" t="s">
        <v>1135</v>
      </c>
      <c r="E642" s="7" t="s">
        <v>235</v>
      </c>
      <c r="F642" s="7" t="s">
        <v>2855</v>
      </c>
      <c r="G642" s="15" t="s">
        <v>2856</v>
      </c>
      <c r="H642" s="7">
        <v>9199</v>
      </c>
      <c r="I642" s="19" t="s">
        <v>1</v>
      </c>
      <c r="J642" s="7" t="s">
        <v>6116</v>
      </c>
      <c r="K642" s="51">
        <v>41799</v>
      </c>
      <c r="L642" s="115">
        <v>41795</v>
      </c>
      <c r="M642" s="402">
        <f t="shared" si="37"/>
        <v>4</v>
      </c>
      <c r="N642" s="7" t="s">
        <v>2</v>
      </c>
      <c r="O642" s="74">
        <v>8</v>
      </c>
      <c r="P642" s="117">
        <v>4.2300000000000004</v>
      </c>
      <c r="Q642" s="131"/>
      <c r="R642" s="50">
        <v>160</v>
      </c>
      <c r="S642" s="74">
        <v>112</v>
      </c>
      <c r="U642" s="74">
        <v>2.5099999999999998</v>
      </c>
      <c r="V642" s="50">
        <v>3.08</v>
      </c>
      <c r="W642" s="74">
        <v>3.5000000000000003E-2</v>
      </c>
      <c r="X642" s="50">
        <v>0.114</v>
      </c>
      <c r="AG642" s="74"/>
      <c r="AH642" s="74"/>
      <c r="AI642" s="113"/>
      <c r="AJ642" s="50"/>
      <c r="AK642" s="74"/>
      <c r="AL642" s="50"/>
      <c r="AM642" s="74"/>
      <c r="AN642" s="50"/>
      <c r="AO642" s="74"/>
      <c r="AP642" s="50"/>
      <c r="AQ642" s="74"/>
      <c r="AR642" s="50"/>
      <c r="AS642" s="74"/>
      <c r="AT642" s="50"/>
    </row>
    <row r="643" spans="1:46" ht="14">
      <c r="A643" s="53" t="s">
        <v>36</v>
      </c>
      <c r="B643" s="7" t="s">
        <v>2853</v>
      </c>
      <c r="C643" s="7" t="s">
        <v>6117</v>
      </c>
      <c r="D643" s="14" t="s">
        <v>1135</v>
      </c>
      <c r="E643" s="7" t="s">
        <v>235</v>
      </c>
      <c r="F643" s="7" t="s">
        <v>2855</v>
      </c>
      <c r="G643" s="15" t="s">
        <v>2856</v>
      </c>
      <c r="H643" s="7">
        <v>9199</v>
      </c>
      <c r="I643" s="19" t="s">
        <v>1</v>
      </c>
      <c r="J643" s="7" t="s">
        <v>5951</v>
      </c>
      <c r="K643" s="51">
        <v>41799</v>
      </c>
      <c r="L643" s="115">
        <v>41795</v>
      </c>
      <c r="M643" s="402">
        <f t="shared" si="37"/>
        <v>4</v>
      </c>
      <c r="N643" s="7" t="s">
        <v>2</v>
      </c>
      <c r="P643" s="117">
        <v>4.2300000000000004</v>
      </c>
      <c r="Q643" s="131"/>
      <c r="U643" s="74">
        <v>1.22</v>
      </c>
      <c r="X643" s="50">
        <v>5.8999999999999997E-2</v>
      </c>
      <c r="AG643" s="74"/>
      <c r="AH643" s="74"/>
      <c r="AI643" s="113"/>
      <c r="AJ643" s="50"/>
      <c r="AK643" s="74"/>
      <c r="AL643" s="50"/>
      <c r="AM643" s="74"/>
      <c r="AN643" s="50"/>
      <c r="AO643" s="74"/>
      <c r="AP643" s="50"/>
      <c r="AQ643" s="74"/>
      <c r="AR643" s="50"/>
      <c r="AS643" s="74"/>
      <c r="AT643" s="50"/>
    </row>
    <row r="644" spans="1:46" ht="14">
      <c r="A644" s="53" t="s">
        <v>36</v>
      </c>
      <c r="B644" s="7" t="s">
        <v>2750</v>
      </c>
      <c r="C644" s="7" t="s">
        <v>2660</v>
      </c>
      <c r="D644" s="14" t="s">
        <v>247</v>
      </c>
      <c r="E644" s="7" t="s">
        <v>3038</v>
      </c>
      <c r="F644" s="7"/>
      <c r="G644" s="15" t="s">
        <v>2751</v>
      </c>
      <c r="H644" s="7"/>
      <c r="I644" s="19" t="s">
        <v>2</v>
      </c>
      <c r="J644" s="7"/>
      <c r="K644" s="51">
        <v>41795</v>
      </c>
      <c r="L644" s="115">
        <v>41793</v>
      </c>
      <c r="M644" s="402">
        <f t="shared" si="37"/>
        <v>2</v>
      </c>
      <c r="N644" s="7" t="s">
        <v>2</v>
      </c>
      <c r="O644" s="74">
        <f>1.4/2</f>
        <v>0.7</v>
      </c>
      <c r="P644" s="117">
        <v>6.61</v>
      </c>
      <c r="Q644" s="131">
        <v>6.84</v>
      </c>
      <c r="R644" s="50">
        <v>43</v>
      </c>
      <c r="S644" s="74">
        <v>67</v>
      </c>
      <c r="T644" s="50">
        <v>0.17</v>
      </c>
      <c r="U644" s="74">
        <v>1.53</v>
      </c>
      <c r="V644" s="50">
        <v>1.1499999999999999</v>
      </c>
      <c r="W644" s="74">
        <v>2.1999999999999999E-2</v>
      </c>
      <c r="X644" s="50">
        <v>7.8E-2</v>
      </c>
      <c r="Y644" s="74">
        <v>6.0000000000000001E-3</v>
      </c>
      <c r="Z644" s="164">
        <v>1</v>
      </c>
      <c r="AA644" s="165">
        <v>1</v>
      </c>
      <c r="AB644" s="50">
        <v>38</v>
      </c>
      <c r="AC644" s="74">
        <v>413</v>
      </c>
      <c r="AD644" s="164">
        <v>1</v>
      </c>
      <c r="AG644" s="74"/>
      <c r="AH644" s="74"/>
      <c r="AI644" s="113"/>
      <c r="AJ644" s="50"/>
      <c r="AK644" s="74"/>
      <c r="AL644" s="50"/>
      <c r="AM644" s="74"/>
      <c r="AN644" s="50"/>
      <c r="AO644" s="74"/>
      <c r="AP644" s="50"/>
      <c r="AQ644" s="74"/>
      <c r="AR644" s="50"/>
      <c r="AS644" s="74"/>
      <c r="AT644" s="50"/>
    </row>
    <row r="645" spans="1:46" ht="14">
      <c r="A645" s="53" t="s">
        <v>36</v>
      </c>
      <c r="B645" s="7" t="s">
        <v>6118</v>
      </c>
      <c r="C645" s="7" t="s">
        <v>393</v>
      </c>
      <c r="D645" s="14" t="s">
        <v>1505</v>
      </c>
      <c r="E645" s="7" t="s">
        <v>4009</v>
      </c>
      <c r="F645" s="7"/>
      <c r="G645" s="15" t="s">
        <v>2748</v>
      </c>
      <c r="H645" s="7">
        <v>9199</v>
      </c>
      <c r="I645" s="19" t="s">
        <v>2</v>
      </c>
      <c r="J645" s="7" t="s">
        <v>6119</v>
      </c>
      <c r="K645" s="51">
        <v>41781</v>
      </c>
      <c r="L645" s="115">
        <v>41776</v>
      </c>
      <c r="M645" s="402">
        <f t="shared" si="37"/>
        <v>5</v>
      </c>
      <c r="N645" s="7" t="s">
        <v>2</v>
      </c>
      <c r="O645" s="74">
        <f>1.4/2</f>
        <v>0.7</v>
      </c>
      <c r="P645" s="117">
        <v>6.5</v>
      </c>
      <c r="Q645" s="131">
        <v>7.53</v>
      </c>
      <c r="R645" s="50">
        <v>22</v>
      </c>
      <c r="S645" s="74">
        <f>5/2</f>
        <v>2.5</v>
      </c>
      <c r="T645" s="50">
        <v>0.03</v>
      </c>
      <c r="U645" s="74">
        <v>0.6</v>
      </c>
      <c r="V645" s="50">
        <v>1.82</v>
      </c>
      <c r="W645" s="74">
        <v>0.01</v>
      </c>
      <c r="X645" s="50">
        <v>3.3000000000000002E-2</v>
      </c>
      <c r="Y645" s="74">
        <v>4.0000000000000001E-3</v>
      </c>
      <c r="AE645" s="50">
        <v>288</v>
      </c>
      <c r="AF645" s="50">
        <f>0.01/2</f>
        <v>5.0000000000000001E-3</v>
      </c>
      <c r="AG645" s="74"/>
      <c r="AH645" s="74"/>
      <c r="AI645" s="113"/>
      <c r="AJ645" s="50"/>
      <c r="AK645" s="74"/>
      <c r="AL645" s="50"/>
      <c r="AM645" s="74"/>
      <c r="AN645" s="50"/>
      <c r="AO645" s="74"/>
      <c r="AP645" s="50"/>
      <c r="AQ645" s="74"/>
      <c r="AR645" s="50"/>
      <c r="AS645" s="74"/>
      <c r="AT645" s="50"/>
    </row>
    <row r="646" spans="1:46" ht="14">
      <c r="A646" s="53" t="s">
        <v>36</v>
      </c>
      <c r="B646" s="7" t="s">
        <v>457</v>
      </c>
      <c r="C646" s="7" t="s">
        <v>1482</v>
      </c>
      <c r="D646" s="14" t="s">
        <v>458</v>
      </c>
      <c r="E646" s="7" t="s">
        <v>1245</v>
      </c>
      <c r="F646" s="369">
        <v>4000</v>
      </c>
      <c r="G646" s="15" t="s">
        <v>2739</v>
      </c>
      <c r="H646" s="7">
        <v>9199</v>
      </c>
      <c r="I646" s="19" t="s">
        <v>2</v>
      </c>
      <c r="J646" s="7" t="s">
        <v>510</v>
      </c>
      <c r="K646" s="51">
        <v>41585</v>
      </c>
      <c r="L646" s="115">
        <v>41579</v>
      </c>
      <c r="M646" s="50">
        <f>K646-L646</f>
        <v>6</v>
      </c>
      <c r="N646" s="7" t="s">
        <v>2</v>
      </c>
      <c r="O646" s="74">
        <f>1.4/2</f>
        <v>0.7</v>
      </c>
      <c r="P646" s="117">
        <v>5.2</v>
      </c>
      <c r="Q646" s="131">
        <v>7.3</v>
      </c>
      <c r="R646" s="50">
        <v>32</v>
      </c>
      <c r="S646" s="74">
        <v>12</v>
      </c>
      <c r="T646" s="50">
        <v>0.13</v>
      </c>
      <c r="U646" s="74">
        <v>0.78</v>
      </c>
      <c r="V646" s="50">
        <v>0.43</v>
      </c>
      <c r="W646" s="74">
        <v>6.0000000000000001E-3</v>
      </c>
      <c r="X646" s="50">
        <v>9.9000000000000005E-2</v>
      </c>
      <c r="Y646" s="74">
        <f>0.002/2</f>
        <v>1E-3</v>
      </c>
      <c r="AE646" s="50">
        <v>46.1</v>
      </c>
      <c r="AF646" s="50">
        <f>0.01/2</f>
        <v>5.0000000000000001E-3</v>
      </c>
      <c r="AG646" s="74"/>
      <c r="AH646" s="74"/>
      <c r="AI646" s="113"/>
      <c r="AJ646" s="50"/>
      <c r="AK646" s="74"/>
      <c r="AL646" s="50"/>
      <c r="AM646" s="74"/>
      <c r="AN646" s="50"/>
      <c r="AO646" s="74"/>
      <c r="AP646" s="50"/>
      <c r="AQ646" s="74"/>
      <c r="AR646" s="50"/>
      <c r="AS646" s="74"/>
      <c r="AT646" s="50"/>
    </row>
    <row r="647" spans="1:46" ht="14">
      <c r="A647" s="53" t="s">
        <v>36</v>
      </c>
      <c r="B647" s="7" t="s">
        <v>457</v>
      </c>
      <c r="C647" s="7" t="s">
        <v>1482</v>
      </c>
      <c r="D647" s="14" t="s">
        <v>458</v>
      </c>
      <c r="E647" s="7" t="s">
        <v>1245</v>
      </c>
      <c r="F647" s="369">
        <v>4000</v>
      </c>
      <c r="G647" s="15" t="s">
        <v>2739</v>
      </c>
      <c r="H647" s="7">
        <v>9199</v>
      </c>
      <c r="I647" s="19" t="s">
        <v>2</v>
      </c>
      <c r="J647" s="7" t="s">
        <v>510</v>
      </c>
      <c r="K647" s="51">
        <v>41499</v>
      </c>
      <c r="L647" s="115">
        <v>41495</v>
      </c>
      <c r="M647" s="50">
        <f t="shared" ref="M647:M700" si="38">K647-L647</f>
        <v>4</v>
      </c>
      <c r="N647" s="7" t="s">
        <v>2</v>
      </c>
      <c r="O647" s="74">
        <f>1.5/2</f>
        <v>0.75</v>
      </c>
      <c r="P647" s="117">
        <v>4.5999999999999996</v>
      </c>
      <c r="Q647" s="131">
        <v>6.8</v>
      </c>
      <c r="R647" s="50">
        <v>26</v>
      </c>
      <c r="S647" s="74">
        <v>5.5</v>
      </c>
      <c r="T647" s="50">
        <v>0.16</v>
      </c>
      <c r="U647" s="74">
        <v>0.79</v>
      </c>
      <c r="V647" s="50">
        <v>1.1000000000000001</v>
      </c>
      <c r="W647" s="74">
        <f>0.005/2</f>
        <v>2.5000000000000001E-3</v>
      </c>
      <c r="X647" s="50">
        <v>0.113</v>
      </c>
      <c r="Y647" s="74">
        <f>0.002/2</f>
        <v>1E-3</v>
      </c>
      <c r="Z647" s="164">
        <v>1</v>
      </c>
      <c r="AA647" s="165">
        <v>1</v>
      </c>
      <c r="AB647" s="50">
        <v>12</v>
      </c>
      <c r="AC647" s="74">
        <v>253</v>
      </c>
      <c r="AD647" s="164">
        <v>0.65</v>
      </c>
      <c r="AE647" s="50">
        <v>68.400000000000006</v>
      </c>
      <c r="AF647" s="50">
        <f>0.01/2</f>
        <v>5.0000000000000001E-3</v>
      </c>
      <c r="AG647" s="74"/>
      <c r="AH647" s="74"/>
      <c r="AI647" s="113"/>
      <c r="AJ647" s="50"/>
      <c r="AK647" s="74"/>
      <c r="AL647" s="50"/>
      <c r="AM647" s="74"/>
      <c r="AN647" s="50"/>
      <c r="AO647" s="74"/>
      <c r="AP647" s="50"/>
      <c r="AQ647" s="74"/>
      <c r="AR647" s="50"/>
      <c r="AS647" s="74"/>
      <c r="AT647" s="50"/>
    </row>
    <row r="648" spans="1:46" ht="14">
      <c r="A648" s="53" t="s">
        <v>36</v>
      </c>
      <c r="B648" s="7" t="s">
        <v>5523</v>
      </c>
      <c r="C648" s="7" t="s">
        <v>2757</v>
      </c>
      <c r="D648" s="14" t="s">
        <v>4742</v>
      </c>
      <c r="E648" s="7" t="s">
        <v>1107</v>
      </c>
      <c r="F648" s="7"/>
      <c r="G648" s="15" t="s">
        <v>6163</v>
      </c>
      <c r="H648" s="7">
        <v>9199</v>
      </c>
      <c r="I648" s="19" t="s">
        <v>2</v>
      </c>
      <c r="J648" s="7" t="s">
        <v>366</v>
      </c>
      <c r="K648" s="51">
        <v>41578</v>
      </c>
      <c r="L648" s="115">
        <v>41539</v>
      </c>
      <c r="M648" s="50">
        <f t="shared" si="38"/>
        <v>39</v>
      </c>
      <c r="N648" s="7" t="s">
        <v>2</v>
      </c>
      <c r="O648" s="74">
        <v>6.6</v>
      </c>
      <c r="P648" s="117">
        <v>5.5</v>
      </c>
      <c r="Q648" s="131">
        <v>6.5</v>
      </c>
      <c r="R648" s="50">
        <v>190</v>
      </c>
      <c r="S648" s="74">
        <v>29</v>
      </c>
      <c r="T648" s="50">
        <v>0.32</v>
      </c>
      <c r="U648" s="74">
        <v>1.83</v>
      </c>
      <c r="V648" s="50">
        <v>0.82</v>
      </c>
      <c r="W648" s="74">
        <v>2.5999999999999999E-2</v>
      </c>
      <c r="X648" s="50">
        <v>5.7000000000000002E-2</v>
      </c>
      <c r="Y648" s="74">
        <v>6.0000000000000001E-3</v>
      </c>
      <c r="Z648" s="164">
        <v>0.68300000000000005</v>
      </c>
      <c r="AA648" s="165">
        <v>0.127</v>
      </c>
      <c r="AB648" s="50">
        <v>98</v>
      </c>
      <c r="AC648" s="74">
        <v>2570</v>
      </c>
      <c r="AD648" s="164">
        <v>0</v>
      </c>
      <c r="AE648" s="50">
        <v>755</v>
      </c>
      <c r="AF648" s="50">
        <f>0.01/2</f>
        <v>5.0000000000000001E-3</v>
      </c>
      <c r="AG648" s="74"/>
      <c r="AH648" s="74"/>
      <c r="AI648" s="113"/>
      <c r="AJ648" s="50"/>
      <c r="AK648" s="74"/>
      <c r="AL648" s="50"/>
      <c r="AM648" s="74"/>
      <c r="AN648" s="50"/>
      <c r="AO648" s="74"/>
      <c r="AP648" s="50"/>
      <c r="AQ648" s="74"/>
      <c r="AR648" s="50"/>
      <c r="AS648" s="74"/>
      <c r="AT648" s="50"/>
    </row>
    <row r="649" spans="1:46" ht="14">
      <c r="A649" s="53" t="s">
        <v>36</v>
      </c>
      <c r="B649" s="7" t="s">
        <v>5988</v>
      </c>
      <c r="C649" s="7" t="s">
        <v>5989</v>
      </c>
      <c r="D649" s="14" t="s">
        <v>548</v>
      </c>
      <c r="E649" s="7" t="s">
        <v>5990</v>
      </c>
      <c r="F649" s="7" t="s">
        <v>5991</v>
      </c>
      <c r="G649" s="15" t="s">
        <v>5992</v>
      </c>
      <c r="H649" s="7">
        <v>9199</v>
      </c>
      <c r="I649" s="19" t="s">
        <v>2</v>
      </c>
      <c r="J649" s="7" t="s">
        <v>856</v>
      </c>
      <c r="K649" s="51">
        <v>41596</v>
      </c>
      <c r="L649" s="115">
        <v>41593</v>
      </c>
      <c r="M649" s="50">
        <f t="shared" si="38"/>
        <v>3</v>
      </c>
      <c r="N649" s="7" t="s">
        <v>2</v>
      </c>
      <c r="O649" s="74">
        <f>1.4/2</f>
        <v>0.7</v>
      </c>
      <c r="P649" s="117">
        <v>6.04</v>
      </c>
      <c r="Q649" s="131">
        <v>7.23</v>
      </c>
      <c r="R649" s="50">
        <v>10</v>
      </c>
      <c r="S649" s="74">
        <v>22</v>
      </c>
      <c r="T649" s="50">
        <v>0.11</v>
      </c>
      <c r="U649" s="74">
        <v>0.42</v>
      </c>
      <c r="V649" s="50">
        <v>0.1</v>
      </c>
      <c r="W649" s="74">
        <f>0.005/2</f>
        <v>2.5000000000000001E-3</v>
      </c>
      <c r="X649" s="50">
        <v>5.3999999999999999E-2</v>
      </c>
      <c r="Y649" s="74">
        <v>3.0000000000000001E-3</v>
      </c>
      <c r="Z649" s="164">
        <v>1</v>
      </c>
      <c r="AA649" s="165">
        <v>1</v>
      </c>
      <c r="AB649" s="50">
        <v>20</v>
      </c>
      <c r="AC649" s="74">
        <v>303</v>
      </c>
      <c r="AD649" s="164">
        <v>1</v>
      </c>
      <c r="AE649" s="50">
        <v>79.8</v>
      </c>
      <c r="AF649" s="50">
        <f>0.01/2</f>
        <v>5.0000000000000001E-3</v>
      </c>
      <c r="AG649" s="74"/>
      <c r="AH649" s="74"/>
      <c r="AI649" s="113"/>
      <c r="AJ649" s="50"/>
      <c r="AK649" s="74"/>
      <c r="AL649" s="50"/>
      <c r="AM649" s="74"/>
      <c r="AN649" s="50"/>
      <c r="AO649" s="74"/>
      <c r="AP649" s="50"/>
      <c r="AQ649" s="74"/>
      <c r="AR649" s="50"/>
      <c r="AS649" s="74"/>
      <c r="AT649" s="50"/>
    </row>
    <row r="650" spans="1:46" ht="14">
      <c r="A650" s="53" t="s">
        <v>36</v>
      </c>
      <c r="B650" s="7" t="s">
        <v>4830</v>
      </c>
      <c r="C650" s="7" t="s">
        <v>2746</v>
      </c>
      <c r="D650" s="14" t="s">
        <v>1881</v>
      </c>
      <c r="E650" s="7" t="s">
        <v>49</v>
      </c>
      <c r="F650" s="7"/>
      <c r="G650" s="15" t="s">
        <v>2745</v>
      </c>
      <c r="H650" s="7">
        <v>9199</v>
      </c>
      <c r="I650" s="19" t="s">
        <v>2</v>
      </c>
      <c r="J650" s="7" t="s">
        <v>2937</v>
      </c>
      <c r="K650" s="51">
        <v>41579</v>
      </c>
      <c r="L650" s="115">
        <v>41554</v>
      </c>
      <c r="M650" s="50">
        <f t="shared" si="38"/>
        <v>25</v>
      </c>
      <c r="N650" s="7" t="s">
        <v>2</v>
      </c>
      <c r="O650" s="74">
        <v>4.2</v>
      </c>
      <c r="P650" s="117">
        <v>7</v>
      </c>
      <c r="Q650" s="131">
        <v>7.3</v>
      </c>
      <c r="R650" s="50">
        <v>320</v>
      </c>
      <c r="S650" s="74">
        <v>600</v>
      </c>
      <c r="T650" s="50">
        <v>1.5</v>
      </c>
      <c r="U650" s="74">
        <v>11.3</v>
      </c>
      <c r="V650" s="50">
        <v>0.31</v>
      </c>
      <c r="W650" s="74">
        <v>0.05</v>
      </c>
      <c r="X650" s="50">
        <v>0.224</v>
      </c>
      <c r="Y650" s="74">
        <v>6.3E-2</v>
      </c>
      <c r="AG650" s="74"/>
      <c r="AH650" s="74"/>
      <c r="AI650" s="113"/>
      <c r="AJ650" s="50"/>
      <c r="AK650" s="74"/>
      <c r="AL650" s="50"/>
      <c r="AM650" s="74"/>
      <c r="AN650" s="50"/>
      <c r="AO650" s="74"/>
      <c r="AP650" s="50"/>
      <c r="AQ650" s="74"/>
      <c r="AR650" s="50"/>
      <c r="AS650" s="74"/>
      <c r="AT650" s="50"/>
    </row>
    <row r="651" spans="1:46" ht="14">
      <c r="A651" s="53" t="s">
        <v>36</v>
      </c>
      <c r="B651" s="7" t="s">
        <v>4830</v>
      </c>
      <c r="C651" s="7" t="s">
        <v>393</v>
      </c>
      <c r="D651" s="14" t="s">
        <v>1881</v>
      </c>
      <c r="E651" s="7" t="s">
        <v>49</v>
      </c>
      <c r="F651" s="7"/>
      <c r="G651" s="15" t="s">
        <v>2745</v>
      </c>
      <c r="H651" s="7">
        <v>9199</v>
      </c>
      <c r="I651" s="19" t="s">
        <v>2</v>
      </c>
      <c r="J651" s="7" t="s">
        <v>4831</v>
      </c>
      <c r="K651" s="51">
        <v>41579</v>
      </c>
      <c r="L651" s="115">
        <v>41554</v>
      </c>
      <c r="M651" s="50">
        <f t="shared" si="38"/>
        <v>25</v>
      </c>
      <c r="N651" s="7" t="s">
        <v>2</v>
      </c>
      <c r="O651" s="74">
        <f>2/2</f>
        <v>1</v>
      </c>
      <c r="P651" s="117">
        <v>7</v>
      </c>
      <c r="Q651" s="131">
        <v>6.8</v>
      </c>
      <c r="R651" s="50">
        <v>25</v>
      </c>
      <c r="S651" s="74">
        <v>19</v>
      </c>
      <c r="T651" s="50">
        <v>0.2</v>
      </c>
      <c r="U651" s="74">
        <v>1.34</v>
      </c>
      <c r="V651" s="50">
        <v>4.12</v>
      </c>
      <c r="W651" s="74">
        <f>0.01/2</f>
        <v>5.0000000000000001E-3</v>
      </c>
      <c r="X651" s="50">
        <v>0.34300000000000003</v>
      </c>
      <c r="Y651" s="74">
        <f>0.03/2</f>
        <v>1.4999999999999999E-2</v>
      </c>
      <c r="AG651" s="74"/>
      <c r="AH651" s="74"/>
      <c r="AI651" s="113"/>
      <c r="AJ651" s="50"/>
      <c r="AK651" s="74"/>
      <c r="AL651" s="50"/>
      <c r="AM651" s="74"/>
      <c r="AN651" s="50"/>
      <c r="AO651" s="74"/>
      <c r="AP651" s="50"/>
      <c r="AQ651" s="74"/>
      <c r="AR651" s="50"/>
      <c r="AS651" s="74"/>
      <c r="AT651" s="50"/>
    </row>
    <row r="652" spans="1:46" ht="14">
      <c r="A652" s="53" t="s">
        <v>36</v>
      </c>
      <c r="B652" s="7" t="s">
        <v>4830</v>
      </c>
      <c r="C652" s="7" t="s">
        <v>393</v>
      </c>
      <c r="D652" s="14" t="s">
        <v>1881</v>
      </c>
      <c r="E652" s="7" t="s">
        <v>49</v>
      </c>
      <c r="F652" s="7"/>
      <c r="G652" s="15" t="s">
        <v>2745</v>
      </c>
      <c r="H652" s="7">
        <v>9199</v>
      </c>
      <c r="I652" s="19" t="s">
        <v>2</v>
      </c>
      <c r="J652" s="7" t="s">
        <v>2938</v>
      </c>
      <c r="K652" s="51">
        <v>41579</v>
      </c>
      <c r="L652" s="115">
        <v>41554</v>
      </c>
      <c r="M652" s="50">
        <f t="shared" si="38"/>
        <v>25</v>
      </c>
      <c r="N652" s="7" t="s">
        <v>2</v>
      </c>
      <c r="O652" s="74">
        <v>11.3</v>
      </c>
      <c r="P652" s="117">
        <v>7</v>
      </c>
      <c r="Q652" s="131">
        <v>7</v>
      </c>
      <c r="R652" s="50">
        <v>160</v>
      </c>
      <c r="S652" s="74">
        <v>362</v>
      </c>
      <c r="T652" s="50">
        <v>0.53</v>
      </c>
      <c r="U652" s="74">
        <v>3.38</v>
      </c>
      <c r="V652" s="50">
        <v>0.28000000000000003</v>
      </c>
      <c r="W652" s="74">
        <v>4.5999999999999999E-2</v>
      </c>
      <c r="X652" s="50">
        <v>0.26300000000000001</v>
      </c>
      <c r="Y652" s="74">
        <v>4.3999999999999997E-2</v>
      </c>
      <c r="AG652" s="74"/>
      <c r="AH652" s="74"/>
      <c r="AI652" s="113"/>
      <c r="AJ652" s="50"/>
      <c r="AK652" s="74"/>
      <c r="AL652" s="50"/>
      <c r="AM652" s="74"/>
      <c r="AN652" s="50"/>
      <c r="AO652" s="74"/>
      <c r="AP652" s="50"/>
      <c r="AQ652" s="74"/>
      <c r="AR652" s="50"/>
      <c r="AS652" s="74"/>
      <c r="AT652" s="50"/>
    </row>
    <row r="653" spans="1:46" ht="14">
      <c r="A653" s="53" t="s">
        <v>36</v>
      </c>
      <c r="B653" s="7" t="s">
        <v>4830</v>
      </c>
      <c r="C653" s="7" t="s">
        <v>392</v>
      </c>
      <c r="D653" s="14" t="s">
        <v>1881</v>
      </c>
      <c r="E653" s="7" t="s">
        <v>49</v>
      </c>
      <c r="F653" s="7"/>
      <c r="G653" s="15" t="s">
        <v>2745</v>
      </c>
      <c r="H653" s="7">
        <v>9199</v>
      </c>
      <c r="I653" s="19" t="s">
        <v>2</v>
      </c>
      <c r="J653" s="7" t="s">
        <v>2941</v>
      </c>
      <c r="K653" s="51">
        <v>41579</v>
      </c>
      <c r="L653" s="115">
        <v>41554</v>
      </c>
      <c r="M653" s="50">
        <f t="shared" si="38"/>
        <v>25</v>
      </c>
      <c r="N653" s="7" t="s">
        <v>2</v>
      </c>
      <c r="O653" s="74">
        <f>2/2</f>
        <v>1</v>
      </c>
      <c r="P653" s="117">
        <v>7</v>
      </c>
      <c r="Q653" s="131">
        <v>6.7</v>
      </c>
      <c r="R653" s="50">
        <v>16</v>
      </c>
      <c r="S653" s="74">
        <v>19</v>
      </c>
      <c r="T653" s="50">
        <v>0.12</v>
      </c>
      <c r="U653" s="74">
        <v>0.98</v>
      </c>
      <c r="V653" s="50">
        <v>1.82</v>
      </c>
      <c r="W653" s="74">
        <v>0.01</v>
      </c>
      <c r="X653" s="50">
        <v>3.5000000000000003E-2</v>
      </c>
      <c r="Y653" s="74">
        <f>0.03/2</f>
        <v>1.4999999999999999E-2</v>
      </c>
      <c r="AG653" s="74"/>
      <c r="AH653" s="74"/>
      <c r="AI653" s="113"/>
      <c r="AJ653" s="50"/>
      <c r="AK653" s="74"/>
      <c r="AL653" s="50"/>
      <c r="AM653" s="74"/>
      <c r="AN653" s="50"/>
      <c r="AO653" s="74"/>
      <c r="AP653" s="50"/>
      <c r="AQ653" s="74"/>
      <c r="AR653" s="50"/>
      <c r="AS653" s="74"/>
      <c r="AT653" s="50"/>
    </row>
    <row r="654" spans="1:46" ht="14">
      <c r="A654" s="53" t="s">
        <v>36</v>
      </c>
      <c r="B654" s="7" t="s">
        <v>6164</v>
      </c>
      <c r="C654" s="7" t="s">
        <v>6165</v>
      </c>
      <c r="D654" s="14" t="s">
        <v>2375</v>
      </c>
      <c r="E654" s="7" t="s">
        <v>128</v>
      </c>
      <c r="F654" s="7" t="s">
        <v>6166</v>
      </c>
      <c r="G654" s="15" t="s">
        <v>6167</v>
      </c>
      <c r="H654" s="7">
        <v>9199</v>
      </c>
      <c r="I654" s="19" t="s">
        <v>2</v>
      </c>
      <c r="J654" s="7" t="s">
        <v>6168</v>
      </c>
      <c r="K654" s="51">
        <v>41538</v>
      </c>
      <c r="L654" s="115">
        <v>41529</v>
      </c>
      <c r="M654" s="50">
        <f t="shared" si="38"/>
        <v>9</v>
      </c>
      <c r="N654" s="7" t="s">
        <v>2</v>
      </c>
      <c r="O654" s="74">
        <f>1.4/2</f>
        <v>0.7</v>
      </c>
      <c r="P654" s="117">
        <v>6.4</v>
      </c>
      <c r="Q654" s="131">
        <v>6.91</v>
      </c>
      <c r="R654" s="50">
        <v>18</v>
      </c>
      <c r="S654" s="74">
        <v>11</v>
      </c>
      <c r="T654" s="50">
        <v>0.02</v>
      </c>
      <c r="U654" s="74">
        <v>0.63</v>
      </c>
      <c r="V654" s="50">
        <v>0.28000000000000003</v>
      </c>
      <c r="W654" s="74">
        <v>0.01</v>
      </c>
      <c r="X654" s="50">
        <v>2.7E-2</v>
      </c>
      <c r="Y654" s="74">
        <v>3.0000000000000001E-3</v>
      </c>
      <c r="AE654" s="50">
        <v>37.9</v>
      </c>
      <c r="AF654" s="50">
        <f>0.01/2</f>
        <v>5.0000000000000001E-3</v>
      </c>
      <c r="AG654" s="74"/>
      <c r="AH654" s="74"/>
      <c r="AI654" s="113"/>
      <c r="AJ654" s="50"/>
      <c r="AK654" s="74"/>
      <c r="AL654" s="50"/>
      <c r="AM654" s="74"/>
      <c r="AN654" s="50"/>
      <c r="AO654" s="74"/>
      <c r="AP654" s="50"/>
      <c r="AQ654" s="74"/>
      <c r="AR654" s="50"/>
      <c r="AS654" s="74"/>
      <c r="AT654" s="50"/>
    </row>
    <row r="655" spans="1:46" ht="14">
      <c r="A655" s="53" t="s">
        <v>36</v>
      </c>
      <c r="B655" s="7" t="s">
        <v>6164</v>
      </c>
      <c r="C655" s="7" t="s">
        <v>6165</v>
      </c>
      <c r="D655" s="14" t="s">
        <v>2375</v>
      </c>
      <c r="E655" s="7" t="s">
        <v>128</v>
      </c>
      <c r="F655" s="7" t="s">
        <v>6166</v>
      </c>
      <c r="G655" s="15" t="s">
        <v>6167</v>
      </c>
      <c r="H655" s="7">
        <v>9199</v>
      </c>
      <c r="I655" s="19" t="s">
        <v>2</v>
      </c>
      <c r="J655" s="7" t="s">
        <v>6169</v>
      </c>
      <c r="K655" s="51">
        <v>41538</v>
      </c>
      <c r="L655" s="115">
        <v>41529</v>
      </c>
      <c r="M655" s="50">
        <f t="shared" si="38"/>
        <v>9</v>
      </c>
      <c r="N655" s="7" t="s">
        <v>2</v>
      </c>
      <c r="O655" s="74">
        <v>0.7</v>
      </c>
      <c r="P655" s="117">
        <v>6.4</v>
      </c>
      <c r="Q655" s="131">
        <v>7.68</v>
      </c>
      <c r="R655" s="50">
        <v>22</v>
      </c>
      <c r="S655" s="74">
        <f>5/2</f>
        <v>2.5</v>
      </c>
      <c r="T655" s="50">
        <v>0.1</v>
      </c>
      <c r="U655" s="74">
        <v>0.91</v>
      </c>
      <c r="V655" s="50">
        <v>0.01</v>
      </c>
      <c r="W655" s="74">
        <v>0.01</v>
      </c>
      <c r="X655" s="50">
        <v>7.4999999999999997E-2</v>
      </c>
      <c r="Y655" s="74">
        <v>5.0000000000000001E-3</v>
      </c>
      <c r="AE655" s="50">
        <v>2.6</v>
      </c>
      <c r="AF655" s="50">
        <f>0.01/2</f>
        <v>5.0000000000000001E-3</v>
      </c>
      <c r="AG655" s="74"/>
      <c r="AH655" s="74"/>
      <c r="AI655" s="113"/>
      <c r="AJ655" s="50"/>
      <c r="AK655" s="74"/>
      <c r="AL655" s="50"/>
      <c r="AM655" s="74"/>
      <c r="AN655" s="50"/>
      <c r="AO655" s="74"/>
      <c r="AP655" s="50"/>
      <c r="AQ655" s="74"/>
      <c r="AR655" s="50"/>
      <c r="AS655" s="74"/>
      <c r="AT655" s="50"/>
    </row>
    <row r="656" spans="1:46" ht="14">
      <c r="A656" s="53" t="s">
        <v>36</v>
      </c>
      <c r="B656" s="7" t="s">
        <v>6164</v>
      </c>
      <c r="C656" s="7" t="s">
        <v>6165</v>
      </c>
      <c r="D656" s="14" t="s">
        <v>2375</v>
      </c>
      <c r="E656" s="7" t="s">
        <v>128</v>
      </c>
      <c r="F656" s="7" t="s">
        <v>6166</v>
      </c>
      <c r="G656" s="15" t="s">
        <v>6167</v>
      </c>
      <c r="H656" s="7">
        <v>9199</v>
      </c>
      <c r="I656" s="19" t="s">
        <v>2</v>
      </c>
      <c r="J656" s="7" t="s">
        <v>6170</v>
      </c>
      <c r="K656" s="51">
        <v>41538</v>
      </c>
      <c r="L656" s="115">
        <v>41529</v>
      </c>
      <c r="M656" s="50">
        <f t="shared" si="38"/>
        <v>9</v>
      </c>
      <c r="N656" s="7" t="s">
        <v>2</v>
      </c>
      <c r="O656" s="74">
        <v>0.7</v>
      </c>
      <c r="P656" s="117">
        <v>6.4</v>
      </c>
      <c r="Q656" s="131">
        <v>7.24</v>
      </c>
      <c r="R656" s="50">
        <v>27</v>
      </c>
      <c r="S656" s="74">
        <f>5/2</f>
        <v>2.5</v>
      </c>
      <c r="T656" s="50">
        <v>0.25</v>
      </c>
      <c r="U656" s="74">
        <v>0.95</v>
      </c>
      <c r="V656" s="50">
        <v>0.24</v>
      </c>
      <c r="W656" s="74">
        <v>7.0000000000000001E-3</v>
      </c>
      <c r="X656" s="50">
        <v>8.0000000000000002E-3</v>
      </c>
      <c r="Y656" s="74">
        <f>0.002/2</f>
        <v>1E-3</v>
      </c>
      <c r="AE656" s="50">
        <v>100</v>
      </c>
      <c r="AF656" s="50">
        <f>0.01/2</f>
        <v>5.0000000000000001E-3</v>
      </c>
      <c r="AG656" s="74"/>
      <c r="AH656" s="74"/>
      <c r="AI656" s="113"/>
      <c r="AJ656" s="50"/>
      <c r="AK656" s="74"/>
      <c r="AL656" s="50"/>
      <c r="AM656" s="74"/>
      <c r="AN656" s="50"/>
      <c r="AO656" s="74"/>
      <c r="AP656" s="50"/>
      <c r="AQ656" s="74"/>
      <c r="AR656" s="50"/>
      <c r="AS656" s="74"/>
      <c r="AT656" s="50"/>
    </row>
    <row r="657" spans="1:46" ht="14">
      <c r="A657" s="293" t="s">
        <v>36</v>
      </c>
      <c r="B657" s="7" t="s">
        <v>2327</v>
      </c>
      <c r="C657" s="7" t="s">
        <v>1482</v>
      </c>
      <c r="D657" s="14" t="s">
        <v>2328</v>
      </c>
      <c r="E657" s="7" t="s">
        <v>2329</v>
      </c>
      <c r="F657" s="369">
        <v>4607</v>
      </c>
      <c r="G657" s="15" t="s">
        <v>2330</v>
      </c>
      <c r="H657" s="7">
        <v>9199</v>
      </c>
      <c r="I657" s="19" t="s">
        <v>1</v>
      </c>
      <c r="J657" s="7" t="s">
        <v>2331</v>
      </c>
      <c r="K657" s="51">
        <v>41710</v>
      </c>
      <c r="L657" s="115">
        <v>41689</v>
      </c>
      <c r="M657" s="50">
        <f t="shared" si="38"/>
        <v>21</v>
      </c>
      <c r="N657" s="7" t="s">
        <v>1</v>
      </c>
      <c r="O657" s="74">
        <f>1.5/2</f>
        <v>0.75</v>
      </c>
      <c r="P657" s="117">
        <v>5.8</v>
      </c>
      <c r="Q657" s="131">
        <v>6.4</v>
      </c>
      <c r="R657" s="50">
        <v>44</v>
      </c>
      <c r="S657" s="74">
        <v>110</v>
      </c>
      <c r="T657" s="50">
        <v>0.39</v>
      </c>
      <c r="U657" s="74">
        <v>1.04</v>
      </c>
      <c r="V657" s="50">
        <v>1.04</v>
      </c>
      <c r="W657" s="74">
        <v>2.5999999999999999E-2</v>
      </c>
      <c r="X657" s="50">
        <v>4.4999999999999998E-2</v>
      </c>
      <c r="Y657" s="74">
        <v>5.0000000000000001E-3</v>
      </c>
      <c r="AE657" s="50">
        <v>975</v>
      </c>
      <c r="AF657" s="50">
        <v>0.05</v>
      </c>
      <c r="AG657" s="74"/>
      <c r="AH657" s="74"/>
      <c r="AI657" s="113"/>
      <c r="AJ657" s="50"/>
      <c r="AK657" s="74"/>
      <c r="AL657" s="50"/>
      <c r="AM657" s="74"/>
      <c r="AN657" s="50"/>
      <c r="AO657" s="74"/>
      <c r="AP657" s="50"/>
      <c r="AQ657" s="74"/>
      <c r="AR657" s="50"/>
      <c r="AS657" s="74"/>
      <c r="AT657" s="50"/>
    </row>
    <row r="658" spans="1:46" ht="14">
      <c r="A658" s="293" t="s">
        <v>36</v>
      </c>
      <c r="B658" s="7" t="s">
        <v>2327</v>
      </c>
      <c r="C658" s="7" t="s">
        <v>1482</v>
      </c>
      <c r="D658" s="14" t="s">
        <v>2328</v>
      </c>
      <c r="E658" s="7" t="s">
        <v>2329</v>
      </c>
      <c r="F658" s="369">
        <v>4607</v>
      </c>
      <c r="G658" s="15" t="s">
        <v>2330</v>
      </c>
      <c r="H658" s="7">
        <v>9199</v>
      </c>
      <c r="I658" s="19" t="s">
        <v>1</v>
      </c>
      <c r="J658" s="7" t="s">
        <v>2332</v>
      </c>
      <c r="K658" s="51">
        <v>41710</v>
      </c>
      <c r="L658" s="115">
        <v>41689</v>
      </c>
      <c r="M658" s="50">
        <f t="shared" si="38"/>
        <v>21</v>
      </c>
      <c r="N658" s="7" t="s">
        <v>1</v>
      </c>
      <c r="O658" s="74">
        <v>0.7</v>
      </c>
      <c r="P658" s="117">
        <v>5.8</v>
      </c>
      <c r="Q658" s="131">
        <v>6.2</v>
      </c>
      <c r="R658" s="50">
        <v>12</v>
      </c>
      <c r="S658" s="74">
        <f>5/2</f>
        <v>2.5</v>
      </c>
      <c r="T658" s="50">
        <v>0.03</v>
      </c>
      <c r="U658" s="74">
        <v>0.65</v>
      </c>
      <c r="V658" s="50">
        <v>1.53</v>
      </c>
      <c r="W658" s="74">
        <f>0.005/2</f>
        <v>2.5000000000000001E-3</v>
      </c>
      <c r="X658" s="50">
        <v>3.0000000000000001E-3</v>
      </c>
      <c r="Y658" s="74">
        <f>0.002/2</f>
        <v>1E-3</v>
      </c>
      <c r="AE658" s="50">
        <v>94.4</v>
      </c>
      <c r="AF658" s="50">
        <f>0.01/2</f>
        <v>5.0000000000000001E-3</v>
      </c>
      <c r="AG658" s="74"/>
      <c r="AH658" s="74"/>
      <c r="AI658" s="113"/>
      <c r="AJ658" s="50"/>
      <c r="AK658" s="74"/>
      <c r="AL658" s="50"/>
      <c r="AM658" s="74"/>
      <c r="AN658" s="50"/>
      <c r="AO658" s="74"/>
      <c r="AP658" s="50"/>
      <c r="AQ658" s="74"/>
      <c r="AR658" s="50"/>
      <c r="AS658" s="74"/>
      <c r="AT658" s="50"/>
    </row>
    <row r="659" spans="1:46" ht="14">
      <c r="A659" s="53" t="s">
        <v>36</v>
      </c>
      <c r="B659" s="7" t="s">
        <v>6171</v>
      </c>
      <c r="C659" s="7" t="s">
        <v>395</v>
      </c>
      <c r="D659" s="14" t="s">
        <v>6172</v>
      </c>
      <c r="E659" s="7" t="s">
        <v>6173</v>
      </c>
      <c r="F659" s="369"/>
      <c r="G659" s="15" t="s">
        <v>6174</v>
      </c>
      <c r="H659" s="7">
        <v>9199</v>
      </c>
      <c r="I659" s="19" t="s">
        <v>2</v>
      </c>
      <c r="J659" s="7" t="s">
        <v>194</v>
      </c>
      <c r="K659" s="51">
        <v>41495</v>
      </c>
      <c r="L659" s="115">
        <v>41488</v>
      </c>
      <c r="M659" s="50">
        <f t="shared" si="38"/>
        <v>7</v>
      </c>
      <c r="N659" s="7" t="s">
        <v>2</v>
      </c>
      <c r="O659" s="74">
        <v>3.2</v>
      </c>
      <c r="P659" s="117"/>
      <c r="Q659" s="131">
        <v>6.9</v>
      </c>
      <c r="R659" s="50">
        <v>15</v>
      </c>
      <c r="S659" s="74">
        <v>60</v>
      </c>
      <c r="T659" s="50">
        <v>0.08</v>
      </c>
      <c r="U659" s="74">
        <v>0.77</v>
      </c>
      <c r="V659" s="50">
        <f>0.1/2</f>
        <v>0.05</v>
      </c>
      <c r="W659" s="74">
        <v>1.0999999999999999E-2</v>
      </c>
      <c r="X659" s="50">
        <v>6.4000000000000001E-2</v>
      </c>
      <c r="Y659" s="74">
        <f>0.03/2</f>
        <v>1.4999999999999999E-2</v>
      </c>
      <c r="AE659" s="50">
        <v>3.1</v>
      </c>
      <c r="AF659" s="50">
        <f>0.05/2</f>
        <v>2.5000000000000001E-2</v>
      </c>
      <c r="AG659" s="74"/>
      <c r="AH659" s="74"/>
      <c r="AI659" s="113"/>
      <c r="AJ659" s="50"/>
      <c r="AK659" s="74"/>
      <c r="AL659" s="50"/>
      <c r="AM659" s="74"/>
      <c r="AN659" s="50"/>
      <c r="AO659" s="74"/>
      <c r="AP659" s="50"/>
      <c r="AQ659" s="74"/>
      <c r="AR659" s="50"/>
      <c r="AS659" s="74"/>
      <c r="AT659" s="50"/>
    </row>
    <row r="660" spans="1:46" ht="14">
      <c r="A660" s="53" t="s">
        <v>36</v>
      </c>
      <c r="B660" s="7" t="s">
        <v>6175</v>
      </c>
      <c r="C660" s="7" t="s">
        <v>2757</v>
      </c>
      <c r="D660" s="14" t="s">
        <v>2274</v>
      </c>
      <c r="E660" s="7" t="s">
        <v>2657</v>
      </c>
      <c r="F660" s="7"/>
      <c r="G660" s="15" t="s">
        <v>2911</v>
      </c>
      <c r="H660" s="7">
        <v>9199</v>
      </c>
      <c r="I660" s="19" t="s">
        <v>1</v>
      </c>
      <c r="J660" s="7" t="s">
        <v>510</v>
      </c>
      <c r="K660" s="51">
        <v>41710</v>
      </c>
      <c r="L660" s="115">
        <v>41691</v>
      </c>
      <c r="M660" s="50">
        <f t="shared" si="38"/>
        <v>19</v>
      </c>
      <c r="N660" s="7" t="s">
        <v>2</v>
      </c>
      <c r="P660" s="117"/>
      <c r="Q660" s="131"/>
      <c r="R660" s="50">
        <v>55</v>
      </c>
      <c r="T660" s="50">
        <v>1.3</v>
      </c>
      <c r="AG660" s="74"/>
      <c r="AH660" s="74"/>
      <c r="AI660" s="113"/>
      <c r="AJ660" s="50"/>
      <c r="AK660" s="74"/>
      <c r="AL660" s="50"/>
      <c r="AM660" s="74"/>
      <c r="AN660" s="50"/>
      <c r="AO660" s="74"/>
      <c r="AP660" s="50"/>
      <c r="AQ660" s="74"/>
      <c r="AR660" s="50"/>
      <c r="AS660" s="74"/>
      <c r="AT660" s="50"/>
    </row>
    <row r="661" spans="1:46" ht="14">
      <c r="A661" s="53" t="s">
        <v>36</v>
      </c>
      <c r="B661" s="7" t="s">
        <v>3314</v>
      </c>
      <c r="C661" s="7" t="s">
        <v>4929</v>
      </c>
      <c r="D661" s="14" t="s">
        <v>78</v>
      </c>
      <c r="E661" s="7" t="s">
        <v>3312</v>
      </c>
      <c r="F661" s="7"/>
      <c r="G661" s="15" t="s">
        <v>4930</v>
      </c>
      <c r="H661" s="7">
        <v>4953</v>
      </c>
      <c r="I661" s="19" t="s">
        <v>1</v>
      </c>
      <c r="J661" s="7" t="s">
        <v>510</v>
      </c>
      <c r="K661" s="51">
        <v>41689</v>
      </c>
      <c r="L661" s="115">
        <v>41683</v>
      </c>
      <c r="M661" s="50">
        <f t="shared" si="38"/>
        <v>6</v>
      </c>
      <c r="N661" s="7" t="s">
        <v>1</v>
      </c>
      <c r="O661" s="74">
        <f>5/2</f>
        <v>2.5</v>
      </c>
      <c r="P661" s="117">
        <v>5.95</v>
      </c>
      <c r="Q661" s="131">
        <v>8.44</v>
      </c>
      <c r="R661" s="50">
        <v>57</v>
      </c>
      <c r="S661" s="74">
        <v>38</v>
      </c>
      <c r="T661" s="50">
        <f>0.1/2</f>
        <v>0.05</v>
      </c>
      <c r="U661" s="74">
        <f>1/2</f>
        <v>0.5</v>
      </c>
      <c r="V661" s="50">
        <v>0.39</v>
      </c>
      <c r="W661" s="74">
        <f>0.04/2</f>
        <v>0.02</v>
      </c>
      <c r="X661" s="50">
        <v>8.8999999999999996E-2</v>
      </c>
      <c r="Y661" s="74">
        <f>0.013/2</f>
        <v>6.4999999999999997E-3</v>
      </c>
      <c r="Z661" s="164">
        <v>1</v>
      </c>
      <c r="AA661" s="165">
        <v>1</v>
      </c>
      <c r="AB661" s="50">
        <v>19</v>
      </c>
      <c r="AC661" s="74">
        <v>1780</v>
      </c>
      <c r="AD661" s="164">
        <v>0.85</v>
      </c>
      <c r="AG661" s="74"/>
      <c r="AH661" s="74"/>
      <c r="AI661" s="113"/>
      <c r="AJ661" s="50"/>
      <c r="AK661" s="74"/>
      <c r="AL661" s="50"/>
      <c r="AM661" s="74"/>
      <c r="AN661" s="50"/>
      <c r="AO661" s="74"/>
      <c r="AP661" s="50"/>
      <c r="AQ661" s="74"/>
      <c r="AR661" s="50"/>
      <c r="AS661" s="74"/>
      <c r="AT661" s="50"/>
    </row>
    <row r="662" spans="1:46" ht="14">
      <c r="A662" s="53" t="s">
        <v>36</v>
      </c>
      <c r="B662" s="7" t="s">
        <v>3314</v>
      </c>
      <c r="C662" s="7" t="s">
        <v>4929</v>
      </c>
      <c r="D662" s="14" t="s">
        <v>78</v>
      </c>
      <c r="E662" s="7" t="s">
        <v>3312</v>
      </c>
      <c r="F662" s="7"/>
      <c r="G662" s="15" t="s">
        <v>4930</v>
      </c>
      <c r="H662" s="7">
        <v>4953</v>
      </c>
      <c r="I662" s="19" t="s">
        <v>1</v>
      </c>
      <c r="J662" s="7" t="s">
        <v>460</v>
      </c>
      <c r="K662" s="51">
        <v>41689</v>
      </c>
      <c r="L662" s="115">
        <v>41683</v>
      </c>
      <c r="M662" s="50">
        <f t="shared" si="38"/>
        <v>6</v>
      </c>
      <c r="N662" s="7" t="s">
        <v>1</v>
      </c>
      <c r="O662" s="74">
        <v>16</v>
      </c>
      <c r="P662" s="117">
        <v>5.59</v>
      </c>
      <c r="Q662" s="131">
        <v>7.87</v>
      </c>
      <c r="R662" s="50">
        <v>240</v>
      </c>
      <c r="S662" s="74">
        <v>280</v>
      </c>
      <c r="T662" s="50">
        <v>0.45</v>
      </c>
      <c r="U662" s="74">
        <v>1.2</v>
      </c>
      <c r="V662" s="50">
        <v>0.15</v>
      </c>
      <c r="W662" s="74">
        <v>5.2999999999999999E-2</v>
      </c>
      <c r="X662" s="50">
        <v>0.23</v>
      </c>
      <c r="Y662" s="74">
        <v>2.1999999999999999E-2</v>
      </c>
      <c r="Z662" s="164">
        <v>0.105</v>
      </c>
      <c r="AA662" s="165">
        <v>8.8400000000000006E-2</v>
      </c>
      <c r="AB662" s="50">
        <v>94</v>
      </c>
      <c r="AC662" s="74">
        <v>6220</v>
      </c>
      <c r="AD662" s="164">
        <v>0</v>
      </c>
      <c r="AG662" s="74"/>
      <c r="AH662" s="74"/>
      <c r="AI662" s="113"/>
      <c r="AJ662" s="50"/>
      <c r="AK662" s="74"/>
      <c r="AL662" s="50"/>
      <c r="AM662" s="74"/>
      <c r="AN662" s="50"/>
      <c r="AO662" s="74"/>
      <c r="AP662" s="50"/>
      <c r="AQ662" s="74"/>
      <c r="AR662" s="50"/>
      <c r="AS662" s="74"/>
      <c r="AT662" s="50"/>
    </row>
    <row r="663" spans="1:46" ht="14">
      <c r="A663" s="53" t="s">
        <v>36</v>
      </c>
      <c r="B663" s="7" t="s">
        <v>6105</v>
      </c>
      <c r="C663" s="7" t="s">
        <v>6105</v>
      </c>
      <c r="D663" s="14" t="s">
        <v>84</v>
      </c>
      <c r="E663" s="7"/>
      <c r="F663" s="369"/>
      <c r="G663" s="15" t="s">
        <v>6106</v>
      </c>
      <c r="H663" s="7"/>
      <c r="I663" s="19"/>
      <c r="J663" s="7" t="s">
        <v>6107</v>
      </c>
      <c r="K663" s="51">
        <v>41744</v>
      </c>
      <c r="L663" s="115"/>
      <c r="N663" s="7" t="s">
        <v>2</v>
      </c>
      <c r="O663" s="74">
        <f>1/2</f>
        <v>0.5</v>
      </c>
      <c r="P663" s="117"/>
      <c r="Q663" s="131">
        <v>7.34</v>
      </c>
      <c r="R663" s="50">
        <v>78</v>
      </c>
      <c r="S663" s="74">
        <v>38</v>
      </c>
      <c r="T663" s="50">
        <v>0.66</v>
      </c>
      <c r="U663" s="74">
        <v>2.52</v>
      </c>
      <c r="V663" s="50">
        <v>0.18</v>
      </c>
      <c r="W663" s="74">
        <v>7.0000000000000007E-2</v>
      </c>
      <c r="X663" s="50">
        <v>0.06</v>
      </c>
      <c r="Y663" s="74">
        <f>0.05/2</f>
        <v>2.5000000000000001E-2</v>
      </c>
      <c r="Z663" s="164">
        <v>1</v>
      </c>
      <c r="AA663" s="165">
        <v>1</v>
      </c>
      <c r="AB663" s="50">
        <v>81</v>
      </c>
      <c r="AC663" s="74">
        <v>486</v>
      </c>
      <c r="AD663" s="164">
        <v>1</v>
      </c>
      <c r="AG663" s="74"/>
      <c r="AH663" s="74"/>
      <c r="AI663" s="113"/>
      <c r="AJ663" s="50"/>
      <c r="AK663" s="74"/>
      <c r="AL663" s="50"/>
      <c r="AM663" s="74"/>
      <c r="AN663" s="50"/>
      <c r="AO663" s="74"/>
      <c r="AP663" s="50"/>
      <c r="AQ663" s="74"/>
      <c r="AR663" s="50"/>
      <c r="AS663" s="74"/>
      <c r="AT663" s="50"/>
    </row>
    <row r="664" spans="1:46" ht="14">
      <c r="A664" s="53" t="s">
        <v>36</v>
      </c>
      <c r="B664" s="7" t="s">
        <v>6105</v>
      </c>
      <c r="C664" s="7" t="s">
        <v>6105</v>
      </c>
      <c r="D664" s="14" t="s">
        <v>84</v>
      </c>
      <c r="E664" s="7"/>
      <c r="F664" s="7"/>
      <c r="G664" s="15" t="s">
        <v>6106</v>
      </c>
      <c r="H664" s="7"/>
      <c r="I664" s="19"/>
      <c r="J664" s="7" t="s">
        <v>6108</v>
      </c>
      <c r="K664" s="51">
        <v>41744</v>
      </c>
      <c r="L664" s="115"/>
      <c r="N664" s="7" t="s">
        <v>2</v>
      </c>
      <c r="O664" s="74">
        <f>1/2</f>
        <v>0.5</v>
      </c>
      <c r="P664" s="117"/>
      <c r="Q664" s="131">
        <v>7.23</v>
      </c>
      <c r="R664" s="50">
        <v>64</v>
      </c>
      <c r="S664" s="74">
        <v>42</v>
      </c>
      <c r="T664" s="50">
        <v>0.69</v>
      </c>
      <c r="U664" s="74">
        <v>2.94</v>
      </c>
      <c r="V664" s="50">
        <v>0.2</v>
      </c>
      <c r="W664" s="74">
        <v>0.09</v>
      </c>
      <c r="X664" s="50">
        <v>0.06</v>
      </c>
      <c r="Y664" s="74">
        <f>0.05/2</f>
        <v>2.5000000000000001E-2</v>
      </c>
      <c r="Z664" s="164">
        <v>1</v>
      </c>
      <c r="AA664" s="165">
        <v>1</v>
      </c>
      <c r="AB664" s="50">
        <v>74</v>
      </c>
      <c r="AC664" s="74">
        <v>475</v>
      </c>
      <c r="AD664" s="164">
        <v>1</v>
      </c>
      <c r="AG664" s="74"/>
      <c r="AH664" s="74"/>
      <c r="AI664" s="113"/>
      <c r="AJ664" s="50"/>
      <c r="AK664" s="74"/>
      <c r="AL664" s="50"/>
      <c r="AM664" s="74"/>
      <c r="AN664" s="50"/>
      <c r="AO664" s="74"/>
      <c r="AP664" s="50"/>
      <c r="AQ664" s="74"/>
      <c r="AR664" s="50"/>
      <c r="AS664" s="74"/>
      <c r="AT664" s="50"/>
    </row>
    <row r="665" spans="1:46" ht="14">
      <c r="A665" s="53" t="s">
        <v>36</v>
      </c>
      <c r="B665" s="7" t="s">
        <v>6105</v>
      </c>
      <c r="C665" s="7" t="s">
        <v>6105</v>
      </c>
      <c r="D665" s="14" t="s">
        <v>84</v>
      </c>
      <c r="E665" s="7"/>
      <c r="F665" s="7"/>
      <c r="G665" s="15" t="s">
        <v>6106</v>
      </c>
      <c r="H665" s="7"/>
      <c r="I665" s="19"/>
      <c r="J665" s="7" t="s">
        <v>6109</v>
      </c>
      <c r="K665" s="51">
        <v>41744</v>
      </c>
      <c r="L665" s="115"/>
      <c r="N665" s="7" t="s">
        <v>2</v>
      </c>
      <c r="O665" s="74">
        <v>0.5</v>
      </c>
      <c r="P665" s="117"/>
      <c r="Q665" s="131">
        <v>7.23</v>
      </c>
      <c r="R665" s="50">
        <v>91</v>
      </c>
      <c r="S665" s="74">
        <v>48</v>
      </c>
      <c r="T665" s="50">
        <v>0.56999999999999995</v>
      </c>
      <c r="U665" s="74">
        <v>26.19</v>
      </c>
      <c r="V665" s="50">
        <v>0.2</v>
      </c>
      <c r="W665" s="74">
        <v>0.06</v>
      </c>
      <c r="X665" s="50">
        <v>7.0000000000000007E-2</v>
      </c>
      <c r="Y665" s="74">
        <f>0.05/2</f>
        <v>2.5000000000000001E-2</v>
      </c>
      <c r="Z665" s="164">
        <v>1</v>
      </c>
      <c r="AA665" s="165">
        <v>1</v>
      </c>
      <c r="AB665" s="50">
        <v>82</v>
      </c>
      <c r="AC665" s="74">
        <v>457</v>
      </c>
      <c r="AD665" s="164">
        <v>1</v>
      </c>
      <c r="AG665" s="74"/>
      <c r="AH665" s="74"/>
      <c r="AI665" s="113"/>
      <c r="AJ665" s="50"/>
      <c r="AK665" s="74"/>
      <c r="AL665" s="50"/>
      <c r="AM665" s="74"/>
      <c r="AN665" s="50"/>
      <c r="AO665" s="74"/>
      <c r="AP665" s="50"/>
      <c r="AQ665" s="74"/>
      <c r="AR665" s="50"/>
      <c r="AS665" s="74"/>
      <c r="AT665" s="50"/>
    </row>
    <row r="666" spans="1:46" ht="14">
      <c r="A666" s="53" t="s">
        <v>36</v>
      </c>
      <c r="B666" s="7" t="s">
        <v>6105</v>
      </c>
      <c r="C666" s="7" t="s">
        <v>6105</v>
      </c>
      <c r="D666" s="14" t="s">
        <v>84</v>
      </c>
      <c r="E666" s="7"/>
      <c r="F666" s="7"/>
      <c r="G666" s="15" t="s">
        <v>6106</v>
      </c>
      <c r="H666" s="7"/>
      <c r="I666" s="19"/>
      <c r="J666" s="7" t="s">
        <v>6110</v>
      </c>
      <c r="K666" s="51">
        <v>41744</v>
      </c>
      <c r="L666" s="115"/>
      <c r="N666" s="7" t="s">
        <v>2</v>
      </c>
      <c r="O666" s="74">
        <v>0.5</v>
      </c>
      <c r="P666" s="117"/>
      <c r="Q666" s="131">
        <v>7.38</v>
      </c>
      <c r="R666" s="50">
        <v>50</v>
      </c>
      <c r="S666" s="74">
        <v>43</v>
      </c>
      <c r="T666" s="50">
        <v>0.69</v>
      </c>
      <c r="U666" s="74">
        <v>3.99</v>
      </c>
      <c r="V666" s="50">
        <v>0.18</v>
      </c>
      <c r="W666" s="74">
        <v>0.08</v>
      </c>
      <c r="X666" s="50">
        <v>0.11</v>
      </c>
      <c r="Y666" s="74">
        <f>0.05/2</f>
        <v>2.5000000000000001E-2</v>
      </c>
      <c r="Z666" s="164">
        <v>1</v>
      </c>
      <c r="AA666" s="165">
        <v>1</v>
      </c>
      <c r="AB666" s="50">
        <v>78</v>
      </c>
      <c r="AC666" s="74">
        <v>470</v>
      </c>
      <c r="AD666" s="164">
        <v>1</v>
      </c>
      <c r="AG666" s="74"/>
      <c r="AH666" s="74"/>
      <c r="AI666" s="113"/>
      <c r="AJ666" s="50"/>
      <c r="AK666" s="74"/>
      <c r="AL666" s="50"/>
      <c r="AM666" s="74"/>
      <c r="AN666" s="50"/>
      <c r="AO666" s="74"/>
      <c r="AP666" s="50"/>
      <c r="AQ666" s="74"/>
      <c r="AR666" s="50"/>
      <c r="AS666" s="74"/>
      <c r="AT666" s="50"/>
    </row>
    <row r="667" spans="1:46" ht="14">
      <c r="A667" s="53" t="s">
        <v>36</v>
      </c>
      <c r="B667" s="7" t="s">
        <v>4004</v>
      </c>
      <c r="C667" s="7" t="s">
        <v>4005</v>
      </c>
      <c r="D667" s="14" t="s">
        <v>205</v>
      </c>
      <c r="E667" s="7" t="s">
        <v>4006</v>
      </c>
      <c r="F667" s="7" t="s">
        <v>5556</v>
      </c>
      <c r="G667" s="15" t="s">
        <v>4008</v>
      </c>
      <c r="H667" s="7">
        <v>9199</v>
      </c>
      <c r="I667" s="19" t="s">
        <v>1</v>
      </c>
      <c r="J667" s="7" t="s">
        <v>6176</v>
      </c>
      <c r="K667" s="51">
        <v>41539</v>
      </c>
      <c r="L667" s="115">
        <v>41529</v>
      </c>
      <c r="M667" s="50">
        <f t="shared" si="38"/>
        <v>10</v>
      </c>
      <c r="N667" s="7" t="s">
        <v>2</v>
      </c>
      <c r="O667" s="74">
        <v>2.5</v>
      </c>
      <c r="P667" s="117">
        <v>5.5</v>
      </c>
      <c r="Q667" s="131">
        <v>6.1</v>
      </c>
      <c r="R667" s="50">
        <v>160</v>
      </c>
      <c r="S667" s="74">
        <v>180</v>
      </c>
      <c r="T667" s="50">
        <v>0.76</v>
      </c>
      <c r="U667" s="74">
        <v>11</v>
      </c>
      <c r="V667" s="50">
        <v>4</v>
      </c>
      <c r="W667" s="74">
        <v>2.3E-2</v>
      </c>
      <c r="X667" s="50">
        <v>0.1</v>
      </c>
      <c r="Y667" s="74">
        <f>0.003/2</f>
        <v>1.5E-3</v>
      </c>
      <c r="AG667" s="74"/>
      <c r="AH667" s="74"/>
      <c r="AI667" s="113"/>
      <c r="AJ667" s="50"/>
      <c r="AK667" s="74"/>
      <c r="AL667" s="50"/>
      <c r="AM667" s="74"/>
      <c r="AN667" s="50"/>
      <c r="AO667" s="74"/>
      <c r="AP667" s="50"/>
      <c r="AQ667" s="74"/>
      <c r="AR667" s="50"/>
      <c r="AS667" s="74"/>
      <c r="AT667" s="50"/>
    </row>
    <row r="668" spans="1:46" ht="14">
      <c r="A668" s="53" t="s">
        <v>36</v>
      </c>
      <c r="B668" s="7" t="s">
        <v>4004</v>
      </c>
      <c r="C668" s="7" t="s">
        <v>4005</v>
      </c>
      <c r="D668" s="14" t="s">
        <v>205</v>
      </c>
      <c r="E668" s="7" t="s">
        <v>4006</v>
      </c>
      <c r="F668" s="7" t="s">
        <v>5556</v>
      </c>
      <c r="G668" s="15" t="s">
        <v>4008</v>
      </c>
      <c r="H668" s="7">
        <v>9199</v>
      </c>
      <c r="I668" s="19" t="s">
        <v>1</v>
      </c>
      <c r="J668" s="7" t="s">
        <v>6177</v>
      </c>
      <c r="K668" s="51">
        <v>41539</v>
      </c>
      <c r="L668" s="115">
        <v>41529</v>
      </c>
      <c r="M668" s="50">
        <f t="shared" si="38"/>
        <v>10</v>
      </c>
      <c r="N668" s="7" t="s">
        <v>2</v>
      </c>
      <c r="O668" s="74">
        <f>2/2</f>
        <v>1</v>
      </c>
      <c r="P668" s="117">
        <v>5.5</v>
      </c>
      <c r="Q668" s="131">
        <v>7</v>
      </c>
      <c r="R668" s="50">
        <v>140</v>
      </c>
      <c r="S668" s="336">
        <v>1.2</v>
      </c>
      <c r="T668" s="50">
        <v>0.41</v>
      </c>
      <c r="U668" s="74">
        <v>11</v>
      </c>
      <c r="V668" s="50">
        <f>0.05/2</f>
        <v>2.5000000000000001E-2</v>
      </c>
      <c r="W668" s="74">
        <v>0.03</v>
      </c>
      <c r="X668" s="50">
        <v>0.12</v>
      </c>
      <c r="Y668" s="74">
        <v>1.6E-2</v>
      </c>
      <c r="AG668" s="74"/>
      <c r="AH668" s="74"/>
      <c r="AI668" s="113"/>
      <c r="AJ668" s="50"/>
      <c r="AK668" s="74"/>
      <c r="AL668" s="50"/>
      <c r="AM668" s="74"/>
      <c r="AN668" s="50"/>
      <c r="AO668" s="74"/>
      <c r="AP668" s="50"/>
      <c r="AQ668" s="74"/>
      <c r="AR668" s="50"/>
      <c r="AS668" s="74"/>
      <c r="AT668" s="50"/>
    </row>
    <row r="669" spans="1:46" ht="14">
      <c r="A669" s="293" t="s">
        <v>36</v>
      </c>
      <c r="B669" s="7" t="s">
        <v>519</v>
      </c>
      <c r="C669" s="7" t="s">
        <v>2757</v>
      </c>
      <c r="D669" s="14" t="s">
        <v>499</v>
      </c>
      <c r="E669" s="7" t="s">
        <v>49</v>
      </c>
      <c r="F669" s="7" t="s">
        <v>6178</v>
      </c>
      <c r="G669" s="15" t="s">
        <v>3120</v>
      </c>
      <c r="H669" s="7">
        <v>9199</v>
      </c>
      <c r="I669" s="19" t="s">
        <v>1</v>
      </c>
      <c r="J669" s="7" t="s">
        <v>6179</v>
      </c>
      <c r="K669" s="51">
        <v>41539</v>
      </c>
      <c r="L669" s="115"/>
      <c r="M669" s="402"/>
      <c r="N669" s="7" t="s">
        <v>2</v>
      </c>
      <c r="O669" s="74">
        <v>1.4</v>
      </c>
      <c r="P669" s="117">
        <v>5</v>
      </c>
      <c r="Q669" s="131">
        <v>7.1</v>
      </c>
      <c r="R669" s="50">
        <v>96</v>
      </c>
      <c r="S669" s="74">
        <v>68</v>
      </c>
      <c r="T669" s="50">
        <v>0.2</v>
      </c>
      <c r="U669" s="74">
        <v>1.4</v>
      </c>
      <c r="V669" s="50">
        <v>0.22</v>
      </c>
      <c r="W669" s="74">
        <v>9.4000000000000004E-3</v>
      </c>
      <c r="X669" s="50">
        <v>9.4E-2</v>
      </c>
      <c r="Y669" s="74">
        <v>7.1999999999999998E-3</v>
      </c>
      <c r="AG669" s="74"/>
      <c r="AH669" s="74"/>
      <c r="AI669" s="113"/>
      <c r="AJ669" s="50"/>
      <c r="AK669" s="74"/>
      <c r="AL669" s="50"/>
      <c r="AM669" s="74"/>
      <c r="AN669" s="50"/>
      <c r="AO669" s="74"/>
      <c r="AP669" s="50"/>
      <c r="AQ669" s="74"/>
      <c r="AR669" s="50"/>
      <c r="AS669" s="74"/>
      <c r="AT669" s="50"/>
    </row>
    <row r="670" spans="1:46" ht="14">
      <c r="A670" s="53" t="s">
        <v>36</v>
      </c>
      <c r="B670" s="7" t="s">
        <v>2707</v>
      </c>
      <c r="C670" s="7" t="s">
        <v>2708</v>
      </c>
      <c r="D670" s="14" t="s">
        <v>379</v>
      </c>
      <c r="E670" s="7" t="s">
        <v>3350</v>
      </c>
      <c r="F670" s="7"/>
      <c r="G670" s="15" t="s">
        <v>2710</v>
      </c>
      <c r="H670" s="7">
        <v>7538</v>
      </c>
      <c r="I670" s="19" t="s">
        <v>2</v>
      </c>
      <c r="J670" s="7" t="s">
        <v>3351</v>
      </c>
      <c r="K670" s="51">
        <v>41487</v>
      </c>
      <c r="L670" s="115">
        <v>41481</v>
      </c>
      <c r="M670" s="50">
        <f t="shared" si="38"/>
        <v>6</v>
      </c>
      <c r="N670" s="7" t="s">
        <v>2</v>
      </c>
      <c r="O670" s="74">
        <v>5.2</v>
      </c>
      <c r="P670" s="117">
        <v>6</v>
      </c>
      <c r="Q670" s="131">
        <v>6.33</v>
      </c>
      <c r="R670" s="50">
        <v>515</v>
      </c>
      <c r="S670" s="74">
        <v>99</v>
      </c>
      <c r="T670" s="50">
        <v>1.05</v>
      </c>
      <c r="U670" s="74">
        <v>10.5</v>
      </c>
      <c r="V670" s="50">
        <v>1.04</v>
      </c>
      <c r="W670" s="74">
        <v>0.11600000000000001</v>
      </c>
      <c r="X670" s="50">
        <v>0.80400000000000005</v>
      </c>
      <c r="Y670" s="74">
        <v>2.1999999999999999E-2</v>
      </c>
      <c r="Z670" s="164">
        <v>1</v>
      </c>
      <c r="AA670" s="165">
        <v>1</v>
      </c>
      <c r="AB670" s="50">
        <v>684</v>
      </c>
      <c r="AC670" s="74">
        <v>1961</v>
      </c>
      <c r="AD670" s="164">
        <v>1</v>
      </c>
      <c r="AE670" s="50">
        <v>545</v>
      </c>
      <c r="AF670" s="50">
        <f>0.01/2</f>
        <v>5.0000000000000001E-3</v>
      </c>
      <c r="AG670" s="74"/>
      <c r="AH670" s="74"/>
      <c r="AI670" s="113"/>
      <c r="AJ670" s="50"/>
      <c r="AK670" s="74"/>
      <c r="AL670" s="50"/>
      <c r="AM670" s="74"/>
      <c r="AN670" s="50"/>
      <c r="AO670" s="74"/>
      <c r="AP670" s="50"/>
      <c r="AQ670" s="74"/>
      <c r="AR670" s="50"/>
      <c r="AS670" s="74"/>
      <c r="AT670" s="50"/>
    </row>
    <row r="671" spans="1:46" ht="14">
      <c r="A671" s="293" t="s">
        <v>36</v>
      </c>
      <c r="B671" s="7" t="s">
        <v>2707</v>
      </c>
      <c r="C671" s="7" t="s">
        <v>1332</v>
      </c>
      <c r="D671" s="14" t="s">
        <v>379</v>
      </c>
      <c r="E671" s="7" t="s">
        <v>3350</v>
      </c>
      <c r="F671" s="7"/>
      <c r="G671" s="15" t="s">
        <v>2925</v>
      </c>
      <c r="H671" s="7">
        <v>4952</v>
      </c>
      <c r="I671" s="19" t="s">
        <v>2</v>
      </c>
      <c r="J671" s="7" t="s">
        <v>3553</v>
      </c>
      <c r="K671" s="51">
        <v>41487</v>
      </c>
      <c r="L671" s="115">
        <v>41481</v>
      </c>
      <c r="M671" s="50">
        <f t="shared" si="38"/>
        <v>6</v>
      </c>
      <c r="N671" s="7" t="s">
        <v>2</v>
      </c>
      <c r="O671" s="74">
        <f>1.4/2</f>
        <v>0.7</v>
      </c>
      <c r="P671" s="117">
        <v>6</v>
      </c>
      <c r="Q671" s="131">
        <v>5.89</v>
      </c>
      <c r="R671" s="50">
        <v>26</v>
      </c>
      <c r="S671" s="74">
        <v>6</v>
      </c>
      <c r="T671" s="50">
        <v>0.1</v>
      </c>
      <c r="U671" s="74">
        <v>1.21</v>
      </c>
      <c r="V671" s="50">
        <v>0.53</v>
      </c>
      <c r="W671" s="74">
        <v>8.0000000000000002E-3</v>
      </c>
      <c r="X671" s="50">
        <v>0.16900000000000001</v>
      </c>
      <c r="Y671" s="74">
        <f>0.002/2</f>
        <v>1E-3</v>
      </c>
      <c r="Z671" s="164">
        <v>0.89100000000000001</v>
      </c>
      <c r="AA671" s="165">
        <v>0.70699999999999996</v>
      </c>
      <c r="AB671" s="50">
        <v>6</v>
      </c>
      <c r="AC671" s="74">
        <v>31</v>
      </c>
      <c r="AD671" s="164">
        <v>0</v>
      </c>
      <c r="AG671" s="74"/>
      <c r="AH671" s="74"/>
      <c r="AI671" s="113"/>
      <c r="AJ671" s="50"/>
      <c r="AK671" s="74"/>
      <c r="AL671" s="50"/>
      <c r="AM671" s="74"/>
      <c r="AN671" s="50"/>
      <c r="AO671" s="74"/>
      <c r="AP671" s="50"/>
      <c r="AQ671" s="74"/>
      <c r="AR671" s="50"/>
      <c r="AS671" s="74"/>
      <c r="AT671" s="50"/>
    </row>
    <row r="672" spans="1:46" ht="14">
      <c r="A672" s="53" t="s">
        <v>36</v>
      </c>
      <c r="B672" s="7" t="s">
        <v>2460</v>
      </c>
      <c r="C672" s="7" t="s">
        <v>2460</v>
      </c>
      <c r="D672" s="14" t="s">
        <v>406</v>
      </c>
      <c r="E672" s="7" t="s">
        <v>398</v>
      </c>
      <c r="F672" s="7"/>
      <c r="G672" s="15" t="s">
        <v>2461</v>
      </c>
      <c r="H672" s="7">
        <v>9711</v>
      </c>
      <c r="I672" s="19" t="s">
        <v>1</v>
      </c>
      <c r="J672" s="7" t="s">
        <v>6180</v>
      </c>
      <c r="K672" s="51">
        <v>41585</v>
      </c>
      <c r="L672" s="115">
        <v>41579</v>
      </c>
      <c r="M672" s="50">
        <f t="shared" si="38"/>
        <v>6</v>
      </c>
      <c r="N672" s="7" t="s">
        <v>2</v>
      </c>
      <c r="O672" s="74">
        <f>1/2</f>
        <v>0.5</v>
      </c>
      <c r="P672" s="117">
        <v>5.66</v>
      </c>
      <c r="Q672" s="131">
        <v>6.84</v>
      </c>
      <c r="R672" s="50">
        <v>24</v>
      </c>
      <c r="S672" s="74">
        <v>4</v>
      </c>
      <c r="T672" s="50">
        <v>8.7999999999999995E-2</v>
      </c>
      <c r="U672" s="74">
        <f>0.5/2</f>
        <v>0.25</v>
      </c>
      <c r="V672" s="50">
        <v>9.5000000000000001E-2</v>
      </c>
      <c r="W672" s="74">
        <v>3.8999999999999998E-3</v>
      </c>
      <c r="X672" s="50">
        <v>3.6999999999999998E-2</v>
      </c>
      <c r="Y672" s="74">
        <f>0.002/2</f>
        <v>1E-3</v>
      </c>
      <c r="AE672" s="50">
        <v>16</v>
      </c>
      <c r="AF672" s="50">
        <f>0.01/2</f>
        <v>5.0000000000000001E-3</v>
      </c>
      <c r="AG672" s="74"/>
      <c r="AH672" s="74"/>
      <c r="AI672" s="113">
        <v>12000</v>
      </c>
      <c r="AJ672" s="50">
        <v>5600</v>
      </c>
      <c r="AK672" s="74"/>
      <c r="AL672" s="50"/>
      <c r="AM672" s="74"/>
      <c r="AN672" s="50"/>
      <c r="AO672" s="74"/>
      <c r="AP672" s="50"/>
      <c r="AQ672" s="74"/>
      <c r="AR672" s="50"/>
      <c r="AS672" s="74"/>
      <c r="AT672" s="50"/>
    </row>
    <row r="673" spans="1:46" ht="14">
      <c r="A673" s="53" t="s">
        <v>36</v>
      </c>
      <c r="B673" s="7" t="s">
        <v>6143</v>
      </c>
      <c r="C673" s="7" t="s">
        <v>6181</v>
      </c>
      <c r="D673" s="14" t="s">
        <v>1565</v>
      </c>
      <c r="E673" s="7" t="s">
        <v>6182</v>
      </c>
      <c r="F673" s="7"/>
      <c r="G673" s="15" t="s">
        <v>6183</v>
      </c>
      <c r="H673" s="7">
        <v>9199</v>
      </c>
      <c r="I673" s="19" t="s">
        <v>2</v>
      </c>
      <c r="J673" s="7" t="s">
        <v>6181</v>
      </c>
      <c r="K673" s="51">
        <v>41595</v>
      </c>
      <c r="L673" s="115">
        <v>41579</v>
      </c>
      <c r="M673" s="50">
        <f t="shared" si="38"/>
        <v>16</v>
      </c>
      <c r="N673" s="7" t="s">
        <v>2</v>
      </c>
      <c r="O673" s="74">
        <f>1.4/2</f>
        <v>0.7</v>
      </c>
      <c r="P673" s="117">
        <v>5.8</v>
      </c>
      <c r="Q673" s="131">
        <v>4.9000000000000004</v>
      </c>
      <c r="R673" s="50">
        <v>28</v>
      </c>
      <c r="S673" s="74">
        <v>36</v>
      </c>
      <c r="T673" s="50">
        <v>7.0000000000000007E-2</v>
      </c>
      <c r="U673" s="74">
        <v>0.68</v>
      </c>
      <c r="V673" s="50">
        <v>0.5</v>
      </c>
      <c r="W673" s="74">
        <v>2.9000000000000001E-2</v>
      </c>
      <c r="X673" s="50">
        <v>3.3000000000000002E-2</v>
      </c>
      <c r="Y673" s="74">
        <f>0.002/2</f>
        <v>1E-3</v>
      </c>
      <c r="Z673" s="164">
        <v>1</v>
      </c>
      <c r="AA673" s="165">
        <v>0.57399999999999995</v>
      </c>
      <c r="AB673" s="50">
        <v>5</v>
      </c>
      <c r="AC673" s="74">
        <v>15</v>
      </c>
      <c r="AD673" s="164">
        <v>0</v>
      </c>
      <c r="AG673" s="74"/>
      <c r="AH673" s="74"/>
      <c r="AI673" s="113"/>
      <c r="AJ673" s="50"/>
      <c r="AK673" s="74"/>
      <c r="AL673" s="50"/>
      <c r="AM673" s="74"/>
      <c r="AN673" s="50"/>
      <c r="AO673" s="74"/>
      <c r="AP673" s="50"/>
      <c r="AQ673" s="74"/>
      <c r="AR673" s="50"/>
      <c r="AS673" s="74"/>
      <c r="AT673" s="50"/>
    </row>
    <row r="674" spans="1:46" ht="14">
      <c r="A674" s="53" t="s">
        <v>36</v>
      </c>
      <c r="B674" s="7" t="s">
        <v>6147</v>
      </c>
      <c r="C674" s="7" t="s">
        <v>5644</v>
      </c>
      <c r="D674" s="14" t="s">
        <v>735</v>
      </c>
      <c r="E674" s="7" t="s">
        <v>1293</v>
      </c>
      <c r="F674" s="7" t="s">
        <v>6149</v>
      </c>
      <c r="G674" s="15" t="s">
        <v>6184</v>
      </c>
      <c r="H674" s="7">
        <v>5541</v>
      </c>
      <c r="I674" s="19" t="s">
        <v>2</v>
      </c>
      <c r="J674" s="7" t="s">
        <v>2453</v>
      </c>
      <c r="K674" s="51">
        <v>41585</v>
      </c>
      <c r="L674" s="115">
        <v>41554</v>
      </c>
      <c r="M674" s="50">
        <f t="shared" si="38"/>
        <v>31</v>
      </c>
      <c r="N674" s="7" t="s">
        <v>2</v>
      </c>
      <c r="O674" s="74">
        <f>1.4/2</f>
        <v>0.7</v>
      </c>
      <c r="P674" s="117">
        <v>6</v>
      </c>
      <c r="Q674" s="131">
        <v>6.62</v>
      </c>
      <c r="R674" s="50">
        <v>59</v>
      </c>
      <c r="S674" s="74">
        <v>17</v>
      </c>
      <c r="T674" s="50">
        <v>0.19</v>
      </c>
      <c r="U674" s="74">
        <v>1.24</v>
      </c>
      <c r="V674" s="50">
        <v>0.48</v>
      </c>
      <c r="W674" s="74">
        <v>1.7999999999999999E-2</v>
      </c>
      <c r="X674" s="50">
        <v>7.0000000000000007E-2</v>
      </c>
      <c r="Y674" s="74">
        <v>5.0000000000000001E-3</v>
      </c>
      <c r="Z674" s="164">
        <v>1</v>
      </c>
      <c r="AA674" s="165">
        <v>1</v>
      </c>
      <c r="AB674" s="50">
        <v>8</v>
      </c>
      <c r="AC674" s="74">
        <v>50</v>
      </c>
      <c r="AD674" s="164">
        <v>1</v>
      </c>
      <c r="AG674" s="74"/>
      <c r="AH674" s="74"/>
      <c r="AI674" s="113"/>
      <c r="AJ674" s="50"/>
      <c r="AK674" s="74"/>
      <c r="AL674" s="50"/>
      <c r="AM674" s="74"/>
      <c r="AN674" s="50"/>
      <c r="AO674" s="74"/>
      <c r="AP674" s="50"/>
      <c r="AQ674" s="74"/>
      <c r="AR674" s="50"/>
      <c r="AS674" s="74"/>
      <c r="AT674" s="50"/>
    </row>
    <row r="675" spans="1:46" ht="14">
      <c r="A675" s="53" t="s">
        <v>36</v>
      </c>
      <c r="B675" s="7" t="s">
        <v>6147</v>
      </c>
      <c r="C675" s="7" t="s">
        <v>6185</v>
      </c>
      <c r="D675" s="14" t="s">
        <v>735</v>
      </c>
      <c r="E675" s="7" t="s">
        <v>1293</v>
      </c>
      <c r="F675" s="7" t="s">
        <v>6149</v>
      </c>
      <c r="G675" s="15" t="s">
        <v>4779</v>
      </c>
      <c r="H675" s="7">
        <v>9199</v>
      </c>
      <c r="I675" s="19" t="s">
        <v>2</v>
      </c>
      <c r="J675" s="7" t="s">
        <v>2453</v>
      </c>
      <c r="K675" s="51">
        <v>41585</v>
      </c>
      <c r="L675" s="115">
        <v>41554</v>
      </c>
      <c r="M675" s="50">
        <f t="shared" si="38"/>
        <v>31</v>
      </c>
      <c r="N675" s="7" t="s">
        <v>2</v>
      </c>
      <c r="O675" s="74">
        <v>2.7</v>
      </c>
      <c r="P675" s="117"/>
      <c r="Q675" s="131">
        <v>6.31</v>
      </c>
      <c r="R675" s="50">
        <v>48</v>
      </c>
      <c r="S675" s="74">
        <v>60</v>
      </c>
      <c r="T675" s="50">
        <v>0.27</v>
      </c>
      <c r="U675" s="74">
        <v>1.92</v>
      </c>
      <c r="V675" s="50">
        <v>0.56000000000000005</v>
      </c>
      <c r="W675" s="74">
        <v>8.1000000000000003E-2</v>
      </c>
      <c r="X675" s="50">
        <v>0.192</v>
      </c>
      <c r="Y675" s="74">
        <v>2.1000000000000001E-2</v>
      </c>
      <c r="Z675" s="164">
        <v>0.77100000000000002</v>
      </c>
      <c r="AA675" s="165">
        <v>0.435</v>
      </c>
      <c r="AB675" s="50">
        <v>12</v>
      </c>
      <c r="AC675" s="74">
        <v>77</v>
      </c>
      <c r="AD675" s="164">
        <v>0</v>
      </c>
      <c r="AG675" s="74"/>
      <c r="AH675" s="74"/>
      <c r="AI675" s="113"/>
      <c r="AJ675" s="50"/>
      <c r="AK675" s="74"/>
      <c r="AL675" s="50"/>
      <c r="AM675" s="74"/>
      <c r="AN675" s="50"/>
      <c r="AO675" s="74"/>
      <c r="AP675" s="50"/>
      <c r="AQ675" s="74"/>
      <c r="AR675" s="50"/>
      <c r="AS675" s="74"/>
      <c r="AT675" s="50"/>
    </row>
    <row r="676" spans="1:46" ht="14">
      <c r="A676" s="53" t="s">
        <v>36</v>
      </c>
      <c r="B676" s="7" t="s">
        <v>5979</v>
      </c>
      <c r="C676" s="7" t="s">
        <v>6016</v>
      </c>
      <c r="D676" s="14" t="s">
        <v>2591</v>
      </c>
      <c r="E676" s="7" t="s">
        <v>1946</v>
      </c>
      <c r="F676" s="7"/>
      <c r="G676" s="15" t="s">
        <v>3913</v>
      </c>
      <c r="H676" s="7">
        <v>9199</v>
      </c>
      <c r="I676" s="19" t="s">
        <v>2</v>
      </c>
      <c r="J676" s="7" t="s">
        <v>395</v>
      </c>
      <c r="K676" s="51">
        <v>41495</v>
      </c>
      <c r="L676" s="115">
        <v>41490</v>
      </c>
      <c r="M676" s="50">
        <f t="shared" si="38"/>
        <v>5</v>
      </c>
      <c r="N676" s="7" t="s">
        <v>2</v>
      </c>
      <c r="O676" s="74">
        <f>1.4/2</f>
        <v>0.7</v>
      </c>
      <c r="P676" s="117">
        <v>5.59</v>
      </c>
      <c r="Q676" s="131">
        <v>6.8</v>
      </c>
      <c r="R676" s="50">
        <v>16</v>
      </c>
      <c r="S676" s="74">
        <v>560</v>
      </c>
      <c r="T676" s="50">
        <v>0.43</v>
      </c>
      <c r="U676" s="74">
        <f>0.05/2</f>
        <v>2.5000000000000001E-2</v>
      </c>
      <c r="V676" s="50">
        <v>0.6</v>
      </c>
      <c r="W676" s="74">
        <v>0.01</v>
      </c>
      <c r="X676" s="50">
        <v>0.01</v>
      </c>
      <c r="Y676" s="74">
        <v>5.0000000000000001E-3</v>
      </c>
      <c r="Z676" s="164">
        <v>1</v>
      </c>
      <c r="AA676" s="165">
        <v>1</v>
      </c>
      <c r="AB676" s="50">
        <v>27</v>
      </c>
      <c r="AC676" s="74">
        <v>238</v>
      </c>
      <c r="AD676" s="164">
        <v>0.8</v>
      </c>
      <c r="AE676" s="50">
        <v>7</v>
      </c>
      <c r="AF676" s="50">
        <f>0.01/2</f>
        <v>5.0000000000000001E-3</v>
      </c>
      <c r="AG676" s="74"/>
      <c r="AH676" s="74"/>
      <c r="AI676" s="113"/>
      <c r="AJ676" s="50"/>
      <c r="AK676" s="74"/>
      <c r="AL676" s="50"/>
      <c r="AM676" s="74"/>
      <c r="AN676" s="50"/>
      <c r="AO676" s="74"/>
      <c r="AP676" s="50"/>
      <c r="AQ676" s="74"/>
      <c r="AR676" s="50"/>
      <c r="AS676" s="74"/>
      <c r="AT676" s="50"/>
    </row>
    <row r="677" spans="1:46" ht="14">
      <c r="A677" s="53" t="s">
        <v>36</v>
      </c>
      <c r="B677" s="7" t="s">
        <v>4701</v>
      </c>
      <c r="C677" s="7" t="s">
        <v>393</v>
      </c>
      <c r="D677" s="14" t="s">
        <v>480</v>
      </c>
      <c r="E677" s="7" t="s">
        <v>2329</v>
      </c>
      <c r="F677" s="7"/>
      <c r="G677" s="15" t="s">
        <v>2974</v>
      </c>
      <c r="H677" s="7">
        <v>9199</v>
      </c>
      <c r="I677" s="19" t="s">
        <v>1</v>
      </c>
      <c r="J677" s="7" t="s">
        <v>74</v>
      </c>
      <c r="K677" s="51">
        <v>41452</v>
      </c>
      <c r="L677" s="115">
        <v>41443</v>
      </c>
      <c r="M677" s="50">
        <f t="shared" si="38"/>
        <v>9</v>
      </c>
      <c r="N677" s="7" t="s">
        <v>2</v>
      </c>
      <c r="O677" s="74">
        <f>1/2</f>
        <v>0.5</v>
      </c>
      <c r="P677" s="117">
        <v>6.6</v>
      </c>
      <c r="Q677" s="131">
        <v>7.62</v>
      </c>
      <c r="R677" s="50">
        <v>139.30000000000001</v>
      </c>
      <c r="S677" s="74">
        <v>375</v>
      </c>
      <c r="T677" s="50">
        <v>1.33</v>
      </c>
      <c r="U677" s="74">
        <v>3.26</v>
      </c>
      <c r="V677" s="50">
        <v>1.98</v>
      </c>
      <c r="W677" s="74">
        <v>7.1999999999999995E-2</v>
      </c>
      <c r="X677" s="50">
        <v>0.32300000000000001</v>
      </c>
      <c r="Y677" s="74">
        <v>0.06</v>
      </c>
      <c r="Z677" s="164">
        <v>1</v>
      </c>
      <c r="AA677" s="165">
        <v>1</v>
      </c>
      <c r="AB677" s="50">
        <v>165.8</v>
      </c>
      <c r="AC677" s="74">
        <v>1518</v>
      </c>
      <c r="AD677" s="164">
        <v>1</v>
      </c>
      <c r="AG677" s="74"/>
      <c r="AH677" s="74"/>
      <c r="AI677" s="113"/>
      <c r="AJ677" s="50"/>
      <c r="AK677" s="74"/>
      <c r="AL677" s="50"/>
      <c r="AM677" s="74"/>
      <c r="AN677" s="50"/>
      <c r="AO677" s="74"/>
      <c r="AP677" s="50"/>
      <c r="AQ677" s="74"/>
      <c r="AR677" s="50"/>
      <c r="AS677" s="74"/>
      <c r="AT677" s="50"/>
    </row>
    <row r="678" spans="1:46" ht="14">
      <c r="A678" s="53" t="s">
        <v>36</v>
      </c>
      <c r="B678" s="7" t="s">
        <v>4701</v>
      </c>
      <c r="C678" s="7" t="s">
        <v>393</v>
      </c>
      <c r="D678" s="14" t="s">
        <v>480</v>
      </c>
      <c r="E678" s="7" t="s">
        <v>2329</v>
      </c>
      <c r="F678" s="7"/>
      <c r="G678" s="15" t="s">
        <v>2974</v>
      </c>
      <c r="H678" s="7">
        <v>9199</v>
      </c>
      <c r="I678" s="19" t="s">
        <v>1</v>
      </c>
      <c r="J678" s="7" t="s">
        <v>75</v>
      </c>
      <c r="K678" s="51">
        <v>41452</v>
      </c>
      <c r="L678" s="115">
        <v>41443</v>
      </c>
      <c r="M678" s="50">
        <f t="shared" si="38"/>
        <v>9</v>
      </c>
      <c r="N678" s="7" t="s">
        <v>2</v>
      </c>
      <c r="O678" s="74">
        <f>1/2</f>
        <v>0.5</v>
      </c>
      <c r="P678" s="117">
        <v>6.6</v>
      </c>
      <c r="Q678" s="131">
        <v>6.77</v>
      </c>
      <c r="R678" s="50">
        <v>131.19999999999999</v>
      </c>
      <c r="S678" s="74">
        <v>405</v>
      </c>
      <c r="T678" s="50">
        <v>0.57999999999999996</v>
      </c>
      <c r="U678" s="74">
        <v>2.06</v>
      </c>
      <c r="V678" s="50">
        <v>0.19</v>
      </c>
      <c r="W678" s="74">
        <v>0.156</v>
      </c>
      <c r="X678" s="50">
        <v>0.188</v>
      </c>
      <c r="Y678" s="74">
        <v>1.9E-2</v>
      </c>
      <c r="Z678" s="164">
        <v>1</v>
      </c>
      <c r="AA678" s="165">
        <v>1</v>
      </c>
      <c r="AB678" s="50">
        <v>138.69999999999999</v>
      </c>
      <c r="AC678" s="74">
        <v>1740</v>
      </c>
      <c r="AD678" s="164">
        <v>0.7</v>
      </c>
      <c r="AG678" s="74"/>
      <c r="AH678" s="74"/>
      <c r="AI678" s="113"/>
      <c r="AJ678" s="50"/>
      <c r="AK678" s="74"/>
      <c r="AL678" s="50"/>
      <c r="AM678" s="74"/>
      <c r="AN678" s="50"/>
      <c r="AO678" s="74"/>
      <c r="AP678" s="50"/>
      <c r="AQ678" s="74"/>
      <c r="AR678" s="50"/>
      <c r="AS678" s="74"/>
      <c r="AT678" s="50"/>
    </row>
    <row r="679" spans="1:46" ht="14">
      <c r="A679" s="53" t="s">
        <v>36</v>
      </c>
      <c r="B679" s="7" t="s">
        <v>4701</v>
      </c>
      <c r="C679" s="7" t="s">
        <v>393</v>
      </c>
      <c r="D679" s="14" t="s">
        <v>480</v>
      </c>
      <c r="E679" s="7" t="s">
        <v>2329</v>
      </c>
      <c r="F679" s="7"/>
      <c r="G679" s="15" t="s">
        <v>2974</v>
      </c>
      <c r="H679" s="7">
        <v>9199</v>
      </c>
      <c r="I679" s="19" t="s">
        <v>1</v>
      </c>
      <c r="J679" s="7" t="s">
        <v>687</v>
      </c>
      <c r="K679" s="51">
        <v>41452</v>
      </c>
      <c r="L679" s="115">
        <v>41443</v>
      </c>
      <c r="M679" s="50">
        <f t="shared" si="38"/>
        <v>9</v>
      </c>
      <c r="N679" s="7" t="s">
        <v>2</v>
      </c>
      <c r="O679" s="74">
        <f>1/2</f>
        <v>0.5</v>
      </c>
      <c r="P679" s="117">
        <v>6.6</v>
      </c>
      <c r="Q679" s="131">
        <v>6.99</v>
      </c>
      <c r="R679" s="50">
        <v>68.8</v>
      </c>
      <c r="S679" s="74">
        <v>643</v>
      </c>
      <c r="T679" s="50">
        <v>0.54</v>
      </c>
      <c r="U679" s="74">
        <v>1.68</v>
      </c>
      <c r="V679" s="50">
        <v>2.06</v>
      </c>
      <c r="W679" s="74">
        <v>0.16700000000000001</v>
      </c>
      <c r="X679" s="50">
        <v>1.7629999999999999</v>
      </c>
      <c r="Y679" s="74">
        <v>0.151</v>
      </c>
      <c r="Z679" s="164">
        <v>1</v>
      </c>
      <c r="AA679" s="165">
        <v>1</v>
      </c>
      <c r="AB679" s="50">
        <v>185.4</v>
      </c>
      <c r="AC679" s="74">
        <v>244</v>
      </c>
      <c r="AD679" s="164">
        <v>1</v>
      </c>
      <c r="AG679" s="74"/>
      <c r="AH679" s="74"/>
      <c r="AI679" s="113"/>
      <c r="AJ679" s="50"/>
      <c r="AK679" s="74"/>
      <c r="AL679" s="50"/>
      <c r="AM679" s="74"/>
      <c r="AN679" s="50"/>
      <c r="AO679" s="74"/>
      <c r="AP679" s="50"/>
      <c r="AQ679" s="74"/>
      <c r="AR679" s="50"/>
      <c r="AS679" s="74"/>
      <c r="AT679" s="50"/>
    </row>
    <row r="680" spans="1:46" ht="14">
      <c r="A680" s="53" t="s">
        <v>36</v>
      </c>
      <c r="B680" s="7" t="s">
        <v>4701</v>
      </c>
      <c r="C680" s="7" t="s">
        <v>393</v>
      </c>
      <c r="D680" s="14" t="s">
        <v>480</v>
      </c>
      <c r="E680" s="7" t="s">
        <v>2329</v>
      </c>
      <c r="F680" s="7"/>
      <c r="G680" s="15" t="s">
        <v>2974</v>
      </c>
      <c r="H680" s="7">
        <v>9199</v>
      </c>
      <c r="I680" s="19" t="s">
        <v>1</v>
      </c>
      <c r="J680" s="7" t="s">
        <v>135</v>
      </c>
      <c r="K680" s="51">
        <v>41452</v>
      </c>
      <c r="L680" s="115">
        <v>41443</v>
      </c>
      <c r="M680" s="50">
        <f t="shared" si="38"/>
        <v>9</v>
      </c>
      <c r="N680" s="7" t="s">
        <v>2</v>
      </c>
      <c r="O680" s="74">
        <f>1/2</f>
        <v>0.5</v>
      </c>
      <c r="P680" s="117">
        <v>6.6</v>
      </c>
      <c r="Q680" s="131">
        <v>7.01</v>
      </c>
      <c r="R680" s="50">
        <v>38.4</v>
      </c>
      <c r="S680" s="74">
        <v>108</v>
      </c>
      <c r="T680" s="50">
        <v>0.26</v>
      </c>
      <c r="U680" s="74">
        <v>1.36</v>
      </c>
      <c r="V680" s="50">
        <v>1.76</v>
      </c>
      <c r="W680" s="74">
        <v>3.7999999999999999E-2</v>
      </c>
      <c r="X680" s="50">
        <v>7.5999999999999998E-2</v>
      </c>
      <c r="Y680" s="74">
        <v>2.1000000000000001E-2</v>
      </c>
      <c r="Z680" s="164">
        <v>1</v>
      </c>
      <c r="AA680" s="165">
        <v>1</v>
      </c>
      <c r="AB680" s="50">
        <v>52.3</v>
      </c>
      <c r="AC680" s="74">
        <v>262</v>
      </c>
      <c r="AD680" s="164">
        <v>1</v>
      </c>
      <c r="AG680" s="74"/>
      <c r="AH680" s="74"/>
      <c r="AI680" s="113"/>
      <c r="AJ680" s="50"/>
      <c r="AK680" s="74"/>
      <c r="AL680" s="50"/>
      <c r="AM680" s="74"/>
      <c r="AN680" s="50"/>
      <c r="AO680" s="74"/>
      <c r="AP680" s="50"/>
      <c r="AQ680" s="74"/>
      <c r="AR680" s="50"/>
      <c r="AS680" s="74"/>
      <c r="AT680" s="50"/>
    </row>
    <row r="681" spans="1:46" ht="14">
      <c r="A681" s="53" t="s">
        <v>36</v>
      </c>
      <c r="B681" s="7" t="s">
        <v>2761</v>
      </c>
      <c r="C681" s="7"/>
      <c r="D681" s="14" t="s">
        <v>406</v>
      </c>
      <c r="E681" s="7" t="s">
        <v>6186</v>
      </c>
      <c r="F681" s="7"/>
      <c r="G681" s="15" t="s">
        <v>6074</v>
      </c>
      <c r="H681" s="7">
        <v>9199</v>
      </c>
      <c r="I681" s="19" t="s">
        <v>2</v>
      </c>
      <c r="J681" s="7" t="s">
        <v>194</v>
      </c>
      <c r="K681" s="51">
        <v>41631</v>
      </c>
      <c r="L681" s="115">
        <v>41627</v>
      </c>
      <c r="M681" s="402">
        <f>K681-L681</f>
        <v>4</v>
      </c>
      <c r="N681" s="7" t="s">
        <v>1</v>
      </c>
      <c r="O681" s="74">
        <v>2.4</v>
      </c>
      <c r="P681" s="117">
        <v>6.1</v>
      </c>
      <c r="Q681" s="131">
        <v>6.5</v>
      </c>
      <c r="R681" s="50">
        <f>10/2</f>
        <v>5</v>
      </c>
      <c r="S681" s="74">
        <v>72</v>
      </c>
      <c r="T681" s="50">
        <v>0.15</v>
      </c>
      <c r="U681" s="74">
        <v>0.84</v>
      </c>
      <c r="V681" s="50">
        <v>0.28999999999999998</v>
      </c>
      <c r="W681" s="74">
        <v>2.8000000000000001E-2</v>
      </c>
      <c r="X681" s="50">
        <v>0.11899999999999999</v>
      </c>
      <c r="Y681" s="74">
        <f>0.03/2</f>
        <v>1.4999999999999999E-2</v>
      </c>
      <c r="Z681" s="164">
        <v>1</v>
      </c>
      <c r="AA681" s="165">
        <v>1</v>
      </c>
      <c r="AB681" s="50">
        <v>34</v>
      </c>
      <c r="AC681" s="74">
        <v>1441</v>
      </c>
      <c r="AD681" s="164">
        <v>0.65</v>
      </c>
      <c r="AG681" s="74"/>
      <c r="AH681" s="74"/>
      <c r="AI681" s="113"/>
      <c r="AJ681" s="50"/>
      <c r="AK681" s="74"/>
      <c r="AL681" s="50"/>
      <c r="AM681" s="74"/>
      <c r="AN681" s="50"/>
      <c r="AO681" s="74"/>
      <c r="AP681" s="50"/>
      <c r="AQ681" s="74"/>
      <c r="AR681" s="50"/>
      <c r="AS681" s="74"/>
      <c r="AT681" s="50"/>
    </row>
    <row r="682" spans="1:46" ht="14">
      <c r="A682" s="53" t="s">
        <v>36</v>
      </c>
      <c r="B682" s="7" t="s">
        <v>4004</v>
      </c>
      <c r="C682" s="7" t="s">
        <v>4005</v>
      </c>
      <c r="D682" s="14" t="s">
        <v>205</v>
      </c>
      <c r="E682" s="7" t="s">
        <v>4006</v>
      </c>
      <c r="F682" s="7" t="s">
        <v>5556</v>
      </c>
      <c r="G682" s="15" t="s">
        <v>4008</v>
      </c>
      <c r="H682" s="7">
        <v>9199</v>
      </c>
      <c r="I682" s="19" t="s">
        <v>1</v>
      </c>
      <c r="J682" s="7" t="s">
        <v>937</v>
      </c>
      <c r="K682" s="51">
        <v>41539</v>
      </c>
      <c r="L682" s="115">
        <v>41529</v>
      </c>
      <c r="M682" s="50">
        <f t="shared" si="38"/>
        <v>10</v>
      </c>
      <c r="N682" s="7" t="s">
        <v>2</v>
      </c>
      <c r="O682" s="74">
        <f>1/2</f>
        <v>0.5</v>
      </c>
      <c r="P682" s="117">
        <v>5.5</v>
      </c>
      <c r="Q682" s="131">
        <v>8.3000000000000007</v>
      </c>
      <c r="R682" s="50">
        <v>240</v>
      </c>
      <c r="S682" s="74">
        <v>150</v>
      </c>
      <c r="T682" s="50">
        <v>0.2</v>
      </c>
      <c r="U682" s="74">
        <v>1.1000000000000001</v>
      </c>
      <c r="V682" s="50">
        <v>5.3999999999999999E-2</v>
      </c>
      <c r="W682" s="74">
        <v>6.1000000000000004E-3</v>
      </c>
      <c r="X682" s="50">
        <v>2.4E-2</v>
      </c>
      <c r="Y682" s="74">
        <v>7.9000000000000008E-3</v>
      </c>
      <c r="AE682" s="50">
        <v>800</v>
      </c>
      <c r="AF682" s="50">
        <f>0.01/2</f>
        <v>5.0000000000000001E-3</v>
      </c>
      <c r="AG682" s="74"/>
      <c r="AH682" s="74"/>
      <c r="AI682" s="113"/>
      <c r="AJ682" s="50"/>
      <c r="AK682" s="74"/>
      <c r="AL682" s="50"/>
      <c r="AM682" s="74"/>
      <c r="AN682" s="50"/>
      <c r="AO682" s="74"/>
      <c r="AP682" s="50"/>
      <c r="AQ682" s="74"/>
      <c r="AR682" s="50"/>
      <c r="AS682" s="74"/>
      <c r="AT682" s="50"/>
    </row>
    <row r="683" spans="1:46" ht="14">
      <c r="A683" s="53" t="s">
        <v>36</v>
      </c>
      <c r="B683" s="7" t="s">
        <v>2347</v>
      </c>
      <c r="C683" s="7" t="s">
        <v>393</v>
      </c>
      <c r="D683" s="14" t="s">
        <v>684</v>
      </c>
      <c r="E683" s="7" t="s">
        <v>2812</v>
      </c>
      <c r="F683" s="7"/>
      <c r="G683" s="15" t="s">
        <v>2352</v>
      </c>
      <c r="H683" s="7">
        <v>9199</v>
      </c>
      <c r="I683" s="19" t="s">
        <v>2</v>
      </c>
      <c r="J683" s="7" t="s">
        <v>2353</v>
      </c>
      <c r="K683" s="51">
        <v>41727</v>
      </c>
      <c r="L683" s="115">
        <v>41718</v>
      </c>
      <c r="M683" s="50">
        <f t="shared" si="38"/>
        <v>9</v>
      </c>
      <c r="N683" s="7" t="s">
        <v>2</v>
      </c>
      <c r="O683" s="74">
        <f>2/2</f>
        <v>1</v>
      </c>
      <c r="P683" s="117"/>
      <c r="Q683" s="131"/>
      <c r="AG683" s="74"/>
      <c r="AH683" s="74"/>
      <c r="AI683" s="113"/>
      <c r="AJ683" s="50"/>
      <c r="AK683" s="74"/>
      <c r="AL683" s="50"/>
      <c r="AM683" s="74"/>
      <c r="AN683" s="50"/>
      <c r="AO683" s="74"/>
      <c r="AP683" s="50"/>
      <c r="AQ683" s="74"/>
      <c r="AR683" s="50"/>
      <c r="AS683" s="74"/>
      <c r="AT683" s="50"/>
    </row>
    <row r="684" spans="1:46" ht="14">
      <c r="A684" s="53" t="s">
        <v>36</v>
      </c>
      <c r="B684" s="7" t="s">
        <v>2347</v>
      </c>
      <c r="C684" s="7" t="s">
        <v>393</v>
      </c>
      <c r="D684" s="14" t="s">
        <v>684</v>
      </c>
      <c r="E684" s="7" t="s">
        <v>2812</v>
      </c>
      <c r="F684" s="7"/>
      <c r="G684" s="15" t="s">
        <v>2352</v>
      </c>
      <c r="H684" s="7">
        <v>9199</v>
      </c>
      <c r="I684" s="19" t="s">
        <v>2</v>
      </c>
      <c r="J684" s="7" t="s">
        <v>2354</v>
      </c>
      <c r="K684" s="51">
        <v>41727</v>
      </c>
      <c r="L684" s="115">
        <v>41718</v>
      </c>
      <c r="M684" s="50">
        <f t="shared" si="38"/>
        <v>9</v>
      </c>
      <c r="N684" s="7" t="s">
        <v>2</v>
      </c>
      <c r="P684" s="117"/>
      <c r="Q684" s="131"/>
      <c r="X684" s="50">
        <v>0.16300000000000001</v>
      </c>
      <c r="AG684" s="74"/>
      <c r="AH684" s="74"/>
      <c r="AI684" s="113"/>
      <c r="AJ684" s="50"/>
      <c r="AK684" s="74"/>
      <c r="AL684" s="50"/>
      <c r="AM684" s="74"/>
      <c r="AN684" s="50"/>
      <c r="AO684" s="74"/>
      <c r="AP684" s="50"/>
      <c r="AQ684" s="74"/>
      <c r="AR684" s="50"/>
      <c r="AS684" s="74"/>
      <c r="AT684" s="50"/>
    </row>
    <row r="685" spans="1:46" ht="14">
      <c r="A685" s="53" t="s">
        <v>36</v>
      </c>
      <c r="B685" s="7" t="s">
        <v>2347</v>
      </c>
      <c r="C685" s="7" t="s">
        <v>393</v>
      </c>
      <c r="D685" s="14" t="s">
        <v>684</v>
      </c>
      <c r="E685" s="7" t="s">
        <v>2812</v>
      </c>
      <c r="F685" s="7"/>
      <c r="G685" s="15" t="s">
        <v>2352</v>
      </c>
      <c r="H685" s="7">
        <v>9199</v>
      </c>
      <c r="I685" s="19" t="s">
        <v>2</v>
      </c>
      <c r="J685" s="7" t="s">
        <v>3020</v>
      </c>
      <c r="K685" s="51">
        <v>41727</v>
      </c>
      <c r="L685" s="115">
        <v>41718</v>
      </c>
      <c r="M685" s="50">
        <f t="shared" si="38"/>
        <v>9</v>
      </c>
      <c r="N685" s="7" t="s">
        <v>2</v>
      </c>
      <c r="P685" s="117"/>
      <c r="Q685" s="131"/>
      <c r="S685" s="74">
        <v>25</v>
      </c>
      <c r="AG685" s="74"/>
      <c r="AH685" s="74"/>
      <c r="AI685" s="113"/>
      <c r="AJ685" s="50"/>
      <c r="AK685" s="74"/>
      <c r="AL685" s="50"/>
      <c r="AM685" s="74"/>
      <c r="AN685" s="50"/>
      <c r="AO685" s="74"/>
      <c r="AP685" s="50"/>
      <c r="AQ685" s="74"/>
      <c r="AR685" s="50"/>
      <c r="AS685" s="74"/>
      <c r="AT685" s="50"/>
    </row>
    <row r="686" spans="1:46" ht="14">
      <c r="A686" s="293" t="s">
        <v>36</v>
      </c>
      <c r="B686" s="7" t="s">
        <v>2347</v>
      </c>
      <c r="C686" s="7" t="s">
        <v>1332</v>
      </c>
      <c r="D686" s="14" t="s">
        <v>684</v>
      </c>
      <c r="E686" s="7" t="s">
        <v>6187</v>
      </c>
      <c r="F686" s="7"/>
      <c r="G686" s="15" t="s">
        <v>2988</v>
      </c>
      <c r="H686" s="7">
        <v>9199</v>
      </c>
      <c r="I686" s="19" t="s">
        <v>2</v>
      </c>
      <c r="J686" s="7" t="s">
        <v>3019</v>
      </c>
      <c r="K686" s="51">
        <v>41727</v>
      </c>
      <c r="L686" s="115">
        <v>41718</v>
      </c>
      <c r="M686" s="50">
        <f t="shared" si="38"/>
        <v>9</v>
      </c>
      <c r="N686" s="7" t="s">
        <v>2</v>
      </c>
      <c r="O686" s="74">
        <v>2</v>
      </c>
      <c r="P686" s="117"/>
      <c r="Q686" s="131"/>
      <c r="R686" s="50">
        <v>17</v>
      </c>
      <c r="S686" s="74">
        <v>63</v>
      </c>
      <c r="T686" s="50">
        <v>0.13</v>
      </c>
      <c r="U686" s="74">
        <v>0.96</v>
      </c>
      <c r="V686" s="50">
        <v>0.85</v>
      </c>
      <c r="AG686" s="74"/>
      <c r="AH686" s="74"/>
      <c r="AI686" s="113"/>
      <c r="AJ686" s="50"/>
      <c r="AK686" s="74"/>
      <c r="AL686" s="50"/>
      <c r="AM686" s="74"/>
      <c r="AN686" s="50"/>
      <c r="AO686" s="74"/>
      <c r="AP686" s="50"/>
      <c r="AQ686" s="74"/>
      <c r="AR686" s="50"/>
      <c r="AS686" s="74"/>
      <c r="AT686" s="50"/>
    </row>
    <row r="687" spans="1:46" ht="14">
      <c r="A687" s="53" t="s">
        <v>36</v>
      </c>
      <c r="B687" s="7" t="s">
        <v>5568</v>
      </c>
      <c r="C687" s="7" t="s">
        <v>6017</v>
      </c>
      <c r="D687" s="14" t="s">
        <v>1830</v>
      </c>
      <c r="E687" s="7" t="s">
        <v>3271</v>
      </c>
      <c r="F687" s="7"/>
      <c r="G687" s="15" t="s">
        <v>6018</v>
      </c>
      <c r="H687" s="7"/>
      <c r="I687" s="19" t="s">
        <v>2</v>
      </c>
      <c r="J687" s="7" t="s">
        <v>6017</v>
      </c>
      <c r="K687" s="51">
        <v>41605</v>
      </c>
      <c r="L687" s="115">
        <v>41596</v>
      </c>
      <c r="M687" s="50">
        <f t="shared" si="38"/>
        <v>9</v>
      </c>
      <c r="N687" s="7" t="s">
        <v>2</v>
      </c>
      <c r="O687" s="74">
        <v>3.4</v>
      </c>
      <c r="P687" s="117">
        <v>6.43</v>
      </c>
      <c r="Q687" s="131">
        <v>6.94</v>
      </c>
      <c r="R687" s="50">
        <v>87</v>
      </c>
      <c r="S687" s="74">
        <v>392</v>
      </c>
      <c r="T687" s="50">
        <v>3.42</v>
      </c>
      <c r="U687" s="74">
        <v>138.69999999999999</v>
      </c>
      <c r="V687" s="50">
        <v>0.51</v>
      </c>
      <c r="W687" s="74">
        <v>1.53</v>
      </c>
      <c r="X687" s="50">
        <v>0.54</v>
      </c>
      <c r="Y687" s="74">
        <v>7.0000000000000007E-2</v>
      </c>
      <c r="Z687" s="164">
        <v>1</v>
      </c>
      <c r="AA687" s="165">
        <v>1</v>
      </c>
      <c r="AB687" s="50">
        <v>14</v>
      </c>
      <c r="AC687" s="74">
        <v>86</v>
      </c>
      <c r="AD687" s="164">
        <v>1</v>
      </c>
      <c r="AG687" s="74"/>
      <c r="AH687" s="74"/>
      <c r="AI687" s="113"/>
      <c r="AJ687" s="50"/>
      <c r="AK687" s="74"/>
      <c r="AL687" s="50"/>
      <c r="AM687" s="74"/>
      <c r="AN687" s="50"/>
      <c r="AO687" s="74"/>
      <c r="AP687" s="50"/>
      <c r="AQ687" s="74"/>
      <c r="AR687" s="50"/>
      <c r="AS687" s="74"/>
      <c r="AT687" s="50"/>
    </row>
    <row r="688" spans="1:46" ht="14">
      <c r="A688" s="293" t="s">
        <v>36</v>
      </c>
      <c r="B688" s="7" t="s">
        <v>5568</v>
      </c>
      <c r="C688" s="7" t="s">
        <v>6019</v>
      </c>
      <c r="D688" s="14" t="s">
        <v>1830</v>
      </c>
      <c r="E688" s="7" t="s">
        <v>3271</v>
      </c>
      <c r="F688" s="7"/>
      <c r="G688" s="15" t="s">
        <v>6018</v>
      </c>
      <c r="H688" s="7"/>
      <c r="I688" s="19" t="s">
        <v>2</v>
      </c>
      <c r="J688" s="7" t="s">
        <v>6019</v>
      </c>
      <c r="K688" s="51">
        <v>41605</v>
      </c>
      <c r="L688" s="115">
        <v>41596</v>
      </c>
      <c r="M688" s="50">
        <f t="shared" si="38"/>
        <v>9</v>
      </c>
      <c r="N688" s="7" t="s">
        <v>2</v>
      </c>
      <c r="O688" s="74">
        <f>1/2</f>
        <v>0.5</v>
      </c>
      <c r="P688" s="117">
        <v>6.54</v>
      </c>
      <c r="Q688" s="131">
        <v>6.34</v>
      </c>
      <c r="R688" s="50">
        <v>55</v>
      </c>
      <c r="S688" s="74">
        <v>1090</v>
      </c>
      <c r="T688" s="50">
        <v>18.309999999999999</v>
      </c>
      <c r="U688" s="74">
        <v>2.1</v>
      </c>
      <c r="V688" s="50">
        <v>0.37</v>
      </c>
      <c r="W688" s="74">
        <v>1.3</v>
      </c>
      <c r="X688" s="50">
        <v>1.07</v>
      </c>
      <c r="Y688" s="74">
        <v>0.12</v>
      </c>
      <c r="Z688" s="164">
        <v>1</v>
      </c>
      <c r="AA688" s="165">
        <v>1</v>
      </c>
      <c r="AB688" s="50">
        <v>11</v>
      </c>
      <c r="AC688" s="74">
        <v>558</v>
      </c>
      <c r="AD688" s="164">
        <v>1</v>
      </c>
      <c r="AG688" s="74"/>
      <c r="AH688" s="74"/>
      <c r="AI688" s="113"/>
      <c r="AJ688" s="50"/>
      <c r="AK688" s="74"/>
      <c r="AL688" s="50"/>
      <c r="AM688" s="74"/>
      <c r="AN688" s="50"/>
      <c r="AO688" s="74"/>
      <c r="AP688" s="50"/>
      <c r="AQ688" s="74"/>
      <c r="AR688" s="50"/>
      <c r="AS688" s="74"/>
      <c r="AT688" s="50"/>
    </row>
    <row r="689" spans="1:49" ht="14">
      <c r="A689" s="53" t="s">
        <v>36</v>
      </c>
      <c r="B689" s="7" t="s">
        <v>5568</v>
      </c>
      <c r="C689" s="7" t="s">
        <v>5933</v>
      </c>
      <c r="D689" s="14" t="s">
        <v>1830</v>
      </c>
      <c r="E689" s="7" t="s">
        <v>3271</v>
      </c>
      <c r="F689" s="7"/>
      <c r="G689" s="15" t="s">
        <v>5934</v>
      </c>
      <c r="H689" s="7"/>
      <c r="I689" s="19" t="s">
        <v>2</v>
      </c>
      <c r="J689" s="7" t="s">
        <v>5933</v>
      </c>
      <c r="K689" s="51">
        <v>41605</v>
      </c>
      <c r="L689" s="115">
        <v>41596</v>
      </c>
      <c r="M689" s="50">
        <f t="shared" si="38"/>
        <v>9</v>
      </c>
      <c r="N689" s="7" t="s">
        <v>2</v>
      </c>
      <c r="O689" s="74">
        <v>3.2</v>
      </c>
      <c r="P689" s="117">
        <v>7.22</v>
      </c>
      <c r="Q689" s="131">
        <v>7.08</v>
      </c>
      <c r="R689" s="50">
        <v>8</v>
      </c>
      <c r="S689" s="74">
        <v>68</v>
      </c>
      <c r="T689" s="50">
        <v>0.24</v>
      </c>
      <c r="U689" s="74">
        <v>3.43</v>
      </c>
      <c r="V689" s="50">
        <v>0.46</v>
      </c>
      <c r="W689" s="74">
        <v>1.06</v>
      </c>
      <c r="X689" s="50">
        <v>0.14000000000000001</v>
      </c>
      <c r="Y689" s="74">
        <f>0.05/2</f>
        <v>2.5000000000000001E-2</v>
      </c>
      <c r="Z689" s="164">
        <v>1</v>
      </c>
      <c r="AA689" s="165">
        <v>1</v>
      </c>
      <c r="AB689" s="50">
        <v>21</v>
      </c>
      <c r="AC689" s="74">
        <v>408</v>
      </c>
      <c r="AD689" s="164">
        <v>1</v>
      </c>
      <c r="AG689" s="74"/>
      <c r="AH689" s="74"/>
      <c r="AI689" s="113"/>
      <c r="AJ689" s="50"/>
      <c r="AK689" s="74"/>
      <c r="AL689" s="50"/>
      <c r="AM689" s="74"/>
      <c r="AN689" s="50"/>
      <c r="AO689" s="74"/>
      <c r="AP689" s="50"/>
      <c r="AQ689" s="74"/>
      <c r="AR689" s="50"/>
      <c r="AS689" s="74"/>
      <c r="AT689" s="50"/>
    </row>
    <row r="690" spans="1:49" ht="14">
      <c r="A690" s="53" t="s">
        <v>36</v>
      </c>
      <c r="B690" s="7" t="s">
        <v>5568</v>
      </c>
      <c r="C690" s="7" t="s">
        <v>5935</v>
      </c>
      <c r="D690" s="14" t="s">
        <v>1830</v>
      </c>
      <c r="E690" s="7" t="s">
        <v>3271</v>
      </c>
      <c r="F690" s="7"/>
      <c r="G690" s="15" t="s">
        <v>5934</v>
      </c>
      <c r="H690" s="7"/>
      <c r="I690" s="19" t="s">
        <v>2</v>
      </c>
      <c r="J690" s="7" t="s">
        <v>5935</v>
      </c>
      <c r="K690" s="51">
        <v>41605</v>
      </c>
      <c r="L690" s="115">
        <v>41596</v>
      </c>
      <c r="M690" s="50">
        <f t="shared" si="38"/>
        <v>9</v>
      </c>
      <c r="N690" s="7" t="s">
        <v>2</v>
      </c>
      <c r="O690" s="74">
        <v>1.1000000000000001</v>
      </c>
      <c r="P690" s="117">
        <v>7.18</v>
      </c>
      <c r="Q690" s="131">
        <v>7.11</v>
      </c>
      <c r="R690" s="50">
        <v>105</v>
      </c>
      <c r="S690" s="74">
        <v>44</v>
      </c>
      <c r="T690" s="50">
        <v>0.2</v>
      </c>
      <c r="U690" s="74">
        <v>4.55</v>
      </c>
      <c r="V690" s="50">
        <v>1.05</v>
      </c>
      <c r="W690" s="74">
        <f>0.05/2</f>
        <v>2.5000000000000001E-2</v>
      </c>
      <c r="X690" s="50">
        <v>0.12</v>
      </c>
      <c r="Y690" s="74">
        <f>0.05/2</f>
        <v>2.5000000000000001E-2</v>
      </c>
      <c r="Z690" s="164">
        <v>1</v>
      </c>
      <c r="AA690" s="165">
        <v>1</v>
      </c>
      <c r="AB690" s="50">
        <v>18</v>
      </c>
      <c r="AC690" s="74">
        <v>408</v>
      </c>
      <c r="AD690" s="164">
        <v>1</v>
      </c>
      <c r="AG690" s="74"/>
      <c r="AH690" s="74"/>
      <c r="AI690" s="113"/>
      <c r="AJ690" s="50"/>
      <c r="AK690" s="74"/>
      <c r="AL690" s="50"/>
      <c r="AM690" s="74"/>
      <c r="AN690" s="50"/>
      <c r="AO690" s="74"/>
      <c r="AP690" s="50"/>
      <c r="AQ690" s="74"/>
      <c r="AR690" s="50"/>
      <c r="AS690" s="74"/>
      <c r="AT690" s="50"/>
    </row>
    <row r="691" spans="1:49" ht="14">
      <c r="A691" s="53" t="s">
        <v>36</v>
      </c>
      <c r="B691" s="7" t="s">
        <v>2900</v>
      </c>
      <c r="C691" s="7" t="s">
        <v>4153</v>
      </c>
      <c r="D691" s="14" t="s">
        <v>659</v>
      </c>
      <c r="E691" s="7" t="s">
        <v>2902</v>
      </c>
      <c r="F691" s="7" t="s">
        <v>2903</v>
      </c>
      <c r="G691" s="15" t="s">
        <v>2904</v>
      </c>
      <c r="H691" s="7">
        <v>9511</v>
      </c>
      <c r="I691" s="19" t="s">
        <v>2</v>
      </c>
      <c r="J691" s="7" t="s">
        <v>2905</v>
      </c>
      <c r="K691" s="51">
        <v>41579</v>
      </c>
      <c r="L691" s="115">
        <v>41554</v>
      </c>
      <c r="M691" s="50">
        <f t="shared" si="38"/>
        <v>25</v>
      </c>
      <c r="N691" s="7" t="s">
        <v>2</v>
      </c>
      <c r="O691" s="74">
        <f>5/2</f>
        <v>2.5</v>
      </c>
      <c r="P691" s="117">
        <v>6.7</v>
      </c>
      <c r="Q691" s="131">
        <v>7.5</v>
      </c>
      <c r="R691" s="50">
        <v>210</v>
      </c>
      <c r="S691" s="74">
        <v>200</v>
      </c>
      <c r="T691" s="50">
        <v>0.24</v>
      </c>
      <c r="U691" s="74">
        <f>1/2</f>
        <v>0.5</v>
      </c>
      <c r="V691" s="50">
        <v>0.23</v>
      </c>
      <c r="W691" s="74">
        <f>0.04/2</f>
        <v>0.02</v>
      </c>
      <c r="X691" s="50">
        <v>0.14000000000000001</v>
      </c>
      <c r="Y691" s="74">
        <v>2.1999999999999999E-2</v>
      </c>
      <c r="Z691" s="164">
        <v>1</v>
      </c>
      <c r="AA691" s="165">
        <v>1</v>
      </c>
      <c r="AB691" s="50">
        <v>24</v>
      </c>
      <c r="AC691" s="74">
        <v>197</v>
      </c>
      <c r="AD691" s="164">
        <v>1</v>
      </c>
      <c r="AE691" s="50">
        <v>43</v>
      </c>
      <c r="AF691" s="50">
        <f>0.05/2</f>
        <v>2.5000000000000001E-2</v>
      </c>
      <c r="AG691" s="74"/>
      <c r="AH691" s="74"/>
      <c r="AI691" s="113"/>
      <c r="AJ691" s="50"/>
      <c r="AK691" s="74"/>
      <c r="AL691" s="50"/>
      <c r="AM691" s="74"/>
      <c r="AN691" s="50"/>
      <c r="AO691" s="74"/>
      <c r="AP691" s="50"/>
      <c r="AQ691" s="74"/>
      <c r="AR691" s="50"/>
      <c r="AS691" s="74"/>
      <c r="AT691" s="50"/>
    </row>
    <row r="692" spans="1:49" ht="14">
      <c r="A692" s="53" t="s">
        <v>36</v>
      </c>
      <c r="B692" s="7" t="s">
        <v>232</v>
      </c>
      <c r="C692" s="7" t="s">
        <v>2660</v>
      </c>
      <c r="D692" s="14" t="s">
        <v>234</v>
      </c>
      <c r="E692" s="7" t="s">
        <v>240</v>
      </c>
      <c r="F692" s="7"/>
      <c r="G692" s="15" t="s">
        <v>244</v>
      </c>
      <c r="H692" s="7">
        <v>4212</v>
      </c>
      <c r="I692" s="19" t="s">
        <v>1</v>
      </c>
      <c r="J692" s="7" t="s">
        <v>2660</v>
      </c>
      <c r="K692" s="51">
        <v>41600</v>
      </c>
      <c r="L692" s="115">
        <v>41585</v>
      </c>
      <c r="M692" s="50">
        <f t="shared" si="38"/>
        <v>15</v>
      </c>
      <c r="N692" s="7" t="s">
        <v>2</v>
      </c>
      <c r="O692" s="74">
        <v>17.2</v>
      </c>
      <c r="P692" s="117">
        <v>6.65</v>
      </c>
      <c r="Q692" s="131">
        <v>6.8</v>
      </c>
      <c r="R692" s="50">
        <v>35.9</v>
      </c>
      <c r="S692" s="74">
        <v>18.5</v>
      </c>
      <c r="T692" s="50">
        <v>0.12</v>
      </c>
      <c r="U692" s="74">
        <v>0.82</v>
      </c>
      <c r="V692" s="50">
        <v>0.68</v>
      </c>
      <c r="W692" s="74">
        <v>0.02</v>
      </c>
      <c r="X692" s="50">
        <v>0.08</v>
      </c>
      <c r="Y692" s="74">
        <f>0.02/2</f>
        <v>0.01</v>
      </c>
      <c r="Z692" s="164">
        <v>1</v>
      </c>
      <c r="AA692" s="165">
        <v>1</v>
      </c>
      <c r="AB692" s="50">
        <v>18.7</v>
      </c>
      <c r="AC692" s="74">
        <v>57</v>
      </c>
      <c r="AD692" s="164">
        <v>1</v>
      </c>
      <c r="AE692" s="50">
        <v>8.8000000000000007</v>
      </c>
      <c r="AF692" s="50">
        <v>5.0000000000000001E-3</v>
      </c>
      <c r="AG692" s="74"/>
      <c r="AH692" s="74"/>
      <c r="AI692" s="113"/>
      <c r="AJ692" s="50"/>
      <c r="AK692" s="74"/>
      <c r="AL692" s="50"/>
      <c r="AM692" s="74"/>
      <c r="AN692" s="50"/>
      <c r="AO692" s="74"/>
      <c r="AP692" s="50"/>
      <c r="AQ692" s="74"/>
      <c r="AR692" s="50"/>
      <c r="AS692" s="74"/>
      <c r="AT692" s="50"/>
    </row>
    <row r="693" spans="1:49" ht="14">
      <c r="A693" s="88" t="s">
        <v>36</v>
      </c>
      <c r="B693" s="50" t="s">
        <v>1036</v>
      </c>
      <c r="C693" s="7"/>
      <c r="D693" s="14" t="s">
        <v>1484</v>
      </c>
      <c r="E693" s="7" t="s">
        <v>5598</v>
      </c>
      <c r="F693" s="7" t="s">
        <v>2802</v>
      </c>
      <c r="G693" s="15" t="s">
        <v>2803</v>
      </c>
      <c r="H693" s="7">
        <v>9199</v>
      </c>
      <c r="I693" s="19" t="s">
        <v>2</v>
      </c>
      <c r="J693" s="7" t="s">
        <v>5600</v>
      </c>
      <c r="K693" s="51">
        <v>41554</v>
      </c>
      <c r="L693" s="115">
        <v>41553</v>
      </c>
      <c r="M693" s="50">
        <f t="shared" si="38"/>
        <v>1</v>
      </c>
      <c r="N693" s="50" t="s">
        <v>2</v>
      </c>
      <c r="O693" s="74">
        <f>2/2</f>
        <v>1</v>
      </c>
      <c r="Q693" s="74">
        <v>8</v>
      </c>
      <c r="R693" s="50">
        <v>16</v>
      </c>
      <c r="S693" s="74">
        <v>178</v>
      </c>
      <c r="T693" s="50">
        <v>0.26</v>
      </c>
      <c r="U693" s="74">
        <v>0.71</v>
      </c>
      <c r="V693" s="50">
        <v>0.28000000000000003</v>
      </c>
      <c r="W693" s="74">
        <v>0.03</v>
      </c>
      <c r="X693" s="50">
        <v>5.3999999999999999E-2</v>
      </c>
      <c r="Y693" s="74">
        <f>0.03/2</f>
        <v>1.4999999999999999E-2</v>
      </c>
      <c r="Z693" s="164">
        <v>1</v>
      </c>
      <c r="AA693" s="165">
        <v>1</v>
      </c>
      <c r="AB693" s="50">
        <v>39</v>
      </c>
      <c r="AC693" s="74">
        <v>64</v>
      </c>
      <c r="AD693" s="164">
        <v>1</v>
      </c>
      <c r="AG693" s="74"/>
      <c r="AH693" s="74"/>
      <c r="AI693" s="113"/>
      <c r="AJ693" s="50"/>
      <c r="AK693" s="74"/>
      <c r="AL693" s="74"/>
      <c r="AM693" s="74"/>
      <c r="AN693" s="74"/>
      <c r="AO693" s="74"/>
      <c r="AP693" s="74"/>
      <c r="AQ693" s="74"/>
      <c r="AR693" s="74"/>
      <c r="AS693" s="74"/>
      <c r="AT693" s="74"/>
    </row>
    <row r="694" spans="1:49" s="400" customFormat="1" ht="14">
      <c r="A694" s="53" t="s">
        <v>36</v>
      </c>
      <c r="B694" s="402" t="s">
        <v>2740</v>
      </c>
      <c r="C694" s="402" t="s">
        <v>1482</v>
      </c>
      <c r="D694" s="401" t="s">
        <v>2741</v>
      </c>
      <c r="E694" s="402" t="s">
        <v>2742</v>
      </c>
      <c r="F694" s="402"/>
      <c r="G694" s="393" t="s">
        <v>2743</v>
      </c>
      <c r="H694" s="402">
        <v>4953</v>
      </c>
      <c r="I694" s="391" t="s">
        <v>2</v>
      </c>
      <c r="J694" s="402" t="s">
        <v>194</v>
      </c>
      <c r="K694" s="403">
        <v>41585</v>
      </c>
      <c r="L694" s="379">
        <v>41565</v>
      </c>
      <c r="M694" s="402">
        <f t="shared" si="38"/>
        <v>20</v>
      </c>
      <c r="N694" s="402" t="s">
        <v>2</v>
      </c>
      <c r="O694" s="404">
        <v>3.4</v>
      </c>
      <c r="P694" s="380">
        <v>6.5</v>
      </c>
      <c r="Q694" s="395">
        <v>6.86</v>
      </c>
      <c r="R694" s="402">
        <v>54</v>
      </c>
      <c r="S694" s="404">
        <v>62</v>
      </c>
      <c r="T694" s="402">
        <v>0.62</v>
      </c>
      <c r="U694" s="404">
        <v>1.55</v>
      </c>
      <c r="V694" s="402">
        <v>0.51</v>
      </c>
      <c r="W694" s="404">
        <v>1.7999999999999999E-2</v>
      </c>
      <c r="X694" s="402">
        <v>0.42199999999999999</v>
      </c>
      <c r="Y694" s="404">
        <v>8.9999999999999993E-3</v>
      </c>
      <c r="Z694" s="396"/>
      <c r="AA694" s="397"/>
      <c r="AB694" s="402"/>
      <c r="AC694" s="404"/>
      <c r="AD694" s="396"/>
      <c r="AE694" s="402"/>
      <c r="AF694" s="402"/>
      <c r="AG694" s="404"/>
      <c r="AH694" s="404"/>
      <c r="AI694" s="113"/>
      <c r="AJ694" s="402"/>
      <c r="AK694" s="404"/>
      <c r="AL694" s="404"/>
      <c r="AM694" s="404"/>
      <c r="AN694" s="404"/>
      <c r="AO694" s="404"/>
      <c r="AP694" s="404"/>
      <c r="AQ694" s="404"/>
      <c r="AR694" s="404"/>
      <c r="AS694" s="404"/>
      <c r="AT694" s="404"/>
      <c r="AU694" s="404"/>
    </row>
    <row r="695" spans="1:49" s="400" customFormat="1" ht="14">
      <c r="A695" s="53" t="s">
        <v>36</v>
      </c>
      <c r="B695" s="402" t="s">
        <v>2740</v>
      </c>
      <c r="C695" s="402" t="s">
        <v>1482</v>
      </c>
      <c r="D695" s="401" t="s">
        <v>2741</v>
      </c>
      <c r="E695" s="402" t="s">
        <v>2742</v>
      </c>
      <c r="F695" s="402"/>
      <c r="G695" s="393" t="s">
        <v>2743</v>
      </c>
      <c r="H695" s="402">
        <v>4953</v>
      </c>
      <c r="I695" s="391" t="s">
        <v>2</v>
      </c>
      <c r="J695" s="402" t="s">
        <v>569</v>
      </c>
      <c r="K695" s="403">
        <v>41585</v>
      </c>
      <c r="L695" s="379">
        <v>41565</v>
      </c>
      <c r="M695" s="402">
        <f t="shared" si="38"/>
        <v>20</v>
      </c>
      <c r="N695" s="402" t="s">
        <v>2</v>
      </c>
      <c r="O695" s="404">
        <f>1.4/2</f>
        <v>0.7</v>
      </c>
      <c r="P695" s="380">
        <v>6.5</v>
      </c>
      <c r="Q695" s="395">
        <v>6.75</v>
      </c>
      <c r="R695" s="402">
        <v>72</v>
      </c>
      <c r="S695" s="404">
        <v>59</v>
      </c>
      <c r="T695" s="402">
        <v>0.35</v>
      </c>
      <c r="U695" s="404">
        <v>2.04</v>
      </c>
      <c r="V695" s="402">
        <v>0.2</v>
      </c>
      <c r="W695" s="404">
        <v>1.2999999999999999E-2</v>
      </c>
      <c r="X695" s="402">
        <v>0.09</v>
      </c>
      <c r="Y695" s="404">
        <v>3.0000000000000001E-3</v>
      </c>
      <c r="Z695" s="396"/>
      <c r="AA695" s="397"/>
      <c r="AB695" s="402"/>
      <c r="AC695" s="404"/>
      <c r="AD695" s="396"/>
      <c r="AE695" s="402"/>
      <c r="AF695" s="402"/>
      <c r="AG695" s="404"/>
      <c r="AH695" s="404"/>
      <c r="AI695" s="113"/>
      <c r="AJ695" s="402"/>
      <c r="AK695" s="404"/>
      <c r="AL695" s="404"/>
      <c r="AM695" s="404"/>
      <c r="AN695" s="404"/>
      <c r="AO695" s="404"/>
      <c r="AP695" s="404"/>
      <c r="AQ695" s="404"/>
      <c r="AR695" s="404"/>
      <c r="AS695" s="404"/>
      <c r="AT695" s="404"/>
      <c r="AU695" s="404"/>
    </row>
    <row r="696" spans="1:49" s="400" customFormat="1" ht="14">
      <c r="A696" s="53" t="s">
        <v>36</v>
      </c>
      <c r="B696" s="402" t="s">
        <v>2931</v>
      </c>
      <c r="C696" s="404" t="s">
        <v>2927</v>
      </c>
      <c r="D696" s="401" t="s">
        <v>806</v>
      </c>
      <c r="E696" s="404" t="s">
        <v>535</v>
      </c>
      <c r="F696" s="402"/>
      <c r="G696" s="393" t="s">
        <v>2929</v>
      </c>
      <c r="H696" s="402"/>
      <c r="I696" s="391" t="s">
        <v>1</v>
      </c>
      <c r="J696" s="402" t="s">
        <v>2932</v>
      </c>
      <c r="K696" s="403">
        <v>41553</v>
      </c>
      <c r="L696" s="379">
        <v>41539</v>
      </c>
      <c r="M696" s="402">
        <f t="shared" si="38"/>
        <v>14</v>
      </c>
      <c r="N696" s="402" t="s">
        <v>1</v>
      </c>
      <c r="O696" s="404">
        <v>1.7</v>
      </c>
      <c r="P696" s="380">
        <v>5.54</v>
      </c>
      <c r="Q696" s="395">
        <v>7.1</v>
      </c>
      <c r="R696" s="402">
        <v>46</v>
      </c>
      <c r="S696" s="404">
        <v>9</v>
      </c>
      <c r="T696" s="402">
        <v>1.43</v>
      </c>
      <c r="U696" s="404">
        <v>0.93</v>
      </c>
      <c r="V696" s="402">
        <v>1.47</v>
      </c>
      <c r="W696" s="404">
        <v>0.02</v>
      </c>
      <c r="X696" s="402">
        <v>0.05</v>
      </c>
      <c r="Y696" s="404">
        <v>6.0000000000000001E-3</v>
      </c>
      <c r="Z696" s="396"/>
      <c r="AA696" s="397"/>
      <c r="AB696" s="402"/>
      <c r="AC696" s="404"/>
      <c r="AD696" s="396"/>
      <c r="AE696" s="402">
        <v>1834</v>
      </c>
      <c r="AF696" s="402">
        <f>0.01/2</f>
        <v>5.0000000000000001E-3</v>
      </c>
      <c r="AG696" s="404"/>
      <c r="AH696" s="404"/>
      <c r="AI696" s="113"/>
      <c r="AJ696" s="402"/>
      <c r="AK696" s="404"/>
      <c r="AL696" s="404"/>
      <c r="AM696" s="404"/>
      <c r="AN696" s="404"/>
      <c r="AO696" s="404"/>
      <c r="AP696" s="404"/>
      <c r="AQ696" s="404"/>
      <c r="AR696" s="404"/>
      <c r="AS696" s="404"/>
      <c r="AT696" s="404"/>
      <c r="AU696" s="404"/>
    </row>
    <row r="697" spans="1:49" s="400" customFormat="1" ht="14">
      <c r="A697" s="53" t="s">
        <v>36</v>
      </c>
      <c r="B697" s="402" t="s">
        <v>2931</v>
      </c>
      <c r="C697" s="404" t="s">
        <v>2927</v>
      </c>
      <c r="D697" s="401" t="s">
        <v>806</v>
      </c>
      <c r="E697" s="404" t="s">
        <v>535</v>
      </c>
      <c r="F697" s="402"/>
      <c r="G697" s="393" t="s">
        <v>2929</v>
      </c>
      <c r="H697" s="402"/>
      <c r="I697" s="391" t="s">
        <v>1</v>
      </c>
      <c r="J697" s="402" t="s">
        <v>2930</v>
      </c>
      <c r="K697" s="403">
        <v>41553</v>
      </c>
      <c r="L697" s="379">
        <v>41539</v>
      </c>
      <c r="M697" s="402">
        <f t="shared" si="38"/>
        <v>14</v>
      </c>
      <c r="N697" s="402" t="s">
        <v>1</v>
      </c>
      <c r="O697" s="404">
        <v>2.1</v>
      </c>
      <c r="P697" s="380">
        <v>5.54</v>
      </c>
      <c r="Q697" s="395">
        <v>6.5</v>
      </c>
      <c r="R697" s="402">
        <v>7</v>
      </c>
      <c r="S697" s="404">
        <v>10</v>
      </c>
      <c r="T697" s="402">
        <v>0.32</v>
      </c>
      <c r="U697" s="404">
        <v>0.63</v>
      </c>
      <c r="V697" s="402">
        <v>0.75</v>
      </c>
      <c r="W697" s="404">
        <v>0.02</v>
      </c>
      <c r="X697" s="402">
        <v>0.22</v>
      </c>
      <c r="Y697" s="404">
        <v>2E-3</v>
      </c>
      <c r="Z697" s="396"/>
      <c r="AA697" s="397"/>
      <c r="AB697" s="402"/>
      <c r="AC697" s="404"/>
      <c r="AD697" s="396"/>
      <c r="AE697" s="402">
        <v>7.5</v>
      </c>
      <c r="AF697" s="402">
        <f>0.01/2</f>
        <v>5.0000000000000001E-3</v>
      </c>
      <c r="AG697" s="404"/>
      <c r="AH697" s="404"/>
      <c r="AI697" s="113"/>
      <c r="AJ697" s="402"/>
      <c r="AK697" s="404"/>
      <c r="AL697" s="404"/>
      <c r="AM697" s="404"/>
      <c r="AN697" s="404"/>
      <c r="AO697" s="404"/>
      <c r="AP697" s="404"/>
      <c r="AQ697" s="404"/>
      <c r="AR697" s="404"/>
      <c r="AS697" s="404"/>
      <c r="AT697" s="404"/>
      <c r="AU697" s="404"/>
    </row>
    <row r="698" spans="1:49" ht="14">
      <c r="A698" s="53" t="s">
        <v>36</v>
      </c>
      <c r="B698" s="50" t="s">
        <v>1036</v>
      </c>
      <c r="D698" s="14" t="s">
        <v>1484</v>
      </c>
      <c r="E698" s="7" t="s">
        <v>5598</v>
      </c>
      <c r="F698" s="7" t="s">
        <v>2802</v>
      </c>
      <c r="G698" s="15" t="s">
        <v>2803</v>
      </c>
      <c r="H698" s="7">
        <v>9199</v>
      </c>
      <c r="I698" s="19" t="s">
        <v>2</v>
      </c>
      <c r="J698" s="7" t="s">
        <v>5600</v>
      </c>
      <c r="K698" s="51">
        <v>41554</v>
      </c>
      <c r="L698" s="115">
        <v>41553</v>
      </c>
      <c r="M698" s="50">
        <f t="shared" si="38"/>
        <v>1</v>
      </c>
      <c r="N698" s="50" t="s">
        <v>2</v>
      </c>
      <c r="O698" s="74">
        <f>2/2</f>
        <v>1</v>
      </c>
      <c r="Q698" s="74">
        <v>8</v>
      </c>
      <c r="R698" s="50">
        <v>16</v>
      </c>
      <c r="S698" s="74">
        <v>178</v>
      </c>
      <c r="T698" s="50">
        <v>0.26</v>
      </c>
      <c r="U698" s="74">
        <v>0.71</v>
      </c>
      <c r="V698" s="50">
        <v>0.28000000000000003</v>
      </c>
      <c r="W698" s="74">
        <v>0.03</v>
      </c>
      <c r="X698" s="50">
        <v>5.3999999999999999E-2</v>
      </c>
      <c r="Y698" s="74">
        <f>0.03/2</f>
        <v>1.4999999999999999E-2</v>
      </c>
      <c r="Z698" s="164">
        <v>1</v>
      </c>
      <c r="AA698" s="165">
        <v>1</v>
      </c>
      <c r="AB698" s="50">
        <v>39</v>
      </c>
      <c r="AC698" s="74">
        <v>64</v>
      </c>
      <c r="AD698" s="164">
        <v>1</v>
      </c>
      <c r="AG698" s="74"/>
      <c r="AH698" s="74"/>
      <c r="AI698" s="113"/>
      <c r="AJ698" s="50"/>
      <c r="AK698" s="74"/>
      <c r="AL698" s="74"/>
      <c r="AM698" s="74"/>
      <c r="AN698" s="74"/>
      <c r="AO698" s="74"/>
      <c r="AP698" s="74"/>
      <c r="AQ698" s="74"/>
      <c r="AR698" s="74"/>
      <c r="AS698" s="74"/>
      <c r="AT698" s="74"/>
    </row>
    <row r="699" spans="1:49" ht="14">
      <c r="A699" s="53" t="s">
        <v>36</v>
      </c>
      <c r="B699" s="50" t="s">
        <v>2820</v>
      </c>
      <c r="C699" s="50" t="s">
        <v>2075</v>
      </c>
      <c r="D699" s="83" t="s">
        <v>588</v>
      </c>
      <c r="E699" s="74"/>
      <c r="F699" s="50" t="s">
        <v>2822</v>
      </c>
      <c r="G699" s="48" t="s">
        <v>2823</v>
      </c>
      <c r="H699" s="74">
        <v>9199</v>
      </c>
      <c r="I699" s="50" t="s">
        <v>2</v>
      </c>
      <c r="J699" s="339" t="s">
        <v>510</v>
      </c>
      <c r="K699" s="51">
        <v>41021</v>
      </c>
      <c r="L699" s="173">
        <v>41011</v>
      </c>
      <c r="M699" s="50">
        <f t="shared" si="38"/>
        <v>10</v>
      </c>
      <c r="N699" s="50" t="s">
        <v>2</v>
      </c>
      <c r="O699" s="74">
        <v>2.6</v>
      </c>
      <c r="P699" s="50">
        <v>6.5</v>
      </c>
      <c r="Q699" s="74">
        <v>6.57</v>
      </c>
      <c r="R699" s="50">
        <v>25</v>
      </c>
      <c r="S699" s="74">
        <v>280</v>
      </c>
      <c r="T699" s="50">
        <v>0.49</v>
      </c>
      <c r="U699" s="131">
        <v>1.97</v>
      </c>
      <c r="V699" s="50">
        <v>0.05</v>
      </c>
      <c r="W699" s="74">
        <v>4.2999999999999997E-2</v>
      </c>
      <c r="X699" s="50">
        <v>0.113</v>
      </c>
      <c r="Y699" s="74">
        <v>5.0999999999999997E-2</v>
      </c>
      <c r="Z699" s="271">
        <v>1</v>
      </c>
      <c r="AA699" s="271">
        <v>1</v>
      </c>
      <c r="AB699" s="114">
        <v>70</v>
      </c>
      <c r="AC699" s="50">
        <v>1281</v>
      </c>
      <c r="AD699" s="271">
        <v>1</v>
      </c>
      <c r="AG699" s="74"/>
      <c r="AH699" s="74"/>
      <c r="AI699" s="113"/>
      <c r="AJ699" s="50"/>
      <c r="AK699" s="74"/>
      <c r="AL699" s="74"/>
      <c r="AM699" s="74"/>
      <c r="AN699" s="74"/>
      <c r="AO699" s="74"/>
      <c r="AP699" s="74"/>
      <c r="AQ699" s="74"/>
      <c r="AR699" s="74"/>
      <c r="AS699" s="74"/>
      <c r="AT699" s="74"/>
    </row>
    <row r="700" spans="1:49" ht="14">
      <c r="A700" s="74" t="s">
        <v>36</v>
      </c>
      <c r="B700" s="50" t="s">
        <v>6450</v>
      </c>
      <c r="C700" s="50" t="s">
        <v>6451</v>
      </c>
      <c r="D700" s="48" t="s">
        <v>425</v>
      </c>
      <c r="E700" s="50" t="s">
        <v>6452</v>
      </c>
      <c r="F700" s="50">
        <v>6900</v>
      </c>
      <c r="G700" s="76" t="s">
        <v>6453</v>
      </c>
      <c r="K700" s="51">
        <v>41305</v>
      </c>
      <c r="L700" s="115">
        <v>41301</v>
      </c>
      <c r="M700" s="50">
        <f t="shared" si="38"/>
        <v>4</v>
      </c>
      <c r="N700" s="50" t="s">
        <v>2</v>
      </c>
      <c r="O700" s="74">
        <v>1</v>
      </c>
      <c r="P700" s="117">
        <v>5.92</v>
      </c>
      <c r="Q700" s="131">
        <v>6.7</v>
      </c>
      <c r="R700" s="50">
        <v>20.5</v>
      </c>
      <c r="S700" s="74">
        <v>2.5</v>
      </c>
      <c r="T700" s="50">
        <v>0.08</v>
      </c>
      <c r="U700" s="74">
        <v>0.31</v>
      </c>
      <c r="V700" s="50">
        <f>0.2/2</f>
        <v>0.1</v>
      </c>
      <c r="W700" s="74">
        <v>0.02</v>
      </c>
      <c r="X700" s="50">
        <v>0.12</v>
      </c>
      <c r="Y700" s="74">
        <f>0.02/2</f>
        <v>0.01</v>
      </c>
      <c r="Z700" s="164">
        <v>1</v>
      </c>
      <c r="AA700" s="165">
        <v>0.89400000000000002</v>
      </c>
      <c r="AB700" s="50">
        <v>247</v>
      </c>
      <c r="AC700" s="74">
        <v>41.8</v>
      </c>
      <c r="AD700" s="164">
        <v>0.5</v>
      </c>
      <c r="AE700" s="50">
        <v>10</v>
      </c>
      <c r="AF700" s="50">
        <f>0.005/2</f>
        <v>2.5000000000000001E-3</v>
      </c>
      <c r="AG700" s="74"/>
      <c r="AH700" s="74"/>
      <c r="AI700" s="113"/>
      <c r="AJ700" s="50"/>
      <c r="AK700" s="74"/>
      <c r="AL700" s="74"/>
      <c r="AM700" s="74"/>
      <c r="AN700" s="74"/>
      <c r="AO700" s="74"/>
      <c r="AP700" s="74"/>
      <c r="AQ700" s="74"/>
      <c r="AR700" s="74"/>
      <c r="AS700" s="74"/>
      <c r="AT700" s="74"/>
    </row>
    <row r="701" spans="1:49" s="6" customFormat="1" ht="15" customHeight="1">
      <c r="A701" s="53" t="s">
        <v>36</v>
      </c>
      <c r="B701" s="50" t="s">
        <v>2961</v>
      </c>
      <c r="C701" s="50" t="s">
        <v>395</v>
      </c>
      <c r="D701" s="83" t="s">
        <v>2962</v>
      </c>
      <c r="E701" s="74" t="s">
        <v>2963</v>
      </c>
      <c r="F701" s="50"/>
      <c r="G701" s="48" t="s">
        <v>2964</v>
      </c>
      <c r="H701" s="74"/>
      <c r="I701" s="50"/>
      <c r="J701" s="48" t="s">
        <v>2965</v>
      </c>
      <c r="K701" s="51">
        <v>41170</v>
      </c>
      <c r="L701" s="115">
        <v>41161</v>
      </c>
      <c r="M701" s="50">
        <f>K701-L701</f>
        <v>9</v>
      </c>
      <c r="N701" s="50" t="s">
        <v>2</v>
      </c>
      <c r="O701" s="131">
        <v>2.8</v>
      </c>
      <c r="P701" s="50">
        <v>6.7</v>
      </c>
      <c r="Q701" s="74">
        <v>8</v>
      </c>
      <c r="R701" s="50">
        <v>55</v>
      </c>
      <c r="S701" s="74">
        <v>55.5</v>
      </c>
      <c r="T701" s="50">
        <v>1.56</v>
      </c>
      <c r="U701" s="131">
        <v>1.3</v>
      </c>
      <c r="V701" s="50">
        <v>0.68</v>
      </c>
      <c r="W701" s="74">
        <v>1.0999999999999999E-2</v>
      </c>
      <c r="X701" s="50">
        <v>5.2999999999999999E-2</v>
      </c>
      <c r="Y701" s="74">
        <v>7.4000000000000003E-3</v>
      </c>
      <c r="Z701" s="271">
        <v>1</v>
      </c>
      <c r="AA701" s="271">
        <v>1</v>
      </c>
      <c r="AB701" s="114">
        <v>481</v>
      </c>
      <c r="AC701" s="50">
        <v>660</v>
      </c>
      <c r="AD701" s="271">
        <v>1</v>
      </c>
      <c r="AE701" s="50"/>
      <c r="AF701" s="49"/>
      <c r="AG701" s="114"/>
      <c r="AH701" s="114"/>
      <c r="AI701" s="114"/>
      <c r="AJ701" s="114"/>
      <c r="AK701" s="114"/>
      <c r="AL701" s="114"/>
      <c r="AM701" s="114"/>
      <c r="AN701" s="114"/>
      <c r="AO701" s="114"/>
      <c r="AP701" s="114"/>
      <c r="AQ701" s="114"/>
      <c r="AR701" s="114"/>
      <c r="AS701" s="50"/>
      <c r="AT701" s="74"/>
      <c r="AU701" s="114"/>
      <c r="AV701" s="114"/>
      <c r="AW701" s="50"/>
    </row>
    <row r="702" spans="1:49" ht="15" customHeight="1">
      <c r="A702" s="53" t="s">
        <v>36</v>
      </c>
      <c r="B702" s="50" t="s">
        <v>2961</v>
      </c>
      <c r="C702" s="50" t="s">
        <v>395</v>
      </c>
      <c r="D702" s="83" t="s">
        <v>2962</v>
      </c>
      <c r="E702" s="74" t="s">
        <v>2963</v>
      </c>
      <c r="G702" s="48" t="s">
        <v>2964</v>
      </c>
      <c r="H702" s="74"/>
      <c r="I702" s="50" t="s">
        <v>2</v>
      </c>
      <c r="J702" s="48" t="s">
        <v>2965</v>
      </c>
      <c r="K702" s="51">
        <v>41578</v>
      </c>
      <c r="L702" s="173">
        <v>41566</v>
      </c>
      <c r="M702" s="50">
        <f>K702-L702</f>
        <v>12</v>
      </c>
      <c r="N702" s="50" t="s">
        <v>2</v>
      </c>
      <c r="O702" s="74">
        <v>3.7</v>
      </c>
      <c r="P702" s="50">
        <v>6.1</v>
      </c>
      <c r="Q702" s="74">
        <v>7.7</v>
      </c>
      <c r="R702" s="50">
        <v>36</v>
      </c>
      <c r="S702" s="74">
        <v>17.3</v>
      </c>
      <c r="T702" s="50">
        <v>0.17399999999999999</v>
      </c>
      <c r="U702" s="131">
        <f>1/2</f>
        <v>0.5</v>
      </c>
      <c r="V702" s="50">
        <v>0.69</v>
      </c>
      <c r="W702" s="74">
        <f>0.005/2</f>
        <v>2.5000000000000001E-3</v>
      </c>
      <c r="X702" s="50">
        <v>2.7E-2</v>
      </c>
      <c r="Y702" s="74">
        <f>0.005/2</f>
        <v>2.5000000000000001E-3</v>
      </c>
      <c r="Z702" s="165">
        <v>1</v>
      </c>
      <c r="AA702" s="271">
        <v>1</v>
      </c>
      <c r="AB702" s="114">
        <v>146</v>
      </c>
      <c r="AC702" s="50">
        <v>522</v>
      </c>
      <c r="AD702" s="271">
        <v>1</v>
      </c>
      <c r="AF702" s="49"/>
      <c r="AG702" s="114"/>
      <c r="AH702" s="114"/>
      <c r="AI702" s="114"/>
      <c r="AJ702" s="114"/>
      <c r="AK702" s="114"/>
      <c r="AL702" s="114"/>
      <c r="AM702" s="114"/>
      <c r="AN702" s="114"/>
      <c r="AO702" s="114"/>
      <c r="AP702" s="114"/>
      <c r="AQ702" s="114"/>
      <c r="AR702" s="114"/>
      <c r="AS702" s="50"/>
      <c r="AT702" s="74"/>
      <c r="AU702" s="114"/>
      <c r="AV702" s="114"/>
      <c r="AW702" s="50"/>
    </row>
    <row r="703" spans="1:49" ht="14">
      <c r="A703" s="74" t="s">
        <v>36</v>
      </c>
      <c r="B703" s="50" t="s">
        <v>3110</v>
      </c>
      <c r="C703" s="50" t="s">
        <v>1332</v>
      </c>
      <c r="D703" s="48" t="s">
        <v>111</v>
      </c>
      <c r="E703" s="50" t="s">
        <v>112</v>
      </c>
      <c r="G703" s="76" t="s">
        <v>2886</v>
      </c>
      <c r="H703" s="50">
        <v>4952</v>
      </c>
      <c r="I703" s="49" t="s">
        <v>2</v>
      </c>
      <c r="J703" s="50" t="s">
        <v>3112</v>
      </c>
      <c r="K703" s="51">
        <v>41718</v>
      </c>
      <c r="L703" s="115">
        <v>41710</v>
      </c>
      <c r="M703" s="402">
        <f>K703-L703</f>
        <v>8</v>
      </c>
      <c r="N703" s="50" t="s">
        <v>2</v>
      </c>
      <c r="O703" s="74">
        <f>2/2</f>
        <v>1</v>
      </c>
      <c r="P703" s="117">
        <v>7.2</v>
      </c>
      <c r="Q703" s="131">
        <v>7</v>
      </c>
      <c r="R703" s="50">
        <f>10/2</f>
        <v>5</v>
      </c>
      <c r="S703" s="74">
        <v>94</v>
      </c>
      <c r="T703" s="50">
        <f>0.1/2</f>
        <v>0.05</v>
      </c>
      <c r="U703" s="74">
        <v>0.63</v>
      </c>
      <c r="V703" s="50">
        <v>7.0000000000000007E-2</v>
      </c>
      <c r="W703" s="74">
        <v>8.9999999999999993E-3</v>
      </c>
      <c r="X703" s="50">
        <v>6.7000000000000004E-2</v>
      </c>
      <c r="Y703" s="74">
        <v>6.0000000000000001E-3</v>
      </c>
    </row>
    <row r="704" spans="1:49" ht="14">
      <c r="A704" s="74" t="s">
        <v>36</v>
      </c>
      <c r="B704" s="50" t="s">
        <v>3110</v>
      </c>
      <c r="C704" s="50" t="s">
        <v>1332</v>
      </c>
      <c r="D704" s="48" t="s">
        <v>111</v>
      </c>
      <c r="E704" s="50" t="s">
        <v>112</v>
      </c>
      <c r="F704" s="50" t="s">
        <v>6339</v>
      </c>
      <c r="G704" s="76" t="s">
        <v>2886</v>
      </c>
      <c r="H704" s="50">
        <v>4952</v>
      </c>
      <c r="I704" s="49" t="s">
        <v>2</v>
      </c>
      <c r="J704" s="50" t="s">
        <v>3111</v>
      </c>
      <c r="K704" s="51">
        <v>41718</v>
      </c>
      <c r="L704" s="115">
        <v>41710</v>
      </c>
      <c r="M704" s="402">
        <f>K704-L704</f>
        <v>8</v>
      </c>
      <c r="N704" s="50" t="s">
        <v>2</v>
      </c>
      <c r="O704" s="74">
        <v>5</v>
      </c>
      <c r="P704" s="117">
        <v>7.2</v>
      </c>
      <c r="Q704" s="131">
        <v>7.2</v>
      </c>
      <c r="R704" s="50">
        <f>10/2</f>
        <v>5</v>
      </c>
      <c r="S704" s="74">
        <v>300</v>
      </c>
      <c r="T704" s="50">
        <f>0.1/2</f>
        <v>0.05</v>
      </c>
      <c r="U704" s="74">
        <v>3.91</v>
      </c>
      <c r="V704" s="50">
        <v>0.27</v>
      </c>
      <c r="W704" s="74">
        <v>1.9E-2</v>
      </c>
      <c r="X704" s="50">
        <v>0.14699999999999999</v>
      </c>
      <c r="Y704" s="74">
        <v>1.7999999999999999E-2</v>
      </c>
    </row>
    <row r="705" spans="1:79" ht="14">
      <c r="A705" s="53" t="s">
        <v>36</v>
      </c>
      <c r="B705" s="402" t="s">
        <v>1844</v>
      </c>
      <c r="C705" s="402" t="s">
        <v>1845</v>
      </c>
      <c r="D705" s="405" t="s">
        <v>1846</v>
      </c>
      <c r="E705" s="391"/>
      <c r="F705" s="402"/>
      <c r="G705" s="401" t="s">
        <v>1847</v>
      </c>
      <c r="H705" s="391"/>
      <c r="I705" s="402" t="s">
        <v>1</v>
      </c>
      <c r="J705" s="393" t="s">
        <v>1848</v>
      </c>
      <c r="K705" s="403">
        <v>41156</v>
      </c>
      <c r="L705" s="379">
        <v>41153</v>
      </c>
      <c r="M705" s="402">
        <v>3</v>
      </c>
      <c r="N705" s="402" t="s">
        <v>2</v>
      </c>
      <c r="O705" s="131">
        <f>1.2/2</f>
        <v>0.6</v>
      </c>
      <c r="P705" s="50">
        <v>5.5</v>
      </c>
      <c r="Q705" s="74">
        <v>6.2</v>
      </c>
      <c r="R705" s="50">
        <v>86</v>
      </c>
      <c r="S705" s="74">
        <v>24</v>
      </c>
      <c r="T705" s="50">
        <v>0.28000000000000003</v>
      </c>
      <c r="U705" s="131">
        <v>0.8</v>
      </c>
      <c r="V705" s="50">
        <v>170</v>
      </c>
      <c r="W705" s="74">
        <v>5.3E-3</v>
      </c>
      <c r="X705" s="50">
        <v>1.2E-2</v>
      </c>
      <c r="Y705" s="74">
        <v>2.8999999999999998E-3</v>
      </c>
      <c r="Z705" s="271">
        <v>1</v>
      </c>
      <c r="AA705" s="271">
        <v>1</v>
      </c>
      <c r="AB705" s="114">
        <v>58</v>
      </c>
      <c r="AC705" s="50">
        <v>3040</v>
      </c>
      <c r="AD705" s="271">
        <v>0.95</v>
      </c>
      <c r="AE705" s="402"/>
      <c r="AF705" s="391"/>
      <c r="AG705" s="394"/>
      <c r="AH705" s="394"/>
      <c r="AI705" s="394"/>
      <c r="AJ705" s="394"/>
      <c r="AK705" s="394"/>
      <c r="AL705" s="394"/>
      <c r="AM705" s="394"/>
      <c r="AN705" s="394"/>
      <c r="AO705" s="394"/>
      <c r="AP705" s="394"/>
      <c r="AQ705" s="394"/>
      <c r="AR705" s="394"/>
      <c r="AT705" s="404"/>
      <c r="AU705" s="394"/>
      <c r="AV705" s="394"/>
      <c r="AW705" s="402"/>
      <c r="AX705" s="400"/>
      <c r="AY705" s="400"/>
      <c r="AZ705" s="400"/>
      <c r="BA705" s="400"/>
      <c r="BB705" s="400"/>
      <c r="BC705" s="400"/>
      <c r="BD705" s="400"/>
      <c r="BE705" s="400"/>
      <c r="BF705" s="400"/>
      <c r="BG705" s="400"/>
      <c r="BH705" s="400"/>
      <c r="BI705" s="400"/>
      <c r="BJ705" s="400"/>
      <c r="BK705" s="400"/>
      <c r="BL705" s="400"/>
      <c r="BM705" s="400"/>
      <c r="BN705" s="400"/>
      <c r="BO705" s="400"/>
      <c r="BP705" s="400"/>
      <c r="BQ705" s="400"/>
      <c r="BR705" s="400"/>
      <c r="BS705" s="400"/>
      <c r="BT705" s="400"/>
      <c r="BU705" s="400"/>
      <c r="BV705" s="400"/>
      <c r="BW705" s="400"/>
      <c r="BX705" s="400"/>
      <c r="BY705" s="400"/>
      <c r="BZ705" s="400"/>
      <c r="CA705" s="400"/>
    </row>
    <row r="706" spans="1:79" ht="14">
      <c r="A706" s="53" t="s">
        <v>36</v>
      </c>
      <c r="B706" s="402" t="s">
        <v>1844</v>
      </c>
      <c r="C706" s="402" t="s">
        <v>1845</v>
      </c>
      <c r="D706" s="405" t="s">
        <v>1846</v>
      </c>
      <c r="E706" s="404"/>
      <c r="F706" s="402"/>
      <c r="G706" s="401" t="s">
        <v>1847</v>
      </c>
      <c r="H706" s="404"/>
      <c r="I706" s="402"/>
      <c r="J706" s="406" t="s">
        <v>2594</v>
      </c>
      <c r="K706" s="403">
        <v>41332</v>
      </c>
      <c r="L706" s="379">
        <v>41330</v>
      </c>
      <c r="M706" s="402">
        <v>2</v>
      </c>
      <c r="N706" s="402" t="s">
        <v>2</v>
      </c>
      <c r="O706" s="131">
        <f>1.7/2</f>
        <v>0.85</v>
      </c>
      <c r="P706" s="50">
        <v>5</v>
      </c>
      <c r="Q706" s="74">
        <v>6.4</v>
      </c>
      <c r="R706" s="50">
        <v>12</v>
      </c>
      <c r="S706" s="74">
        <f>2/2</f>
        <v>1</v>
      </c>
      <c r="T706" s="50">
        <f>0.01/2</f>
        <v>5.0000000000000001E-3</v>
      </c>
      <c r="U706" s="131">
        <f>0.5/2</f>
        <v>0.25</v>
      </c>
      <c r="V706" s="50">
        <f>0.05/2</f>
        <v>2.5000000000000001E-2</v>
      </c>
      <c r="W706" s="74">
        <f>0.002/2</f>
        <v>1E-3</v>
      </c>
      <c r="X706" s="50">
        <v>0.04</v>
      </c>
      <c r="Y706" s="74">
        <f>0.002/2</f>
        <v>1E-3</v>
      </c>
      <c r="Z706" s="271">
        <v>0.81599999999999995</v>
      </c>
      <c r="AA706" s="271">
        <v>0.68300000000000005</v>
      </c>
      <c r="AB706" s="114">
        <f>2/2</f>
        <v>1</v>
      </c>
      <c r="AC706" s="50">
        <v>4</v>
      </c>
      <c r="AD706" s="271">
        <v>0</v>
      </c>
      <c r="AE706" s="402"/>
      <c r="AF706" s="391"/>
      <c r="AG706" s="394"/>
      <c r="AH706" s="394"/>
      <c r="AI706" s="394"/>
      <c r="AJ706" s="394"/>
      <c r="AK706" s="394"/>
      <c r="AL706" s="394"/>
      <c r="AM706" s="394"/>
      <c r="AN706" s="394"/>
      <c r="AO706" s="394"/>
      <c r="AP706" s="394"/>
      <c r="AQ706" s="394"/>
      <c r="AR706" s="394"/>
      <c r="AT706" s="404"/>
      <c r="AU706" s="394"/>
      <c r="AV706" s="394"/>
      <c r="AW706" s="402"/>
      <c r="AX706" s="384"/>
      <c r="AY706" s="384"/>
      <c r="AZ706" s="384"/>
      <c r="BA706" s="384"/>
      <c r="BB706" s="384"/>
      <c r="BC706" s="384"/>
      <c r="BD706" s="384"/>
      <c r="BE706" s="384"/>
      <c r="BF706" s="384"/>
      <c r="BG706" s="384"/>
      <c r="BH706" s="384"/>
      <c r="BI706" s="384"/>
      <c r="BJ706" s="384"/>
      <c r="BK706" s="384"/>
      <c r="BL706" s="384"/>
      <c r="BM706" s="384"/>
      <c r="BN706" s="384"/>
      <c r="BO706" s="384"/>
      <c r="BP706" s="384"/>
      <c r="BQ706" s="384"/>
      <c r="BR706" s="384"/>
      <c r="BS706" s="384"/>
      <c r="BT706" s="384"/>
      <c r="BU706" s="384"/>
      <c r="BV706" s="384"/>
      <c r="BW706" s="384"/>
      <c r="BX706" s="384"/>
      <c r="BY706" s="384"/>
      <c r="BZ706" s="384"/>
      <c r="CA706" s="384"/>
    </row>
    <row r="707" spans="1:79" ht="14">
      <c r="A707" s="53" t="s">
        <v>36</v>
      </c>
      <c r="B707" s="402" t="s">
        <v>1844</v>
      </c>
      <c r="C707" s="402" t="s">
        <v>395</v>
      </c>
      <c r="D707" s="405" t="s">
        <v>1846</v>
      </c>
      <c r="E707" s="404"/>
      <c r="F707" s="86"/>
      <c r="G707" s="401" t="s">
        <v>1847</v>
      </c>
      <c r="H707" s="404"/>
      <c r="I707" s="402" t="s">
        <v>2</v>
      </c>
      <c r="J707" s="401" t="s">
        <v>3024</v>
      </c>
      <c r="K707" s="403">
        <v>40835</v>
      </c>
      <c r="L707" s="379">
        <v>40830</v>
      </c>
      <c r="M707" s="402">
        <v>5</v>
      </c>
      <c r="N707" s="402" t="s">
        <v>2</v>
      </c>
      <c r="O707" s="131">
        <f>2/2</f>
        <v>1</v>
      </c>
      <c r="P707" s="50">
        <v>5</v>
      </c>
      <c r="Q707" s="74">
        <v>5.6</v>
      </c>
      <c r="R707" s="50">
        <v>40</v>
      </c>
      <c r="S707" s="74">
        <v>120</v>
      </c>
      <c r="T707" s="50">
        <v>6.6000000000000003E-2</v>
      </c>
      <c r="U707" s="131">
        <v>0.64</v>
      </c>
      <c r="V707" s="50">
        <v>0.27</v>
      </c>
      <c r="W707" s="74">
        <v>5.1000000000000004E-3</v>
      </c>
      <c r="X707" s="50">
        <v>3.9E-2</v>
      </c>
      <c r="Y707" s="74">
        <v>1.0999999999999999E-2</v>
      </c>
      <c r="Z707" s="271">
        <v>1</v>
      </c>
      <c r="AA707" s="271">
        <v>1</v>
      </c>
      <c r="AB707" s="114">
        <v>52</v>
      </c>
      <c r="AC707" s="50">
        <v>1672</v>
      </c>
      <c r="AD707" s="271">
        <v>1</v>
      </c>
      <c r="AE707" s="402"/>
      <c r="AF707" s="391"/>
      <c r="AG707" s="394"/>
      <c r="AH707" s="394"/>
      <c r="AI707" s="394"/>
      <c r="AJ707" s="394"/>
      <c r="AK707" s="394"/>
      <c r="AL707" s="394"/>
      <c r="AM707" s="394"/>
      <c r="AN707" s="394"/>
      <c r="AO707" s="394"/>
      <c r="AP707" s="394"/>
      <c r="AQ707" s="394"/>
      <c r="AR707" s="394"/>
      <c r="AT707" s="404"/>
      <c r="AU707" s="394"/>
      <c r="AV707" s="394"/>
      <c r="AW707" s="402"/>
      <c r="AX707" s="384"/>
      <c r="AY707" s="384"/>
      <c r="AZ707" s="384"/>
      <c r="BA707" s="384"/>
      <c r="BB707" s="384"/>
      <c r="BC707" s="384"/>
      <c r="BD707" s="384"/>
      <c r="BE707" s="384"/>
      <c r="BF707" s="384"/>
      <c r="BG707" s="384"/>
      <c r="BH707" s="384"/>
      <c r="BI707" s="384"/>
      <c r="BJ707" s="384"/>
      <c r="BK707" s="384"/>
      <c r="BL707" s="384"/>
      <c r="BM707" s="384"/>
      <c r="BN707" s="384"/>
      <c r="BO707" s="384"/>
      <c r="BP707" s="384"/>
      <c r="BQ707" s="384"/>
      <c r="BR707" s="384"/>
      <c r="BS707" s="384"/>
      <c r="BT707" s="384"/>
      <c r="BU707" s="384"/>
      <c r="BV707" s="384"/>
      <c r="BW707" s="384"/>
      <c r="BX707" s="384"/>
      <c r="BY707" s="384"/>
      <c r="BZ707" s="384"/>
      <c r="CA707" s="384"/>
    </row>
    <row r="708" spans="1:79" ht="14">
      <c r="A708" s="53" t="s">
        <v>36</v>
      </c>
      <c r="B708" s="402" t="s">
        <v>1844</v>
      </c>
      <c r="C708" s="402" t="s">
        <v>395</v>
      </c>
      <c r="D708" s="405" t="s">
        <v>1846</v>
      </c>
      <c r="E708" s="404"/>
      <c r="F708" s="86"/>
      <c r="G708" s="401" t="s">
        <v>1847</v>
      </c>
      <c r="H708" s="404"/>
      <c r="I708" s="402" t="s">
        <v>2</v>
      </c>
      <c r="J708" s="401" t="s">
        <v>3024</v>
      </c>
      <c r="K708" s="403">
        <v>41585</v>
      </c>
      <c r="L708" s="398"/>
      <c r="M708" s="402"/>
      <c r="N708" s="402" t="s">
        <v>2</v>
      </c>
      <c r="O708" s="74">
        <v>1.4</v>
      </c>
      <c r="P708" s="50">
        <v>6</v>
      </c>
      <c r="Q708" s="74">
        <v>5.7</v>
      </c>
      <c r="R708" s="50">
        <v>13</v>
      </c>
      <c r="S708" s="74">
        <v>11</v>
      </c>
      <c r="T708" s="50">
        <v>1.7000000000000001E-2</v>
      </c>
      <c r="U708" s="131">
        <f>0.5/2</f>
        <v>0.25</v>
      </c>
      <c r="V708" s="50">
        <v>7.8E-2</v>
      </c>
      <c r="W708" s="74">
        <f>0.002/2</f>
        <v>1E-3</v>
      </c>
      <c r="X708" s="50">
        <v>9.2999999999999999E-2</v>
      </c>
      <c r="Y708" s="74">
        <f>0.002/2</f>
        <v>1E-3</v>
      </c>
      <c r="Z708" s="271">
        <v>0.79400000000000004</v>
      </c>
      <c r="AA708" s="271">
        <v>0.72</v>
      </c>
      <c r="AB708" s="114">
        <f>2/2</f>
        <v>1</v>
      </c>
      <c r="AC708" s="50">
        <v>2</v>
      </c>
      <c r="AD708" s="271">
        <v>0.05</v>
      </c>
      <c r="AE708" s="402"/>
      <c r="AF708" s="391"/>
      <c r="AG708" s="394"/>
      <c r="AH708" s="394"/>
      <c r="AI708" s="394"/>
      <c r="AJ708" s="394"/>
      <c r="AK708" s="394"/>
      <c r="AL708" s="394"/>
      <c r="AM708" s="394"/>
      <c r="AN708" s="394"/>
      <c r="AO708" s="394"/>
      <c r="AP708" s="394"/>
      <c r="AQ708" s="394"/>
      <c r="AR708" s="394"/>
      <c r="AT708" s="404"/>
      <c r="AU708" s="394"/>
      <c r="AV708" s="394"/>
      <c r="AW708" s="402"/>
      <c r="AX708" s="400"/>
      <c r="AY708" s="400"/>
      <c r="AZ708" s="400"/>
      <c r="BA708" s="400"/>
      <c r="BB708" s="400"/>
      <c r="BC708" s="400"/>
      <c r="BD708" s="400"/>
      <c r="BE708" s="400"/>
      <c r="BF708" s="400"/>
      <c r="BG708" s="400"/>
      <c r="BH708" s="400"/>
      <c r="BI708" s="400"/>
      <c r="BJ708" s="400"/>
      <c r="BK708" s="400"/>
      <c r="BL708" s="400"/>
      <c r="BM708" s="400"/>
      <c r="BN708" s="400"/>
      <c r="BO708" s="400"/>
      <c r="BP708" s="400"/>
      <c r="BQ708" s="400"/>
      <c r="BR708" s="400"/>
      <c r="BS708" s="400"/>
      <c r="BT708" s="400"/>
      <c r="BU708" s="400"/>
      <c r="BV708" s="400"/>
      <c r="BW708" s="400"/>
      <c r="BX708" s="400"/>
      <c r="BY708" s="400"/>
      <c r="BZ708" s="400"/>
      <c r="CA708" s="400"/>
    </row>
    <row r="709" spans="1:79" ht="14">
      <c r="A709" s="53" t="s">
        <v>36</v>
      </c>
      <c r="B709" s="402" t="s">
        <v>2933</v>
      </c>
      <c r="C709" s="402" t="s">
        <v>2685</v>
      </c>
      <c r="D709" s="405" t="s">
        <v>2934</v>
      </c>
      <c r="E709" s="404"/>
      <c r="F709" s="402"/>
      <c r="G709" s="401" t="s">
        <v>2935</v>
      </c>
      <c r="H709" s="404"/>
      <c r="I709" s="402"/>
      <c r="J709" s="401" t="s">
        <v>669</v>
      </c>
      <c r="K709" s="403">
        <v>41072</v>
      </c>
      <c r="L709" s="379">
        <v>41066</v>
      </c>
      <c r="M709" s="402">
        <v>6</v>
      </c>
      <c r="N709" s="402" t="s">
        <v>2</v>
      </c>
      <c r="O709" s="395">
        <v>1.05</v>
      </c>
      <c r="P709" s="402">
        <v>6.5</v>
      </c>
      <c r="Q709" s="404">
        <v>7.6</v>
      </c>
      <c r="R709" s="402">
        <v>57</v>
      </c>
      <c r="S709" s="404">
        <v>48</v>
      </c>
      <c r="T709" s="402">
        <v>0.121</v>
      </c>
      <c r="U709" s="395">
        <v>0.5</v>
      </c>
      <c r="V709" s="402">
        <v>0.23</v>
      </c>
      <c r="W709" s="404">
        <v>2.5000000000000001E-3</v>
      </c>
      <c r="X709" s="402">
        <v>2.4E-2</v>
      </c>
      <c r="Y709" s="404">
        <v>2.5000000000000001E-3</v>
      </c>
      <c r="Z709" s="399">
        <v>1</v>
      </c>
      <c r="AA709" s="399">
        <v>1</v>
      </c>
      <c r="AB709" s="394">
        <v>26</v>
      </c>
      <c r="AC709" s="402">
        <v>192</v>
      </c>
      <c r="AD709" s="399">
        <v>1</v>
      </c>
      <c r="AG709" s="74"/>
      <c r="AH709" s="74"/>
      <c r="AI709" s="113"/>
      <c r="AJ709" s="50"/>
      <c r="AK709" s="74"/>
      <c r="AL709" s="74"/>
      <c r="AM709" s="74"/>
      <c r="AN709" s="74"/>
      <c r="AO709" s="74"/>
      <c r="AP709" s="74"/>
      <c r="AQ709" s="74"/>
      <c r="AR709" s="74"/>
      <c r="AS709" s="74"/>
      <c r="AT709" s="74"/>
    </row>
    <row r="710" spans="1:79" ht="14">
      <c r="A710" s="53" t="s">
        <v>36</v>
      </c>
      <c r="B710" s="402" t="s">
        <v>2933</v>
      </c>
      <c r="C710" s="402" t="s">
        <v>2685</v>
      </c>
      <c r="D710" s="405" t="s">
        <v>2934</v>
      </c>
      <c r="E710" s="404"/>
      <c r="F710" s="402"/>
      <c r="G710" s="401" t="s">
        <v>2935</v>
      </c>
      <c r="H710" s="404"/>
      <c r="I710" s="402"/>
      <c r="J710" s="401" t="s">
        <v>676</v>
      </c>
      <c r="K710" s="403">
        <v>41072</v>
      </c>
      <c r="L710" s="379">
        <v>41066</v>
      </c>
      <c r="M710" s="402">
        <v>6</v>
      </c>
      <c r="N710" s="402" t="s">
        <v>2</v>
      </c>
      <c r="O710" s="395">
        <v>2.2000000000000002</v>
      </c>
      <c r="P710" s="402">
        <v>6.5</v>
      </c>
      <c r="Q710" s="404">
        <v>7.1</v>
      </c>
      <c r="R710" s="402">
        <v>130</v>
      </c>
      <c r="S710" s="404">
        <v>81.5</v>
      </c>
      <c r="T710" s="402">
        <v>0.185</v>
      </c>
      <c r="U710" s="395">
        <v>1.5</v>
      </c>
      <c r="V710" s="402">
        <v>0.52</v>
      </c>
      <c r="W710" s="404">
        <v>2.5000000000000001E-3</v>
      </c>
      <c r="X710" s="402">
        <v>0.05</v>
      </c>
      <c r="Y710" s="404">
        <v>2.5000000000000001E-3</v>
      </c>
      <c r="Z710" s="399">
        <v>1</v>
      </c>
      <c r="AA710" s="399">
        <v>1</v>
      </c>
      <c r="AB710" s="394">
        <v>26</v>
      </c>
      <c r="AC710" s="402">
        <v>279</v>
      </c>
      <c r="AD710" s="399">
        <v>1</v>
      </c>
      <c r="AG710" s="74"/>
      <c r="AH710" s="74"/>
      <c r="AI710" s="113"/>
      <c r="AJ710" s="50"/>
      <c r="AK710" s="74"/>
      <c r="AL710" s="74"/>
      <c r="AM710" s="74"/>
      <c r="AN710" s="74"/>
      <c r="AO710" s="74"/>
      <c r="AP710" s="74"/>
      <c r="AQ710" s="74"/>
      <c r="AR710" s="74"/>
      <c r="AS710" s="74"/>
      <c r="AT710" s="74"/>
    </row>
    <row r="711" spans="1:79" ht="14">
      <c r="A711" s="53" t="s">
        <v>36</v>
      </c>
      <c r="B711" s="402" t="s">
        <v>2933</v>
      </c>
      <c r="C711" s="402" t="s">
        <v>2685</v>
      </c>
      <c r="D711" s="405" t="s">
        <v>2934</v>
      </c>
      <c r="E711" s="404"/>
      <c r="F711" s="402"/>
      <c r="G711" s="401" t="s">
        <v>2935</v>
      </c>
      <c r="H711" s="404"/>
      <c r="I711" s="402"/>
      <c r="J711" s="401" t="s">
        <v>2936</v>
      </c>
      <c r="K711" s="403">
        <v>41072</v>
      </c>
      <c r="L711" s="379">
        <v>41066</v>
      </c>
      <c r="M711" s="402">
        <v>6</v>
      </c>
      <c r="N711" s="402" t="s">
        <v>2</v>
      </c>
      <c r="O711" s="395">
        <v>4.8</v>
      </c>
      <c r="P711" s="402">
        <v>6.5</v>
      </c>
      <c r="Q711" s="404">
        <v>7.1</v>
      </c>
      <c r="R711" s="402">
        <v>59</v>
      </c>
      <c r="S711" s="404">
        <v>43</v>
      </c>
      <c r="T711" s="402">
        <v>0.13400000000000001</v>
      </c>
      <c r="U711" s="395">
        <v>0.5</v>
      </c>
      <c r="V711" s="402">
        <v>0.23</v>
      </c>
      <c r="W711" s="404">
        <v>2.5000000000000001E-3</v>
      </c>
      <c r="X711" s="402">
        <v>2.7E-2</v>
      </c>
      <c r="Y711" s="404">
        <v>2.5000000000000001E-3</v>
      </c>
      <c r="Z711" s="399">
        <v>1</v>
      </c>
      <c r="AA711" s="399">
        <v>1</v>
      </c>
      <c r="AB711" s="394">
        <v>28</v>
      </c>
      <c r="AC711" s="402">
        <v>91</v>
      </c>
      <c r="AD711" s="399">
        <v>1</v>
      </c>
      <c r="AG711" s="74"/>
      <c r="AH711" s="74"/>
      <c r="AI711" s="113"/>
      <c r="AJ711" s="50"/>
      <c r="AK711" s="74"/>
      <c r="AL711" s="74"/>
      <c r="AM711" s="74"/>
      <c r="AN711" s="74"/>
      <c r="AO711" s="74"/>
      <c r="AP711" s="74"/>
      <c r="AQ711" s="74"/>
      <c r="AR711" s="74"/>
      <c r="AS711" s="74"/>
      <c r="AT711" s="74"/>
    </row>
    <row r="712" spans="1:79" s="6" customFormat="1" ht="15" customHeight="1">
      <c r="A712" s="53" t="s">
        <v>36</v>
      </c>
      <c r="B712" s="50" t="s">
        <v>3037</v>
      </c>
      <c r="C712" s="50" t="s">
        <v>3038</v>
      </c>
      <c r="D712" s="83" t="s">
        <v>910</v>
      </c>
      <c r="E712" s="74" t="s">
        <v>3039</v>
      </c>
      <c r="F712" s="86"/>
      <c r="G712" s="48" t="s">
        <v>3040</v>
      </c>
      <c r="H712" s="74"/>
      <c r="I712" s="50" t="s">
        <v>2</v>
      </c>
      <c r="J712" s="48" t="s">
        <v>3041</v>
      </c>
      <c r="K712" s="51">
        <v>41037</v>
      </c>
      <c r="L712" s="115">
        <v>41032</v>
      </c>
      <c r="M712" s="50">
        <f>K712-L712</f>
        <v>5</v>
      </c>
      <c r="N712" s="50" t="s">
        <v>2</v>
      </c>
      <c r="O712" s="131">
        <v>28.7</v>
      </c>
      <c r="P712" s="50">
        <v>5.5</v>
      </c>
      <c r="Q712" s="74">
        <v>6.3</v>
      </c>
      <c r="R712" s="50">
        <v>231</v>
      </c>
      <c r="S712" s="74">
        <v>160</v>
      </c>
      <c r="T712" s="50">
        <v>0.52</v>
      </c>
      <c r="U712" s="131">
        <v>2.4</v>
      </c>
      <c r="V712" s="50">
        <v>0.21</v>
      </c>
      <c r="W712" s="74">
        <f>0.02/2</f>
        <v>0.01</v>
      </c>
      <c r="X712" s="50">
        <f>0.05/2</f>
        <v>2.5000000000000001E-2</v>
      </c>
      <c r="Y712" s="74">
        <v>1.6E-2</v>
      </c>
      <c r="Z712" s="271">
        <v>1</v>
      </c>
      <c r="AA712" s="271">
        <v>1</v>
      </c>
      <c r="AB712" s="114">
        <v>2</v>
      </c>
      <c r="AC712" s="50">
        <v>48</v>
      </c>
      <c r="AD712" s="271">
        <v>1</v>
      </c>
      <c r="AE712" s="50"/>
      <c r="AF712" s="49"/>
      <c r="AG712" s="114"/>
      <c r="AH712" s="114"/>
      <c r="AI712" s="114"/>
      <c r="AJ712" s="114"/>
      <c r="AK712" s="114"/>
      <c r="AL712" s="114"/>
      <c r="AM712" s="114"/>
      <c r="AN712" s="114"/>
      <c r="AO712" s="114"/>
      <c r="AP712" s="114"/>
      <c r="AQ712" s="114"/>
      <c r="AR712" s="114"/>
      <c r="AS712" s="50"/>
      <c r="AT712" s="74"/>
      <c r="AU712" s="114"/>
      <c r="AV712" s="114"/>
      <c r="AW712" s="50"/>
    </row>
    <row r="713" spans="1:79" s="6" customFormat="1" ht="15" customHeight="1">
      <c r="A713" s="53" t="s">
        <v>36</v>
      </c>
      <c r="B713" s="50" t="s">
        <v>3037</v>
      </c>
      <c r="C713" s="50" t="s">
        <v>3038</v>
      </c>
      <c r="D713" s="83" t="s">
        <v>910</v>
      </c>
      <c r="E713" s="74" t="s">
        <v>3039</v>
      </c>
      <c r="F713" s="86"/>
      <c r="G713" s="48" t="s">
        <v>3040</v>
      </c>
      <c r="H713" s="74"/>
      <c r="I713" s="50" t="s">
        <v>2</v>
      </c>
      <c r="J713" s="48" t="s">
        <v>3042</v>
      </c>
      <c r="K713" s="51">
        <v>41037</v>
      </c>
      <c r="L713" s="115">
        <v>41032</v>
      </c>
      <c r="M713" s="50">
        <f>K713-L713</f>
        <v>5</v>
      </c>
      <c r="N713" s="50" t="s">
        <v>2</v>
      </c>
      <c r="O713" s="131">
        <v>9.5</v>
      </c>
      <c r="P713" s="50">
        <v>5.5</v>
      </c>
      <c r="Q713" s="74">
        <v>6.2</v>
      </c>
      <c r="R713" s="50">
        <v>139</v>
      </c>
      <c r="S713" s="74">
        <v>77</v>
      </c>
      <c r="T713" s="50">
        <v>0.37</v>
      </c>
      <c r="U713" s="131">
        <v>1.4</v>
      </c>
      <c r="V713" s="50">
        <v>0.42</v>
      </c>
      <c r="W713" s="74">
        <f>0.02/2</f>
        <v>0.01</v>
      </c>
      <c r="X713" s="50">
        <f>0.05/2</f>
        <v>2.5000000000000001E-2</v>
      </c>
      <c r="Y713" s="74">
        <v>6.0000000000000001E-3</v>
      </c>
      <c r="Z713" s="271">
        <v>1</v>
      </c>
      <c r="AA713" s="271">
        <v>1</v>
      </c>
      <c r="AB713" s="114">
        <v>12</v>
      </c>
      <c r="AC713" s="50">
        <v>157</v>
      </c>
      <c r="AD713" s="271">
        <v>1</v>
      </c>
      <c r="AE713" s="50"/>
      <c r="AF713" s="49"/>
      <c r="AG713" s="114"/>
      <c r="AH713" s="114"/>
      <c r="AI713" s="114"/>
      <c r="AJ713" s="114"/>
      <c r="AK713" s="114"/>
      <c r="AL713" s="114"/>
      <c r="AM713" s="114"/>
      <c r="AN713" s="114"/>
      <c r="AO713" s="114"/>
      <c r="AP713" s="114"/>
      <c r="AQ713" s="114"/>
      <c r="AR713" s="114"/>
      <c r="AS713" s="50"/>
      <c r="AT713" s="74"/>
      <c r="AU713" s="114"/>
      <c r="AV713" s="114"/>
      <c r="AW713" s="50"/>
    </row>
    <row r="714" spans="1:79" s="6" customFormat="1" ht="15" customHeight="1">
      <c r="A714" s="53" t="s">
        <v>36</v>
      </c>
      <c r="B714" s="50" t="s">
        <v>3037</v>
      </c>
      <c r="C714" s="50" t="s">
        <v>3038</v>
      </c>
      <c r="D714" s="83" t="s">
        <v>910</v>
      </c>
      <c r="E714" s="74" t="s">
        <v>3039</v>
      </c>
      <c r="F714" s="86"/>
      <c r="G714" s="48" t="s">
        <v>3040</v>
      </c>
      <c r="H714" s="74"/>
      <c r="I714" s="50" t="s">
        <v>2</v>
      </c>
      <c r="J714" s="48" t="s">
        <v>3043</v>
      </c>
      <c r="K714" s="51">
        <v>41037</v>
      </c>
      <c r="L714" s="115">
        <v>41032</v>
      </c>
      <c r="M714" s="50">
        <f>K714-L714</f>
        <v>5</v>
      </c>
      <c r="N714" s="50" t="s">
        <v>2</v>
      </c>
      <c r="O714" s="131">
        <v>7.7</v>
      </c>
      <c r="P714" s="50">
        <v>5.5</v>
      </c>
      <c r="Q714" s="74">
        <v>5.9</v>
      </c>
      <c r="R714" s="50">
        <v>118</v>
      </c>
      <c r="S714" s="74">
        <v>25</v>
      </c>
      <c r="T714" s="50">
        <v>0.54</v>
      </c>
      <c r="U714" s="131">
        <v>2.6</v>
      </c>
      <c r="V714" s="50">
        <v>0.27</v>
      </c>
      <c r="W714" s="74">
        <f>0.02/2</f>
        <v>0.01</v>
      </c>
      <c r="X714" s="50">
        <f>0.05/2</f>
        <v>2.5000000000000001E-2</v>
      </c>
      <c r="Y714" s="74">
        <v>4.0000000000000001E-3</v>
      </c>
      <c r="Z714" s="271">
        <v>1</v>
      </c>
      <c r="AA714" s="271">
        <v>1</v>
      </c>
      <c r="AB714" s="114">
        <v>12</v>
      </c>
      <c r="AC714" s="50">
        <v>155</v>
      </c>
      <c r="AD714" s="271">
        <v>1</v>
      </c>
      <c r="AE714" s="50"/>
      <c r="AF714" s="49"/>
      <c r="AG714" s="114"/>
      <c r="AH714" s="114"/>
      <c r="AI714" s="114"/>
      <c r="AJ714" s="114"/>
      <c r="AK714" s="114"/>
      <c r="AL714" s="114"/>
      <c r="AM714" s="114"/>
      <c r="AN714" s="114"/>
      <c r="AO714" s="114"/>
      <c r="AP714" s="114"/>
      <c r="AQ714" s="114"/>
      <c r="AR714" s="114"/>
      <c r="AS714" s="50"/>
      <c r="AT714" s="74"/>
      <c r="AU714" s="114"/>
      <c r="AV714" s="114"/>
      <c r="AW714" s="50"/>
    </row>
    <row r="715" spans="1:79" ht="14">
      <c r="A715" s="404" t="s">
        <v>36</v>
      </c>
      <c r="B715" s="402" t="s">
        <v>2814</v>
      </c>
      <c r="C715" s="402" t="s">
        <v>2815</v>
      </c>
      <c r="D715" s="401" t="s">
        <v>251</v>
      </c>
      <c r="E715" s="402" t="s">
        <v>252</v>
      </c>
      <c r="F715" s="402" t="s">
        <v>2816</v>
      </c>
      <c r="G715" s="393" t="s">
        <v>2817</v>
      </c>
      <c r="H715" s="402">
        <v>9199</v>
      </c>
      <c r="I715" s="391" t="s">
        <v>1</v>
      </c>
      <c r="J715" s="402" t="s">
        <v>2818</v>
      </c>
      <c r="K715" s="403">
        <v>41795</v>
      </c>
      <c r="L715" s="379">
        <v>41789</v>
      </c>
      <c r="M715" s="402"/>
      <c r="N715" s="402" t="s">
        <v>2</v>
      </c>
      <c r="O715" s="404">
        <f>5/2</f>
        <v>2.5</v>
      </c>
      <c r="P715" s="380">
        <v>6.7</v>
      </c>
      <c r="Q715" s="395">
        <v>6.6</v>
      </c>
      <c r="R715" s="402">
        <v>120</v>
      </c>
      <c r="S715" s="404">
        <v>460</v>
      </c>
      <c r="T715" s="402">
        <v>0.27</v>
      </c>
      <c r="U715" s="404">
        <v>1.5</v>
      </c>
      <c r="V715" s="402">
        <v>0.52</v>
      </c>
      <c r="W715" s="404">
        <v>7.8E-2</v>
      </c>
      <c r="X715" s="402">
        <v>0.23</v>
      </c>
      <c r="Y715" s="404">
        <v>0.05</v>
      </c>
      <c r="Z715" s="396">
        <v>1</v>
      </c>
      <c r="AA715" s="397">
        <v>1</v>
      </c>
      <c r="AB715" s="402">
        <v>40</v>
      </c>
      <c r="AC715" s="404">
        <v>412</v>
      </c>
      <c r="AD715" s="396">
        <v>1</v>
      </c>
      <c r="AE715" s="402">
        <v>81</v>
      </c>
      <c r="AF715" s="402">
        <f>0.05/2</f>
        <v>2.5000000000000001E-2</v>
      </c>
      <c r="AG715" s="404"/>
      <c r="AH715" s="404">
        <v>150</v>
      </c>
      <c r="AI715" s="113"/>
      <c r="AJ715" s="50"/>
      <c r="AK715" s="74"/>
      <c r="AL715" s="74"/>
      <c r="AM715" s="74"/>
      <c r="AN715" s="74"/>
      <c r="AO715" s="74"/>
      <c r="AP715" s="74"/>
      <c r="AQ715" s="74"/>
      <c r="AR715" s="74"/>
      <c r="AS715" s="74"/>
      <c r="AT715" s="74"/>
    </row>
    <row r="716" spans="1:79" ht="14">
      <c r="A716" s="404" t="s">
        <v>36</v>
      </c>
      <c r="B716" s="402" t="s">
        <v>2814</v>
      </c>
      <c r="C716" s="402" t="s">
        <v>2815</v>
      </c>
      <c r="D716" s="401" t="s">
        <v>251</v>
      </c>
      <c r="E716" s="402" t="s">
        <v>252</v>
      </c>
      <c r="F716" s="402" t="s">
        <v>2816</v>
      </c>
      <c r="G716" s="393" t="s">
        <v>2817</v>
      </c>
      <c r="H716" s="402">
        <v>9199</v>
      </c>
      <c r="I716" s="391" t="s">
        <v>1</v>
      </c>
      <c r="J716" s="402" t="s">
        <v>2819</v>
      </c>
      <c r="K716" s="403">
        <v>41795</v>
      </c>
      <c r="L716" s="379">
        <v>41789</v>
      </c>
      <c r="M716" s="402"/>
      <c r="N716" s="402" t="s">
        <v>2</v>
      </c>
      <c r="O716" s="404">
        <f>5/2</f>
        <v>2.5</v>
      </c>
      <c r="P716" s="380">
        <v>6.7</v>
      </c>
      <c r="Q716" s="395">
        <v>6.4</v>
      </c>
      <c r="R716" s="402">
        <v>190</v>
      </c>
      <c r="S716" s="404">
        <v>220</v>
      </c>
      <c r="T716" s="402">
        <v>1.3</v>
      </c>
      <c r="U716" s="404">
        <v>4.4000000000000004</v>
      </c>
      <c r="V716" s="402">
        <f>0.1/2</f>
        <v>0.05</v>
      </c>
      <c r="W716" s="404">
        <f>0.04/2</f>
        <v>0.02</v>
      </c>
      <c r="X716" s="402">
        <v>9.2999999999999999E-2</v>
      </c>
      <c r="Y716" s="404">
        <v>1.2999999999999999E-2</v>
      </c>
      <c r="Z716" s="396">
        <v>1</v>
      </c>
      <c r="AA716" s="397">
        <v>1</v>
      </c>
      <c r="AB716" s="402">
        <v>79</v>
      </c>
      <c r="AC716" s="404">
        <v>613</v>
      </c>
      <c r="AD716" s="396">
        <v>1</v>
      </c>
      <c r="AE716" s="402">
        <v>120</v>
      </c>
      <c r="AF716" s="402">
        <f>0.05/2</f>
        <v>2.5000000000000001E-2</v>
      </c>
      <c r="AG716" s="404"/>
      <c r="AH716" s="404">
        <v>1100</v>
      </c>
      <c r="AI716" s="113"/>
      <c r="AJ716" s="50"/>
      <c r="AK716" s="74"/>
      <c r="AL716" s="74"/>
      <c r="AM716" s="74"/>
      <c r="AN716" s="74"/>
      <c r="AO716" s="74"/>
      <c r="AP716" s="74"/>
      <c r="AQ716" s="74"/>
      <c r="AR716" s="74"/>
      <c r="AS716" s="74"/>
      <c r="AT716" s="74"/>
    </row>
    <row r="717" spans="1:79" ht="14">
      <c r="A717" s="53" t="s">
        <v>36</v>
      </c>
      <c r="B717" s="386" t="s">
        <v>387</v>
      </c>
      <c r="C717" s="386" t="s">
        <v>393</v>
      </c>
      <c r="D717" s="389" t="s">
        <v>389</v>
      </c>
      <c r="E717" s="387" t="s">
        <v>112</v>
      </c>
      <c r="F717" s="386"/>
      <c r="G717" s="56" t="s">
        <v>394</v>
      </c>
      <c r="H717" s="402"/>
      <c r="I717" s="386" t="s">
        <v>2</v>
      </c>
      <c r="J717" s="392" t="s">
        <v>395</v>
      </c>
      <c r="K717" s="57">
        <v>40857</v>
      </c>
      <c r="L717" s="132">
        <v>40845</v>
      </c>
      <c r="M717" s="386">
        <v>12</v>
      </c>
      <c r="N717" s="386" t="s">
        <v>2</v>
      </c>
      <c r="O717" s="135">
        <v>0.5</v>
      </c>
      <c r="P717" s="134">
        <v>6.11</v>
      </c>
      <c r="Q717" s="135">
        <v>6.67</v>
      </c>
      <c r="R717" s="136">
        <v>15</v>
      </c>
      <c r="S717" s="137">
        <v>47</v>
      </c>
      <c r="T717" s="134">
        <v>0.17</v>
      </c>
      <c r="U717" s="135">
        <v>2.2999999999999998</v>
      </c>
      <c r="V717" s="386">
        <v>0.34</v>
      </c>
      <c r="W717" s="155">
        <v>2.5000000000000001E-3</v>
      </c>
      <c r="X717" s="386">
        <v>0.03</v>
      </c>
      <c r="Y717" s="155">
        <v>2.1999999999999999E-2</v>
      </c>
      <c r="Z717" s="312">
        <v>1</v>
      </c>
      <c r="AA717" s="312">
        <v>1</v>
      </c>
      <c r="AB717" s="351">
        <v>35.69</v>
      </c>
      <c r="AC717" s="142">
        <v>77</v>
      </c>
      <c r="AD717" s="312">
        <v>1</v>
      </c>
      <c r="AG717" s="74"/>
      <c r="AH717" s="74"/>
      <c r="AI717" s="113"/>
      <c r="AJ717" s="50"/>
      <c r="AK717" s="74"/>
      <c r="AL717" s="74"/>
      <c r="AM717" s="74"/>
      <c r="AN717" s="74"/>
      <c r="AO717" s="74"/>
      <c r="AP717" s="74"/>
      <c r="AQ717" s="74"/>
      <c r="AR717" s="74"/>
      <c r="AS717" s="74"/>
      <c r="AT717" s="74"/>
    </row>
    <row r="718" spans="1:79" ht="14">
      <c r="A718" s="53" t="s">
        <v>36</v>
      </c>
      <c r="B718" s="402" t="s">
        <v>387</v>
      </c>
      <c r="C718" s="402"/>
      <c r="D718" s="405" t="s">
        <v>389</v>
      </c>
      <c r="E718" s="404"/>
      <c r="F718" s="402"/>
      <c r="G718" s="401" t="s">
        <v>394</v>
      </c>
      <c r="H718" s="404"/>
      <c r="I718" s="402"/>
      <c r="J718" s="401" t="s">
        <v>395</v>
      </c>
      <c r="K718" s="403">
        <v>41030</v>
      </c>
      <c r="L718" s="379">
        <v>41021</v>
      </c>
      <c r="M718" s="402">
        <v>9</v>
      </c>
      <c r="N718" s="402" t="s">
        <v>2</v>
      </c>
      <c r="O718" s="395">
        <v>0.5</v>
      </c>
      <c r="P718" s="402">
        <v>6.13</v>
      </c>
      <c r="Q718" s="404">
        <v>6.36</v>
      </c>
      <c r="R718" s="402">
        <v>92.1</v>
      </c>
      <c r="S718" s="404">
        <v>288</v>
      </c>
      <c r="T718" s="402">
        <v>0.69</v>
      </c>
      <c r="U718" s="395">
        <v>2.74</v>
      </c>
      <c r="V718" s="402">
        <v>0.18</v>
      </c>
      <c r="W718" s="404">
        <v>2.5000000000000001E-2</v>
      </c>
      <c r="X718" s="402">
        <v>6.4000000000000001E-2</v>
      </c>
      <c r="Y718" s="404">
        <v>8.9999999999999993E-3</v>
      </c>
      <c r="Z718" s="399"/>
      <c r="AA718" s="399"/>
      <c r="AB718" s="394"/>
      <c r="AC718" s="402"/>
      <c r="AD718" s="399"/>
      <c r="AG718" s="74"/>
      <c r="AH718" s="74"/>
      <c r="AI718" s="113"/>
      <c r="AJ718" s="50"/>
      <c r="AK718" s="74"/>
      <c r="AL718" s="74"/>
      <c r="AM718" s="74"/>
      <c r="AN718" s="74"/>
      <c r="AO718" s="74"/>
      <c r="AP718" s="74"/>
      <c r="AQ718" s="74"/>
      <c r="AR718" s="74"/>
      <c r="AS718" s="74"/>
      <c r="AT718" s="74"/>
    </row>
    <row r="719" spans="1:79" ht="15" customHeight="1">
      <c r="A719" s="74" t="s">
        <v>36</v>
      </c>
      <c r="B719" s="402" t="s">
        <v>4563</v>
      </c>
      <c r="C719" s="113"/>
      <c r="D719" s="393" t="s">
        <v>1846</v>
      </c>
      <c r="E719" s="394"/>
      <c r="F719" s="402"/>
      <c r="G719" s="405" t="s">
        <v>4564</v>
      </c>
      <c r="H719" s="74"/>
      <c r="I719" s="50"/>
      <c r="J719" s="339" t="s">
        <v>3914</v>
      </c>
      <c r="K719" s="51">
        <v>40835</v>
      </c>
      <c r="L719" s="173">
        <v>40830</v>
      </c>
      <c r="M719" s="50">
        <f>K719-L719</f>
        <v>5</v>
      </c>
      <c r="O719" s="74">
        <f>2/2</f>
        <v>1</v>
      </c>
      <c r="P719" s="50">
        <v>5</v>
      </c>
      <c r="Q719" s="74">
        <v>6.4</v>
      </c>
      <c r="R719" s="50">
        <v>39</v>
      </c>
      <c r="S719" s="74">
        <v>45</v>
      </c>
      <c r="T719" s="50">
        <v>0.2</v>
      </c>
      <c r="U719" s="131">
        <v>0.82</v>
      </c>
      <c r="V719" s="50">
        <v>0.11</v>
      </c>
      <c r="W719" s="74">
        <v>0.04</v>
      </c>
      <c r="X719" s="50">
        <v>6.5000000000000002E-2</v>
      </c>
      <c r="Y719" s="74">
        <v>4.2999999999999997E-2</v>
      </c>
      <c r="Z719" s="271">
        <v>0.752</v>
      </c>
      <c r="AA719" s="271">
        <v>0.70699999999999996</v>
      </c>
      <c r="AB719" s="114">
        <v>4</v>
      </c>
      <c r="AC719" s="50">
        <v>15</v>
      </c>
      <c r="AD719" s="271">
        <v>0</v>
      </c>
      <c r="AF719" s="49"/>
      <c r="AG719" s="114"/>
      <c r="AH719" s="114"/>
      <c r="AI719" s="114"/>
      <c r="AJ719" s="114"/>
      <c r="AK719" s="114"/>
      <c r="AL719" s="114"/>
      <c r="AM719" s="114"/>
      <c r="AN719" s="114"/>
      <c r="AO719" s="114"/>
      <c r="AP719" s="114"/>
      <c r="AQ719" s="114"/>
      <c r="AR719" s="114"/>
      <c r="AS719" s="50"/>
      <c r="AT719" s="74"/>
      <c r="AU719" s="114"/>
      <c r="AV719" s="114"/>
      <c r="AW719" s="50"/>
    </row>
    <row r="720" spans="1:79" ht="14">
      <c r="A720" s="41" t="s">
        <v>36</v>
      </c>
      <c r="B720" s="402" t="s">
        <v>4040</v>
      </c>
      <c r="C720" s="113" t="s">
        <v>2970</v>
      </c>
      <c r="D720" s="393" t="s">
        <v>314</v>
      </c>
      <c r="E720" s="394" t="s">
        <v>2971</v>
      </c>
      <c r="F720" s="402">
        <v>4504</v>
      </c>
      <c r="G720" s="405" t="s">
        <v>2972</v>
      </c>
      <c r="H720" s="404">
        <v>9199</v>
      </c>
      <c r="I720" s="402"/>
      <c r="J720" s="406" t="s">
        <v>510</v>
      </c>
      <c r="K720" s="403">
        <v>41345</v>
      </c>
      <c r="L720" s="379">
        <v>41341</v>
      </c>
      <c r="M720" s="402">
        <v>4</v>
      </c>
      <c r="N720" s="402" t="s">
        <v>2</v>
      </c>
      <c r="O720" s="404">
        <v>1</v>
      </c>
      <c r="P720" s="402">
        <v>6.5</v>
      </c>
      <c r="Q720" s="404">
        <v>6.6</v>
      </c>
      <c r="R720" s="402">
        <v>5</v>
      </c>
      <c r="S720" s="404">
        <v>61</v>
      </c>
      <c r="T720" s="402">
        <v>0.16</v>
      </c>
      <c r="U720" s="395">
        <v>0.28999999999999998</v>
      </c>
      <c r="V720" s="402">
        <v>0.17</v>
      </c>
      <c r="W720" s="404">
        <v>1.7999999999999999E-2</v>
      </c>
      <c r="X720" s="402">
        <v>9.5000000000000001E-2</v>
      </c>
      <c r="Y720" s="404">
        <v>1.4999999999999999E-2</v>
      </c>
      <c r="Z720" s="399"/>
      <c r="AA720" s="399"/>
      <c r="AB720" s="394"/>
      <c r="AC720" s="402"/>
      <c r="AD720" s="399"/>
      <c r="AE720" s="394">
        <v>381</v>
      </c>
      <c r="AF720" s="402">
        <v>2.5000000000000001E-2</v>
      </c>
      <c r="AG720" s="394"/>
      <c r="AH720" s="394"/>
      <c r="AI720" s="394"/>
      <c r="AJ720" s="394"/>
      <c r="AK720" s="394"/>
      <c r="AL720" s="394"/>
      <c r="AM720" s="394"/>
      <c r="AN720" s="394"/>
      <c r="AO720" s="394"/>
      <c r="AP720" s="394"/>
      <c r="AQ720" s="394"/>
      <c r="AR720" s="74"/>
      <c r="AS720" s="74"/>
      <c r="AT720" s="74"/>
    </row>
    <row r="721" spans="1:46" ht="14">
      <c r="A721" s="404" t="s">
        <v>36</v>
      </c>
      <c r="B721" s="402" t="s">
        <v>4040</v>
      </c>
      <c r="C721" s="113" t="s">
        <v>2970</v>
      </c>
      <c r="D721" s="393" t="s">
        <v>314</v>
      </c>
      <c r="E721" s="394" t="s">
        <v>2971</v>
      </c>
      <c r="F721" s="402">
        <v>4504</v>
      </c>
      <c r="G721" s="405" t="s">
        <v>2972</v>
      </c>
      <c r="H721" s="404">
        <v>9199</v>
      </c>
      <c r="I721" s="402"/>
      <c r="J721" s="406" t="s">
        <v>460</v>
      </c>
      <c r="K721" s="403">
        <v>41345</v>
      </c>
      <c r="L721" s="379">
        <v>41341</v>
      </c>
      <c r="M721" s="402">
        <v>4</v>
      </c>
      <c r="N721" s="402" t="s">
        <v>2</v>
      </c>
      <c r="O721" s="404">
        <v>1</v>
      </c>
      <c r="P721" s="402">
        <v>6.5</v>
      </c>
      <c r="Q721" s="404">
        <v>7.5</v>
      </c>
      <c r="R721" s="402">
        <v>5</v>
      </c>
      <c r="S721" s="404">
        <v>286</v>
      </c>
      <c r="T721" s="402">
        <v>0.76</v>
      </c>
      <c r="U721" s="395">
        <v>0.91</v>
      </c>
      <c r="V721" s="402">
        <v>0.17</v>
      </c>
      <c r="W721" s="404">
        <v>4.7E-2</v>
      </c>
      <c r="X721" s="402">
        <v>0.112</v>
      </c>
      <c r="Y721" s="404">
        <v>7.5999999999999998E-2</v>
      </c>
      <c r="Z721" s="399"/>
      <c r="AA721" s="399"/>
      <c r="AB721" s="394"/>
      <c r="AC721" s="402"/>
      <c r="AD721" s="399"/>
      <c r="AE721" s="394"/>
      <c r="AF721" s="402"/>
      <c r="AG721" s="394"/>
      <c r="AH721" s="394"/>
      <c r="AI721" s="394"/>
      <c r="AJ721" s="394"/>
      <c r="AK721" s="394"/>
      <c r="AL721" s="394"/>
      <c r="AM721" s="394"/>
      <c r="AN721" s="394"/>
      <c r="AO721" s="394"/>
      <c r="AP721" s="394"/>
      <c r="AQ721" s="394"/>
      <c r="AR721" s="74"/>
      <c r="AS721" s="74"/>
      <c r="AT721" s="74"/>
    </row>
    <row r="722" spans="1:46" ht="14">
      <c r="A722" s="41" t="s">
        <v>36</v>
      </c>
      <c r="B722" s="402" t="s">
        <v>4040</v>
      </c>
      <c r="C722" s="113" t="s">
        <v>2970</v>
      </c>
      <c r="D722" s="393" t="s">
        <v>314</v>
      </c>
      <c r="E722" s="394" t="s">
        <v>2971</v>
      </c>
      <c r="F722" s="402">
        <v>4504</v>
      </c>
      <c r="G722" s="405" t="s">
        <v>2972</v>
      </c>
      <c r="H722" s="404">
        <v>9199</v>
      </c>
      <c r="I722" s="402"/>
      <c r="J722" s="406" t="s">
        <v>510</v>
      </c>
      <c r="K722" s="403">
        <v>41432</v>
      </c>
      <c r="L722" s="379">
        <v>41428</v>
      </c>
      <c r="M722" s="402">
        <v>4</v>
      </c>
      <c r="N722" s="402" t="s">
        <v>2</v>
      </c>
      <c r="O722" s="404">
        <v>1</v>
      </c>
      <c r="P722" s="402">
        <v>6.5</v>
      </c>
      <c r="Q722" s="404">
        <v>7</v>
      </c>
      <c r="R722" s="402">
        <v>5</v>
      </c>
      <c r="S722" s="404">
        <v>52</v>
      </c>
      <c r="T722" s="402">
        <v>0.14000000000000001</v>
      </c>
      <c r="U722" s="395">
        <v>0.64</v>
      </c>
      <c r="V722" s="402">
        <v>0.05</v>
      </c>
      <c r="W722" s="404">
        <v>0.01</v>
      </c>
      <c r="X722" s="402">
        <v>5.8000000000000003E-2</v>
      </c>
      <c r="Y722" s="404">
        <v>1.4999999999999999E-2</v>
      </c>
      <c r="Z722" s="399"/>
      <c r="AA722" s="399"/>
      <c r="AB722" s="394"/>
      <c r="AC722" s="402"/>
      <c r="AD722" s="399"/>
      <c r="AE722" s="394">
        <v>4.3</v>
      </c>
      <c r="AF722" s="402">
        <v>2.5000000000000001E-2</v>
      </c>
      <c r="AG722" s="394"/>
      <c r="AH722" s="394"/>
      <c r="AI722" s="394"/>
      <c r="AJ722" s="394"/>
      <c r="AK722" s="394"/>
      <c r="AL722" s="394"/>
      <c r="AM722" s="394"/>
      <c r="AN722" s="394"/>
      <c r="AO722" s="394"/>
      <c r="AP722" s="394"/>
      <c r="AQ722" s="394"/>
      <c r="AR722" s="74"/>
      <c r="AS722" s="74"/>
      <c r="AT722" s="74"/>
    </row>
    <row r="723" spans="1:46" ht="14">
      <c r="A723" s="41" t="s">
        <v>36</v>
      </c>
      <c r="B723" s="402" t="s">
        <v>4040</v>
      </c>
      <c r="C723" s="113" t="s">
        <v>2970</v>
      </c>
      <c r="D723" s="393" t="s">
        <v>314</v>
      </c>
      <c r="E723" s="394" t="s">
        <v>2971</v>
      </c>
      <c r="F723" s="402">
        <v>4504</v>
      </c>
      <c r="G723" s="405" t="s">
        <v>2972</v>
      </c>
      <c r="H723" s="404">
        <v>9199</v>
      </c>
      <c r="I723" s="402"/>
      <c r="J723" s="406" t="s">
        <v>460</v>
      </c>
      <c r="K723" s="403">
        <v>41432</v>
      </c>
      <c r="L723" s="379">
        <v>41428</v>
      </c>
      <c r="M723" s="402">
        <v>4</v>
      </c>
      <c r="N723" s="402" t="s">
        <v>2</v>
      </c>
      <c r="O723" s="404">
        <v>1</v>
      </c>
      <c r="P723" s="402">
        <v>6.5</v>
      </c>
      <c r="Q723" s="404">
        <v>7.8</v>
      </c>
      <c r="R723" s="402">
        <v>68</v>
      </c>
      <c r="S723" s="404">
        <v>157</v>
      </c>
      <c r="T723" s="402">
        <v>0.56000000000000005</v>
      </c>
      <c r="U723" s="395">
        <v>1.54</v>
      </c>
      <c r="V723" s="402">
        <v>0.4</v>
      </c>
      <c r="W723" s="404">
        <v>2.8000000000000001E-2</v>
      </c>
      <c r="X723" s="402">
        <v>8.2000000000000003E-2</v>
      </c>
      <c r="Y723" s="404">
        <v>1.4999999999999999E-2</v>
      </c>
      <c r="Z723" s="399"/>
      <c r="AA723" s="399"/>
      <c r="AB723" s="394"/>
      <c r="AC723" s="402"/>
      <c r="AD723" s="399"/>
      <c r="AE723" s="394">
        <v>59.9</v>
      </c>
      <c r="AF723" s="402">
        <v>2.5000000000000001E-2</v>
      </c>
      <c r="AG723" s="394"/>
      <c r="AH723" s="394"/>
      <c r="AI723" s="394"/>
      <c r="AJ723" s="394"/>
      <c r="AK723" s="394"/>
      <c r="AL723" s="394"/>
      <c r="AM723" s="394"/>
      <c r="AN723" s="394"/>
      <c r="AO723" s="394"/>
      <c r="AP723" s="394"/>
      <c r="AQ723" s="394"/>
      <c r="AR723" s="74"/>
      <c r="AS723" s="74"/>
      <c r="AT723" s="74"/>
    </row>
    <row r="724" spans="1:46" ht="14">
      <c r="A724" s="53" t="s">
        <v>36</v>
      </c>
      <c r="B724" s="385" t="s">
        <v>3442</v>
      </c>
      <c r="C724" s="18" t="s">
        <v>3443</v>
      </c>
      <c r="D724" s="377" t="s">
        <v>818</v>
      </c>
      <c r="E724" s="20" t="s">
        <v>3444</v>
      </c>
      <c r="F724" s="385"/>
      <c r="G724" s="390" t="s">
        <v>3445</v>
      </c>
      <c r="H724" s="384"/>
      <c r="I724" s="385" t="s">
        <v>2</v>
      </c>
      <c r="J724" s="344" t="s">
        <v>3443</v>
      </c>
      <c r="K724" s="16">
        <v>41345</v>
      </c>
      <c r="L724" s="17">
        <v>41339</v>
      </c>
      <c r="M724" s="402">
        <v>6</v>
      </c>
      <c r="N724" s="385" t="s">
        <v>2</v>
      </c>
      <c r="O724" s="384">
        <f>5/2</f>
        <v>2.5</v>
      </c>
      <c r="P724" s="385">
        <v>4.5</v>
      </c>
      <c r="Q724" s="384">
        <v>6.5</v>
      </c>
      <c r="R724" s="385">
        <v>141</v>
      </c>
      <c r="S724" s="384">
        <v>128</v>
      </c>
      <c r="T724" s="385">
        <v>0.13</v>
      </c>
      <c r="U724" s="8">
        <v>1.1000000000000001</v>
      </c>
      <c r="V724" s="385">
        <v>0.95</v>
      </c>
      <c r="W724" s="384">
        <v>0.02</v>
      </c>
      <c r="X724" s="385">
        <v>0.09</v>
      </c>
      <c r="Y724" s="384">
        <v>0.01</v>
      </c>
      <c r="Z724" s="323">
        <v>0.70699999999999996</v>
      </c>
      <c r="AA724" s="323">
        <v>0.26800000000000002</v>
      </c>
      <c r="AB724" s="20">
        <v>83.8</v>
      </c>
      <c r="AC724" s="385">
        <v>5650</v>
      </c>
      <c r="AD724" s="323">
        <v>0</v>
      </c>
      <c r="AG724" s="74"/>
      <c r="AH724" s="74"/>
      <c r="AI724" s="113"/>
      <c r="AJ724" s="50"/>
      <c r="AK724" s="74"/>
      <c r="AL724" s="74"/>
      <c r="AM724" s="74"/>
      <c r="AN724" s="74"/>
      <c r="AO724" s="74"/>
      <c r="AP724" s="74"/>
      <c r="AQ724" s="74"/>
      <c r="AR724" s="74"/>
      <c r="AS724" s="74"/>
      <c r="AT724" s="74"/>
    </row>
  </sheetData>
  <autoFilter ref="A1:AT724"/>
  <sortState ref="K10124:K10128">
    <sortCondition ref="K10124:K10128"/>
  </sortState>
  <conditionalFormatting sqref="N438:O439 O440:P440 O440:O456 O700 O588:O591 O515:O516 O597:O599 O459:O476 O236:O437 O724 O637:O692 O616:O620 O2:O234">
    <cfRule type="cellIs" dxfId="822" priority="1750" stopIfTrue="1" operator="greaterThan">
      <formula>5</formula>
    </cfRule>
  </conditionalFormatting>
  <conditionalFormatting sqref="P438:Q439 Q440:R440 Q440:Q456 Q700 Q588:Q591 Q515:Q516 Q597:Q599 Q459:Q476 Q236:Q437 Q724 Q637:Q692 Q616:Q620 Q2:Q234">
    <cfRule type="cellIs" dxfId="821" priority="1740" stopIfTrue="1" operator="notBetween">
      <formula>5</formula>
      <formula>9</formula>
    </cfRule>
  </conditionalFormatting>
  <conditionalFormatting sqref="Q438:R439 R440:S440 R440:R456 R700 R588:R591 R515:R516 R597:R599 R459:R476 R236:R437 R724 R637:R692 R616:R620 R2:R234">
    <cfRule type="cellIs" dxfId="820" priority="1739" stopIfTrue="1" operator="greaterThan">
      <formula>75</formula>
    </cfRule>
  </conditionalFormatting>
  <conditionalFormatting sqref="S438:T439 T440:U440 T440:T456 T700 T588:T591 T515:T516 T597:T599 T459:T476 T236:T437 T724 T637:T692 T616:T620 T2:T234">
    <cfRule type="cellIs" dxfId="819" priority="1738" stopIfTrue="1" operator="greaterThan">
      <formula>0.4</formula>
    </cfRule>
  </conditionalFormatting>
  <conditionalFormatting sqref="T438:U439 U440:V440 U440:U456 U700 U588:U591 U515:U516 U597:U599 U459:U476 U236:U437 U724 U637:U692 U616:U620 U2:U234">
    <cfRule type="cellIs" dxfId="818" priority="1737" stopIfTrue="1" operator="greaterThan">
      <formula>2.3</formula>
    </cfRule>
  </conditionalFormatting>
  <conditionalFormatting sqref="U438:V439 V440:W440 V440:V456 V700 V588:V591 V515:V516 V597:V599 V459:V476 V236:V437 V724 V637:V692 V616:V620 V2:V234">
    <cfRule type="cellIs" dxfId="817" priority="1736" stopIfTrue="1" operator="greaterThan">
      <formula>1.1</formula>
    </cfRule>
  </conditionalFormatting>
  <conditionalFormatting sqref="V438:W439 W440:X440 W440:W456 W700 W588:W591 W515:W516 W597:W599 W459:W476 W236:W437 W724 W637:W692 W616:W620 W2:W234">
    <cfRule type="cellIs" dxfId="816" priority="1735" stopIfTrue="1" operator="greaterThan">
      <formula>0.059</formula>
    </cfRule>
  </conditionalFormatting>
  <conditionalFormatting sqref="W438:X439 X440:Y440 X440:X456 X700 X588:X591 X515:X516 X597:X599 X459:X476 X236:X437 X724 X637:X692 X616:X620 X2:X234">
    <cfRule type="cellIs" dxfId="815" priority="1734" stopIfTrue="1" operator="greaterThan">
      <formula>0.16</formula>
    </cfRule>
  </conditionalFormatting>
  <conditionalFormatting sqref="X438:Y439 Y440:Y456 Y700 Y588:Y591 Y515:Y516 Y597:Y599 Y459:Y476 Y236:Y437 Y724 Y637:Y692 Y616:Y620 Y2:Y234">
    <cfRule type="cellIs" dxfId="814" priority="1733" stopIfTrue="1" operator="greaterThan">
      <formula>0.076</formula>
    </cfRule>
  </conditionalFormatting>
  <conditionalFormatting sqref="R438:S439 S440:T440 S440:S456 S700 S588:S591 S515:S516 S597:S599 S459:S476 S236:S437 S637:S692 S616:S620 S2:S234">
    <cfRule type="cellIs" dxfId="813" priority="1732" operator="greaterThan">
      <formula>90</formula>
    </cfRule>
  </conditionalFormatting>
  <conditionalFormatting sqref="AE28">
    <cfRule type="cellIs" dxfId="812" priority="1621" operator="greaterThan">
      <formula>1</formula>
    </cfRule>
  </conditionalFormatting>
  <conditionalFormatting sqref="AF28">
    <cfRule type="cellIs" dxfId="811" priority="1620" operator="greaterThan">
      <formula>0.0014</formula>
    </cfRule>
  </conditionalFormatting>
  <conditionalFormatting sqref="AG28">
    <cfRule type="cellIs" dxfId="810" priority="1619" operator="greaterThan">
      <formula>0.75</formula>
    </cfRule>
  </conditionalFormatting>
  <conditionalFormatting sqref="O461">
    <cfRule type="cellIs" dxfId="809" priority="894" stopIfTrue="1" operator="greaterThan">
      <formula>5</formula>
    </cfRule>
  </conditionalFormatting>
  <conditionalFormatting sqref="Q461">
    <cfRule type="cellIs" dxfId="808" priority="893" stopIfTrue="1" operator="notBetween">
      <formula>5</formula>
      <formula>9</formula>
    </cfRule>
  </conditionalFormatting>
  <conditionalFormatting sqref="R461">
    <cfRule type="cellIs" dxfId="807" priority="892" stopIfTrue="1" operator="greaterThan">
      <formula>75</formula>
    </cfRule>
  </conditionalFormatting>
  <conditionalFormatting sqref="T461">
    <cfRule type="cellIs" dxfId="806" priority="891" stopIfTrue="1" operator="greaterThan">
      <formula>0.4</formula>
    </cfRule>
  </conditionalFormatting>
  <conditionalFormatting sqref="U461">
    <cfRule type="cellIs" dxfId="805" priority="890" stopIfTrue="1" operator="greaterThan">
      <formula>2.3</formula>
    </cfRule>
  </conditionalFormatting>
  <conditionalFormatting sqref="V461">
    <cfRule type="cellIs" dxfId="804" priority="889" stopIfTrue="1" operator="greaterThan">
      <formula>1.1</formula>
    </cfRule>
  </conditionalFormatting>
  <conditionalFormatting sqref="W461">
    <cfRule type="cellIs" dxfId="803" priority="888" stopIfTrue="1" operator="greaterThan">
      <formula>0.059</formula>
    </cfRule>
  </conditionalFormatting>
  <conditionalFormatting sqref="X461">
    <cfRule type="cellIs" dxfId="802" priority="887" stopIfTrue="1" operator="greaterThan">
      <formula>0.16</formula>
    </cfRule>
  </conditionalFormatting>
  <conditionalFormatting sqref="Y461">
    <cfRule type="cellIs" dxfId="801" priority="886" stopIfTrue="1" operator="greaterThan">
      <formula>0.076</formula>
    </cfRule>
  </conditionalFormatting>
  <conditionalFormatting sqref="S461">
    <cfRule type="cellIs" dxfId="800" priority="885" operator="greaterThan">
      <formula>90</formula>
    </cfRule>
  </conditionalFormatting>
  <conditionalFormatting sqref="O461:O463">
    <cfRule type="cellIs" dxfId="799" priority="884" stopIfTrue="1" operator="greaterThan">
      <formula>5</formula>
    </cfRule>
  </conditionalFormatting>
  <conditionalFormatting sqref="Q461:Q463">
    <cfRule type="cellIs" dxfId="798" priority="883" stopIfTrue="1" operator="notBetween">
      <formula>5</formula>
      <formula>9</formula>
    </cfRule>
  </conditionalFormatting>
  <conditionalFormatting sqref="R461:R463">
    <cfRule type="cellIs" dxfId="797" priority="882" stopIfTrue="1" operator="greaterThan">
      <formula>75</formula>
    </cfRule>
  </conditionalFormatting>
  <conditionalFormatting sqref="T461:T463">
    <cfRule type="cellIs" dxfId="796" priority="881" stopIfTrue="1" operator="greaterThan">
      <formula>0.4</formula>
    </cfRule>
  </conditionalFormatting>
  <conditionalFormatting sqref="U461:U463">
    <cfRule type="cellIs" dxfId="795" priority="880" stopIfTrue="1" operator="greaterThan">
      <formula>2.3</formula>
    </cfRule>
  </conditionalFormatting>
  <conditionalFormatting sqref="V461:V463">
    <cfRule type="cellIs" dxfId="794" priority="879" stopIfTrue="1" operator="greaterThan">
      <formula>1.1</formula>
    </cfRule>
  </conditionalFormatting>
  <conditionalFormatting sqref="W461:W463">
    <cfRule type="cellIs" dxfId="793" priority="878" stopIfTrue="1" operator="greaterThan">
      <formula>0.059</formula>
    </cfRule>
  </conditionalFormatting>
  <conditionalFormatting sqref="X461:X463">
    <cfRule type="cellIs" dxfId="792" priority="877" stopIfTrue="1" operator="greaterThan">
      <formula>0.16</formula>
    </cfRule>
  </conditionalFormatting>
  <conditionalFormatting sqref="Y461:Y463">
    <cfRule type="cellIs" dxfId="791" priority="876" stopIfTrue="1" operator="greaterThan">
      <formula>0.076</formula>
    </cfRule>
  </conditionalFormatting>
  <conditionalFormatting sqref="S461:S463">
    <cfRule type="cellIs" dxfId="790" priority="875" operator="greaterThan">
      <formula>90</formula>
    </cfRule>
  </conditionalFormatting>
  <conditionalFormatting sqref="O112:O113">
    <cfRule type="cellIs" dxfId="789" priority="864" stopIfTrue="1" operator="greaterThan">
      <formula>5</formula>
    </cfRule>
  </conditionalFormatting>
  <conditionalFormatting sqref="Q112:Q113">
    <cfRule type="cellIs" dxfId="788" priority="863" stopIfTrue="1" operator="notBetween">
      <formula>5</formula>
      <formula>9</formula>
    </cfRule>
  </conditionalFormatting>
  <conditionalFormatting sqref="R112:R113">
    <cfRule type="cellIs" dxfId="787" priority="862" stopIfTrue="1" operator="greaterThan">
      <formula>75</formula>
    </cfRule>
  </conditionalFormatting>
  <conditionalFormatting sqref="S112:S113 S724">
    <cfRule type="cellIs" dxfId="786" priority="861" stopIfTrue="1" operator="greaterThan">
      <formula>90</formula>
    </cfRule>
  </conditionalFormatting>
  <conditionalFormatting sqref="T112:T113">
    <cfRule type="cellIs" dxfId="785" priority="860" stopIfTrue="1" operator="greaterThan">
      <formula>0.4</formula>
    </cfRule>
  </conditionalFormatting>
  <conditionalFormatting sqref="U112:U113">
    <cfRule type="cellIs" dxfId="784" priority="859" stopIfTrue="1" operator="greaterThan">
      <formula>2.3</formula>
    </cfRule>
  </conditionalFormatting>
  <conditionalFormatting sqref="V112:V113">
    <cfRule type="cellIs" dxfId="783" priority="858" stopIfTrue="1" operator="greaterThan">
      <formula>1.1</formula>
    </cfRule>
  </conditionalFormatting>
  <conditionalFormatting sqref="W112:W113">
    <cfRule type="cellIs" dxfId="782" priority="857" stopIfTrue="1" operator="greaterThan">
      <formula>0.059</formula>
    </cfRule>
  </conditionalFormatting>
  <conditionalFormatting sqref="X112:X113">
    <cfRule type="cellIs" dxfId="781" priority="856" stopIfTrue="1" operator="greaterThan">
      <formula>0.16</formula>
    </cfRule>
  </conditionalFormatting>
  <conditionalFormatting sqref="Y112:Y113">
    <cfRule type="cellIs" dxfId="780" priority="855" stopIfTrue="1" operator="greaterThan">
      <formula>0.076</formula>
    </cfRule>
  </conditionalFormatting>
  <conditionalFormatting sqref="O477">
    <cfRule type="cellIs" dxfId="779" priority="850" stopIfTrue="1" operator="greaterThan">
      <formula>5</formula>
    </cfRule>
  </conditionalFormatting>
  <conditionalFormatting sqref="Q477">
    <cfRule type="cellIs" dxfId="778" priority="849" stopIfTrue="1" operator="notBetween">
      <formula>5</formula>
      <formula>9</formula>
    </cfRule>
  </conditionalFormatting>
  <conditionalFormatting sqref="R477">
    <cfRule type="cellIs" dxfId="777" priority="848" stopIfTrue="1" operator="greaterThan">
      <formula>75</formula>
    </cfRule>
  </conditionalFormatting>
  <conditionalFormatting sqref="T477">
    <cfRule type="cellIs" dxfId="776" priority="847" stopIfTrue="1" operator="greaterThan">
      <formula>0.4</formula>
    </cfRule>
  </conditionalFormatting>
  <conditionalFormatting sqref="U477">
    <cfRule type="cellIs" dxfId="775" priority="846" stopIfTrue="1" operator="greaterThan">
      <formula>2.3</formula>
    </cfRule>
  </conditionalFormatting>
  <conditionalFormatting sqref="V477">
    <cfRule type="cellIs" dxfId="774" priority="845" stopIfTrue="1" operator="greaterThan">
      <formula>1.1</formula>
    </cfRule>
  </conditionalFormatting>
  <conditionalFormatting sqref="W477">
    <cfRule type="cellIs" dxfId="773" priority="844" stopIfTrue="1" operator="greaterThan">
      <formula>0.059</formula>
    </cfRule>
  </conditionalFormatting>
  <conditionalFormatting sqref="X477">
    <cfRule type="cellIs" dxfId="772" priority="843" stopIfTrue="1" operator="greaterThan">
      <formula>0.16</formula>
    </cfRule>
  </conditionalFormatting>
  <conditionalFormatting sqref="Y477">
    <cfRule type="cellIs" dxfId="771" priority="842" stopIfTrue="1" operator="greaterThan">
      <formula>0.076</formula>
    </cfRule>
  </conditionalFormatting>
  <conditionalFormatting sqref="S477">
    <cfRule type="cellIs" dxfId="770" priority="841" operator="greaterThan">
      <formula>90</formula>
    </cfRule>
  </conditionalFormatting>
  <conditionalFormatting sqref="X502:X506">
    <cfRule type="cellIs" dxfId="769" priority="673" stopIfTrue="1" operator="greaterThan">
      <formula>0.16</formula>
    </cfRule>
  </conditionalFormatting>
  <conditionalFormatting sqref="O457:O458">
    <cfRule type="cellIs" dxfId="768" priority="800" stopIfTrue="1" operator="greaterThan">
      <formula>5</formula>
    </cfRule>
  </conditionalFormatting>
  <conditionalFormatting sqref="Q457:Q458">
    <cfRule type="cellIs" dxfId="767" priority="799" stopIfTrue="1" operator="notBetween">
      <formula>5</formula>
      <formula>9</formula>
    </cfRule>
  </conditionalFormatting>
  <conditionalFormatting sqref="R457:R458">
    <cfRule type="cellIs" dxfId="766" priority="798" stopIfTrue="1" operator="greaterThan">
      <formula>75</formula>
    </cfRule>
  </conditionalFormatting>
  <conditionalFormatting sqref="T457:T458">
    <cfRule type="cellIs" dxfId="765" priority="797" stopIfTrue="1" operator="greaterThan">
      <formula>0.4</formula>
    </cfRule>
  </conditionalFormatting>
  <conditionalFormatting sqref="U457:U458">
    <cfRule type="cellIs" dxfId="764" priority="796" stopIfTrue="1" operator="greaterThan">
      <formula>2.3</formula>
    </cfRule>
  </conditionalFormatting>
  <conditionalFormatting sqref="V457:V458">
    <cfRule type="cellIs" dxfId="763" priority="795" stopIfTrue="1" operator="greaterThan">
      <formula>1.1</formula>
    </cfRule>
  </conditionalFormatting>
  <conditionalFormatting sqref="W457:W458">
    <cfRule type="cellIs" dxfId="762" priority="794" stopIfTrue="1" operator="greaterThan">
      <formula>0.059</formula>
    </cfRule>
  </conditionalFormatting>
  <conditionalFormatting sqref="X457:X458">
    <cfRule type="cellIs" dxfId="761" priority="793" stopIfTrue="1" operator="greaterThan">
      <formula>0.16</formula>
    </cfRule>
  </conditionalFormatting>
  <conditionalFormatting sqref="Y457:Y458">
    <cfRule type="cellIs" dxfId="760" priority="792" stopIfTrue="1" operator="greaterThan">
      <formula>0.076</formula>
    </cfRule>
  </conditionalFormatting>
  <conditionalFormatting sqref="S457:S458">
    <cfRule type="cellIs" dxfId="759" priority="791" operator="greaterThan">
      <formula>90</formula>
    </cfRule>
  </conditionalFormatting>
  <conditionalFormatting sqref="O235">
    <cfRule type="cellIs" dxfId="758" priority="810" stopIfTrue="1" operator="greaterThan">
      <formula>5</formula>
    </cfRule>
  </conditionalFormatting>
  <conditionalFormatting sqref="Q235">
    <cfRule type="cellIs" dxfId="757" priority="809" stopIfTrue="1" operator="notBetween">
      <formula>5</formula>
      <formula>9</formula>
    </cfRule>
  </conditionalFormatting>
  <conditionalFormatting sqref="R235">
    <cfRule type="cellIs" dxfId="756" priority="808" stopIfTrue="1" operator="greaterThan">
      <formula>75</formula>
    </cfRule>
  </conditionalFormatting>
  <conditionalFormatting sqref="T235">
    <cfRule type="cellIs" dxfId="755" priority="807" stopIfTrue="1" operator="greaterThan">
      <formula>0.4</formula>
    </cfRule>
  </conditionalFormatting>
  <conditionalFormatting sqref="U235">
    <cfRule type="cellIs" dxfId="754" priority="806" stopIfTrue="1" operator="greaterThan">
      <formula>2.3</formula>
    </cfRule>
  </conditionalFormatting>
  <conditionalFormatting sqref="V235">
    <cfRule type="cellIs" dxfId="753" priority="805" stopIfTrue="1" operator="greaterThan">
      <formula>1.1</formula>
    </cfRule>
  </conditionalFormatting>
  <conditionalFormatting sqref="W235">
    <cfRule type="cellIs" dxfId="752" priority="804" stopIfTrue="1" operator="greaterThan">
      <formula>0.059</formula>
    </cfRule>
  </conditionalFormatting>
  <conditionalFormatting sqref="X235">
    <cfRule type="cellIs" dxfId="751" priority="803" stopIfTrue="1" operator="greaterThan">
      <formula>0.16</formula>
    </cfRule>
  </conditionalFormatting>
  <conditionalFormatting sqref="Y235">
    <cfRule type="cellIs" dxfId="750" priority="802" stopIfTrue="1" operator="greaterThan">
      <formula>0.076</formula>
    </cfRule>
  </conditionalFormatting>
  <conditionalFormatting sqref="S235">
    <cfRule type="cellIs" dxfId="749" priority="801" operator="greaterThan">
      <formula>90</formula>
    </cfRule>
  </conditionalFormatting>
  <conditionalFormatting sqref="O457:O458">
    <cfRule type="cellIs" dxfId="748" priority="790" stopIfTrue="1" operator="greaterThan">
      <formula>5</formula>
    </cfRule>
  </conditionalFormatting>
  <conditionalFormatting sqref="Q457:Q458">
    <cfRule type="cellIs" dxfId="747" priority="789" stopIfTrue="1" operator="notBetween">
      <formula>5</formula>
      <formula>9</formula>
    </cfRule>
  </conditionalFormatting>
  <conditionalFormatting sqref="R457:R458">
    <cfRule type="cellIs" dxfId="746" priority="788" stopIfTrue="1" operator="greaterThan">
      <formula>75</formula>
    </cfRule>
  </conditionalFormatting>
  <conditionalFormatting sqref="S457:S458">
    <cfRule type="cellIs" dxfId="745" priority="787" stopIfTrue="1" operator="greaterThan">
      <formula>90</formula>
    </cfRule>
  </conditionalFormatting>
  <conditionalFormatting sqref="T457:T458">
    <cfRule type="cellIs" dxfId="744" priority="786" stopIfTrue="1" operator="greaterThan">
      <formula>0.4</formula>
    </cfRule>
  </conditionalFormatting>
  <conditionalFormatting sqref="U457:U458">
    <cfRule type="cellIs" dxfId="743" priority="785" stopIfTrue="1" operator="greaterThan">
      <formula>2.3</formula>
    </cfRule>
  </conditionalFormatting>
  <conditionalFormatting sqref="V457:V458">
    <cfRule type="cellIs" dxfId="742" priority="784" stopIfTrue="1" operator="greaterThan">
      <formula>1.1</formula>
    </cfRule>
  </conditionalFormatting>
  <conditionalFormatting sqref="W457:W458">
    <cfRule type="cellIs" dxfId="741" priority="783" stopIfTrue="1" operator="greaterThan">
      <formula>0.059</formula>
    </cfRule>
  </conditionalFormatting>
  <conditionalFormatting sqref="X457:X458">
    <cfRule type="cellIs" dxfId="740" priority="782" stopIfTrue="1" operator="greaterThan">
      <formula>0.16</formula>
    </cfRule>
  </conditionalFormatting>
  <conditionalFormatting sqref="Y457:Y458">
    <cfRule type="cellIs" dxfId="739" priority="781" stopIfTrue="1" operator="greaterThan">
      <formula>0.076</formula>
    </cfRule>
  </conditionalFormatting>
  <conditionalFormatting sqref="Y693">
    <cfRule type="cellIs" dxfId="738" priority="751" stopIfTrue="1" operator="greaterThan">
      <formula>0.076</formula>
    </cfRule>
  </conditionalFormatting>
  <conditionalFormatting sqref="O693">
    <cfRule type="cellIs" dxfId="737" priority="760" stopIfTrue="1" operator="greaterThan">
      <formula>5</formula>
    </cfRule>
  </conditionalFormatting>
  <conditionalFormatting sqref="Q693">
    <cfRule type="cellIs" dxfId="736" priority="759" stopIfTrue="1" operator="notBetween">
      <formula>5</formula>
      <formula>9</formula>
    </cfRule>
  </conditionalFormatting>
  <conditionalFormatting sqref="R693">
    <cfRule type="cellIs" dxfId="735" priority="758" stopIfTrue="1" operator="greaterThan">
      <formula>75</formula>
    </cfRule>
  </conditionalFormatting>
  <conditionalFormatting sqref="S693">
    <cfRule type="cellIs" dxfId="734" priority="757" stopIfTrue="1" operator="greaterThan">
      <formula>90</formula>
    </cfRule>
  </conditionalFormatting>
  <conditionalFormatting sqref="T693">
    <cfRule type="cellIs" dxfId="733" priority="756" stopIfTrue="1" operator="greaterThan">
      <formula>0.4</formula>
    </cfRule>
  </conditionalFormatting>
  <conditionalFormatting sqref="U693">
    <cfRule type="cellIs" dxfId="732" priority="755" stopIfTrue="1" operator="greaterThan">
      <formula>2.3</formula>
    </cfRule>
  </conditionalFormatting>
  <conditionalFormatting sqref="V693">
    <cfRule type="cellIs" dxfId="731" priority="754" stopIfTrue="1" operator="greaterThan">
      <formula>1.1</formula>
    </cfRule>
  </conditionalFormatting>
  <conditionalFormatting sqref="W693">
    <cfRule type="cellIs" dxfId="730" priority="753" stopIfTrue="1" operator="greaterThan">
      <formula>0.059</formula>
    </cfRule>
  </conditionalFormatting>
  <conditionalFormatting sqref="X693">
    <cfRule type="cellIs" dxfId="729" priority="752" stopIfTrue="1" operator="greaterThan">
      <formula>0.16</formula>
    </cfRule>
  </conditionalFormatting>
  <conditionalFormatting sqref="O698">
    <cfRule type="cellIs" dxfId="728" priority="730" stopIfTrue="1" operator="greaterThan">
      <formula>5</formula>
    </cfRule>
  </conditionalFormatting>
  <conditionalFormatting sqref="Q698">
    <cfRule type="cellIs" dxfId="727" priority="729" stopIfTrue="1" operator="notBetween">
      <formula>5</formula>
      <formula>9</formula>
    </cfRule>
  </conditionalFormatting>
  <conditionalFormatting sqref="R698">
    <cfRule type="cellIs" dxfId="726" priority="728" stopIfTrue="1" operator="greaterThan">
      <formula>75</formula>
    </cfRule>
  </conditionalFormatting>
  <conditionalFormatting sqref="S698">
    <cfRule type="cellIs" dxfId="725" priority="727" stopIfTrue="1" operator="greaterThan">
      <formula>90</formula>
    </cfRule>
  </conditionalFormatting>
  <conditionalFormatting sqref="T698">
    <cfRule type="cellIs" dxfId="724" priority="726" stopIfTrue="1" operator="greaterThan">
      <formula>0.4</formula>
    </cfRule>
  </conditionalFormatting>
  <conditionalFormatting sqref="U698">
    <cfRule type="cellIs" dxfId="723" priority="725" stopIfTrue="1" operator="greaterThan">
      <formula>2.3</formula>
    </cfRule>
  </conditionalFormatting>
  <conditionalFormatting sqref="V698">
    <cfRule type="cellIs" dxfId="722" priority="724" stopIfTrue="1" operator="greaterThan">
      <formula>1.1</formula>
    </cfRule>
  </conditionalFormatting>
  <conditionalFormatting sqref="W698">
    <cfRule type="cellIs" dxfId="721" priority="723" stopIfTrue="1" operator="greaterThan">
      <formula>0.059</formula>
    </cfRule>
  </conditionalFormatting>
  <conditionalFormatting sqref="X698">
    <cfRule type="cellIs" dxfId="720" priority="722" stopIfTrue="1" operator="greaterThan">
      <formula>0.16</formula>
    </cfRule>
  </conditionalFormatting>
  <conditionalFormatting sqref="Y698">
    <cfRule type="cellIs" dxfId="719" priority="721" stopIfTrue="1" operator="greaterThan">
      <formula>0.076</formula>
    </cfRule>
  </conditionalFormatting>
  <conditionalFormatting sqref="O699">
    <cfRule type="cellIs" dxfId="718" priority="720" stopIfTrue="1" operator="greaterThan">
      <formula>5</formula>
    </cfRule>
  </conditionalFormatting>
  <conditionalFormatting sqref="Q699">
    <cfRule type="cellIs" dxfId="717" priority="719" stopIfTrue="1" operator="notBetween">
      <formula>5</formula>
      <formula>9</formula>
    </cfRule>
  </conditionalFormatting>
  <conditionalFormatting sqref="R699">
    <cfRule type="cellIs" dxfId="716" priority="718" stopIfTrue="1" operator="greaterThan">
      <formula>75</formula>
    </cfRule>
  </conditionalFormatting>
  <conditionalFormatting sqref="S699">
    <cfRule type="cellIs" dxfId="715" priority="717" stopIfTrue="1" operator="greaterThan">
      <formula>90</formula>
    </cfRule>
  </conditionalFormatting>
  <conditionalFormatting sqref="T699">
    <cfRule type="cellIs" dxfId="714" priority="716" stopIfTrue="1" operator="greaterThan">
      <formula>0.4</formula>
    </cfRule>
  </conditionalFormatting>
  <conditionalFormatting sqref="U699">
    <cfRule type="cellIs" dxfId="713" priority="715" stopIfTrue="1" operator="greaterThan">
      <formula>2.3</formula>
    </cfRule>
  </conditionalFormatting>
  <conditionalFormatting sqref="V699">
    <cfRule type="cellIs" dxfId="712" priority="714" stopIfTrue="1" operator="greaterThan">
      <formula>1.1</formula>
    </cfRule>
  </conditionalFormatting>
  <conditionalFormatting sqref="W699">
    <cfRule type="cellIs" dxfId="711" priority="713" stopIfTrue="1" operator="greaterThan">
      <formula>0.059</formula>
    </cfRule>
  </conditionalFormatting>
  <conditionalFormatting sqref="X699">
    <cfRule type="cellIs" dxfId="710" priority="712" stopIfTrue="1" operator="greaterThan">
      <formula>0.16</formula>
    </cfRule>
  </conditionalFormatting>
  <conditionalFormatting sqref="Y699">
    <cfRule type="cellIs" dxfId="709" priority="711" stopIfTrue="1" operator="greaterThan">
      <formula>0.076</formula>
    </cfRule>
  </conditionalFormatting>
  <conditionalFormatting sqref="O517:O529">
    <cfRule type="cellIs" dxfId="708" priority="660" stopIfTrue="1" operator="greaterThan">
      <formula>5</formula>
    </cfRule>
  </conditionalFormatting>
  <conditionalFormatting sqref="Q517:Q529">
    <cfRule type="cellIs" dxfId="707" priority="659" stopIfTrue="1" operator="notBetween">
      <formula>5</formula>
      <formula>9</formula>
    </cfRule>
  </conditionalFormatting>
  <conditionalFormatting sqref="R517:R529">
    <cfRule type="cellIs" dxfId="706" priority="658" stopIfTrue="1" operator="greaterThan">
      <formula>75</formula>
    </cfRule>
  </conditionalFormatting>
  <conditionalFormatting sqref="T517:T529">
    <cfRule type="cellIs" dxfId="705" priority="657" stopIfTrue="1" operator="greaterThan">
      <formula>0.4</formula>
    </cfRule>
  </conditionalFormatting>
  <conditionalFormatting sqref="U517:U529">
    <cfRule type="cellIs" dxfId="704" priority="656" stopIfTrue="1" operator="greaterThan">
      <formula>2.3</formula>
    </cfRule>
  </conditionalFormatting>
  <conditionalFormatting sqref="V517:V529">
    <cfRule type="cellIs" dxfId="703" priority="655" stopIfTrue="1" operator="greaterThan">
      <formula>1.1</formula>
    </cfRule>
  </conditionalFormatting>
  <conditionalFormatting sqref="W517:W529">
    <cfRule type="cellIs" dxfId="702" priority="654" stopIfTrue="1" operator="greaterThan">
      <formula>0.059</formula>
    </cfRule>
  </conditionalFormatting>
  <conditionalFormatting sqref="X517:X529">
    <cfRule type="cellIs" dxfId="701" priority="653" stopIfTrue="1" operator="greaterThan">
      <formula>0.16</formula>
    </cfRule>
  </conditionalFormatting>
  <conditionalFormatting sqref="Y517:Y529">
    <cfRule type="cellIs" dxfId="700" priority="652" stopIfTrue="1" operator="greaterThan">
      <formula>0.076</formula>
    </cfRule>
  </conditionalFormatting>
  <conditionalFormatting sqref="S517:S529">
    <cfRule type="cellIs" dxfId="699" priority="651" operator="greaterThan">
      <formula>90</formula>
    </cfRule>
  </conditionalFormatting>
  <conditionalFormatting sqref="S517:S529">
    <cfRule type="cellIs" dxfId="698" priority="641" operator="greaterThan">
      <formula>90</formula>
    </cfRule>
  </conditionalFormatting>
  <conditionalFormatting sqref="O502:O506">
    <cfRule type="cellIs" dxfId="697" priority="680" stopIfTrue="1" operator="greaterThan">
      <formula>5</formula>
    </cfRule>
  </conditionalFormatting>
  <conditionalFormatting sqref="Q502:Q506">
    <cfRule type="cellIs" dxfId="696" priority="679" stopIfTrue="1" operator="notBetween">
      <formula>5</formula>
      <formula>9</formula>
    </cfRule>
  </conditionalFormatting>
  <conditionalFormatting sqref="R502:R506">
    <cfRule type="cellIs" dxfId="695" priority="678" stopIfTrue="1" operator="greaterThan">
      <formula>75</formula>
    </cfRule>
  </conditionalFormatting>
  <conditionalFormatting sqref="T502:T506">
    <cfRule type="cellIs" dxfId="694" priority="677" stopIfTrue="1" operator="greaterThan">
      <formula>0.4</formula>
    </cfRule>
  </conditionalFormatting>
  <conditionalFormatting sqref="U502:U506">
    <cfRule type="cellIs" dxfId="693" priority="676" stopIfTrue="1" operator="greaterThan">
      <formula>2.3</formula>
    </cfRule>
  </conditionalFormatting>
  <conditionalFormatting sqref="V502:V506">
    <cfRule type="cellIs" dxfId="692" priority="675" stopIfTrue="1" operator="greaterThan">
      <formula>1.1</formula>
    </cfRule>
  </conditionalFormatting>
  <conditionalFormatting sqref="W502:W506">
    <cfRule type="cellIs" dxfId="691" priority="674" stopIfTrue="1" operator="greaterThan">
      <formula>0.059</formula>
    </cfRule>
  </conditionalFormatting>
  <conditionalFormatting sqref="Y502:Y506">
    <cfRule type="cellIs" dxfId="690" priority="672" stopIfTrue="1" operator="greaterThan">
      <formula>0.076</formula>
    </cfRule>
  </conditionalFormatting>
  <conditionalFormatting sqref="S502:S506">
    <cfRule type="cellIs" dxfId="689" priority="671" operator="greaterThan">
      <formula>90</formula>
    </cfRule>
  </conditionalFormatting>
  <conditionalFormatting sqref="O478:O506">
    <cfRule type="cellIs" dxfId="688" priority="670" stopIfTrue="1" operator="greaterThan">
      <formula>5</formula>
    </cfRule>
  </conditionalFormatting>
  <conditionalFormatting sqref="Q478:Q506">
    <cfRule type="cellIs" dxfId="687" priority="669" stopIfTrue="1" operator="notBetween">
      <formula>5</formula>
      <formula>9</formula>
    </cfRule>
  </conditionalFormatting>
  <conditionalFormatting sqref="R478:R506">
    <cfRule type="cellIs" dxfId="686" priority="668" stopIfTrue="1" operator="greaterThan">
      <formula>75</formula>
    </cfRule>
  </conditionalFormatting>
  <conditionalFormatting sqref="T478:T506">
    <cfRule type="cellIs" dxfId="685" priority="667" stopIfTrue="1" operator="greaterThan">
      <formula>0.4</formula>
    </cfRule>
  </conditionalFormatting>
  <conditionalFormatting sqref="U478:U506">
    <cfRule type="cellIs" dxfId="684" priority="666" stopIfTrue="1" operator="greaterThan">
      <formula>2.3</formula>
    </cfRule>
  </conditionalFormatting>
  <conditionalFormatting sqref="V478:V506">
    <cfRule type="cellIs" dxfId="683" priority="665" stopIfTrue="1" operator="greaterThan">
      <formula>1.1</formula>
    </cfRule>
  </conditionalFormatting>
  <conditionalFormatting sqref="W478:W506">
    <cfRule type="cellIs" dxfId="682" priority="664" stopIfTrue="1" operator="greaterThan">
      <formula>0.059</formula>
    </cfRule>
  </conditionalFormatting>
  <conditionalFormatting sqref="X478:X506">
    <cfRule type="cellIs" dxfId="681" priority="663" stopIfTrue="1" operator="greaterThan">
      <formula>0.16</formula>
    </cfRule>
  </conditionalFormatting>
  <conditionalFormatting sqref="Y478:Y506">
    <cfRule type="cellIs" dxfId="680" priority="662" stopIfTrue="1" operator="greaterThan">
      <formula>0.076</formula>
    </cfRule>
  </conditionalFormatting>
  <conditionalFormatting sqref="S478:S506">
    <cfRule type="cellIs" dxfId="679" priority="661" operator="greaterThan">
      <formula>90</formula>
    </cfRule>
  </conditionalFormatting>
  <conditionalFormatting sqref="O517:O529">
    <cfRule type="cellIs" dxfId="678" priority="650" stopIfTrue="1" operator="greaterThan">
      <formula>5</formula>
    </cfRule>
  </conditionalFormatting>
  <conditionalFormatting sqref="Q517:Q529">
    <cfRule type="cellIs" dxfId="677" priority="649" stopIfTrue="1" operator="notBetween">
      <formula>5</formula>
      <formula>9</formula>
    </cfRule>
  </conditionalFormatting>
  <conditionalFormatting sqref="R517:R529">
    <cfRule type="cellIs" dxfId="676" priority="648" stopIfTrue="1" operator="greaterThan">
      <formula>75</formula>
    </cfRule>
  </conditionalFormatting>
  <conditionalFormatting sqref="T517:T529">
    <cfRule type="cellIs" dxfId="675" priority="647" stopIfTrue="1" operator="greaterThan">
      <formula>0.4</formula>
    </cfRule>
  </conditionalFormatting>
  <conditionalFormatting sqref="U517:U529">
    <cfRule type="cellIs" dxfId="674" priority="646" stopIfTrue="1" operator="greaterThan">
      <formula>2.3</formula>
    </cfRule>
  </conditionalFormatting>
  <conditionalFormatting sqref="V517:V529">
    <cfRule type="cellIs" dxfId="673" priority="645" stopIfTrue="1" operator="greaterThan">
      <formula>1.1</formula>
    </cfRule>
  </conditionalFormatting>
  <conditionalFormatting sqref="W517:W529">
    <cfRule type="cellIs" dxfId="672" priority="644" stopIfTrue="1" operator="greaterThan">
      <formula>0.059</formula>
    </cfRule>
  </conditionalFormatting>
  <conditionalFormatting sqref="X517:X529">
    <cfRule type="cellIs" dxfId="671" priority="643" stopIfTrue="1" operator="greaterThan">
      <formula>0.16</formula>
    </cfRule>
  </conditionalFormatting>
  <conditionalFormatting sqref="Y517:Y529">
    <cfRule type="cellIs" dxfId="670" priority="642" stopIfTrue="1" operator="greaterThan">
      <formula>0.076</formula>
    </cfRule>
  </conditionalFormatting>
  <conditionalFormatting sqref="S606:S612">
    <cfRule type="cellIs" dxfId="669" priority="381" operator="greaterThan">
      <formula>90</formula>
    </cfRule>
  </conditionalFormatting>
  <conditionalFormatting sqref="O507:O510">
    <cfRule type="cellIs" dxfId="668" priority="600" stopIfTrue="1" operator="greaterThan">
      <formula>5</formula>
    </cfRule>
  </conditionalFormatting>
  <conditionalFormatting sqref="Q507:Q510">
    <cfRule type="cellIs" dxfId="667" priority="599" stopIfTrue="1" operator="notBetween">
      <formula>5</formula>
      <formula>9</formula>
    </cfRule>
  </conditionalFormatting>
  <conditionalFormatting sqref="R507:R510">
    <cfRule type="cellIs" dxfId="666" priority="598" stopIfTrue="1" operator="greaterThan">
      <formula>75</formula>
    </cfRule>
  </conditionalFormatting>
  <conditionalFormatting sqref="T507:T510">
    <cfRule type="cellIs" dxfId="665" priority="597" stopIfTrue="1" operator="greaterThan">
      <formula>0.4</formula>
    </cfRule>
  </conditionalFormatting>
  <conditionalFormatting sqref="U507:U510">
    <cfRule type="cellIs" dxfId="664" priority="596" stopIfTrue="1" operator="greaterThan">
      <formula>2.3</formula>
    </cfRule>
  </conditionalFormatting>
  <conditionalFormatting sqref="V507:V510">
    <cfRule type="cellIs" dxfId="663" priority="595" stopIfTrue="1" operator="greaterThan">
      <formula>1.1</formula>
    </cfRule>
  </conditionalFormatting>
  <conditionalFormatting sqref="W507:W510">
    <cfRule type="cellIs" dxfId="662" priority="594" stopIfTrue="1" operator="greaterThan">
      <formula>0.059</formula>
    </cfRule>
  </conditionalFormatting>
  <conditionalFormatting sqref="X507:X510">
    <cfRule type="cellIs" dxfId="661" priority="593" stopIfTrue="1" operator="greaterThan">
      <formula>0.16</formula>
    </cfRule>
  </conditionalFormatting>
  <conditionalFormatting sqref="Y507:Y510">
    <cfRule type="cellIs" dxfId="660" priority="592" stopIfTrue="1" operator="greaterThan">
      <formula>0.076</formula>
    </cfRule>
  </conditionalFormatting>
  <conditionalFormatting sqref="S507:S510">
    <cfRule type="cellIs" dxfId="659" priority="591" operator="greaterThan">
      <formula>90</formula>
    </cfRule>
  </conditionalFormatting>
  <conditionalFormatting sqref="O507:O510">
    <cfRule type="cellIs" dxfId="658" priority="590" stopIfTrue="1" operator="greaterThan">
      <formula>5</formula>
    </cfRule>
  </conditionalFormatting>
  <conditionalFormatting sqref="Q507:Q510">
    <cfRule type="cellIs" dxfId="657" priority="589" stopIfTrue="1" operator="notBetween">
      <formula>5</formula>
      <formula>9</formula>
    </cfRule>
  </conditionalFormatting>
  <conditionalFormatting sqref="R507:R510">
    <cfRule type="cellIs" dxfId="656" priority="588" stopIfTrue="1" operator="greaterThan">
      <formula>75</formula>
    </cfRule>
  </conditionalFormatting>
  <conditionalFormatting sqref="T507:T510">
    <cfRule type="cellIs" dxfId="655" priority="587" stopIfTrue="1" operator="greaterThan">
      <formula>0.4</formula>
    </cfRule>
  </conditionalFormatting>
  <conditionalFormatting sqref="U507:U510">
    <cfRule type="cellIs" dxfId="654" priority="586" stopIfTrue="1" operator="greaterThan">
      <formula>2.3</formula>
    </cfRule>
  </conditionalFormatting>
  <conditionalFormatting sqref="V507:V510">
    <cfRule type="cellIs" dxfId="653" priority="585" stopIfTrue="1" operator="greaterThan">
      <formula>1.1</formula>
    </cfRule>
  </conditionalFormatting>
  <conditionalFormatting sqref="W507:W510">
    <cfRule type="cellIs" dxfId="652" priority="584" stopIfTrue="1" operator="greaterThan">
      <formula>0.059</formula>
    </cfRule>
  </conditionalFormatting>
  <conditionalFormatting sqref="X507:X510">
    <cfRule type="cellIs" dxfId="651" priority="583" stopIfTrue="1" operator="greaterThan">
      <formula>0.16</formula>
    </cfRule>
  </conditionalFormatting>
  <conditionalFormatting sqref="Y507:Y510">
    <cfRule type="cellIs" dxfId="650" priority="582" stopIfTrue="1" operator="greaterThan">
      <formula>0.076</formula>
    </cfRule>
  </conditionalFormatting>
  <conditionalFormatting sqref="S507:S510">
    <cfRule type="cellIs" dxfId="649" priority="581" operator="greaterThan">
      <formula>90</formula>
    </cfRule>
  </conditionalFormatting>
  <conditionalFormatting sqref="O511:O514">
    <cfRule type="cellIs" dxfId="648" priority="580" stopIfTrue="1" operator="greaterThan">
      <formula>5</formula>
    </cfRule>
  </conditionalFormatting>
  <conditionalFormatting sqref="Q511:Q514">
    <cfRule type="cellIs" dxfId="647" priority="579" stopIfTrue="1" operator="notBetween">
      <formula>5</formula>
      <formula>9</formula>
    </cfRule>
  </conditionalFormatting>
  <conditionalFormatting sqref="R511:R514">
    <cfRule type="cellIs" dxfId="646" priority="578" stopIfTrue="1" operator="greaterThan">
      <formula>75</formula>
    </cfRule>
  </conditionalFormatting>
  <conditionalFormatting sqref="T511:T514">
    <cfRule type="cellIs" dxfId="645" priority="577" stopIfTrue="1" operator="greaterThan">
      <formula>0.4</formula>
    </cfRule>
  </conditionalFormatting>
  <conditionalFormatting sqref="U511:U514">
    <cfRule type="cellIs" dxfId="644" priority="576" stopIfTrue="1" operator="greaterThan">
      <formula>2.3</formula>
    </cfRule>
  </conditionalFormatting>
  <conditionalFormatting sqref="V511:V514">
    <cfRule type="cellIs" dxfId="643" priority="575" stopIfTrue="1" operator="greaterThan">
      <formula>1.1</formula>
    </cfRule>
  </conditionalFormatting>
  <conditionalFormatting sqref="W511:W514">
    <cfRule type="cellIs" dxfId="642" priority="574" stopIfTrue="1" operator="greaterThan">
      <formula>0.059</formula>
    </cfRule>
  </conditionalFormatting>
  <conditionalFormatting sqref="X511:X514">
    <cfRule type="cellIs" dxfId="641" priority="573" stopIfTrue="1" operator="greaterThan">
      <formula>0.16</formula>
    </cfRule>
  </conditionalFormatting>
  <conditionalFormatting sqref="Y511:Y514">
    <cfRule type="cellIs" dxfId="640" priority="572" stopIfTrue="1" operator="greaterThan">
      <formula>0.076</formula>
    </cfRule>
  </conditionalFormatting>
  <conditionalFormatting sqref="S511:S514">
    <cfRule type="cellIs" dxfId="639" priority="571" operator="greaterThan">
      <formula>90</formula>
    </cfRule>
  </conditionalFormatting>
  <conditionalFormatting sqref="O511:O514">
    <cfRule type="cellIs" dxfId="638" priority="570" stopIfTrue="1" operator="greaterThan">
      <formula>5</formula>
    </cfRule>
  </conditionalFormatting>
  <conditionalFormatting sqref="Q511:Q514">
    <cfRule type="cellIs" dxfId="637" priority="569" stopIfTrue="1" operator="notBetween">
      <formula>5</formula>
      <formula>9</formula>
    </cfRule>
  </conditionalFormatting>
  <conditionalFormatting sqref="R511:R514">
    <cfRule type="cellIs" dxfId="636" priority="568" stopIfTrue="1" operator="greaterThan">
      <formula>75</formula>
    </cfRule>
  </conditionalFormatting>
  <conditionalFormatting sqref="T511:T514">
    <cfRule type="cellIs" dxfId="635" priority="567" stopIfTrue="1" operator="greaterThan">
      <formula>0.4</formula>
    </cfRule>
  </conditionalFormatting>
  <conditionalFormatting sqref="U511:U514">
    <cfRule type="cellIs" dxfId="634" priority="566" stopIfTrue="1" operator="greaterThan">
      <formula>2.3</formula>
    </cfRule>
  </conditionalFormatting>
  <conditionalFormatting sqref="V511:V514">
    <cfRule type="cellIs" dxfId="633" priority="565" stopIfTrue="1" operator="greaterThan">
      <formula>1.1</formula>
    </cfRule>
  </conditionalFormatting>
  <conditionalFormatting sqref="W511:W514">
    <cfRule type="cellIs" dxfId="632" priority="564" stopIfTrue="1" operator="greaterThan">
      <formula>0.059</formula>
    </cfRule>
  </conditionalFormatting>
  <conditionalFormatting sqref="X511:X514">
    <cfRule type="cellIs" dxfId="631" priority="563" stopIfTrue="1" operator="greaterThan">
      <formula>0.16</formula>
    </cfRule>
  </conditionalFormatting>
  <conditionalFormatting sqref="Y511:Y514">
    <cfRule type="cellIs" dxfId="630" priority="562" stopIfTrue="1" operator="greaterThan">
      <formula>0.076</formula>
    </cfRule>
  </conditionalFormatting>
  <conditionalFormatting sqref="S511:S514">
    <cfRule type="cellIs" dxfId="629" priority="561" operator="greaterThan">
      <formula>90</formula>
    </cfRule>
  </conditionalFormatting>
  <conditionalFormatting sqref="O530:O541">
    <cfRule type="cellIs" dxfId="628" priority="540" stopIfTrue="1" operator="greaterThan">
      <formula>5</formula>
    </cfRule>
  </conditionalFormatting>
  <conditionalFormatting sqref="Q530:Q541">
    <cfRule type="cellIs" dxfId="627" priority="539" stopIfTrue="1" operator="notBetween">
      <formula>5</formula>
      <formula>9</formula>
    </cfRule>
  </conditionalFormatting>
  <conditionalFormatting sqref="R530:R541">
    <cfRule type="cellIs" dxfId="626" priority="538" stopIfTrue="1" operator="greaterThan">
      <formula>75</formula>
    </cfRule>
  </conditionalFormatting>
  <conditionalFormatting sqref="T530:T541">
    <cfRule type="cellIs" dxfId="625" priority="537" stopIfTrue="1" operator="greaterThan">
      <formula>0.4</formula>
    </cfRule>
  </conditionalFormatting>
  <conditionalFormatting sqref="U530:U541">
    <cfRule type="cellIs" dxfId="624" priority="536" stopIfTrue="1" operator="greaterThan">
      <formula>2.3</formula>
    </cfRule>
  </conditionalFormatting>
  <conditionalFormatting sqref="V530:V541">
    <cfRule type="cellIs" dxfId="623" priority="535" stopIfTrue="1" operator="greaterThan">
      <formula>1.1</formula>
    </cfRule>
  </conditionalFormatting>
  <conditionalFormatting sqref="W530:W541">
    <cfRule type="cellIs" dxfId="622" priority="534" stopIfTrue="1" operator="greaterThan">
      <formula>0.059</formula>
    </cfRule>
  </conditionalFormatting>
  <conditionalFormatting sqref="X530:X541">
    <cfRule type="cellIs" dxfId="621" priority="533" stopIfTrue="1" operator="greaterThan">
      <formula>0.16</formula>
    </cfRule>
  </conditionalFormatting>
  <conditionalFormatting sqref="Y530:Y541">
    <cfRule type="cellIs" dxfId="620" priority="532" stopIfTrue="1" operator="greaterThan">
      <formula>0.076</formula>
    </cfRule>
  </conditionalFormatting>
  <conditionalFormatting sqref="S530:S541">
    <cfRule type="cellIs" dxfId="619" priority="531" operator="greaterThan">
      <formula>90</formula>
    </cfRule>
  </conditionalFormatting>
  <conditionalFormatting sqref="O530:O541">
    <cfRule type="cellIs" dxfId="618" priority="530" stopIfTrue="1" operator="greaterThan">
      <formula>5</formula>
    </cfRule>
  </conditionalFormatting>
  <conditionalFormatting sqref="Q530:Q541">
    <cfRule type="cellIs" dxfId="617" priority="529" stopIfTrue="1" operator="notBetween">
      <formula>5</formula>
      <formula>9</formula>
    </cfRule>
  </conditionalFormatting>
  <conditionalFormatting sqref="R530:R541">
    <cfRule type="cellIs" dxfId="616" priority="528" stopIfTrue="1" operator="greaterThan">
      <formula>75</formula>
    </cfRule>
  </conditionalFormatting>
  <conditionalFormatting sqref="T530:T541">
    <cfRule type="cellIs" dxfId="615" priority="527" stopIfTrue="1" operator="greaterThan">
      <formula>0.4</formula>
    </cfRule>
  </conditionalFormatting>
  <conditionalFormatting sqref="U530:U541">
    <cfRule type="cellIs" dxfId="614" priority="526" stopIfTrue="1" operator="greaterThan">
      <formula>2.3</formula>
    </cfRule>
  </conditionalFormatting>
  <conditionalFormatting sqref="V530:V541">
    <cfRule type="cellIs" dxfId="613" priority="525" stopIfTrue="1" operator="greaterThan">
      <formula>1.1</formula>
    </cfRule>
  </conditionalFormatting>
  <conditionalFormatting sqref="W530:W541">
    <cfRule type="cellIs" dxfId="612" priority="524" stopIfTrue="1" operator="greaterThan">
      <formula>0.059</formula>
    </cfRule>
  </conditionalFormatting>
  <conditionalFormatting sqref="X530:X541 Y532">
    <cfRule type="cellIs" dxfId="611" priority="523" stopIfTrue="1" operator="greaterThan">
      <formula>0.16</formula>
    </cfRule>
  </conditionalFormatting>
  <conditionalFormatting sqref="Y530:Y541">
    <cfRule type="cellIs" dxfId="610" priority="522" stopIfTrue="1" operator="greaterThan">
      <formula>0.076</formula>
    </cfRule>
  </conditionalFormatting>
  <conditionalFormatting sqref="S530:S541">
    <cfRule type="cellIs" dxfId="609" priority="521" operator="greaterThan">
      <formula>90</formula>
    </cfRule>
  </conditionalFormatting>
  <conditionalFormatting sqref="O542:O550">
    <cfRule type="cellIs" dxfId="608" priority="520" stopIfTrue="1" operator="greaterThan">
      <formula>5</formula>
    </cfRule>
  </conditionalFormatting>
  <conditionalFormatting sqref="Q542:Q550">
    <cfRule type="cellIs" dxfId="607" priority="519" stopIfTrue="1" operator="notBetween">
      <formula>5</formula>
      <formula>9</formula>
    </cfRule>
  </conditionalFormatting>
  <conditionalFormatting sqref="R542:R550">
    <cfRule type="cellIs" dxfId="606" priority="518" stopIfTrue="1" operator="greaterThan">
      <formula>75</formula>
    </cfRule>
  </conditionalFormatting>
  <conditionalFormatting sqref="T542:T550">
    <cfRule type="cellIs" dxfId="605" priority="517" stopIfTrue="1" operator="greaterThan">
      <formula>0.4</formula>
    </cfRule>
  </conditionalFormatting>
  <conditionalFormatting sqref="U542:U550">
    <cfRule type="cellIs" dxfId="604" priority="516" stopIfTrue="1" operator="greaterThan">
      <formula>2.3</formula>
    </cfRule>
  </conditionalFormatting>
  <conditionalFormatting sqref="V542:V550">
    <cfRule type="cellIs" dxfId="603" priority="515" stopIfTrue="1" operator="greaterThan">
      <formula>1.1</formula>
    </cfRule>
  </conditionalFormatting>
  <conditionalFormatting sqref="W542:W550">
    <cfRule type="cellIs" dxfId="602" priority="514" stopIfTrue="1" operator="greaterThan">
      <formula>0.059</formula>
    </cfRule>
  </conditionalFormatting>
  <conditionalFormatting sqref="X542:X550">
    <cfRule type="cellIs" dxfId="601" priority="513" stopIfTrue="1" operator="greaterThan">
      <formula>0.16</formula>
    </cfRule>
  </conditionalFormatting>
  <conditionalFormatting sqref="Y542:Y550">
    <cfRule type="cellIs" dxfId="600" priority="512" stopIfTrue="1" operator="greaterThan">
      <formula>0.076</formula>
    </cfRule>
  </conditionalFormatting>
  <conditionalFormatting sqref="S542:S550">
    <cfRule type="cellIs" dxfId="599" priority="511" operator="greaterThan">
      <formula>90</formula>
    </cfRule>
  </conditionalFormatting>
  <conditionalFormatting sqref="O542:O550">
    <cfRule type="cellIs" dxfId="598" priority="510" stopIfTrue="1" operator="greaterThan">
      <formula>5</formula>
    </cfRule>
  </conditionalFormatting>
  <conditionalFormatting sqref="Q542:Q550">
    <cfRule type="cellIs" dxfId="597" priority="509" stopIfTrue="1" operator="notBetween">
      <formula>5</formula>
      <formula>9</formula>
    </cfRule>
  </conditionalFormatting>
  <conditionalFormatting sqref="R542:R550">
    <cfRule type="cellIs" dxfId="596" priority="508" stopIfTrue="1" operator="greaterThan">
      <formula>75</formula>
    </cfRule>
  </conditionalFormatting>
  <conditionalFormatting sqref="T542:T550">
    <cfRule type="cellIs" dxfId="595" priority="507" stopIfTrue="1" operator="greaterThan">
      <formula>0.4</formula>
    </cfRule>
  </conditionalFormatting>
  <conditionalFormatting sqref="U542:U550">
    <cfRule type="cellIs" dxfId="594" priority="506" stopIfTrue="1" operator="greaterThan">
      <formula>2.3</formula>
    </cfRule>
  </conditionalFormatting>
  <conditionalFormatting sqref="V542:V550">
    <cfRule type="cellIs" dxfId="593" priority="505" stopIfTrue="1" operator="greaterThan">
      <formula>1.1</formula>
    </cfRule>
  </conditionalFormatting>
  <conditionalFormatting sqref="W542:W550">
    <cfRule type="cellIs" dxfId="592" priority="504" stopIfTrue="1" operator="greaterThan">
      <formula>0.059</formula>
    </cfRule>
  </conditionalFormatting>
  <conditionalFormatting sqref="X542:X550">
    <cfRule type="cellIs" dxfId="591" priority="503" stopIfTrue="1" operator="greaterThan">
      <formula>0.16</formula>
    </cfRule>
  </conditionalFormatting>
  <conditionalFormatting sqref="Y542:Y550">
    <cfRule type="cellIs" dxfId="590" priority="502" stopIfTrue="1" operator="greaterThan">
      <formula>0.076</formula>
    </cfRule>
  </conditionalFormatting>
  <conditionalFormatting sqref="S542:S550">
    <cfRule type="cellIs" dxfId="589" priority="501" operator="greaterThan">
      <formula>90</formula>
    </cfRule>
  </conditionalFormatting>
  <conditionalFormatting sqref="O551:O563">
    <cfRule type="cellIs" dxfId="588" priority="500" stopIfTrue="1" operator="greaterThan">
      <formula>5</formula>
    </cfRule>
  </conditionalFormatting>
  <conditionalFormatting sqref="Q551:Q563">
    <cfRule type="cellIs" dxfId="587" priority="499" stopIfTrue="1" operator="notBetween">
      <formula>5</formula>
      <formula>9</formula>
    </cfRule>
  </conditionalFormatting>
  <conditionalFormatting sqref="R551:R563">
    <cfRule type="cellIs" dxfId="586" priority="498" stopIfTrue="1" operator="greaterThan">
      <formula>75</formula>
    </cfRule>
  </conditionalFormatting>
  <conditionalFormatting sqref="T551:T563">
    <cfRule type="cellIs" dxfId="585" priority="497" stopIfTrue="1" operator="greaterThan">
      <formula>0.4</formula>
    </cfRule>
  </conditionalFormatting>
  <conditionalFormatting sqref="U551:U563">
    <cfRule type="cellIs" dxfId="584" priority="496" stopIfTrue="1" operator="greaterThan">
      <formula>2.3</formula>
    </cfRule>
  </conditionalFormatting>
  <conditionalFormatting sqref="V551:V563">
    <cfRule type="cellIs" dxfId="583" priority="495" stopIfTrue="1" operator="greaterThan">
      <formula>1.1</formula>
    </cfRule>
  </conditionalFormatting>
  <conditionalFormatting sqref="W551:W563">
    <cfRule type="cellIs" dxfId="582" priority="494" stopIfTrue="1" operator="greaterThan">
      <formula>0.059</formula>
    </cfRule>
  </conditionalFormatting>
  <conditionalFormatting sqref="X551:X563">
    <cfRule type="cellIs" dxfId="581" priority="493" stopIfTrue="1" operator="greaterThan">
      <formula>0.16</formula>
    </cfRule>
  </conditionalFormatting>
  <conditionalFormatting sqref="Y551:Y563">
    <cfRule type="cellIs" dxfId="580" priority="492" stopIfTrue="1" operator="greaterThan">
      <formula>0.076</formula>
    </cfRule>
  </conditionalFormatting>
  <conditionalFormatting sqref="S551:S563">
    <cfRule type="cellIs" dxfId="579" priority="491" operator="greaterThan">
      <formula>90</formula>
    </cfRule>
  </conditionalFormatting>
  <conditionalFormatting sqref="O551:O563">
    <cfRule type="cellIs" dxfId="578" priority="490" stopIfTrue="1" operator="greaterThan">
      <formula>5</formula>
    </cfRule>
  </conditionalFormatting>
  <conditionalFormatting sqref="Q551:Q563">
    <cfRule type="cellIs" dxfId="577" priority="489" stopIfTrue="1" operator="notBetween">
      <formula>5</formula>
      <formula>9</formula>
    </cfRule>
  </conditionalFormatting>
  <conditionalFormatting sqref="R551:R563">
    <cfRule type="cellIs" dxfId="576" priority="488" stopIfTrue="1" operator="greaterThan">
      <formula>75</formula>
    </cfRule>
  </conditionalFormatting>
  <conditionalFormatting sqref="T551:T563">
    <cfRule type="cellIs" dxfId="575" priority="487" stopIfTrue="1" operator="greaterThan">
      <formula>0.4</formula>
    </cfRule>
  </conditionalFormatting>
  <conditionalFormatting sqref="U551:U563">
    <cfRule type="cellIs" dxfId="574" priority="486" stopIfTrue="1" operator="greaterThan">
      <formula>2.3</formula>
    </cfRule>
  </conditionalFormatting>
  <conditionalFormatting sqref="V551:V563">
    <cfRule type="cellIs" dxfId="573" priority="485" stopIfTrue="1" operator="greaterThan">
      <formula>1.1</formula>
    </cfRule>
  </conditionalFormatting>
  <conditionalFormatting sqref="W551:W563">
    <cfRule type="cellIs" dxfId="572" priority="484" stopIfTrue="1" operator="greaterThan">
      <formula>0.059</formula>
    </cfRule>
  </conditionalFormatting>
  <conditionalFormatting sqref="X551:X563">
    <cfRule type="cellIs" dxfId="571" priority="483" stopIfTrue="1" operator="greaterThan">
      <formula>0.16</formula>
    </cfRule>
  </conditionalFormatting>
  <conditionalFormatting sqref="Y551:Y563">
    <cfRule type="cellIs" dxfId="570" priority="482" stopIfTrue="1" operator="greaterThan">
      <formula>0.076</formula>
    </cfRule>
  </conditionalFormatting>
  <conditionalFormatting sqref="S551:S563">
    <cfRule type="cellIs" dxfId="569" priority="481" operator="greaterThan">
      <formula>90</formula>
    </cfRule>
  </conditionalFormatting>
  <conditionalFormatting sqref="O564:O578">
    <cfRule type="cellIs" dxfId="568" priority="480" stopIfTrue="1" operator="greaterThan">
      <formula>5</formula>
    </cfRule>
  </conditionalFormatting>
  <conditionalFormatting sqref="Q564:Q578">
    <cfRule type="cellIs" dxfId="567" priority="479" stopIfTrue="1" operator="notBetween">
      <formula>5</formula>
      <formula>9</formula>
    </cfRule>
  </conditionalFormatting>
  <conditionalFormatting sqref="R564:R578">
    <cfRule type="cellIs" dxfId="566" priority="478" stopIfTrue="1" operator="greaterThan">
      <formula>75</formula>
    </cfRule>
  </conditionalFormatting>
  <conditionalFormatting sqref="T564:T578">
    <cfRule type="cellIs" dxfId="565" priority="477" stopIfTrue="1" operator="greaterThan">
      <formula>0.4</formula>
    </cfRule>
  </conditionalFormatting>
  <conditionalFormatting sqref="U564:U578">
    <cfRule type="cellIs" dxfId="564" priority="476" stopIfTrue="1" operator="greaterThan">
      <formula>2.3</formula>
    </cfRule>
  </conditionalFormatting>
  <conditionalFormatting sqref="V564:V578">
    <cfRule type="cellIs" dxfId="563" priority="475" stopIfTrue="1" operator="greaterThan">
      <formula>1.1</formula>
    </cfRule>
  </conditionalFormatting>
  <conditionalFormatting sqref="W564:W578">
    <cfRule type="cellIs" dxfId="562" priority="474" stopIfTrue="1" operator="greaterThan">
      <formula>0.059</formula>
    </cfRule>
  </conditionalFormatting>
  <conditionalFormatting sqref="X564:X578">
    <cfRule type="cellIs" dxfId="561" priority="473" stopIfTrue="1" operator="greaterThan">
      <formula>0.16</formula>
    </cfRule>
  </conditionalFormatting>
  <conditionalFormatting sqref="Y564:Y578">
    <cfRule type="cellIs" dxfId="560" priority="472" stopIfTrue="1" operator="greaterThan">
      <formula>0.076</formula>
    </cfRule>
  </conditionalFormatting>
  <conditionalFormatting sqref="S564:S578">
    <cfRule type="cellIs" dxfId="559" priority="471" operator="greaterThan">
      <formula>90</formula>
    </cfRule>
  </conditionalFormatting>
  <conditionalFormatting sqref="O564:O578">
    <cfRule type="cellIs" dxfId="558" priority="470" stopIfTrue="1" operator="greaterThan">
      <formula>5</formula>
    </cfRule>
  </conditionalFormatting>
  <conditionalFormatting sqref="Q564:Q578">
    <cfRule type="cellIs" dxfId="557" priority="469" stopIfTrue="1" operator="notBetween">
      <formula>5</formula>
      <formula>9</formula>
    </cfRule>
  </conditionalFormatting>
  <conditionalFormatting sqref="R564:R578">
    <cfRule type="cellIs" dxfId="556" priority="468" stopIfTrue="1" operator="greaterThan">
      <formula>75</formula>
    </cfRule>
  </conditionalFormatting>
  <conditionalFormatting sqref="T564:T578">
    <cfRule type="cellIs" dxfId="555" priority="467" stopIfTrue="1" operator="greaterThan">
      <formula>0.4</formula>
    </cfRule>
  </conditionalFormatting>
  <conditionalFormatting sqref="U564:U578">
    <cfRule type="cellIs" dxfId="554" priority="466" stopIfTrue="1" operator="greaterThan">
      <formula>2.3</formula>
    </cfRule>
  </conditionalFormatting>
  <conditionalFormatting sqref="V564:V578">
    <cfRule type="cellIs" dxfId="553" priority="465" stopIfTrue="1" operator="greaterThan">
      <formula>1.1</formula>
    </cfRule>
  </conditionalFormatting>
  <conditionalFormatting sqref="W564:W578">
    <cfRule type="cellIs" dxfId="552" priority="464" stopIfTrue="1" operator="greaterThan">
      <formula>0.059</formula>
    </cfRule>
  </conditionalFormatting>
  <conditionalFormatting sqref="X564:X578">
    <cfRule type="cellIs" dxfId="551" priority="463" stopIfTrue="1" operator="greaterThan">
      <formula>0.16</formula>
    </cfRule>
  </conditionalFormatting>
  <conditionalFormatting sqref="Y564:Y578">
    <cfRule type="cellIs" dxfId="550" priority="462" stopIfTrue="1" operator="greaterThan">
      <formula>0.076</formula>
    </cfRule>
  </conditionalFormatting>
  <conditionalFormatting sqref="S564:S578">
    <cfRule type="cellIs" dxfId="549" priority="461" operator="greaterThan">
      <formula>90</formula>
    </cfRule>
  </conditionalFormatting>
  <conditionalFormatting sqref="O592:O596">
    <cfRule type="cellIs" dxfId="548" priority="460" stopIfTrue="1" operator="greaterThan">
      <formula>5</formula>
    </cfRule>
  </conditionalFormatting>
  <conditionalFormatting sqref="Q592:Q596">
    <cfRule type="cellIs" dxfId="547" priority="459" stopIfTrue="1" operator="notBetween">
      <formula>5</formula>
      <formula>9</formula>
    </cfRule>
  </conditionalFormatting>
  <conditionalFormatting sqref="R592:R596">
    <cfRule type="cellIs" dxfId="546" priority="458" stopIfTrue="1" operator="greaterThan">
      <formula>75</formula>
    </cfRule>
  </conditionalFormatting>
  <conditionalFormatting sqref="T592:T596">
    <cfRule type="cellIs" dxfId="545" priority="457" stopIfTrue="1" operator="greaterThan">
      <formula>0.4</formula>
    </cfRule>
  </conditionalFormatting>
  <conditionalFormatting sqref="U592:U596">
    <cfRule type="cellIs" dxfId="544" priority="456" stopIfTrue="1" operator="greaterThan">
      <formula>2.3</formula>
    </cfRule>
  </conditionalFormatting>
  <conditionalFormatting sqref="V592:V596">
    <cfRule type="cellIs" dxfId="543" priority="455" stopIfTrue="1" operator="greaterThan">
      <formula>1.1</formula>
    </cfRule>
  </conditionalFormatting>
  <conditionalFormatting sqref="W592:W596">
    <cfRule type="cellIs" dxfId="542" priority="454" stopIfTrue="1" operator="greaterThan">
      <formula>0.059</formula>
    </cfRule>
  </conditionalFormatting>
  <conditionalFormatting sqref="X592:X596">
    <cfRule type="cellIs" dxfId="541" priority="453" stopIfTrue="1" operator="greaterThan">
      <formula>0.16</formula>
    </cfRule>
  </conditionalFormatting>
  <conditionalFormatting sqref="Y592:Y596">
    <cfRule type="cellIs" dxfId="540" priority="452" stopIfTrue="1" operator="greaterThan">
      <formula>0.076</formula>
    </cfRule>
  </conditionalFormatting>
  <conditionalFormatting sqref="S592:S596">
    <cfRule type="cellIs" dxfId="539" priority="451" operator="greaterThan">
      <formula>90</formula>
    </cfRule>
  </conditionalFormatting>
  <conditionalFormatting sqref="O592:O596">
    <cfRule type="cellIs" dxfId="538" priority="450" stopIfTrue="1" operator="greaterThan">
      <formula>5</formula>
    </cfRule>
  </conditionalFormatting>
  <conditionalFormatting sqref="Q592:Q596">
    <cfRule type="cellIs" dxfId="537" priority="449" stopIfTrue="1" operator="notBetween">
      <formula>5</formula>
      <formula>9</formula>
    </cfRule>
  </conditionalFormatting>
  <conditionalFormatting sqref="R592:R596">
    <cfRule type="cellIs" dxfId="536" priority="448" stopIfTrue="1" operator="greaterThan">
      <formula>75</formula>
    </cfRule>
  </conditionalFormatting>
  <conditionalFormatting sqref="T592:T596">
    <cfRule type="cellIs" dxfId="535" priority="447" stopIfTrue="1" operator="greaterThan">
      <formula>0.4</formula>
    </cfRule>
  </conditionalFormatting>
  <conditionalFormatting sqref="U592:U596">
    <cfRule type="cellIs" dxfId="534" priority="446" stopIfTrue="1" operator="greaterThan">
      <formula>2.3</formula>
    </cfRule>
  </conditionalFormatting>
  <conditionalFormatting sqref="V592:V596">
    <cfRule type="cellIs" dxfId="533" priority="445" stopIfTrue="1" operator="greaterThan">
      <formula>1.1</formula>
    </cfRule>
  </conditionalFormatting>
  <conditionalFormatting sqref="W592:W596">
    <cfRule type="cellIs" dxfId="532" priority="444" stopIfTrue="1" operator="greaterThan">
      <formula>0.059</formula>
    </cfRule>
  </conditionalFormatting>
  <conditionalFormatting sqref="X592:X596">
    <cfRule type="cellIs" dxfId="531" priority="443" stopIfTrue="1" operator="greaterThan">
      <formula>0.16</formula>
    </cfRule>
  </conditionalFormatting>
  <conditionalFormatting sqref="Y592:Y596">
    <cfRule type="cellIs" dxfId="530" priority="442" stopIfTrue="1" operator="greaterThan">
      <formula>0.076</formula>
    </cfRule>
  </conditionalFormatting>
  <conditionalFormatting sqref="S592:S596">
    <cfRule type="cellIs" dxfId="529" priority="441" operator="greaterThan">
      <formula>90</formula>
    </cfRule>
  </conditionalFormatting>
  <conditionalFormatting sqref="O600:O605">
    <cfRule type="cellIs" dxfId="528" priority="420" stopIfTrue="1" operator="greaterThan">
      <formula>5</formula>
    </cfRule>
  </conditionalFormatting>
  <conditionalFormatting sqref="Q600:Q605">
    <cfRule type="cellIs" dxfId="527" priority="419" stopIfTrue="1" operator="notBetween">
      <formula>5</formula>
      <formula>9</formula>
    </cfRule>
  </conditionalFormatting>
  <conditionalFormatting sqref="R600:R605">
    <cfRule type="cellIs" dxfId="526" priority="418" stopIfTrue="1" operator="greaterThan">
      <formula>75</formula>
    </cfRule>
  </conditionalFormatting>
  <conditionalFormatting sqref="T600:T605">
    <cfRule type="cellIs" dxfId="525" priority="417" stopIfTrue="1" operator="greaterThan">
      <formula>0.4</formula>
    </cfRule>
  </conditionalFormatting>
  <conditionalFormatting sqref="U600:U605">
    <cfRule type="cellIs" dxfId="524" priority="416" stopIfTrue="1" operator="greaterThan">
      <formula>2.3</formula>
    </cfRule>
  </conditionalFormatting>
  <conditionalFormatting sqref="V600:V605">
    <cfRule type="cellIs" dxfId="523" priority="415" stopIfTrue="1" operator="greaterThan">
      <formula>1.1</formula>
    </cfRule>
  </conditionalFormatting>
  <conditionalFormatting sqref="W600:W605">
    <cfRule type="cellIs" dxfId="522" priority="414" stopIfTrue="1" operator="greaterThan">
      <formula>0.059</formula>
    </cfRule>
  </conditionalFormatting>
  <conditionalFormatting sqref="X600:X605">
    <cfRule type="cellIs" dxfId="521" priority="413" stopIfTrue="1" operator="greaterThan">
      <formula>0.16</formula>
    </cfRule>
  </conditionalFormatting>
  <conditionalFormatting sqref="Y600:Y605">
    <cfRule type="cellIs" dxfId="520" priority="412" stopIfTrue="1" operator="greaterThan">
      <formula>0.076</formula>
    </cfRule>
  </conditionalFormatting>
  <conditionalFormatting sqref="S600:S605">
    <cfRule type="cellIs" dxfId="519" priority="411" operator="greaterThan">
      <formula>90</formula>
    </cfRule>
  </conditionalFormatting>
  <conditionalFormatting sqref="O600:O605">
    <cfRule type="cellIs" dxfId="518" priority="410" stopIfTrue="1" operator="greaterThan">
      <formula>5</formula>
    </cfRule>
  </conditionalFormatting>
  <conditionalFormatting sqref="Q600:Q605">
    <cfRule type="cellIs" dxfId="517" priority="409" stopIfTrue="1" operator="notBetween">
      <formula>5</formula>
      <formula>9</formula>
    </cfRule>
  </conditionalFormatting>
  <conditionalFormatting sqref="R600:R605">
    <cfRule type="cellIs" dxfId="516" priority="408" stopIfTrue="1" operator="greaterThan">
      <formula>75</formula>
    </cfRule>
  </conditionalFormatting>
  <conditionalFormatting sqref="T600:T605">
    <cfRule type="cellIs" dxfId="515" priority="407" stopIfTrue="1" operator="greaterThan">
      <formula>0.4</formula>
    </cfRule>
  </conditionalFormatting>
  <conditionalFormatting sqref="U600:U605">
    <cfRule type="cellIs" dxfId="514" priority="406" stopIfTrue="1" operator="greaterThan">
      <formula>2.3</formula>
    </cfRule>
  </conditionalFormatting>
  <conditionalFormatting sqref="V600:V605">
    <cfRule type="cellIs" dxfId="513" priority="405" stopIfTrue="1" operator="greaterThan">
      <formula>1.1</formula>
    </cfRule>
  </conditionalFormatting>
  <conditionalFormatting sqref="W600:W605">
    <cfRule type="cellIs" dxfId="512" priority="404" stopIfTrue="1" operator="greaterThan">
      <formula>0.059</formula>
    </cfRule>
  </conditionalFormatting>
  <conditionalFormatting sqref="X600:X605">
    <cfRule type="cellIs" dxfId="511" priority="403" stopIfTrue="1" operator="greaterThan">
      <formula>0.16</formula>
    </cfRule>
  </conditionalFormatting>
  <conditionalFormatting sqref="Y600:Y605">
    <cfRule type="cellIs" dxfId="510" priority="402" stopIfTrue="1" operator="greaterThan">
      <formula>0.076</formula>
    </cfRule>
  </conditionalFormatting>
  <conditionalFormatting sqref="S600:S605">
    <cfRule type="cellIs" dxfId="509" priority="401" operator="greaterThan">
      <formula>90</formula>
    </cfRule>
  </conditionalFormatting>
  <conditionalFormatting sqref="O606:O612">
    <cfRule type="cellIs" dxfId="508" priority="400" stopIfTrue="1" operator="greaterThan">
      <formula>5</formula>
    </cfRule>
  </conditionalFormatting>
  <conditionalFormatting sqref="Q606:Q612">
    <cfRule type="cellIs" dxfId="507" priority="399" stopIfTrue="1" operator="notBetween">
      <formula>5</formula>
      <formula>9</formula>
    </cfRule>
  </conditionalFormatting>
  <conditionalFormatting sqref="R606:R612">
    <cfRule type="cellIs" dxfId="506" priority="398" stopIfTrue="1" operator="greaterThan">
      <formula>75</formula>
    </cfRule>
  </conditionalFormatting>
  <conditionalFormatting sqref="T606:T612">
    <cfRule type="cellIs" dxfId="505" priority="397" stopIfTrue="1" operator="greaterThan">
      <formula>0.4</formula>
    </cfRule>
  </conditionalFormatting>
  <conditionalFormatting sqref="U606:U612">
    <cfRule type="cellIs" dxfId="504" priority="396" stopIfTrue="1" operator="greaterThan">
      <formula>2.3</formula>
    </cfRule>
  </conditionalFormatting>
  <conditionalFormatting sqref="V606:V612">
    <cfRule type="cellIs" dxfId="503" priority="395" stopIfTrue="1" operator="greaterThan">
      <formula>1.1</formula>
    </cfRule>
  </conditionalFormatting>
  <conditionalFormatting sqref="W606:W612">
    <cfRule type="cellIs" dxfId="502" priority="394" stopIfTrue="1" operator="greaterThan">
      <formula>0.059</formula>
    </cfRule>
  </conditionalFormatting>
  <conditionalFormatting sqref="X606:X612">
    <cfRule type="cellIs" dxfId="501" priority="393" stopIfTrue="1" operator="greaterThan">
      <formula>0.16</formula>
    </cfRule>
  </conditionalFormatting>
  <conditionalFormatting sqref="Y606:Y612">
    <cfRule type="cellIs" dxfId="500" priority="392" stopIfTrue="1" operator="greaterThan">
      <formula>0.076</formula>
    </cfRule>
  </conditionalFormatting>
  <conditionalFormatting sqref="S606:S612">
    <cfRule type="cellIs" dxfId="499" priority="391" operator="greaterThan">
      <formula>90</formula>
    </cfRule>
  </conditionalFormatting>
  <conditionalFormatting sqref="O606:O612">
    <cfRule type="cellIs" dxfId="498" priority="390" stopIfTrue="1" operator="greaterThan">
      <formula>5</formula>
    </cfRule>
  </conditionalFormatting>
  <conditionalFormatting sqref="Q606:Q612">
    <cfRule type="cellIs" dxfId="497" priority="389" stopIfTrue="1" operator="notBetween">
      <formula>5</formula>
      <formula>9</formula>
    </cfRule>
  </conditionalFormatting>
  <conditionalFormatting sqref="R606:R612">
    <cfRule type="cellIs" dxfId="496" priority="388" stopIfTrue="1" operator="greaterThan">
      <formula>75</formula>
    </cfRule>
  </conditionalFormatting>
  <conditionalFormatting sqref="T606:T612">
    <cfRule type="cellIs" dxfId="495" priority="387" stopIfTrue="1" operator="greaterThan">
      <formula>0.4</formula>
    </cfRule>
  </conditionalFormatting>
  <conditionalFormatting sqref="U606:U612">
    <cfRule type="cellIs" dxfId="494" priority="386" stopIfTrue="1" operator="greaterThan">
      <formula>2.3</formula>
    </cfRule>
  </conditionalFormatting>
  <conditionalFormatting sqref="V606:V612">
    <cfRule type="cellIs" dxfId="493" priority="385" stopIfTrue="1" operator="greaterThan">
      <formula>1.1</formula>
    </cfRule>
  </conditionalFormatting>
  <conditionalFormatting sqref="W606:W612">
    <cfRule type="cellIs" dxfId="492" priority="384" stopIfTrue="1" operator="greaterThan">
      <formula>0.059</formula>
    </cfRule>
  </conditionalFormatting>
  <conditionalFormatting sqref="X606:X612">
    <cfRule type="cellIs" dxfId="491" priority="383" stopIfTrue="1" operator="greaterThan">
      <formula>0.16</formula>
    </cfRule>
  </conditionalFormatting>
  <conditionalFormatting sqref="Y606:Y612">
    <cfRule type="cellIs" dxfId="490" priority="382" stopIfTrue="1" operator="greaterThan">
      <formula>0.076</formula>
    </cfRule>
  </conditionalFormatting>
  <conditionalFormatting sqref="O613:O615">
    <cfRule type="cellIs" dxfId="489" priority="380" stopIfTrue="1" operator="greaterThan">
      <formula>5</formula>
    </cfRule>
  </conditionalFormatting>
  <conditionalFormatting sqref="Q613:Q615">
    <cfRule type="cellIs" dxfId="488" priority="379" stopIfTrue="1" operator="notBetween">
      <formula>5</formula>
      <formula>9</formula>
    </cfRule>
  </conditionalFormatting>
  <conditionalFormatting sqref="R613:R615">
    <cfRule type="cellIs" dxfId="487" priority="378" stopIfTrue="1" operator="greaterThan">
      <formula>75</formula>
    </cfRule>
  </conditionalFormatting>
  <conditionalFormatting sqref="T613:T615">
    <cfRule type="cellIs" dxfId="486" priority="377" stopIfTrue="1" operator="greaterThan">
      <formula>0.4</formula>
    </cfRule>
  </conditionalFormatting>
  <conditionalFormatting sqref="U613:U615">
    <cfRule type="cellIs" dxfId="485" priority="376" stopIfTrue="1" operator="greaterThan">
      <formula>2.3</formula>
    </cfRule>
  </conditionalFormatting>
  <conditionalFormatting sqref="V613:V615">
    <cfRule type="cellIs" dxfId="484" priority="375" stopIfTrue="1" operator="greaterThan">
      <formula>1.1</formula>
    </cfRule>
  </conditionalFormatting>
  <conditionalFormatting sqref="W613:W615">
    <cfRule type="cellIs" dxfId="483" priority="374" stopIfTrue="1" operator="greaterThan">
      <formula>0.059</formula>
    </cfRule>
  </conditionalFormatting>
  <conditionalFormatting sqref="X613:X615">
    <cfRule type="cellIs" dxfId="482" priority="373" stopIfTrue="1" operator="greaterThan">
      <formula>0.16</formula>
    </cfRule>
  </conditionalFormatting>
  <conditionalFormatting sqref="Y613:Y615">
    <cfRule type="cellIs" dxfId="481" priority="372" stopIfTrue="1" operator="greaterThan">
      <formula>0.076</formula>
    </cfRule>
  </conditionalFormatting>
  <conditionalFormatting sqref="S613:S615">
    <cfRule type="cellIs" dxfId="480" priority="371" operator="greaterThan">
      <formula>90</formula>
    </cfRule>
  </conditionalFormatting>
  <conditionalFormatting sqref="O613:O615">
    <cfRule type="cellIs" dxfId="479" priority="370" stopIfTrue="1" operator="greaterThan">
      <formula>5</formula>
    </cfRule>
  </conditionalFormatting>
  <conditionalFormatting sqref="Q613:Q615">
    <cfRule type="cellIs" dxfId="478" priority="369" stopIfTrue="1" operator="notBetween">
      <formula>5</formula>
      <formula>9</formula>
    </cfRule>
  </conditionalFormatting>
  <conditionalFormatting sqref="R613:R615">
    <cfRule type="cellIs" dxfId="477" priority="368" stopIfTrue="1" operator="greaterThan">
      <formula>75</formula>
    </cfRule>
  </conditionalFormatting>
  <conditionalFormatting sqref="T613:T615">
    <cfRule type="cellIs" dxfId="476" priority="367" stopIfTrue="1" operator="greaterThan">
      <formula>0.4</formula>
    </cfRule>
  </conditionalFormatting>
  <conditionalFormatting sqref="U613:U615">
    <cfRule type="cellIs" dxfId="475" priority="366" stopIfTrue="1" operator="greaterThan">
      <formula>2.3</formula>
    </cfRule>
  </conditionalFormatting>
  <conditionalFormatting sqref="V613:V615">
    <cfRule type="cellIs" dxfId="474" priority="365" stopIfTrue="1" operator="greaterThan">
      <formula>1.1</formula>
    </cfRule>
  </conditionalFormatting>
  <conditionalFormatting sqref="W613:W615">
    <cfRule type="cellIs" dxfId="473" priority="364" stopIfTrue="1" operator="greaterThan">
      <formula>0.059</formula>
    </cfRule>
  </conditionalFormatting>
  <conditionalFormatting sqref="X613:X615">
    <cfRule type="cellIs" dxfId="472" priority="363" stopIfTrue="1" operator="greaterThan">
      <formula>0.16</formula>
    </cfRule>
  </conditionalFormatting>
  <conditionalFormatting sqref="Y613:Y615">
    <cfRule type="cellIs" dxfId="471" priority="362" stopIfTrue="1" operator="greaterThan">
      <formula>0.076</formula>
    </cfRule>
  </conditionalFormatting>
  <conditionalFormatting sqref="S613:S615">
    <cfRule type="cellIs" dxfId="470" priority="361" operator="greaterThan">
      <formula>90</formula>
    </cfRule>
  </conditionalFormatting>
  <conditionalFormatting sqref="O621:O626">
    <cfRule type="cellIs" dxfId="469" priority="340" stopIfTrue="1" operator="greaterThan">
      <formula>5</formula>
    </cfRule>
  </conditionalFormatting>
  <conditionalFormatting sqref="Q621:Q626">
    <cfRule type="cellIs" dxfId="468" priority="339" stopIfTrue="1" operator="notBetween">
      <formula>5</formula>
      <formula>9</formula>
    </cfRule>
  </conditionalFormatting>
  <conditionalFormatting sqref="R621:R626">
    <cfRule type="cellIs" dxfId="467" priority="338" stopIfTrue="1" operator="greaterThan">
      <formula>75</formula>
    </cfRule>
  </conditionalFormatting>
  <conditionalFormatting sqref="T621:T626">
    <cfRule type="cellIs" dxfId="466" priority="337" stopIfTrue="1" operator="greaterThan">
      <formula>0.4</formula>
    </cfRule>
  </conditionalFormatting>
  <conditionalFormatting sqref="U621:U626">
    <cfRule type="cellIs" dxfId="465" priority="336" stopIfTrue="1" operator="greaterThan">
      <formula>2.3</formula>
    </cfRule>
  </conditionalFormatting>
  <conditionalFormatting sqref="V621:V626">
    <cfRule type="cellIs" dxfId="464" priority="335" stopIfTrue="1" operator="greaterThan">
      <formula>1.1</formula>
    </cfRule>
  </conditionalFormatting>
  <conditionalFormatting sqref="W621:W626">
    <cfRule type="cellIs" dxfId="463" priority="334" stopIfTrue="1" operator="greaterThan">
      <formula>0.059</formula>
    </cfRule>
  </conditionalFormatting>
  <conditionalFormatting sqref="X621:X626">
    <cfRule type="cellIs" dxfId="462" priority="333" stopIfTrue="1" operator="greaterThan">
      <formula>0.16</formula>
    </cfRule>
  </conditionalFormatting>
  <conditionalFormatting sqref="Y621:Y626">
    <cfRule type="cellIs" dxfId="461" priority="332" stopIfTrue="1" operator="greaterThan">
      <formula>0.076</formula>
    </cfRule>
  </conditionalFormatting>
  <conditionalFormatting sqref="S621:S626">
    <cfRule type="cellIs" dxfId="460" priority="331" operator="greaterThan">
      <formula>90</formula>
    </cfRule>
  </conditionalFormatting>
  <conditionalFormatting sqref="O621:O626">
    <cfRule type="cellIs" dxfId="459" priority="330" stopIfTrue="1" operator="greaterThan">
      <formula>5</formula>
    </cfRule>
  </conditionalFormatting>
  <conditionalFormatting sqref="Q621:Q626">
    <cfRule type="cellIs" dxfId="458" priority="329" stopIfTrue="1" operator="notBetween">
      <formula>5</formula>
      <formula>9</formula>
    </cfRule>
  </conditionalFormatting>
  <conditionalFormatting sqref="R621:R626">
    <cfRule type="cellIs" dxfId="457" priority="328" stopIfTrue="1" operator="greaterThan">
      <formula>75</formula>
    </cfRule>
  </conditionalFormatting>
  <conditionalFormatting sqref="T621:T626">
    <cfRule type="cellIs" dxfId="456" priority="327" stopIfTrue="1" operator="greaterThan">
      <formula>0.4</formula>
    </cfRule>
  </conditionalFormatting>
  <conditionalFormatting sqref="U621:U626">
    <cfRule type="cellIs" dxfId="455" priority="326" stopIfTrue="1" operator="greaterThan">
      <formula>2.3</formula>
    </cfRule>
  </conditionalFormatting>
  <conditionalFormatting sqref="V621:V626">
    <cfRule type="cellIs" dxfId="454" priority="325" stopIfTrue="1" operator="greaterThan">
      <formula>1.1</formula>
    </cfRule>
  </conditionalFormatting>
  <conditionalFormatting sqref="W621:W626">
    <cfRule type="cellIs" dxfId="453" priority="324" stopIfTrue="1" operator="greaterThan">
      <formula>0.059</formula>
    </cfRule>
  </conditionalFormatting>
  <conditionalFormatting sqref="X621:X626">
    <cfRule type="cellIs" dxfId="452" priority="323" stopIfTrue="1" operator="greaterThan">
      <formula>0.16</formula>
    </cfRule>
  </conditionalFormatting>
  <conditionalFormatting sqref="Y621:Y626">
    <cfRule type="cellIs" dxfId="451" priority="322" stopIfTrue="1" operator="greaterThan">
      <formula>0.076</formula>
    </cfRule>
  </conditionalFormatting>
  <conditionalFormatting sqref="S621:S626">
    <cfRule type="cellIs" dxfId="450" priority="321" operator="greaterThan">
      <formula>90</formula>
    </cfRule>
  </conditionalFormatting>
  <conditionalFormatting sqref="O627:O636">
    <cfRule type="cellIs" dxfId="449" priority="320" stopIfTrue="1" operator="greaterThan">
      <formula>5</formula>
    </cfRule>
  </conditionalFormatting>
  <conditionalFormatting sqref="Q627:Q636">
    <cfRule type="cellIs" dxfId="448" priority="319" stopIfTrue="1" operator="notBetween">
      <formula>5</formula>
      <formula>9</formula>
    </cfRule>
  </conditionalFormatting>
  <conditionalFormatting sqref="R627:R636">
    <cfRule type="cellIs" dxfId="447" priority="318" stopIfTrue="1" operator="greaterThan">
      <formula>75</formula>
    </cfRule>
  </conditionalFormatting>
  <conditionalFormatting sqref="T627:T636">
    <cfRule type="cellIs" dxfId="446" priority="317" stopIfTrue="1" operator="greaterThan">
      <formula>0.4</formula>
    </cfRule>
  </conditionalFormatting>
  <conditionalFormatting sqref="U627:U636">
    <cfRule type="cellIs" dxfId="445" priority="316" stopIfTrue="1" operator="greaterThan">
      <formula>2.3</formula>
    </cfRule>
  </conditionalFormatting>
  <conditionalFormatting sqref="V627:V636">
    <cfRule type="cellIs" dxfId="444" priority="315" stopIfTrue="1" operator="greaterThan">
      <formula>1.1</formula>
    </cfRule>
  </conditionalFormatting>
  <conditionalFormatting sqref="W627:W636">
    <cfRule type="cellIs" dxfId="443" priority="314" stopIfTrue="1" operator="greaterThan">
      <formula>0.059</formula>
    </cfRule>
  </conditionalFormatting>
  <conditionalFormatting sqref="X627:X636">
    <cfRule type="cellIs" dxfId="442" priority="313" stopIfTrue="1" operator="greaterThan">
      <formula>0.16</formula>
    </cfRule>
  </conditionalFormatting>
  <conditionalFormatting sqref="Y627:Y636">
    <cfRule type="cellIs" dxfId="441" priority="312" stopIfTrue="1" operator="greaterThan">
      <formula>0.076</formula>
    </cfRule>
  </conditionalFormatting>
  <conditionalFormatting sqref="S627:S636">
    <cfRule type="cellIs" dxfId="440" priority="311" operator="greaterThan">
      <formula>90</formula>
    </cfRule>
  </conditionalFormatting>
  <conditionalFormatting sqref="O627:O636">
    <cfRule type="cellIs" dxfId="439" priority="310" stopIfTrue="1" operator="greaterThan">
      <formula>5</formula>
    </cfRule>
  </conditionalFormatting>
  <conditionalFormatting sqref="Q627:Q636">
    <cfRule type="cellIs" dxfId="438" priority="309" stopIfTrue="1" operator="notBetween">
      <formula>5</formula>
      <formula>9</formula>
    </cfRule>
  </conditionalFormatting>
  <conditionalFormatting sqref="R627:R636">
    <cfRule type="cellIs" dxfId="437" priority="308" stopIfTrue="1" operator="greaterThan">
      <formula>75</formula>
    </cfRule>
  </conditionalFormatting>
  <conditionalFormatting sqref="T627:T636">
    <cfRule type="cellIs" dxfId="436" priority="307" stopIfTrue="1" operator="greaterThan">
      <formula>0.4</formula>
    </cfRule>
  </conditionalFormatting>
  <conditionalFormatting sqref="U627:U636">
    <cfRule type="cellIs" dxfId="435" priority="306" stopIfTrue="1" operator="greaterThan">
      <formula>2.3</formula>
    </cfRule>
  </conditionalFormatting>
  <conditionalFormatting sqref="V627:V636">
    <cfRule type="cellIs" dxfId="434" priority="305" stopIfTrue="1" operator="greaterThan">
      <formula>1.1</formula>
    </cfRule>
  </conditionalFormatting>
  <conditionalFormatting sqref="W627:W636">
    <cfRule type="cellIs" dxfId="433" priority="304" stopIfTrue="1" operator="greaterThan">
      <formula>0.059</formula>
    </cfRule>
  </conditionalFormatting>
  <conditionalFormatting sqref="X627:X636">
    <cfRule type="cellIs" dxfId="432" priority="303" stopIfTrue="1" operator="greaterThan">
      <formula>0.16</formula>
    </cfRule>
  </conditionalFormatting>
  <conditionalFormatting sqref="Y627:Y636">
    <cfRule type="cellIs" dxfId="431" priority="302" stopIfTrue="1" operator="greaterThan">
      <formula>0.076</formula>
    </cfRule>
  </conditionalFormatting>
  <conditionalFormatting sqref="S627:S636">
    <cfRule type="cellIs" dxfId="430" priority="301" operator="greaterThan">
      <formula>90</formula>
    </cfRule>
  </conditionalFormatting>
  <conditionalFormatting sqref="O701">
    <cfRule type="cellIs" dxfId="429" priority="260" stopIfTrue="1" operator="greaterThan">
      <formula>5</formula>
    </cfRule>
  </conditionalFormatting>
  <conditionalFormatting sqref="Q701">
    <cfRule type="cellIs" dxfId="428" priority="259" stopIfTrue="1" operator="notBetween">
      <formula>5</formula>
      <formula>9</formula>
    </cfRule>
  </conditionalFormatting>
  <conditionalFormatting sqref="R701">
    <cfRule type="cellIs" dxfId="427" priority="258" stopIfTrue="1" operator="greaterThan">
      <formula>75</formula>
    </cfRule>
  </conditionalFormatting>
  <conditionalFormatting sqref="S701">
    <cfRule type="cellIs" dxfId="426" priority="257" stopIfTrue="1" operator="greaterThan">
      <formula>90</formula>
    </cfRule>
  </conditionalFormatting>
  <conditionalFormatting sqref="T701">
    <cfRule type="cellIs" dxfId="425" priority="256" stopIfTrue="1" operator="greaterThan">
      <formula>0.4</formula>
    </cfRule>
  </conditionalFormatting>
  <conditionalFormatting sqref="U701">
    <cfRule type="cellIs" dxfId="424" priority="255" stopIfTrue="1" operator="greaterThan">
      <formula>2.3</formula>
    </cfRule>
  </conditionalFormatting>
  <conditionalFormatting sqref="V701">
    <cfRule type="cellIs" dxfId="423" priority="254" stopIfTrue="1" operator="greaterThan">
      <formula>1.1</formula>
    </cfRule>
  </conditionalFormatting>
  <conditionalFormatting sqref="W701">
    <cfRule type="cellIs" dxfId="422" priority="253" stopIfTrue="1" operator="greaterThan">
      <formula>0.059</formula>
    </cfRule>
  </conditionalFormatting>
  <conditionalFormatting sqref="X701">
    <cfRule type="cellIs" dxfId="421" priority="252" stopIfTrue="1" operator="greaterThan">
      <formula>0.16</formula>
    </cfRule>
  </conditionalFormatting>
  <conditionalFormatting sqref="Y701">
    <cfRule type="cellIs" dxfId="420" priority="251" stopIfTrue="1" operator="greaterThan">
      <formula>0.076</formula>
    </cfRule>
  </conditionalFormatting>
  <conditionalFormatting sqref="O702">
    <cfRule type="cellIs" dxfId="419" priority="250" stopIfTrue="1" operator="greaterThan">
      <formula>5</formula>
    </cfRule>
  </conditionalFormatting>
  <conditionalFormatting sqref="Q702">
    <cfRule type="cellIs" dxfId="418" priority="249" stopIfTrue="1" operator="notBetween">
      <formula>5</formula>
      <formula>9</formula>
    </cfRule>
  </conditionalFormatting>
  <conditionalFormatting sqref="R702">
    <cfRule type="cellIs" dxfId="417" priority="248" stopIfTrue="1" operator="greaterThan">
      <formula>75</formula>
    </cfRule>
  </conditionalFormatting>
  <conditionalFormatting sqref="S702">
    <cfRule type="cellIs" dxfId="416" priority="247" stopIfTrue="1" operator="greaterThan">
      <formula>90</formula>
    </cfRule>
  </conditionalFormatting>
  <conditionalFormatting sqref="T702">
    <cfRule type="cellIs" dxfId="415" priority="246" stopIfTrue="1" operator="greaterThan">
      <formula>0.4</formula>
    </cfRule>
  </conditionalFormatting>
  <conditionalFormatting sqref="U702">
    <cfRule type="cellIs" dxfId="414" priority="245" stopIfTrue="1" operator="greaterThan">
      <formula>2.3</formula>
    </cfRule>
  </conditionalFormatting>
  <conditionalFormatting sqref="V702">
    <cfRule type="cellIs" dxfId="413" priority="244" stopIfTrue="1" operator="greaterThan">
      <formula>1.1</formula>
    </cfRule>
  </conditionalFormatting>
  <conditionalFormatting sqref="W702">
    <cfRule type="cellIs" dxfId="412" priority="243" stopIfTrue="1" operator="greaterThan">
      <formula>0.059</formula>
    </cfRule>
  </conditionalFormatting>
  <conditionalFormatting sqref="X702">
    <cfRule type="cellIs" dxfId="411" priority="242" stopIfTrue="1" operator="greaterThan">
      <formula>0.16</formula>
    </cfRule>
  </conditionalFormatting>
  <conditionalFormatting sqref="Y702">
    <cfRule type="cellIs" dxfId="410" priority="241" stopIfTrue="1" operator="greaterThan">
      <formula>0.076</formula>
    </cfRule>
  </conditionalFormatting>
  <conditionalFormatting sqref="O703:O704">
    <cfRule type="cellIs" dxfId="409" priority="230" stopIfTrue="1" operator="greaterThan">
      <formula>5</formula>
    </cfRule>
  </conditionalFormatting>
  <conditionalFormatting sqref="Q703:Q704">
    <cfRule type="cellIs" dxfId="408" priority="229" stopIfTrue="1" operator="notBetween">
      <formula>5</formula>
      <formula>9</formula>
    </cfRule>
  </conditionalFormatting>
  <conditionalFormatting sqref="R703:R704">
    <cfRule type="cellIs" dxfId="407" priority="228" stopIfTrue="1" operator="greaterThan">
      <formula>75</formula>
    </cfRule>
  </conditionalFormatting>
  <conditionalFormatting sqref="T703:T704">
    <cfRule type="cellIs" dxfId="406" priority="227" stopIfTrue="1" operator="greaterThan">
      <formula>0.4</formula>
    </cfRule>
  </conditionalFormatting>
  <conditionalFormatting sqref="U703:U704">
    <cfRule type="cellIs" dxfId="405" priority="226" stopIfTrue="1" operator="greaterThan">
      <formula>2.3</formula>
    </cfRule>
  </conditionalFormatting>
  <conditionalFormatting sqref="V703:V704">
    <cfRule type="cellIs" dxfId="404" priority="225" stopIfTrue="1" operator="greaterThan">
      <formula>1.1</formula>
    </cfRule>
  </conditionalFormatting>
  <conditionalFormatting sqref="W703:W704">
    <cfRule type="cellIs" dxfId="403" priority="224" stopIfTrue="1" operator="greaterThan">
      <formula>0.059</formula>
    </cfRule>
  </conditionalFormatting>
  <conditionalFormatting sqref="X703:X704">
    <cfRule type="cellIs" dxfId="402" priority="223" stopIfTrue="1" operator="greaterThan">
      <formula>0.16</formula>
    </cfRule>
  </conditionalFormatting>
  <conditionalFormatting sqref="Y703:Y704">
    <cfRule type="cellIs" dxfId="401" priority="222" stopIfTrue="1" operator="greaterThan">
      <formula>0.076</formula>
    </cfRule>
  </conditionalFormatting>
  <conditionalFormatting sqref="S703:S704">
    <cfRule type="cellIs" dxfId="400" priority="221" operator="greaterThan">
      <formula>90</formula>
    </cfRule>
  </conditionalFormatting>
  <conditionalFormatting sqref="O705">
    <cfRule type="cellIs" dxfId="399" priority="200" stopIfTrue="1" operator="greaterThan">
      <formula>5</formula>
    </cfRule>
  </conditionalFormatting>
  <conditionalFormatting sqref="Q705">
    <cfRule type="cellIs" dxfId="398" priority="199" stopIfTrue="1" operator="notBetween">
      <formula>5</formula>
      <formula>9</formula>
    </cfRule>
  </conditionalFormatting>
  <conditionalFormatting sqref="R705">
    <cfRule type="cellIs" dxfId="397" priority="198" stopIfTrue="1" operator="greaterThan">
      <formula>75</formula>
    </cfRule>
  </conditionalFormatting>
  <conditionalFormatting sqref="S705">
    <cfRule type="cellIs" dxfId="396" priority="197" stopIfTrue="1" operator="greaterThan">
      <formula>90</formula>
    </cfRule>
  </conditionalFormatting>
  <conditionalFormatting sqref="T705">
    <cfRule type="cellIs" dxfId="395" priority="196" stopIfTrue="1" operator="greaterThan">
      <formula>0.4</formula>
    </cfRule>
  </conditionalFormatting>
  <conditionalFormatting sqref="U705">
    <cfRule type="cellIs" dxfId="394" priority="195" stopIfTrue="1" operator="greaterThan">
      <formula>2.3</formula>
    </cfRule>
  </conditionalFormatting>
  <conditionalFormatting sqref="V705">
    <cfRule type="cellIs" dxfId="393" priority="194" stopIfTrue="1" operator="greaterThan">
      <formula>1.1</formula>
    </cfRule>
  </conditionalFormatting>
  <conditionalFormatting sqref="W705">
    <cfRule type="cellIs" dxfId="392" priority="193" stopIfTrue="1" operator="greaterThan">
      <formula>0.059</formula>
    </cfRule>
  </conditionalFormatting>
  <conditionalFormatting sqref="X705">
    <cfRule type="cellIs" dxfId="391" priority="192" stopIfTrue="1" operator="greaterThan">
      <formula>0.16</formula>
    </cfRule>
  </conditionalFormatting>
  <conditionalFormatting sqref="Y705">
    <cfRule type="cellIs" dxfId="390" priority="191" stopIfTrue="1" operator="greaterThan">
      <formula>0.076</formula>
    </cfRule>
  </conditionalFormatting>
  <conditionalFormatting sqref="O706">
    <cfRule type="cellIs" dxfId="389" priority="190" stopIfTrue="1" operator="greaterThan">
      <formula>5</formula>
    </cfRule>
  </conditionalFormatting>
  <conditionalFormatting sqref="Q706">
    <cfRule type="cellIs" dxfId="388" priority="189" stopIfTrue="1" operator="notBetween">
      <formula>5</formula>
      <formula>9</formula>
    </cfRule>
  </conditionalFormatting>
  <conditionalFormatting sqref="R706">
    <cfRule type="cellIs" dxfId="387" priority="188" stopIfTrue="1" operator="greaterThan">
      <formula>75</formula>
    </cfRule>
  </conditionalFormatting>
  <conditionalFormatting sqref="S706">
    <cfRule type="cellIs" dxfId="386" priority="187" stopIfTrue="1" operator="greaterThan">
      <formula>90</formula>
    </cfRule>
  </conditionalFormatting>
  <conditionalFormatting sqref="T706">
    <cfRule type="cellIs" dxfId="385" priority="186" stopIfTrue="1" operator="greaterThan">
      <formula>0.4</formula>
    </cfRule>
  </conditionalFormatting>
  <conditionalFormatting sqref="U706">
    <cfRule type="cellIs" dxfId="384" priority="185" stopIfTrue="1" operator="greaterThan">
      <formula>2.3</formula>
    </cfRule>
  </conditionalFormatting>
  <conditionalFormatting sqref="V706">
    <cfRule type="cellIs" dxfId="383" priority="184" stopIfTrue="1" operator="greaterThan">
      <formula>1.1</formula>
    </cfRule>
  </conditionalFormatting>
  <conditionalFormatting sqref="W706">
    <cfRule type="cellIs" dxfId="382" priority="183" stopIfTrue="1" operator="greaterThan">
      <formula>0.059</formula>
    </cfRule>
  </conditionalFormatting>
  <conditionalFormatting sqref="X706">
    <cfRule type="cellIs" dxfId="381" priority="182" stopIfTrue="1" operator="greaterThan">
      <formula>0.16</formula>
    </cfRule>
  </conditionalFormatting>
  <conditionalFormatting sqref="Y706">
    <cfRule type="cellIs" dxfId="380" priority="181" stopIfTrue="1" operator="greaterThan">
      <formula>0.076</formula>
    </cfRule>
  </conditionalFormatting>
  <conditionalFormatting sqref="O707">
    <cfRule type="cellIs" dxfId="379" priority="180" stopIfTrue="1" operator="greaterThan">
      <formula>5</formula>
    </cfRule>
  </conditionalFormatting>
  <conditionalFormatting sqref="Q707">
    <cfRule type="cellIs" dxfId="378" priority="179" stopIfTrue="1" operator="notBetween">
      <formula>5</formula>
      <formula>9</formula>
    </cfRule>
  </conditionalFormatting>
  <conditionalFormatting sqref="R707">
    <cfRule type="cellIs" dxfId="377" priority="178" stopIfTrue="1" operator="greaterThan">
      <formula>75</formula>
    </cfRule>
  </conditionalFormatting>
  <conditionalFormatting sqref="S707">
    <cfRule type="cellIs" dxfId="376" priority="177" stopIfTrue="1" operator="greaterThan">
      <formula>90</formula>
    </cfRule>
  </conditionalFormatting>
  <conditionalFormatting sqref="T707">
    <cfRule type="cellIs" dxfId="375" priority="176" stopIfTrue="1" operator="greaterThan">
      <formula>0.4</formula>
    </cfRule>
  </conditionalFormatting>
  <conditionalFormatting sqref="U707">
    <cfRule type="cellIs" dxfId="374" priority="175" stopIfTrue="1" operator="greaterThan">
      <formula>2.3</formula>
    </cfRule>
  </conditionalFormatting>
  <conditionalFormatting sqref="V707">
    <cfRule type="cellIs" dxfId="373" priority="174" stopIfTrue="1" operator="greaterThan">
      <formula>1.1</formula>
    </cfRule>
  </conditionalFormatting>
  <conditionalFormatting sqref="W707">
    <cfRule type="cellIs" dxfId="372" priority="173" stopIfTrue="1" operator="greaterThan">
      <formula>0.059</formula>
    </cfRule>
  </conditionalFormatting>
  <conditionalFormatting sqref="X707">
    <cfRule type="cellIs" dxfId="371" priority="172" stopIfTrue="1" operator="greaterThan">
      <formula>0.16</formula>
    </cfRule>
  </conditionalFormatting>
  <conditionalFormatting sqref="Y707">
    <cfRule type="cellIs" dxfId="370" priority="171" stopIfTrue="1" operator="greaterThan">
      <formula>0.076</formula>
    </cfRule>
  </conditionalFormatting>
  <conditionalFormatting sqref="O708">
    <cfRule type="cellIs" dxfId="369" priority="170" stopIfTrue="1" operator="greaterThan">
      <formula>5</formula>
    </cfRule>
  </conditionalFormatting>
  <conditionalFormatting sqref="Q708">
    <cfRule type="cellIs" dxfId="368" priority="169" stopIfTrue="1" operator="notBetween">
      <formula>5</formula>
      <formula>9</formula>
    </cfRule>
  </conditionalFormatting>
  <conditionalFormatting sqref="R708">
    <cfRule type="cellIs" dxfId="367" priority="168" stopIfTrue="1" operator="greaterThan">
      <formula>75</formula>
    </cfRule>
  </conditionalFormatting>
  <conditionalFormatting sqref="S708">
    <cfRule type="cellIs" dxfId="366" priority="167" stopIfTrue="1" operator="greaterThan">
      <formula>90</formula>
    </cfRule>
  </conditionalFormatting>
  <conditionalFormatting sqref="T708">
    <cfRule type="cellIs" dxfId="365" priority="166" stopIfTrue="1" operator="greaterThan">
      <formula>0.4</formula>
    </cfRule>
  </conditionalFormatting>
  <conditionalFormatting sqref="U708">
    <cfRule type="cellIs" dxfId="364" priority="165" stopIfTrue="1" operator="greaterThan">
      <formula>2.3</formula>
    </cfRule>
  </conditionalFormatting>
  <conditionalFormatting sqref="V708">
    <cfRule type="cellIs" dxfId="363" priority="164" stopIfTrue="1" operator="greaterThan">
      <formula>1.1</formula>
    </cfRule>
  </conditionalFormatting>
  <conditionalFormatting sqref="W708">
    <cfRule type="cellIs" dxfId="362" priority="163" stopIfTrue="1" operator="greaterThan">
      <formula>0.059</formula>
    </cfRule>
  </conditionalFormatting>
  <conditionalFormatting sqref="X708">
    <cfRule type="cellIs" dxfId="361" priority="162" stopIfTrue="1" operator="greaterThan">
      <formula>0.16</formula>
    </cfRule>
  </conditionalFormatting>
  <conditionalFormatting sqref="Y708">
    <cfRule type="cellIs" dxfId="360" priority="161" stopIfTrue="1" operator="greaterThan">
      <formula>0.076</formula>
    </cfRule>
  </conditionalFormatting>
  <conditionalFormatting sqref="O709:O711">
    <cfRule type="cellIs" dxfId="359" priority="160" stopIfTrue="1" operator="greaterThan">
      <formula>5</formula>
    </cfRule>
  </conditionalFormatting>
  <conditionalFormatting sqref="Q709:Q711">
    <cfRule type="cellIs" dxfId="358" priority="159" stopIfTrue="1" operator="notBetween">
      <formula>5</formula>
      <formula>9</formula>
    </cfRule>
  </conditionalFormatting>
  <conditionalFormatting sqref="R709:R711">
    <cfRule type="cellIs" dxfId="357" priority="158" stopIfTrue="1" operator="greaterThan">
      <formula>75</formula>
    </cfRule>
  </conditionalFormatting>
  <conditionalFormatting sqref="S709:S711">
    <cfRule type="cellIs" dxfId="356" priority="157" stopIfTrue="1" operator="greaterThan">
      <formula>90</formula>
    </cfRule>
  </conditionalFormatting>
  <conditionalFormatting sqref="T709:T711">
    <cfRule type="cellIs" dxfId="355" priority="156" stopIfTrue="1" operator="greaterThan">
      <formula>0.4</formula>
    </cfRule>
  </conditionalFormatting>
  <conditionalFormatting sqref="U709:U711">
    <cfRule type="cellIs" dxfId="354" priority="155" stopIfTrue="1" operator="greaterThan">
      <formula>2.3</formula>
    </cfRule>
  </conditionalFormatting>
  <conditionalFormatting sqref="V709:V711">
    <cfRule type="cellIs" dxfId="353" priority="154" stopIfTrue="1" operator="greaterThan">
      <formula>1.1</formula>
    </cfRule>
  </conditionalFormatting>
  <conditionalFormatting sqref="W709:W711">
    <cfRule type="cellIs" dxfId="352" priority="153" stopIfTrue="1" operator="greaterThan">
      <formula>0.059</formula>
    </cfRule>
  </conditionalFormatting>
  <conditionalFormatting sqref="X709:X711">
    <cfRule type="cellIs" dxfId="351" priority="152" stopIfTrue="1" operator="greaterThan">
      <formula>0.16</formula>
    </cfRule>
  </conditionalFormatting>
  <conditionalFormatting sqref="Y709:Y711">
    <cfRule type="cellIs" dxfId="350" priority="151" stopIfTrue="1" operator="greaterThan">
      <formula>0.076</formula>
    </cfRule>
  </conditionalFormatting>
  <conditionalFormatting sqref="Y712:Y714">
    <cfRule type="cellIs" dxfId="349" priority="141" stopIfTrue="1" operator="greaterThan">
      <formula>0.076</formula>
    </cfRule>
  </conditionalFormatting>
  <conditionalFormatting sqref="O712:O714">
    <cfRule type="cellIs" dxfId="348" priority="150" stopIfTrue="1" operator="greaterThan">
      <formula>5</formula>
    </cfRule>
  </conditionalFormatting>
  <conditionalFormatting sqref="Q712:Q714">
    <cfRule type="cellIs" dxfId="347" priority="149" stopIfTrue="1" operator="notBetween">
      <formula>5</formula>
      <formula>9</formula>
    </cfRule>
  </conditionalFormatting>
  <conditionalFormatting sqref="R712:R714">
    <cfRule type="cellIs" dxfId="346" priority="148" stopIfTrue="1" operator="greaterThan">
      <formula>75</formula>
    </cfRule>
  </conditionalFormatting>
  <conditionalFormatting sqref="S712:S714">
    <cfRule type="cellIs" dxfId="345" priority="147" stopIfTrue="1" operator="greaterThan">
      <formula>90</formula>
    </cfRule>
  </conditionalFormatting>
  <conditionalFormatting sqref="T712:T714">
    <cfRule type="cellIs" dxfId="344" priority="146" stopIfTrue="1" operator="greaterThan">
      <formula>0.4</formula>
    </cfRule>
  </conditionalFormatting>
  <conditionalFormatting sqref="U712:U714">
    <cfRule type="cellIs" dxfId="343" priority="145" stopIfTrue="1" operator="greaterThan">
      <formula>2.3</formula>
    </cfRule>
  </conditionalFormatting>
  <conditionalFormatting sqref="V712:V714">
    <cfRule type="cellIs" dxfId="342" priority="144" stopIfTrue="1" operator="greaterThan">
      <formula>1.1</formula>
    </cfRule>
  </conditionalFormatting>
  <conditionalFormatting sqref="W712:W714">
    <cfRule type="cellIs" dxfId="341" priority="143" stopIfTrue="1" operator="greaterThan">
      <formula>0.059</formula>
    </cfRule>
  </conditionalFormatting>
  <conditionalFormatting sqref="X712:X714">
    <cfRule type="cellIs" dxfId="340" priority="142" stopIfTrue="1" operator="greaterThan">
      <formula>0.16</formula>
    </cfRule>
  </conditionalFormatting>
  <conditionalFormatting sqref="O579:O580">
    <cfRule type="cellIs" dxfId="339" priority="140" stopIfTrue="1" operator="greaterThan">
      <formula>5</formula>
    </cfRule>
  </conditionalFormatting>
  <conditionalFormatting sqref="Q579:Q580">
    <cfRule type="cellIs" dxfId="338" priority="139" stopIfTrue="1" operator="notBetween">
      <formula>5</formula>
      <formula>9</formula>
    </cfRule>
  </conditionalFormatting>
  <conditionalFormatting sqref="R579:R580">
    <cfRule type="cellIs" dxfId="337" priority="138" stopIfTrue="1" operator="greaterThan">
      <formula>75</formula>
    </cfRule>
  </conditionalFormatting>
  <conditionalFormatting sqref="T579:T580">
    <cfRule type="cellIs" dxfId="336" priority="137" stopIfTrue="1" operator="greaterThan">
      <formula>0.4</formula>
    </cfRule>
  </conditionalFormatting>
  <conditionalFormatting sqref="U579:U580">
    <cfRule type="cellIs" dxfId="335" priority="136" stopIfTrue="1" operator="greaterThan">
      <formula>2.3</formula>
    </cfRule>
  </conditionalFormatting>
  <conditionalFormatting sqref="V579:V580">
    <cfRule type="cellIs" dxfId="334" priority="135" stopIfTrue="1" operator="greaterThan">
      <formula>1.1</formula>
    </cfRule>
  </conditionalFormatting>
  <conditionalFormatting sqref="W579:W580">
    <cfRule type="cellIs" dxfId="333" priority="134" stopIfTrue="1" operator="greaterThan">
      <formula>0.059</formula>
    </cfRule>
  </conditionalFormatting>
  <conditionalFormatting sqref="X579:X580">
    <cfRule type="cellIs" dxfId="332" priority="133" stopIfTrue="1" operator="greaterThan">
      <formula>0.16</formula>
    </cfRule>
  </conditionalFormatting>
  <conditionalFormatting sqref="Y579:Y580">
    <cfRule type="cellIs" dxfId="331" priority="132" stopIfTrue="1" operator="greaterThan">
      <formula>0.076</formula>
    </cfRule>
  </conditionalFormatting>
  <conditionalFormatting sqref="S579:S580">
    <cfRule type="cellIs" dxfId="330" priority="131" operator="greaterThan">
      <formula>90</formula>
    </cfRule>
  </conditionalFormatting>
  <conditionalFormatting sqref="O579:O580">
    <cfRule type="cellIs" dxfId="329" priority="130" stopIfTrue="1" operator="greaterThan">
      <formula>5</formula>
    </cfRule>
  </conditionalFormatting>
  <conditionalFormatting sqref="Q579:Q580">
    <cfRule type="cellIs" dxfId="328" priority="129" stopIfTrue="1" operator="notBetween">
      <formula>5</formula>
      <formula>9</formula>
    </cfRule>
  </conditionalFormatting>
  <conditionalFormatting sqref="R579:R580">
    <cfRule type="cellIs" dxfId="327" priority="128" stopIfTrue="1" operator="greaterThan">
      <formula>75</formula>
    </cfRule>
  </conditionalFormatting>
  <conditionalFormatting sqref="T579:T580">
    <cfRule type="cellIs" dxfId="326" priority="127" stopIfTrue="1" operator="greaterThan">
      <formula>0.4</formula>
    </cfRule>
  </conditionalFormatting>
  <conditionalFormatting sqref="U579:U580">
    <cfRule type="cellIs" dxfId="325" priority="126" stopIfTrue="1" operator="greaterThan">
      <formula>2.3</formula>
    </cfRule>
  </conditionalFormatting>
  <conditionalFormatting sqref="V579:V580">
    <cfRule type="cellIs" dxfId="324" priority="125" stopIfTrue="1" operator="greaterThan">
      <formula>1.1</formula>
    </cfRule>
  </conditionalFormatting>
  <conditionalFormatting sqref="W579:W580">
    <cfRule type="cellIs" dxfId="323" priority="124" stopIfTrue="1" operator="greaterThan">
      <formula>0.059</formula>
    </cfRule>
  </conditionalFormatting>
  <conditionalFormatting sqref="X579:X580">
    <cfRule type="cellIs" dxfId="322" priority="123" stopIfTrue="1" operator="greaterThan">
      <formula>0.16</formula>
    </cfRule>
  </conditionalFormatting>
  <conditionalFormatting sqref="Y579:Y580">
    <cfRule type="cellIs" dxfId="321" priority="122" stopIfTrue="1" operator="greaterThan">
      <formula>0.076</formula>
    </cfRule>
  </conditionalFormatting>
  <conditionalFormatting sqref="S579:S580">
    <cfRule type="cellIs" dxfId="320" priority="121" operator="greaterThan">
      <formula>90</formula>
    </cfRule>
  </conditionalFormatting>
  <conditionalFormatting sqref="O581:O583">
    <cfRule type="cellIs" dxfId="319" priority="120" stopIfTrue="1" operator="greaterThan">
      <formula>5</formula>
    </cfRule>
  </conditionalFormatting>
  <conditionalFormatting sqref="Q581:Q583">
    <cfRule type="cellIs" dxfId="318" priority="119" stopIfTrue="1" operator="notBetween">
      <formula>5</formula>
      <formula>9</formula>
    </cfRule>
  </conditionalFormatting>
  <conditionalFormatting sqref="R581:R583">
    <cfRule type="cellIs" dxfId="317" priority="118" stopIfTrue="1" operator="greaterThan">
      <formula>75</formula>
    </cfRule>
  </conditionalFormatting>
  <conditionalFormatting sqref="T581:T583">
    <cfRule type="cellIs" dxfId="316" priority="117" stopIfTrue="1" operator="greaterThan">
      <formula>0.4</formula>
    </cfRule>
  </conditionalFormatting>
  <conditionalFormatting sqref="U581:U583">
    <cfRule type="cellIs" dxfId="315" priority="116" stopIfTrue="1" operator="greaterThan">
      <formula>2.3</formula>
    </cfRule>
  </conditionalFormatting>
  <conditionalFormatting sqref="V581:V583">
    <cfRule type="cellIs" dxfId="314" priority="115" stopIfTrue="1" operator="greaterThan">
      <formula>1.1</formula>
    </cfRule>
  </conditionalFormatting>
  <conditionalFormatting sqref="W581:W583">
    <cfRule type="cellIs" dxfId="313" priority="114" stopIfTrue="1" operator="greaterThan">
      <formula>0.059</formula>
    </cfRule>
  </conditionalFormatting>
  <conditionalFormatting sqref="X581:X583">
    <cfRule type="cellIs" dxfId="312" priority="113" stopIfTrue="1" operator="greaterThan">
      <formula>0.16</formula>
    </cfRule>
  </conditionalFormatting>
  <conditionalFormatting sqref="Y581:Y583">
    <cfRule type="cellIs" dxfId="311" priority="112" stopIfTrue="1" operator="greaterThan">
      <formula>0.076</formula>
    </cfRule>
  </conditionalFormatting>
  <conditionalFormatting sqref="S581:S583">
    <cfRule type="cellIs" dxfId="310" priority="111" operator="greaterThan">
      <formula>90</formula>
    </cfRule>
  </conditionalFormatting>
  <conditionalFormatting sqref="O581:O583">
    <cfRule type="cellIs" dxfId="309" priority="110" stopIfTrue="1" operator="greaterThan">
      <formula>5</formula>
    </cfRule>
  </conditionalFormatting>
  <conditionalFormatting sqref="Q581:Q583">
    <cfRule type="cellIs" dxfId="308" priority="109" stopIfTrue="1" operator="notBetween">
      <formula>5</formula>
      <formula>9</formula>
    </cfRule>
  </conditionalFormatting>
  <conditionalFormatting sqref="R581:R583">
    <cfRule type="cellIs" dxfId="307" priority="108" stopIfTrue="1" operator="greaterThan">
      <formula>75</formula>
    </cfRule>
  </conditionalFormatting>
  <conditionalFormatting sqref="T581:T583">
    <cfRule type="cellIs" dxfId="306" priority="107" stopIfTrue="1" operator="greaterThan">
      <formula>0.4</formula>
    </cfRule>
  </conditionalFormatting>
  <conditionalFormatting sqref="U581:U583">
    <cfRule type="cellIs" dxfId="305" priority="106" stopIfTrue="1" operator="greaterThan">
      <formula>2.3</formula>
    </cfRule>
  </conditionalFormatting>
  <conditionalFormatting sqref="V581:V583">
    <cfRule type="cellIs" dxfId="304" priority="105" stopIfTrue="1" operator="greaterThan">
      <formula>1.1</formula>
    </cfRule>
  </conditionalFormatting>
  <conditionalFormatting sqref="W581:W583">
    <cfRule type="cellIs" dxfId="303" priority="104" stopIfTrue="1" operator="greaterThan">
      <formula>0.059</formula>
    </cfRule>
  </conditionalFormatting>
  <conditionalFormatting sqref="X581:X583">
    <cfRule type="cellIs" dxfId="302" priority="103" stopIfTrue="1" operator="greaterThan">
      <formula>0.16</formula>
    </cfRule>
  </conditionalFormatting>
  <conditionalFormatting sqref="Y581:Y583">
    <cfRule type="cellIs" dxfId="301" priority="102" stopIfTrue="1" operator="greaterThan">
      <formula>0.076</formula>
    </cfRule>
  </conditionalFormatting>
  <conditionalFormatting sqref="S581:S583">
    <cfRule type="cellIs" dxfId="300" priority="101" operator="greaterThan">
      <formula>90</formula>
    </cfRule>
  </conditionalFormatting>
  <conditionalFormatting sqref="O584:O587">
    <cfRule type="cellIs" dxfId="299" priority="100" stopIfTrue="1" operator="greaterThan">
      <formula>5</formula>
    </cfRule>
  </conditionalFormatting>
  <conditionalFormatting sqref="Q584:Q587">
    <cfRule type="cellIs" dxfId="298" priority="99" stopIfTrue="1" operator="notBetween">
      <formula>5</formula>
      <formula>9</formula>
    </cfRule>
  </conditionalFormatting>
  <conditionalFormatting sqref="R584:R587">
    <cfRule type="cellIs" dxfId="297" priority="98" stopIfTrue="1" operator="greaterThan">
      <formula>75</formula>
    </cfRule>
  </conditionalFormatting>
  <conditionalFormatting sqref="T584:T587">
    <cfRule type="cellIs" dxfId="296" priority="97" stopIfTrue="1" operator="greaterThan">
      <formula>0.4</formula>
    </cfRule>
  </conditionalFormatting>
  <conditionalFormatting sqref="U584:U587">
    <cfRule type="cellIs" dxfId="295" priority="96" stopIfTrue="1" operator="greaterThan">
      <formula>2.3</formula>
    </cfRule>
  </conditionalFormatting>
  <conditionalFormatting sqref="V584:V587">
    <cfRule type="cellIs" dxfId="294" priority="95" stopIfTrue="1" operator="greaterThan">
      <formula>1.1</formula>
    </cfRule>
  </conditionalFormatting>
  <conditionalFormatting sqref="W584:W587">
    <cfRule type="cellIs" dxfId="293" priority="94" stopIfTrue="1" operator="greaterThan">
      <formula>0.059</formula>
    </cfRule>
  </conditionalFormatting>
  <conditionalFormatting sqref="X584:X587">
    <cfRule type="cellIs" dxfId="292" priority="93" stopIfTrue="1" operator="greaterThan">
      <formula>0.16</formula>
    </cfRule>
  </conditionalFormatting>
  <conditionalFormatting sqref="Y584:Y587">
    <cfRule type="cellIs" dxfId="291" priority="92" stopIfTrue="1" operator="greaterThan">
      <formula>0.076</formula>
    </cfRule>
  </conditionalFormatting>
  <conditionalFormatting sqref="S584:S587">
    <cfRule type="cellIs" dxfId="290" priority="91" operator="greaterThan">
      <formula>90</formula>
    </cfRule>
  </conditionalFormatting>
  <conditionalFormatting sqref="O584:O587">
    <cfRule type="cellIs" dxfId="289" priority="90" stopIfTrue="1" operator="greaterThan">
      <formula>5</formula>
    </cfRule>
  </conditionalFormatting>
  <conditionalFormatting sqref="Q584:Q587">
    <cfRule type="cellIs" dxfId="288" priority="89" stopIfTrue="1" operator="notBetween">
      <formula>5</formula>
      <formula>9</formula>
    </cfRule>
  </conditionalFormatting>
  <conditionalFormatting sqref="R584:R587">
    <cfRule type="cellIs" dxfId="287" priority="88" stopIfTrue="1" operator="greaterThan">
      <formula>75</formula>
    </cfRule>
  </conditionalFormatting>
  <conditionalFormatting sqref="T584:T587">
    <cfRule type="cellIs" dxfId="286" priority="87" stopIfTrue="1" operator="greaterThan">
      <formula>0.4</formula>
    </cfRule>
  </conditionalFormatting>
  <conditionalFormatting sqref="U584:U587">
    <cfRule type="cellIs" dxfId="285" priority="86" stopIfTrue="1" operator="greaterThan">
      <formula>2.3</formula>
    </cfRule>
  </conditionalFormatting>
  <conditionalFormatting sqref="V584:V587">
    <cfRule type="cellIs" dxfId="284" priority="85" stopIfTrue="1" operator="greaterThan">
      <formula>1.1</formula>
    </cfRule>
  </conditionalFormatting>
  <conditionalFormatting sqref="W584:W587">
    <cfRule type="cellIs" dxfId="283" priority="84" stopIfTrue="1" operator="greaterThan">
      <formula>0.059</formula>
    </cfRule>
  </conditionalFormatting>
  <conditionalFormatting sqref="X584:X587">
    <cfRule type="cellIs" dxfId="282" priority="83" stopIfTrue="1" operator="greaterThan">
      <formula>0.16</formula>
    </cfRule>
  </conditionalFormatting>
  <conditionalFormatting sqref="Y584:Y587">
    <cfRule type="cellIs" dxfId="281" priority="82" stopIfTrue="1" operator="greaterThan">
      <formula>0.076</formula>
    </cfRule>
  </conditionalFormatting>
  <conditionalFormatting sqref="S584:S587">
    <cfRule type="cellIs" dxfId="280" priority="81" operator="greaterThan">
      <formula>90</formula>
    </cfRule>
  </conditionalFormatting>
  <conditionalFormatting sqref="O715:O716">
    <cfRule type="cellIs" dxfId="279" priority="80" stopIfTrue="1" operator="greaterThan">
      <formula>5</formula>
    </cfRule>
  </conditionalFormatting>
  <conditionalFormatting sqref="Q715:Q716">
    <cfRule type="cellIs" dxfId="278" priority="79" stopIfTrue="1" operator="notBetween">
      <formula>5</formula>
      <formula>9</formula>
    </cfRule>
  </conditionalFormatting>
  <conditionalFormatting sqref="R715:R716">
    <cfRule type="cellIs" dxfId="277" priority="78" stopIfTrue="1" operator="greaterThan">
      <formula>75</formula>
    </cfRule>
  </conditionalFormatting>
  <conditionalFormatting sqref="T715:T716">
    <cfRule type="cellIs" dxfId="276" priority="77" stopIfTrue="1" operator="greaterThan">
      <formula>0.4</formula>
    </cfRule>
  </conditionalFormatting>
  <conditionalFormatting sqref="U715:U716">
    <cfRule type="cellIs" dxfId="275" priority="76" stopIfTrue="1" operator="greaterThan">
      <formula>2.3</formula>
    </cfRule>
  </conditionalFormatting>
  <conditionalFormatting sqref="V715:V716">
    <cfRule type="cellIs" dxfId="274" priority="75" stopIfTrue="1" operator="greaterThan">
      <formula>1.1</formula>
    </cfRule>
  </conditionalFormatting>
  <conditionalFormatting sqref="W715:W716">
    <cfRule type="cellIs" dxfId="273" priority="74" stopIfTrue="1" operator="greaterThan">
      <formula>0.059</formula>
    </cfRule>
  </conditionalFormatting>
  <conditionalFormatting sqref="X715:X716">
    <cfRule type="cellIs" dxfId="272" priority="73" stopIfTrue="1" operator="greaterThan">
      <formula>0.16</formula>
    </cfRule>
  </conditionalFormatting>
  <conditionalFormatting sqref="Y715:Y716">
    <cfRule type="cellIs" dxfId="271" priority="72" stopIfTrue="1" operator="greaterThan">
      <formula>0.076</formula>
    </cfRule>
  </conditionalFormatting>
  <conditionalFormatting sqref="S715:S716">
    <cfRule type="cellIs" dxfId="270" priority="71" operator="greaterThan">
      <formula>90</formula>
    </cfRule>
  </conditionalFormatting>
  <conditionalFormatting sqref="O694:O697">
    <cfRule type="cellIs" dxfId="269" priority="70" stopIfTrue="1" operator="greaterThan">
      <formula>5</formula>
    </cfRule>
  </conditionalFormatting>
  <conditionalFormatting sqref="Q694:Q697">
    <cfRule type="cellIs" dxfId="268" priority="69" stopIfTrue="1" operator="notBetween">
      <formula>5</formula>
      <formula>9</formula>
    </cfRule>
  </conditionalFormatting>
  <conditionalFormatting sqref="R694:R697">
    <cfRule type="cellIs" dxfId="267" priority="68" stopIfTrue="1" operator="greaterThan">
      <formula>75</formula>
    </cfRule>
  </conditionalFormatting>
  <conditionalFormatting sqref="T694:T697">
    <cfRule type="cellIs" dxfId="266" priority="67" stopIfTrue="1" operator="greaterThan">
      <formula>0.4</formula>
    </cfRule>
  </conditionalFormatting>
  <conditionalFormatting sqref="U694:U697">
    <cfRule type="cellIs" dxfId="265" priority="66" stopIfTrue="1" operator="greaterThan">
      <formula>2.3</formula>
    </cfRule>
  </conditionalFormatting>
  <conditionalFormatting sqref="V694:V697">
    <cfRule type="cellIs" dxfId="264" priority="65" stopIfTrue="1" operator="greaterThan">
      <formula>1.1</formula>
    </cfRule>
  </conditionalFormatting>
  <conditionalFormatting sqref="W694:W697">
    <cfRule type="cellIs" dxfId="263" priority="64" stopIfTrue="1" operator="greaterThan">
      <formula>0.059</formula>
    </cfRule>
  </conditionalFormatting>
  <conditionalFormatting sqref="X694:X697">
    <cfRule type="cellIs" dxfId="262" priority="63" stopIfTrue="1" operator="greaterThan">
      <formula>0.16</formula>
    </cfRule>
  </conditionalFormatting>
  <conditionalFormatting sqref="Y694:Y697">
    <cfRule type="cellIs" dxfId="261" priority="62" stopIfTrue="1" operator="greaterThan">
      <formula>0.076</formula>
    </cfRule>
  </conditionalFormatting>
  <conditionalFormatting sqref="S694:S697">
    <cfRule type="cellIs" dxfId="260" priority="61" operator="greaterThan">
      <formula>90</formula>
    </cfRule>
  </conditionalFormatting>
  <conditionalFormatting sqref="O717">
    <cfRule type="cellIs" dxfId="259" priority="60" stopIfTrue="1" operator="greaterThan">
      <formula>5</formula>
    </cfRule>
  </conditionalFormatting>
  <conditionalFormatting sqref="Q717">
    <cfRule type="cellIs" dxfId="258" priority="59" stopIfTrue="1" operator="notBetween">
      <formula>5</formula>
      <formula>9</formula>
    </cfRule>
  </conditionalFormatting>
  <conditionalFormatting sqref="R717">
    <cfRule type="cellIs" dxfId="257" priority="58" stopIfTrue="1" operator="greaterThan">
      <formula>75</formula>
    </cfRule>
  </conditionalFormatting>
  <conditionalFormatting sqref="S717">
    <cfRule type="cellIs" dxfId="256" priority="57" stopIfTrue="1" operator="greaterThan">
      <formula>90</formula>
    </cfRule>
  </conditionalFormatting>
  <conditionalFormatting sqref="T717">
    <cfRule type="cellIs" dxfId="255" priority="56" stopIfTrue="1" operator="greaterThan">
      <formula>0.4</formula>
    </cfRule>
  </conditionalFormatting>
  <conditionalFormatting sqref="U717">
    <cfRule type="cellIs" dxfId="254" priority="55" stopIfTrue="1" operator="greaterThan">
      <formula>2.3</formula>
    </cfRule>
  </conditionalFormatting>
  <conditionalFormatting sqref="V717">
    <cfRule type="cellIs" dxfId="253" priority="54" stopIfTrue="1" operator="greaterThan">
      <formula>1.1</formula>
    </cfRule>
  </conditionalFormatting>
  <conditionalFormatting sqref="W717">
    <cfRule type="cellIs" dxfId="252" priority="53" stopIfTrue="1" operator="greaterThan">
      <formula>0.059</formula>
    </cfRule>
  </conditionalFormatting>
  <conditionalFormatting sqref="X717">
    <cfRule type="cellIs" dxfId="251" priority="52" stopIfTrue="1" operator="greaterThan">
      <formula>0.16</formula>
    </cfRule>
  </conditionalFormatting>
  <conditionalFormatting sqref="Y717">
    <cfRule type="cellIs" dxfId="250" priority="51" stopIfTrue="1" operator="greaterThan">
      <formula>0.076</formula>
    </cfRule>
  </conditionalFormatting>
  <conditionalFormatting sqref="O718">
    <cfRule type="cellIs" dxfId="249" priority="50" stopIfTrue="1" operator="greaterThan">
      <formula>5</formula>
    </cfRule>
  </conditionalFormatting>
  <conditionalFormatting sqref="Q718">
    <cfRule type="cellIs" dxfId="248" priority="49" stopIfTrue="1" operator="notBetween">
      <formula>5</formula>
      <formula>9</formula>
    </cfRule>
  </conditionalFormatting>
  <conditionalFormatting sqref="R718">
    <cfRule type="cellIs" dxfId="247" priority="48" stopIfTrue="1" operator="greaterThan">
      <formula>75</formula>
    </cfRule>
  </conditionalFormatting>
  <conditionalFormatting sqref="S718">
    <cfRule type="cellIs" dxfId="246" priority="47" stopIfTrue="1" operator="greaterThan">
      <formula>90</formula>
    </cfRule>
  </conditionalFormatting>
  <conditionalFormatting sqref="T718">
    <cfRule type="cellIs" dxfId="245" priority="46" stopIfTrue="1" operator="greaterThan">
      <formula>0.4</formula>
    </cfRule>
  </conditionalFormatting>
  <conditionalFormatting sqref="U718">
    <cfRule type="cellIs" dxfId="244" priority="45" stopIfTrue="1" operator="greaterThan">
      <formula>2.3</formula>
    </cfRule>
  </conditionalFormatting>
  <conditionalFormatting sqref="V718">
    <cfRule type="cellIs" dxfId="243" priority="44" stopIfTrue="1" operator="greaterThan">
      <formula>1.1</formula>
    </cfRule>
  </conditionalFormatting>
  <conditionalFormatting sqref="W718">
    <cfRule type="cellIs" dxfId="242" priority="43" stopIfTrue="1" operator="greaterThan">
      <formula>0.059</formula>
    </cfRule>
  </conditionalFormatting>
  <conditionalFormatting sqref="X718">
    <cfRule type="cellIs" dxfId="241" priority="42" stopIfTrue="1" operator="greaterThan">
      <formula>0.16</formula>
    </cfRule>
  </conditionalFormatting>
  <conditionalFormatting sqref="Y718">
    <cfRule type="cellIs" dxfId="240" priority="41" stopIfTrue="1" operator="greaterThan">
      <formula>0.076</formula>
    </cfRule>
  </conditionalFormatting>
  <conditionalFormatting sqref="O719">
    <cfRule type="cellIs" dxfId="239" priority="30" stopIfTrue="1" operator="greaterThan">
      <formula>5</formula>
    </cfRule>
  </conditionalFormatting>
  <conditionalFormatting sqref="Q719">
    <cfRule type="cellIs" dxfId="238" priority="29" stopIfTrue="1" operator="notBetween">
      <formula>5</formula>
      <formula>9</formula>
    </cfRule>
  </conditionalFormatting>
  <conditionalFormatting sqref="R719">
    <cfRule type="cellIs" dxfId="237" priority="28" stopIfTrue="1" operator="greaterThan">
      <formula>75</formula>
    </cfRule>
  </conditionalFormatting>
  <conditionalFormatting sqref="S719">
    <cfRule type="cellIs" dxfId="236" priority="27" stopIfTrue="1" operator="greaterThan">
      <formula>90</formula>
    </cfRule>
  </conditionalFormatting>
  <conditionalFormatting sqref="T719">
    <cfRule type="cellIs" dxfId="235" priority="26" stopIfTrue="1" operator="greaterThan">
      <formula>0.4</formula>
    </cfRule>
  </conditionalFormatting>
  <conditionalFormatting sqref="U719">
    <cfRule type="cellIs" dxfId="234" priority="25" stopIfTrue="1" operator="greaterThan">
      <formula>2.3</formula>
    </cfRule>
  </conditionalFormatting>
  <conditionalFormatting sqref="V719">
    <cfRule type="cellIs" dxfId="233" priority="24" stopIfTrue="1" operator="greaterThan">
      <formula>1.1</formula>
    </cfRule>
  </conditionalFormatting>
  <conditionalFormatting sqref="W719">
    <cfRule type="cellIs" dxfId="232" priority="23" stopIfTrue="1" operator="greaterThan">
      <formula>0.059</formula>
    </cfRule>
  </conditionalFormatting>
  <conditionalFormatting sqref="X719">
    <cfRule type="cellIs" dxfId="231" priority="22" stopIfTrue="1" operator="greaterThan">
      <formula>0.16</formula>
    </cfRule>
  </conditionalFormatting>
  <conditionalFormatting sqref="Y719">
    <cfRule type="cellIs" dxfId="230" priority="21" stopIfTrue="1" operator="greaterThan">
      <formula>0.076</formula>
    </cfRule>
  </conditionalFormatting>
  <conditionalFormatting sqref="O720:O723">
    <cfRule type="cellIs" dxfId="229" priority="20" stopIfTrue="1" operator="greaterThan">
      <formula>5</formula>
    </cfRule>
  </conditionalFormatting>
  <conditionalFormatting sqref="Q720:Q723">
    <cfRule type="cellIs" dxfId="228" priority="19" stopIfTrue="1" operator="notBetween">
      <formula>5</formula>
      <formula>9</formula>
    </cfRule>
  </conditionalFormatting>
  <conditionalFormatting sqref="R720:R723">
    <cfRule type="cellIs" dxfId="227" priority="18" stopIfTrue="1" operator="greaterThan">
      <formula>75</formula>
    </cfRule>
  </conditionalFormatting>
  <conditionalFormatting sqref="S720:S723">
    <cfRule type="cellIs" dxfId="226" priority="17" stopIfTrue="1" operator="greaterThan">
      <formula>90</formula>
    </cfRule>
  </conditionalFormatting>
  <conditionalFormatting sqref="T720:T723">
    <cfRule type="cellIs" dxfId="225" priority="16" stopIfTrue="1" operator="greaterThan">
      <formula>0.4</formula>
    </cfRule>
  </conditionalFormatting>
  <conditionalFormatting sqref="U720:U723">
    <cfRule type="cellIs" dxfId="224" priority="15" stopIfTrue="1" operator="greaterThan">
      <formula>2.3</formula>
    </cfRule>
  </conditionalFormatting>
  <conditionalFormatting sqref="V720:V723">
    <cfRule type="cellIs" dxfId="223" priority="14" stopIfTrue="1" operator="greaterThan">
      <formula>1.1</formula>
    </cfRule>
  </conditionalFormatting>
  <conditionalFormatting sqref="W720:W723">
    <cfRule type="cellIs" dxfId="222" priority="13" stopIfTrue="1" operator="greaterThan">
      <formula>0.059</formula>
    </cfRule>
  </conditionalFormatting>
  <conditionalFormatting sqref="X720:X723">
    <cfRule type="cellIs" dxfId="221" priority="12" stopIfTrue="1" operator="greaterThan">
      <formula>0.16</formula>
    </cfRule>
  </conditionalFormatting>
  <conditionalFormatting sqref="Y720:Y723">
    <cfRule type="cellIs" dxfId="220" priority="11" stopIfTrue="1" operator="greaterThan">
      <formula>0.076</formula>
    </cfRule>
  </conditionalFormatting>
  <pageMargins left="0.7" right="0.7" top="0.75" bottom="0.75" header="0.3" footer="0.3"/>
  <pageSetup orientation="portrait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/>
  <dimension ref="A1:AU2507"/>
  <sheetViews>
    <sheetView showGridLines="0" topLeftCell="M1" workbookViewId="0">
      <pane ySplit="1" topLeftCell="A2" activePane="bottomLeft" state="frozen"/>
      <selection activeCell="H582" sqref="H582"/>
      <selection pane="bottomLeft" activeCell="A2" sqref="A2:AD19"/>
    </sheetView>
  </sheetViews>
  <sheetFormatPr baseColWidth="10" defaultColWidth="8.83203125" defaultRowHeight="15" customHeight="1" x14ac:dyDescent="0"/>
  <cols>
    <col min="1" max="1" width="13.33203125" style="74" bestFit="1" customWidth="1"/>
    <col min="2" max="2" width="19" style="50" customWidth="1"/>
    <col min="3" max="3" width="23.83203125" style="50" customWidth="1"/>
    <col min="4" max="4" width="10.6640625" style="48" customWidth="1"/>
    <col min="5" max="5" width="20.83203125" style="50" customWidth="1"/>
    <col min="6" max="6" width="10.6640625" style="50" customWidth="1"/>
    <col min="7" max="7" width="8.83203125" style="76"/>
    <col min="8" max="8" width="8.83203125" style="50"/>
    <col min="9" max="9" width="8.83203125" style="49"/>
    <col min="10" max="10" width="17.33203125" style="50" customWidth="1"/>
    <col min="11" max="11" width="10" style="50" customWidth="1"/>
    <col min="12" max="12" width="9.5" style="49" customWidth="1"/>
    <col min="13" max="13" width="10.5" style="50" customWidth="1"/>
    <col min="14" max="14" width="8.83203125" style="50"/>
    <col min="15" max="15" width="8.83203125" style="74"/>
    <col min="16" max="16" width="8.83203125" style="50"/>
    <col min="17" max="17" width="8.83203125" style="74"/>
    <col min="18" max="18" width="8.83203125" style="50"/>
    <col min="19" max="19" width="8.83203125" style="74"/>
    <col min="20" max="20" width="8.83203125" style="50"/>
    <col min="21" max="21" width="8.83203125" style="74"/>
    <col min="22" max="22" width="8.83203125" style="50"/>
    <col min="23" max="23" width="8.83203125" style="74"/>
    <col min="24" max="24" width="8.83203125" style="50"/>
    <col min="25" max="25" width="8.83203125" style="74"/>
    <col min="26" max="26" width="8.83203125" style="50"/>
    <col min="27" max="27" width="8.83203125" style="74"/>
    <col min="28" max="28" width="10" style="50" customWidth="1"/>
    <col min="29" max="29" width="12.1640625" style="74" customWidth="1"/>
    <col min="30" max="30" width="14.33203125" style="50" customWidth="1"/>
    <col min="31" max="32" width="11.1640625" style="50" customWidth="1"/>
    <col min="33" max="34" width="8.83203125" style="402"/>
    <col min="35" max="47" width="8.83203125" style="74"/>
  </cols>
  <sheetData>
    <row r="1" spans="1:47" ht="37" thickBot="1">
      <c r="A1" s="215" t="s">
        <v>32</v>
      </c>
      <c r="B1" s="37" t="s">
        <v>3</v>
      </c>
      <c r="C1" s="37" t="s">
        <v>4</v>
      </c>
      <c r="D1" s="39" t="s">
        <v>5</v>
      </c>
      <c r="E1" s="37" t="s">
        <v>6</v>
      </c>
      <c r="F1" s="37" t="s">
        <v>7</v>
      </c>
      <c r="G1" s="39" t="s">
        <v>0</v>
      </c>
      <c r="H1" s="37" t="s">
        <v>20</v>
      </c>
      <c r="I1" s="37" t="s">
        <v>8</v>
      </c>
      <c r="J1" s="37" t="s">
        <v>9</v>
      </c>
      <c r="K1" s="37" t="s">
        <v>10</v>
      </c>
      <c r="L1" s="37" t="s">
        <v>11</v>
      </c>
      <c r="M1" s="37" t="s">
        <v>12</v>
      </c>
      <c r="N1" s="37" t="s">
        <v>13</v>
      </c>
      <c r="O1" s="37" t="s">
        <v>4098</v>
      </c>
      <c r="P1" s="37" t="s">
        <v>14</v>
      </c>
      <c r="Q1" s="37" t="s">
        <v>4099</v>
      </c>
      <c r="R1" s="37" t="s">
        <v>4093</v>
      </c>
      <c r="S1" s="37" t="s">
        <v>4094</v>
      </c>
      <c r="T1" s="37" t="s">
        <v>4095</v>
      </c>
      <c r="U1" s="37" t="s">
        <v>4096</v>
      </c>
      <c r="V1" s="37" t="s">
        <v>4097</v>
      </c>
      <c r="W1" s="37" t="s">
        <v>4106</v>
      </c>
      <c r="X1" s="37" t="s">
        <v>4101</v>
      </c>
      <c r="Y1" s="37" t="s">
        <v>4102</v>
      </c>
      <c r="Z1" s="37" t="s">
        <v>15</v>
      </c>
      <c r="AA1" s="37" t="s">
        <v>16</v>
      </c>
      <c r="AB1" s="37" t="s">
        <v>17</v>
      </c>
      <c r="AC1" s="37" t="s">
        <v>18</v>
      </c>
      <c r="AD1" s="37" t="s">
        <v>19</v>
      </c>
      <c r="AE1" s="184" t="s">
        <v>30</v>
      </c>
      <c r="AF1" s="184" t="s">
        <v>31</v>
      </c>
      <c r="AG1" s="402" t="s">
        <v>1101</v>
      </c>
      <c r="AH1" s="402" t="s">
        <v>1003</v>
      </c>
    </row>
    <row r="2" spans="1:47" ht="14">
      <c r="A2" s="245" t="s">
        <v>37</v>
      </c>
      <c r="B2" s="54" t="s">
        <v>804</v>
      </c>
      <c r="C2" s="54" t="s">
        <v>805</v>
      </c>
      <c r="D2" s="56" t="s">
        <v>806</v>
      </c>
      <c r="E2" s="54" t="s">
        <v>807</v>
      </c>
      <c r="F2" s="54"/>
      <c r="G2" s="61" t="s">
        <v>808</v>
      </c>
      <c r="H2" s="54" t="s">
        <v>809</v>
      </c>
      <c r="I2" s="55" t="s">
        <v>2</v>
      </c>
      <c r="J2" s="54" t="s">
        <v>810</v>
      </c>
      <c r="K2" s="57">
        <v>40904</v>
      </c>
      <c r="L2" s="132">
        <v>40900</v>
      </c>
      <c r="M2" s="54">
        <v>4</v>
      </c>
      <c r="N2" s="54" t="s">
        <v>2</v>
      </c>
      <c r="O2" s="155">
        <v>1.7</v>
      </c>
      <c r="P2" s="54">
        <v>6.91</v>
      </c>
      <c r="Q2" s="155">
        <v>7.45</v>
      </c>
      <c r="R2" s="136">
        <v>43</v>
      </c>
      <c r="S2" s="155">
        <v>120</v>
      </c>
      <c r="T2" s="54">
        <v>0.2</v>
      </c>
      <c r="U2" s="155">
        <v>0.91</v>
      </c>
      <c r="V2" s="54">
        <v>0.13</v>
      </c>
      <c r="W2" s="155">
        <v>0.01</v>
      </c>
      <c r="X2" s="54">
        <v>7.0999999999999994E-2</v>
      </c>
      <c r="Y2" s="155">
        <f>0.002/2</f>
        <v>1E-3</v>
      </c>
      <c r="Z2" s="157">
        <v>1</v>
      </c>
      <c r="AA2" s="157">
        <v>1</v>
      </c>
      <c r="AB2" s="54">
        <v>6</v>
      </c>
      <c r="AC2" s="155">
        <v>92</v>
      </c>
      <c r="AD2" s="205">
        <v>1</v>
      </c>
      <c r="AE2" s="54"/>
      <c r="AF2" s="54"/>
    </row>
    <row r="3" spans="1:47" ht="14">
      <c r="A3" s="245" t="s">
        <v>37</v>
      </c>
      <c r="B3" s="54" t="s">
        <v>804</v>
      </c>
      <c r="C3" s="54" t="s">
        <v>811</v>
      </c>
      <c r="D3" s="56" t="s">
        <v>534</v>
      </c>
      <c r="E3" s="54" t="s">
        <v>304</v>
      </c>
      <c r="F3" s="54"/>
      <c r="G3" s="61" t="s">
        <v>812</v>
      </c>
      <c r="H3" s="54" t="s">
        <v>809</v>
      </c>
      <c r="I3" s="55" t="s">
        <v>2</v>
      </c>
      <c r="J3" s="54" t="s">
        <v>813</v>
      </c>
      <c r="K3" s="57">
        <v>40904</v>
      </c>
      <c r="L3" s="132">
        <v>40900</v>
      </c>
      <c r="M3" s="54">
        <v>4</v>
      </c>
      <c r="N3" s="54" t="s">
        <v>2</v>
      </c>
      <c r="O3" s="155">
        <f t="shared" ref="O3:O8" si="0">1.4/2</f>
        <v>0.7</v>
      </c>
      <c r="P3" s="54">
        <v>6.91</v>
      </c>
      <c r="Q3" s="155">
        <v>7.51</v>
      </c>
      <c r="R3" s="136">
        <f>10/2</f>
        <v>5</v>
      </c>
      <c r="S3" s="155">
        <v>7</v>
      </c>
      <c r="T3" s="54">
        <v>0.04</v>
      </c>
      <c r="U3" s="155">
        <v>0.41</v>
      </c>
      <c r="V3" s="54">
        <v>0.12</v>
      </c>
      <c r="W3" s="155">
        <v>3.0000000000000001E-3</v>
      </c>
      <c r="X3" s="54">
        <v>1.7000000000000001E-2</v>
      </c>
      <c r="Y3" s="155">
        <f>0.002/2</f>
        <v>1E-3</v>
      </c>
      <c r="Z3" s="157">
        <v>1</v>
      </c>
      <c r="AA3" s="157">
        <v>1</v>
      </c>
      <c r="AB3" s="54">
        <v>10</v>
      </c>
      <c r="AC3" s="155">
        <v>569</v>
      </c>
      <c r="AD3" s="205">
        <v>1</v>
      </c>
      <c r="AE3" s="54">
        <v>164</v>
      </c>
      <c r="AF3" s="54">
        <v>0.02</v>
      </c>
    </row>
    <row r="4" spans="1:47" ht="14">
      <c r="A4" s="245" t="s">
        <v>37</v>
      </c>
      <c r="B4" s="54" t="s">
        <v>804</v>
      </c>
      <c r="C4" s="54" t="s">
        <v>814</v>
      </c>
      <c r="D4" s="56" t="s">
        <v>56</v>
      </c>
      <c r="E4" s="54" t="s">
        <v>815</v>
      </c>
      <c r="F4" s="54"/>
      <c r="G4" s="61" t="s">
        <v>816</v>
      </c>
      <c r="H4" s="54" t="s">
        <v>809</v>
      </c>
      <c r="I4" s="55" t="s">
        <v>2</v>
      </c>
      <c r="J4" s="54" t="s">
        <v>817</v>
      </c>
      <c r="K4" s="57">
        <v>40904</v>
      </c>
      <c r="L4" s="132">
        <v>40900</v>
      </c>
      <c r="M4" s="54">
        <v>4</v>
      </c>
      <c r="N4" s="54" t="s">
        <v>2</v>
      </c>
      <c r="O4" s="155">
        <f t="shared" si="0"/>
        <v>0.7</v>
      </c>
      <c r="P4" s="54">
        <v>7.19</v>
      </c>
      <c r="Q4" s="155">
        <v>7.65</v>
      </c>
      <c r="R4" s="136">
        <v>10</v>
      </c>
      <c r="S4" s="155">
        <v>21</v>
      </c>
      <c r="T4" s="54">
        <v>0.04</v>
      </c>
      <c r="U4" s="155">
        <v>0.51</v>
      </c>
      <c r="V4" s="54">
        <v>0.45</v>
      </c>
      <c r="W4" s="155">
        <v>0.01</v>
      </c>
      <c r="X4" s="54">
        <v>0.106</v>
      </c>
      <c r="Y4" s="155">
        <f>0.002/2</f>
        <v>1E-3</v>
      </c>
      <c r="Z4" s="157">
        <v>1</v>
      </c>
      <c r="AA4" s="157">
        <v>1</v>
      </c>
      <c r="AB4" s="54">
        <v>12</v>
      </c>
      <c r="AC4" s="155">
        <v>83</v>
      </c>
      <c r="AD4" s="205">
        <v>1</v>
      </c>
      <c r="AE4" s="54"/>
      <c r="AF4" s="54"/>
    </row>
    <row r="5" spans="1:47" s="1" customFormat="1" ht="14">
      <c r="A5" s="319" t="s">
        <v>37</v>
      </c>
      <c r="B5" s="54" t="s">
        <v>804</v>
      </c>
      <c r="C5" s="54" t="s">
        <v>814</v>
      </c>
      <c r="D5" s="56" t="s">
        <v>56</v>
      </c>
      <c r="E5" s="54" t="s">
        <v>815</v>
      </c>
      <c r="F5" s="54"/>
      <c r="G5" s="61" t="s">
        <v>816</v>
      </c>
      <c r="H5" s="54" t="s">
        <v>809</v>
      </c>
      <c r="I5" s="55" t="s">
        <v>2</v>
      </c>
      <c r="J5" s="54" t="s">
        <v>1028</v>
      </c>
      <c r="K5" s="57">
        <v>40904</v>
      </c>
      <c r="L5" s="132">
        <v>40900</v>
      </c>
      <c r="M5" s="54">
        <v>4</v>
      </c>
      <c r="N5" s="54" t="s">
        <v>2</v>
      </c>
      <c r="O5" s="55">
        <f t="shared" si="0"/>
        <v>0.7</v>
      </c>
      <c r="P5" s="54">
        <v>7.19</v>
      </c>
      <c r="Q5" s="55">
        <v>7.29</v>
      </c>
      <c r="R5" s="136">
        <v>25</v>
      </c>
      <c r="S5" s="55">
        <v>34</v>
      </c>
      <c r="T5" s="54">
        <v>0.12</v>
      </c>
      <c r="U5" s="55">
        <v>1.2</v>
      </c>
      <c r="V5" s="54">
        <v>0.24</v>
      </c>
      <c r="W5" s="55">
        <v>8.9999999999999993E-3</v>
      </c>
      <c r="X5" s="54">
        <v>3.6999999999999998E-2</v>
      </c>
      <c r="Y5" s="55">
        <v>1.6E-2</v>
      </c>
      <c r="Z5" s="157">
        <v>1</v>
      </c>
      <c r="AA5" s="157">
        <v>1</v>
      </c>
      <c r="AB5" s="54">
        <v>20</v>
      </c>
      <c r="AC5" s="55">
        <v>281</v>
      </c>
      <c r="AD5" s="205">
        <v>1</v>
      </c>
      <c r="AE5" s="54">
        <v>55.9</v>
      </c>
      <c r="AF5" s="54">
        <f>0.01/2</f>
        <v>5.0000000000000001E-3</v>
      </c>
      <c r="AG5" s="402"/>
      <c r="AH5" s="402"/>
      <c r="AI5" s="49"/>
      <c r="AJ5" s="49"/>
      <c r="AK5" s="49"/>
      <c r="AL5" s="49"/>
      <c r="AM5" s="49"/>
      <c r="AN5" s="49"/>
      <c r="AO5" s="49"/>
      <c r="AP5" s="49"/>
      <c r="AQ5" s="49"/>
      <c r="AR5" s="49"/>
      <c r="AS5" s="49"/>
      <c r="AT5" s="49"/>
      <c r="AU5" s="49"/>
    </row>
    <row r="6" spans="1:47" ht="14">
      <c r="A6" s="74" t="s">
        <v>37</v>
      </c>
      <c r="B6" s="50" t="s">
        <v>804</v>
      </c>
      <c r="C6" s="50" t="s">
        <v>1236</v>
      </c>
      <c r="D6" s="48" t="s">
        <v>111</v>
      </c>
      <c r="E6" s="50" t="s">
        <v>429</v>
      </c>
      <c r="G6" s="76" t="s">
        <v>2570</v>
      </c>
      <c r="H6" s="50">
        <v>9199</v>
      </c>
      <c r="I6" s="49" t="s">
        <v>2</v>
      </c>
      <c r="J6" s="54" t="s">
        <v>2571</v>
      </c>
      <c r="K6" s="51">
        <v>41136</v>
      </c>
      <c r="L6" s="115">
        <v>41131</v>
      </c>
      <c r="M6" s="50">
        <f>K6-L6</f>
        <v>5</v>
      </c>
      <c r="N6" s="50" t="s">
        <v>2</v>
      </c>
      <c r="O6" s="74">
        <f t="shared" si="0"/>
        <v>0.7</v>
      </c>
      <c r="P6" s="50">
        <v>6.32</v>
      </c>
      <c r="Q6" s="74">
        <v>6.97</v>
      </c>
      <c r="R6" s="119">
        <v>34</v>
      </c>
      <c r="S6" s="74">
        <v>46</v>
      </c>
      <c r="T6" s="50">
        <v>0.11</v>
      </c>
      <c r="U6" s="74">
        <v>0.92</v>
      </c>
      <c r="V6" s="50">
        <v>0.24</v>
      </c>
      <c r="W6" s="74">
        <v>7.0000000000000001E-3</v>
      </c>
      <c r="X6" s="50">
        <v>5.8999999999999997E-2</v>
      </c>
      <c r="Y6" s="74">
        <v>5.0000000000000001E-3</v>
      </c>
      <c r="Z6" s="157">
        <v>1</v>
      </c>
      <c r="AA6" s="157">
        <v>1</v>
      </c>
      <c r="AB6" s="50">
        <v>12</v>
      </c>
      <c r="AC6" s="74">
        <v>43</v>
      </c>
      <c r="AD6" s="174">
        <v>1</v>
      </c>
      <c r="AE6" s="50">
        <v>5.4</v>
      </c>
      <c r="AF6" s="50">
        <f>0.01/2</f>
        <v>5.0000000000000001E-3</v>
      </c>
    </row>
    <row r="7" spans="1:47" ht="14">
      <c r="A7" s="74" t="s">
        <v>37</v>
      </c>
      <c r="B7" s="50" t="s">
        <v>804</v>
      </c>
      <c r="C7" s="50" t="s">
        <v>1236</v>
      </c>
      <c r="D7" s="48" t="s">
        <v>111</v>
      </c>
      <c r="E7" s="50" t="s">
        <v>429</v>
      </c>
      <c r="G7" s="76" t="s">
        <v>2570</v>
      </c>
      <c r="H7" s="50">
        <v>9199</v>
      </c>
      <c r="I7" s="49" t="s">
        <v>2</v>
      </c>
      <c r="J7" s="50" t="s">
        <v>2572</v>
      </c>
      <c r="K7" s="51">
        <v>41136</v>
      </c>
      <c r="L7" s="115">
        <v>41131</v>
      </c>
      <c r="M7" s="402">
        <f t="shared" ref="M7:M19" si="1">K7-L7</f>
        <v>5</v>
      </c>
      <c r="N7" s="50" t="s">
        <v>2</v>
      </c>
      <c r="O7" s="74">
        <f t="shared" si="0"/>
        <v>0.7</v>
      </c>
      <c r="P7" s="50">
        <v>6.32</v>
      </c>
      <c r="Q7" s="74">
        <v>6.89</v>
      </c>
      <c r="R7" s="119">
        <v>45</v>
      </c>
      <c r="S7" s="74">
        <v>38</v>
      </c>
      <c r="T7" s="50">
        <v>0.11</v>
      </c>
      <c r="U7" s="74">
        <v>0.93</v>
      </c>
      <c r="V7" s="50">
        <v>0.32</v>
      </c>
      <c r="W7" s="74">
        <v>6.0000000000000001E-3</v>
      </c>
      <c r="X7" s="50">
        <v>6.3E-2</v>
      </c>
      <c r="Y7" s="74">
        <v>7.0000000000000001E-3</v>
      </c>
      <c r="Z7" s="157">
        <v>1</v>
      </c>
      <c r="AA7" s="157">
        <v>1</v>
      </c>
      <c r="AB7" s="50">
        <v>12</v>
      </c>
      <c r="AC7" s="74">
        <v>37</v>
      </c>
      <c r="AD7" s="174">
        <v>1</v>
      </c>
    </row>
    <row r="8" spans="1:47" ht="14">
      <c r="A8" s="74" t="s">
        <v>37</v>
      </c>
      <c r="B8" s="50" t="s">
        <v>804</v>
      </c>
      <c r="C8" s="50" t="s">
        <v>2573</v>
      </c>
      <c r="D8" s="48" t="s">
        <v>347</v>
      </c>
      <c r="E8" s="50" t="s">
        <v>2574</v>
      </c>
      <c r="G8" s="76" t="s">
        <v>2575</v>
      </c>
      <c r="H8" s="50">
        <v>9199</v>
      </c>
      <c r="I8" s="49" t="s">
        <v>2</v>
      </c>
      <c r="J8" s="50" t="s">
        <v>2576</v>
      </c>
      <c r="K8" s="51">
        <v>41136</v>
      </c>
      <c r="L8" s="115">
        <v>41131</v>
      </c>
      <c r="M8" s="402">
        <f t="shared" si="1"/>
        <v>5</v>
      </c>
      <c r="N8" s="50" t="s">
        <v>2</v>
      </c>
      <c r="O8" s="74">
        <f t="shared" si="0"/>
        <v>0.7</v>
      </c>
      <c r="P8" s="50">
        <v>6.41</v>
      </c>
      <c r="Q8" s="74">
        <v>7.06</v>
      </c>
      <c r="R8" s="119">
        <v>34</v>
      </c>
      <c r="S8" s="74">
        <v>41</v>
      </c>
      <c r="T8" s="50">
        <v>0.16</v>
      </c>
      <c r="U8" s="74">
        <v>0.93</v>
      </c>
      <c r="V8" s="50">
        <v>0.45</v>
      </c>
      <c r="W8" s="74">
        <v>1.0999999999999999E-2</v>
      </c>
      <c r="X8" s="50">
        <v>7.5999999999999998E-2</v>
      </c>
      <c r="Y8" s="74">
        <v>8.9999999999999993E-3</v>
      </c>
      <c r="Z8" s="157">
        <v>1</v>
      </c>
      <c r="AA8" s="157">
        <v>1</v>
      </c>
      <c r="AB8" s="50">
        <v>20</v>
      </c>
      <c r="AC8" s="74">
        <v>191</v>
      </c>
      <c r="AD8" s="174">
        <v>1</v>
      </c>
      <c r="AE8" s="50">
        <v>42.9</v>
      </c>
      <c r="AF8" s="50">
        <f>0.01/2</f>
        <v>5.0000000000000001E-3</v>
      </c>
    </row>
    <row r="9" spans="1:47" ht="14">
      <c r="A9" s="74" t="s">
        <v>37</v>
      </c>
      <c r="B9" s="50" t="s">
        <v>804</v>
      </c>
      <c r="C9" s="50" t="s">
        <v>2577</v>
      </c>
      <c r="D9" s="48" t="s">
        <v>640</v>
      </c>
      <c r="E9" s="50" t="s">
        <v>2578</v>
      </c>
      <c r="G9" s="76" t="s">
        <v>2579</v>
      </c>
      <c r="H9" s="54" t="s">
        <v>809</v>
      </c>
      <c r="I9" s="49" t="s">
        <v>2</v>
      </c>
      <c r="J9" s="50" t="s">
        <v>2580</v>
      </c>
      <c r="K9" s="51">
        <v>40934</v>
      </c>
      <c r="L9" s="115">
        <v>40931</v>
      </c>
      <c r="M9" s="402">
        <f t="shared" si="1"/>
        <v>3</v>
      </c>
      <c r="N9" s="50" t="s">
        <v>1</v>
      </c>
      <c r="O9" s="74">
        <v>2</v>
      </c>
      <c r="P9" s="50">
        <v>4.79</v>
      </c>
      <c r="Q9" s="74">
        <v>7.21</v>
      </c>
      <c r="R9" s="119">
        <v>180</v>
      </c>
      <c r="S9" s="74">
        <v>43</v>
      </c>
      <c r="T9" s="50">
        <v>0.08</v>
      </c>
      <c r="U9" s="74">
        <v>1.1299999999999999</v>
      </c>
      <c r="V9" s="50">
        <v>0.9</v>
      </c>
      <c r="W9" s="74">
        <v>2.1000000000000001E-2</v>
      </c>
      <c r="X9" s="50">
        <v>0.11</v>
      </c>
      <c r="Y9" s="74">
        <v>6.0000000000000001E-3</v>
      </c>
      <c r="Z9" s="157">
        <v>0.47399999999999998</v>
      </c>
      <c r="AA9" s="157">
        <v>0.34200000000000003</v>
      </c>
      <c r="AB9" s="50">
        <v>3100</v>
      </c>
      <c r="AC9" s="74">
        <v>12840</v>
      </c>
      <c r="AD9" s="174">
        <v>0</v>
      </c>
      <c r="AE9" s="50">
        <v>4800</v>
      </c>
      <c r="AF9" s="50">
        <v>0.08</v>
      </c>
    </row>
    <row r="10" spans="1:47" ht="14">
      <c r="A10" s="74" t="s">
        <v>37</v>
      </c>
      <c r="B10" s="50" t="s">
        <v>804</v>
      </c>
      <c r="C10" s="50" t="s">
        <v>2581</v>
      </c>
      <c r="D10" s="48" t="s">
        <v>234</v>
      </c>
      <c r="E10" s="50" t="s">
        <v>2582</v>
      </c>
      <c r="F10" s="50" t="s">
        <v>2583</v>
      </c>
      <c r="G10" s="76" t="s">
        <v>2584</v>
      </c>
      <c r="H10" s="50">
        <v>9199</v>
      </c>
      <c r="I10" s="49" t="s">
        <v>2</v>
      </c>
      <c r="J10" s="50" t="s">
        <v>2585</v>
      </c>
      <c r="K10" s="51">
        <v>41030</v>
      </c>
      <c r="L10" s="115">
        <v>41021</v>
      </c>
      <c r="M10" s="402">
        <f t="shared" si="1"/>
        <v>9</v>
      </c>
      <c r="N10" s="50" t="s">
        <v>2</v>
      </c>
      <c r="O10" s="74">
        <v>6.6</v>
      </c>
      <c r="P10" s="50">
        <v>5.6</v>
      </c>
      <c r="Q10" s="74">
        <v>6.37</v>
      </c>
      <c r="R10" s="119">
        <v>30</v>
      </c>
      <c r="S10" s="74">
        <v>160</v>
      </c>
      <c r="T10" s="50">
        <v>0.18</v>
      </c>
      <c r="U10" s="74">
        <v>1.87</v>
      </c>
      <c r="V10" s="50">
        <v>0.25</v>
      </c>
      <c r="W10" s="74">
        <v>1.9E-2</v>
      </c>
      <c r="X10" s="50">
        <v>8.1000000000000003E-2</v>
      </c>
      <c r="Y10" s="74">
        <v>8.0000000000000002E-3</v>
      </c>
      <c r="Z10" s="157">
        <v>1</v>
      </c>
      <c r="AA10" s="157">
        <v>1</v>
      </c>
      <c r="AB10" s="50">
        <v>2</v>
      </c>
      <c r="AC10" s="74">
        <v>53</v>
      </c>
      <c r="AD10" s="174">
        <v>0.95</v>
      </c>
      <c r="AE10" s="50">
        <v>7.9</v>
      </c>
      <c r="AF10" s="50">
        <f>0.01/2</f>
        <v>5.0000000000000001E-3</v>
      </c>
    </row>
    <row r="11" spans="1:47" ht="14">
      <c r="A11" s="74" t="s">
        <v>37</v>
      </c>
      <c r="B11" s="50" t="s">
        <v>804</v>
      </c>
      <c r="C11" s="50" t="s">
        <v>2586</v>
      </c>
      <c r="D11" s="48" t="s">
        <v>2591</v>
      </c>
      <c r="E11" s="50" t="s">
        <v>2587</v>
      </c>
      <c r="F11" s="50" t="s">
        <v>2588</v>
      </c>
      <c r="G11" s="76" t="s">
        <v>2589</v>
      </c>
      <c r="H11" s="50">
        <v>9199</v>
      </c>
      <c r="I11" s="49" t="s">
        <v>2</v>
      </c>
      <c r="J11" s="50" t="s">
        <v>2590</v>
      </c>
      <c r="K11" s="51">
        <v>41030</v>
      </c>
      <c r="L11" s="115">
        <v>41021</v>
      </c>
      <c r="M11" s="402">
        <f t="shared" si="1"/>
        <v>9</v>
      </c>
      <c r="N11" s="50" t="s">
        <v>2</v>
      </c>
      <c r="O11" s="74">
        <f>1.4/2</f>
        <v>0.7</v>
      </c>
      <c r="P11" s="50">
        <v>5.49</v>
      </c>
      <c r="Q11" s="74">
        <v>6.82</v>
      </c>
      <c r="R11" s="119">
        <v>36</v>
      </c>
      <c r="S11" s="74">
        <v>16</v>
      </c>
      <c r="T11" s="50">
        <v>0.21</v>
      </c>
      <c r="U11" s="74">
        <v>1.24</v>
      </c>
      <c r="V11" s="50">
        <v>0.21</v>
      </c>
      <c r="W11" s="74">
        <v>0.51800000000000002</v>
      </c>
      <c r="X11" s="50">
        <v>0.20100000000000001</v>
      </c>
      <c r="Y11" s="74">
        <v>0.21299999999999999</v>
      </c>
      <c r="Z11" s="157">
        <v>1</v>
      </c>
      <c r="AA11" s="157">
        <v>1</v>
      </c>
      <c r="AB11" s="50">
        <f>2/2</f>
        <v>1</v>
      </c>
      <c r="AC11" s="74">
        <v>27</v>
      </c>
      <c r="AD11" s="174">
        <v>0.95</v>
      </c>
      <c r="AE11" s="50">
        <f>3/2</f>
        <v>1.5</v>
      </c>
      <c r="AF11" s="50">
        <f>0.01/2</f>
        <v>5.0000000000000001E-3</v>
      </c>
    </row>
    <row r="12" spans="1:47" ht="14">
      <c r="A12" s="6" t="s">
        <v>37</v>
      </c>
      <c r="B12" s="7" t="s">
        <v>4179</v>
      </c>
      <c r="C12" s="7" t="s">
        <v>4180</v>
      </c>
      <c r="D12" s="14" t="s">
        <v>127</v>
      </c>
      <c r="E12" s="7" t="s">
        <v>4181</v>
      </c>
      <c r="F12" s="7"/>
      <c r="G12" s="15" t="s">
        <v>4182</v>
      </c>
      <c r="H12" s="7">
        <v>9199</v>
      </c>
      <c r="I12" s="19" t="s">
        <v>2</v>
      </c>
      <c r="J12" s="7" t="s">
        <v>4183</v>
      </c>
      <c r="K12" s="16">
        <v>41402</v>
      </c>
      <c r="L12" s="17">
        <v>41384</v>
      </c>
      <c r="M12" s="402">
        <f t="shared" si="1"/>
        <v>18</v>
      </c>
      <c r="N12" s="7" t="s">
        <v>2</v>
      </c>
      <c r="O12" s="6">
        <v>0.7</v>
      </c>
      <c r="P12" s="7">
        <v>6.39</v>
      </c>
      <c r="Q12" s="6">
        <v>6.95</v>
      </c>
      <c r="R12" s="322">
        <v>118</v>
      </c>
      <c r="S12" s="6">
        <v>71</v>
      </c>
      <c r="T12" s="7">
        <v>0.21</v>
      </c>
      <c r="U12" s="6">
        <v>2.63</v>
      </c>
      <c r="V12" s="7">
        <v>0.48</v>
      </c>
      <c r="W12" s="6">
        <v>3.1E-2</v>
      </c>
      <c r="X12" s="7">
        <v>9.5000000000000001E-2</v>
      </c>
      <c r="Y12" s="6">
        <v>1.7999999999999999E-2</v>
      </c>
      <c r="Z12" s="308">
        <v>1</v>
      </c>
      <c r="AA12" s="309">
        <v>1</v>
      </c>
      <c r="AB12" s="7">
        <v>30</v>
      </c>
      <c r="AC12" s="6">
        <v>1057</v>
      </c>
      <c r="AD12" s="308">
        <v>1</v>
      </c>
      <c r="AE12" s="7">
        <v>306</v>
      </c>
      <c r="AF12" s="7">
        <v>0.02</v>
      </c>
    </row>
    <row r="13" spans="1:47" ht="14">
      <c r="A13" s="6" t="s">
        <v>37</v>
      </c>
      <c r="B13" s="7" t="s">
        <v>4179</v>
      </c>
      <c r="C13" s="7" t="s">
        <v>3839</v>
      </c>
      <c r="D13" s="14" t="s">
        <v>564</v>
      </c>
      <c r="E13" s="7" t="s">
        <v>4184</v>
      </c>
      <c r="F13" s="7"/>
      <c r="G13" s="15" t="s">
        <v>4185</v>
      </c>
      <c r="H13" s="7">
        <v>9199</v>
      </c>
      <c r="I13" s="19" t="s">
        <v>2</v>
      </c>
      <c r="J13" s="7" t="s">
        <v>4186</v>
      </c>
      <c r="K13" s="16">
        <v>41428</v>
      </c>
      <c r="L13" s="17">
        <v>41423</v>
      </c>
      <c r="M13" s="402">
        <f t="shared" si="1"/>
        <v>5</v>
      </c>
      <c r="N13" s="7" t="s">
        <v>2</v>
      </c>
      <c r="O13" s="6">
        <v>0.7</v>
      </c>
      <c r="P13" s="7">
        <v>7.75</v>
      </c>
      <c r="Q13" s="6">
        <v>6.71</v>
      </c>
      <c r="R13" s="322">
        <v>70</v>
      </c>
      <c r="S13" s="6">
        <v>24</v>
      </c>
      <c r="T13" s="7">
        <v>0.13</v>
      </c>
      <c r="U13" s="6">
        <v>1.53</v>
      </c>
      <c r="V13" s="7">
        <v>0.59</v>
      </c>
      <c r="W13" s="6">
        <v>2.8000000000000001E-2</v>
      </c>
      <c r="X13" s="7">
        <v>8.1000000000000003E-2</v>
      </c>
      <c r="Y13" s="6">
        <v>1E-3</v>
      </c>
      <c r="Z13" s="308">
        <v>1</v>
      </c>
      <c r="AA13" s="309">
        <v>1</v>
      </c>
      <c r="AB13" s="7">
        <v>36</v>
      </c>
      <c r="AC13" s="6">
        <v>173</v>
      </c>
      <c r="AD13" s="308">
        <v>0.8</v>
      </c>
      <c r="AE13" s="7">
        <v>32.9</v>
      </c>
      <c r="AF13" s="7">
        <v>5.0000000000000001E-3</v>
      </c>
    </row>
    <row r="14" spans="1:47" ht="14">
      <c r="A14" s="6" t="s">
        <v>37</v>
      </c>
      <c r="B14" s="7" t="s">
        <v>4179</v>
      </c>
      <c r="C14" s="7" t="s">
        <v>3839</v>
      </c>
      <c r="D14" s="14" t="s">
        <v>564</v>
      </c>
      <c r="E14" s="7" t="s">
        <v>4184</v>
      </c>
      <c r="F14" s="7"/>
      <c r="G14" s="15" t="s">
        <v>4185</v>
      </c>
      <c r="H14" s="7">
        <v>9199</v>
      </c>
      <c r="I14" s="19" t="s">
        <v>2</v>
      </c>
      <c r="J14" s="7" t="s">
        <v>4187</v>
      </c>
      <c r="K14" s="16">
        <v>41428</v>
      </c>
      <c r="L14" s="17">
        <v>41423</v>
      </c>
      <c r="M14" s="402">
        <f t="shared" si="1"/>
        <v>5</v>
      </c>
      <c r="N14" s="7" t="s">
        <v>2</v>
      </c>
      <c r="O14" s="6">
        <v>7.7</v>
      </c>
      <c r="P14" s="7">
        <v>7.75</v>
      </c>
      <c r="Q14" s="6">
        <v>6.94</v>
      </c>
      <c r="R14" s="322">
        <v>172</v>
      </c>
      <c r="S14" s="6">
        <v>400</v>
      </c>
      <c r="T14" s="7">
        <v>0.38</v>
      </c>
      <c r="U14" s="6">
        <v>2.2400000000000002</v>
      </c>
      <c r="V14" s="7">
        <v>0.28000000000000003</v>
      </c>
      <c r="W14" s="6">
        <v>0.05</v>
      </c>
      <c r="X14" s="7">
        <v>0.46600000000000003</v>
      </c>
      <c r="Y14" s="6">
        <v>3.9E-2</v>
      </c>
      <c r="Z14" s="308">
        <v>1</v>
      </c>
      <c r="AA14" s="309">
        <v>1</v>
      </c>
      <c r="AB14" s="7">
        <v>16</v>
      </c>
      <c r="AC14" s="6">
        <v>157</v>
      </c>
      <c r="AD14" s="309">
        <v>1</v>
      </c>
      <c r="AE14" s="7"/>
      <c r="AF14" s="7"/>
    </row>
    <row r="15" spans="1:47" ht="14">
      <c r="A15" s="245" t="s">
        <v>37</v>
      </c>
      <c r="B15" s="50" t="s">
        <v>4179</v>
      </c>
      <c r="C15" s="50" t="s">
        <v>4629</v>
      </c>
      <c r="D15" s="48" t="s">
        <v>251</v>
      </c>
      <c r="E15" s="50" t="s">
        <v>304</v>
      </c>
      <c r="G15" s="76" t="s">
        <v>812</v>
      </c>
      <c r="H15" s="50" t="s">
        <v>4630</v>
      </c>
      <c r="I15" s="49" t="s">
        <v>2</v>
      </c>
      <c r="J15" s="50" t="s">
        <v>4631</v>
      </c>
      <c r="K15" s="51">
        <v>41487</v>
      </c>
      <c r="L15" s="115">
        <v>41478</v>
      </c>
      <c r="M15" s="402">
        <f t="shared" si="1"/>
        <v>9</v>
      </c>
      <c r="N15" s="50" t="s">
        <v>2</v>
      </c>
      <c r="R15" s="119"/>
      <c r="AG15" s="402">
        <v>10</v>
      </c>
    </row>
    <row r="16" spans="1:47" ht="14">
      <c r="A16" s="245" t="s">
        <v>37</v>
      </c>
      <c r="B16" s="50" t="s">
        <v>4179</v>
      </c>
      <c r="C16" s="50" t="s">
        <v>5058</v>
      </c>
      <c r="D16" s="48" t="s">
        <v>303</v>
      </c>
      <c r="E16" s="50" t="s">
        <v>5059</v>
      </c>
      <c r="G16" s="76" t="s">
        <v>5060</v>
      </c>
      <c r="H16" s="50" t="s">
        <v>4630</v>
      </c>
      <c r="I16" s="49" t="s">
        <v>1</v>
      </c>
      <c r="J16" s="50" t="s">
        <v>5061</v>
      </c>
      <c r="K16" s="51">
        <v>41495</v>
      </c>
      <c r="L16" s="115">
        <v>41487</v>
      </c>
      <c r="M16" s="402">
        <f t="shared" si="1"/>
        <v>8</v>
      </c>
      <c r="N16" s="50" t="s">
        <v>2</v>
      </c>
      <c r="O16" s="74">
        <f>1.4/2</f>
        <v>0.7</v>
      </c>
      <c r="P16" s="50">
        <v>6.11</v>
      </c>
      <c r="Q16" s="74">
        <v>6.3</v>
      </c>
      <c r="R16" s="119">
        <v>78</v>
      </c>
      <c r="S16" s="74">
        <v>5.5</v>
      </c>
      <c r="T16" s="50">
        <v>0.06</v>
      </c>
      <c r="U16" s="74">
        <v>0.91</v>
      </c>
      <c r="V16" s="50">
        <v>1.45</v>
      </c>
      <c r="W16" s="74">
        <f>0.005/2</f>
        <v>2.5000000000000001E-3</v>
      </c>
      <c r="X16" s="50">
        <v>2.7E-2</v>
      </c>
      <c r="Y16" s="74">
        <v>3.0000000000000001E-3</v>
      </c>
      <c r="Z16" s="308">
        <v>1</v>
      </c>
      <c r="AA16" s="309">
        <v>1</v>
      </c>
      <c r="AB16" s="50">
        <v>60</v>
      </c>
      <c r="AC16" s="74">
        <v>475</v>
      </c>
      <c r="AD16" s="309">
        <v>1</v>
      </c>
      <c r="AH16" s="77" t="s">
        <v>1535</v>
      </c>
    </row>
    <row r="17" spans="1:34" ht="14">
      <c r="A17" s="245" t="s">
        <v>37</v>
      </c>
      <c r="B17" s="50" t="s">
        <v>4179</v>
      </c>
      <c r="C17" s="50" t="s">
        <v>5058</v>
      </c>
      <c r="D17" s="48" t="s">
        <v>303</v>
      </c>
      <c r="E17" s="50" t="s">
        <v>5059</v>
      </c>
      <c r="G17" s="76" t="s">
        <v>5060</v>
      </c>
      <c r="H17" s="50" t="s">
        <v>5062</v>
      </c>
      <c r="I17" s="49" t="s">
        <v>1</v>
      </c>
      <c r="J17" s="50" t="s">
        <v>5063</v>
      </c>
      <c r="K17" s="51">
        <v>41495</v>
      </c>
      <c r="L17" s="115">
        <v>41487</v>
      </c>
      <c r="M17" s="402">
        <f t="shared" si="1"/>
        <v>8</v>
      </c>
      <c r="N17" s="50" t="s">
        <v>2</v>
      </c>
      <c r="O17" s="74">
        <f>1.4/2</f>
        <v>0.7</v>
      </c>
      <c r="P17" s="50">
        <v>6.11</v>
      </c>
      <c r="Q17" s="74">
        <v>6.75</v>
      </c>
      <c r="R17" s="119">
        <v>34</v>
      </c>
      <c r="S17" s="74">
        <v>23</v>
      </c>
      <c r="T17" s="50">
        <v>0.09</v>
      </c>
      <c r="U17" s="74">
        <v>0.55000000000000004</v>
      </c>
      <c r="V17" s="50">
        <v>0.33</v>
      </c>
      <c r="W17" s="74">
        <f>0.005/2</f>
        <v>2.5000000000000001E-3</v>
      </c>
      <c r="X17" s="50">
        <v>2.7E-2</v>
      </c>
      <c r="Y17" s="74">
        <f>0.002/2</f>
        <v>1E-3</v>
      </c>
      <c r="Z17" s="308">
        <v>1</v>
      </c>
      <c r="AA17" s="309">
        <v>1</v>
      </c>
      <c r="AB17" s="50">
        <v>228</v>
      </c>
      <c r="AC17" s="74">
        <v>3400</v>
      </c>
      <c r="AD17" s="309">
        <v>1</v>
      </c>
      <c r="AE17" s="50">
        <v>885</v>
      </c>
      <c r="AF17" s="50">
        <f>0.01/2</f>
        <v>5.0000000000000001E-3</v>
      </c>
      <c r="AH17" s="402" t="s">
        <v>1535</v>
      </c>
    </row>
    <row r="18" spans="1:34" ht="14">
      <c r="A18" s="245" t="s">
        <v>37</v>
      </c>
      <c r="B18" s="50" t="s">
        <v>4179</v>
      </c>
      <c r="C18" s="50" t="s">
        <v>5058</v>
      </c>
      <c r="D18" s="48" t="s">
        <v>303</v>
      </c>
      <c r="E18" s="50" t="s">
        <v>5059</v>
      </c>
      <c r="G18" s="76" t="s">
        <v>5060</v>
      </c>
      <c r="H18" s="50" t="s">
        <v>5064</v>
      </c>
      <c r="I18" s="49" t="s">
        <v>1</v>
      </c>
      <c r="J18" s="50" t="s">
        <v>5065</v>
      </c>
      <c r="K18" s="51">
        <v>41495</v>
      </c>
      <c r="L18" s="115">
        <v>41487</v>
      </c>
      <c r="M18" s="402">
        <f t="shared" si="1"/>
        <v>8</v>
      </c>
      <c r="N18" s="50" t="s">
        <v>2</v>
      </c>
      <c r="O18" s="74">
        <f>1.4/2</f>
        <v>0.7</v>
      </c>
      <c r="P18" s="50">
        <v>6.11</v>
      </c>
      <c r="Q18" s="74">
        <v>6.74</v>
      </c>
      <c r="R18" s="119">
        <v>34</v>
      </c>
      <c r="S18" s="74">
        <v>66</v>
      </c>
      <c r="T18" s="50">
        <v>0.1</v>
      </c>
      <c r="U18" s="74">
        <v>0.69</v>
      </c>
      <c r="V18" s="50">
        <v>0.28000000000000003</v>
      </c>
      <c r="W18" s="74">
        <v>0.01</v>
      </c>
      <c r="X18" s="50">
        <v>5.5E-2</v>
      </c>
      <c r="Y18" s="74">
        <v>3.6999999999999998E-2</v>
      </c>
      <c r="Z18" s="308">
        <v>1</v>
      </c>
      <c r="AA18" s="309">
        <v>1</v>
      </c>
      <c r="AB18" s="50">
        <v>240</v>
      </c>
      <c r="AC18" s="74">
        <v>3280</v>
      </c>
      <c r="AD18" s="309">
        <v>1</v>
      </c>
      <c r="AH18" s="402">
        <v>1240</v>
      </c>
    </row>
    <row r="19" spans="1:34" ht="14">
      <c r="A19" s="245" t="s">
        <v>37</v>
      </c>
      <c r="B19" s="50" t="s">
        <v>4179</v>
      </c>
      <c r="C19" s="50" t="s">
        <v>5058</v>
      </c>
      <c r="D19" s="48" t="s">
        <v>303</v>
      </c>
      <c r="E19" s="50" t="s">
        <v>5059</v>
      </c>
      <c r="G19" s="76" t="s">
        <v>5060</v>
      </c>
      <c r="H19" s="50" t="s">
        <v>5066</v>
      </c>
      <c r="I19" s="49" t="s">
        <v>1</v>
      </c>
      <c r="J19" s="50" t="s">
        <v>5067</v>
      </c>
      <c r="K19" s="51">
        <v>41495</v>
      </c>
      <c r="L19" s="115">
        <v>41487</v>
      </c>
      <c r="M19" s="402">
        <f t="shared" si="1"/>
        <v>8</v>
      </c>
      <c r="N19" s="50" t="s">
        <v>2</v>
      </c>
      <c r="O19" s="74">
        <f>1.4/2</f>
        <v>0.7</v>
      </c>
      <c r="P19" s="50">
        <v>6.11</v>
      </c>
      <c r="Q19" s="74">
        <v>7.39</v>
      </c>
      <c r="R19" s="119">
        <v>65</v>
      </c>
      <c r="S19" s="74">
        <v>17</v>
      </c>
      <c r="T19" s="50">
        <v>1.48</v>
      </c>
      <c r="U19" s="74">
        <v>9.1199999999999992</v>
      </c>
      <c r="V19" s="50">
        <v>0.59</v>
      </c>
      <c r="W19" s="74">
        <v>8.0000000000000002E-3</v>
      </c>
      <c r="X19" s="50">
        <v>0.19</v>
      </c>
      <c r="Y19" s="74">
        <v>6.0000000000000001E-3</v>
      </c>
      <c r="Z19" s="308">
        <v>1</v>
      </c>
      <c r="AA19" s="309">
        <v>1</v>
      </c>
      <c r="AB19" s="50">
        <v>54</v>
      </c>
      <c r="AC19" s="74">
        <v>239</v>
      </c>
      <c r="AD19" s="309">
        <v>1</v>
      </c>
      <c r="AE19" s="50">
        <v>7.1</v>
      </c>
      <c r="AF19" s="50">
        <f>0.01/2</f>
        <v>5.0000000000000001E-3</v>
      </c>
      <c r="AH19" s="402" t="s">
        <v>1535</v>
      </c>
    </row>
    <row r="20" spans="1:34" ht="14">
      <c r="K20" s="51"/>
      <c r="L20" s="115"/>
      <c r="R20" s="119"/>
    </row>
    <row r="21" spans="1:34" ht="14">
      <c r="K21" s="51"/>
      <c r="L21" s="115"/>
      <c r="R21" s="119"/>
    </row>
    <row r="22" spans="1:34" ht="14">
      <c r="K22" s="51"/>
      <c r="L22" s="115"/>
      <c r="R22" s="119"/>
    </row>
    <row r="23" spans="1:34" ht="14">
      <c r="K23" s="51"/>
      <c r="L23" s="115"/>
      <c r="R23" s="119"/>
    </row>
    <row r="24" spans="1:34" ht="14">
      <c r="K24" s="51"/>
      <c r="L24" s="115"/>
      <c r="R24" s="119"/>
    </row>
    <row r="25" spans="1:34" ht="14">
      <c r="K25" s="51"/>
      <c r="L25" s="115"/>
      <c r="R25" s="119"/>
    </row>
    <row r="26" spans="1:34" ht="14">
      <c r="K26" s="51"/>
      <c r="L26" s="115"/>
      <c r="R26" s="119"/>
    </row>
    <row r="27" spans="1:34" ht="14">
      <c r="K27" s="51"/>
      <c r="L27" s="115"/>
      <c r="R27" s="119"/>
    </row>
    <row r="28" spans="1:34" ht="14">
      <c r="K28" s="51"/>
      <c r="L28" s="115"/>
      <c r="R28" s="119"/>
    </row>
    <row r="29" spans="1:34" ht="14">
      <c r="K29" s="51"/>
      <c r="L29" s="115"/>
      <c r="R29" s="119"/>
    </row>
    <row r="30" spans="1:34" ht="14">
      <c r="K30" s="51"/>
      <c r="L30" s="115"/>
      <c r="R30" s="119"/>
    </row>
    <row r="31" spans="1:34" ht="14">
      <c r="K31" s="51"/>
      <c r="L31" s="115"/>
      <c r="R31" s="119"/>
    </row>
    <row r="32" spans="1:34" ht="14">
      <c r="K32" s="51"/>
      <c r="L32" s="115"/>
      <c r="R32" s="119"/>
    </row>
    <row r="33" spans="11:18" ht="14">
      <c r="K33" s="51"/>
      <c r="L33" s="115"/>
      <c r="R33" s="119"/>
    </row>
    <row r="34" spans="11:18" ht="14">
      <c r="K34" s="51"/>
      <c r="L34" s="115"/>
      <c r="R34" s="119"/>
    </row>
    <row r="35" spans="11:18" ht="14">
      <c r="K35" s="51"/>
      <c r="L35" s="115"/>
      <c r="R35" s="119"/>
    </row>
    <row r="36" spans="11:18" ht="14">
      <c r="K36" s="51"/>
      <c r="L36" s="115"/>
      <c r="R36" s="119"/>
    </row>
    <row r="37" spans="11:18" ht="14">
      <c r="K37" s="51"/>
      <c r="L37" s="115"/>
      <c r="R37" s="119"/>
    </row>
    <row r="38" spans="11:18" ht="14">
      <c r="K38" s="51"/>
      <c r="L38" s="115"/>
      <c r="R38" s="119"/>
    </row>
    <row r="39" spans="11:18" ht="14">
      <c r="K39" s="51"/>
      <c r="L39" s="115"/>
      <c r="R39" s="119"/>
    </row>
    <row r="40" spans="11:18" ht="14">
      <c r="K40" s="51"/>
      <c r="L40" s="115"/>
      <c r="R40" s="119"/>
    </row>
    <row r="41" spans="11:18" ht="14">
      <c r="K41" s="51"/>
      <c r="L41" s="115"/>
      <c r="R41" s="119"/>
    </row>
    <row r="42" spans="11:18" ht="14">
      <c r="K42" s="51"/>
      <c r="L42" s="115"/>
      <c r="R42" s="119"/>
    </row>
    <row r="43" spans="11:18" ht="14">
      <c r="K43" s="51"/>
      <c r="L43" s="115"/>
      <c r="R43" s="119"/>
    </row>
    <row r="44" spans="11:18" ht="14">
      <c r="K44" s="51"/>
      <c r="L44" s="115"/>
      <c r="R44" s="119"/>
    </row>
    <row r="45" spans="11:18" ht="14">
      <c r="K45" s="51"/>
      <c r="L45" s="115"/>
      <c r="R45" s="119"/>
    </row>
    <row r="46" spans="11:18" ht="14">
      <c r="K46" s="51"/>
      <c r="L46" s="115"/>
      <c r="R46" s="119"/>
    </row>
    <row r="47" spans="11:18" ht="14">
      <c r="K47" s="51"/>
      <c r="L47" s="115"/>
      <c r="R47" s="119"/>
    </row>
    <row r="48" spans="11:18" ht="14">
      <c r="K48" s="51"/>
      <c r="L48" s="115"/>
      <c r="R48" s="119"/>
    </row>
    <row r="49" spans="11:18" ht="14">
      <c r="K49" s="51"/>
      <c r="L49" s="115"/>
      <c r="R49" s="119"/>
    </row>
    <row r="50" spans="11:18" ht="14">
      <c r="K50" s="51"/>
      <c r="L50" s="115"/>
      <c r="R50" s="119"/>
    </row>
    <row r="51" spans="11:18" ht="14">
      <c r="K51" s="51"/>
      <c r="L51" s="115"/>
      <c r="R51" s="119"/>
    </row>
    <row r="52" spans="11:18" ht="14">
      <c r="K52" s="51"/>
      <c r="L52" s="115"/>
      <c r="R52" s="119"/>
    </row>
    <row r="53" spans="11:18" ht="14">
      <c r="K53" s="51"/>
      <c r="L53" s="115"/>
      <c r="R53" s="119"/>
    </row>
    <row r="54" spans="11:18" ht="14">
      <c r="K54" s="51"/>
      <c r="L54" s="115"/>
      <c r="R54" s="119"/>
    </row>
    <row r="55" spans="11:18" ht="14">
      <c r="K55" s="51"/>
      <c r="L55" s="115"/>
      <c r="R55" s="119"/>
    </row>
    <row r="56" spans="11:18" ht="14">
      <c r="K56" s="51"/>
      <c r="L56" s="115"/>
      <c r="R56" s="119"/>
    </row>
    <row r="57" spans="11:18" ht="14">
      <c r="K57" s="51"/>
      <c r="L57" s="115"/>
      <c r="R57" s="119"/>
    </row>
    <row r="58" spans="11:18" ht="14">
      <c r="K58" s="51"/>
      <c r="L58" s="115"/>
      <c r="R58" s="119"/>
    </row>
    <row r="59" spans="11:18" ht="14">
      <c r="K59" s="51"/>
      <c r="L59" s="115"/>
      <c r="R59" s="119"/>
    </row>
    <row r="60" spans="11:18" ht="14">
      <c r="K60" s="51"/>
      <c r="L60" s="115"/>
      <c r="R60" s="119"/>
    </row>
    <row r="61" spans="11:18" ht="14">
      <c r="K61" s="51"/>
      <c r="L61" s="115"/>
      <c r="R61" s="119"/>
    </row>
    <row r="62" spans="11:18" ht="14">
      <c r="K62" s="51"/>
      <c r="L62" s="115"/>
      <c r="R62" s="119"/>
    </row>
    <row r="63" spans="11:18" ht="14">
      <c r="K63" s="51"/>
      <c r="L63" s="115"/>
      <c r="R63" s="119"/>
    </row>
    <row r="64" spans="11:18" ht="14">
      <c r="K64" s="51"/>
      <c r="L64" s="115"/>
      <c r="R64" s="119"/>
    </row>
    <row r="65" spans="11:18" ht="14">
      <c r="K65" s="51"/>
      <c r="L65" s="115"/>
      <c r="R65" s="119"/>
    </row>
    <row r="66" spans="11:18" ht="14">
      <c r="K66" s="51"/>
      <c r="L66" s="115"/>
      <c r="R66" s="119"/>
    </row>
    <row r="67" spans="11:18" ht="14">
      <c r="K67" s="51"/>
      <c r="L67" s="115"/>
      <c r="R67" s="119"/>
    </row>
    <row r="68" spans="11:18" ht="14">
      <c r="K68" s="51"/>
      <c r="L68" s="115"/>
      <c r="R68" s="119"/>
    </row>
    <row r="69" spans="11:18" ht="14">
      <c r="K69" s="51"/>
      <c r="L69" s="115"/>
      <c r="R69" s="119"/>
    </row>
    <row r="70" spans="11:18" ht="14">
      <c r="K70" s="51"/>
      <c r="L70" s="115"/>
      <c r="R70" s="119"/>
    </row>
    <row r="71" spans="11:18" ht="14">
      <c r="K71" s="51"/>
      <c r="L71" s="115"/>
      <c r="R71" s="119"/>
    </row>
    <row r="72" spans="11:18" ht="14">
      <c r="K72" s="51"/>
      <c r="L72" s="115"/>
      <c r="R72" s="119"/>
    </row>
    <row r="73" spans="11:18" ht="14">
      <c r="K73" s="51"/>
      <c r="L73" s="115"/>
      <c r="R73" s="119"/>
    </row>
    <row r="74" spans="11:18" ht="14">
      <c r="K74" s="51"/>
      <c r="L74" s="115"/>
      <c r="R74" s="119"/>
    </row>
    <row r="75" spans="11:18" ht="14">
      <c r="K75" s="51"/>
      <c r="L75" s="115"/>
      <c r="R75" s="119"/>
    </row>
    <row r="76" spans="11:18" ht="14">
      <c r="K76" s="51"/>
      <c r="L76" s="115"/>
      <c r="R76" s="119"/>
    </row>
    <row r="77" spans="11:18" ht="14">
      <c r="K77" s="51"/>
      <c r="L77" s="115"/>
      <c r="R77" s="119"/>
    </row>
    <row r="78" spans="11:18" ht="14">
      <c r="K78" s="51"/>
      <c r="L78" s="115"/>
      <c r="R78" s="119"/>
    </row>
    <row r="79" spans="11:18" ht="14">
      <c r="K79" s="51"/>
      <c r="L79" s="115"/>
      <c r="R79" s="119"/>
    </row>
    <row r="80" spans="11:18" ht="14">
      <c r="K80" s="51"/>
      <c r="L80" s="115"/>
      <c r="R80" s="119"/>
    </row>
    <row r="81" spans="11:18" ht="14">
      <c r="K81" s="51"/>
      <c r="L81" s="115"/>
      <c r="R81" s="119"/>
    </row>
    <row r="82" spans="11:18" ht="14">
      <c r="K82" s="51"/>
      <c r="L82" s="115"/>
      <c r="R82" s="119"/>
    </row>
    <row r="83" spans="11:18" ht="14">
      <c r="K83" s="51"/>
      <c r="L83" s="115"/>
      <c r="R83" s="119"/>
    </row>
    <row r="84" spans="11:18" ht="14">
      <c r="K84" s="51"/>
      <c r="L84" s="115"/>
      <c r="R84" s="119"/>
    </row>
    <row r="85" spans="11:18" ht="14">
      <c r="K85" s="51"/>
      <c r="L85" s="115"/>
      <c r="R85" s="119"/>
    </row>
    <row r="86" spans="11:18" ht="14">
      <c r="K86" s="51"/>
      <c r="L86" s="115"/>
      <c r="R86" s="119"/>
    </row>
    <row r="87" spans="11:18" ht="14">
      <c r="K87" s="51"/>
      <c r="L87" s="115"/>
      <c r="R87" s="119"/>
    </row>
    <row r="88" spans="11:18" ht="14">
      <c r="K88" s="51"/>
      <c r="L88" s="115"/>
      <c r="R88" s="119"/>
    </row>
    <row r="89" spans="11:18" ht="14">
      <c r="K89" s="51"/>
      <c r="L89" s="115"/>
      <c r="R89" s="119"/>
    </row>
    <row r="90" spans="11:18" ht="14">
      <c r="K90" s="51"/>
      <c r="L90" s="115"/>
      <c r="R90" s="119"/>
    </row>
    <row r="91" spans="11:18" ht="14">
      <c r="K91" s="51"/>
      <c r="L91" s="115"/>
      <c r="R91" s="119"/>
    </row>
    <row r="92" spans="11:18" ht="14">
      <c r="K92" s="51"/>
      <c r="L92" s="115"/>
      <c r="R92" s="119"/>
    </row>
    <row r="93" spans="11:18" ht="14">
      <c r="K93" s="51"/>
      <c r="L93" s="115"/>
      <c r="R93" s="119"/>
    </row>
    <row r="94" spans="11:18" ht="14">
      <c r="K94" s="51"/>
      <c r="L94" s="115"/>
      <c r="R94" s="119"/>
    </row>
    <row r="95" spans="11:18" ht="14">
      <c r="K95" s="51"/>
      <c r="L95" s="115"/>
      <c r="R95" s="119"/>
    </row>
    <row r="96" spans="11:18" ht="14">
      <c r="K96" s="51"/>
      <c r="L96" s="115"/>
      <c r="R96" s="119"/>
    </row>
    <row r="97" spans="11:18" ht="14">
      <c r="K97" s="51"/>
      <c r="L97" s="115"/>
      <c r="R97" s="119"/>
    </row>
    <row r="98" spans="11:18" ht="14">
      <c r="K98" s="51"/>
      <c r="L98" s="115"/>
      <c r="R98" s="119"/>
    </row>
    <row r="99" spans="11:18" ht="14">
      <c r="K99" s="51"/>
      <c r="L99" s="115"/>
      <c r="R99" s="119"/>
    </row>
    <row r="100" spans="11:18" ht="14">
      <c r="K100" s="51"/>
      <c r="L100" s="115"/>
      <c r="R100" s="119"/>
    </row>
    <row r="101" spans="11:18" ht="14">
      <c r="K101" s="51"/>
      <c r="L101" s="115"/>
      <c r="R101" s="119"/>
    </row>
    <row r="102" spans="11:18" ht="14">
      <c r="K102" s="51"/>
      <c r="L102" s="115"/>
      <c r="R102" s="119"/>
    </row>
    <row r="103" spans="11:18" ht="14">
      <c r="K103" s="51"/>
      <c r="L103" s="115"/>
      <c r="R103" s="119"/>
    </row>
    <row r="104" spans="11:18" ht="14">
      <c r="K104" s="51"/>
      <c r="L104" s="115"/>
      <c r="R104" s="119"/>
    </row>
    <row r="105" spans="11:18" ht="14">
      <c r="K105" s="51"/>
      <c r="L105" s="115"/>
      <c r="R105" s="119"/>
    </row>
    <row r="106" spans="11:18" ht="14">
      <c r="K106" s="51"/>
      <c r="L106" s="115"/>
      <c r="R106" s="119"/>
    </row>
    <row r="107" spans="11:18" ht="14">
      <c r="K107" s="51"/>
      <c r="L107" s="115"/>
      <c r="R107" s="119"/>
    </row>
    <row r="108" spans="11:18" ht="14">
      <c r="K108" s="51"/>
      <c r="L108" s="115"/>
      <c r="R108" s="119"/>
    </row>
    <row r="109" spans="11:18" ht="14">
      <c r="K109" s="51"/>
      <c r="L109" s="115"/>
      <c r="R109" s="119"/>
    </row>
    <row r="110" spans="11:18" ht="14">
      <c r="K110" s="51"/>
      <c r="L110" s="115"/>
      <c r="R110" s="119"/>
    </row>
    <row r="111" spans="11:18" ht="14">
      <c r="K111" s="51"/>
      <c r="L111" s="115"/>
      <c r="R111" s="119"/>
    </row>
    <row r="112" spans="11:18" ht="14">
      <c r="K112" s="51"/>
      <c r="L112" s="115"/>
      <c r="R112" s="119"/>
    </row>
    <row r="113" spans="11:18" ht="14">
      <c r="K113" s="51"/>
      <c r="L113" s="115"/>
      <c r="R113" s="119"/>
    </row>
    <row r="114" spans="11:18" ht="14">
      <c r="K114" s="51"/>
      <c r="L114" s="115"/>
      <c r="R114" s="119"/>
    </row>
    <row r="115" spans="11:18" ht="14">
      <c r="K115" s="51"/>
      <c r="L115" s="115"/>
      <c r="R115" s="119"/>
    </row>
    <row r="116" spans="11:18" ht="14">
      <c r="K116" s="51"/>
      <c r="L116" s="115"/>
      <c r="R116" s="119"/>
    </row>
    <row r="117" spans="11:18" ht="14">
      <c r="K117" s="51"/>
      <c r="L117" s="115"/>
      <c r="R117" s="119"/>
    </row>
    <row r="118" spans="11:18" ht="14">
      <c r="K118" s="51"/>
      <c r="L118" s="115"/>
      <c r="R118" s="119"/>
    </row>
    <row r="119" spans="11:18" ht="14">
      <c r="K119" s="51"/>
      <c r="L119" s="115"/>
      <c r="R119" s="119"/>
    </row>
    <row r="120" spans="11:18" ht="14">
      <c r="K120" s="51"/>
      <c r="L120" s="115"/>
      <c r="R120" s="119"/>
    </row>
    <row r="121" spans="11:18" ht="14">
      <c r="K121" s="51"/>
      <c r="L121" s="115"/>
      <c r="R121" s="119"/>
    </row>
    <row r="122" spans="11:18" ht="14">
      <c r="K122" s="51"/>
      <c r="L122" s="115"/>
      <c r="R122" s="119"/>
    </row>
    <row r="123" spans="11:18" ht="14">
      <c r="K123" s="51"/>
      <c r="L123" s="115"/>
      <c r="R123" s="119"/>
    </row>
    <row r="124" spans="11:18" ht="14">
      <c r="K124" s="51"/>
      <c r="L124" s="115"/>
      <c r="R124" s="119"/>
    </row>
    <row r="125" spans="11:18" ht="14">
      <c r="K125" s="51"/>
      <c r="L125" s="115"/>
      <c r="R125" s="119"/>
    </row>
    <row r="126" spans="11:18" ht="14">
      <c r="K126" s="51"/>
      <c r="L126" s="115"/>
      <c r="R126" s="119"/>
    </row>
    <row r="127" spans="11:18" ht="14">
      <c r="K127" s="51"/>
      <c r="L127" s="115"/>
      <c r="R127" s="119"/>
    </row>
    <row r="128" spans="11:18" ht="14">
      <c r="K128" s="51"/>
      <c r="L128" s="115"/>
      <c r="R128" s="119"/>
    </row>
    <row r="129" spans="11:18" ht="14">
      <c r="K129" s="51"/>
      <c r="L129" s="115"/>
      <c r="R129" s="119"/>
    </row>
    <row r="130" spans="11:18" ht="14">
      <c r="K130" s="51"/>
      <c r="L130" s="115"/>
      <c r="R130" s="119"/>
    </row>
    <row r="131" spans="11:18" ht="14">
      <c r="K131" s="51"/>
      <c r="L131" s="115"/>
      <c r="R131" s="119"/>
    </row>
    <row r="132" spans="11:18" ht="14">
      <c r="K132" s="51"/>
      <c r="L132" s="115"/>
      <c r="R132" s="119"/>
    </row>
    <row r="133" spans="11:18" ht="14">
      <c r="K133" s="51"/>
      <c r="L133" s="115"/>
      <c r="R133" s="119"/>
    </row>
    <row r="134" spans="11:18" ht="14">
      <c r="K134" s="51"/>
      <c r="L134" s="115"/>
      <c r="R134" s="119"/>
    </row>
    <row r="135" spans="11:18" ht="14">
      <c r="K135" s="51"/>
      <c r="L135" s="115"/>
      <c r="R135" s="119"/>
    </row>
    <row r="136" spans="11:18" ht="14">
      <c r="K136" s="51"/>
      <c r="L136" s="115"/>
      <c r="R136" s="119"/>
    </row>
    <row r="137" spans="11:18" ht="14">
      <c r="K137" s="51"/>
      <c r="L137" s="115"/>
      <c r="R137" s="119"/>
    </row>
    <row r="138" spans="11:18" ht="14">
      <c r="K138" s="51"/>
      <c r="L138" s="115"/>
      <c r="R138" s="119"/>
    </row>
    <row r="139" spans="11:18" ht="14">
      <c r="K139" s="51"/>
      <c r="L139" s="115"/>
      <c r="R139" s="119"/>
    </row>
    <row r="140" spans="11:18" ht="14">
      <c r="K140" s="51"/>
      <c r="L140" s="115"/>
      <c r="R140" s="119"/>
    </row>
    <row r="141" spans="11:18" ht="14">
      <c r="K141" s="51"/>
      <c r="L141" s="115"/>
      <c r="R141" s="119"/>
    </row>
    <row r="142" spans="11:18" ht="14">
      <c r="K142" s="51"/>
      <c r="L142" s="115"/>
      <c r="R142" s="119"/>
    </row>
    <row r="143" spans="11:18" ht="14">
      <c r="K143" s="51"/>
      <c r="L143" s="115"/>
      <c r="R143" s="119"/>
    </row>
    <row r="144" spans="11:18" ht="14">
      <c r="K144" s="51"/>
      <c r="L144" s="115"/>
      <c r="R144" s="119"/>
    </row>
    <row r="145" spans="11:18" ht="14">
      <c r="K145" s="51"/>
      <c r="L145" s="115"/>
      <c r="R145" s="119"/>
    </row>
    <row r="146" spans="11:18" ht="14">
      <c r="K146" s="51"/>
      <c r="L146" s="115"/>
      <c r="R146" s="119"/>
    </row>
    <row r="147" spans="11:18" ht="14">
      <c r="K147" s="51"/>
      <c r="L147" s="115"/>
      <c r="R147" s="119"/>
    </row>
    <row r="148" spans="11:18" ht="14">
      <c r="K148" s="51"/>
      <c r="L148" s="115"/>
      <c r="R148" s="119"/>
    </row>
    <row r="149" spans="11:18" ht="14">
      <c r="K149" s="51"/>
      <c r="L149" s="115"/>
      <c r="R149" s="119"/>
    </row>
    <row r="150" spans="11:18" ht="14">
      <c r="K150" s="51"/>
      <c r="L150" s="115"/>
      <c r="R150" s="119"/>
    </row>
    <row r="151" spans="11:18" ht="14">
      <c r="K151" s="51"/>
      <c r="L151" s="115"/>
      <c r="R151" s="119"/>
    </row>
    <row r="152" spans="11:18" ht="14">
      <c r="K152" s="51"/>
      <c r="L152" s="115"/>
      <c r="R152" s="119"/>
    </row>
    <row r="153" spans="11:18" ht="14">
      <c r="K153" s="51"/>
      <c r="L153" s="115"/>
      <c r="R153" s="119"/>
    </row>
    <row r="154" spans="11:18" ht="14">
      <c r="K154" s="51"/>
      <c r="L154" s="115"/>
      <c r="R154" s="119"/>
    </row>
    <row r="155" spans="11:18" ht="14">
      <c r="K155" s="51"/>
      <c r="L155" s="115"/>
      <c r="R155" s="119"/>
    </row>
    <row r="156" spans="11:18" ht="14">
      <c r="K156" s="51"/>
      <c r="L156" s="115"/>
      <c r="R156" s="119"/>
    </row>
    <row r="157" spans="11:18" ht="14">
      <c r="K157" s="51"/>
      <c r="L157" s="115"/>
      <c r="R157" s="119"/>
    </row>
    <row r="158" spans="11:18" ht="14">
      <c r="K158" s="51"/>
      <c r="L158" s="115"/>
      <c r="R158" s="119"/>
    </row>
    <row r="159" spans="11:18" ht="14">
      <c r="K159" s="51"/>
      <c r="L159" s="115"/>
      <c r="R159" s="119"/>
    </row>
    <row r="160" spans="11:18" ht="14">
      <c r="K160" s="51"/>
      <c r="L160" s="115"/>
      <c r="R160" s="119"/>
    </row>
    <row r="161" spans="11:18" ht="14">
      <c r="K161" s="51"/>
      <c r="L161" s="115"/>
      <c r="R161" s="119"/>
    </row>
    <row r="162" spans="11:18" ht="14">
      <c r="K162" s="51"/>
      <c r="L162" s="115"/>
      <c r="R162" s="119"/>
    </row>
    <row r="163" spans="11:18" ht="14">
      <c r="K163" s="51"/>
      <c r="L163" s="115"/>
      <c r="R163" s="119"/>
    </row>
    <row r="164" spans="11:18" ht="14">
      <c r="K164" s="51"/>
      <c r="L164" s="115"/>
      <c r="R164" s="119"/>
    </row>
    <row r="165" spans="11:18" ht="14">
      <c r="K165" s="51"/>
      <c r="L165" s="115"/>
      <c r="R165" s="119"/>
    </row>
    <row r="166" spans="11:18" ht="14">
      <c r="K166" s="51"/>
      <c r="L166" s="115"/>
      <c r="R166" s="119"/>
    </row>
    <row r="167" spans="11:18" ht="14">
      <c r="K167" s="51"/>
      <c r="L167" s="115"/>
      <c r="R167" s="119"/>
    </row>
    <row r="168" spans="11:18" ht="14">
      <c r="K168" s="51"/>
      <c r="L168" s="115"/>
      <c r="R168" s="119"/>
    </row>
    <row r="169" spans="11:18" ht="14">
      <c r="K169" s="51"/>
      <c r="L169" s="115"/>
      <c r="R169" s="119"/>
    </row>
    <row r="170" spans="11:18" ht="14">
      <c r="K170" s="51"/>
      <c r="L170" s="115"/>
      <c r="R170" s="119"/>
    </row>
    <row r="171" spans="11:18" ht="14">
      <c r="K171" s="51"/>
      <c r="L171" s="115"/>
      <c r="R171" s="119"/>
    </row>
    <row r="172" spans="11:18" ht="14">
      <c r="K172" s="51"/>
      <c r="L172" s="115"/>
      <c r="R172" s="119"/>
    </row>
    <row r="173" spans="11:18" ht="14">
      <c r="K173" s="51"/>
      <c r="L173" s="115"/>
      <c r="R173" s="119"/>
    </row>
    <row r="174" spans="11:18" ht="14">
      <c r="K174" s="51"/>
      <c r="L174" s="115"/>
      <c r="R174" s="119"/>
    </row>
    <row r="175" spans="11:18" ht="14">
      <c r="K175" s="51"/>
      <c r="L175" s="115"/>
      <c r="R175" s="119"/>
    </row>
    <row r="176" spans="11:18" ht="14">
      <c r="K176" s="51"/>
      <c r="L176" s="115"/>
      <c r="R176" s="119"/>
    </row>
    <row r="177" spans="11:18" ht="14">
      <c r="K177" s="51"/>
      <c r="L177" s="115"/>
      <c r="R177" s="119"/>
    </row>
    <row r="178" spans="11:18" ht="14">
      <c r="K178" s="51"/>
      <c r="L178" s="115"/>
      <c r="R178" s="119"/>
    </row>
    <row r="179" spans="11:18" ht="14">
      <c r="K179" s="51"/>
      <c r="L179" s="115"/>
      <c r="R179" s="119"/>
    </row>
    <row r="180" spans="11:18" ht="14">
      <c r="K180" s="51"/>
      <c r="L180" s="115"/>
      <c r="R180" s="119"/>
    </row>
    <row r="181" spans="11:18" ht="14">
      <c r="K181" s="51"/>
      <c r="L181" s="115"/>
      <c r="R181" s="119"/>
    </row>
    <row r="182" spans="11:18" ht="14">
      <c r="K182" s="51"/>
      <c r="L182" s="115"/>
      <c r="R182" s="119"/>
    </row>
    <row r="183" spans="11:18" ht="14">
      <c r="K183" s="51"/>
      <c r="L183" s="115"/>
      <c r="R183" s="119"/>
    </row>
    <row r="184" spans="11:18" ht="14">
      <c r="K184" s="51"/>
      <c r="L184" s="115"/>
      <c r="R184" s="119"/>
    </row>
    <row r="185" spans="11:18" ht="14">
      <c r="K185" s="51"/>
      <c r="L185" s="115"/>
      <c r="R185" s="119"/>
    </row>
    <row r="186" spans="11:18" ht="14">
      <c r="K186" s="51"/>
      <c r="L186" s="115"/>
      <c r="R186" s="119"/>
    </row>
    <row r="187" spans="11:18" ht="14">
      <c r="K187" s="51"/>
      <c r="L187" s="115"/>
      <c r="R187" s="119"/>
    </row>
    <row r="188" spans="11:18" ht="14">
      <c r="K188" s="51"/>
      <c r="L188" s="115"/>
      <c r="R188" s="119"/>
    </row>
    <row r="189" spans="11:18" ht="14">
      <c r="K189" s="51"/>
      <c r="L189" s="115"/>
      <c r="R189" s="119"/>
    </row>
    <row r="190" spans="11:18" ht="14">
      <c r="K190" s="51"/>
      <c r="L190" s="115"/>
      <c r="R190" s="119"/>
    </row>
    <row r="191" spans="11:18" ht="14">
      <c r="K191" s="51"/>
      <c r="L191" s="115"/>
      <c r="R191" s="119"/>
    </row>
    <row r="192" spans="11:18" ht="14">
      <c r="K192" s="51"/>
      <c r="L192" s="115"/>
      <c r="R192" s="119"/>
    </row>
    <row r="193" spans="11:18" ht="14">
      <c r="K193" s="51"/>
      <c r="L193" s="115"/>
      <c r="R193" s="119"/>
    </row>
    <row r="194" spans="11:18" ht="14">
      <c r="K194" s="51"/>
      <c r="L194" s="115"/>
      <c r="R194" s="119"/>
    </row>
    <row r="195" spans="11:18" ht="14">
      <c r="K195" s="51"/>
      <c r="L195" s="115"/>
      <c r="R195" s="119"/>
    </row>
    <row r="196" spans="11:18" ht="14">
      <c r="K196" s="51"/>
      <c r="L196" s="115"/>
      <c r="R196" s="119"/>
    </row>
    <row r="197" spans="11:18" ht="14">
      <c r="K197" s="51"/>
      <c r="L197" s="115"/>
      <c r="R197" s="119"/>
    </row>
    <row r="198" spans="11:18" ht="14">
      <c r="K198" s="51"/>
      <c r="L198" s="115"/>
      <c r="R198" s="119"/>
    </row>
    <row r="199" spans="11:18" ht="14">
      <c r="K199" s="51"/>
      <c r="L199" s="115"/>
      <c r="R199" s="119"/>
    </row>
    <row r="200" spans="11:18" ht="14">
      <c r="K200" s="51"/>
      <c r="L200" s="115"/>
      <c r="R200" s="119"/>
    </row>
    <row r="201" spans="11:18" ht="14">
      <c r="K201" s="51"/>
      <c r="L201" s="115"/>
      <c r="R201" s="119"/>
    </row>
    <row r="202" spans="11:18" ht="14">
      <c r="K202" s="51"/>
      <c r="L202" s="115"/>
      <c r="R202" s="119"/>
    </row>
    <row r="203" spans="11:18" ht="14">
      <c r="K203" s="51"/>
      <c r="L203" s="115"/>
      <c r="R203" s="119"/>
    </row>
    <row r="204" spans="11:18" ht="14">
      <c r="K204" s="51"/>
      <c r="L204" s="115"/>
      <c r="R204" s="119"/>
    </row>
    <row r="205" spans="11:18" ht="14">
      <c r="K205" s="51"/>
      <c r="L205" s="115"/>
      <c r="R205" s="119"/>
    </row>
    <row r="206" spans="11:18" ht="14">
      <c r="K206" s="51"/>
      <c r="L206" s="115"/>
      <c r="R206" s="119"/>
    </row>
    <row r="207" spans="11:18" ht="14">
      <c r="K207" s="51"/>
      <c r="L207" s="115"/>
      <c r="R207" s="119"/>
    </row>
    <row r="208" spans="11:18" ht="14">
      <c r="K208" s="51"/>
      <c r="L208" s="115"/>
      <c r="R208" s="119"/>
    </row>
    <row r="209" spans="11:18" ht="14">
      <c r="K209" s="51"/>
      <c r="L209" s="115"/>
      <c r="R209" s="119"/>
    </row>
    <row r="210" spans="11:18" ht="14">
      <c r="K210" s="51"/>
      <c r="L210" s="115"/>
      <c r="R210" s="119"/>
    </row>
    <row r="211" spans="11:18" ht="14">
      <c r="K211" s="51"/>
      <c r="L211" s="115"/>
      <c r="R211" s="119"/>
    </row>
    <row r="212" spans="11:18" ht="14">
      <c r="K212" s="51"/>
      <c r="L212" s="115"/>
      <c r="R212" s="119"/>
    </row>
    <row r="213" spans="11:18" ht="14">
      <c r="K213" s="51"/>
      <c r="L213" s="115"/>
      <c r="R213" s="119"/>
    </row>
    <row r="214" spans="11:18" ht="14">
      <c r="K214" s="51"/>
      <c r="L214" s="115"/>
      <c r="R214" s="119"/>
    </row>
    <row r="215" spans="11:18" ht="14">
      <c r="K215" s="51"/>
      <c r="L215" s="115"/>
      <c r="R215" s="119"/>
    </row>
    <row r="216" spans="11:18" ht="14">
      <c r="K216" s="51"/>
      <c r="L216" s="115"/>
      <c r="R216" s="119"/>
    </row>
    <row r="217" spans="11:18" ht="14">
      <c r="K217" s="51"/>
      <c r="L217" s="115"/>
      <c r="R217" s="119"/>
    </row>
    <row r="218" spans="11:18" ht="14">
      <c r="K218" s="51"/>
      <c r="L218" s="115"/>
      <c r="R218" s="119"/>
    </row>
    <row r="219" spans="11:18" ht="14">
      <c r="K219" s="51"/>
      <c r="L219" s="115"/>
      <c r="R219" s="119"/>
    </row>
    <row r="220" spans="11:18" ht="14">
      <c r="K220" s="51"/>
      <c r="L220" s="115"/>
      <c r="R220" s="119"/>
    </row>
    <row r="221" spans="11:18" ht="14">
      <c r="K221" s="51"/>
      <c r="L221" s="115"/>
      <c r="R221" s="119"/>
    </row>
    <row r="222" spans="11:18" ht="14">
      <c r="K222" s="51"/>
      <c r="L222" s="115"/>
      <c r="R222" s="119"/>
    </row>
    <row r="223" spans="11:18" ht="14">
      <c r="K223" s="51"/>
      <c r="L223" s="115"/>
      <c r="R223" s="119"/>
    </row>
    <row r="224" spans="11:18" ht="14">
      <c r="K224" s="51"/>
      <c r="L224" s="115"/>
      <c r="R224" s="119"/>
    </row>
    <row r="225" spans="11:18" ht="14">
      <c r="K225" s="51"/>
      <c r="L225" s="115"/>
      <c r="R225" s="119"/>
    </row>
    <row r="226" spans="11:18" ht="14">
      <c r="K226" s="51"/>
      <c r="L226" s="115"/>
      <c r="R226" s="119"/>
    </row>
    <row r="227" spans="11:18" ht="14">
      <c r="K227" s="51"/>
      <c r="L227" s="115"/>
      <c r="R227" s="119"/>
    </row>
    <row r="228" spans="11:18" ht="14">
      <c r="K228" s="51"/>
      <c r="L228" s="115"/>
      <c r="R228" s="119"/>
    </row>
    <row r="229" spans="11:18" ht="14">
      <c r="K229" s="51"/>
      <c r="L229" s="115"/>
      <c r="R229" s="119"/>
    </row>
    <row r="230" spans="11:18" ht="14">
      <c r="K230" s="51"/>
      <c r="L230" s="115"/>
      <c r="R230" s="119"/>
    </row>
    <row r="231" spans="11:18" ht="14">
      <c r="K231" s="51"/>
      <c r="L231" s="115"/>
      <c r="R231" s="119"/>
    </row>
    <row r="232" spans="11:18" ht="14">
      <c r="K232" s="51"/>
      <c r="L232" s="115"/>
      <c r="R232" s="119"/>
    </row>
    <row r="233" spans="11:18" ht="14">
      <c r="K233" s="51"/>
      <c r="L233" s="115"/>
      <c r="R233" s="119"/>
    </row>
    <row r="234" spans="11:18" ht="14">
      <c r="K234" s="51"/>
      <c r="L234" s="115"/>
      <c r="R234" s="119"/>
    </row>
    <row r="235" spans="11:18" ht="14">
      <c r="K235" s="51"/>
      <c r="L235" s="115"/>
      <c r="R235" s="119"/>
    </row>
    <row r="236" spans="11:18" ht="14">
      <c r="K236" s="51"/>
      <c r="L236" s="115"/>
      <c r="R236" s="119"/>
    </row>
    <row r="237" spans="11:18" ht="14">
      <c r="K237" s="51"/>
      <c r="L237" s="115"/>
      <c r="R237" s="119"/>
    </row>
    <row r="238" spans="11:18" ht="14">
      <c r="K238" s="51"/>
      <c r="L238" s="115"/>
      <c r="R238" s="119"/>
    </row>
    <row r="239" spans="11:18" ht="14">
      <c r="K239" s="51"/>
      <c r="L239" s="115"/>
      <c r="R239" s="119"/>
    </row>
    <row r="240" spans="11:18" ht="14">
      <c r="K240" s="51"/>
      <c r="L240" s="115"/>
      <c r="R240" s="119"/>
    </row>
    <row r="241" spans="11:18" ht="14">
      <c r="K241" s="51"/>
      <c r="L241" s="115"/>
      <c r="R241" s="119"/>
    </row>
    <row r="242" spans="11:18" ht="14">
      <c r="K242" s="51"/>
      <c r="L242" s="115"/>
      <c r="R242" s="119"/>
    </row>
    <row r="243" spans="11:18" ht="14">
      <c r="K243" s="51"/>
      <c r="L243" s="115"/>
      <c r="R243" s="119"/>
    </row>
    <row r="244" spans="11:18" ht="14">
      <c r="K244" s="51"/>
      <c r="L244" s="115"/>
      <c r="R244" s="119"/>
    </row>
    <row r="245" spans="11:18" ht="14">
      <c r="K245" s="51"/>
      <c r="L245" s="115"/>
      <c r="R245" s="119"/>
    </row>
    <row r="246" spans="11:18" ht="14">
      <c r="K246" s="51"/>
      <c r="L246" s="115"/>
      <c r="R246" s="119"/>
    </row>
    <row r="247" spans="11:18" ht="14">
      <c r="K247" s="51"/>
      <c r="L247" s="115"/>
      <c r="R247" s="119"/>
    </row>
    <row r="248" spans="11:18" ht="14">
      <c r="K248" s="51"/>
      <c r="L248" s="115"/>
      <c r="R248" s="119"/>
    </row>
    <row r="249" spans="11:18" ht="14">
      <c r="K249" s="51"/>
      <c r="L249" s="115"/>
      <c r="R249" s="119"/>
    </row>
    <row r="250" spans="11:18" ht="14">
      <c r="K250" s="51"/>
      <c r="L250" s="115"/>
      <c r="R250" s="119"/>
    </row>
    <row r="251" spans="11:18" ht="14">
      <c r="K251" s="51"/>
      <c r="L251" s="115"/>
      <c r="R251" s="119"/>
    </row>
    <row r="252" spans="11:18" ht="14">
      <c r="K252" s="51"/>
      <c r="L252" s="115"/>
      <c r="R252" s="119"/>
    </row>
    <row r="253" spans="11:18" ht="14">
      <c r="K253" s="51"/>
      <c r="L253" s="115"/>
      <c r="R253" s="119"/>
    </row>
    <row r="254" spans="11:18" ht="14">
      <c r="K254" s="51"/>
      <c r="L254" s="115"/>
      <c r="R254" s="119"/>
    </row>
    <row r="255" spans="11:18" ht="14">
      <c r="K255" s="51"/>
      <c r="L255" s="115"/>
      <c r="R255" s="119"/>
    </row>
    <row r="256" spans="11:18" ht="14">
      <c r="K256" s="51"/>
      <c r="L256" s="115"/>
      <c r="R256" s="119"/>
    </row>
    <row r="257" spans="11:18" ht="14">
      <c r="K257" s="51"/>
      <c r="L257" s="115"/>
      <c r="R257" s="119"/>
    </row>
    <row r="258" spans="11:18" ht="14">
      <c r="K258" s="51"/>
      <c r="L258" s="115"/>
      <c r="R258" s="119"/>
    </row>
    <row r="259" spans="11:18" ht="14">
      <c r="K259" s="51"/>
      <c r="L259" s="115"/>
      <c r="R259" s="119"/>
    </row>
    <row r="260" spans="11:18" ht="14">
      <c r="K260" s="51"/>
      <c r="L260" s="115"/>
      <c r="R260" s="119"/>
    </row>
    <row r="261" spans="11:18" ht="14">
      <c r="K261" s="51"/>
      <c r="L261" s="115"/>
      <c r="R261" s="119"/>
    </row>
    <row r="262" spans="11:18" ht="14">
      <c r="K262" s="51"/>
      <c r="L262" s="115"/>
      <c r="R262" s="119"/>
    </row>
    <row r="263" spans="11:18" ht="14">
      <c r="K263" s="51"/>
      <c r="L263" s="115"/>
      <c r="R263" s="119"/>
    </row>
    <row r="264" spans="11:18" ht="14">
      <c r="K264" s="51"/>
      <c r="L264" s="115"/>
      <c r="R264" s="119"/>
    </row>
    <row r="265" spans="11:18" ht="14">
      <c r="K265" s="51"/>
      <c r="L265" s="115"/>
      <c r="R265" s="119"/>
    </row>
    <row r="266" spans="11:18" ht="14">
      <c r="K266" s="51"/>
      <c r="L266" s="115"/>
      <c r="R266" s="119"/>
    </row>
    <row r="267" spans="11:18" ht="14">
      <c r="K267" s="51"/>
      <c r="L267" s="115"/>
      <c r="R267" s="119"/>
    </row>
    <row r="268" spans="11:18" ht="14">
      <c r="K268" s="51"/>
      <c r="L268" s="115"/>
      <c r="R268" s="119"/>
    </row>
    <row r="269" spans="11:18" ht="14">
      <c r="K269" s="51"/>
      <c r="L269" s="115"/>
      <c r="R269" s="119"/>
    </row>
    <row r="270" spans="11:18" ht="14">
      <c r="K270" s="51"/>
      <c r="L270" s="115"/>
      <c r="R270" s="119"/>
    </row>
    <row r="271" spans="11:18" ht="14">
      <c r="K271" s="51"/>
      <c r="L271" s="115"/>
      <c r="R271" s="119"/>
    </row>
    <row r="272" spans="11:18" ht="14">
      <c r="K272" s="51"/>
      <c r="L272" s="115"/>
      <c r="R272" s="119"/>
    </row>
    <row r="273" spans="11:18" ht="14">
      <c r="K273" s="51"/>
      <c r="L273" s="115"/>
      <c r="R273" s="119"/>
    </row>
    <row r="274" spans="11:18" ht="14">
      <c r="K274" s="51"/>
      <c r="L274" s="115"/>
      <c r="R274" s="119"/>
    </row>
    <row r="275" spans="11:18" ht="14">
      <c r="K275" s="51"/>
      <c r="L275" s="115"/>
      <c r="R275" s="119"/>
    </row>
    <row r="276" spans="11:18" ht="14">
      <c r="K276" s="51"/>
      <c r="L276" s="115"/>
      <c r="R276" s="119"/>
    </row>
    <row r="277" spans="11:18" ht="14">
      <c r="K277" s="51"/>
      <c r="L277" s="115"/>
      <c r="R277" s="119"/>
    </row>
    <row r="278" spans="11:18" ht="14">
      <c r="K278" s="51"/>
      <c r="L278" s="115"/>
      <c r="R278" s="119"/>
    </row>
    <row r="279" spans="11:18" ht="14">
      <c r="K279" s="51"/>
      <c r="L279" s="115"/>
      <c r="R279" s="119"/>
    </row>
    <row r="280" spans="11:18" ht="14">
      <c r="K280" s="51"/>
      <c r="L280" s="115"/>
      <c r="R280" s="119"/>
    </row>
    <row r="281" spans="11:18" ht="14">
      <c r="K281" s="51"/>
      <c r="L281" s="115"/>
      <c r="R281" s="119"/>
    </row>
    <row r="282" spans="11:18" ht="14">
      <c r="K282" s="51"/>
      <c r="L282" s="115"/>
      <c r="R282" s="119"/>
    </row>
    <row r="283" spans="11:18" ht="14">
      <c r="K283" s="51"/>
      <c r="L283" s="115"/>
      <c r="R283" s="119"/>
    </row>
    <row r="284" spans="11:18" ht="14">
      <c r="K284" s="51"/>
      <c r="L284" s="115"/>
      <c r="R284" s="119"/>
    </row>
    <row r="285" spans="11:18" ht="14">
      <c r="K285" s="51"/>
      <c r="L285" s="115"/>
      <c r="R285" s="119"/>
    </row>
    <row r="286" spans="11:18" ht="14">
      <c r="K286" s="51"/>
      <c r="L286" s="115"/>
      <c r="R286" s="119"/>
    </row>
    <row r="287" spans="11:18" ht="14">
      <c r="K287" s="51"/>
      <c r="L287" s="115"/>
      <c r="R287" s="119"/>
    </row>
    <row r="288" spans="11:18" ht="14">
      <c r="K288" s="51"/>
      <c r="L288" s="115"/>
      <c r="R288" s="119"/>
    </row>
    <row r="289" spans="11:18" ht="14">
      <c r="K289" s="51"/>
      <c r="L289" s="115"/>
      <c r="R289" s="119"/>
    </row>
    <row r="290" spans="11:18" ht="14">
      <c r="K290" s="51"/>
      <c r="L290" s="115"/>
      <c r="R290" s="119"/>
    </row>
    <row r="291" spans="11:18" ht="14">
      <c r="K291" s="51"/>
      <c r="L291" s="115"/>
      <c r="R291" s="119"/>
    </row>
    <row r="292" spans="11:18" ht="14">
      <c r="K292" s="51"/>
      <c r="L292" s="115"/>
      <c r="R292" s="119"/>
    </row>
    <row r="293" spans="11:18" ht="14">
      <c r="K293" s="51"/>
      <c r="L293" s="115"/>
      <c r="R293" s="119"/>
    </row>
    <row r="294" spans="11:18" ht="14">
      <c r="K294" s="51"/>
      <c r="L294" s="115"/>
      <c r="R294" s="119"/>
    </row>
    <row r="295" spans="11:18" ht="14">
      <c r="K295" s="51"/>
      <c r="L295" s="115"/>
      <c r="R295" s="119"/>
    </row>
    <row r="296" spans="11:18" ht="14">
      <c r="K296" s="51"/>
      <c r="L296" s="115"/>
      <c r="R296" s="119"/>
    </row>
    <row r="297" spans="11:18" ht="14">
      <c r="K297" s="51"/>
      <c r="L297" s="115"/>
      <c r="R297" s="119"/>
    </row>
    <row r="298" spans="11:18" ht="14">
      <c r="K298" s="51"/>
      <c r="L298" s="115"/>
      <c r="R298" s="119"/>
    </row>
    <row r="299" spans="11:18" ht="14">
      <c r="K299" s="51"/>
      <c r="L299" s="115"/>
      <c r="R299" s="119"/>
    </row>
    <row r="300" spans="11:18" ht="14">
      <c r="K300" s="51"/>
      <c r="L300" s="115"/>
      <c r="R300" s="119"/>
    </row>
    <row r="301" spans="11:18" ht="14">
      <c r="K301" s="51"/>
      <c r="L301" s="115"/>
      <c r="R301" s="119"/>
    </row>
    <row r="302" spans="11:18" ht="14">
      <c r="K302" s="51"/>
      <c r="L302" s="115"/>
      <c r="R302" s="119"/>
    </row>
    <row r="303" spans="11:18" ht="14">
      <c r="K303" s="51"/>
      <c r="L303" s="115"/>
      <c r="R303" s="119"/>
    </row>
    <row r="304" spans="11:18" ht="14">
      <c r="K304" s="51"/>
      <c r="L304" s="115"/>
      <c r="R304" s="119"/>
    </row>
    <row r="305" spans="11:18" ht="14">
      <c r="K305" s="51"/>
      <c r="L305" s="115"/>
      <c r="R305" s="119"/>
    </row>
    <row r="306" spans="11:18" ht="14">
      <c r="K306" s="51"/>
      <c r="L306" s="115"/>
      <c r="R306" s="119"/>
    </row>
    <row r="307" spans="11:18" ht="14">
      <c r="K307" s="51"/>
      <c r="L307" s="115"/>
      <c r="R307" s="119"/>
    </row>
    <row r="308" spans="11:18" ht="14">
      <c r="K308" s="51"/>
      <c r="L308" s="115"/>
      <c r="R308" s="119"/>
    </row>
    <row r="309" spans="11:18" ht="14">
      <c r="K309" s="51"/>
      <c r="L309" s="115"/>
      <c r="R309" s="119"/>
    </row>
    <row r="310" spans="11:18" ht="14">
      <c r="K310" s="51"/>
      <c r="L310" s="115"/>
      <c r="R310" s="119"/>
    </row>
    <row r="311" spans="11:18" ht="14">
      <c r="K311" s="51"/>
      <c r="L311" s="115"/>
      <c r="R311" s="119"/>
    </row>
    <row r="312" spans="11:18" ht="14">
      <c r="K312" s="51"/>
      <c r="L312" s="115"/>
      <c r="R312" s="119"/>
    </row>
    <row r="313" spans="11:18" ht="14">
      <c r="K313" s="51"/>
      <c r="L313" s="115"/>
      <c r="R313" s="119"/>
    </row>
    <row r="314" spans="11:18" ht="14">
      <c r="K314" s="51"/>
      <c r="L314" s="115"/>
      <c r="R314" s="119"/>
    </row>
    <row r="315" spans="11:18" ht="14">
      <c r="K315" s="51"/>
      <c r="L315" s="115"/>
      <c r="R315" s="119"/>
    </row>
    <row r="316" spans="11:18" ht="14">
      <c r="K316" s="51"/>
      <c r="L316" s="115"/>
      <c r="R316" s="119"/>
    </row>
    <row r="317" spans="11:18" ht="14">
      <c r="K317" s="51"/>
      <c r="L317" s="115"/>
      <c r="R317" s="119"/>
    </row>
    <row r="318" spans="11:18" ht="14">
      <c r="K318" s="51"/>
      <c r="L318" s="115"/>
      <c r="R318" s="119"/>
    </row>
    <row r="319" spans="11:18" ht="14">
      <c r="K319" s="51"/>
      <c r="L319" s="115"/>
      <c r="R319" s="119"/>
    </row>
    <row r="320" spans="11:18" ht="14">
      <c r="K320" s="51"/>
      <c r="L320" s="115"/>
      <c r="R320" s="119"/>
    </row>
    <row r="321" spans="11:18" ht="14">
      <c r="K321" s="51"/>
      <c r="L321" s="115"/>
      <c r="R321" s="119"/>
    </row>
    <row r="322" spans="11:18" ht="14">
      <c r="K322" s="51"/>
      <c r="L322" s="115"/>
      <c r="R322" s="119"/>
    </row>
    <row r="323" spans="11:18" ht="14">
      <c r="K323" s="51"/>
      <c r="L323" s="115"/>
      <c r="R323" s="119"/>
    </row>
    <row r="324" spans="11:18" ht="14">
      <c r="K324" s="51"/>
      <c r="L324" s="115"/>
      <c r="R324" s="119"/>
    </row>
    <row r="325" spans="11:18" ht="14">
      <c r="K325" s="51"/>
      <c r="L325" s="115"/>
      <c r="R325" s="119"/>
    </row>
    <row r="326" spans="11:18" ht="14">
      <c r="K326" s="51"/>
      <c r="L326" s="115"/>
      <c r="R326" s="119"/>
    </row>
    <row r="327" spans="11:18" ht="14">
      <c r="K327" s="51"/>
      <c r="L327" s="115"/>
      <c r="R327" s="119"/>
    </row>
    <row r="328" spans="11:18" ht="14">
      <c r="K328" s="51"/>
      <c r="L328" s="115"/>
      <c r="R328" s="119"/>
    </row>
    <row r="329" spans="11:18" ht="14">
      <c r="K329" s="51"/>
      <c r="L329" s="115"/>
      <c r="R329" s="119"/>
    </row>
    <row r="330" spans="11:18" ht="14">
      <c r="K330" s="51"/>
      <c r="L330" s="115"/>
      <c r="R330" s="119"/>
    </row>
    <row r="331" spans="11:18" ht="14">
      <c r="K331" s="51"/>
      <c r="L331" s="115"/>
      <c r="R331" s="119"/>
    </row>
    <row r="332" spans="11:18" ht="14">
      <c r="K332" s="51"/>
      <c r="L332" s="115"/>
      <c r="R332" s="119"/>
    </row>
    <row r="333" spans="11:18" ht="14">
      <c r="K333" s="51"/>
      <c r="L333" s="115"/>
      <c r="R333" s="119"/>
    </row>
    <row r="334" spans="11:18" ht="14">
      <c r="K334" s="51"/>
      <c r="L334" s="115"/>
      <c r="R334" s="119"/>
    </row>
    <row r="335" spans="11:18" ht="14">
      <c r="K335" s="51"/>
      <c r="L335" s="115"/>
      <c r="R335" s="119"/>
    </row>
    <row r="336" spans="11:18" ht="14">
      <c r="K336" s="51"/>
      <c r="L336" s="115"/>
      <c r="R336" s="119"/>
    </row>
    <row r="337" spans="11:18" ht="14">
      <c r="K337" s="51"/>
      <c r="L337" s="115"/>
      <c r="R337" s="119"/>
    </row>
    <row r="338" spans="11:18" ht="14">
      <c r="K338" s="51"/>
      <c r="L338" s="115"/>
      <c r="R338" s="119"/>
    </row>
    <row r="339" spans="11:18" ht="14">
      <c r="K339" s="51"/>
      <c r="L339" s="115"/>
      <c r="R339" s="119"/>
    </row>
    <row r="340" spans="11:18" ht="14">
      <c r="K340" s="51"/>
      <c r="L340" s="115"/>
      <c r="R340" s="119"/>
    </row>
    <row r="341" spans="11:18" ht="14">
      <c r="K341" s="51"/>
      <c r="L341" s="115"/>
      <c r="R341" s="119"/>
    </row>
    <row r="342" spans="11:18" ht="14">
      <c r="K342" s="51"/>
      <c r="L342" s="115"/>
      <c r="R342" s="119"/>
    </row>
    <row r="343" spans="11:18" ht="14">
      <c r="K343" s="51"/>
      <c r="L343" s="115"/>
      <c r="R343" s="119"/>
    </row>
    <row r="344" spans="11:18" ht="14">
      <c r="K344" s="51"/>
      <c r="L344" s="115"/>
      <c r="R344" s="119"/>
    </row>
    <row r="345" spans="11:18" ht="14">
      <c r="K345" s="51"/>
      <c r="L345" s="115"/>
      <c r="R345" s="119"/>
    </row>
    <row r="346" spans="11:18" ht="14">
      <c r="K346" s="51"/>
      <c r="L346" s="115"/>
      <c r="R346" s="119"/>
    </row>
    <row r="347" spans="11:18" ht="14">
      <c r="K347" s="51"/>
      <c r="L347" s="115"/>
      <c r="R347" s="119"/>
    </row>
    <row r="348" spans="11:18" ht="14">
      <c r="K348" s="51"/>
      <c r="L348" s="115"/>
      <c r="R348" s="119"/>
    </row>
    <row r="349" spans="11:18" ht="14">
      <c r="K349" s="51"/>
      <c r="L349" s="115"/>
      <c r="R349" s="119"/>
    </row>
    <row r="350" spans="11:18" ht="14">
      <c r="K350" s="51"/>
      <c r="L350" s="115"/>
      <c r="R350" s="119"/>
    </row>
    <row r="351" spans="11:18" ht="14">
      <c r="K351" s="51"/>
      <c r="L351" s="115"/>
      <c r="R351" s="119"/>
    </row>
    <row r="352" spans="11:18" ht="14">
      <c r="K352" s="51"/>
      <c r="L352" s="115"/>
      <c r="R352" s="119"/>
    </row>
    <row r="353" spans="11:18" ht="14">
      <c r="K353" s="51"/>
      <c r="L353" s="115"/>
      <c r="R353" s="119"/>
    </row>
    <row r="354" spans="11:18" ht="14">
      <c r="K354" s="51"/>
      <c r="L354" s="115"/>
      <c r="R354" s="119"/>
    </row>
    <row r="355" spans="11:18" ht="14">
      <c r="K355" s="51"/>
      <c r="L355" s="115"/>
      <c r="R355" s="119"/>
    </row>
    <row r="356" spans="11:18" ht="14">
      <c r="K356" s="51"/>
      <c r="L356" s="115"/>
      <c r="R356" s="119"/>
    </row>
    <row r="357" spans="11:18" ht="14">
      <c r="K357" s="51"/>
      <c r="L357" s="115"/>
      <c r="R357" s="119"/>
    </row>
    <row r="358" spans="11:18" ht="14">
      <c r="K358" s="51"/>
      <c r="L358" s="115"/>
      <c r="R358" s="119"/>
    </row>
    <row r="359" spans="11:18" ht="14">
      <c r="K359" s="51"/>
      <c r="L359" s="115"/>
      <c r="R359" s="119"/>
    </row>
    <row r="360" spans="11:18" ht="14">
      <c r="K360" s="51"/>
      <c r="L360" s="115"/>
      <c r="R360" s="119"/>
    </row>
    <row r="361" spans="11:18" ht="14">
      <c r="K361" s="51"/>
      <c r="L361" s="115"/>
      <c r="R361" s="119"/>
    </row>
    <row r="362" spans="11:18" ht="14">
      <c r="K362" s="51"/>
      <c r="L362" s="115"/>
      <c r="R362" s="119"/>
    </row>
    <row r="363" spans="11:18" ht="14">
      <c r="K363" s="51"/>
      <c r="L363" s="115"/>
      <c r="R363" s="119"/>
    </row>
    <row r="364" spans="11:18" ht="14">
      <c r="K364" s="51"/>
      <c r="L364" s="115"/>
      <c r="R364" s="119"/>
    </row>
    <row r="365" spans="11:18" ht="14">
      <c r="K365" s="51"/>
      <c r="L365" s="115"/>
      <c r="R365" s="119"/>
    </row>
    <row r="366" spans="11:18" ht="14">
      <c r="K366" s="51"/>
      <c r="L366" s="115"/>
      <c r="R366" s="119"/>
    </row>
    <row r="367" spans="11:18" ht="14">
      <c r="K367" s="51"/>
      <c r="L367" s="115"/>
      <c r="R367" s="119"/>
    </row>
    <row r="368" spans="11:18" ht="14">
      <c r="K368" s="51"/>
      <c r="L368" s="115"/>
      <c r="R368" s="119"/>
    </row>
    <row r="369" spans="11:18" ht="14">
      <c r="K369" s="51"/>
      <c r="L369" s="115"/>
      <c r="R369" s="119"/>
    </row>
    <row r="370" spans="11:18" ht="14">
      <c r="K370" s="51"/>
      <c r="L370" s="115"/>
      <c r="R370" s="119"/>
    </row>
    <row r="371" spans="11:18" ht="14">
      <c r="K371" s="51"/>
      <c r="L371" s="115"/>
      <c r="R371" s="119"/>
    </row>
    <row r="372" spans="11:18" ht="14">
      <c r="K372" s="51"/>
      <c r="L372" s="115"/>
      <c r="R372" s="119"/>
    </row>
    <row r="373" spans="11:18" ht="14">
      <c r="K373" s="51"/>
      <c r="L373" s="115"/>
      <c r="R373" s="119"/>
    </row>
    <row r="374" spans="11:18" ht="14">
      <c r="K374" s="51"/>
      <c r="L374" s="115"/>
      <c r="R374" s="119"/>
    </row>
    <row r="375" spans="11:18" ht="14">
      <c r="K375" s="51"/>
      <c r="L375" s="115"/>
      <c r="R375" s="119"/>
    </row>
    <row r="376" spans="11:18" ht="14">
      <c r="K376" s="51"/>
      <c r="L376" s="115"/>
      <c r="R376" s="119"/>
    </row>
    <row r="377" spans="11:18" ht="14">
      <c r="K377" s="51"/>
      <c r="L377" s="115"/>
      <c r="R377" s="119"/>
    </row>
    <row r="378" spans="11:18" ht="14">
      <c r="K378" s="51"/>
      <c r="L378" s="115"/>
      <c r="R378" s="119"/>
    </row>
    <row r="379" spans="11:18" ht="14">
      <c r="K379" s="51"/>
      <c r="L379" s="115"/>
      <c r="R379" s="119"/>
    </row>
    <row r="380" spans="11:18" ht="14">
      <c r="K380" s="51"/>
      <c r="L380" s="115"/>
      <c r="R380" s="119"/>
    </row>
    <row r="381" spans="11:18" ht="14">
      <c r="K381" s="51"/>
      <c r="L381" s="115"/>
      <c r="R381" s="119"/>
    </row>
    <row r="382" spans="11:18" ht="14">
      <c r="K382" s="51"/>
      <c r="L382" s="115"/>
      <c r="R382" s="119"/>
    </row>
    <row r="383" spans="11:18" ht="14">
      <c r="K383" s="51"/>
      <c r="L383" s="115"/>
      <c r="R383" s="119"/>
    </row>
    <row r="384" spans="11:18" ht="14">
      <c r="K384" s="51"/>
      <c r="L384" s="115"/>
      <c r="R384" s="119"/>
    </row>
    <row r="385" spans="11:18" ht="14">
      <c r="K385" s="51"/>
      <c r="L385" s="115"/>
      <c r="R385" s="119"/>
    </row>
    <row r="386" spans="11:18" ht="14">
      <c r="K386" s="51"/>
      <c r="L386" s="115"/>
      <c r="R386" s="119"/>
    </row>
    <row r="387" spans="11:18" ht="14">
      <c r="K387" s="51"/>
      <c r="L387" s="115"/>
      <c r="R387" s="119"/>
    </row>
    <row r="388" spans="11:18" ht="14">
      <c r="K388" s="51"/>
      <c r="L388" s="115"/>
      <c r="R388" s="119"/>
    </row>
    <row r="389" spans="11:18" ht="14">
      <c r="K389" s="51"/>
      <c r="L389" s="115"/>
      <c r="R389" s="119"/>
    </row>
    <row r="390" spans="11:18" ht="14">
      <c r="K390" s="51"/>
      <c r="L390" s="115"/>
      <c r="R390" s="119"/>
    </row>
    <row r="391" spans="11:18" ht="14">
      <c r="K391" s="51"/>
      <c r="L391" s="115"/>
      <c r="R391" s="119"/>
    </row>
    <row r="392" spans="11:18" ht="14">
      <c r="K392" s="51"/>
      <c r="L392" s="115"/>
      <c r="R392" s="119"/>
    </row>
    <row r="393" spans="11:18" ht="14">
      <c r="K393" s="51"/>
      <c r="L393" s="115"/>
      <c r="R393" s="119"/>
    </row>
    <row r="394" spans="11:18" ht="14">
      <c r="K394" s="51"/>
      <c r="L394" s="115"/>
      <c r="R394" s="119"/>
    </row>
    <row r="395" spans="11:18" ht="14">
      <c r="K395" s="51"/>
      <c r="L395" s="115"/>
      <c r="R395" s="119"/>
    </row>
    <row r="396" spans="11:18" ht="14">
      <c r="K396" s="51"/>
      <c r="L396" s="115"/>
      <c r="R396" s="119"/>
    </row>
    <row r="397" spans="11:18" ht="14">
      <c r="K397" s="51"/>
      <c r="L397" s="115"/>
      <c r="R397" s="119"/>
    </row>
    <row r="398" spans="11:18" ht="14">
      <c r="K398" s="51"/>
      <c r="L398" s="115"/>
      <c r="R398" s="119"/>
    </row>
    <row r="399" spans="11:18" ht="14">
      <c r="K399" s="51"/>
      <c r="L399" s="115"/>
      <c r="R399" s="119"/>
    </row>
    <row r="400" spans="11:18" ht="14">
      <c r="K400" s="51"/>
      <c r="L400" s="115"/>
      <c r="R400" s="119"/>
    </row>
    <row r="401" spans="11:18" ht="14">
      <c r="K401" s="51"/>
      <c r="L401" s="115"/>
      <c r="R401" s="119"/>
    </row>
    <row r="402" spans="11:18" ht="14">
      <c r="K402" s="51"/>
      <c r="L402" s="115"/>
      <c r="R402" s="119"/>
    </row>
    <row r="403" spans="11:18" ht="14">
      <c r="K403" s="51"/>
      <c r="L403" s="115"/>
      <c r="R403" s="119"/>
    </row>
    <row r="404" spans="11:18" ht="14">
      <c r="K404" s="51"/>
      <c r="L404" s="115"/>
      <c r="R404" s="119"/>
    </row>
    <row r="405" spans="11:18" ht="14">
      <c r="K405" s="51"/>
      <c r="L405" s="115"/>
      <c r="R405" s="119"/>
    </row>
    <row r="406" spans="11:18" ht="14">
      <c r="K406" s="51"/>
      <c r="L406" s="115"/>
      <c r="R406" s="119"/>
    </row>
    <row r="407" spans="11:18" ht="14">
      <c r="K407" s="51"/>
      <c r="L407" s="115"/>
      <c r="R407" s="119"/>
    </row>
    <row r="408" spans="11:18" ht="14">
      <c r="K408" s="51"/>
      <c r="L408" s="115"/>
      <c r="R408" s="119"/>
    </row>
    <row r="409" spans="11:18" ht="14">
      <c r="K409" s="51"/>
      <c r="L409" s="115"/>
      <c r="R409" s="119"/>
    </row>
    <row r="410" spans="11:18" ht="14">
      <c r="K410" s="51"/>
      <c r="L410" s="115"/>
      <c r="R410" s="119"/>
    </row>
    <row r="411" spans="11:18" ht="14">
      <c r="K411" s="51"/>
      <c r="L411" s="115"/>
      <c r="R411" s="119"/>
    </row>
    <row r="412" spans="11:18" ht="14">
      <c r="K412" s="51"/>
      <c r="L412" s="115"/>
      <c r="R412" s="119"/>
    </row>
    <row r="413" spans="11:18" ht="14">
      <c r="K413" s="51"/>
      <c r="L413" s="115"/>
      <c r="R413" s="119"/>
    </row>
    <row r="414" spans="11:18" ht="14">
      <c r="K414" s="51"/>
      <c r="L414" s="115"/>
      <c r="R414" s="119"/>
    </row>
    <row r="415" spans="11:18" ht="14">
      <c r="K415" s="51"/>
      <c r="L415" s="115"/>
      <c r="R415" s="119"/>
    </row>
    <row r="416" spans="11:18" ht="14">
      <c r="K416" s="51"/>
      <c r="L416" s="115"/>
      <c r="R416" s="119"/>
    </row>
    <row r="417" spans="11:18" ht="14">
      <c r="K417" s="51"/>
      <c r="L417" s="115"/>
      <c r="R417" s="119"/>
    </row>
    <row r="418" spans="11:18" ht="14">
      <c r="K418" s="51"/>
      <c r="L418" s="115"/>
      <c r="R418" s="119"/>
    </row>
    <row r="419" spans="11:18" ht="14">
      <c r="K419" s="51"/>
      <c r="L419" s="115"/>
      <c r="R419" s="119"/>
    </row>
    <row r="420" spans="11:18" ht="14">
      <c r="K420" s="51"/>
      <c r="L420" s="115"/>
      <c r="R420" s="119"/>
    </row>
    <row r="421" spans="11:18" ht="14">
      <c r="K421" s="51"/>
      <c r="L421" s="115"/>
      <c r="R421" s="119"/>
    </row>
    <row r="422" spans="11:18" ht="14">
      <c r="K422" s="51"/>
      <c r="L422" s="115"/>
      <c r="R422" s="119"/>
    </row>
    <row r="423" spans="11:18" ht="14">
      <c r="K423" s="51"/>
      <c r="L423" s="115"/>
      <c r="R423" s="119"/>
    </row>
    <row r="424" spans="11:18" ht="14">
      <c r="K424" s="51"/>
      <c r="L424" s="115"/>
      <c r="R424" s="119"/>
    </row>
    <row r="425" spans="11:18" ht="14">
      <c r="K425" s="51"/>
      <c r="L425" s="115"/>
      <c r="R425" s="119"/>
    </row>
    <row r="426" spans="11:18" ht="14">
      <c r="K426" s="51"/>
      <c r="L426" s="115"/>
      <c r="R426" s="119"/>
    </row>
    <row r="427" spans="11:18" ht="14">
      <c r="K427" s="51"/>
      <c r="L427" s="115"/>
      <c r="R427" s="119"/>
    </row>
    <row r="428" spans="11:18" ht="14">
      <c r="K428" s="51"/>
      <c r="L428" s="115"/>
      <c r="R428" s="119"/>
    </row>
    <row r="429" spans="11:18" ht="14">
      <c r="K429" s="51"/>
      <c r="L429" s="115"/>
      <c r="R429" s="119"/>
    </row>
    <row r="430" spans="11:18" ht="14">
      <c r="K430" s="51"/>
      <c r="L430" s="115"/>
      <c r="R430" s="119"/>
    </row>
    <row r="431" spans="11:18" ht="14">
      <c r="K431" s="51"/>
      <c r="L431" s="115"/>
      <c r="R431" s="119"/>
    </row>
    <row r="432" spans="11:18" ht="14">
      <c r="K432" s="51"/>
      <c r="L432" s="115"/>
      <c r="R432" s="119"/>
    </row>
    <row r="433" spans="11:18" ht="14">
      <c r="K433" s="51"/>
      <c r="L433" s="115"/>
      <c r="R433" s="119"/>
    </row>
    <row r="434" spans="11:18" ht="14">
      <c r="K434" s="51"/>
      <c r="L434" s="115"/>
      <c r="R434" s="119"/>
    </row>
    <row r="435" spans="11:18" ht="14">
      <c r="K435" s="51"/>
      <c r="L435" s="115"/>
      <c r="R435" s="119"/>
    </row>
    <row r="436" spans="11:18" ht="14">
      <c r="K436" s="51"/>
      <c r="L436" s="115"/>
      <c r="R436" s="119"/>
    </row>
    <row r="437" spans="11:18" ht="14">
      <c r="K437" s="51"/>
      <c r="L437" s="115"/>
      <c r="R437" s="119"/>
    </row>
    <row r="438" spans="11:18" ht="14">
      <c r="K438" s="51"/>
      <c r="L438" s="115"/>
      <c r="R438" s="119"/>
    </row>
    <row r="439" spans="11:18" ht="14">
      <c r="K439" s="51"/>
      <c r="L439" s="115"/>
      <c r="R439" s="119"/>
    </row>
    <row r="440" spans="11:18" ht="14">
      <c r="K440" s="51"/>
      <c r="L440" s="115"/>
      <c r="R440" s="119"/>
    </row>
    <row r="441" spans="11:18" ht="14">
      <c r="K441" s="51"/>
      <c r="L441" s="115"/>
      <c r="R441" s="119"/>
    </row>
    <row r="442" spans="11:18" ht="14">
      <c r="K442" s="51"/>
      <c r="L442" s="115"/>
      <c r="R442" s="119"/>
    </row>
    <row r="443" spans="11:18" ht="14">
      <c r="K443" s="51"/>
      <c r="L443" s="115"/>
      <c r="R443" s="119"/>
    </row>
    <row r="444" spans="11:18" ht="14">
      <c r="K444" s="51"/>
      <c r="L444" s="115"/>
      <c r="R444" s="119"/>
    </row>
    <row r="445" spans="11:18" ht="14">
      <c r="K445" s="51"/>
      <c r="L445" s="115"/>
      <c r="R445" s="119"/>
    </row>
    <row r="446" spans="11:18" ht="14">
      <c r="K446" s="51"/>
      <c r="L446" s="115"/>
      <c r="R446" s="119"/>
    </row>
    <row r="447" spans="11:18" ht="14">
      <c r="K447" s="51"/>
      <c r="L447" s="115"/>
      <c r="R447" s="119"/>
    </row>
    <row r="448" spans="11:18" ht="14">
      <c r="K448" s="51"/>
      <c r="L448" s="115"/>
      <c r="R448" s="119"/>
    </row>
    <row r="449" spans="11:18" ht="14">
      <c r="K449" s="51"/>
      <c r="L449" s="115"/>
      <c r="R449" s="119"/>
    </row>
    <row r="450" spans="11:18" ht="14">
      <c r="K450" s="51"/>
      <c r="L450" s="115"/>
      <c r="R450" s="119"/>
    </row>
    <row r="451" spans="11:18" ht="14">
      <c r="K451" s="51"/>
      <c r="L451" s="115"/>
      <c r="R451" s="119"/>
    </row>
    <row r="452" spans="11:18" ht="14">
      <c r="K452" s="51"/>
      <c r="L452" s="115"/>
      <c r="R452" s="119"/>
    </row>
    <row r="453" spans="11:18" ht="14">
      <c r="K453" s="51"/>
      <c r="L453" s="115"/>
      <c r="R453" s="119"/>
    </row>
    <row r="454" spans="11:18" ht="14">
      <c r="K454" s="51"/>
      <c r="L454" s="115"/>
      <c r="R454" s="119"/>
    </row>
    <row r="455" spans="11:18" ht="14">
      <c r="K455" s="51"/>
      <c r="L455" s="115"/>
      <c r="R455" s="119"/>
    </row>
    <row r="456" spans="11:18" ht="14">
      <c r="K456" s="51"/>
      <c r="L456" s="115"/>
      <c r="R456" s="119"/>
    </row>
    <row r="457" spans="11:18" ht="14">
      <c r="K457" s="51"/>
      <c r="L457" s="115"/>
      <c r="R457" s="119"/>
    </row>
    <row r="458" spans="11:18" ht="14">
      <c r="K458" s="51"/>
      <c r="L458" s="115"/>
      <c r="R458" s="119"/>
    </row>
    <row r="459" spans="11:18" ht="14">
      <c r="K459" s="51"/>
      <c r="L459" s="115"/>
      <c r="R459" s="119"/>
    </row>
    <row r="460" spans="11:18" ht="14">
      <c r="K460" s="51"/>
      <c r="L460" s="115"/>
      <c r="R460" s="119"/>
    </row>
    <row r="461" spans="11:18" ht="14">
      <c r="K461" s="51"/>
      <c r="L461" s="115"/>
      <c r="R461" s="119"/>
    </row>
    <row r="462" spans="11:18" ht="14">
      <c r="K462" s="51"/>
      <c r="L462" s="115"/>
      <c r="R462" s="119"/>
    </row>
    <row r="463" spans="11:18" ht="14">
      <c r="K463" s="51"/>
      <c r="L463" s="115"/>
      <c r="R463" s="119"/>
    </row>
    <row r="464" spans="11:18" ht="14">
      <c r="K464" s="51"/>
      <c r="L464" s="115"/>
      <c r="R464" s="119"/>
    </row>
    <row r="465" spans="11:18" ht="14">
      <c r="K465" s="51"/>
      <c r="L465" s="115"/>
      <c r="R465" s="119"/>
    </row>
    <row r="466" spans="11:18" ht="14">
      <c r="K466" s="51"/>
      <c r="L466" s="115"/>
      <c r="R466" s="119"/>
    </row>
    <row r="467" spans="11:18" ht="14">
      <c r="K467" s="51"/>
      <c r="L467" s="115"/>
      <c r="R467" s="119"/>
    </row>
    <row r="468" spans="11:18" ht="14">
      <c r="K468" s="51"/>
      <c r="L468" s="115"/>
      <c r="R468" s="119"/>
    </row>
    <row r="469" spans="11:18" ht="14">
      <c r="K469" s="51"/>
      <c r="L469" s="115"/>
      <c r="R469" s="119"/>
    </row>
    <row r="470" spans="11:18" ht="14">
      <c r="K470" s="51"/>
      <c r="L470" s="115"/>
      <c r="R470" s="119"/>
    </row>
    <row r="471" spans="11:18" ht="14">
      <c r="K471" s="51"/>
      <c r="L471" s="115"/>
      <c r="R471" s="119"/>
    </row>
    <row r="472" spans="11:18" ht="14">
      <c r="K472" s="51"/>
      <c r="L472" s="115"/>
      <c r="R472" s="119"/>
    </row>
    <row r="473" spans="11:18" ht="14">
      <c r="K473" s="51"/>
      <c r="L473" s="115"/>
      <c r="R473" s="119"/>
    </row>
    <row r="474" spans="11:18" ht="14">
      <c r="K474" s="51"/>
      <c r="L474" s="115"/>
      <c r="R474" s="119"/>
    </row>
    <row r="475" spans="11:18" ht="14">
      <c r="K475" s="51"/>
      <c r="L475" s="115"/>
      <c r="R475" s="119"/>
    </row>
    <row r="476" spans="11:18" ht="14">
      <c r="K476" s="51"/>
      <c r="L476" s="115"/>
      <c r="R476" s="119"/>
    </row>
    <row r="477" spans="11:18" ht="14">
      <c r="K477" s="51"/>
      <c r="L477" s="115"/>
      <c r="R477" s="119"/>
    </row>
    <row r="478" spans="11:18" ht="14">
      <c r="K478" s="51"/>
      <c r="L478" s="115"/>
      <c r="R478" s="119"/>
    </row>
    <row r="479" spans="11:18" ht="14">
      <c r="K479" s="51"/>
      <c r="L479" s="115"/>
      <c r="R479" s="119"/>
    </row>
    <row r="480" spans="11:18" ht="14">
      <c r="K480" s="51"/>
      <c r="L480" s="115"/>
      <c r="R480" s="119"/>
    </row>
    <row r="481" spans="11:18" ht="14">
      <c r="K481" s="51"/>
      <c r="L481" s="115"/>
      <c r="R481" s="119"/>
    </row>
    <row r="482" spans="11:18" ht="14">
      <c r="K482" s="51"/>
      <c r="L482" s="115"/>
      <c r="R482" s="119"/>
    </row>
    <row r="483" spans="11:18" ht="14">
      <c r="K483" s="51"/>
      <c r="L483" s="115"/>
      <c r="R483" s="119"/>
    </row>
    <row r="484" spans="11:18" ht="14">
      <c r="K484" s="51"/>
      <c r="L484" s="115"/>
      <c r="R484" s="119"/>
    </row>
    <row r="485" spans="11:18" ht="14">
      <c r="K485" s="51"/>
      <c r="L485" s="115"/>
      <c r="R485" s="119"/>
    </row>
    <row r="486" spans="11:18" ht="14">
      <c r="K486" s="51"/>
      <c r="L486" s="115"/>
      <c r="R486" s="119"/>
    </row>
    <row r="487" spans="11:18" ht="14">
      <c r="K487" s="51"/>
      <c r="L487" s="115"/>
      <c r="R487" s="119"/>
    </row>
    <row r="488" spans="11:18" ht="14">
      <c r="K488" s="51"/>
      <c r="L488" s="115"/>
      <c r="R488" s="119"/>
    </row>
    <row r="489" spans="11:18" ht="14">
      <c r="K489" s="51"/>
      <c r="L489" s="115"/>
      <c r="R489" s="119"/>
    </row>
    <row r="490" spans="11:18" ht="14">
      <c r="K490" s="51"/>
      <c r="L490" s="115"/>
      <c r="R490" s="119"/>
    </row>
    <row r="491" spans="11:18" ht="14">
      <c r="K491" s="51"/>
      <c r="L491" s="115"/>
      <c r="R491" s="119"/>
    </row>
    <row r="492" spans="11:18" ht="14">
      <c r="K492" s="51"/>
      <c r="L492" s="115"/>
      <c r="R492" s="119"/>
    </row>
    <row r="493" spans="11:18" ht="14">
      <c r="K493" s="51"/>
      <c r="L493" s="115"/>
      <c r="R493" s="119"/>
    </row>
    <row r="494" spans="11:18" ht="14">
      <c r="K494" s="51"/>
      <c r="L494" s="115"/>
      <c r="R494" s="119"/>
    </row>
    <row r="495" spans="11:18" ht="14">
      <c r="K495" s="51"/>
      <c r="L495" s="115"/>
      <c r="R495" s="119"/>
    </row>
    <row r="496" spans="11:18" ht="14">
      <c r="K496" s="51"/>
      <c r="L496" s="115"/>
      <c r="R496" s="119"/>
    </row>
    <row r="497" spans="11:18" ht="14">
      <c r="K497" s="51"/>
      <c r="L497" s="115"/>
      <c r="R497" s="119"/>
    </row>
    <row r="498" spans="11:18" ht="14">
      <c r="K498" s="51"/>
      <c r="L498" s="115"/>
      <c r="R498" s="119"/>
    </row>
    <row r="499" spans="11:18" ht="14">
      <c r="K499" s="51"/>
      <c r="L499" s="115"/>
      <c r="R499" s="119"/>
    </row>
    <row r="500" spans="11:18" ht="14">
      <c r="K500" s="51"/>
      <c r="L500" s="115"/>
      <c r="R500" s="119"/>
    </row>
    <row r="501" spans="11:18" ht="14">
      <c r="K501" s="51"/>
      <c r="L501" s="115"/>
      <c r="R501" s="119"/>
    </row>
    <row r="502" spans="11:18" ht="14">
      <c r="K502" s="51"/>
      <c r="L502" s="115"/>
      <c r="R502" s="119"/>
    </row>
    <row r="503" spans="11:18" ht="14">
      <c r="K503" s="51"/>
      <c r="L503" s="115"/>
      <c r="R503" s="119"/>
    </row>
    <row r="504" spans="11:18" ht="14">
      <c r="K504" s="51"/>
      <c r="L504" s="115"/>
      <c r="R504" s="119"/>
    </row>
    <row r="505" spans="11:18" ht="14">
      <c r="K505" s="51"/>
      <c r="L505" s="115"/>
      <c r="R505" s="119"/>
    </row>
    <row r="506" spans="11:18" ht="14">
      <c r="K506" s="51"/>
      <c r="L506" s="115"/>
      <c r="R506" s="119"/>
    </row>
    <row r="507" spans="11:18" ht="14">
      <c r="K507" s="51"/>
      <c r="L507" s="115"/>
      <c r="R507" s="119"/>
    </row>
    <row r="508" spans="11:18" ht="14">
      <c r="K508" s="51"/>
      <c r="L508" s="115"/>
      <c r="R508" s="119"/>
    </row>
    <row r="509" spans="11:18" ht="14">
      <c r="K509" s="51"/>
      <c r="L509" s="115"/>
      <c r="R509" s="119"/>
    </row>
    <row r="510" spans="11:18" ht="14">
      <c r="K510" s="51"/>
      <c r="L510" s="115"/>
      <c r="R510" s="119"/>
    </row>
    <row r="511" spans="11:18" ht="14">
      <c r="K511" s="51"/>
      <c r="L511" s="115"/>
      <c r="R511" s="119"/>
    </row>
    <row r="512" spans="11:18" ht="14">
      <c r="K512" s="51"/>
      <c r="L512" s="115"/>
      <c r="R512" s="119"/>
    </row>
    <row r="513" spans="11:18" ht="14">
      <c r="K513" s="51"/>
      <c r="L513" s="115"/>
      <c r="R513" s="119"/>
    </row>
    <row r="514" spans="11:18" ht="14">
      <c r="K514" s="51"/>
      <c r="L514" s="115"/>
      <c r="R514" s="119"/>
    </row>
    <row r="515" spans="11:18" ht="14">
      <c r="K515" s="51"/>
      <c r="L515" s="115"/>
      <c r="R515" s="119"/>
    </row>
    <row r="516" spans="11:18" ht="14">
      <c r="K516" s="51"/>
      <c r="L516" s="115"/>
      <c r="R516" s="119"/>
    </row>
    <row r="517" spans="11:18" ht="14">
      <c r="K517" s="51"/>
      <c r="L517" s="115"/>
      <c r="R517" s="119"/>
    </row>
    <row r="518" spans="11:18" ht="14">
      <c r="K518" s="51"/>
      <c r="L518" s="115"/>
      <c r="R518" s="119"/>
    </row>
    <row r="519" spans="11:18" ht="14">
      <c r="K519" s="51"/>
      <c r="L519" s="115"/>
      <c r="R519" s="119"/>
    </row>
    <row r="520" spans="11:18" ht="14">
      <c r="K520" s="51"/>
      <c r="L520" s="115"/>
      <c r="R520" s="119"/>
    </row>
    <row r="521" spans="11:18" ht="14">
      <c r="K521" s="51"/>
      <c r="L521" s="115"/>
      <c r="R521" s="119"/>
    </row>
    <row r="522" spans="11:18" ht="14">
      <c r="K522" s="51"/>
      <c r="L522" s="115"/>
      <c r="R522" s="119"/>
    </row>
    <row r="523" spans="11:18" ht="14">
      <c r="K523" s="51"/>
      <c r="L523" s="115"/>
      <c r="R523" s="119"/>
    </row>
    <row r="524" spans="11:18" ht="14">
      <c r="K524" s="51"/>
      <c r="L524" s="115"/>
      <c r="R524" s="119"/>
    </row>
    <row r="525" spans="11:18" ht="14">
      <c r="K525" s="51"/>
      <c r="L525" s="115"/>
      <c r="R525" s="119"/>
    </row>
    <row r="526" spans="11:18" ht="14">
      <c r="K526" s="51"/>
      <c r="L526" s="115"/>
      <c r="R526" s="119"/>
    </row>
    <row r="527" spans="11:18" ht="14">
      <c r="K527" s="51"/>
      <c r="L527" s="115"/>
      <c r="R527" s="119"/>
    </row>
    <row r="528" spans="11:18" ht="14">
      <c r="K528" s="51"/>
      <c r="L528" s="115"/>
      <c r="R528" s="119"/>
    </row>
    <row r="529" spans="11:18" ht="14">
      <c r="K529" s="51"/>
      <c r="L529" s="115"/>
      <c r="R529" s="119"/>
    </row>
    <row r="530" spans="11:18" ht="14">
      <c r="K530" s="51"/>
      <c r="L530" s="115"/>
      <c r="R530" s="119"/>
    </row>
    <row r="531" spans="11:18" ht="14">
      <c r="K531" s="51"/>
      <c r="L531" s="115"/>
      <c r="R531" s="119"/>
    </row>
    <row r="532" spans="11:18" ht="14">
      <c r="K532" s="51"/>
      <c r="L532" s="115"/>
      <c r="R532" s="119"/>
    </row>
    <row r="533" spans="11:18" ht="14">
      <c r="K533" s="51"/>
      <c r="L533" s="115"/>
      <c r="R533" s="119"/>
    </row>
    <row r="534" spans="11:18" ht="14">
      <c r="K534" s="51"/>
      <c r="L534" s="115"/>
      <c r="R534" s="119"/>
    </row>
    <row r="535" spans="11:18" ht="14">
      <c r="K535" s="51"/>
      <c r="L535" s="115"/>
      <c r="R535" s="119"/>
    </row>
    <row r="536" spans="11:18" ht="14">
      <c r="K536" s="51"/>
      <c r="L536" s="115"/>
      <c r="R536" s="119"/>
    </row>
    <row r="537" spans="11:18" ht="14">
      <c r="K537" s="51"/>
      <c r="L537" s="115"/>
      <c r="R537" s="119"/>
    </row>
    <row r="538" spans="11:18" ht="14">
      <c r="K538" s="51"/>
      <c r="L538" s="115"/>
      <c r="R538" s="119"/>
    </row>
    <row r="539" spans="11:18" ht="14">
      <c r="K539" s="51"/>
      <c r="L539" s="115"/>
      <c r="R539" s="119"/>
    </row>
    <row r="540" spans="11:18" ht="14">
      <c r="K540" s="51"/>
      <c r="L540" s="115"/>
      <c r="R540" s="119"/>
    </row>
    <row r="541" spans="11:18" ht="14">
      <c r="K541" s="51"/>
      <c r="L541" s="115"/>
      <c r="R541" s="119"/>
    </row>
    <row r="542" spans="11:18" ht="14">
      <c r="K542" s="51"/>
      <c r="L542" s="115"/>
      <c r="R542" s="119"/>
    </row>
    <row r="543" spans="11:18" ht="14">
      <c r="K543" s="51"/>
      <c r="L543" s="115"/>
      <c r="R543" s="119"/>
    </row>
    <row r="544" spans="11:18" ht="14">
      <c r="K544" s="51"/>
      <c r="L544" s="115"/>
      <c r="R544" s="119"/>
    </row>
    <row r="545" spans="11:18" ht="14">
      <c r="K545" s="51"/>
      <c r="L545" s="115"/>
      <c r="R545" s="119"/>
    </row>
    <row r="546" spans="11:18" ht="14">
      <c r="K546" s="51"/>
      <c r="L546" s="115"/>
      <c r="R546" s="119"/>
    </row>
    <row r="547" spans="11:18" ht="14">
      <c r="K547" s="51"/>
      <c r="L547" s="115"/>
      <c r="R547" s="119"/>
    </row>
    <row r="548" spans="11:18" ht="14">
      <c r="K548" s="51"/>
      <c r="L548" s="115"/>
      <c r="R548" s="119"/>
    </row>
    <row r="549" spans="11:18" ht="14">
      <c r="K549" s="51"/>
      <c r="L549" s="115"/>
      <c r="R549" s="119"/>
    </row>
    <row r="550" spans="11:18" ht="14">
      <c r="K550" s="51"/>
      <c r="L550" s="115"/>
      <c r="R550" s="119"/>
    </row>
    <row r="551" spans="11:18" ht="14">
      <c r="K551" s="51"/>
      <c r="L551" s="115"/>
      <c r="R551" s="119"/>
    </row>
    <row r="552" spans="11:18" ht="14">
      <c r="K552" s="51"/>
      <c r="L552" s="115"/>
      <c r="R552" s="119"/>
    </row>
    <row r="553" spans="11:18" ht="14">
      <c r="K553" s="51"/>
      <c r="L553" s="115"/>
      <c r="R553" s="119"/>
    </row>
    <row r="554" spans="11:18" ht="14">
      <c r="K554" s="51"/>
      <c r="L554" s="115"/>
      <c r="R554" s="119"/>
    </row>
    <row r="555" spans="11:18" ht="14">
      <c r="K555" s="51"/>
      <c r="L555" s="115"/>
      <c r="R555" s="119"/>
    </row>
    <row r="556" spans="11:18" ht="14">
      <c r="K556" s="51"/>
      <c r="L556" s="115"/>
      <c r="R556" s="119"/>
    </row>
    <row r="557" spans="11:18" ht="14">
      <c r="K557" s="51"/>
      <c r="L557" s="115"/>
      <c r="R557" s="119"/>
    </row>
    <row r="558" spans="11:18" ht="14">
      <c r="K558" s="51"/>
      <c r="L558" s="115"/>
      <c r="R558" s="119"/>
    </row>
    <row r="559" spans="11:18" ht="14">
      <c r="K559" s="51"/>
      <c r="L559" s="115"/>
      <c r="R559" s="119"/>
    </row>
    <row r="560" spans="11:18" ht="14">
      <c r="K560" s="51"/>
      <c r="L560" s="115"/>
      <c r="R560" s="119"/>
    </row>
    <row r="561" spans="11:18" ht="14">
      <c r="K561" s="51"/>
      <c r="L561" s="115"/>
      <c r="R561" s="119"/>
    </row>
    <row r="562" spans="11:18" ht="14">
      <c r="K562" s="51"/>
      <c r="L562" s="115"/>
      <c r="R562" s="119"/>
    </row>
    <row r="563" spans="11:18" ht="14">
      <c r="K563" s="51"/>
      <c r="L563" s="115"/>
      <c r="R563" s="119"/>
    </row>
    <row r="564" spans="11:18" ht="14">
      <c r="K564" s="51"/>
      <c r="L564" s="115"/>
      <c r="R564" s="119"/>
    </row>
    <row r="565" spans="11:18" ht="14">
      <c r="K565" s="51"/>
      <c r="L565" s="115"/>
      <c r="R565" s="119"/>
    </row>
    <row r="566" spans="11:18" ht="14">
      <c r="K566" s="51"/>
      <c r="L566" s="115"/>
      <c r="R566" s="119"/>
    </row>
    <row r="567" spans="11:18" ht="14">
      <c r="K567" s="51"/>
      <c r="L567" s="115"/>
      <c r="R567" s="119"/>
    </row>
    <row r="568" spans="11:18" ht="14">
      <c r="K568" s="51"/>
      <c r="L568" s="115"/>
      <c r="R568" s="119"/>
    </row>
    <row r="569" spans="11:18" ht="14">
      <c r="K569" s="51"/>
      <c r="L569" s="115"/>
      <c r="R569" s="119"/>
    </row>
    <row r="570" spans="11:18" ht="14">
      <c r="K570" s="51"/>
      <c r="L570" s="115"/>
      <c r="R570" s="119"/>
    </row>
    <row r="571" spans="11:18" ht="14">
      <c r="K571" s="51"/>
      <c r="L571" s="115"/>
      <c r="R571" s="119"/>
    </row>
    <row r="572" spans="11:18" ht="14">
      <c r="K572" s="51"/>
      <c r="L572" s="115"/>
      <c r="R572" s="119"/>
    </row>
    <row r="573" spans="11:18" ht="14">
      <c r="K573" s="51"/>
      <c r="L573" s="115"/>
      <c r="R573" s="119"/>
    </row>
    <row r="574" spans="11:18" ht="14">
      <c r="K574" s="51"/>
      <c r="L574" s="115"/>
      <c r="R574" s="119"/>
    </row>
    <row r="575" spans="11:18" ht="14">
      <c r="K575" s="51"/>
      <c r="L575" s="115"/>
      <c r="R575" s="119"/>
    </row>
    <row r="576" spans="11:18" ht="14">
      <c r="K576" s="51"/>
      <c r="L576" s="115"/>
      <c r="R576" s="119"/>
    </row>
    <row r="577" spans="11:18" ht="14">
      <c r="K577" s="51"/>
      <c r="L577" s="115"/>
      <c r="R577" s="119"/>
    </row>
    <row r="578" spans="11:18" ht="14">
      <c r="K578" s="51"/>
      <c r="L578" s="115"/>
      <c r="R578" s="119"/>
    </row>
    <row r="579" spans="11:18" ht="14">
      <c r="K579" s="51"/>
      <c r="L579" s="115"/>
      <c r="R579" s="119"/>
    </row>
    <row r="580" spans="11:18" ht="14">
      <c r="K580" s="51"/>
      <c r="L580" s="115"/>
      <c r="R580" s="119"/>
    </row>
    <row r="581" spans="11:18" ht="14">
      <c r="K581" s="51"/>
      <c r="L581" s="115"/>
      <c r="R581" s="119"/>
    </row>
    <row r="582" spans="11:18" ht="14">
      <c r="K582" s="51"/>
      <c r="L582" s="115"/>
      <c r="R582" s="119"/>
    </row>
    <row r="583" spans="11:18" ht="14">
      <c r="K583" s="51"/>
      <c r="L583" s="115"/>
      <c r="R583" s="119"/>
    </row>
    <row r="584" spans="11:18" ht="14">
      <c r="K584" s="51"/>
      <c r="L584" s="115"/>
      <c r="R584" s="119"/>
    </row>
    <row r="585" spans="11:18" ht="14">
      <c r="K585" s="51"/>
      <c r="L585" s="115"/>
      <c r="R585" s="119"/>
    </row>
    <row r="586" spans="11:18" ht="14">
      <c r="K586" s="51"/>
      <c r="L586" s="115"/>
      <c r="R586" s="119"/>
    </row>
    <row r="587" spans="11:18" ht="14">
      <c r="K587" s="51"/>
      <c r="L587" s="115"/>
      <c r="R587" s="119"/>
    </row>
    <row r="588" spans="11:18" ht="14">
      <c r="K588" s="51"/>
      <c r="L588" s="115"/>
      <c r="R588" s="119"/>
    </row>
    <row r="589" spans="11:18" ht="14">
      <c r="K589" s="51"/>
      <c r="L589" s="115"/>
      <c r="R589" s="119"/>
    </row>
    <row r="590" spans="11:18" ht="14">
      <c r="K590" s="51"/>
      <c r="L590" s="115"/>
      <c r="R590" s="119"/>
    </row>
    <row r="591" spans="11:18" ht="14">
      <c r="K591" s="51"/>
      <c r="L591" s="115"/>
      <c r="R591" s="119"/>
    </row>
    <row r="592" spans="11:18" ht="14">
      <c r="K592" s="51"/>
      <c r="L592" s="115"/>
      <c r="R592" s="119"/>
    </row>
    <row r="593" spans="11:18" ht="14">
      <c r="K593" s="51"/>
      <c r="L593" s="115"/>
      <c r="R593" s="119"/>
    </row>
    <row r="594" spans="11:18" ht="14">
      <c r="K594" s="51"/>
      <c r="L594" s="115"/>
      <c r="R594" s="119"/>
    </row>
    <row r="595" spans="11:18" ht="14">
      <c r="K595" s="51"/>
      <c r="L595" s="115"/>
      <c r="R595" s="119"/>
    </row>
    <row r="596" spans="11:18" ht="14">
      <c r="K596" s="51"/>
      <c r="L596" s="115"/>
      <c r="R596" s="119"/>
    </row>
    <row r="597" spans="11:18" ht="14">
      <c r="K597" s="51"/>
      <c r="L597" s="115"/>
      <c r="R597" s="119"/>
    </row>
    <row r="598" spans="11:18" ht="14">
      <c r="K598" s="51"/>
      <c r="L598" s="115"/>
      <c r="R598" s="119"/>
    </row>
    <row r="599" spans="11:18" ht="14">
      <c r="K599" s="51"/>
      <c r="L599" s="115"/>
      <c r="R599" s="119"/>
    </row>
    <row r="600" spans="11:18" ht="14">
      <c r="K600" s="51"/>
      <c r="L600" s="115"/>
      <c r="R600" s="119"/>
    </row>
    <row r="601" spans="11:18" ht="14">
      <c r="K601" s="51"/>
      <c r="L601" s="115"/>
      <c r="R601" s="119"/>
    </row>
    <row r="602" spans="11:18" ht="14">
      <c r="K602" s="51"/>
      <c r="L602" s="115"/>
      <c r="R602" s="119"/>
    </row>
    <row r="603" spans="11:18" ht="14">
      <c r="K603" s="51"/>
      <c r="L603" s="115"/>
      <c r="R603" s="119"/>
    </row>
    <row r="604" spans="11:18" ht="14">
      <c r="K604" s="51"/>
      <c r="L604" s="115"/>
      <c r="R604" s="119"/>
    </row>
    <row r="605" spans="11:18" ht="14">
      <c r="K605" s="51"/>
      <c r="L605" s="115"/>
      <c r="R605" s="119"/>
    </row>
    <row r="606" spans="11:18" ht="14">
      <c r="K606" s="51"/>
      <c r="L606" s="115"/>
      <c r="R606" s="119"/>
    </row>
    <row r="607" spans="11:18" ht="14">
      <c r="K607" s="51"/>
      <c r="L607" s="115"/>
      <c r="R607" s="119"/>
    </row>
    <row r="608" spans="11:18" ht="14">
      <c r="K608" s="51"/>
      <c r="L608" s="115"/>
      <c r="R608" s="119"/>
    </row>
    <row r="609" spans="11:18" ht="14">
      <c r="K609" s="51"/>
      <c r="L609" s="115"/>
      <c r="R609" s="119"/>
    </row>
    <row r="610" spans="11:18" ht="14">
      <c r="K610" s="51"/>
      <c r="L610" s="115"/>
      <c r="R610" s="119"/>
    </row>
    <row r="611" spans="11:18" ht="14">
      <c r="K611" s="51"/>
      <c r="L611" s="115"/>
      <c r="R611" s="119"/>
    </row>
    <row r="612" spans="11:18" ht="14">
      <c r="K612" s="51"/>
      <c r="L612" s="115"/>
      <c r="R612" s="119"/>
    </row>
    <row r="613" spans="11:18" ht="14">
      <c r="K613" s="51"/>
      <c r="L613" s="115"/>
      <c r="R613" s="119"/>
    </row>
    <row r="614" spans="11:18" ht="14">
      <c r="K614" s="51"/>
      <c r="L614" s="115"/>
      <c r="R614" s="119"/>
    </row>
    <row r="615" spans="11:18" ht="14">
      <c r="K615" s="51"/>
      <c r="L615" s="115"/>
      <c r="R615" s="119"/>
    </row>
    <row r="616" spans="11:18" ht="14">
      <c r="K616" s="51"/>
      <c r="L616" s="115"/>
      <c r="R616" s="119"/>
    </row>
    <row r="617" spans="11:18" ht="14">
      <c r="K617" s="51"/>
      <c r="L617" s="115"/>
      <c r="R617" s="119"/>
    </row>
    <row r="618" spans="11:18" ht="14">
      <c r="K618" s="51"/>
      <c r="L618" s="115"/>
      <c r="R618" s="119"/>
    </row>
    <row r="619" spans="11:18" ht="14">
      <c r="K619" s="51"/>
      <c r="L619" s="115"/>
      <c r="R619" s="119"/>
    </row>
    <row r="620" spans="11:18" ht="14">
      <c r="K620" s="51"/>
      <c r="L620" s="115"/>
      <c r="R620" s="119"/>
    </row>
    <row r="621" spans="11:18" ht="14">
      <c r="K621" s="51"/>
      <c r="L621" s="115"/>
      <c r="R621" s="119"/>
    </row>
    <row r="622" spans="11:18" ht="14">
      <c r="K622" s="51"/>
      <c r="L622" s="115"/>
      <c r="R622" s="119"/>
    </row>
    <row r="623" spans="11:18" ht="14">
      <c r="K623" s="51"/>
      <c r="L623" s="115"/>
      <c r="R623" s="119"/>
    </row>
    <row r="624" spans="11:18" ht="14">
      <c r="K624" s="51"/>
      <c r="L624" s="115"/>
      <c r="R624" s="119"/>
    </row>
    <row r="625" spans="11:18" ht="14">
      <c r="K625" s="51"/>
      <c r="L625" s="115"/>
      <c r="R625" s="119"/>
    </row>
    <row r="626" spans="11:18" ht="14">
      <c r="K626" s="51"/>
      <c r="L626" s="115"/>
      <c r="R626" s="119"/>
    </row>
    <row r="627" spans="11:18" ht="14">
      <c r="K627" s="51"/>
      <c r="L627" s="115"/>
      <c r="R627" s="119"/>
    </row>
    <row r="628" spans="11:18" ht="14">
      <c r="K628" s="51"/>
      <c r="L628" s="115"/>
      <c r="R628" s="119"/>
    </row>
    <row r="629" spans="11:18" ht="14">
      <c r="K629" s="51"/>
      <c r="L629" s="115"/>
      <c r="R629" s="119"/>
    </row>
    <row r="630" spans="11:18" ht="14">
      <c r="K630" s="51"/>
      <c r="L630" s="115"/>
      <c r="R630" s="119"/>
    </row>
    <row r="631" spans="11:18" ht="14">
      <c r="K631" s="51"/>
      <c r="L631" s="115"/>
      <c r="R631" s="119"/>
    </row>
    <row r="632" spans="11:18" ht="14">
      <c r="K632" s="51"/>
      <c r="L632" s="115"/>
      <c r="R632" s="119"/>
    </row>
    <row r="633" spans="11:18" ht="14">
      <c r="K633" s="51"/>
      <c r="L633" s="115"/>
      <c r="R633" s="119"/>
    </row>
    <row r="634" spans="11:18" ht="14">
      <c r="K634" s="51"/>
      <c r="L634" s="115"/>
      <c r="R634" s="119"/>
    </row>
    <row r="635" spans="11:18" ht="14">
      <c r="K635" s="51"/>
      <c r="L635" s="115"/>
      <c r="R635" s="119"/>
    </row>
    <row r="636" spans="11:18" ht="14">
      <c r="K636" s="51"/>
      <c r="L636" s="115"/>
      <c r="R636" s="119"/>
    </row>
    <row r="637" spans="11:18" ht="14">
      <c r="K637" s="51"/>
      <c r="L637" s="115"/>
      <c r="R637" s="119"/>
    </row>
    <row r="638" spans="11:18" ht="14">
      <c r="K638" s="51"/>
      <c r="L638" s="115"/>
      <c r="R638" s="119"/>
    </row>
    <row r="639" spans="11:18" ht="14">
      <c r="K639" s="51"/>
      <c r="L639" s="115"/>
      <c r="R639" s="119"/>
    </row>
    <row r="640" spans="11:18" ht="14">
      <c r="K640" s="51"/>
      <c r="L640" s="115"/>
      <c r="R640" s="119"/>
    </row>
    <row r="641" spans="11:18" ht="14">
      <c r="K641" s="51"/>
      <c r="L641" s="115"/>
      <c r="R641" s="119"/>
    </row>
    <row r="642" spans="11:18" ht="14">
      <c r="K642" s="51"/>
      <c r="L642" s="115"/>
      <c r="R642" s="119"/>
    </row>
    <row r="643" spans="11:18" ht="14">
      <c r="K643" s="51"/>
      <c r="L643" s="115"/>
      <c r="R643" s="119"/>
    </row>
    <row r="644" spans="11:18" ht="14">
      <c r="K644" s="51"/>
      <c r="L644" s="115"/>
      <c r="R644" s="119"/>
    </row>
    <row r="645" spans="11:18" ht="14">
      <c r="K645" s="51"/>
      <c r="L645" s="115"/>
      <c r="R645" s="119"/>
    </row>
    <row r="646" spans="11:18" ht="14">
      <c r="K646" s="51"/>
      <c r="L646" s="115"/>
      <c r="R646" s="119"/>
    </row>
    <row r="647" spans="11:18" ht="14">
      <c r="K647" s="51"/>
      <c r="L647" s="115"/>
      <c r="R647" s="119"/>
    </row>
    <row r="648" spans="11:18" ht="14">
      <c r="K648" s="51"/>
      <c r="L648" s="115"/>
      <c r="R648" s="119"/>
    </row>
    <row r="649" spans="11:18" ht="14">
      <c r="K649" s="51"/>
      <c r="L649" s="115"/>
      <c r="R649" s="119"/>
    </row>
    <row r="650" spans="11:18" ht="14">
      <c r="K650" s="51"/>
      <c r="L650" s="115"/>
      <c r="R650" s="119"/>
    </row>
    <row r="651" spans="11:18" ht="14">
      <c r="K651" s="51"/>
      <c r="L651" s="115"/>
      <c r="R651" s="119"/>
    </row>
    <row r="652" spans="11:18" ht="14">
      <c r="K652" s="51"/>
      <c r="L652" s="115"/>
      <c r="R652" s="119"/>
    </row>
    <row r="653" spans="11:18" ht="14">
      <c r="K653" s="51"/>
      <c r="L653" s="115"/>
      <c r="R653" s="119"/>
    </row>
    <row r="654" spans="11:18" ht="14">
      <c r="K654" s="51"/>
      <c r="L654" s="115"/>
      <c r="R654" s="119"/>
    </row>
    <row r="655" spans="11:18" ht="14">
      <c r="K655" s="51"/>
      <c r="L655" s="115"/>
      <c r="R655" s="119"/>
    </row>
    <row r="656" spans="11:18" ht="14">
      <c r="K656" s="51"/>
      <c r="L656" s="115"/>
      <c r="R656" s="119"/>
    </row>
    <row r="657" spans="11:18" ht="14">
      <c r="K657" s="51"/>
      <c r="L657" s="115"/>
      <c r="R657" s="119"/>
    </row>
    <row r="658" spans="11:18" ht="14">
      <c r="K658" s="51"/>
      <c r="L658" s="115"/>
      <c r="R658" s="119"/>
    </row>
    <row r="659" spans="11:18" ht="14">
      <c r="K659" s="51"/>
      <c r="L659" s="115"/>
      <c r="R659" s="119"/>
    </row>
    <row r="660" spans="11:18" ht="14">
      <c r="K660" s="51"/>
      <c r="L660" s="115"/>
      <c r="R660" s="119"/>
    </row>
    <row r="661" spans="11:18" ht="14">
      <c r="K661" s="51"/>
      <c r="L661" s="115"/>
      <c r="R661" s="119"/>
    </row>
    <row r="662" spans="11:18" ht="14">
      <c r="K662" s="51"/>
      <c r="L662" s="115"/>
      <c r="R662" s="119"/>
    </row>
    <row r="663" spans="11:18" ht="14">
      <c r="K663" s="51"/>
      <c r="L663" s="115"/>
      <c r="R663" s="119"/>
    </row>
    <row r="664" spans="11:18" ht="14">
      <c r="K664" s="51"/>
      <c r="L664" s="115"/>
      <c r="R664" s="119"/>
    </row>
    <row r="665" spans="11:18" ht="14">
      <c r="K665" s="51"/>
      <c r="L665" s="115"/>
      <c r="R665" s="119"/>
    </row>
    <row r="666" spans="11:18" ht="14">
      <c r="K666" s="51"/>
      <c r="L666" s="115"/>
      <c r="R666" s="119"/>
    </row>
    <row r="667" spans="11:18" ht="14">
      <c r="K667" s="51"/>
      <c r="L667" s="115"/>
      <c r="R667" s="119"/>
    </row>
    <row r="668" spans="11:18" ht="14">
      <c r="K668" s="51"/>
      <c r="L668" s="115"/>
      <c r="R668" s="119"/>
    </row>
    <row r="669" spans="11:18" ht="14">
      <c r="K669" s="51"/>
      <c r="L669" s="115"/>
      <c r="R669" s="119"/>
    </row>
    <row r="670" spans="11:18" ht="14">
      <c r="K670" s="51"/>
      <c r="L670" s="115"/>
      <c r="R670" s="119"/>
    </row>
    <row r="671" spans="11:18" ht="14">
      <c r="K671" s="51"/>
      <c r="L671" s="115"/>
      <c r="R671" s="119"/>
    </row>
    <row r="672" spans="11:18" ht="14">
      <c r="K672" s="51"/>
      <c r="L672" s="115"/>
      <c r="R672" s="119"/>
    </row>
    <row r="673" spans="11:18" ht="14">
      <c r="K673" s="51"/>
      <c r="L673" s="115"/>
      <c r="R673" s="119"/>
    </row>
    <row r="674" spans="11:18" ht="14">
      <c r="K674" s="51"/>
      <c r="L674" s="115"/>
      <c r="R674" s="119"/>
    </row>
    <row r="675" spans="11:18" ht="14">
      <c r="K675" s="51"/>
      <c r="L675" s="115"/>
      <c r="R675" s="119"/>
    </row>
    <row r="676" spans="11:18" ht="14">
      <c r="K676" s="51"/>
      <c r="L676" s="115"/>
      <c r="R676" s="119"/>
    </row>
    <row r="677" spans="11:18" ht="14">
      <c r="K677" s="51"/>
      <c r="L677" s="115"/>
      <c r="R677" s="119"/>
    </row>
    <row r="678" spans="11:18" ht="14">
      <c r="K678" s="51"/>
      <c r="L678" s="115"/>
      <c r="R678" s="119"/>
    </row>
    <row r="679" spans="11:18" ht="14">
      <c r="K679" s="51"/>
      <c r="L679" s="115"/>
      <c r="R679" s="119"/>
    </row>
    <row r="680" spans="11:18" ht="14">
      <c r="K680" s="51"/>
      <c r="L680" s="115"/>
      <c r="R680" s="119"/>
    </row>
    <row r="681" spans="11:18" ht="14">
      <c r="K681" s="51"/>
      <c r="L681" s="115"/>
      <c r="R681" s="119"/>
    </row>
    <row r="682" spans="11:18" ht="14">
      <c r="K682" s="51"/>
      <c r="L682" s="115"/>
      <c r="R682" s="119"/>
    </row>
    <row r="683" spans="11:18" ht="14">
      <c r="K683" s="51"/>
      <c r="L683" s="115"/>
      <c r="R683" s="119"/>
    </row>
    <row r="684" spans="11:18" ht="14">
      <c r="K684" s="51"/>
      <c r="L684" s="115"/>
      <c r="R684" s="119"/>
    </row>
    <row r="685" spans="11:18" ht="14">
      <c r="K685" s="51"/>
      <c r="L685" s="115"/>
      <c r="R685" s="119"/>
    </row>
    <row r="686" spans="11:18" ht="14">
      <c r="K686" s="51"/>
      <c r="L686" s="115"/>
      <c r="R686" s="119"/>
    </row>
    <row r="687" spans="11:18" ht="14">
      <c r="K687" s="51"/>
      <c r="L687" s="115"/>
      <c r="R687" s="119"/>
    </row>
    <row r="688" spans="11:18" ht="14">
      <c r="K688" s="51"/>
      <c r="L688" s="115"/>
      <c r="R688" s="119"/>
    </row>
    <row r="689" spans="11:18" ht="14">
      <c r="K689" s="51"/>
      <c r="L689" s="115"/>
      <c r="R689" s="119"/>
    </row>
    <row r="690" spans="11:18" ht="14">
      <c r="K690" s="51"/>
      <c r="L690" s="115"/>
      <c r="R690" s="119"/>
    </row>
    <row r="691" spans="11:18" ht="14">
      <c r="K691" s="51"/>
      <c r="L691" s="115"/>
      <c r="R691" s="119"/>
    </row>
    <row r="692" spans="11:18" ht="14">
      <c r="K692" s="51"/>
      <c r="L692" s="115"/>
      <c r="R692" s="119"/>
    </row>
    <row r="693" spans="11:18" ht="14">
      <c r="K693" s="51"/>
      <c r="L693" s="115"/>
      <c r="R693" s="119"/>
    </row>
    <row r="694" spans="11:18" ht="14">
      <c r="K694" s="51"/>
      <c r="L694" s="115"/>
      <c r="R694" s="119"/>
    </row>
    <row r="695" spans="11:18" ht="14">
      <c r="K695" s="51"/>
      <c r="L695" s="115"/>
      <c r="R695" s="119"/>
    </row>
    <row r="696" spans="11:18" ht="14">
      <c r="K696" s="51"/>
      <c r="L696" s="115"/>
      <c r="R696" s="119"/>
    </row>
    <row r="697" spans="11:18" ht="14">
      <c r="K697" s="51"/>
      <c r="L697" s="115"/>
      <c r="R697" s="119"/>
    </row>
    <row r="698" spans="11:18" ht="14">
      <c r="K698" s="51"/>
      <c r="L698" s="115"/>
      <c r="R698" s="119"/>
    </row>
    <row r="699" spans="11:18" ht="14">
      <c r="K699" s="51"/>
      <c r="L699" s="115"/>
      <c r="R699" s="119"/>
    </row>
    <row r="700" spans="11:18" ht="14">
      <c r="K700" s="51"/>
      <c r="L700" s="115"/>
      <c r="R700" s="119"/>
    </row>
    <row r="701" spans="11:18" ht="14">
      <c r="K701" s="51"/>
      <c r="L701" s="115"/>
      <c r="R701" s="119"/>
    </row>
    <row r="702" spans="11:18" ht="14">
      <c r="K702" s="51"/>
      <c r="L702" s="115"/>
      <c r="R702" s="119"/>
    </row>
    <row r="703" spans="11:18" ht="14">
      <c r="K703" s="51"/>
      <c r="L703" s="115"/>
      <c r="R703" s="119"/>
    </row>
    <row r="704" spans="11:18" ht="14">
      <c r="K704" s="51"/>
      <c r="L704" s="115"/>
      <c r="R704" s="119"/>
    </row>
    <row r="705" spans="11:18" ht="14">
      <c r="K705" s="51"/>
      <c r="L705" s="115"/>
      <c r="R705" s="119"/>
    </row>
    <row r="706" spans="11:18" ht="14">
      <c r="K706" s="51"/>
      <c r="L706" s="115"/>
      <c r="R706" s="119"/>
    </row>
    <row r="707" spans="11:18" ht="14">
      <c r="K707" s="51"/>
      <c r="L707" s="115"/>
      <c r="R707" s="119"/>
    </row>
    <row r="708" spans="11:18" ht="14">
      <c r="K708" s="51"/>
      <c r="L708" s="115"/>
      <c r="R708" s="119"/>
    </row>
    <row r="709" spans="11:18" ht="14">
      <c r="K709" s="51"/>
      <c r="L709" s="115"/>
      <c r="R709" s="119"/>
    </row>
    <row r="710" spans="11:18" ht="14">
      <c r="K710" s="51"/>
      <c r="L710" s="115"/>
      <c r="R710" s="119"/>
    </row>
    <row r="711" spans="11:18" ht="14">
      <c r="K711" s="51"/>
      <c r="L711" s="115"/>
      <c r="R711" s="119"/>
    </row>
    <row r="712" spans="11:18" ht="14">
      <c r="K712" s="51"/>
      <c r="L712" s="115"/>
      <c r="R712" s="119"/>
    </row>
    <row r="713" spans="11:18" ht="14">
      <c r="K713" s="51"/>
      <c r="L713" s="115"/>
      <c r="R713" s="119"/>
    </row>
    <row r="714" spans="11:18" ht="14">
      <c r="K714" s="51"/>
      <c r="L714" s="115"/>
      <c r="R714" s="119"/>
    </row>
    <row r="715" spans="11:18" ht="14">
      <c r="K715" s="51"/>
      <c r="L715" s="115"/>
      <c r="R715" s="119"/>
    </row>
    <row r="716" spans="11:18" ht="14">
      <c r="K716" s="51"/>
      <c r="L716" s="115"/>
      <c r="R716" s="119"/>
    </row>
    <row r="717" spans="11:18" ht="14">
      <c r="K717" s="51"/>
      <c r="L717" s="115"/>
      <c r="R717" s="119"/>
    </row>
    <row r="718" spans="11:18" ht="14">
      <c r="K718" s="51"/>
      <c r="L718" s="115"/>
      <c r="R718" s="119"/>
    </row>
    <row r="719" spans="11:18" ht="14">
      <c r="K719" s="51"/>
      <c r="L719" s="115"/>
      <c r="R719" s="119"/>
    </row>
    <row r="720" spans="11:18" ht="14">
      <c r="K720" s="51"/>
      <c r="L720" s="115"/>
      <c r="R720" s="119"/>
    </row>
    <row r="721" spans="11:18" ht="14">
      <c r="K721" s="51"/>
      <c r="L721" s="115"/>
      <c r="R721" s="119"/>
    </row>
    <row r="722" spans="11:18" ht="14">
      <c r="K722" s="51"/>
      <c r="L722" s="115"/>
      <c r="R722" s="119"/>
    </row>
    <row r="723" spans="11:18" ht="14">
      <c r="K723" s="51"/>
      <c r="L723" s="115"/>
      <c r="R723" s="119"/>
    </row>
    <row r="724" spans="11:18" ht="14">
      <c r="K724" s="51"/>
      <c r="L724" s="115"/>
      <c r="R724" s="119"/>
    </row>
    <row r="725" spans="11:18" ht="14">
      <c r="K725" s="51"/>
      <c r="L725" s="115"/>
      <c r="R725" s="119"/>
    </row>
    <row r="726" spans="11:18" ht="14">
      <c r="K726" s="51"/>
      <c r="L726" s="115"/>
      <c r="R726" s="119"/>
    </row>
    <row r="727" spans="11:18" ht="14">
      <c r="K727" s="51"/>
      <c r="L727" s="115"/>
      <c r="R727" s="119"/>
    </row>
    <row r="728" spans="11:18" ht="14">
      <c r="K728" s="51"/>
      <c r="L728" s="115"/>
      <c r="R728" s="119"/>
    </row>
    <row r="729" spans="11:18" ht="14">
      <c r="K729" s="51"/>
      <c r="L729" s="115"/>
      <c r="R729" s="119"/>
    </row>
    <row r="730" spans="11:18" ht="14">
      <c r="K730" s="51"/>
      <c r="L730" s="115"/>
      <c r="R730" s="119"/>
    </row>
    <row r="731" spans="11:18" ht="14">
      <c r="K731" s="51"/>
      <c r="L731" s="115"/>
      <c r="R731" s="119"/>
    </row>
    <row r="732" spans="11:18" ht="14">
      <c r="K732" s="51"/>
      <c r="L732" s="115"/>
      <c r="R732" s="119"/>
    </row>
    <row r="733" spans="11:18" ht="14">
      <c r="K733" s="51"/>
      <c r="L733" s="115"/>
      <c r="R733" s="119"/>
    </row>
    <row r="734" spans="11:18" ht="14">
      <c r="K734" s="51"/>
      <c r="L734" s="115"/>
      <c r="R734" s="119"/>
    </row>
    <row r="735" spans="11:18" ht="14">
      <c r="K735" s="51"/>
      <c r="L735" s="115"/>
      <c r="R735" s="119"/>
    </row>
    <row r="736" spans="11:18" ht="14">
      <c r="K736" s="51"/>
      <c r="L736" s="115"/>
      <c r="R736" s="119"/>
    </row>
    <row r="737" spans="11:18" ht="14">
      <c r="K737" s="51"/>
      <c r="L737" s="115"/>
      <c r="R737" s="119"/>
    </row>
    <row r="738" spans="11:18" ht="14">
      <c r="K738" s="51"/>
      <c r="L738" s="115"/>
      <c r="R738" s="119"/>
    </row>
    <row r="739" spans="11:18" ht="14">
      <c r="K739" s="51"/>
      <c r="L739" s="115"/>
      <c r="R739" s="119"/>
    </row>
    <row r="740" spans="11:18" ht="14">
      <c r="K740" s="51"/>
      <c r="L740" s="115"/>
      <c r="R740" s="119"/>
    </row>
    <row r="741" spans="11:18" ht="14">
      <c r="K741" s="51"/>
      <c r="L741" s="115"/>
      <c r="R741" s="119"/>
    </row>
    <row r="742" spans="11:18" ht="14">
      <c r="K742" s="51"/>
      <c r="L742" s="115"/>
      <c r="R742" s="119"/>
    </row>
    <row r="743" spans="11:18" ht="14">
      <c r="K743" s="51"/>
      <c r="L743" s="115"/>
      <c r="R743" s="119"/>
    </row>
    <row r="744" spans="11:18" ht="14">
      <c r="K744" s="51"/>
      <c r="L744" s="115"/>
      <c r="R744" s="119"/>
    </row>
    <row r="745" spans="11:18" ht="14">
      <c r="K745" s="51"/>
      <c r="L745" s="115"/>
      <c r="R745" s="119"/>
    </row>
    <row r="746" spans="11:18" ht="14">
      <c r="K746" s="51"/>
      <c r="L746" s="115"/>
      <c r="R746" s="119"/>
    </row>
    <row r="747" spans="11:18" ht="14">
      <c r="K747" s="51"/>
      <c r="L747" s="115"/>
      <c r="R747" s="119"/>
    </row>
    <row r="748" spans="11:18" ht="14">
      <c r="K748" s="51"/>
      <c r="L748" s="115"/>
      <c r="R748" s="119"/>
    </row>
    <row r="749" spans="11:18" ht="14">
      <c r="K749" s="51"/>
      <c r="L749" s="115"/>
      <c r="R749" s="119"/>
    </row>
    <row r="750" spans="11:18" ht="14">
      <c r="K750" s="51"/>
      <c r="L750" s="115"/>
      <c r="R750" s="119"/>
    </row>
    <row r="751" spans="11:18" ht="14">
      <c r="K751" s="51"/>
      <c r="L751" s="115"/>
      <c r="R751" s="119"/>
    </row>
    <row r="752" spans="11:18" ht="14">
      <c r="K752" s="51"/>
      <c r="L752" s="115"/>
      <c r="R752" s="119"/>
    </row>
    <row r="753" spans="11:18" ht="14">
      <c r="K753" s="51"/>
      <c r="L753" s="115"/>
      <c r="R753" s="119"/>
    </row>
    <row r="754" spans="11:18" ht="14">
      <c r="K754" s="51"/>
      <c r="L754" s="115"/>
      <c r="R754" s="119"/>
    </row>
    <row r="755" spans="11:18" ht="14">
      <c r="K755" s="51"/>
      <c r="L755" s="115"/>
      <c r="R755" s="119"/>
    </row>
    <row r="756" spans="11:18" ht="14">
      <c r="K756" s="51"/>
      <c r="L756" s="115"/>
      <c r="R756" s="119"/>
    </row>
    <row r="757" spans="11:18" ht="14">
      <c r="K757" s="51"/>
      <c r="L757" s="115"/>
      <c r="R757" s="119"/>
    </row>
    <row r="758" spans="11:18" ht="14">
      <c r="K758" s="51"/>
      <c r="L758" s="115"/>
      <c r="R758" s="119"/>
    </row>
    <row r="759" spans="11:18" ht="14">
      <c r="K759" s="51"/>
      <c r="L759" s="115"/>
      <c r="R759" s="119"/>
    </row>
    <row r="760" spans="11:18" ht="14">
      <c r="K760" s="51"/>
      <c r="L760" s="115"/>
      <c r="R760" s="119"/>
    </row>
    <row r="761" spans="11:18" ht="14">
      <c r="K761" s="51"/>
      <c r="L761" s="115"/>
      <c r="R761" s="119"/>
    </row>
    <row r="762" spans="11:18" ht="14">
      <c r="K762" s="51"/>
      <c r="L762" s="115"/>
      <c r="R762" s="119"/>
    </row>
    <row r="763" spans="11:18" ht="14">
      <c r="K763" s="51"/>
      <c r="L763" s="115"/>
      <c r="R763" s="119"/>
    </row>
    <row r="764" spans="11:18" ht="14">
      <c r="K764" s="51"/>
      <c r="L764" s="115"/>
      <c r="R764" s="119"/>
    </row>
    <row r="765" spans="11:18" ht="14">
      <c r="K765" s="51"/>
      <c r="L765" s="115"/>
      <c r="R765" s="119"/>
    </row>
    <row r="766" spans="11:18" ht="14">
      <c r="K766" s="51"/>
      <c r="L766" s="115"/>
      <c r="R766" s="119"/>
    </row>
    <row r="767" spans="11:18" ht="14">
      <c r="K767" s="51"/>
      <c r="L767" s="115"/>
      <c r="R767" s="119"/>
    </row>
    <row r="768" spans="11:18" ht="14">
      <c r="K768" s="51"/>
      <c r="L768" s="115"/>
      <c r="R768" s="119"/>
    </row>
    <row r="769" spans="11:18" ht="14">
      <c r="K769" s="51"/>
      <c r="L769" s="115"/>
      <c r="R769" s="119"/>
    </row>
    <row r="770" spans="11:18" ht="14">
      <c r="K770" s="51"/>
      <c r="L770" s="115"/>
      <c r="R770" s="119"/>
    </row>
    <row r="771" spans="11:18" ht="14">
      <c r="K771" s="51"/>
      <c r="L771" s="115"/>
      <c r="R771" s="119"/>
    </row>
    <row r="772" spans="11:18" ht="14">
      <c r="K772" s="51"/>
      <c r="L772" s="115"/>
      <c r="R772" s="119"/>
    </row>
    <row r="773" spans="11:18" ht="14">
      <c r="K773" s="51"/>
      <c r="L773" s="115"/>
      <c r="R773" s="119"/>
    </row>
    <row r="774" spans="11:18" ht="14">
      <c r="K774" s="51"/>
      <c r="L774" s="115"/>
      <c r="R774" s="119"/>
    </row>
    <row r="775" spans="11:18" ht="14">
      <c r="K775" s="51"/>
      <c r="L775" s="115"/>
      <c r="R775" s="119"/>
    </row>
    <row r="776" spans="11:18" ht="14">
      <c r="K776" s="51"/>
      <c r="L776" s="115"/>
      <c r="R776" s="119"/>
    </row>
    <row r="777" spans="11:18" ht="14">
      <c r="K777" s="51"/>
      <c r="L777" s="115"/>
      <c r="R777" s="119"/>
    </row>
    <row r="778" spans="11:18" ht="14">
      <c r="K778" s="51"/>
      <c r="L778" s="115"/>
      <c r="R778" s="119"/>
    </row>
    <row r="779" spans="11:18" ht="14">
      <c r="K779" s="51"/>
      <c r="L779" s="115"/>
      <c r="R779" s="119"/>
    </row>
    <row r="780" spans="11:18" ht="14">
      <c r="K780" s="51"/>
      <c r="L780" s="115"/>
      <c r="R780" s="119"/>
    </row>
    <row r="781" spans="11:18" ht="14">
      <c r="K781" s="51"/>
      <c r="L781" s="115"/>
      <c r="R781" s="119"/>
    </row>
    <row r="782" spans="11:18" ht="14">
      <c r="K782" s="51"/>
      <c r="L782" s="115"/>
      <c r="R782" s="119"/>
    </row>
    <row r="783" spans="11:18" ht="14">
      <c r="K783" s="51"/>
      <c r="L783" s="115"/>
      <c r="R783" s="119"/>
    </row>
    <row r="784" spans="11:18" ht="14">
      <c r="K784" s="51"/>
      <c r="L784" s="115"/>
      <c r="R784" s="119"/>
    </row>
    <row r="785" spans="11:18" ht="14">
      <c r="K785" s="51"/>
      <c r="L785" s="115"/>
      <c r="R785" s="119"/>
    </row>
    <row r="786" spans="11:18" ht="14">
      <c r="K786" s="51"/>
      <c r="L786" s="115"/>
      <c r="R786" s="119"/>
    </row>
    <row r="787" spans="11:18" ht="14">
      <c r="K787" s="51"/>
      <c r="L787" s="115"/>
      <c r="R787" s="119"/>
    </row>
    <row r="788" spans="11:18" ht="14">
      <c r="K788" s="51"/>
      <c r="L788" s="115"/>
      <c r="R788" s="119"/>
    </row>
    <row r="789" spans="11:18" ht="14">
      <c r="K789" s="51"/>
      <c r="L789" s="115"/>
      <c r="R789" s="119"/>
    </row>
    <row r="790" spans="11:18" ht="14">
      <c r="K790" s="51"/>
      <c r="L790" s="115"/>
      <c r="R790" s="119"/>
    </row>
    <row r="791" spans="11:18" ht="14">
      <c r="K791" s="51"/>
      <c r="L791" s="115"/>
      <c r="R791" s="119"/>
    </row>
    <row r="792" spans="11:18" ht="14">
      <c r="K792" s="51"/>
      <c r="L792" s="115"/>
      <c r="R792" s="119"/>
    </row>
    <row r="793" spans="11:18" ht="14">
      <c r="K793" s="51"/>
      <c r="L793" s="115"/>
      <c r="R793" s="119"/>
    </row>
    <row r="794" spans="11:18" ht="14">
      <c r="K794" s="51"/>
      <c r="L794" s="115"/>
      <c r="R794" s="119"/>
    </row>
    <row r="795" spans="11:18" ht="14">
      <c r="K795" s="51"/>
      <c r="L795" s="115"/>
      <c r="R795" s="119"/>
    </row>
    <row r="796" spans="11:18" ht="14">
      <c r="K796" s="51"/>
      <c r="L796" s="115"/>
      <c r="R796" s="119"/>
    </row>
    <row r="797" spans="11:18" ht="14">
      <c r="K797" s="51"/>
      <c r="L797" s="115"/>
      <c r="R797" s="119"/>
    </row>
    <row r="798" spans="11:18" ht="14">
      <c r="K798" s="51"/>
      <c r="L798" s="115"/>
      <c r="R798" s="119"/>
    </row>
    <row r="799" spans="11:18" ht="14">
      <c r="K799" s="51"/>
      <c r="L799" s="115"/>
      <c r="R799" s="119"/>
    </row>
    <row r="800" spans="11:18" ht="14">
      <c r="K800" s="51"/>
      <c r="L800" s="115"/>
      <c r="R800" s="119"/>
    </row>
    <row r="801" spans="11:18" ht="14">
      <c r="K801" s="51"/>
      <c r="L801" s="115"/>
      <c r="R801" s="119"/>
    </row>
    <row r="802" spans="11:18" ht="14">
      <c r="K802" s="51"/>
      <c r="L802" s="115"/>
      <c r="R802" s="119"/>
    </row>
    <row r="803" spans="11:18" ht="14">
      <c r="K803" s="51"/>
      <c r="L803" s="115"/>
      <c r="R803" s="119"/>
    </row>
    <row r="804" spans="11:18" ht="14">
      <c r="K804" s="51"/>
      <c r="L804" s="115"/>
      <c r="R804" s="119"/>
    </row>
    <row r="805" spans="11:18" ht="14">
      <c r="K805" s="51"/>
      <c r="L805" s="115"/>
      <c r="R805" s="119"/>
    </row>
    <row r="806" spans="11:18" ht="14">
      <c r="K806" s="51"/>
      <c r="L806" s="115"/>
      <c r="R806" s="119"/>
    </row>
    <row r="807" spans="11:18" ht="14">
      <c r="K807" s="51"/>
      <c r="L807" s="115"/>
      <c r="R807" s="119"/>
    </row>
    <row r="808" spans="11:18" ht="14">
      <c r="K808" s="51"/>
      <c r="L808" s="115"/>
      <c r="R808" s="119"/>
    </row>
    <row r="809" spans="11:18" ht="14">
      <c r="K809" s="51"/>
      <c r="L809" s="115"/>
      <c r="R809" s="119"/>
    </row>
    <row r="810" spans="11:18" ht="14">
      <c r="K810" s="51"/>
      <c r="L810" s="115"/>
      <c r="R810" s="119"/>
    </row>
    <row r="811" spans="11:18" ht="14">
      <c r="K811" s="51"/>
      <c r="L811" s="115"/>
      <c r="R811" s="119"/>
    </row>
    <row r="812" spans="11:18" ht="14">
      <c r="K812" s="51"/>
      <c r="L812" s="115"/>
      <c r="R812" s="119"/>
    </row>
    <row r="813" spans="11:18" ht="14">
      <c r="K813" s="51"/>
      <c r="L813" s="115"/>
      <c r="R813" s="119"/>
    </row>
    <row r="814" spans="11:18" ht="14">
      <c r="K814" s="51"/>
      <c r="L814" s="115"/>
      <c r="R814" s="119"/>
    </row>
    <row r="815" spans="11:18" ht="14">
      <c r="K815" s="51"/>
      <c r="L815" s="115"/>
      <c r="R815" s="119"/>
    </row>
    <row r="816" spans="11:18" ht="14">
      <c r="K816" s="51"/>
      <c r="L816" s="115"/>
      <c r="R816" s="119"/>
    </row>
    <row r="817" spans="11:18" ht="14">
      <c r="K817" s="51"/>
      <c r="L817" s="115"/>
      <c r="R817" s="119"/>
    </row>
    <row r="818" spans="11:18" ht="14">
      <c r="K818" s="51"/>
      <c r="L818" s="115"/>
      <c r="R818" s="119"/>
    </row>
    <row r="819" spans="11:18" ht="14">
      <c r="K819" s="51"/>
      <c r="L819" s="115"/>
      <c r="R819" s="119"/>
    </row>
    <row r="820" spans="11:18" ht="14">
      <c r="K820" s="51"/>
      <c r="L820" s="115"/>
      <c r="R820" s="119"/>
    </row>
    <row r="821" spans="11:18" ht="14">
      <c r="K821" s="51"/>
      <c r="L821" s="115"/>
      <c r="R821" s="119"/>
    </row>
    <row r="822" spans="11:18" ht="14">
      <c r="K822" s="51"/>
      <c r="L822" s="115"/>
      <c r="R822" s="119"/>
    </row>
    <row r="823" spans="11:18" ht="14">
      <c r="K823" s="51"/>
      <c r="L823" s="115"/>
      <c r="R823" s="119"/>
    </row>
    <row r="824" spans="11:18" ht="14">
      <c r="K824" s="51"/>
      <c r="L824" s="115"/>
      <c r="R824" s="119"/>
    </row>
    <row r="825" spans="11:18" ht="14">
      <c r="K825" s="51"/>
      <c r="L825" s="115"/>
      <c r="R825" s="119"/>
    </row>
    <row r="826" spans="11:18" ht="14">
      <c r="K826" s="51"/>
      <c r="L826" s="115"/>
      <c r="R826" s="119"/>
    </row>
    <row r="827" spans="11:18" ht="14">
      <c r="K827" s="51"/>
      <c r="L827" s="115"/>
      <c r="R827" s="119"/>
    </row>
    <row r="828" spans="11:18" ht="14">
      <c r="K828" s="51"/>
      <c r="L828" s="115"/>
      <c r="R828" s="119"/>
    </row>
    <row r="829" spans="11:18" ht="14">
      <c r="K829" s="51"/>
      <c r="L829" s="115"/>
      <c r="R829" s="119"/>
    </row>
    <row r="830" spans="11:18" ht="14">
      <c r="K830" s="51"/>
      <c r="L830" s="115"/>
      <c r="R830" s="119"/>
    </row>
    <row r="831" spans="11:18" ht="14">
      <c r="K831" s="51"/>
      <c r="L831" s="115"/>
      <c r="R831" s="119"/>
    </row>
    <row r="832" spans="11:18" ht="14">
      <c r="K832" s="51"/>
      <c r="L832" s="115"/>
      <c r="R832" s="119"/>
    </row>
    <row r="833" spans="11:18" ht="14">
      <c r="K833" s="51"/>
      <c r="L833" s="115"/>
      <c r="R833" s="119"/>
    </row>
    <row r="834" spans="11:18" ht="14">
      <c r="K834" s="51"/>
      <c r="L834" s="115"/>
      <c r="R834" s="119"/>
    </row>
    <row r="835" spans="11:18" ht="14">
      <c r="K835" s="51"/>
      <c r="L835" s="115"/>
      <c r="R835" s="119"/>
    </row>
    <row r="836" spans="11:18" ht="14">
      <c r="K836" s="51"/>
      <c r="L836" s="115"/>
      <c r="R836" s="119"/>
    </row>
    <row r="837" spans="11:18" ht="14">
      <c r="K837" s="51"/>
      <c r="L837" s="115"/>
      <c r="R837" s="119"/>
    </row>
    <row r="838" spans="11:18" ht="14">
      <c r="K838" s="51"/>
      <c r="L838" s="115"/>
      <c r="R838" s="119"/>
    </row>
    <row r="839" spans="11:18" ht="14">
      <c r="K839" s="51"/>
      <c r="L839" s="115"/>
      <c r="R839" s="119"/>
    </row>
    <row r="840" spans="11:18" ht="14">
      <c r="K840" s="51"/>
      <c r="L840" s="115"/>
      <c r="R840" s="119"/>
    </row>
    <row r="841" spans="11:18" ht="14">
      <c r="K841" s="51"/>
      <c r="L841" s="115"/>
      <c r="R841" s="119"/>
    </row>
    <row r="842" spans="11:18" ht="14">
      <c r="K842" s="51"/>
      <c r="L842" s="115"/>
      <c r="R842" s="119"/>
    </row>
    <row r="843" spans="11:18" ht="14">
      <c r="K843" s="51"/>
      <c r="L843" s="115"/>
      <c r="R843" s="119"/>
    </row>
    <row r="844" spans="11:18" ht="14">
      <c r="K844" s="51"/>
      <c r="L844" s="115"/>
      <c r="R844" s="119"/>
    </row>
    <row r="845" spans="11:18" ht="14">
      <c r="K845" s="51"/>
      <c r="L845" s="115"/>
      <c r="R845" s="119"/>
    </row>
    <row r="846" spans="11:18" ht="14">
      <c r="K846" s="51"/>
      <c r="L846" s="115"/>
      <c r="R846" s="119"/>
    </row>
    <row r="847" spans="11:18" ht="14">
      <c r="K847" s="51"/>
      <c r="L847" s="115"/>
      <c r="R847" s="119"/>
    </row>
    <row r="848" spans="11:18" ht="14">
      <c r="K848" s="51"/>
      <c r="L848" s="115"/>
      <c r="R848" s="119"/>
    </row>
    <row r="849" spans="11:18" ht="14">
      <c r="K849" s="51"/>
      <c r="L849" s="115"/>
      <c r="R849" s="119"/>
    </row>
    <row r="850" spans="11:18" ht="14">
      <c r="K850" s="51"/>
      <c r="L850" s="115"/>
      <c r="R850" s="119"/>
    </row>
    <row r="851" spans="11:18" ht="14">
      <c r="K851" s="51"/>
      <c r="L851" s="115"/>
      <c r="R851" s="119"/>
    </row>
    <row r="852" spans="11:18" ht="14">
      <c r="K852" s="51"/>
      <c r="L852" s="115"/>
      <c r="R852" s="119"/>
    </row>
    <row r="853" spans="11:18" ht="14">
      <c r="K853" s="51"/>
      <c r="L853" s="115"/>
      <c r="R853" s="119"/>
    </row>
    <row r="854" spans="11:18" ht="14">
      <c r="K854" s="51"/>
      <c r="L854" s="115"/>
      <c r="R854" s="119"/>
    </row>
    <row r="855" spans="11:18" ht="14">
      <c r="K855" s="51"/>
      <c r="L855" s="115"/>
      <c r="R855" s="119"/>
    </row>
    <row r="856" spans="11:18" ht="14">
      <c r="K856" s="51"/>
      <c r="L856" s="115"/>
      <c r="R856" s="119"/>
    </row>
    <row r="857" spans="11:18" ht="14">
      <c r="K857" s="51"/>
      <c r="L857" s="115"/>
      <c r="R857" s="119"/>
    </row>
    <row r="858" spans="11:18" ht="14">
      <c r="K858" s="51"/>
      <c r="L858" s="115"/>
      <c r="R858" s="119"/>
    </row>
    <row r="859" spans="11:18" ht="14">
      <c r="K859" s="51"/>
      <c r="L859" s="115"/>
      <c r="R859" s="119"/>
    </row>
    <row r="860" spans="11:18" ht="14">
      <c r="K860" s="51"/>
      <c r="L860" s="115"/>
      <c r="R860" s="119"/>
    </row>
    <row r="861" spans="11:18" ht="14">
      <c r="K861" s="51"/>
      <c r="L861" s="115"/>
      <c r="R861" s="119"/>
    </row>
    <row r="862" spans="11:18" ht="14">
      <c r="K862" s="51"/>
      <c r="L862" s="115"/>
      <c r="R862" s="119"/>
    </row>
    <row r="863" spans="11:18" ht="14">
      <c r="K863" s="51"/>
      <c r="L863" s="115"/>
      <c r="R863" s="119"/>
    </row>
    <row r="864" spans="11:18" ht="14">
      <c r="K864" s="51"/>
      <c r="L864" s="115"/>
      <c r="R864" s="119"/>
    </row>
    <row r="865" spans="11:18" ht="14">
      <c r="K865" s="51"/>
      <c r="L865" s="115"/>
      <c r="R865" s="119"/>
    </row>
    <row r="866" spans="11:18" ht="14">
      <c r="K866" s="51"/>
      <c r="L866" s="115"/>
      <c r="R866" s="119"/>
    </row>
    <row r="867" spans="11:18" ht="14">
      <c r="K867" s="51"/>
      <c r="L867" s="115"/>
      <c r="R867" s="119"/>
    </row>
    <row r="868" spans="11:18" ht="14">
      <c r="K868" s="51"/>
      <c r="L868" s="115"/>
      <c r="R868" s="119"/>
    </row>
    <row r="869" spans="11:18" ht="14">
      <c r="K869" s="51"/>
      <c r="L869" s="115"/>
      <c r="R869" s="119"/>
    </row>
    <row r="870" spans="11:18" ht="14">
      <c r="K870" s="51"/>
      <c r="L870" s="115"/>
      <c r="R870" s="119"/>
    </row>
    <row r="871" spans="11:18" ht="14">
      <c r="K871" s="51"/>
      <c r="L871" s="115"/>
      <c r="R871" s="119"/>
    </row>
    <row r="872" spans="11:18" ht="14">
      <c r="K872" s="51"/>
      <c r="L872" s="115"/>
      <c r="R872" s="119"/>
    </row>
    <row r="873" spans="11:18" ht="14">
      <c r="K873" s="51"/>
      <c r="L873" s="115"/>
      <c r="R873" s="119"/>
    </row>
    <row r="874" spans="11:18" ht="14">
      <c r="K874" s="51"/>
      <c r="L874" s="115"/>
      <c r="R874" s="119"/>
    </row>
    <row r="875" spans="11:18" ht="14">
      <c r="K875" s="51"/>
      <c r="L875" s="115"/>
      <c r="R875" s="119"/>
    </row>
    <row r="876" spans="11:18" ht="14">
      <c r="K876" s="51"/>
      <c r="L876" s="115"/>
      <c r="R876" s="119"/>
    </row>
    <row r="877" spans="11:18" ht="14">
      <c r="K877" s="51"/>
      <c r="L877" s="115"/>
      <c r="R877" s="119"/>
    </row>
    <row r="878" spans="11:18" ht="14">
      <c r="K878" s="51"/>
      <c r="L878" s="115"/>
      <c r="R878" s="119"/>
    </row>
    <row r="879" spans="11:18" ht="14">
      <c r="K879" s="51"/>
      <c r="L879" s="115"/>
      <c r="R879" s="119"/>
    </row>
    <row r="880" spans="11:18" ht="14">
      <c r="K880" s="51"/>
      <c r="L880" s="115"/>
      <c r="R880" s="119"/>
    </row>
    <row r="881" spans="11:18" ht="14">
      <c r="K881" s="51"/>
      <c r="L881" s="115"/>
      <c r="R881" s="119"/>
    </row>
    <row r="882" spans="11:18" ht="14">
      <c r="K882" s="51"/>
      <c r="L882" s="115"/>
      <c r="R882" s="119"/>
    </row>
    <row r="883" spans="11:18" ht="14">
      <c r="K883" s="51"/>
      <c r="L883" s="115"/>
      <c r="R883" s="119"/>
    </row>
    <row r="884" spans="11:18" ht="14">
      <c r="K884" s="51"/>
      <c r="L884" s="115"/>
      <c r="R884" s="119"/>
    </row>
    <row r="885" spans="11:18" ht="14">
      <c r="K885" s="51"/>
      <c r="L885" s="115"/>
      <c r="R885" s="119"/>
    </row>
    <row r="886" spans="11:18" ht="14">
      <c r="K886" s="51"/>
      <c r="L886" s="115"/>
      <c r="R886" s="119"/>
    </row>
    <row r="887" spans="11:18" ht="14">
      <c r="K887" s="51"/>
      <c r="L887" s="115"/>
      <c r="R887" s="119"/>
    </row>
    <row r="888" spans="11:18" ht="14">
      <c r="K888" s="51"/>
      <c r="L888" s="115"/>
      <c r="R888" s="119"/>
    </row>
    <row r="889" spans="11:18" ht="14">
      <c r="K889" s="51"/>
      <c r="L889" s="115"/>
      <c r="R889" s="119"/>
    </row>
    <row r="890" spans="11:18" ht="14">
      <c r="K890" s="51"/>
      <c r="L890" s="115"/>
      <c r="R890" s="119"/>
    </row>
    <row r="891" spans="11:18" ht="14">
      <c r="K891" s="51"/>
      <c r="L891" s="115"/>
      <c r="R891" s="119"/>
    </row>
    <row r="892" spans="11:18" ht="14">
      <c r="K892" s="51"/>
      <c r="L892" s="115"/>
      <c r="R892" s="119"/>
    </row>
    <row r="893" spans="11:18" ht="14">
      <c r="K893" s="51"/>
      <c r="L893" s="115"/>
      <c r="R893" s="119"/>
    </row>
    <row r="894" spans="11:18" ht="14">
      <c r="K894" s="51"/>
      <c r="L894" s="115"/>
      <c r="R894" s="119"/>
    </row>
    <row r="895" spans="11:18" ht="14">
      <c r="K895" s="51"/>
      <c r="L895" s="115"/>
      <c r="R895" s="119"/>
    </row>
    <row r="896" spans="11:18" ht="14">
      <c r="K896" s="51"/>
      <c r="L896" s="115"/>
      <c r="R896" s="119"/>
    </row>
    <row r="897" spans="11:18" ht="14">
      <c r="K897" s="51"/>
      <c r="L897" s="115"/>
      <c r="R897" s="119"/>
    </row>
    <row r="898" spans="11:18" ht="14">
      <c r="K898" s="51"/>
      <c r="L898" s="115"/>
      <c r="R898" s="119"/>
    </row>
    <row r="899" spans="11:18" ht="14">
      <c r="K899" s="51"/>
      <c r="L899" s="115"/>
      <c r="R899" s="119"/>
    </row>
    <row r="900" spans="11:18" ht="14">
      <c r="K900" s="51"/>
      <c r="L900" s="115"/>
      <c r="R900" s="119"/>
    </row>
    <row r="901" spans="11:18" ht="14">
      <c r="K901" s="51"/>
      <c r="L901" s="115"/>
      <c r="R901" s="119"/>
    </row>
    <row r="902" spans="11:18" ht="14">
      <c r="K902" s="51"/>
      <c r="L902" s="115"/>
      <c r="R902" s="119"/>
    </row>
    <row r="903" spans="11:18" ht="14">
      <c r="K903" s="51"/>
      <c r="L903" s="115"/>
      <c r="R903" s="119"/>
    </row>
    <row r="904" spans="11:18" ht="14">
      <c r="K904" s="51"/>
      <c r="L904" s="115"/>
      <c r="R904" s="119"/>
    </row>
    <row r="905" spans="11:18" ht="14">
      <c r="K905" s="51"/>
      <c r="L905" s="115"/>
      <c r="R905" s="119"/>
    </row>
    <row r="906" spans="11:18" ht="14">
      <c r="K906" s="51"/>
      <c r="L906" s="115"/>
      <c r="R906" s="119"/>
    </row>
    <row r="907" spans="11:18" ht="14">
      <c r="K907" s="51"/>
      <c r="L907" s="115"/>
      <c r="R907" s="119"/>
    </row>
    <row r="908" spans="11:18" ht="14">
      <c r="K908" s="51"/>
      <c r="L908" s="115"/>
      <c r="R908" s="119"/>
    </row>
    <row r="909" spans="11:18" ht="14">
      <c r="K909" s="51"/>
      <c r="L909" s="115"/>
      <c r="R909" s="119"/>
    </row>
    <row r="910" spans="11:18" ht="14">
      <c r="K910" s="51"/>
      <c r="L910" s="115"/>
      <c r="R910" s="119"/>
    </row>
    <row r="911" spans="11:18" ht="14">
      <c r="K911" s="51"/>
      <c r="L911" s="115"/>
      <c r="R911" s="119"/>
    </row>
    <row r="912" spans="11:18" ht="14">
      <c r="K912" s="51"/>
      <c r="L912" s="115"/>
      <c r="R912" s="119"/>
    </row>
    <row r="913" spans="11:18" ht="14">
      <c r="K913" s="51"/>
      <c r="L913" s="115"/>
      <c r="R913" s="119"/>
    </row>
    <row r="914" spans="11:18" ht="14">
      <c r="K914" s="51"/>
      <c r="L914" s="115"/>
      <c r="R914" s="119"/>
    </row>
    <row r="915" spans="11:18" ht="14">
      <c r="K915" s="51"/>
      <c r="L915" s="115"/>
      <c r="R915" s="119"/>
    </row>
    <row r="916" spans="11:18" ht="14">
      <c r="K916" s="51"/>
      <c r="L916" s="115"/>
      <c r="R916" s="119"/>
    </row>
    <row r="917" spans="11:18" ht="14">
      <c r="K917" s="51"/>
      <c r="L917" s="115"/>
      <c r="R917" s="119"/>
    </row>
    <row r="918" spans="11:18" ht="14">
      <c r="K918" s="51"/>
      <c r="L918" s="115"/>
      <c r="R918" s="119"/>
    </row>
    <row r="919" spans="11:18" ht="14">
      <c r="K919" s="51"/>
      <c r="L919" s="115"/>
      <c r="R919" s="119"/>
    </row>
    <row r="920" spans="11:18" ht="14">
      <c r="K920" s="51"/>
      <c r="L920" s="115"/>
      <c r="R920" s="119"/>
    </row>
    <row r="921" spans="11:18" ht="14">
      <c r="K921" s="51"/>
      <c r="L921" s="115"/>
      <c r="R921" s="119"/>
    </row>
    <row r="922" spans="11:18" ht="14">
      <c r="K922" s="51"/>
      <c r="L922" s="115"/>
      <c r="R922" s="119"/>
    </row>
    <row r="923" spans="11:18" ht="14">
      <c r="K923" s="51"/>
      <c r="L923" s="115"/>
      <c r="R923" s="119"/>
    </row>
    <row r="924" spans="11:18" ht="14">
      <c r="K924" s="51"/>
      <c r="L924" s="115"/>
      <c r="R924" s="119"/>
    </row>
    <row r="925" spans="11:18" ht="14">
      <c r="K925" s="51"/>
      <c r="L925" s="115"/>
      <c r="R925" s="119"/>
    </row>
    <row r="926" spans="11:18" ht="14">
      <c r="K926" s="51"/>
      <c r="L926" s="115"/>
      <c r="R926" s="119"/>
    </row>
    <row r="927" spans="11:18" ht="14">
      <c r="K927" s="51"/>
      <c r="L927" s="115"/>
      <c r="R927" s="119"/>
    </row>
    <row r="928" spans="11:18" ht="14">
      <c r="K928" s="51"/>
      <c r="L928" s="115"/>
      <c r="R928" s="119"/>
    </row>
    <row r="929" spans="11:18" ht="14">
      <c r="K929" s="51"/>
      <c r="L929" s="115"/>
      <c r="R929" s="119"/>
    </row>
    <row r="930" spans="11:18" ht="14">
      <c r="K930" s="51"/>
      <c r="L930" s="115"/>
      <c r="R930" s="119"/>
    </row>
    <row r="931" spans="11:18" ht="14">
      <c r="K931" s="51"/>
      <c r="L931" s="115"/>
      <c r="R931" s="119"/>
    </row>
    <row r="932" spans="11:18" ht="14">
      <c r="K932" s="51"/>
      <c r="L932" s="115"/>
      <c r="R932" s="119"/>
    </row>
    <row r="933" spans="11:18" ht="14">
      <c r="K933" s="51"/>
      <c r="L933" s="115"/>
      <c r="R933" s="119"/>
    </row>
    <row r="934" spans="11:18" ht="14">
      <c r="K934" s="51"/>
      <c r="L934" s="115"/>
      <c r="R934" s="119"/>
    </row>
    <row r="935" spans="11:18" ht="14">
      <c r="K935" s="51"/>
      <c r="L935" s="115"/>
      <c r="R935" s="119"/>
    </row>
    <row r="936" spans="11:18" ht="14">
      <c r="K936" s="51"/>
      <c r="L936" s="115"/>
      <c r="R936" s="119"/>
    </row>
    <row r="937" spans="11:18" ht="14">
      <c r="K937" s="51"/>
      <c r="L937" s="115"/>
      <c r="R937" s="119"/>
    </row>
    <row r="938" spans="11:18" ht="14">
      <c r="K938" s="51"/>
      <c r="L938" s="115"/>
      <c r="R938" s="119"/>
    </row>
    <row r="939" spans="11:18" ht="14">
      <c r="K939" s="51"/>
      <c r="L939" s="115"/>
      <c r="R939" s="119"/>
    </row>
    <row r="940" spans="11:18" ht="14">
      <c r="K940" s="51"/>
      <c r="L940" s="115"/>
      <c r="R940" s="119"/>
    </row>
    <row r="941" spans="11:18" ht="14">
      <c r="K941" s="51"/>
      <c r="L941" s="115"/>
      <c r="R941" s="119"/>
    </row>
    <row r="942" spans="11:18" ht="14">
      <c r="K942" s="51"/>
      <c r="L942" s="115"/>
      <c r="R942" s="119"/>
    </row>
    <row r="943" spans="11:18" ht="14">
      <c r="K943" s="51"/>
      <c r="L943" s="115"/>
      <c r="R943" s="119"/>
    </row>
    <row r="944" spans="11:18" ht="14">
      <c r="K944" s="51"/>
      <c r="L944" s="115"/>
      <c r="R944" s="119"/>
    </row>
    <row r="945" spans="11:18" ht="14">
      <c r="K945" s="51"/>
      <c r="L945" s="115"/>
      <c r="R945" s="119"/>
    </row>
    <row r="946" spans="11:18" ht="14">
      <c r="K946" s="51"/>
      <c r="L946" s="115"/>
      <c r="R946" s="119"/>
    </row>
    <row r="947" spans="11:18" ht="14">
      <c r="K947" s="51"/>
      <c r="L947" s="115"/>
      <c r="R947" s="119"/>
    </row>
    <row r="948" spans="11:18" ht="14">
      <c r="K948" s="51"/>
      <c r="L948" s="115"/>
      <c r="R948" s="119"/>
    </row>
    <row r="949" spans="11:18" ht="14">
      <c r="K949" s="51"/>
      <c r="L949" s="115"/>
      <c r="R949" s="119"/>
    </row>
    <row r="950" spans="11:18" ht="14">
      <c r="K950" s="51"/>
      <c r="L950" s="115"/>
      <c r="R950" s="119"/>
    </row>
    <row r="951" spans="11:18" ht="14">
      <c r="K951" s="51"/>
      <c r="L951" s="115"/>
      <c r="R951" s="119"/>
    </row>
    <row r="952" spans="11:18" ht="14">
      <c r="K952" s="51"/>
      <c r="L952" s="115"/>
      <c r="R952" s="119"/>
    </row>
    <row r="953" spans="11:18" ht="14">
      <c r="K953" s="51"/>
      <c r="L953" s="115"/>
      <c r="R953" s="119"/>
    </row>
    <row r="954" spans="11:18" ht="14">
      <c r="K954" s="51"/>
      <c r="L954" s="115"/>
      <c r="R954" s="119"/>
    </row>
    <row r="955" spans="11:18" ht="14">
      <c r="K955" s="51"/>
      <c r="L955" s="115"/>
      <c r="R955" s="119"/>
    </row>
    <row r="956" spans="11:18" ht="14">
      <c r="K956" s="51"/>
      <c r="L956" s="115"/>
      <c r="R956" s="119"/>
    </row>
    <row r="957" spans="11:18" ht="14">
      <c r="K957" s="51"/>
      <c r="L957" s="115"/>
      <c r="R957" s="119"/>
    </row>
    <row r="958" spans="11:18" ht="14">
      <c r="K958" s="51"/>
      <c r="L958" s="115"/>
      <c r="R958" s="119"/>
    </row>
    <row r="959" spans="11:18" ht="14">
      <c r="K959" s="51"/>
      <c r="L959" s="115"/>
      <c r="R959" s="119"/>
    </row>
    <row r="960" spans="11:18" ht="14">
      <c r="K960" s="51"/>
      <c r="L960" s="115"/>
      <c r="R960" s="119"/>
    </row>
    <row r="961" spans="11:18" ht="14">
      <c r="K961" s="51"/>
      <c r="L961" s="115"/>
      <c r="R961" s="119"/>
    </row>
    <row r="962" spans="11:18" ht="14">
      <c r="K962" s="51"/>
      <c r="L962" s="115"/>
      <c r="R962" s="119"/>
    </row>
    <row r="963" spans="11:18" ht="14">
      <c r="K963" s="51"/>
      <c r="L963" s="115"/>
      <c r="R963" s="119"/>
    </row>
    <row r="964" spans="11:18" ht="14">
      <c r="K964" s="51"/>
      <c r="L964" s="115"/>
      <c r="R964" s="119"/>
    </row>
    <row r="965" spans="11:18" ht="14">
      <c r="K965" s="51"/>
      <c r="L965" s="115"/>
      <c r="R965" s="119"/>
    </row>
    <row r="966" spans="11:18" ht="14">
      <c r="K966" s="51"/>
      <c r="L966" s="115"/>
      <c r="R966" s="119"/>
    </row>
    <row r="967" spans="11:18" ht="14">
      <c r="K967" s="51"/>
      <c r="L967" s="115"/>
      <c r="R967" s="119"/>
    </row>
    <row r="968" spans="11:18" ht="14">
      <c r="K968" s="51"/>
      <c r="L968" s="115"/>
      <c r="R968" s="119"/>
    </row>
    <row r="969" spans="11:18" ht="14">
      <c r="K969" s="51"/>
      <c r="L969" s="115"/>
      <c r="R969" s="119"/>
    </row>
    <row r="970" spans="11:18" ht="14">
      <c r="K970" s="51"/>
      <c r="L970" s="115"/>
      <c r="R970" s="119"/>
    </row>
    <row r="971" spans="11:18" ht="14">
      <c r="K971" s="51"/>
      <c r="L971" s="115"/>
      <c r="R971" s="119"/>
    </row>
    <row r="972" spans="11:18" ht="14">
      <c r="K972" s="51"/>
      <c r="L972" s="115"/>
      <c r="R972" s="119"/>
    </row>
    <row r="973" spans="11:18" ht="14">
      <c r="K973" s="51"/>
      <c r="L973" s="115"/>
      <c r="R973" s="119"/>
    </row>
    <row r="974" spans="11:18" ht="14">
      <c r="K974" s="51"/>
      <c r="L974" s="115"/>
      <c r="R974" s="119"/>
    </row>
    <row r="975" spans="11:18" ht="14">
      <c r="K975" s="51"/>
      <c r="L975" s="115"/>
      <c r="R975" s="119"/>
    </row>
    <row r="976" spans="11:18" ht="14">
      <c r="K976" s="51"/>
      <c r="L976" s="115"/>
      <c r="R976" s="119"/>
    </row>
    <row r="977" spans="11:18" ht="14">
      <c r="K977" s="51"/>
      <c r="L977" s="115"/>
      <c r="R977" s="119"/>
    </row>
    <row r="978" spans="11:18" ht="14">
      <c r="K978" s="51"/>
      <c r="L978" s="115"/>
      <c r="R978" s="119"/>
    </row>
    <row r="979" spans="11:18" ht="14">
      <c r="K979" s="51"/>
      <c r="L979" s="115"/>
      <c r="R979" s="119"/>
    </row>
    <row r="980" spans="11:18" ht="14">
      <c r="K980" s="51"/>
      <c r="L980" s="115"/>
      <c r="R980" s="119"/>
    </row>
    <row r="981" spans="11:18" ht="14">
      <c r="K981" s="51"/>
      <c r="L981" s="115"/>
      <c r="R981" s="119"/>
    </row>
    <row r="982" spans="11:18" ht="14">
      <c r="K982" s="51"/>
      <c r="L982" s="115"/>
      <c r="R982" s="119"/>
    </row>
    <row r="983" spans="11:18" ht="14">
      <c r="K983" s="51"/>
      <c r="L983" s="115"/>
      <c r="R983" s="119"/>
    </row>
    <row r="984" spans="11:18" ht="14">
      <c r="K984" s="51"/>
      <c r="L984" s="115"/>
      <c r="R984" s="119"/>
    </row>
    <row r="985" spans="11:18" ht="14">
      <c r="K985" s="51"/>
      <c r="L985" s="115"/>
      <c r="R985" s="119"/>
    </row>
    <row r="986" spans="11:18" ht="14">
      <c r="K986" s="51"/>
      <c r="L986" s="115"/>
      <c r="R986" s="119"/>
    </row>
    <row r="987" spans="11:18" ht="14">
      <c r="K987" s="51"/>
      <c r="L987" s="115"/>
      <c r="R987" s="119"/>
    </row>
    <row r="988" spans="11:18" ht="14">
      <c r="K988" s="51"/>
      <c r="L988" s="115"/>
      <c r="R988" s="119"/>
    </row>
    <row r="989" spans="11:18" ht="14">
      <c r="K989" s="51"/>
      <c r="L989" s="115"/>
      <c r="R989" s="119"/>
    </row>
    <row r="990" spans="11:18" ht="14">
      <c r="K990" s="51"/>
      <c r="L990" s="115"/>
      <c r="R990" s="119"/>
    </row>
    <row r="991" spans="11:18" ht="14">
      <c r="K991" s="51"/>
      <c r="L991" s="115"/>
      <c r="R991" s="119"/>
    </row>
    <row r="992" spans="11:18" ht="14">
      <c r="K992" s="51"/>
      <c r="L992" s="115"/>
      <c r="R992" s="119"/>
    </row>
    <row r="993" spans="11:18" ht="14">
      <c r="K993" s="51"/>
      <c r="L993" s="115"/>
      <c r="R993" s="119"/>
    </row>
    <row r="994" spans="11:18" ht="14">
      <c r="K994" s="51"/>
      <c r="L994" s="115"/>
      <c r="R994" s="119"/>
    </row>
    <row r="995" spans="11:18" ht="14">
      <c r="K995" s="51"/>
      <c r="L995" s="115"/>
      <c r="R995" s="119"/>
    </row>
    <row r="996" spans="11:18" ht="14">
      <c r="K996" s="51"/>
      <c r="L996" s="115"/>
      <c r="R996" s="119"/>
    </row>
    <row r="997" spans="11:18" ht="14">
      <c r="K997" s="51"/>
      <c r="L997" s="115"/>
      <c r="R997" s="119"/>
    </row>
    <row r="998" spans="11:18" ht="14">
      <c r="K998" s="51"/>
      <c r="L998" s="115"/>
      <c r="R998" s="119"/>
    </row>
    <row r="999" spans="11:18" ht="14">
      <c r="K999" s="51"/>
      <c r="L999" s="115"/>
      <c r="R999" s="119"/>
    </row>
    <row r="1000" spans="11:18" ht="14">
      <c r="K1000" s="51"/>
      <c r="L1000" s="115"/>
      <c r="R1000" s="119"/>
    </row>
    <row r="1001" spans="11:18" ht="14">
      <c r="K1001" s="51"/>
      <c r="L1001" s="115"/>
      <c r="R1001" s="119"/>
    </row>
    <row r="1002" spans="11:18" ht="14">
      <c r="K1002" s="51"/>
      <c r="L1002" s="115"/>
      <c r="R1002" s="119"/>
    </row>
    <row r="1003" spans="11:18" ht="14">
      <c r="K1003" s="51"/>
      <c r="L1003" s="115"/>
      <c r="R1003" s="119"/>
    </row>
    <row r="1004" spans="11:18" ht="14">
      <c r="K1004" s="51"/>
      <c r="L1004" s="115"/>
      <c r="R1004" s="119"/>
    </row>
    <row r="1005" spans="11:18" ht="14">
      <c r="K1005" s="51"/>
      <c r="L1005" s="115"/>
      <c r="R1005" s="119"/>
    </row>
    <row r="1006" spans="11:18" ht="14">
      <c r="K1006" s="51"/>
      <c r="L1006" s="115"/>
      <c r="R1006" s="119"/>
    </row>
    <row r="1007" spans="11:18" ht="14">
      <c r="K1007" s="51"/>
      <c r="L1007" s="115"/>
      <c r="R1007" s="119"/>
    </row>
    <row r="1008" spans="11:18" ht="14">
      <c r="K1008" s="51"/>
      <c r="L1008" s="115"/>
      <c r="R1008" s="119"/>
    </row>
    <row r="1009" spans="11:18" ht="14">
      <c r="K1009" s="51"/>
      <c r="L1009" s="115"/>
      <c r="R1009" s="119"/>
    </row>
    <row r="1010" spans="11:18" ht="14">
      <c r="K1010" s="51"/>
      <c r="L1010" s="115"/>
      <c r="R1010" s="119"/>
    </row>
    <row r="1011" spans="11:18" ht="14">
      <c r="K1011" s="51"/>
      <c r="L1011" s="115"/>
      <c r="R1011" s="119"/>
    </row>
    <row r="1012" spans="11:18" ht="14">
      <c r="K1012" s="51"/>
      <c r="L1012" s="115"/>
      <c r="R1012" s="119"/>
    </row>
    <row r="1013" spans="11:18" ht="14">
      <c r="K1013" s="51"/>
      <c r="L1013" s="115"/>
      <c r="R1013" s="119"/>
    </row>
    <row r="1014" spans="11:18" ht="14">
      <c r="K1014" s="51"/>
      <c r="L1014" s="115"/>
      <c r="R1014" s="119"/>
    </row>
    <row r="1015" spans="11:18" ht="14">
      <c r="K1015" s="51"/>
      <c r="L1015" s="115"/>
      <c r="R1015" s="119"/>
    </row>
    <row r="1016" spans="11:18" ht="14">
      <c r="K1016" s="51"/>
      <c r="L1016" s="115"/>
      <c r="R1016" s="119"/>
    </row>
    <row r="1017" spans="11:18" ht="14">
      <c r="K1017" s="51"/>
      <c r="L1017" s="115"/>
      <c r="R1017" s="119"/>
    </row>
    <row r="1018" spans="11:18" ht="14">
      <c r="K1018" s="51"/>
      <c r="L1018" s="115"/>
      <c r="R1018" s="119"/>
    </row>
    <row r="1019" spans="11:18" ht="14">
      <c r="K1019" s="51"/>
      <c r="L1019" s="115"/>
      <c r="R1019" s="119"/>
    </row>
    <row r="1020" spans="11:18" ht="14">
      <c r="K1020" s="51"/>
      <c r="L1020" s="115"/>
      <c r="R1020" s="119"/>
    </row>
    <row r="1021" spans="11:18" ht="14">
      <c r="K1021" s="51"/>
      <c r="L1021" s="115"/>
      <c r="R1021" s="119"/>
    </row>
    <row r="1022" spans="11:18" ht="14">
      <c r="K1022" s="51"/>
      <c r="L1022" s="115"/>
      <c r="R1022" s="119"/>
    </row>
    <row r="1023" spans="11:18" ht="14">
      <c r="K1023" s="51"/>
      <c r="L1023" s="115"/>
      <c r="R1023" s="119"/>
    </row>
    <row r="1024" spans="11:18" ht="14">
      <c r="K1024" s="51"/>
      <c r="L1024" s="115"/>
      <c r="R1024" s="119"/>
    </row>
    <row r="1025" spans="11:18" ht="14">
      <c r="K1025" s="51"/>
      <c r="L1025" s="115"/>
      <c r="R1025" s="119"/>
    </row>
    <row r="1026" spans="11:18" ht="14">
      <c r="K1026" s="51"/>
      <c r="L1026" s="115"/>
      <c r="R1026" s="119"/>
    </row>
    <row r="1027" spans="11:18" ht="14">
      <c r="K1027" s="51"/>
      <c r="L1027" s="115"/>
      <c r="R1027" s="119"/>
    </row>
    <row r="1028" spans="11:18" ht="14">
      <c r="K1028" s="51"/>
      <c r="L1028" s="115"/>
      <c r="R1028" s="119"/>
    </row>
    <row r="1029" spans="11:18" ht="14">
      <c r="K1029" s="51"/>
      <c r="L1029" s="115"/>
      <c r="R1029" s="119"/>
    </row>
    <row r="1030" spans="11:18" ht="14">
      <c r="K1030" s="51"/>
      <c r="L1030" s="115"/>
      <c r="R1030" s="119"/>
    </row>
    <row r="1031" spans="11:18" ht="14">
      <c r="K1031" s="51"/>
      <c r="L1031" s="115"/>
      <c r="R1031" s="119"/>
    </row>
    <row r="1032" spans="11:18" ht="14">
      <c r="K1032" s="51"/>
      <c r="L1032" s="115"/>
      <c r="R1032" s="119"/>
    </row>
    <row r="1033" spans="11:18" ht="14">
      <c r="K1033" s="51"/>
      <c r="L1033" s="115"/>
      <c r="R1033" s="119"/>
    </row>
    <row r="1034" spans="11:18" ht="14">
      <c r="K1034" s="51"/>
      <c r="L1034" s="115"/>
      <c r="R1034" s="119"/>
    </row>
    <row r="1035" spans="11:18" ht="14">
      <c r="K1035" s="51"/>
      <c r="L1035" s="115"/>
      <c r="R1035" s="119"/>
    </row>
    <row r="1036" spans="11:18" ht="14">
      <c r="K1036" s="51"/>
      <c r="L1036" s="115"/>
      <c r="R1036" s="119"/>
    </row>
    <row r="1037" spans="11:18" ht="14">
      <c r="K1037" s="51"/>
      <c r="L1037" s="115"/>
      <c r="R1037" s="119"/>
    </row>
    <row r="1038" spans="11:18" ht="14">
      <c r="K1038" s="51"/>
      <c r="L1038" s="115"/>
      <c r="R1038" s="119"/>
    </row>
    <row r="1039" spans="11:18" ht="14">
      <c r="K1039" s="51"/>
      <c r="L1039" s="115"/>
      <c r="R1039" s="119"/>
    </row>
    <row r="1040" spans="11:18" ht="14">
      <c r="K1040" s="51"/>
      <c r="L1040" s="115"/>
      <c r="R1040" s="119"/>
    </row>
    <row r="1041" spans="11:18" ht="14">
      <c r="K1041" s="51"/>
      <c r="L1041" s="115"/>
      <c r="R1041" s="119"/>
    </row>
    <row r="1042" spans="11:18" ht="14">
      <c r="K1042" s="51"/>
      <c r="L1042" s="115"/>
      <c r="R1042" s="119"/>
    </row>
    <row r="1043" spans="11:18" ht="14">
      <c r="K1043" s="51"/>
      <c r="L1043" s="115"/>
      <c r="R1043" s="119"/>
    </row>
    <row r="1044" spans="11:18" ht="14">
      <c r="K1044" s="51"/>
      <c r="L1044" s="115"/>
      <c r="R1044" s="119"/>
    </row>
    <row r="1045" spans="11:18" ht="14">
      <c r="K1045" s="51"/>
      <c r="L1045" s="115"/>
      <c r="R1045" s="119"/>
    </row>
    <row r="1046" spans="11:18" ht="14">
      <c r="K1046" s="51"/>
      <c r="L1046" s="115"/>
      <c r="R1046" s="119"/>
    </row>
    <row r="1047" spans="11:18" ht="14">
      <c r="K1047" s="51"/>
      <c r="L1047" s="115"/>
      <c r="R1047" s="119"/>
    </row>
    <row r="1048" spans="11:18" ht="14">
      <c r="K1048" s="51"/>
      <c r="L1048" s="115"/>
      <c r="R1048" s="119"/>
    </row>
    <row r="1049" spans="11:18" ht="14">
      <c r="K1049" s="51"/>
      <c r="L1049" s="115"/>
      <c r="R1049" s="119"/>
    </row>
    <row r="1050" spans="11:18" ht="14">
      <c r="K1050" s="51"/>
      <c r="L1050" s="115"/>
      <c r="R1050" s="119"/>
    </row>
    <row r="1051" spans="11:18" ht="14">
      <c r="K1051" s="51"/>
      <c r="L1051" s="115"/>
      <c r="R1051" s="119"/>
    </row>
    <row r="1052" spans="11:18" ht="14">
      <c r="K1052" s="51"/>
      <c r="L1052" s="115"/>
      <c r="R1052" s="119"/>
    </row>
    <row r="1053" spans="11:18" ht="14">
      <c r="K1053" s="51"/>
      <c r="L1053" s="115"/>
      <c r="R1053" s="119"/>
    </row>
    <row r="1054" spans="11:18" ht="14">
      <c r="K1054" s="51"/>
      <c r="L1054" s="115"/>
      <c r="R1054" s="119"/>
    </row>
    <row r="1055" spans="11:18" ht="14">
      <c r="K1055" s="51"/>
      <c r="L1055" s="115"/>
      <c r="R1055" s="119"/>
    </row>
    <row r="1056" spans="11:18" ht="14">
      <c r="K1056" s="51"/>
      <c r="L1056" s="115"/>
      <c r="R1056" s="119"/>
    </row>
    <row r="1057" spans="11:18" ht="14">
      <c r="K1057" s="51"/>
      <c r="L1057" s="115"/>
      <c r="R1057" s="119"/>
    </row>
    <row r="1058" spans="11:18" ht="14">
      <c r="K1058" s="51"/>
      <c r="L1058" s="115"/>
      <c r="R1058" s="119"/>
    </row>
    <row r="1059" spans="11:18" ht="14">
      <c r="K1059" s="51"/>
      <c r="L1059" s="115"/>
      <c r="R1059" s="119"/>
    </row>
    <row r="1060" spans="11:18" ht="14">
      <c r="K1060" s="51"/>
      <c r="L1060" s="115"/>
      <c r="R1060" s="119"/>
    </row>
    <row r="1061" spans="11:18" ht="14">
      <c r="K1061" s="51"/>
      <c r="L1061" s="115"/>
      <c r="R1061" s="119"/>
    </row>
    <row r="1062" spans="11:18" ht="14">
      <c r="K1062" s="51"/>
      <c r="L1062" s="115"/>
      <c r="R1062" s="119"/>
    </row>
    <row r="1063" spans="11:18" ht="14">
      <c r="K1063" s="51"/>
      <c r="L1063" s="115"/>
      <c r="R1063" s="119"/>
    </row>
    <row r="1064" spans="11:18" ht="14">
      <c r="K1064" s="51"/>
      <c r="L1064" s="115"/>
      <c r="R1064" s="119"/>
    </row>
    <row r="1065" spans="11:18" ht="14">
      <c r="K1065" s="51"/>
      <c r="L1065" s="115"/>
      <c r="R1065" s="119"/>
    </row>
    <row r="1066" spans="11:18" ht="14">
      <c r="K1066" s="51"/>
      <c r="L1066" s="115"/>
      <c r="R1066" s="119"/>
    </row>
    <row r="1067" spans="11:18" ht="14">
      <c r="K1067" s="51"/>
      <c r="L1067" s="115"/>
      <c r="R1067" s="119"/>
    </row>
    <row r="1068" spans="11:18" ht="14">
      <c r="K1068" s="51"/>
      <c r="L1068" s="115"/>
      <c r="R1068" s="119"/>
    </row>
    <row r="1069" spans="11:18" ht="14">
      <c r="K1069" s="51"/>
      <c r="L1069" s="115"/>
      <c r="R1069" s="119"/>
    </row>
    <row r="1070" spans="11:18" ht="14">
      <c r="K1070" s="51"/>
      <c r="L1070" s="115"/>
      <c r="R1070" s="119"/>
    </row>
    <row r="1071" spans="11:18" ht="14">
      <c r="K1071" s="51"/>
      <c r="L1071" s="115"/>
      <c r="R1071" s="119"/>
    </row>
    <row r="1072" spans="11:18" ht="14">
      <c r="K1072" s="51"/>
      <c r="L1072" s="115"/>
      <c r="R1072" s="119"/>
    </row>
    <row r="1073" spans="11:18" ht="14">
      <c r="K1073" s="51"/>
      <c r="L1073" s="115"/>
      <c r="R1073" s="119"/>
    </row>
    <row r="1074" spans="11:18" ht="14">
      <c r="K1074" s="51"/>
      <c r="L1074" s="115"/>
      <c r="R1074" s="119"/>
    </row>
    <row r="1075" spans="11:18" ht="14">
      <c r="K1075" s="51"/>
      <c r="L1075" s="115"/>
      <c r="R1075" s="119"/>
    </row>
    <row r="1076" spans="11:18" ht="14">
      <c r="K1076" s="51"/>
      <c r="L1076" s="115"/>
      <c r="R1076" s="119"/>
    </row>
    <row r="1077" spans="11:18" ht="14">
      <c r="K1077" s="51"/>
      <c r="L1077" s="115"/>
      <c r="R1077" s="119"/>
    </row>
    <row r="1078" spans="11:18" ht="14">
      <c r="K1078" s="51"/>
      <c r="L1078" s="115"/>
      <c r="R1078" s="119"/>
    </row>
    <row r="1079" spans="11:18" ht="14">
      <c r="K1079" s="51"/>
      <c r="L1079" s="115"/>
      <c r="R1079" s="119"/>
    </row>
    <row r="1080" spans="11:18" ht="14">
      <c r="K1080" s="51"/>
      <c r="L1080" s="115"/>
      <c r="R1080" s="119"/>
    </row>
    <row r="1081" spans="11:18" ht="14">
      <c r="K1081" s="51"/>
      <c r="L1081" s="115"/>
      <c r="R1081" s="119"/>
    </row>
    <row r="1082" spans="11:18" ht="14">
      <c r="K1082" s="51"/>
      <c r="L1082" s="115"/>
      <c r="R1082" s="119"/>
    </row>
    <row r="1083" spans="11:18" ht="14">
      <c r="K1083" s="51"/>
      <c r="L1083" s="115"/>
      <c r="R1083" s="119"/>
    </row>
    <row r="1084" spans="11:18" ht="14">
      <c r="K1084" s="51"/>
      <c r="L1084" s="115"/>
      <c r="R1084" s="119"/>
    </row>
    <row r="1085" spans="11:18" ht="14">
      <c r="K1085" s="51"/>
      <c r="L1085" s="115"/>
      <c r="R1085" s="119"/>
    </row>
    <row r="1086" spans="11:18" ht="14">
      <c r="K1086" s="51"/>
      <c r="L1086" s="115"/>
      <c r="R1086" s="119"/>
    </row>
    <row r="1087" spans="11:18" ht="14">
      <c r="K1087" s="51"/>
      <c r="L1087" s="115"/>
      <c r="R1087" s="119"/>
    </row>
    <row r="1088" spans="11:18" ht="14">
      <c r="K1088" s="51"/>
      <c r="L1088" s="115"/>
      <c r="R1088" s="119"/>
    </row>
    <row r="1089" spans="11:18" ht="14">
      <c r="K1089" s="51"/>
      <c r="L1089" s="115"/>
      <c r="R1089" s="119"/>
    </row>
    <row r="1090" spans="11:18" ht="14">
      <c r="K1090" s="51"/>
      <c r="L1090" s="115"/>
      <c r="R1090" s="119"/>
    </row>
    <row r="1091" spans="11:18" ht="14">
      <c r="K1091" s="51"/>
      <c r="L1091" s="115"/>
      <c r="R1091" s="119"/>
    </row>
    <row r="1092" spans="11:18" ht="14">
      <c r="K1092" s="51"/>
      <c r="L1092" s="115"/>
      <c r="R1092" s="119"/>
    </row>
    <row r="1093" spans="11:18" ht="14">
      <c r="K1093" s="51"/>
      <c r="L1093" s="115"/>
      <c r="R1093" s="119"/>
    </row>
    <row r="1094" spans="11:18" ht="14">
      <c r="K1094" s="51"/>
      <c r="L1094" s="115"/>
      <c r="R1094" s="119"/>
    </row>
    <row r="1095" spans="11:18" ht="14">
      <c r="K1095" s="51"/>
      <c r="L1095" s="115"/>
      <c r="R1095" s="119"/>
    </row>
    <row r="1096" spans="11:18" ht="14">
      <c r="K1096" s="51"/>
      <c r="L1096" s="115"/>
      <c r="R1096" s="119"/>
    </row>
    <row r="1097" spans="11:18" ht="14">
      <c r="K1097" s="51"/>
      <c r="L1097" s="115"/>
      <c r="R1097" s="119"/>
    </row>
    <row r="1098" spans="11:18" ht="14">
      <c r="K1098" s="51"/>
      <c r="L1098" s="115"/>
      <c r="R1098" s="119"/>
    </row>
    <row r="1099" spans="11:18" ht="14">
      <c r="K1099" s="51"/>
      <c r="L1099" s="115"/>
      <c r="R1099" s="119"/>
    </row>
    <row r="1100" spans="11:18" ht="14">
      <c r="K1100" s="51"/>
      <c r="L1100" s="115"/>
      <c r="R1100" s="119"/>
    </row>
    <row r="1101" spans="11:18" ht="14">
      <c r="K1101" s="51"/>
      <c r="L1101" s="115"/>
      <c r="R1101" s="119"/>
    </row>
    <row r="1102" spans="11:18" ht="14">
      <c r="K1102" s="51"/>
      <c r="L1102" s="115"/>
      <c r="R1102" s="119"/>
    </row>
    <row r="1103" spans="11:18" ht="14">
      <c r="K1103" s="51"/>
      <c r="L1103" s="115"/>
      <c r="R1103" s="119"/>
    </row>
    <row r="1104" spans="11:18" ht="14">
      <c r="K1104" s="51"/>
      <c r="L1104" s="115"/>
      <c r="R1104" s="119"/>
    </row>
    <row r="1105" spans="11:18" ht="14">
      <c r="K1105" s="51"/>
      <c r="L1105" s="115"/>
      <c r="R1105" s="119"/>
    </row>
    <row r="1106" spans="11:18" ht="14">
      <c r="K1106" s="51"/>
      <c r="L1106" s="115"/>
      <c r="R1106" s="119"/>
    </row>
    <row r="1107" spans="11:18" ht="14">
      <c r="K1107" s="51"/>
      <c r="L1107" s="115"/>
      <c r="R1107" s="119"/>
    </row>
    <row r="1108" spans="11:18" ht="14">
      <c r="K1108" s="51"/>
      <c r="L1108" s="115"/>
      <c r="R1108" s="119"/>
    </row>
    <row r="1109" spans="11:18" ht="14">
      <c r="K1109" s="51"/>
      <c r="L1109" s="115"/>
      <c r="R1109" s="119"/>
    </row>
    <row r="1110" spans="11:18" ht="14">
      <c r="K1110" s="51"/>
      <c r="L1110" s="115"/>
      <c r="R1110" s="119"/>
    </row>
    <row r="1111" spans="11:18" ht="14">
      <c r="K1111" s="51"/>
      <c r="L1111" s="115"/>
      <c r="R1111" s="119"/>
    </row>
    <row r="1112" spans="11:18" ht="14">
      <c r="K1112" s="51"/>
      <c r="L1112" s="115"/>
      <c r="R1112" s="119"/>
    </row>
    <row r="1113" spans="11:18" ht="14">
      <c r="K1113" s="51"/>
      <c r="L1113" s="115"/>
      <c r="R1113" s="119"/>
    </row>
    <row r="1114" spans="11:18" ht="14">
      <c r="K1114" s="51"/>
      <c r="L1114" s="115"/>
      <c r="R1114" s="119"/>
    </row>
    <row r="1115" spans="11:18" ht="14">
      <c r="K1115" s="51"/>
      <c r="L1115" s="115"/>
      <c r="R1115" s="119"/>
    </row>
    <row r="1116" spans="11:18" ht="14">
      <c r="K1116" s="51"/>
      <c r="L1116" s="115"/>
      <c r="R1116" s="119"/>
    </row>
    <row r="1117" spans="11:18" ht="14">
      <c r="K1117" s="51"/>
      <c r="L1117" s="115"/>
      <c r="R1117" s="119"/>
    </row>
    <row r="1118" spans="11:18" ht="14">
      <c r="K1118" s="51"/>
      <c r="L1118" s="115"/>
      <c r="R1118" s="119"/>
    </row>
    <row r="1119" spans="11:18" ht="14">
      <c r="K1119" s="51"/>
      <c r="L1119" s="115"/>
      <c r="R1119" s="119"/>
    </row>
    <row r="1120" spans="11:18" ht="14">
      <c r="K1120" s="51"/>
      <c r="L1120" s="115"/>
      <c r="R1120" s="119"/>
    </row>
    <row r="1121" spans="11:18" ht="14">
      <c r="K1121" s="51"/>
      <c r="L1121" s="115"/>
      <c r="R1121" s="119"/>
    </row>
    <row r="1122" spans="11:18" ht="14">
      <c r="K1122" s="51"/>
      <c r="L1122" s="115"/>
      <c r="R1122" s="119"/>
    </row>
    <row r="1123" spans="11:18" ht="14">
      <c r="K1123" s="51"/>
      <c r="L1123" s="115"/>
      <c r="R1123" s="119"/>
    </row>
    <row r="1124" spans="11:18" ht="14">
      <c r="K1124" s="51"/>
      <c r="L1124" s="115"/>
      <c r="R1124" s="119"/>
    </row>
    <row r="1125" spans="11:18" ht="14">
      <c r="K1125" s="51"/>
      <c r="L1125" s="115"/>
      <c r="R1125" s="119"/>
    </row>
    <row r="1126" spans="11:18" ht="14">
      <c r="K1126" s="51"/>
      <c r="L1126" s="115"/>
      <c r="R1126" s="119"/>
    </row>
    <row r="1127" spans="11:18" ht="14">
      <c r="K1127" s="51"/>
      <c r="L1127" s="115"/>
      <c r="R1127" s="119"/>
    </row>
    <row r="1128" spans="11:18" ht="14">
      <c r="K1128" s="51"/>
      <c r="L1128" s="115"/>
      <c r="R1128" s="119"/>
    </row>
    <row r="1129" spans="11:18" ht="14">
      <c r="K1129" s="51"/>
      <c r="L1129" s="115"/>
      <c r="R1129" s="119"/>
    </row>
    <row r="1130" spans="11:18" ht="14">
      <c r="K1130" s="51"/>
      <c r="L1130" s="115"/>
      <c r="R1130" s="119"/>
    </row>
    <row r="1131" spans="11:18" ht="14">
      <c r="K1131" s="51"/>
      <c r="L1131" s="115"/>
      <c r="R1131" s="119"/>
    </row>
    <row r="1132" spans="11:18" ht="14">
      <c r="K1132" s="51"/>
      <c r="L1132" s="115"/>
      <c r="R1132" s="119"/>
    </row>
    <row r="1133" spans="11:18" ht="14">
      <c r="K1133" s="51"/>
      <c r="L1133" s="115"/>
      <c r="R1133" s="119"/>
    </row>
    <row r="1134" spans="11:18" ht="14">
      <c r="K1134" s="51"/>
      <c r="L1134" s="115"/>
      <c r="R1134" s="119"/>
    </row>
    <row r="1135" spans="11:18" ht="14">
      <c r="K1135" s="51"/>
      <c r="L1135" s="115"/>
      <c r="R1135" s="119"/>
    </row>
    <row r="1136" spans="11:18" ht="14">
      <c r="K1136" s="51"/>
      <c r="L1136" s="115"/>
      <c r="R1136" s="119"/>
    </row>
    <row r="1137" spans="11:18" ht="14">
      <c r="K1137" s="51"/>
      <c r="L1137" s="115"/>
      <c r="R1137" s="119"/>
    </row>
    <row r="1138" spans="11:18" ht="14">
      <c r="K1138" s="51"/>
      <c r="L1138" s="115"/>
      <c r="R1138" s="119"/>
    </row>
    <row r="1139" spans="11:18" ht="14">
      <c r="K1139" s="51"/>
      <c r="L1139" s="115"/>
      <c r="R1139" s="119"/>
    </row>
    <row r="1140" spans="11:18" ht="14">
      <c r="K1140" s="51"/>
      <c r="L1140" s="115"/>
      <c r="R1140" s="119"/>
    </row>
    <row r="1141" spans="11:18" ht="14">
      <c r="K1141" s="51"/>
      <c r="L1141" s="115"/>
      <c r="R1141" s="119"/>
    </row>
    <row r="1142" spans="11:18" ht="14">
      <c r="K1142" s="51"/>
      <c r="L1142" s="115"/>
      <c r="R1142" s="119"/>
    </row>
    <row r="1143" spans="11:18" ht="14">
      <c r="K1143" s="51"/>
      <c r="L1143" s="115"/>
      <c r="R1143" s="119"/>
    </row>
    <row r="1144" spans="11:18" ht="14">
      <c r="K1144" s="51"/>
      <c r="L1144" s="115"/>
      <c r="R1144" s="119"/>
    </row>
    <row r="1145" spans="11:18" ht="14">
      <c r="K1145" s="51"/>
      <c r="L1145" s="115"/>
      <c r="R1145" s="119"/>
    </row>
    <row r="1146" spans="11:18" ht="14">
      <c r="K1146" s="51"/>
      <c r="L1146" s="115"/>
      <c r="R1146" s="119"/>
    </row>
    <row r="1147" spans="11:18" ht="14">
      <c r="K1147" s="51"/>
      <c r="L1147" s="115"/>
      <c r="R1147" s="119"/>
    </row>
    <row r="1148" spans="11:18" ht="14">
      <c r="K1148" s="51"/>
      <c r="L1148" s="115"/>
      <c r="R1148" s="119"/>
    </row>
    <row r="1149" spans="11:18" ht="14">
      <c r="K1149" s="51"/>
      <c r="L1149" s="115"/>
      <c r="R1149" s="119"/>
    </row>
    <row r="1150" spans="11:18" ht="14">
      <c r="K1150" s="51"/>
      <c r="L1150" s="115"/>
      <c r="R1150" s="119"/>
    </row>
    <row r="1151" spans="11:18" ht="14">
      <c r="K1151" s="51"/>
      <c r="L1151" s="115"/>
      <c r="R1151" s="119"/>
    </row>
    <row r="1152" spans="11:18" ht="14">
      <c r="K1152" s="51"/>
      <c r="L1152" s="115"/>
      <c r="R1152" s="119"/>
    </row>
    <row r="1153" spans="11:18" ht="14">
      <c r="K1153" s="51"/>
      <c r="L1153" s="115"/>
      <c r="R1153" s="119"/>
    </row>
    <row r="1154" spans="11:18" ht="14">
      <c r="K1154" s="51"/>
      <c r="L1154" s="115"/>
      <c r="R1154" s="119"/>
    </row>
    <row r="1155" spans="11:18" ht="14">
      <c r="K1155" s="51"/>
      <c r="L1155" s="115"/>
      <c r="R1155" s="119"/>
    </row>
    <row r="1156" spans="11:18" ht="14">
      <c r="K1156" s="51"/>
      <c r="L1156" s="115"/>
      <c r="R1156" s="119"/>
    </row>
    <row r="1157" spans="11:18" ht="14">
      <c r="K1157" s="51"/>
      <c r="L1157" s="115"/>
      <c r="R1157" s="119"/>
    </row>
    <row r="1158" spans="11:18" ht="14">
      <c r="K1158" s="51"/>
      <c r="L1158" s="115"/>
      <c r="R1158" s="119"/>
    </row>
    <row r="1159" spans="11:18" ht="14">
      <c r="K1159" s="51"/>
      <c r="L1159" s="115"/>
      <c r="R1159" s="119"/>
    </row>
    <row r="1160" spans="11:18" ht="14">
      <c r="K1160" s="51"/>
      <c r="L1160" s="115"/>
      <c r="R1160" s="119"/>
    </row>
    <row r="1161" spans="11:18" ht="14">
      <c r="K1161" s="51"/>
      <c r="L1161" s="115"/>
      <c r="R1161" s="119"/>
    </row>
    <row r="1162" spans="11:18" ht="14">
      <c r="K1162" s="51"/>
      <c r="L1162" s="115"/>
      <c r="R1162" s="119"/>
    </row>
    <row r="1163" spans="11:18" ht="14">
      <c r="K1163" s="51"/>
      <c r="L1163" s="115"/>
      <c r="R1163" s="119"/>
    </row>
    <row r="1164" spans="11:18" ht="14">
      <c r="K1164" s="51"/>
      <c r="L1164" s="115"/>
      <c r="R1164" s="119"/>
    </row>
    <row r="1165" spans="11:18" ht="14">
      <c r="K1165" s="51"/>
      <c r="L1165" s="115"/>
      <c r="R1165" s="119"/>
    </row>
    <row r="1166" spans="11:18" ht="14">
      <c r="K1166" s="51"/>
      <c r="L1166" s="115"/>
      <c r="R1166" s="119"/>
    </row>
    <row r="1167" spans="11:18" ht="14">
      <c r="K1167" s="51"/>
      <c r="L1167" s="115"/>
      <c r="R1167" s="119"/>
    </row>
    <row r="1168" spans="11:18" ht="14">
      <c r="K1168" s="51"/>
      <c r="L1168" s="115"/>
      <c r="R1168" s="119"/>
    </row>
    <row r="1169" spans="11:18" ht="14">
      <c r="K1169" s="51"/>
      <c r="L1169" s="115"/>
      <c r="R1169" s="119"/>
    </row>
    <row r="1170" spans="11:18" ht="14">
      <c r="K1170" s="51"/>
      <c r="L1170" s="115"/>
      <c r="R1170" s="119"/>
    </row>
    <row r="1171" spans="11:18" ht="14">
      <c r="K1171" s="51"/>
      <c r="L1171" s="115"/>
      <c r="R1171" s="119"/>
    </row>
    <row r="1172" spans="11:18" ht="14">
      <c r="K1172" s="51"/>
      <c r="L1172" s="115"/>
      <c r="R1172" s="119"/>
    </row>
    <row r="1173" spans="11:18" ht="14">
      <c r="K1173" s="51"/>
      <c r="L1173" s="115"/>
      <c r="R1173" s="119"/>
    </row>
    <row r="1174" spans="11:18" ht="14">
      <c r="K1174" s="51"/>
      <c r="L1174" s="115"/>
      <c r="R1174" s="119"/>
    </row>
    <row r="1175" spans="11:18" ht="14">
      <c r="K1175" s="51"/>
      <c r="L1175" s="115"/>
      <c r="R1175" s="119"/>
    </row>
    <row r="1176" spans="11:18" ht="14">
      <c r="K1176" s="51"/>
      <c r="L1176" s="115"/>
      <c r="R1176" s="119"/>
    </row>
    <row r="1177" spans="11:18" ht="14">
      <c r="K1177" s="51"/>
      <c r="L1177" s="115"/>
      <c r="R1177" s="119"/>
    </row>
    <row r="1178" spans="11:18" ht="14">
      <c r="K1178" s="51"/>
      <c r="L1178" s="115"/>
      <c r="R1178" s="119"/>
    </row>
    <row r="1179" spans="11:18" ht="14">
      <c r="K1179" s="51"/>
      <c r="L1179" s="115"/>
      <c r="R1179" s="119"/>
    </row>
    <row r="1180" spans="11:18" ht="14">
      <c r="K1180" s="51"/>
      <c r="L1180" s="115"/>
      <c r="R1180" s="119"/>
    </row>
    <row r="1181" spans="11:18" ht="14">
      <c r="K1181" s="51"/>
      <c r="L1181" s="115"/>
      <c r="R1181" s="119"/>
    </row>
    <row r="1182" spans="11:18" ht="14">
      <c r="K1182" s="51"/>
      <c r="L1182" s="115"/>
      <c r="R1182" s="119"/>
    </row>
    <row r="1183" spans="11:18" ht="14">
      <c r="K1183" s="51"/>
      <c r="L1183" s="115"/>
      <c r="R1183" s="119"/>
    </row>
    <row r="1184" spans="11:18" ht="14">
      <c r="K1184" s="51"/>
      <c r="L1184" s="115"/>
      <c r="R1184" s="119"/>
    </row>
    <row r="1185" spans="11:18" ht="14">
      <c r="K1185" s="51"/>
      <c r="L1185" s="115"/>
      <c r="R1185" s="119"/>
    </row>
    <row r="1186" spans="11:18" ht="14">
      <c r="K1186" s="51"/>
      <c r="L1186" s="115"/>
      <c r="R1186" s="119"/>
    </row>
    <row r="1187" spans="11:18" ht="14">
      <c r="K1187" s="51"/>
      <c r="L1187" s="115"/>
      <c r="R1187" s="119"/>
    </row>
    <row r="1188" spans="11:18" ht="14">
      <c r="K1188" s="51"/>
      <c r="L1188" s="115"/>
      <c r="R1188" s="119"/>
    </row>
    <row r="1189" spans="11:18" ht="14">
      <c r="K1189" s="51"/>
      <c r="L1189" s="115"/>
      <c r="R1189" s="119"/>
    </row>
    <row r="1190" spans="11:18" ht="14">
      <c r="K1190" s="51"/>
      <c r="L1190" s="115"/>
      <c r="R1190" s="119"/>
    </row>
    <row r="1191" spans="11:18" ht="14">
      <c r="K1191" s="51"/>
      <c r="L1191" s="115"/>
      <c r="R1191" s="119"/>
    </row>
    <row r="1192" spans="11:18" ht="14">
      <c r="K1192" s="51"/>
      <c r="L1192" s="115"/>
      <c r="R1192" s="119"/>
    </row>
    <row r="1193" spans="11:18" ht="14">
      <c r="K1193" s="51"/>
      <c r="L1193" s="115"/>
      <c r="R1193" s="119"/>
    </row>
    <row r="1194" spans="11:18" ht="14">
      <c r="K1194" s="51"/>
      <c r="L1194" s="115"/>
      <c r="R1194" s="119"/>
    </row>
    <row r="1195" spans="11:18" ht="14">
      <c r="K1195" s="51"/>
      <c r="L1195" s="115"/>
      <c r="R1195" s="119"/>
    </row>
    <row r="1196" spans="11:18" ht="14">
      <c r="K1196" s="51"/>
      <c r="L1196" s="115"/>
      <c r="R1196" s="119"/>
    </row>
    <row r="1197" spans="11:18" ht="14">
      <c r="K1197" s="51"/>
      <c r="L1197" s="115"/>
      <c r="R1197" s="119"/>
    </row>
    <row r="1198" spans="11:18" ht="14">
      <c r="K1198" s="51"/>
      <c r="L1198" s="115"/>
      <c r="R1198" s="119"/>
    </row>
    <row r="1199" spans="11:18" ht="14">
      <c r="K1199" s="51"/>
      <c r="L1199" s="115"/>
      <c r="R1199" s="119"/>
    </row>
    <row r="1200" spans="11:18" ht="14">
      <c r="K1200" s="51"/>
      <c r="L1200" s="115"/>
      <c r="R1200" s="119"/>
    </row>
    <row r="1201" spans="11:18" ht="14">
      <c r="K1201" s="51"/>
      <c r="L1201" s="115"/>
      <c r="R1201" s="119"/>
    </row>
    <row r="1202" spans="11:18" ht="14">
      <c r="K1202" s="51"/>
      <c r="L1202" s="115"/>
      <c r="R1202" s="119"/>
    </row>
    <row r="1203" spans="11:18" ht="14">
      <c r="K1203" s="51"/>
      <c r="L1203" s="115"/>
      <c r="R1203" s="119"/>
    </row>
    <row r="1204" spans="11:18" ht="14">
      <c r="K1204" s="51"/>
      <c r="L1204" s="115"/>
      <c r="R1204" s="119"/>
    </row>
    <row r="1205" spans="11:18" ht="14">
      <c r="K1205" s="51"/>
      <c r="L1205" s="115"/>
      <c r="R1205" s="119"/>
    </row>
    <row r="1206" spans="11:18" ht="14">
      <c r="K1206" s="51"/>
      <c r="L1206" s="115"/>
      <c r="R1206" s="119"/>
    </row>
    <row r="1207" spans="11:18" ht="14">
      <c r="K1207" s="51"/>
      <c r="L1207" s="115"/>
      <c r="R1207" s="119"/>
    </row>
    <row r="1208" spans="11:18" ht="14">
      <c r="K1208" s="51"/>
      <c r="L1208" s="115"/>
      <c r="R1208" s="119"/>
    </row>
    <row r="1209" spans="11:18" ht="14">
      <c r="K1209" s="51"/>
      <c r="L1209" s="115"/>
      <c r="R1209" s="119"/>
    </row>
    <row r="1210" spans="11:18" ht="14">
      <c r="K1210" s="51"/>
      <c r="L1210" s="115"/>
      <c r="R1210" s="119"/>
    </row>
    <row r="1211" spans="11:18" ht="14">
      <c r="K1211" s="51"/>
      <c r="L1211" s="115"/>
      <c r="R1211" s="119"/>
    </row>
    <row r="1212" spans="11:18" ht="14">
      <c r="K1212" s="51"/>
      <c r="L1212" s="115"/>
      <c r="R1212" s="119"/>
    </row>
    <row r="1213" spans="11:18" ht="14">
      <c r="K1213" s="51"/>
      <c r="L1213" s="115"/>
      <c r="R1213" s="119"/>
    </row>
    <row r="1214" spans="11:18" ht="14">
      <c r="K1214" s="51"/>
      <c r="L1214" s="115"/>
      <c r="R1214" s="119"/>
    </row>
    <row r="1215" spans="11:18" ht="14">
      <c r="K1215" s="51"/>
      <c r="L1215" s="115"/>
      <c r="R1215" s="119"/>
    </row>
    <row r="1216" spans="11:18" ht="14">
      <c r="K1216" s="51"/>
      <c r="L1216" s="115"/>
      <c r="R1216" s="119"/>
    </row>
    <row r="1217" spans="11:18" ht="14">
      <c r="K1217" s="51"/>
      <c r="L1217" s="115"/>
      <c r="R1217" s="119"/>
    </row>
    <row r="1218" spans="11:18" ht="14">
      <c r="K1218" s="51"/>
      <c r="L1218" s="115"/>
      <c r="R1218" s="119"/>
    </row>
    <row r="1219" spans="11:18" ht="14">
      <c r="K1219" s="51"/>
      <c r="L1219" s="115"/>
      <c r="R1219" s="119"/>
    </row>
    <row r="1220" spans="11:18" ht="14">
      <c r="K1220" s="51"/>
      <c r="L1220" s="115"/>
      <c r="R1220" s="119"/>
    </row>
    <row r="1221" spans="11:18" ht="14">
      <c r="K1221" s="51"/>
      <c r="L1221" s="115"/>
      <c r="R1221" s="119"/>
    </row>
    <row r="1222" spans="11:18" ht="14">
      <c r="K1222" s="51"/>
      <c r="L1222" s="115"/>
      <c r="R1222" s="119"/>
    </row>
    <row r="1223" spans="11:18" ht="14">
      <c r="K1223" s="51"/>
      <c r="L1223" s="115"/>
      <c r="R1223" s="119"/>
    </row>
    <row r="1224" spans="11:18" ht="14">
      <c r="K1224" s="51"/>
      <c r="L1224" s="115"/>
      <c r="R1224" s="119"/>
    </row>
    <row r="1225" spans="11:18" ht="14">
      <c r="K1225" s="51"/>
      <c r="L1225" s="115"/>
      <c r="R1225" s="119"/>
    </row>
    <row r="1226" spans="11:18" ht="14">
      <c r="K1226" s="51"/>
      <c r="L1226" s="115"/>
      <c r="R1226" s="119"/>
    </row>
    <row r="1227" spans="11:18" ht="14">
      <c r="K1227" s="51"/>
      <c r="L1227" s="115"/>
      <c r="R1227" s="119"/>
    </row>
    <row r="1228" spans="11:18" ht="14">
      <c r="K1228" s="51"/>
      <c r="L1228" s="115"/>
      <c r="R1228" s="119"/>
    </row>
    <row r="1229" spans="11:18" ht="14">
      <c r="K1229" s="51"/>
      <c r="L1229" s="115"/>
      <c r="R1229" s="119"/>
    </row>
    <row r="1230" spans="11:18" ht="14">
      <c r="K1230" s="51"/>
      <c r="L1230" s="115"/>
      <c r="R1230" s="119"/>
    </row>
    <row r="1231" spans="11:18" ht="14">
      <c r="K1231" s="51"/>
      <c r="L1231" s="115"/>
      <c r="R1231" s="119"/>
    </row>
    <row r="1232" spans="11:18" ht="14">
      <c r="K1232" s="51"/>
      <c r="L1232" s="115"/>
      <c r="R1232" s="119"/>
    </row>
    <row r="1233" spans="11:18" ht="14">
      <c r="K1233" s="51"/>
      <c r="L1233" s="115"/>
      <c r="R1233" s="119"/>
    </row>
    <row r="1234" spans="11:18" ht="14">
      <c r="K1234" s="51"/>
      <c r="L1234" s="115"/>
      <c r="R1234" s="119"/>
    </row>
    <row r="1235" spans="11:18" ht="14">
      <c r="K1235" s="51"/>
      <c r="L1235" s="115"/>
      <c r="R1235" s="119"/>
    </row>
    <row r="1236" spans="11:18" ht="14">
      <c r="K1236" s="51"/>
      <c r="L1236" s="115"/>
      <c r="R1236" s="119"/>
    </row>
    <row r="1237" spans="11:18" ht="14">
      <c r="K1237" s="51"/>
      <c r="L1237" s="115"/>
      <c r="R1237" s="119"/>
    </row>
    <row r="1238" spans="11:18" ht="14">
      <c r="K1238" s="51"/>
      <c r="L1238" s="115"/>
      <c r="R1238" s="119"/>
    </row>
    <row r="1239" spans="11:18" ht="14">
      <c r="K1239" s="51"/>
      <c r="L1239" s="115"/>
      <c r="R1239" s="119"/>
    </row>
    <row r="1240" spans="11:18" ht="14">
      <c r="K1240" s="51"/>
      <c r="L1240" s="115"/>
      <c r="R1240" s="119"/>
    </row>
    <row r="1241" spans="11:18" ht="14">
      <c r="K1241" s="51"/>
      <c r="L1241" s="115"/>
      <c r="R1241" s="119"/>
    </row>
    <row r="1242" spans="11:18" ht="14">
      <c r="K1242" s="51"/>
      <c r="L1242" s="115"/>
      <c r="R1242" s="119"/>
    </row>
    <row r="1243" spans="11:18" ht="14">
      <c r="K1243" s="51"/>
      <c r="L1243" s="115"/>
      <c r="R1243" s="119"/>
    </row>
    <row r="1244" spans="11:18" ht="14">
      <c r="K1244" s="51"/>
      <c r="L1244" s="115"/>
      <c r="R1244" s="119"/>
    </row>
    <row r="1245" spans="11:18" ht="14">
      <c r="K1245" s="51"/>
      <c r="L1245" s="115"/>
      <c r="R1245" s="119"/>
    </row>
    <row r="1246" spans="11:18" ht="14">
      <c r="K1246" s="51"/>
      <c r="L1246" s="115"/>
      <c r="R1246" s="119"/>
    </row>
    <row r="1247" spans="11:18" ht="14">
      <c r="K1247" s="51"/>
      <c r="L1247" s="115"/>
      <c r="R1247" s="119"/>
    </row>
    <row r="1248" spans="11:18" ht="14">
      <c r="K1248" s="51"/>
      <c r="L1248" s="115"/>
      <c r="R1248" s="119"/>
    </row>
    <row r="1249" spans="11:18" ht="14">
      <c r="K1249" s="51"/>
      <c r="L1249" s="115"/>
      <c r="R1249" s="119"/>
    </row>
    <row r="1250" spans="11:18" ht="14">
      <c r="K1250" s="51"/>
      <c r="L1250" s="115"/>
      <c r="R1250" s="119"/>
    </row>
    <row r="1251" spans="11:18" ht="14">
      <c r="K1251" s="51"/>
      <c r="L1251" s="115"/>
      <c r="R1251" s="119"/>
    </row>
    <row r="1252" spans="11:18" ht="14">
      <c r="K1252" s="51"/>
      <c r="L1252" s="115"/>
      <c r="R1252" s="119"/>
    </row>
    <row r="1253" spans="11:18" ht="14">
      <c r="K1253" s="51"/>
      <c r="L1253" s="115"/>
      <c r="R1253" s="119"/>
    </row>
    <row r="1254" spans="11:18" ht="14">
      <c r="K1254" s="51"/>
      <c r="L1254" s="115"/>
      <c r="R1254" s="119"/>
    </row>
    <row r="1255" spans="11:18" ht="14">
      <c r="K1255" s="51"/>
      <c r="L1255" s="115"/>
      <c r="R1255" s="119"/>
    </row>
    <row r="1256" spans="11:18" ht="14">
      <c r="K1256" s="51"/>
      <c r="L1256" s="115"/>
      <c r="R1256" s="119"/>
    </row>
    <row r="1257" spans="11:18" ht="14">
      <c r="K1257" s="51"/>
      <c r="L1257" s="115"/>
      <c r="R1257" s="119"/>
    </row>
    <row r="1258" spans="11:18" ht="14">
      <c r="K1258" s="51"/>
      <c r="L1258" s="115"/>
      <c r="R1258" s="119"/>
    </row>
    <row r="1259" spans="11:18" ht="14">
      <c r="K1259" s="51"/>
      <c r="L1259" s="115"/>
      <c r="R1259" s="119"/>
    </row>
    <row r="1260" spans="11:18" ht="14">
      <c r="K1260" s="51"/>
      <c r="L1260" s="115"/>
      <c r="R1260" s="119"/>
    </row>
    <row r="1261" spans="11:18" ht="14">
      <c r="K1261" s="51"/>
      <c r="L1261" s="115"/>
      <c r="R1261" s="119"/>
    </row>
    <row r="1262" spans="11:18" ht="14">
      <c r="K1262" s="51"/>
      <c r="L1262" s="115"/>
      <c r="R1262" s="119"/>
    </row>
    <row r="1263" spans="11:18" ht="14">
      <c r="K1263" s="51"/>
      <c r="L1263" s="115"/>
      <c r="R1263" s="119"/>
    </row>
    <row r="1264" spans="11:18" ht="14">
      <c r="K1264" s="51"/>
      <c r="L1264" s="115"/>
      <c r="R1264" s="119"/>
    </row>
    <row r="1265" spans="11:18" ht="14">
      <c r="K1265" s="51"/>
      <c r="L1265" s="115"/>
      <c r="R1265" s="119"/>
    </row>
    <row r="1266" spans="11:18" ht="14">
      <c r="K1266" s="51"/>
      <c r="L1266" s="115"/>
      <c r="R1266" s="119"/>
    </row>
    <row r="1267" spans="11:18" ht="14">
      <c r="K1267" s="51"/>
      <c r="L1267" s="115"/>
      <c r="R1267" s="119"/>
    </row>
    <row r="1268" spans="11:18" ht="14">
      <c r="K1268" s="51"/>
      <c r="L1268" s="115"/>
      <c r="R1268" s="119"/>
    </row>
    <row r="1269" spans="11:18" ht="14">
      <c r="K1269" s="51"/>
      <c r="L1269" s="115"/>
      <c r="R1269" s="119"/>
    </row>
    <row r="1270" spans="11:18" ht="14">
      <c r="K1270" s="51"/>
      <c r="L1270" s="115"/>
      <c r="R1270" s="119"/>
    </row>
    <row r="1271" spans="11:18" ht="14">
      <c r="K1271" s="51"/>
      <c r="L1271" s="115"/>
      <c r="R1271" s="119"/>
    </row>
    <row r="1272" spans="11:18" ht="14">
      <c r="R1272" s="119"/>
    </row>
    <row r="1273" spans="11:18" ht="14">
      <c r="R1273" s="119"/>
    </row>
    <row r="1274" spans="11:18" ht="14">
      <c r="R1274" s="119"/>
    </row>
    <row r="1275" spans="11:18" ht="14">
      <c r="R1275" s="119"/>
    </row>
    <row r="1276" spans="11:18" ht="14">
      <c r="R1276" s="119"/>
    </row>
    <row r="1277" spans="11:18" ht="14">
      <c r="R1277" s="119"/>
    </row>
    <row r="1278" spans="11:18" ht="14">
      <c r="R1278" s="119"/>
    </row>
    <row r="1279" spans="11:18" ht="14">
      <c r="R1279" s="119"/>
    </row>
    <row r="1280" spans="11:18" ht="14">
      <c r="R1280" s="119"/>
    </row>
    <row r="1281" spans="18:18" ht="14">
      <c r="R1281" s="119"/>
    </row>
    <row r="1282" spans="18:18" ht="14">
      <c r="R1282" s="119"/>
    </row>
    <row r="1283" spans="18:18" ht="14">
      <c r="R1283" s="119"/>
    </row>
    <row r="1284" spans="18:18" ht="14">
      <c r="R1284" s="119"/>
    </row>
    <row r="1285" spans="18:18" ht="14">
      <c r="R1285" s="119"/>
    </row>
    <row r="1286" spans="18:18" ht="14">
      <c r="R1286" s="119"/>
    </row>
    <row r="1287" spans="18:18" ht="14">
      <c r="R1287" s="119"/>
    </row>
    <row r="1288" spans="18:18" ht="14">
      <c r="R1288" s="119"/>
    </row>
    <row r="1289" spans="18:18" ht="14">
      <c r="R1289" s="119"/>
    </row>
    <row r="1290" spans="18:18" ht="14">
      <c r="R1290" s="119"/>
    </row>
    <row r="1291" spans="18:18" ht="14">
      <c r="R1291" s="119"/>
    </row>
    <row r="1292" spans="18:18" ht="14">
      <c r="R1292" s="119"/>
    </row>
    <row r="1293" spans="18:18" ht="14">
      <c r="R1293" s="119"/>
    </row>
    <row r="1294" spans="18:18" ht="14">
      <c r="R1294" s="119"/>
    </row>
    <row r="1295" spans="18:18" ht="14">
      <c r="R1295" s="119"/>
    </row>
    <row r="1296" spans="18:18" ht="14">
      <c r="R1296" s="119"/>
    </row>
    <row r="1297" spans="18:18" ht="14">
      <c r="R1297" s="119"/>
    </row>
    <row r="1298" spans="18:18" ht="14">
      <c r="R1298" s="119"/>
    </row>
    <row r="1299" spans="18:18" ht="14">
      <c r="R1299" s="119"/>
    </row>
    <row r="1300" spans="18:18" ht="14">
      <c r="R1300" s="119"/>
    </row>
    <row r="1301" spans="18:18" ht="14">
      <c r="R1301" s="119"/>
    </row>
    <row r="1302" spans="18:18" ht="14">
      <c r="R1302" s="119"/>
    </row>
    <row r="1303" spans="18:18" ht="14">
      <c r="R1303" s="119"/>
    </row>
    <row r="1304" spans="18:18" ht="14">
      <c r="R1304" s="119"/>
    </row>
    <row r="1305" spans="18:18" ht="14">
      <c r="R1305" s="119"/>
    </row>
    <row r="1306" spans="18:18" ht="14">
      <c r="R1306" s="119"/>
    </row>
    <row r="1307" spans="18:18" ht="14">
      <c r="R1307" s="119"/>
    </row>
    <row r="1308" spans="18:18" ht="14">
      <c r="R1308" s="119"/>
    </row>
    <row r="1309" spans="18:18" ht="14">
      <c r="R1309" s="119"/>
    </row>
    <row r="1310" spans="18:18" ht="14">
      <c r="R1310" s="119"/>
    </row>
    <row r="1311" spans="18:18" ht="14">
      <c r="R1311" s="119"/>
    </row>
    <row r="1312" spans="18:18" ht="14">
      <c r="R1312" s="119"/>
    </row>
    <row r="1313" spans="18:18" ht="14">
      <c r="R1313" s="119"/>
    </row>
    <row r="1314" spans="18:18" ht="14">
      <c r="R1314" s="119"/>
    </row>
    <row r="1315" spans="18:18" ht="14">
      <c r="R1315" s="119"/>
    </row>
    <row r="1316" spans="18:18" ht="14">
      <c r="R1316" s="119"/>
    </row>
    <row r="1317" spans="18:18" ht="14">
      <c r="R1317" s="119"/>
    </row>
    <row r="1318" spans="18:18" ht="14">
      <c r="R1318" s="119"/>
    </row>
    <row r="1319" spans="18:18" ht="14">
      <c r="R1319" s="119"/>
    </row>
    <row r="1320" spans="18:18" ht="14">
      <c r="R1320" s="119"/>
    </row>
    <row r="1321" spans="18:18" ht="14">
      <c r="R1321" s="119"/>
    </row>
    <row r="1322" spans="18:18" ht="14">
      <c r="R1322" s="119"/>
    </row>
    <row r="1323" spans="18:18" ht="14">
      <c r="R1323" s="119"/>
    </row>
    <row r="1324" spans="18:18" ht="14">
      <c r="R1324" s="119"/>
    </row>
    <row r="1325" spans="18:18" ht="14">
      <c r="R1325" s="119"/>
    </row>
    <row r="1326" spans="18:18" ht="14">
      <c r="R1326" s="119"/>
    </row>
    <row r="1327" spans="18:18" ht="14">
      <c r="R1327" s="119"/>
    </row>
    <row r="1328" spans="18:18" ht="14">
      <c r="R1328" s="119"/>
    </row>
    <row r="1329" spans="18:18" ht="14">
      <c r="R1329" s="119"/>
    </row>
    <row r="1330" spans="18:18" ht="14">
      <c r="R1330" s="119"/>
    </row>
    <row r="1331" spans="18:18" ht="14">
      <c r="R1331" s="119"/>
    </row>
    <row r="1332" spans="18:18" ht="14">
      <c r="R1332" s="119"/>
    </row>
    <row r="1333" spans="18:18" ht="14">
      <c r="R1333" s="119"/>
    </row>
    <row r="1334" spans="18:18" ht="14">
      <c r="R1334" s="119"/>
    </row>
    <row r="1335" spans="18:18" ht="14">
      <c r="R1335" s="119"/>
    </row>
    <row r="1336" spans="18:18" ht="14">
      <c r="R1336" s="119"/>
    </row>
    <row r="1337" spans="18:18" ht="14">
      <c r="R1337" s="119"/>
    </row>
    <row r="1338" spans="18:18" ht="14">
      <c r="R1338" s="119"/>
    </row>
    <row r="1339" spans="18:18" ht="14">
      <c r="R1339" s="119"/>
    </row>
    <row r="1340" spans="18:18" ht="14">
      <c r="R1340" s="119"/>
    </row>
    <row r="1341" spans="18:18" ht="14">
      <c r="R1341" s="119"/>
    </row>
    <row r="1342" spans="18:18" ht="14">
      <c r="R1342" s="119"/>
    </row>
    <row r="1343" spans="18:18" ht="14">
      <c r="R1343" s="119"/>
    </row>
    <row r="1344" spans="18:18" ht="14">
      <c r="R1344" s="119"/>
    </row>
    <row r="1345" spans="18:18" ht="14">
      <c r="R1345" s="119"/>
    </row>
    <row r="1346" spans="18:18" ht="14">
      <c r="R1346" s="119"/>
    </row>
    <row r="1347" spans="18:18" ht="14">
      <c r="R1347" s="119"/>
    </row>
    <row r="1348" spans="18:18" ht="14">
      <c r="R1348" s="119"/>
    </row>
    <row r="1349" spans="18:18" ht="14">
      <c r="R1349" s="119"/>
    </row>
    <row r="1350" spans="18:18" ht="14">
      <c r="R1350" s="119"/>
    </row>
    <row r="1351" spans="18:18" ht="14">
      <c r="R1351" s="119"/>
    </row>
    <row r="1352" spans="18:18" ht="14">
      <c r="R1352" s="119"/>
    </row>
    <row r="1353" spans="18:18" ht="14">
      <c r="R1353" s="119"/>
    </row>
    <row r="1354" spans="18:18" ht="14">
      <c r="R1354" s="119"/>
    </row>
    <row r="1355" spans="18:18" ht="14">
      <c r="R1355" s="119"/>
    </row>
    <row r="1356" spans="18:18" ht="14">
      <c r="R1356" s="119"/>
    </row>
    <row r="1357" spans="18:18" ht="14">
      <c r="R1357" s="119"/>
    </row>
    <row r="1358" spans="18:18" ht="14">
      <c r="R1358" s="119"/>
    </row>
    <row r="1359" spans="18:18" ht="14">
      <c r="R1359" s="119"/>
    </row>
    <row r="1360" spans="18:18" ht="14">
      <c r="R1360" s="119"/>
    </row>
    <row r="1361" spans="18:18" ht="14">
      <c r="R1361" s="119"/>
    </row>
    <row r="1362" spans="18:18" ht="14">
      <c r="R1362" s="119"/>
    </row>
    <row r="1363" spans="18:18" ht="14">
      <c r="R1363" s="119"/>
    </row>
    <row r="1364" spans="18:18" ht="14">
      <c r="R1364" s="119"/>
    </row>
    <row r="1365" spans="18:18" ht="14">
      <c r="R1365" s="119"/>
    </row>
    <row r="1366" spans="18:18" ht="14">
      <c r="R1366" s="119"/>
    </row>
    <row r="1367" spans="18:18" ht="14">
      <c r="R1367" s="119"/>
    </row>
    <row r="1368" spans="18:18" ht="14">
      <c r="R1368" s="119"/>
    </row>
    <row r="1369" spans="18:18" ht="14">
      <c r="R1369" s="119"/>
    </row>
    <row r="1370" spans="18:18" ht="14">
      <c r="R1370" s="119"/>
    </row>
    <row r="1371" spans="18:18" ht="14">
      <c r="R1371" s="119"/>
    </row>
    <row r="1372" spans="18:18" ht="14">
      <c r="R1372" s="119"/>
    </row>
    <row r="1373" spans="18:18" ht="14">
      <c r="R1373" s="119"/>
    </row>
    <row r="1374" spans="18:18" ht="14">
      <c r="R1374" s="119"/>
    </row>
    <row r="1375" spans="18:18" ht="14">
      <c r="R1375" s="119"/>
    </row>
    <row r="1376" spans="18:18" ht="14">
      <c r="R1376" s="119"/>
    </row>
    <row r="1377" spans="18:18" ht="14">
      <c r="R1377" s="119"/>
    </row>
    <row r="1378" spans="18:18" ht="14">
      <c r="R1378" s="119"/>
    </row>
    <row r="1379" spans="18:18" ht="14">
      <c r="R1379" s="119"/>
    </row>
    <row r="1380" spans="18:18" ht="14">
      <c r="R1380" s="119"/>
    </row>
    <row r="1381" spans="18:18" ht="14">
      <c r="R1381" s="119"/>
    </row>
    <row r="1382" spans="18:18" ht="14">
      <c r="R1382" s="119"/>
    </row>
    <row r="1383" spans="18:18" ht="14">
      <c r="R1383" s="119"/>
    </row>
    <row r="1384" spans="18:18" ht="14">
      <c r="R1384" s="119"/>
    </row>
    <row r="1385" spans="18:18" ht="14">
      <c r="R1385" s="119"/>
    </row>
    <row r="1386" spans="18:18" ht="14">
      <c r="R1386" s="119"/>
    </row>
    <row r="1387" spans="18:18" ht="14">
      <c r="R1387" s="119"/>
    </row>
    <row r="1388" spans="18:18" ht="14">
      <c r="R1388" s="119"/>
    </row>
    <row r="1389" spans="18:18" ht="14">
      <c r="R1389" s="119"/>
    </row>
    <row r="1390" spans="18:18" ht="14">
      <c r="R1390" s="119"/>
    </row>
    <row r="1391" spans="18:18" ht="14">
      <c r="R1391" s="119"/>
    </row>
    <row r="1392" spans="18:18" ht="14">
      <c r="R1392" s="119"/>
    </row>
    <row r="1393" spans="18:18" ht="14">
      <c r="R1393" s="119"/>
    </row>
    <row r="1394" spans="18:18" ht="14">
      <c r="R1394" s="119"/>
    </row>
    <row r="1395" spans="18:18" ht="14">
      <c r="R1395" s="119"/>
    </row>
    <row r="1396" spans="18:18" ht="14">
      <c r="R1396" s="119"/>
    </row>
    <row r="1397" spans="18:18" ht="14">
      <c r="R1397" s="119"/>
    </row>
    <row r="1398" spans="18:18" ht="14">
      <c r="R1398" s="119"/>
    </row>
    <row r="1399" spans="18:18" ht="14">
      <c r="R1399" s="119"/>
    </row>
    <row r="1400" spans="18:18" ht="14">
      <c r="R1400" s="119"/>
    </row>
    <row r="1401" spans="18:18" ht="14">
      <c r="R1401" s="119"/>
    </row>
    <row r="1402" spans="18:18" ht="14">
      <c r="R1402" s="119"/>
    </row>
    <row r="1403" spans="18:18" ht="14">
      <c r="R1403" s="119"/>
    </row>
    <row r="1404" spans="18:18" ht="14">
      <c r="R1404" s="119"/>
    </row>
    <row r="1405" spans="18:18" ht="14">
      <c r="R1405" s="119"/>
    </row>
    <row r="1406" spans="18:18" ht="14">
      <c r="R1406" s="119"/>
    </row>
    <row r="1407" spans="18:18" ht="14">
      <c r="R1407" s="119"/>
    </row>
    <row r="1408" spans="18:18" ht="14">
      <c r="R1408" s="119"/>
    </row>
    <row r="1409" spans="18:18" ht="14">
      <c r="R1409" s="119"/>
    </row>
    <row r="1410" spans="18:18" ht="14">
      <c r="R1410" s="119"/>
    </row>
    <row r="1411" spans="18:18" ht="14">
      <c r="R1411" s="119"/>
    </row>
    <row r="1412" spans="18:18" ht="14">
      <c r="R1412" s="119"/>
    </row>
    <row r="1413" spans="18:18" ht="14">
      <c r="R1413" s="119"/>
    </row>
    <row r="1414" spans="18:18" ht="14">
      <c r="R1414" s="119"/>
    </row>
    <row r="1415" spans="18:18" ht="14">
      <c r="R1415" s="119"/>
    </row>
    <row r="1416" spans="18:18" ht="14">
      <c r="R1416" s="119"/>
    </row>
    <row r="1417" spans="18:18" ht="14">
      <c r="R1417" s="119"/>
    </row>
    <row r="1418" spans="18:18" ht="14">
      <c r="R1418" s="119"/>
    </row>
    <row r="1419" spans="18:18" ht="14">
      <c r="R1419" s="119"/>
    </row>
    <row r="1420" spans="18:18" ht="14">
      <c r="R1420" s="119"/>
    </row>
    <row r="1421" spans="18:18" ht="14">
      <c r="R1421" s="119"/>
    </row>
    <row r="1422" spans="18:18" ht="14">
      <c r="R1422" s="119"/>
    </row>
    <row r="1423" spans="18:18" ht="14">
      <c r="R1423" s="119"/>
    </row>
    <row r="1424" spans="18:18" ht="14">
      <c r="R1424" s="119"/>
    </row>
    <row r="1425" spans="18:18" ht="14">
      <c r="R1425" s="119"/>
    </row>
    <row r="1426" spans="18:18" ht="14">
      <c r="R1426" s="119"/>
    </row>
    <row r="1427" spans="18:18" ht="14">
      <c r="R1427" s="119"/>
    </row>
    <row r="1428" spans="18:18" ht="14">
      <c r="R1428" s="119"/>
    </row>
    <row r="1429" spans="18:18" ht="14">
      <c r="R1429" s="119"/>
    </row>
    <row r="1430" spans="18:18" ht="14">
      <c r="R1430" s="119"/>
    </row>
    <row r="1431" spans="18:18" ht="14">
      <c r="R1431" s="119"/>
    </row>
    <row r="1432" spans="18:18" ht="14">
      <c r="R1432" s="119"/>
    </row>
    <row r="1433" spans="18:18" ht="14">
      <c r="R1433" s="119"/>
    </row>
    <row r="1434" spans="18:18" ht="14">
      <c r="R1434" s="119"/>
    </row>
    <row r="1435" spans="18:18" ht="14">
      <c r="R1435" s="119"/>
    </row>
    <row r="1436" spans="18:18" ht="14">
      <c r="R1436" s="119"/>
    </row>
    <row r="1437" spans="18:18" ht="14">
      <c r="R1437" s="119"/>
    </row>
    <row r="1438" spans="18:18" ht="14">
      <c r="R1438" s="119"/>
    </row>
    <row r="1439" spans="18:18" ht="14">
      <c r="R1439" s="119"/>
    </row>
    <row r="1440" spans="18:18" ht="14">
      <c r="R1440" s="119"/>
    </row>
    <row r="1441" spans="18:18" ht="14">
      <c r="R1441" s="119"/>
    </row>
    <row r="1442" spans="18:18" ht="14">
      <c r="R1442" s="119"/>
    </row>
    <row r="1443" spans="18:18" ht="14">
      <c r="R1443" s="119"/>
    </row>
    <row r="1444" spans="18:18" ht="14">
      <c r="R1444" s="119"/>
    </row>
    <row r="1445" spans="18:18" ht="14">
      <c r="R1445" s="119"/>
    </row>
    <row r="1446" spans="18:18" ht="14">
      <c r="R1446" s="119"/>
    </row>
    <row r="1447" spans="18:18" ht="14">
      <c r="R1447" s="119"/>
    </row>
    <row r="1448" spans="18:18" ht="14">
      <c r="R1448" s="119"/>
    </row>
    <row r="1449" spans="18:18" ht="14">
      <c r="R1449" s="119"/>
    </row>
    <row r="1450" spans="18:18" ht="14">
      <c r="R1450" s="119"/>
    </row>
    <row r="1451" spans="18:18" ht="14">
      <c r="R1451" s="119"/>
    </row>
    <row r="1452" spans="18:18" ht="14">
      <c r="R1452" s="119"/>
    </row>
    <row r="1453" spans="18:18" ht="14">
      <c r="R1453" s="119"/>
    </row>
    <row r="1454" spans="18:18" ht="14">
      <c r="R1454" s="119"/>
    </row>
    <row r="1455" spans="18:18" ht="14">
      <c r="R1455" s="119"/>
    </row>
    <row r="1456" spans="18:18" ht="14">
      <c r="R1456" s="119"/>
    </row>
    <row r="1457" spans="18:18" ht="14">
      <c r="R1457" s="119"/>
    </row>
    <row r="1458" spans="18:18" ht="14">
      <c r="R1458" s="119"/>
    </row>
    <row r="1459" spans="18:18" ht="14">
      <c r="R1459" s="119"/>
    </row>
    <row r="1460" spans="18:18" ht="14">
      <c r="R1460" s="119"/>
    </row>
    <row r="1461" spans="18:18" ht="14">
      <c r="R1461" s="119"/>
    </row>
    <row r="1462" spans="18:18" ht="14">
      <c r="R1462" s="119"/>
    </row>
    <row r="1463" spans="18:18" ht="14">
      <c r="R1463" s="119"/>
    </row>
    <row r="1464" spans="18:18" ht="14">
      <c r="R1464" s="119"/>
    </row>
    <row r="1465" spans="18:18" ht="14">
      <c r="R1465" s="119"/>
    </row>
    <row r="1466" spans="18:18" ht="14">
      <c r="R1466" s="119"/>
    </row>
    <row r="1467" spans="18:18" ht="14">
      <c r="R1467" s="119"/>
    </row>
    <row r="1468" spans="18:18" ht="14">
      <c r="R1468" s="119"/>
    </row>
    <row r="1469" spans="18:18" ht="14">
      <c r="R1469" s="119"/>
    </row>
    <row r="1470" spans="18:18" ht="14">
      <c r="R1470" s="119"/>
    </row>
    <row r="1471" spans="18:18" ht="14">
      <c r="R1471" s="119"/>
    </row>
    <row r="1472" spans="18:18" ht="14">
      <c r="R1472" s="119"/>
    </row>
    <row r="1473" spans="18:18" ht="14">
      <c r="R1473" s="119"/>
    </row>
    <row r="1474" spans="18:18" ht="14">
      <c r="R1474" s="119"/>
    </row>
    <row r="1475" spans="18:18" ht="14">
      <c r="R1475" s="119"/>
    </row>
    <row r="1476" spans="18:18" ht="14">
      <c r="R1476" s="119"/>
    </row>
    <row r="1477" spans="18:18" ht="14">
      <c r="R1477" s="119"/>
    </row>
    <row r="1478" spans="18:18" ht="14">
      <c r="R1478" s="119"/>
    </row>
    <row r="1479" spans="18:18" ht="14">
      <c r="R1479" s="119"/>
    </row>
    <row r="1480" spans="18:18" ht="14">
      <c r="R1480" s="119"/>
    </row>
    <row r="1481" spans="18:18" ht="14">
      <c r="R1481" s="119"/>
    </row>
    <row r="1482" spans="18:18" ht="14">
      <c r="R1482" s="119"/>
    </row>
    <row r="1483" spans="18:18" ht="14">
      <c r="R1483" s="119"/>
    </row>
    <row r="1484" spans="18:18" ht="14">
      <c r="R1484" s="119"/>
    </row>
    <row r="1485" spans="18:18" ht="14">
      <c r="R1485" s="119"/>
    </row>
    <row r="1486" spans="18:18" ht="14">
      <c r="R1486" s="119"/>
    </row>
    <row r="1487" spans="18:18" ht="14">
      <c r="R1487" s="119"/>
    </row>
    <row r="1488" spans="18:18" ht="14">
      <c r="R1488" s="119"/>
    </row>
    <row r="1489" spans="18:18" ht="14">
      <c r="R1489" s="119"/>
    </row>
    <row r="1490" spans="18:18" ht="14">
      <c r="R1490" s="119"/>
    </row>
    <row r="1491" spans="18:18" ht="14">
      <c r="R1491" s="119"/>
    </row>
    <row r="1492" spans="18:18" ht="14">
      <c r="R1492" s="119"/>
    </row>
    <row r="1493" spans="18:18" ht="14">
      <c r="R1493" s="119"/>
    </row>
    <row r="1494" spans="18:18" ht="14">
      <c r="R1494" s="119"/>
    </row>
    <row r="1495" spans="18:18" ht="14">
      <c r="R1495" s="119"/>
    </row>
    <row r="1496" spans="18:18" ht="14">
      <c r="R1496" s="119"/>
    </row>
    <row r="1497" spans="18:18" ht="14">
      <c r="R1497" s="119"/>
    </row>
    <row r="1498" spans="18:18" ht="14">
      <c r="R1498" s="119"/>
    </row>
    <row r="1499" spans="18:18" ht="14">
      <c r="R1499" s="119"/>
    </row>
    <row r="1500" spans="18:18" ht="14">
      <c r="R1500" s="119"/>
    </row>
    <row r="1501" spans="18:18" ht="14">
      <c r="R1501" s="119"/>
    </row>
    <row r="1502" spans="18:18" ht="14">
      <c r="R1502" s="119"/>
    </row>
    <row r="1503" spans="18:18" ht="14">
      <c r="R1503" s="119"/>
    </row>
    <row r="1504" spans="18:18" ht="14">
      <c r="R1504" s="119"/>
    </row>
    <row r="1505" spans="18:18" ht="14">
      <c r="R1505" s="119"/>
    </row>
    <row r="1506" spans="18:18" ht="14">
      <c r="R1506" s="119"/>
    </row>
    <row r="1507" spans="18:18" ht="14">
      <c r="R1507" s="119"/>
    </row>
    <row r="1508" spans="18:18" ht="14">
      <c r="R1508" s="119"/>
    </row>
    <row r="1509" spans="18:18" ht="14">
      <c r="R1509" s="119"/>
    </row>
    <row r="1510" spans="18:18" ht="14">
      <c r="R1510" s="119"/>
    </row>
    <row r="1511" spans="18:18" ht="14">
      <c r="R1511" s="119"/>
    </row>
    <row r="1512" spans="18:18" ht="14">
      <c r="R1512" s="119"/>
    </row>
    <row r="1513" spans="18:18" ht="14">
      <c r="R1513" s="119"/>
    </row>
    <row r="1514" spans="18:18" ht="14">
      <c r="R1514" s="119"/>
    </row>
    <row r="1515" spans="18:18" ht="14">
      <c r="R1515" s="119"/>
    </row>
    <row r="1516" spans="18:18" ht="14">
      <c r="R1516" s="119"/>
    </row>
    <row r="1517" spans="18:18" ht="14">
      <c r="R1517" s="119"/>
    </row>
    <row r="1518" spans="18:18" ht="14">
      <c r="R1518" s="119"/>
    </row>
    <row r="1519" spans="18:18" ht="14">
      <c r="R1519" s="119"/>
    </row>
    <row r="1520" spans="18:18" ht="14">
      <c r="R1520" s="119"/>
    </row>
    <row r="1521" spans="18:18" ht="14">
      <c r="R1521" s="119"/>
    </row>
    <row r="1522" spans="18:18" ht="14">
      <c r="R1522" s="119"/>
    </row>
    <row r="1523" spans="18:18" ht="14">
      <c r="R1523" s="119"/>
    </row>
    <row r="1524" spans="18:18" ht="14">
      <c r="R1524" s="119"/>
    </row>
    <row r="1525" spans="18:18" ht="14">
      <c r="R1525" s="119"/>
    </row>
    <row r="1526" spans="18:18" ht="14">
      <c r="R1526" s="119"/>
    </row>
    <row r="1527" spans="18:18" ht="14">
      <c r="R1527" s="119"/>
    </row>
    <row r="1528" spans="18:18" ht="14">
      <c r="R1528" s="119"/>
    </row>
    <row r="1529" spans="18:18" ht="14">
      <c r="R1529" s="119"/>
    </row>
    <row r="1530" spans="18:18" ht="14">
      <c r="R1530" s="119"/>
    </row>
    <row r="1531" spans="18:18" ht="14">
      <c r="R1531" s="119"/>
    </row>
    <row r="1532" spans="18:18" ht="14">
      <c r="R1532" s="119"/>
    </row>
    <row r="1533" spans="18:18" ht="14">
      <c r="R1533" s="119"/>
    </row>
    <row r="1534" spans="18:18" ht="14">
      <c r="R1534" s="119"/>
    </row>
    <row r="1535" spans="18:18" ht="14">
      <c r="R1535" s="119"/>
    </row>
    <row r="1536" spans="18:18" ht="14">
      <c r="R1536" s="119"/>
    </row>
    <row r="1537" spans="18:18" ht="14">
      <c r="R1537" s="119"/>
    </row>
    <row r="1538" spans="18:18" ht="14">
      <c r="R1538" s="119"/>
    </row>
    <row r="1539" spans="18:18" ht="14">
      <c r="R1539" s="119"/>
    </row>
    <row r="1540" spans="18:18" ht="14">
      <c r="R1540" s="119"/>
    </row>
    <row r="1541" spans="18:18" ht="14">
      <c r="R1541" s="119"/>
    </row>
    <row r="1542" spans="18:18" ht="14">
      <c r="R1542" s="119"/>
    </row>
    <row r="1543" spans="18:18" ht="14">
      <c r="R1543" s="119"/>
    </row>
    <row r="1544" spans="18:18" ht="14">
      <c r="R1544" s="119"/>
    </row>
    <row r="1545" spans="18:18" ht="14">
      <c r="R1545" s="119"/>
    </row>
    <row r="1546" spans="18:18" ht="14">
      <c r="R1546" s="119"/>
    </row>
    <row r="1547" spans="18:18" ht="14">
      <c r="R1547" s="119"/>
    </row>
    <row r="1548" spans="18:18" ht="14">
      <c r="R1548" s="119"/>
    </row>
    <row r="1549" spans="18:18" ht="14">
      <c r="R1549" s="119"/>
    </row>
    <row r="1550" spans="18:18" ht="14">
      <c r="R1550" s="119"/>
    </row>
    <row r="1551" spans="18:18" ht="14">
      <c r="R1551" s="119"/>
    </row>
    <row r="1552" spans="18:18" ht="14">
      <c r="R1552" s="119"/>
    </row>
    <row r="1553" spans="18:18" ht="14">
      <c r="R1553" s="119"/>
    </row>
    <row r="1554" spans="18:18" ht="14">
      <c r="R1554" s="119"/>
    </row>
    <row r="1555" spans="18:18" ht="14">
      <c r="R1555" s="119"/>
    </row>
    <row r="1556" spans="18:18" ht="14">
      <c r="R1556" s="119"/>
    </row>
    <row r="1557" spans="18:18" ht="14">
      <c r="R1557" s="119"/>
    </row>
    <row r="1558" spans="18:18" ht="14">
      <c r="R1558" s="119"/>
    </row>
    <row r="1559" spans="18:18" ht="14">
      <c r="R1559" s="119"/>
    </row>
    <row r="1560" spans="18:18" ht="14">
      <c r="R1560" s="119"/>
    </row>
    <row r="1561" spans="18:18" ht="14">
      <c r="R1561" s="119"/>
    </row>
    <row r="1562" spans="18:18" ht="14">
      <c r="R1562" s="119"/>
    </row>
    <row r="1563" spans="18:18" ht="14">
      <c r="R1563" s="119"/>
    </row>
    <row r="1564" spans="18:18" ht="14">
      <c r="R1564" s="119"/>
    </row>
    <row r="1565" spans="18:18" ht="14">
      <c r="R1565" s="119"/>
    </row>
    <row r="1566" spans="18:18" ht="14">
      <c r="R1566" s="119"/>
    </row>
    <row r="1567" spans="18:18" ht="14">
      <c r="R1567" s="119"/>
    </row>
    <row r="1568" spans="18:18" ht="14">
      <c r="R1568" s="119"/>
    </row>
    <row r="1569" spans="18:18" ht="14">
      <c r="R1569" s="119"/>
    </row>
    <row r="1570" spans="18:18" ht="14">
      <c r="R1570" s="119"/>
    </row>
    <row r="1571" spans="18:18" ht="14">
      <c r="R1571" s="119"/>
    </row>
    <row r="1572" spans="18:18" ht="14">
      <c r="R1572" s="119"/>
    </row>
    <row r="1573" spans="18:18" ht="14">
      <c r="R1573" s="119"/>
    </row>
    <row r="1574" spans="18:18" ht="14">
      <c r="R1574" s="119"/>
    </row>
    <row r="1575" spans="18:18" ht="14">
      <c r="R1575" s="119"/>
    </row>
    <row r="1576" spans="18:18" ht="14">
      <c r="R1576" s="119"/>
    </row>
    <row r="1577" spans="18:18" ht="14">
      <c r="R1577" s="119"/>
    </row>
    <row r="1578" spans="18:18" ht="14">
      <c r="R1578" s="119"/>
    </row>
    <row r="1579" spans="18:18" ht="14">
      <c r="R1579" s="119"/>
    </row>
    <row r="1580" spans="18:18" ht="14">
      <c r="R1580" s="119"/>
    </row>
    <row r="1581" spans="18:18" ht="14">
      <c r="R1581" s="119"/>
    </row>
    <row r="1582" spans="18:18" ht="14">
      <c r="R1582" s="119"/>
    </row>
    <row r="1583" spans="18:18" ht="14">
      <c r="R1583" s="119"/>
    </row>
    <row r="1584" spans="18:18" ht="14">
      <c r="R1584" s="119"/>
    </row>
    <row r="1585" spans="18:18" ht="14">
      <c r="R1585" s="119"/>
    </row>
    <row r="1586" spans="18:18" ht="14">
      <c r="R1586" s="119"/>
    </row>
    <row r="1587" spans="18:18" ht="14">
      <c r="R1587" s="119"/>
    </row>
    <row r="1588" spans="18:18" ht="14">
      <c r="R1588" s="119"/>
    </row>
    <row r="1589" spans="18:18" ht="14">
      <c r="R1589" s="119"/>
    </row>
    <row r="1590" spans="18:18" ht="14">
      <c r="R1590" s="119"/>
    </row>
    <row r="1591" spans="18:18" ht="14">
      <c r="R1591" s="119"/>
    </row>
    <row r="1592" spans="18:18" ht="14">
      <c r="R1592" s="119"/>
    </row>
    <row r="1593" spans="18:18" ht="14">
      <c r="R1593" s="119"/>
    </row>
    <row r="1594" spans="18:18" ht="14">
      <c r="R1594" s="119"/>
    </row>
    <row r="1595" spans="18:18" ht="14">
      <c r="R1595" s="119"/>
    </row>
    <row r="1596" spans="18:18" ht="14">
      <c r="R1596" s="119"/>
    </row>
    <row r="1597" spans="18:18" ht="14">
      <c r="R1597" s="119"/>
    </row>
    <row r="1598" spans="18:18" ht="14">
      <c r="R1598" s="119"/>
    </row>
    <row r="1599" spans="18:18" ht="14">
      <c r="R1599" s="119"/>
    </row>
    <row r="1600" spans="18:18" ht="14">
      <c r="R1600" s="119"/>
    </row>
    <row r="1601" spans="18:18" ht="14">
      <c r="R1601" s="119"/>
    </row>
    <row r="1602" spans="18:18" ht="14">
      <c r="R1602" s="119"/>
    </row>
    <row r="1603" spans="18:18" ht="14">
      <c r="R1603" s="119"/>
    </row>
    <row r="1604" spans="18:18" ht="14">
      <c r="R1604" s="119"/>
    </row>
    <row r="1605" spans="18:18" ht="14">
      <c r="R1605" s="119"/>
    </row>
    <row r="1606" spans="18:18" ht="14">
      <c r="R1606" s="119"/>
    </row>
    <row r="1607" spans="18:18" ht="14">
      <c r="R1607" s="119"/>
    </row>
    <row r="1608" spans="18:18" ht="14">
      <c r="R1608" s="119"/>
    </row>
    <row r="1609" spans="18:18" ht="14">
      <c r="R1609" s="119"/>
    </row>
    <row r="1610" spans="18:18" ht="14">
      <c r="R1610" s="119"/>
    </row>
    <row r="1611" spans="18:18" ht="14">
      <c r="R1611" s="119"/>
    </row>
    <row r="1612" spans="18:18" ht="14">
      <c r="R1612" s="119"/>
    </row>
    <row r="1613" spans="18:18" ht="14">
      <c r="R1613" s="119"/>
    </row>
    <row r="1614" spans="18:18" ht="14">
      <c r="R1614" s="119"/>
    </row>
    <row r="1615" spans="18:18" ht="14">
      <c r="R1615" s="119"/>
    </row>
    <row r="1616" spans="18:18" ht="14">
      <c r="R1616" s="119"/>
    </row>
    <row r="1617" spans="18:18" ht="14">
      <c r="R1617" s="119"/>
    </row>
    <row r="1618" spans="18:18" ht="14">
      <c r="R1618" s="119"/>
    </row>
    <row r="1619" spans="18:18" ht="14">
      <c r="R1619" s="119"/>
    </row>
    <row r="1620" spans="18:18" ht="14">
      <c r="R1620" s="119"/>
    </row>
    <row r="1621" spans="18:18" ht="14">
      <c r="R1621" s="119"/>
    </row>
    <row r="1622" spans="18:18" ht="14">
      <c r="R1622" s="119"/>
    </row>
    <row r="1623" spans="18:18" ht="14">
      <c r="R1623" s="119"/>
    </row>
    <row r="1624" spans="18:18" ht="14">
      <c r="R1624" s="119"/>
    </row>
    <row r="1625" spans="18:18" ht="14">
      <c r="R1625" s="119"/>
    </row>
    <row r="1626" spans="18:18" ht="14">
      <c r="R1626" s="119"/>
    </row>
    <row r="1627" spans="18:18" ht="14">
      <c r="R1627" s="119"/>
    </row>
    <row r="1628" spans="18:18" ht="14">
      <c r="R1628" s="119"/>
    </row>
    <row r="1629" spans="18:18" ht="14">
      <c r="R1629" s="119"/>
    </row>
    <row r="1630" spans="18:18" ht="14">
      <c r="R1630" s="119"/>
    </row>
    <row r="1631" spans="18:18" ht="14">
      <c r="R1631" s="119"/>
    </row>
    <row r="1632" spans="18:18" ht="14">
      <c r="R1632" s="119"/>
    </row>
    <row r="1633" spans="18:18" ht="14">
      <c r="R1633" s="119"/>
    </row>
    <row r="1634" spans="18:18" ht="14">
      <c r="R1634" s="119"/>
    </row>
    <row r="1635" spans="18:18" ht="14">
      <c r="R1635" s="119"/>
    </row>
    <row r="1636" spans="18:18" ht="14">
      <c r="R1636" s="119"/>
    </row>
    <row r="1637" spans="18:18" ht="14">
      <c r="R1637" s="119"/>
    </row>
    <row r="1638" spans="18:18" ht="14">
      <c r="R1638" s="119"/>
    </row>
    <row r="1639" spans="18:18" ht="14">
      <c r="R1639" s="119"/>
    </row>
    <row r="1640" spans="18:18" ht="14">
      <c r="R1640" s="119"/>
    </row>
    <row r="1641" spans="18:18" ht="14">
      <c r="R1641" s="119"/>
    </row>
    <row r="1642" spans="18:18" ht="14">
      <c r="R1642" s="119"/>
    </row>
    <row r="1643" spans="18:18" ht="14">
      <c r="R1643" s="119"/>
    </row>
    <row r="1644" spans="18:18" ht="14">
      <c r="R1644" s="119"/>
    </row>
    <row r="1645" spans="18:18" ht="14">
      <c r="R1645" s="119"/>
    </row>
    <row r="1646" spans="18:18" ht="14">
      <c r="R1646" s="119"/>
    </row>
    <row r="1647" spans="18:18" ht="14">
      <c r="R1647" s="119"/>
    </row>
    <row r="1648" spans="18:18" ht="14">
      <c r="R1648" s="119"/>
    </row>
    <row r="1649" spans="18:18" ht="14">
      <c r="R1649" s="119"/>
    </row>
    <row r="1650" spans="18:18" ht="14">
      <c r="R1650" s="119"/>
    </row>
    <row r="1651" spans="18:18" ht="14">
      <c r="R1651" s="119"/>
    </row>
    <row r="1652" spans="18:18" ht="14">
      <c r="R1652" s="119"/>
    </row>
    <row r="1653" spans="18:18" ht="14">
      <c r="R1653" s="119"/>
    </row>
    <row r="1654" spans="18:18" ht="14">
      <c r="R1654" s="119"/>
    </row>
    <row r="1655" spans="18:18" ht="14">
      <c r="R1655" s="119"/>
    </row>
    <row r="1656" spans="18:18" ht="14">
      <c r="R1656" s="119"/>
    </row>
    <row r="1657" spans="18:18" ht="14">
      <c r="R1657" s="119"/>
    </row>
    <row r="1658" spans="18:18" ht="14">
      <c r="R1658" s="119"/>
    </row>
    <row r="1659" spans="18:18" ht="14">
      <c r="R1659" s="119"/>
    </row>
    <row r="1660" spans="18:18" ht="14">
      <c r="R1660" s="119"/>
    </row>
    <row r="1661" spans="18:18" ht="14">
      <c r="R1661" s="119"/>
    </row>
    <row r="1662" spans="18:18" ht="14">
      <c r="R1662" s="119"/>
    </row>
    <row r="1663" spans="18:18" ht="14">
      <c r="R1663" s="119"/>
    </row>
    <row r="1664" spans="18:18" ht="14">
      <c r="R1664" s="119"/>
    </row>
    <row r="1665" spans="18:18" ht="14">
      <c r="R1665" s="119"/>
    </row>
    <row r="1666" spans="18:18" ht="14">
      <c r="R1666" s="119"/>
    </row>
    <row r="1667" spans="18:18" ht="14">
      <c r="R1667" s="119"/>
    </row>
    <row r="1668" spans="18:18" ht="14">
      <c r="R1668" s="119"/>
    </row>
    <row r="1669" spans="18:18" ht="14">
      <c r="R1669" s="119"/>
    </row>
    <row r="1670" spans="18:18" ht="14">
      <c r="R1670" s="119"/>
    </row>
    <row r="1671" spans="18:18" ht="14">
      <c r="R1671" s="119"/>
    </row>
    <row r="1672" spans="18:18" ht="14">
      <c r="R1672" s="119"/>
    </row>
    <row r="1673" spans="18:18" ht="14">
      <c r="R1673" s="119"/>
    </row>
    <row r="1674" spans="18:18" ht="14">
      <c r="R1674" s="119"/>
    </row>
    <row r="1675" spans="18:18" ht="14">
      <c r="R1675" s="119"/>
    </row>
    <row r="1676" spans="18:18" ht="14">
      <c r="R1676" s="119"/>
    </row>
    <row r="1677" spans="18:18" ht="14">
      <c r="R1677" s="119"/>
    </row>
    <row r="1678" spans="18:18" ht="14">
      <c r="R1678" s="119"/>
    </row>
    <row r="1679" spans="18:18" ht="14">
      <c r="R1679" s="119"/>
    </row>
    <row r="1680" spans="18:18" ht="14">
      <c r="R1680" s="119"/>
    </row>
    <row r="1681" spans="18:18" ht="14">
      <c r="R1681" s="119"/>
    </row>
    <row r="1682" spans="18:18" ht="14">
      <c r="R1682" s="119"/>
    </row>
    <row r="1683" spans="18:18" ht="14">
      <c r="R1683" s="119"/>
    </row>
    <row r="1684" spans="18:18" ht="14">
      <c r="R1684" s="119"/>
    </row>
    <row r="1685" spans="18:18" ht="14">
      <c r="R1685" s="119"/>
    </row>
    <row r="1686" spans="18:18" ht="14">
      <c r="R1686" s="119"/>
    </row>
    <row r="1687" spans="18:18" ht="14">
      <c r="R1687" s="119"/>
    </row>
    <row r="1688" spans="18:18" ht="14">
      <c r="R1688" s="119"/>
    </row>
    <row r="1689" spans="18:18" ht="14">
      <c r="R1689" s="119"/>
    </row>
    <row r="1690" spans="18:18" ht="14">
      <c r="R1690" s="119"/>
    </row>
    <row r="1691" spans="18:18" ht="14">
      <c r="R1691" s="119"/>
    </row>
    <row r="1692" spans="18:18" ht="14">
      <c r="R1692" s="119"/>
    </row>
    <row r="1693" spans="18:18" ht="14">
      <c r="R1693" s="119"/>
    </row>
    <row r="1694" spans="18:18" ht="14">
      <c r="R1694" s="119"/>
    </row>
    <row r="1695" spans="18:18" ht="14">
      <c r="R1695" s="119"/>
    </row>
    <row r="1696" spans="18:18" ht="14">
      <c r="R1696" s="119"/>
    </row>
    <row r="1697" spans="18:18" ht="14">
      <c r="R1697" s="119"/>
    </row>
    <row r="1698" spans="18:18" ht="14">
      <c r="R1698" s="119"/>
    </row>
    <row r="1699" spans="18:18" ht="14">
      <c r="R1699" s="119"/>
    </row>
    <row r="1700" spans="18:18" ht="14">
      <c r="R1700" s="119"/>
    </row>
    <row r="1701" spans="18:18" ht="14">
      <c r="R1701" s="119"/>
    </row>
    <row r="1702" spans="18:18" ht="14">
      <c r="R1702" s="119"/>
    </row>
    <row r="1703" spans="18:18" ht="14">
      <c r="R1703" s="119"/>
    </row>
    <row r="1704" spans="18:18" ht="14">
      <c r="R1704" s="119"/>
    </row>
    <row r="1705" spans="18:18" ht="14">
      <c r="R1705" s="119"/>
    </row>
    <row r="1706" spans="18:18" ht="14">
      <c r="R1706" s="119"/>
    </row>
    <row r="1707" spans="18:18" ht="14">
      <c r="R1707" s="119"/>
    </row>
    <row r="1708" spans="18:18" ht="14">
      <c r="R1708" s="119"/>
    </row>
    <row r="1709" spans="18:18" ht="14">
      <c r="R1709" s="119"/>
    </row>
    <row r="1710" spans="18:18" ht="14">
      <c r="R1710" s="119"/>
    </row>
    <row r="1711" spans="18:18" ht="14">
      <c r="R1711" s="119"/>
    </row>
    <row r="1712" spans="18:18" ht="14">
      <c r="R1712" s="119"/>
    </row>
    <row r="1713" spans="18:18" ht="14">
      <c r="R1713" s="119"/>
    </row>
    <row r="1714" spans="18:18" ht="14">
      <c r="R1714" s="119"/>
    </row>
    <row r="1715" spans="18:18" ht="14">
      <c r="R1715" s="119"/>
    </row>
    <row r="1716" spans="18:18" ht="14">
      <c r="R1716" s="119"/>
    </row>
    <row r="1717" spans="18:18" ht="14">
      <c r="R1717" s="119"/>
    </row>
    <row r="1718" spans="18:18" ht="14">
      <c r="R1718" s="119"/>
    </row>
    <row r="1719" spans="18:18" ht="14">
      <c r="R1719" s="119"/>
    </row>
    <row r="1720" spans="18:18" ht="14">
      <c r="R1720" s="119"/>
    </row>
    <row r="1721" spans="18:18" ht="14">
      <c r="R1721" s="119"/>
    </row>
    <row r="1722" spans="18:18" ht="14">
      <c r="R1722" s="119"/>
    </row>
    <row r="1723" spans="18:18" ht="14">
      <c r="R1723" s="119"/>
    </row>
    <row r="1724" spans="18:18" ht="14">
      <c r="R1724" s="119"/>
    </row>
    <row r="1725" spans="18:18" ht="14">
      <c r="R1725" s="119"/>
    </row>
    <row r="1726" spans="18:18" ht="14">
      <c r="R1726" s="119"/>
    </row>
    <row r="1727" spans="18:18" ht="14">
      <c r="R1727" s="119"/>
    </row>
    <row r="1728" spans="18:18" ht="14">
      <c r="R1728" s="119"/>
    </row>
    <row r="1729" spans="18:18" ht="14">
      <c r="R1729" s="119"/>
    </row>
    <row r="1730" spans="18:18" ht="14">
      <c r="R1730" s="119"/>
    </row>
    <row r="1731" spans="18:18" ht="14">
      <c r="R1731" s="119"/>
    </row>
    <row r="1732" spans="18:18" ht="14">
      <c r="R1732" s="119"/>
    </row>
    <row r="1733" spans="18:18" ht="14">
      <c r="R1733" s="119"/>
    </row>
    <row r="1734" spans="18:18" ht="14">
      <c r="R1734" s="119"/>
    </row>
    <row r="1735" spans="18:18" ht="14">
      <c r="R1735" s="119"/>
    </row>
    <row r="1736" spans="18:18" ht="14">
      <c r="R1736" s="119"/>
    </row>
    <row r="1737" spans="18:18" ht="14">
      <c r="R1737" s="119"/>
    </row>
    <row r="1738" spans="18:18" ht="14">
      <c r="R1738" s="119"/>
    </row>
    <row r="1739" spans="18:18" ht="14">
      <c r="R1739" s="119"/>
    </row>
    <row r="1740" spans="18:18" ht="14">
      <c r="R1740" s="119"/>
    </row>
    <row r="1741" spans="18:18" ht="14">
      <c r="R1741" s="119"/>
    </row>
    <row r="1742" spans="18:18" ht="14">
      <c r="R1742" s="119"/>
    </row>
    <row r="1743" spans="18:18" ht="14">
      <c r="R1743" s="119"/>
    </row>
    <row r="1744" spans="18:18" ht="14">
      <c r="R1744" s="119"/>
    </row>
    <row r="1745" spans="18:18" ht="14">
      <c r="R1745" s="119"/>
    </row>
    <row r="1746" spans="18:18" ht="14">
      <c r="R1746" s="119"/>
    </row>
    <row r="1747" spans="18:18" ht="14">
      <c r="R1747" s="119"/>
    </row>
    <row r="1748" spans="18:18" ht="14">
      <c r="R1748" s="119"/>
    </row>
    <row r="1749" spans="18:18" ht="14">
      <c r="R1749" s="119"/>
    </row>
    <row r="1750" spans="18:18" ht="14">
      <c r="R1750" s="119"/>
    </row>
    <row r="1751" spans="18:18" ht="14">
      <c r="R1751" s="119"/>
    </row>
    <row r="1752" spans="18:18" ht="14">
      <c r="R1752" s="119"/>
    </row>
    <row r="1753" spans="18:18" ht="14">
      <c r="R1753" s="119"/>
    </row>
    <row r="1754" spans="18:18" ht="14">
      <c r="R1754" s="119"/>
    </row>
    <row r="1755" spans="18:18" ht="14">
      <c r="R1755" s="119"/>
    </row>
    <row r="1756" spans="18:18" ht="14">
      <c r="R1756" s="119"/>
    </row>
    <row r="1757" spans="18:18" ht="14">
      <c r="R1757" s="119"/>
    </row>
    <row r="1758" spans="18:18" ht="14">
      <c r="R1758" s="119"/>
    </row>
    <row r="1759" spans="18:18" ht="14">
      <c r="R1759" s="119"/>
    </row>
    <row r="1760" spans="18:18" ht="14">
      <c r="R1760" s="119"/>
    </row>
    <row r="1761" spans="18:18" ht="14">
      <c r="R1761" s="119"/>
    </row>
    <row r="1762" spans="18:18" ht="14">
      <c r="R1762" s="119"/>
    </row>
    <row r="1763" spans="18:18" ht="14">
      <c r="R1763" s="119"/>
    </row>
    <row r="1764" spans="18:18" ht="14">
      <c r="R1764" s="119"/>
    </row>
    <row r="1765" spans="18:18" ht="14">
      <c r="R1765" s="119"/>
    </row>
    <row r="1766" spans="18:18" ht="14">
      <c r="R1766" s="119"/>
    </row>
    <row r="1767" spans="18:18" ht="14">
      <c r="R1767" s="119"/>
    </row>
    <row r="1768" spans="18:18" ht="14">
      <c r="R1768" s="119"/>
    </row>
    <row r="1769" spans="18:18" ht="14">
      <c r="R1769" s="119"/>
    </row>
    <row r="1770" spans="18:18" ht="14">
      <c r="R1770" s="119"/>
    </row>
    <row r="1771" spans="18:18" ht="14">
      <c r="R1771" s="119"/>
    </row>
    <row r="1772" spans="18:18" ht="14">
      <c r="R1772" s="119"/>
    </row>
    <row r="1773" spans="18:18" ht="14">
      <c r="R1773" s="119"/>
    </row>
    <row r="1774" spans="18:18" ht="14">
      <c r="R1774" s="119"/>
    </row>
    <row r="1775" spans="18:18" ht="14">
      <c r="R1775" s="119"/>
    </row>
    <row r="1776" spans="18:18" ht="14">
      <c r="R1776" s="119"/>
    </row>
    <row r="1777" spans="18:18" ht="14">
      <c r="R1777" s="119"/>
    </row>
    <row r="1778" spans="18:18" ht="14">
      <c r="R1778" s="119"/>
    </row>
    <row r="1779" spans="18:18" ht="14">
      <c r="R1779" s="119"/>
    </row>
    <row r="1780" spans="18:18" ht="14">
      <c r="R1780" s="119"/>
    </row>
    <row r="1781" spans="18:18" ht="14">
      <c r="R1781" s="119"/>
    </row>
    <row r="1782" spans="18:18" ht="14">
      <c r="R1782" s="119"/>
    </row>
    <row r="1783" spans="18:18" ht="14">
      <c r="R1783" s="119"/>
    </row>
    <row r="1784" spans="18:18" ht="14">
      <c r="R1784" s="119"/>
    </row>
    <row r="1785" spans="18:18" ht="14">
      <c r="R1785" s="119"/>
    </row>
    <row r="1786" spans="18:18" ht="14">
      <c r="R1786" s="119"/>
    </row>
    <row r="1787" spans="18:18" ht="14">
      <c r="R1787" s="119"/>
    </row>
    <row r="1788" spans="18:18" ht="14">
      <c r="R1788" s="119"/>
    </row>
    <row r="1789" spans="18:18" ht="14">
      <c r="R1789" s="119"/>
    </row>
    <row r="1790" spans="18:18" ht="14">
      <c r="R1790" s="119"/>
    </row>
    <row r="1791" spans="18:18" ht="14">
      <c r="R1791" s="119"/>
    </row>
    <row r="1792" spans="18:18" ht="14">
      <c r="R1792" s="119"/>
    </row>
    <row r="1793" spans="18:18" ht="14">
      <c r="R1793" s="119"/>
    </row>
    <row r="1794" spans="18:18" ht="14">
      <c r="R1794" s="119"/>
    </row>
    <row r="1795" spans="18:18" ht="14">
      <c r="R1795" s="119"/>
    </row>
    <row r="1796" spans="18:18" ht="14">
      <c r="R1796" s="119"/>
    </row>
    <row r="1797" spans="18:18" ht="14">
      <c r="R1797" s="119"/>
    </row>
    <row r="1798" spans="18:18" ht="14">
      <c r="R1798" s="119"/>
    </row>
    <row r="1799" spans="18:18" ht="14">
      <c r="R1799" s="119"/>
    </row>
    <row r="1800" spans="18:18" ht="14">
      <c r="R1800" s="119"/>
    </row>
    <row r="1801" spans="18:18" ht="14">
      <c r="R1801" s="119"/>
    </row>
    <row r="1802" spans="18:18" ht="14">
      <c r="R1802" s="119"/>
    </row>
    <row r="1803" spans="18:18" ht="14">
      <c r="R1803" s="119"/>
    </row>
    <row r="1804" spans="18:18" ht="14">
      <c r="R1804" s="119"/>
    </row>
    <row r="1805" spans="18:18" ht="14">
      <c r="R1805" s="119"/>
    </row>
    <row r="1806" spans="18:18" ht="14">
      <c r="R1806" s="119"/>
    </row>
    <row r="1807" spans="18:18" ht="14">
      <c r="R1807" s="119"/>
    </row>
    <row r="1808" spans="18:18" ht="14">
      <c r="R1808" s="119"/>
    </row>
    <row r="1809" spans="18:18" ht="14">
      <c r="R1809" s="119"/>
    </row>
    <row r="1810" spans="18:18" ht="14">
      <c r="R1810" s="119"/>
    </row>
    <row r="1811" spans="18:18" ht="14">
      <c r="R1811" s="119"/>
    </row>
    <row r="1812" spans="18:18" ht="14">
      <c r="R1812" s="119"/>
    </row>
    <row r="1813" spans="18:18" ht="14">
      <c r="R1813" s="119"/>
    </row>
    <row r="1814" spans="18:18" ht="14">
      <c r="R1814" s="119"/>
    </row>
    <row r="1815" spans="18:18" ht="14">
      <c r="R1815" s="119"/>
    </row>
    <row r="1816" spans="18:18" ht="14">
      <c r="R1816" s="119"/>
    </row>
    <row r="1817" spans="18:18" ht="14">
      <c r="R1817" s="119"/>
    </row>
    <row r="1818" spans="18:18" ht="14">
      <c r="R1818" s="119"/>
    </row>
    <row r="1819" spans="18:18" ht="14">
      <c r="R1819" s="119"/>
    </row>
    <row r="1820" spans="18:18" ht="14">
      <c r="R1820" s="119"/>
    </row>
    <row r="1821" spans="18:18" ht="14">
      <c r="R1821" s="119"/>
    </row>
    <row r="1822" spans="18:18" ht="14">
      <c r="R1822" s="119"/>
    </row>
    <row r="1823" spans="18:18" ht="14">
      <c r="R1823" s="119"/>
    </row>
    <row r="1824" spans="18:18" ht="14">
      <c r="R1824" s="119"/>
    </row>
    <row r="1825" spans="18:18" ht="14">
      <c r="R1825" s="119"/>
    </row>
    <row r="1826" spans="18:18" ht="14">
      <c r="R1826" s="119"/>
    </row>
    <row r="1827" spans="18:18" ht="14">
      <c r="R1827" s="119"/>
    </row>
    <row r="1828" spans="18:18" ht="14">
      <c r="R1828" s="119"/>
    </row>
    <row r="1829" spans="18:18" ht="14">
      <c r="R1829" s="119"/>
    </row>
    <row r="1830" spans="18:18" ht="14">
      <c r="R1830" s="119"/>
    </row>
    <row r="1831" spans="18:18" ht="14">
      <c r="R1831" s="119"/>
    </row>
    <row r="1832" spans="18:18" ht="14">
      <c r="R1832" s="119"/>
    </row>
    <row r="1833" spans="18:18" ht="14">
      <c r="R1833" s="119"/>
    </row>
    <row r="1834" spans="18:18" ht="14">
      <c r="R1834" s="119"/>
    </row>
    <row r="1835" spans="18:18" ht="14">
      <c r="R1835" s="119"/>
    </row>
    <row r="1836" spans="18:18" ht="14">
      <c r="R1836" s="119"/>
    </row>
    <row r="1837" spans="18:18" ht="14">
      <c r="R1837" s="119"/>
    </row>
    <row r="1838" spans="18:18" ht="14">
      <c r="R1838" s="119"/>
    </row>
    <row r="1839" spans="18:18" ht="14">
      <c r="R1839" s="119"/>
    </row>
    <row r="1840" spans="18:18" ht="14">
      <c r="R1840" s="119"/>
    </row>
    <row r="1841" spans="18:18" ht="14">
      <c r="R1841" s="119"/>
    </row>
    <row r="1842" spans="18:18" ht="14">
      <c r="R1842" s="119"/>
    </row>
    <row r="1843" spans="18:18" ht="14">
      <c r="R1843" s="119"/>
    </row>
    <row r="1844" spans="18:18" ht="14">
      <c r="R1844" s="119"/>
    </row>
    <row r="1845" spans="18:18" ht="14">
      <c r="R1845" s="119"/>
    </row>
    <row r="1846" spans="18:18" ht="14">
      <c r="R1846" s="119"/>
    </row>
    <row r="1847" spans="18:18" ht="14">
      <c r="R1847" s="119"/>
    </row>
    <row r="1848" spans="18:18" ht="14">
      <c r="R1848" s="119"/>
    </row>
    <row r="1849" spans="18:18" ht="14">
      <c r="R1849" s="119"/>
    </row>
    <row r="1850" spans="18:18" ht="14">
      <c r="R1850" s="119"/>
    </row>
    <row r="1851" spans="18:18" ht="14">
      <c r="R1851" s="119"/>
    </row>
    <row r="1852" spans="18:18" ht="14">
      <c r="R1852" s="119"/>
    </row>
    <row r="1853" spans="18:18" ht="14">
      <c r="R1853" s="119"/>
    </row>
    <row r="1854" spans="18:18" ht="14">
      <c r="R1854" s="119"/>
    </row>
    <row r="1855" spans="18:18" ht="14">
      <c r="R1855" s="119"/>
    </row>
    <row r="1856" spans="18:18" ht="14">
      <c r="R1856" s="119"/>
    </row>
    <row r="1857" spans="18:18" ht="14">
      <c r="R1857" s="119"/>
    </row>
    <row r="1858" spans="18:18" ht="14">
      <c r="R1858" s="119"/>
    </row>
    <row r="1859" spans="18:18" ht="14">
      <c r="R1859" s="119"/>
    </row>
    <row r="1860" spans="18:18" ht="14">
      <c r="R1860" s="119"/>
    </row>
    <row r="1861" spans="18:18" ht="14">
      <c r="R1861" s="119"/>
    </row>
    <row r="1862" spans="18:18" ht="14">
      <c r="R1862" s="119"/>
    </row>
    <row r="1863" spans="18:18" ht="14">
      <c r="R1863" s="119"/>
    </row>
    <row r="1864" spans="18:18" ht="14">
      <c r="R1864" s="119"/>
    </row>
    <row r="1865" spans="18:18" ht="14">
      <c r="R1865" s="119"/>
    </row>
    <row r="1866" spans="18:18" ht="14">
      <c r="R1866" s="119"/>
    </row>
    <row r="1867" spans="18:18" ht="14">
      <c r="R1867" s="119"/>
    </row>
    <row r="1868" spans="18:18" ht="14">
      <c r="R1868" s="119"/>
    </row>
    <row r="1869" spans="18:18" ht="14">
      <c r="R1869" s="119"/>
    </row>
    <row r="1870" spans="18:18" ht="14">
      <c r="R1870" s="119"/>
    </row>
    <row r="1871" spans="18:18" ht="14">
      <c r="R1871" s="119"/>
    </row>
    <row r="1872" spans="18:18" ht="14">
      <c r="R1872" s="119"/>
    </row>
    <row r="1873" spans="18:18" ht="14">
      <c r="R1873" s="119"/>
    </row>
    <row r="1874" spans="18:18" ht="14">
      <c r="R1874" s="119"/>
    </row>
    <row r="1875" spans="18:18" ht="14">
      <c r="R1875" s="119"/>
    </row>
    <row r="1876" spans="18:18" ht="14">
      <c r="R1876" s="119"/>
    </row>
    <row r="1877" spans="18:18" ht="14">
      <c r="R1877" s="119"/>
    </row>
    <row r="1878" spans="18:18" ht="14">
      <c r="R1878" s="119"/>
    </row>
    <row r="1879" spans="18:18" ht="14">
      <c r="R1879" s="119"/>
    </row>
    <row r="1880" spans="18:18" ht="14">
      <c r="R1880" s="119"/>
    </row>
    <row r="1881" spans="18:18" ht="14">
      <c r="R1881" s="119"/>
    </row>
    <row r="1882" spans="18:18" ht="14">
      <c r="R1882" s="119"/>
    </row>
    <row r="1883" spans="18:18" ht="14">
      <c r="R1883" s="119"/>
    </row>
    <row r="1884" spans="18:18" ht="14">
      <c r="R1884" s="119"/>
    </row>
    <row r="1885" spans="18:18" ht="14">
      <c r="R1885" s="119"/>
    </row>
    <row r="1886" spans="18:18" ht="14">
      <c r="R1886" s="119"/>
    </row>
    <row r="1887" spans="18:18" ht="14">
      <c r="R1887" s="119"/>
    </row>
    <row r="1888" spans="18:18" ht="14">
      <c r="R1888" s="119"/>
    </row>
    <row r="1889" spans="18:18" ht="14">
      <c r="R1889" s="119"/>
    </row>
    <row r="1890" spans="18:18" ht="14">
      <c r="R1890" s="119"/>
    </row>
    <row r="1891" spans="18:18" ht="14">
      <c r="R1891" s="119"/>
    </row>
    <row r="1892" spans="18:18" ht="14">
      <c r="R1892" s="119"/>
    </row>
    <row r="1893" spans="18:18" ht="14">
      <c r="R1893" s="119"/>
    </row>
    <row r="1894" spans="18:18" ht="14">
      <c r="R1894" s="119"/>
    </row>
    <row r="1895" spans="18:18" ht="14">
      <c r="R1895" s="119"/>
    </row>
    <row r="1896" spans="18:18" ht="14">
      <c r="R1896" s="119"/>
    </row>
    <row r="1897" spans="18:18" ht="14">
      <c r="R1897" s="119"/>
    </row>
    <row r="1898" spans="18:18" ht="14">
      <c r="R1898" s="119"/>
    </row>
    <row r="1899" spans="18:18" ht="14">
      <c r="R1899" s="119"/>
    </row>
    <row r="1900" spans="18:18" ht="14">
      <c r="R1900" s="119"/>
    </row>
    <row r="1901" spans="18:18" ht="14">
      <c r="R1901" s="119"/>
    </row>
    <row r="1902" spans="18:18" ht="14">
      <c r="R1902" s="119"/>
    </row>
    <row r="1903" spans="18:18" ht="14">
      <c r="R1903" s="119"/>
    </row>
    <row r="1904" spans="18:18" ht="14">
      <c r="R1904" s="119"/>
    </row>
    <row r="1905" spans="18:18" ht="14">
      <c r="R1905" s="119"/>
    </row>
    <row r="1906" spans="18:18" ht="14">
      <c r="R1906" s="119"/>
    </row>
    <row r="1907" spans="18:18" ht="14">
      <c r="R1907" s="119"/>
    </row>
    <row r="1908" spans="18:18" ht="14">
      <c r="R1908" s="119"/>
    </row>
    <row r="1909" spans="18:18" ht="14">
      <c r="R1909" s="119"/>
    </row>
    <row r="1910" spans="18:18" ht="14">
      <c r="R1910" s="119"/>
    </row>
    <row r="1911" spans="18:18" ht="14">
      <c r="R1911" s="119"/>
    </row>
    <row r="1912" spans="18:18" ht="14">
      <c r="R1912" s="119"/>
    </row>
    <row r="1913" spans="18:18" ht="14">
      <c r="R1913" s="119"/>
    </row>
    <row r="1914" spans="18:18" ht="14">
      <c r="R1914" s="119"/>
    </row>
    <row r="1915" spans="18:18" ht="14">
      <c r="R1915" s="119"/>
    </row>
    <row r="1916" spans="18:18" ht="14">
      <c r="R1916" s="119"/>
    </row>
    <row r="1917" spans="18:18" ht="14">
      <c r="R1917" s="119"/>
    </row>
    <row r="1918" spans="18:18" ht="14">
      <c r="R1918" s="119"/>
    </row>
    <row r="1919" spans="18:18" ht="14">
      <c r="R1919" s="119"/>
    </row>
    <row r="1920" spans="18:18" ht="14">
      <c r="R1920" s="119"/>
    </row>
    <row r="1921" spans="18:18" ht="14">
      <c r="R1921" s="119"/>
    </row>
    <row r="1922" spans="18:18" ht="14">
      <c r="R1922" s="119"/>
    </row>
    <row r="1923" spans="18:18" ht="14">
      <c r="R1923" s="119"/>
    </row>
    <row r="1924" spans="18:18" ht="14">
      <c r="R1924" s="119"/>
    </row>
    <row r="1925" spans="18:18" ht="14">
      <c r="R1925" s="119"/>
    </row>
    <row r="1926" spans="18:18" ht="14">
      <c r="R1926" s="119"/>
    </row>
    <row r="1927" spans="18:18" ht="14">
      <c r="R1927" s="119"/>
    </row>
    <row r="1928" spans="18:18" ht="14">
      <c r="R1928" s="119"/>
    </row>
    <row r="1929" spans="18:18" ht="14">
      <c r="R1929" s="119"/>
    </row>
    <row r="1930" spans="18:18" ht="14">
      <c r="R1930" s="119"/>
    </row>
    <row r="1931" spans="18:18" ht="14">
      <c r="R1931" s="119"/>
    </row>
    <row r="1932" spans="18:18" ht="14">
      <c r="R1932" s="119"/>
    </row>
    <row r="1933" spans="18:18" ht="14">
      <c r="R1933" s="119"/>
    </row>
    <row r="1934" spans="18:18" ht="14">
      <c r="R1934" s="119"/>
    </row>
    <row r="1935" spans="18:18" ht="14">
      <c r="R1935" s="119"/>
    </row>
    <row r="1936" spans="18:18" ht="14">
      <c r="R1936" s="119"/>
    </row>
    <row r="1937" spans="18:18" ht="14">
      <c r="R1937" s="119"/>
    </row>
    <row r="1938" spans="18:18" ht="14">
      <c r="R1938" s="119"/>
    </row>
    <row r="1939" spans="18:18" ht="14">
      <c r="R1939" s="119"/>
    </row>
    <row r="1940" spans="18:18" ht="14">
      <c r="R1940" s="119"/>
    </row>
    <row r="1941" spans="18:18" ht="14">
      <c r="R1941" s="119"/>
    </row>
    <row r="1942" spans="18:18" ht="14">
      <c r="R1942" s="119"/>
    </row>
    <row r="1943" spans="18:18" ht="14">
      <c r="R1943" s="119"/>
    </row>
    <row r="1944" spans="18:18" ht="14">
      <c r="R1944" s="119"/>
    </row>
    <row r="1945" spans="18:18" ht="14">
      <c r="R1945" s="119"/>
    </row>
    <row r="1946" spans="18:18" ht="14">
      <c r="R1946" s="119"/>
    </row>
    <row r="1947" spans="18:18" ht="14">
      <c r="R1947" s="119"/>
    </row>
    <row r="1948" spans="18:18" ht="14">
      <c r="R1948" s="119"/>
    </row>
    <row r="1949" spans="18:18" ht="14">
      <c r="R1949" s="119"/>
    </row>
    <row r="1950" spans="18:18" ht="14">
      <c r="R1950" s="119"/>
    </row>
    <row r="1951" spans="18:18" ht="14">
      <c r="R1951" s="119"/>
    </row>
    <row r="1952" spans="18:18" ht="14">
      <c r="R1952" s="119"/>
    </row>
    <row r="1953" spans="18:18" ht="14">
      <c r="R1953" s="119"/>
    </row>
    <row r="1954" spans="18:18" ht="14">
      <c r="R1954" s="119"/>
    </row>
    <row r="1955" spans="18:18" ht="14">
      <c r="R1955" s="119"/>
    </row>
    <row r="1956" spans="18:18" ht="14">
      <c r="R1956" s="119"/>
    </row>
    <row r="1957" spans="18:18" ht="14">
      <c r="R1957" s="119"/>
    </row>
    <row r="1958" spans="18:18" ht="14">
      <c r="R1958" s="119"/>
    </row>
    <row r="1959" spans="18:18" ht="14">
      <c r="R1959" s="119"/>
    </row>
    <row r="1960" spans="18:18" ht="14">
      <c r="R1960" s="119"/>
    </row>
    <row r="1961" spans="18:18" ht="14">
      <c r="R1961" s="119"/>
    </row>
    <row r="1962" spans="18:18" ht="14">
      <c r="R1962" s="119"/>
    </row>
    <row r="1963" spans="18:18" ht="14">
      <c r="R1963" s="119"/>
    </row>
    <row r="1964" spans="18:18" ht="14">
      <c r="R1964" s="119"/>
    </row>
    <row r="1965" spans="18:18" ht="14">
      <c r="R1965" s="119"/>
    </row>
    <row r="1966" spans="18:18" ht="14">
      <c r="R1966" s="119"/>
    </row>
    <row r="1967" spans="18:18" ht="14">
      <c r="R1967" s="119"/>
    </row>
    <row r="1968" spans="18:18" ht="14">
      <c r="R1968" s="119"/>
    </row>
    <row r="1969" spans="18:18" ht="14">
      <c r="R1969" s="119"/>
    </row>
    <row r="1970" spans="18:18" ht="14">
      <c r="R1970" s="119"/>
    </row>
    <row r="1971" spans="18:18" ht="14">
      <c r="R1971" s="119"/>
    </row>
    <row r="1972" spans="18:18" ht="14">
      <c r="R1972" s="119"/>
    </row>
    <row r="1973" spans="18:18" ht="14">
      <c r="R1973" s="119"/>
    </row>
    <row r="1974" spans="18:18" ht="14">
      <c r="R1974" s="119"/>
    </row>
    <row r="1975" spans="18:18" ht="14">
      <c r="R1975" s="119"/>
    </row>
    <row r="1976" spans="18:18" ht="14">
      <c r="R1976" s="119"/>
    </row>
    <row r="1977" spans="18:18" ht="14">
      <c r="R1977" s="119"/>
    </row>
    <row r="1978" spans="18:18" ht="14">
      <c r="R1978" s="119"/>
    </row>
    <row r="1979" spans="18:18" ht="14">
      <c r="R1979" s="119"/>
    </row>
    <row r="1980" spans="18:18" ht="14">
      <c r="R1980" s="119"/>
    </row>
    <row r="1981" spans="18:18" ht="14">
      <c r="R1981" s="119"/>
    </row>
    <row r="1982" spans="18:18" ht="14">
      <c r="R1982" s="119"/>
    </row>
    <row r="1983" spans="18:18" ht="14">
      <c r="R1983" s="119"/>
    </row>
    <row r="1984" spans="18:18" ht="14">
      <c r="R1984" s="119"/>
    </row>
    <row r="1985" spans="18:18" ht="14">
      <c r="R1985" s="119"/>
    </row>
    <row r="1986" spans="18:18" ht="14">
      <c r="R1986" s="119"/>
    </row>
    <row r="1987" spans="18:18" ht="14">
      <c r="R1987" s="119"/>
    </row>
    <row r="1988" spans="18:18" ht="14">
      <c r="R1988" s="119"/>
    </row>
    <row r="1989" spans="18:18" ht="14">
      <c r="R1989" s="119"/>
    </row>
    <row r="1990" spans="18:18" ht="14">
      <c r="R1990" s="119"/>
    </row>
    <row r="1991" spans="18:18" ht="14">
      <c r="R1991" s="119"/>
    </row>
    <row r="1992" spans="18:18" ht="14">
      <c r="R1992" s="119"/>
    </row>
    <row r="1993" spans="18:18" ht="14">
      <c r="R1993" s="119"/>
    </row>
    <row r="1994" spans="18:18" ht="14">
      <c r="R1994" s="119"/>
    </row>
    <row r="1995" spans="18:18" ht="14">
      <c r="R1995" s="119"/>
    </row>
    <row r="1996" spans="18:18" ht="14">
      <c r="R1996" s="119"/>
    </row>
    <row r="1997" spans="18:18" ht="14">
      <c r="R1997" s="119"/>
    </row>
    <row r="1998" spans="18:18" ht="14">
      <c r="R1998" s="119"/>
    </row>
    <row r="1999" spans="18:18" ht="14">
      <c r="R1999" s="119"/>
    </row>
    <row r="2000" spans="18:18" ht="14">
      <c r="R2000" s="119"/>
    </row>
    <row r="2001" spans="18:18" ht="14">
      <c r="R2001" s="119"/>
    </row>
    <row r="2002" spans="18:18" ht="14">
      <c r="R2002" s="119"/>
    </row>
    <row r="2003" spans="18:18" ht="14">
      <c r="R2003" s="119"/>
    </row>
    <row r="2004" spans="18:18" ht="14">
      <c r="R2004" s="119"/>
    </row>
    <row r="2005" spans="18:18" ht="14">
      <c r="R2005" s="119"/>
    </row>
    <row r="2006" spans="18:18" ht="14">
      <c r="R2006" s="119"/>
    </row>
    <row r="2007" spans="18:18" ht="14">
      <c r="R2007" s="119"/>
    </row>
    <row r="2008" spans="18:18" ht="14">
      <c r="R2008" s="119"/>
    </row>
    <row r="2009" spans="18:18" ht="14">
      <c r="R2009" s="119"/>
    </row>
    <row r="2010" spans="18:18" ht="14">
      <c r="R2010" s="119"/>
    </row>
    <row r="2011" spans="18:18" ht="14">
      <c r="R2011" s="119"/>
    </row>
    <row r="2012" spans="18:18" ht="14">
      <c r="R2012" s="119"/>
    </row>
    <row r="2013" spans="18:18" ht="14">
      <c r="R2013" s="119"/>
    </row>
    <row r="2014" spans="18:18" ht="14">
      <c r="R2014" s="119"/>
    </row>
    <row r="2015" spans="18:18" ht="14">
      <c r="R2015" s="119"/>
    </row>
    <row r="2016" spans="18:18" ht="14">
      <c r="R2016" s="119"/>
    </row>
    <row r="2017" spans="18:18" ht="14">
      <c r="R2017" s="119"/>
    </row>
    <row r="2018" spans="18:18" ht="14">
      <c r="R2018" s="119"/>
    </row>
    <row r="2019" spans="18:18" ht="14">
      <c r="R2019" s="119"/>
    </row>
    <row r="2020" spans="18:18" ht="14">
      <c r="R2020" s="119"/>
    </row>
    <row r="2021" spans="18:18" ht="14">
      <c r="R2021" s="119"/>
    </row>
    <row r="2022" spans="18:18" ht="14">
      <c r="R2022" s="119"/>
    </row>
    <row r="2023" spans="18:18" ht="14">
      <c r="R2023" s="119"/>
    </row>
    <row r="2024" spans="18:18" ht="14">
      <c r="R2024" s="119"/>
    </row>
    <row r="2025" spans="18:18" ht="14">
      <c r="R2025" s="119"/>
    </row>
    <row r="2026" spans="18:18" ht="14">
      <c r="R2026" s="119"/>
    </row>
    <row r="2027" spans="18:18" ht="14">
      <c r="R2027" s="119"/>
    </row>
    <row r="2028" spans="18:18" ht="14">
      <c r="R2028" s="119"/>
    </row>
    <row r="2029" spans="18:18" ht="14">
      <c r="R2029" s="119"/>
    </row>
    <row r="2030" spans="18:18" ht="14">
      <c r="R2030" s="119"/>
    </row>
    <row r="2031" spans="18:18" ht="14">
      <c r="R2031" s="119"/>
    </row>
    <row r="2032" spans="18:18" ht="14">
      <c r="R2032" s="119"/>
    </row>
    <row r="2033" spans="18:18" ht="14">
      <c r="R2033" s="119"/>
    </row>
    <row r="2034" spans="18:18" ht="14">
      <c r="R2034" s="119"/>
    </row>
    <row r="2035" spans="18:18" ht="14">
      <c r="R2035" s="119"/>
    </row>
    <row r="2036" spans="18:18" ht="14">
      <c r="R2036" s="119"/>
    </row>
    <row r="2037" spans="18:18" ht="14">
      <c r="R2037" s="119"/>
    </row>
    <row r="2038" spans="18:18" ht="14">
      <c r="R2038" s="119"/>
    </row>
    <row r="2039" spans="18:18" ht="14">
      <c r="R2039" s="119"/>
    </row>
    <row r="2040" spans="18:18" ht="14">
      <c r="R2040" s="119"/>
    </row>
    <row r="2041" spans="18:18" ht="14">
      <c r="R2041" s="119"/>
    </row>
    <row r="2042" spans="18:18" ht="14">
      <c r="R2042" s="119"/>
    </row>
    <row r="2043" spans="18:18" ht="14">
      <c r="R2043" s="119"/>
    </row>
    <row r="2044" spans="18:18" ht="14">
      <c r="R2044" s="119"/>
    </row>
    <row r="2045" spans="18:18" ht="14">
      <c r="R2045" s="119"/>
    </row>
    <row r="2046" spans="18:18" ht="14">
      <c r="R2046" s="119"/>
    </row>
    <row r="2047" spans="18:18" ht="14">
      <c r="R2047" s="119"/>
    </row>
    <row r="2048" spans="18:18" ht="14">
      <c r="R2048" s="119"/>
    </row>
    <row r="2049" spans="18:18" ht="14">
      <c r="R2049" s="119"/>
    </row>
    <row r="2050" spans="18:18" ht="14">
      <c r="R2050" s="119"/>
    </row>
    <row r="2051" spans="18:18" ht="14">
      <c r="R2051" s="119"/>
    </row>
    <row r="2052" spans="18:18" ht="14">
      <c r="R2052" s="119"/>
    </row>
    <row r="2053" spans="18:18" ht="14">
      <c r="R2053" s="119"/>
    </row>
    <row r="2054" spans="18:18" ht="14">
      <c r="R2054" s="119"/>
    </row>
    <row r="2055" spans="18:18" ht="14">
      <c r="R2055" s="119"/>
    </row>
    <row r="2056" spans="18:18" ht="14">
      <c r="R2056" s="119"/>
    </row>
    <row r="2057" spans="18:18" ht="14">
      <c r="R2057" s="119"/>
    </row>
    <row r="2058" spans="18:18" ht="14">
      <c r="R2058" s="119"/>
    </row>
    <row r="2059" spans="18:18" ht="14">
      <c r="R2059" s="119"/>
    </row>
    <row r="2060" spans="18:18" ht="14">
      <c r="R2060" s="119"/>
    </row>
    <row r="2061" spans="18:18" ht="14">
      <c r="R2061" s="119"/>
    </row>
    <row r="2062" spans="18:18" ht="14">
      <c r="R2062" s="119"/>
    </row>
    <row r="2063" spans="18:18" ht="14">
      <c r="R2063" s="119"/>
    </row>
    <row r="2064" spans="18:18" ht="14">
      <c r="R2064" s="119"/>
    </row>
    <row r="2065" spans="18:18" ht="14">
      <c r="R2065" s="119"/>
    </row>
    <row r="2066" spans="18:18" ht="14">
      <c r="R2066" s="119"/>
    </row>
    <row r="2067" spans="18:18" ht="14">
      <c r="R2067" s="119"/>
    </row>
    <row r="2068" spans="18:18" ht="14">
      <c r="R2068" s="119"/>
    </row>
    <row r="2069" spans="18:18" ht="14">
      <c r="R2069" s="119"/>
    </row>
    <row r="2070" spans="18:18" ht="14">
      <c r="R2070" s="119"/>
    </row>
    <row r="2071" spans="18:18" ht="14">
      <c r="R2071" s="119"/>
    </row>
    <row r="2072" spans="18:18" ht="14">
      <c r="R2072" s="119"/>
    </row>
    <row r="2073" spans="18:18" ht="14">
      <c r="R2073" s="119"/>
    </row>
    <row r="2074" spans="18:18" ht="14">
      <c r="R2074" s="119"/>
    </row>
    <row r="2075" spans="18:18" ht="14">
      <c r="R2075" s="119"/>
    </row>
    <row r="2076" spans="18:18" ht="14">
      <c r="R2076" s="119"/>
    </row>
    <row r="2077" spans="18:18" ht="14">
      <c r="R2077" s="119"/>
    </row>
    <row r="2078" spans="18:18" ht="14">
      <c r="R2078" s="119"/>
    </row>
    <row r="2079" spans="18:18" ht="14">
      <c r="R2079" s="119"/>
    </row>
    <row r="2080" spans="18:18" ht="14">
      <c r="R2080" s="119"/>
    </row>
    <row r="2081" spans="18:18" ht="14">
      <c r="R2081" s="119"/>
    </row>
    <row r="2082" spans="18:18" ht="14">
      <c r="R2082" s="119"/>
    </row>
    <row r="2083" spans="18:18" ht="14">
      <c r="R2083" s="119"/>
    </row>
    <row r="2084" spans="18:18" ht="14">
      <c r="R2084" s="119"/>
    </row>
    <row r="2085" spans="18:18" ht="14">
      <c r="R2085" s="119"/>
    </row>
    <row r="2086" spans="18:18" ht="14">
      <c r="R2086" s="119"/>
    </row>
    <row r="2087" spans="18:18" ht="14">
      <c r="R2087" s="119"/>
    </row>
    <row r="2088" spans="18:18" ht="14">
      <c r="R2088" s="119"/>
    </row>
    <row r="2089" spans="18:18" ht="14">
      <c r="R2089" s="119"/>
    </row>
    <row r="2090" spans="18:18" ht="14">
      <c r="R2090" s="119"/>
    </row>
    <row r="2091" spans="18:18" ht="14">
      <c r="R2091" s="119"/>
    </row>
    <row r="2092" spans="18:18" ht="14">
      <c r="R2092" s="119"/>
    </row>
    <row r="2093" spans="18:18" ht="14">
      <c r="R2093" s="119"/>
    </row>
    <row r="2094" spans="18:18" ht="14">
      <c r="R2094" s="119"/>
    </row>
    <row r="2095" spans="18:18" ht="14">
      <c r="R2095" s="119"/>
    </row>
    <row r="2096" spans="18:18" ht="14">
      <c r="R2096" s="119"/>
    </row>
    <row r="2097" spans="18:18" ht="14">
      <c r="R2097" s="119"/>
    </row>
    <row r="2098" spans="18:18" ht="14">
      <c r="R2098" s="119"/>
    </row>
    <row r="2099" spans="18:18" ht="14">
      <c r="R2099" s="119"/>
    </row>
    <row r="2100" spans="18:18" ht="14">
      <c r="R2100" s="119"/>
    </row>
    <row r="2101" spans="18:18" ht="14">
      <c r="R2101" s="119"/>
    </row>
    <row r="2102" spans="18:18" ht="14">
      <c r="R2102" s="119"/>
    </row>
    <row r="2103" spans="18:18" ht="14">
      <c r="R2103" s="119"/>
    </row>
    <row r="2104" spans="18:18" ht="14">
      <c r="R2104" s="119"/>
    </row>
    <row r="2105" spans="18:18" ht="14">
      <c r="R2105" s="119"/>
    </row>
    <row r="2106" spans="18:18" ht="14">
      <c r="R2106" s="119"/>
    </row>
    <row r="2107" spans="18:18" ht="14">
      <c r="R2107" s="119"/>
    </row>
    <row r="2108" spans="18:18" ht="14">
      <c r="R2108" s="119"/>
    </row>
    <row r="2109" spans="18:18" ht="14">
      <c r="R2109" s="119"/>
    </row>
    <row r="2110" spans="18:18" ht="14">
      <c r="R2110" s="119"/>
    </row>
    <row r="2111" spans="18:18" ht="14">
      <c r="R2111" s="119"/>
    </row>
    <row r="2112" spans="18:18" ht="14">
      <c r="R2112" s="119"/>
    </row>
    <row r="2113" spans="18:18" ht="14">
      <c r="R2113" s="119"/>
    </row>
    <row r="2114" spans="18:18" ht="14">
      <c r="R2114" s="119"/>
    </row>
    <row r="2115" spans="18:18" ht="14">
      <c r="R2115" s="119"/>
    </row>
    <row r="2116" spans="18:18" ht="14">
      <c r="R2116" s="119"/>
    </row>
    <row r="2117" spans="18:18" ht="14">
      <c r="R2117" s="119"/>
    </row>
    <row r="2118" spans="18:18" ht="14">
      <c r="R2118" s="119"/>
    </row>
    <row r="2119" spans="18:18" ht="14">
      <c r="R2119" s="119"/>
    </row>
    <row r="2120" spans="18:18" ht="14">
      <c r="R2120" s="119"/>
    </row>
    <row r="2121" spans="18:18" ht="14">
      <c r="R2121" s="119"/>
    </row>
    <row r="2122" spans="18:18" ht="14">
      <c r="R2122" s="119"/>
    </row>
    <row r="2123" spans="18:18" ht="14">
      <c r="R2123" s="119"/>
    </row>
    <row r="2124" spans="18:18" ht="14">
      <c r="R2124" s="119"/>
    </row>
    <row r="2125" spans="18:18" ht="14">
      <c r="R2125" s="119"/>
    </row>
    <row r="2126" spans="18:18" ht="14">
      <c r="R2126" s="119"/>
    </row>
    <row r="2127" spans="18:18" ht="14">
      <c r="R2127" s="119"/>
    </row>
    <row r="2128" spans="18:18" ht="14">
      <c r="R2128" s="119"/>
    </row>
    <row r="2129" spans="18:18" ht="14">
      <c r="R2129" s="119"/>
    </row>
    <row r="2130" spans="18:18" ht="14">
      <c r="R2130" s="119"/>
    </row>
    <row r="2131" spans="18:18" ht="14">
      <c r="R2131" s="119"/>
    </row>
    <row r="2132" spans="18:18" ht="14">
      <c r="R2132" s="119"/>
    </row>
    <row r="2133" spans="18:18" ht="14">
      <c r="R2133" s="119"/>
    </row>
    <row r="2134" spans="18:18" ht="14">
      <c r="R2134" s="119"/>
    </row>
    <row r="2135" spans="18:18" ht="14">
      <c r="R2135" s="119"/>
    </row>
    <row r="2136" spans="18:18" ht="14">
      <c r="R2136" s="119"/>
    </row>
    <row r="2137" spans="18:18" ht="14">
      <c r="R2137" s="119"/>
    </row>
    <row r="2138" spans="18:18" ht="14">
      <c r="R2138" s="119"/>
    </row>
    <row r="2139" spans="18:18" ht="14">
      <c r="R2139" s="119"/>
    </row>
    <row r="2140" spans="18:18" ht="14">
      <c r="R2140" s="119"/>
    </row>
    <row r="2141" spans="18:18" ht="14">
      <c r="R2141" s="119"/>
    </row>
    <row r="2142" spans="18:18" ht="14">
      <c r="R2142" s="119"/>
    </row>
    <row r="2143" spans="18:18" ht="14">
      <c r="R2143" s="119"/>
    </row>
    <row r="2144" spans="18:18" ht="14">
      <c r="R2144" s="119"/>
    </row>
    <row r="2145" spans="18:18" ht="14">
      <c r="R2145" s="119"/>
    </row>
    <row r="2146" spans="18:18" ht="14">
      <c r="R2146" s="119"/>
    </row>
    <row r="2147" spans="18:18" ht="14">
      <c r="R2147" s="119"/>
    </row>
    <row r="2148" spans="18:18" ht="14">
      <c r="R2148" s="119"/>
    </row>
    <row r="2149" spans="18:18" ht="14">
      <c r="R2149" s="119"/>
    </row>
    <row r="2150" spans="18:18" ht="14">
      <c r="R2150" s="119"/>
    </row>
    <row r="2151" spans="18:18" ht="14">
      <c r="R2151" s="119"/>
    </row>
    <row r="2152" spans="18:18" ht="14">
      <c r="R2152" s="119"/>
    </row>
    <row r="2153" spans="18:18" ht="14">
      <c r="R2153" s="119"/>
    </row>
    <row r="2154" spans="18:18" ht="14">
      <c r="R2154" s="119"/>
    </row>
    <row r="2155" spans="18:18" ht="14">
      <c r="R2155" s="119"/>
    </row>
    <row r="2156" spans="18:18" ht="14">
      <c r="R2156" s="119"/>
    </row>
    <row r="2157" spans="18:18" ht="14">
      <c r="R2157" s="119"/>
    </row>
    <row r="2158" spans="18:18" ht="14">
      <c r="R2158" s="119"/>
    </row>
    <row r="2159" spans="18:18" ht="14">
      <c r="R2159" s="119"/>
    </row>
    <row r="2160" spans="18:18" ht="14">
      <c r="R2160" s="119"/>
    </row>
    <row r="2161" spans="18:18" ht="14">
      <c r="R2161" s="119"/>
    </row>
    <row r="2162" spans="18:18" ht="14">
      <c r="R2162" s="119"/>
    </row>
    <row r="2163" spans="18:18" ht="14">
      <c r="R2163" s="119"/>
    </row>
    <row r="2164" spans="18:18" ht="14">
      <c r="R2164" s="119"/>
    </row>
    <row r="2165" spans="18:18" ht="14">
      <c r="R2165" s="119"/>
    </row>
    <row r="2166" spans="18:18" ht="14">
      <c r="R2166" s="119"/>
    </row>
    <row r="2167" spans="18:18" ht="14">
      <c r="R2167" s="119"/>
    </row>
    <row r="2168" spans="18:18" ht="14">
      <c r="R2168" s="119"/>
    </row>
    <row r="2169" spans="18:18" ht="14">
      <c r="R2169" s="119"/>
    </row>
    <row r="2170" spans="18:18" ht="14">
      <c r="R2170" s="119"/>
    </row>
    <row r="2171" spans="18:18" ht="14">
      <c r="R2171" s="119"/>
    </row>
    <row r="2172" spans="18:18" ht="14">
      <c r="R2172" s="119"/>
    </row>
    <row r="2173" spans="18:18" ht="14">
      <c r="R2173" s="119"/>
    </row>
    <row r="2174" spans="18:18" ht="14">
      <c r="R2174" s="119"/>
    </row>
    <row r="2175" spans="18:18" ht="14">
      <c r="R2175" s="119"/>
    </row>
    <row r="2176" spans="18:18" ht="14">
      <c r="R2176" s="119"/>
    </row>
    <row r="2177" spans="18:18" ht="14">
      <c r="R2177" s="119"/>
    </row>
    <row r="2178" spans="18:18" ht="14">
      <c r="R2178" s="119"/>
    </row>
    <row r="2179" spans="18:18" ht="14">
      <c r="R2179" s="119"/>
    </row>
    <row r="2180" spans="18:18" ht="14">
      <c r="R2180" s="119"/>
    </row>
    <row r="2181" spans="18:18" ht="14">
      <c r="R2181" s="119"/>
    </row>
    <row r="2182" spans="18:18" ht="14">
      <c r="R2182" s="119"/>
    </row>
    <row r="2183" spans="18:18" ht="14">
      <c r="R2183" s="119"/>
    </row>
    <row r="2184" spans="18:18" ht="14">
      <c r="R2184" s="119"/>
    </row>
    <row r="2185" spans="18:18" ht="14">
      <c r="R2185" s="119"/>
    </row>
    <row r="2186" spans="18:18" ht="14">
      <c r="R2186" s="119"/>
    </row>
    <row r="2187" spans="18:18" ht="14">
      <c r="R2187" s="119"/>
    </row>
    <row r="2188" spans="18:18" ht="14">
      <c r="R2188" s="119"/>
    </row>
    <row r="2189" spans="18:18" ht="14">
      <c r="R2189" s="119"/>
    </row>
    <row r="2190" spans="18:18" ht="14">
      <c r="R2190" s="119"/>
    </row>
    <row r="2191" spans="18:18" ht="14">
      <c r="R2191" s="119"/>
    </row>
    <row r="2192" spans="18:18" ht="14">
      <c r="R2192" s="119"/>
    </row>
    <row r="2193" spans="18:18" ht="14">
      <c r="R2193" s="119"/>
    </row>
    <row r="2194" spans="18:18" ht="14">
      <c r="R2194" s="119"/>
    </row>
    <row r="2195" spans="18:18" ht="14">
      <c r="R2195" s="119"/>
    </row>
    <row r="2196" spans="18:18" ht="14">
      <c r="R2196" s="119"/>
    </row>
    <row r="2197" spans="18:18" ht="14">
      <c r="R2197" s="119"/>
    </row>
    <row r="2198" spans="18:18" ht="14">
      <c r="R2198" s="119"/>
    </row>
    <row r="2199" spans="18:18" ht="14">
      <c r="R2199" s="119"/>
    </row>
    <row r="2200" spans="18:18" ht="14">
      <c r="R2200" s="119"/>
    </row>
    <row r="2201" spans="18:18" ht="14">
      <c r="R2201" s="119"/>
    </row>
    <row r="2202" spans="18:18" ht="14">
      <c r="R2202" s="119"/>
    </row>
    <row r="2203" spans="18:18" ht="14">
      <c r="R2203" s="119"/>
    </row>
    <row r="2204" spans="18:18" ht="14">
      <c r="R2204" s="119"/>
    </row>
    <row r="2205" spans="18:18" ht="14">
      <c r="R2205" s="119"/>
    </row>
    <row r="2206" spans="18:18" ht="14">
      <c r="R2206" s="119"/>
    </row>
    <row r="2207" spans="18:18" ht="14">
      <c r="R2207" s="119"/>
    </row>
    <row r="2208" spans="18:18" ht="14">
      <c r="R2208" s="119"/>
    </row>
    <row r="2209" spans="18:18" ht="14">
      <c r="R2209" s="119"/>
    </row>
    <row r="2210" spans="18:18" ht="14">
      <c r="R2210" s="119"/>
    </row>
    <row r="2211" spans="18:18" ht="14">
      <c r="R2211" s="119"/>
    </row>
    <row r="2212" spans="18:18" ht="14">
      <c r="R2212" s="119"/>
    </row>
    <row r="2213" spans="18:18" ht="14">
      <c r="R2213" s="119"/>
    </row>
    <row r="2214" spans="18:18" ht="14">
      <c r="R2214" s="119"/>
    </row>
    <row r="2215" spans="18:18" ht="14">
      <c r="R2215" s="119"/>
    </row>
    <row r="2216" spans="18:18" ht="14">
      <c r="R2216" s="119"/>
    </row>
    <row r="2217" spans="18:18" ht="14">
      <c r="R2217" s="119"/>
    </row>
    <row r="2218" spans="18:18" ht="14">
      <c r="R2218" s="119"/>
    </row>
    <row r="2219" spans="18:18" ht="14">
      <c r="R2219" s="119"/>
    </row>
    <row r="2220" spans="18:18" ht="14">
      <c r="R2220" s="119"/>
    </row>
    <row r="2221" spans="18:18" ht="14">
      <c r="R2221" s="119"/>
    </row>
    <row r="2222" spans="18:18" ht="14">
      <c r="R2222" s="119"/>
    </row>
    <row r="2223" spans="18:18" ht="14">
      <c r="R2223" s="119"/>
    </row>
    <row r="2224" spans="18:18" ht="14">
      <c r="R2224" s="119"/>
    </row>
    <row r="2225" spans="18:18" ht="14">
      <c r="R2225" s="119"/>
    </row>
    <row r="2226" spans="18:18" ht="14">
      <c r="R2226" s="119"/>
    </row>
    <row r="2227" spans="18:18" ht="14">
      <c r="R2227" s="119"/>
    </row>
    <row r="2228" spans="18:18" ht="14">
      <c r="R2228" s="119"/>
    </row>
    <row r="2229" spans="18:18" ht="14">
      <c r="R2229" s="119"/>
    </row>
    <row r="2230" spans="18:18" ht="14">
      <c r="R2230" s="119"/>
    </row>
    <row r="2231" spans="18:18" ht="14">
      <c r="R2231" s="119"/>
    </row>
    <row r="2232" spans="18:18" ht="14">
      <c r="R2232" s="119"/>
    </row>
    <row r="2233" spans="18:18" ht="14">
      <c r="R2233" s="119"/>
    </row>
    <row r="2234" spans="18:18" ht="14">
      <c r="R2234" s="119"/>
    </row>
    <row r="2235" spans="18:18" ht="14">
      <c r="R2235" s="119"/>
    </row>
    <row r="2236" spans="18:18" ht="14">
      <c r="R2236" s="119"/>
    </row>
    <row r="2237" spans="18:18" ht="14">
      <c r="R2237" s="119"/>
    </row>
    <row r="2238" spans="18:18" ht="14">
      <c r="R2238" s="119"/>
    </row>
    <row r="2239" spans="18:18" ht="14">
      <c r="R2239" s="119"/>
    </row>
    <row r="2240" spans="18:18" ht="14">
      <c r="R2240" s="119"/>
    </row>
    <row r="2241" spans="18:18" ht="14">
      <c r="R2241" s="119"/>
    </row>
    <row r="2242" spans="18:18" ht="14">
      <c r="R2242" s="119"/>
    </row>
    <row r="2243" spans="18:18" ht="14">
      <c r="R2243" s="119"/>
    </row>
    <row r="2244" spans="18:18" ht="14">
      <c r="R2244" s="119"/>
    </row>
    <row r="2245" spans="18:18" ht="14">
      <c r="R2245" s="119"/>
    </row>
    <row r="2246" spans="18:18" ht="14">
      <c r="R2246" s="119"/>
    </row>
    <row r="2247" spans="18:18" ht="14">
      <c r="R2247" s="119"/>
    </row>
    <row r="2248" spans="18:18" ht="14">
      <c r="R2248" s="119"/>
    </row>
    <row r="2249" spans="18:18" ht="14">
      <c r="R2249" s="119"/>
    </row>
    <row r="2250" spans="18:18" ht="14">
      <c r="R2250" s="119"/>
    </row>
    <row r="2251" spans="18:18" ht="14">
      <c r="R2251" s="119"/>
    </row>
    <row r="2252" spans="18:18" ht="14">
      <c r="R2252" s="119"/>
    </row>
    <row r="2253" spans="18:18" ht="14">
      <c r="R2253" s="119"/>
    </row>
    <row r="2254" spans="18:18" ht="14">
      <c r="R2254" s="119"/>
    </row>
    <row r="2255" spans="18:18" ht="14">
      <c r="R2255" s="119"/>
    </row>
    <row r="2256" spans="18:18" ht="14">
      <c r="R2256" s="119"/>
    </row>
    <row r="2257" spans="18:18" ht="14">
      <c r="R2257" s="119"/>
    </row>
    <row r="2258" spans="18:18" ht="14">
      <c r="R2258" s="119"/>
    </row>
    <row r="2259" spans="18:18" ht="14">
      <c r="R2259" s="119"/>
    </row>
    <row r="2260" spans="18:18" ht="14">
      <c r="R2260" s="119"/>
    </row>
    <row r="2261" spans="18:18" ht="14">
      <c r="R2261" s="119"/>
    </row>
    <row r="2262" spans="18:18" ht="14">
      <c r="R2262" s="119"/>
    </row>
    <row r="2263" spans="18:18" ht="14">
      <c r="R2263" s="119"/>
    </row>
    <row r="2264" spans="18:18" ht="14">
      <c r="R2264" s="119"/>
    </row>
    <row r="2265" spans="18:18" ht="14">
      <c r="R2265" s="119"/>
    </row>
    <row r="2266" spans="18:18" ht="14">
      <c r="R2266" s="119"/>
    </row>
    <row r="2267" spans="18:18" ht="14">
      <c r="R2267" s="119"/>
    </row>
    <row r="2268" spans="18:18" ht="14">
      <c r="R2268" s="119"/>
    </row>
    <row r="2269" spans="18:18" ht="14">
      <c r="R2269" s="119"/>
    </row>
    <row r="2270" spans="18:18" ht="14">
      <c r="R2270" s="119"/>
    </row>
    <row r="2271" spans="18:18" ht="14">
      <c r="R2271" s="119"/>
    </row>
    <row r="2272" spans="18:18" ht="14">
      <c r="R2272" s="119"/>
    </row>
    <row r="2273" spans="18:18" ht="14">
      <c r="R2273" s="119"/>
    </row>
    <row r="2274" spans="18:18" ht="14">
      <c r="R2274" s="119"/>
    </row>
    <row r="2275" spans="18:18" ht="14">
      <c r="R2275" s="119"/>
    </row>
    <row r="2276" spans="18:18" ht="14">
      <c r="R2276" s="119"/>
    </row>
    <row r="2277" spans="18:18" ht="14">
      <c r="R2277" s="119"/>
    </row>
    <row r="2278" spans="18:18" ht="14">
      <c r="R2278" s="119"/>
    </row>
    <row r="2279" spans="18:18" ht="14">
      <c r="R2279" s="119"/>
    </row>
    <row r="2280" spans="18:18" ht="14">
      <c r="R2280" s="119"/>
    </row>
    <row r="2281" spans="18:18" ht="14">
      <c r="R2281" s="119"/>
    </row>
    <row r="2282" spans="18:18" ht="14">
      <c r="R2282" s="119"/>
    </row>
    <row r="2283" spans="18:18" ht="14">
      <c r="R2283" s="119"/>
    </row>
    <row r="2284" spans="18:18" ht="14">
      <c r="R2284" s="119"/>
    </row>
    <row r="2285" spans="18:18" ht="14">
      <c r="R2285" s="119"/>
    </row>
    <row r="2286" spans="18:18" ht="14">
      <c r="R2286" s="119"/>
    </row>
    <row r="2287" spans="18:18" ht="14">
      <c r="R2287" s="119"/>
    </row>
    <row r="2288" spans="18:18" ht="14">
      <c r="R2288" s="119"/>
    </row>
    <row r="2289" spans="18:18" ht="14">
      <c r="R2289" s="119"/>
    </row>
    <row r="2290" spans="18:18" ht="14">
      <c r="R2290" s="119"/>
    </row>
    <row r="2291" spans="18:18" ht="14">
      <c r="R2291" s="119"/>
    </row>
    <row r="2292" spans="18:18" ht="14">
      <c r="R2292" s="119"/>
    </row>
    <row r="2293" spans="18:18" ht="14">
      <c r="R2293" s="119"/>
    </row>
    <row r="2294" spans="18:18" ht="14">
      <c r="R2294" s="119"/>
    </row>
    <row r="2295" spans="18:18" ht="14">
      <c r="R2295" s="119"/>
    </row>
    <row r="2296" spans="18:18" ht="14">
      <c r="R2296" s="119"/>
    </row>
    <row r="2297" spans="18:18" ht="14">
      <c r="R2297" s="119"/>
    </row>
    <row r="2298" spans="18:18" ht="14">
      <c r="R2298" s="119"/>
    </row>
    <row r="2299" spans="18:18" ht="14">
      <c r="R2299" s="119"/>
    </row>
    <row r="2300" spans="18:18" ht="14">
      <c r="R2300" s="119"/>
    </row>
    <row r="2301" spans="18:18" ht="14">
      <c r="R2301" s="119"/>
    </row>
    <row r="2302" spans="18:18" ht="14">
      <c r="R2302" s="119"/>
    </row>
    <row r="2303" spans="18:18" ht="14">
      <c r="R2303" s="119"/>
    </row>
    <row r="2304" spans="18:18" ht="14">
      <c r="R2304" s="119"/>
    </row>
    <row r="2305" spans="18:18" ht="14">
      <c r="R2305" s="119"/>
    </row>
    <row r="2306" spans="18:18" ht="14">
      <c r="R2306" s="119"/>
    </row>
    <row r="2307" spans="18:18" ht="14">
      <c r="R2307" s="119"/>
    </row>
    <row r="2308" spans="18:18" ht="14">
      <c r="R2308" s="119"/>
    </row>
    <row r="2309" spans="18:18" ht="14">
      <c r="R2309" s="119"/>
    </row>
    <row r="2310" spans="18:18" ht="14">
      <c r="R2310" s="119"/>
    </row>
    <row r="2311" spans="18:18" ht="14">
      <c r="R2311" s="119"/>
    </row>
    <row r="2312" spans="18:18" ht="14">
      <c r="R2312" s="119"/>
    </row>
    <row r="2313" spans="18:18" ht="14">
      <c r="R2313" s="119"/>
    </row>
    <row r="2314" spans="18:18" ht="14">
      <c r="R2314" s="119"/>
    </row>
    <row r="2315" spans="18:18" ht="14">
      <c r="R2315" s="119"/>
    </row>
    <row r="2316" spans="18:18" ht="14">
      <c r="R2316" s="119"/>
    </row>
    <row r="2317" spans="18:18" ht="14">
      <c r="R2317" s="119"/>
    </row>
    <row r="2318" spans="18:18" ht="14">
      <c r="R2318" s="119"/>
    </row>
    <row r="2319" spans="18:18" ht="14">
      <c r="R2319" s="119"/>
    </row>
    <row r="2320" spans="18:18" ht="14">
      <c r="R2320" s="119"/>
    </row>
    <row r="2321" spans="18:18" ht="14">
      <c r="R2321" s="119"/>
    </row>
    <row r="2322" spans="18:18" ht="14">
      <c r="R2322" s="119"/>
    </row>
    <row r="2323" spans="18:18" ht="14">
      <c r="R2323" s="119"/>
    </row>
    <row r="2324" spans="18:18" ht="14">
      <c r="R2324" s="119"/>
    </row>
    <row r="2325" spans="18:18" ht="14">
      <c r="R2325" s="119"/>
    </row>
    <row r="2326" spans="18:18" ht="14">
      <c r="R2326" s="119"/>
    </row>
    <row r="2327" spans="18:18" ht="14">
      <c r="R2327" s="119"/>
    </row>
    <row r="2328" spans="18:18" ht="14">
      <c r="R2328" s="119"/>
    </row>
    <row r="2329" spans="18:18" ht="14">
      <c r="R2329" s="119"/>
    </row>
    <row r="2330" spans="18:18" ht="14">
      <c r="R2330" s="119"/>
    </row>
    <row r="2331" spans="18:18" ht="14">
      <c r="R2331" s="119"/>
    </row>
    <row r="2332" spans="18:18" ht="14">
      <c r="R2332" s="119"/>
    </row>
    <row r="2333" spans="18:18" ht="14">
      <c r="R2333" s="119"/>
    </row>
    <row r="2334" spans="18:18" ht="14">
      <c r="R2334" s="119"/>
    </row>
    <row r="2335" spans="18:18" ht="14">
      <c r="R2335" s="119"/>
    </row>
    <row r="2336" spans="18:18" ht="14">
      <c r="R2336" s="119"/>
    </row>
    <row r="2337" spans="18:18" ht="14">
      <c r="R2337" s="119"/>
    </row>
    <row r="2338" spans="18:18" ht="14">
      <c r="R2338" s="119"/>
    </row>
    <row r="2339" spans="18:18" ht="14">
      <c r="R2339" s="119"/>
    </row>
    <row r="2340" spans="18:18" ht="14">
      <c r="R2340" s="119"/>
    </row>
    <row r="2341" spans="18:18" ht="14">
      <c r="R2341" s="119"/>
    </row>
    <row r="2342" spans="18:18" ht="14">
      <c r="R2342" s="119"/>
    </row>
    <row r="2343" spans="18:18" ht="14">
      <c r="R2343" s="119"/>
    </row>
    <row r="2344" spans="18:18" ht="14">
      <c r="R2344" s="119"/>
    </row>
    <row r="2345" spans="18:18" ht="14">
      <c r="R2345" s="119"/>
    </row>
    <row r="2346" spans="18:18" ht="14">
      <c r="R2346" s="119"/>
    </row>
    <row r="2347" spans="18:18" ht="14">
      <c r="R2347" s="119"/>
    </row>
    <row r="2348" spans="18:18" ht="14">
      <c r="R2348" s="119"/>
    </row>
    <row r="2349" spans="18:18" ht="14">
      <c r="R2349" s="119"/>
    </row>
    <row r="2350" spans="18:18" ht="14">
      <c r="R2350" s="119"/>
    </row>
    <row r="2351" spans="18:18" ht="14">
      <c r="R2351" s="119"/>
    </row>
    <row r="2352" spans="18:18" ht="14">
      <c r="R2352" s="119"/>
    </row>
    <row r="2353" spans="18:18" ht="14">
      <c r="R2353" s="119"/>
    </row>
    <row r="2354" spans="18:18" ht="14">
      <c r="R2354" s="119"/>
    </row>
    <row r="2355" spans="18:18" ht="14">
      <c r="R2355" s="119"/>
    </row>
    <row r="2356" spans="18:18" ht="14">
      <c r="R2356" s="119"/>
    </row>
    <row r="2357" spans="18:18" ht="14">
      <c r="R2357" s="119"/>
    </row>
    <row r="2358" spans="18:18" ht="14">
      <c r="R2358" s="119"/>
    </row>
    <row r="2359" spans="18:18" ht="14">
      <c r="R2359" s="119"/>
    </row>
    <row r="2360" spans="18:18" ht="14">
      <c r="R2360" s="119"/>
    </row>
    <row r="2361" spans="18:18" ht="14">
      <c r="R2361" s="119"/>
    </row>
    <row r="2362" spans="18:18" ht="14">
      <c r="R2362" s="119"/>
    </row>
    <row r="2363" spans="18:18" ht="14">
      <c r="R2363" s="119"/>
    </row>
    <row r="2364" spans="18:18" ht="14">
      <c r="R2364" s="119"/>
    </row>
    <row r="2365" spans="18:18" ht="14">
      <c r="R2365" s="119"/>
    </row>
    <row r="2366" spans="18:18" ht="14">
      <c r="R2366" s="119"/>
    </row>
    <row r="2367" spans="18:18" ht="14">
      <c r="R2367" s="119"/>
    </row>
    <row r="2368" spans="18:18" ht="14">
      <c r="R2368" s="119"/>
    </row>
    <row r="2369" spans="18:18" ht="14">
      <c r="R2369" s="119"/>
    </row>
    <row r="2370" spans="18:18" ht="14">
      <c r="R2370" s="119"/>
    </row>
    <row r="2371" spans="18:18" ht="14">
      <c r="R2371" s="119"/>
    </row>
    <row r="2372" spans="18:18" ht="14">
      <c r="R2372" s="119"/>
    </row>
    <row r="2373" spans="18:18" ht="14">
      <c r="R2373" s="119"/>
    </row>
    <row r="2374" spans="18:18" ht="14">
      <c r="R2374" s="119"/>
    </row>
    <row r="2375" spans="18:18" ht="14">
      <c r="R2375" s="119"/>
    </row>
    <row r="2376" spans="18:18" ht="14">
      <c r="R2376" s="119"/>
    </row>
    <row r="2377" spans="18:18" ht="14">
      <c r="R2377" s="119"/>
    </row>
    <row r="2378" spans="18:18" ht="14">
      <c r="R2378" s="119"/>
    </row>
    <row r="2379" spans="18:18" ht="14">
      <c r="R2379" s="119"/>
    </row>
    <row r="2380" spans="18:18" ht="14">
      <c r="R2380" s="119"/>
    </row>
    <row r="2381" spans="18:18" ht="14">
      <c r="R2381" s="119"/>
    </row>
    <row r="2382" spans="18:18" ht="14">
      <c r="R2382" s="119"/>
    </row>
    <row r="2383" spans="18:18" ht="14">
      <c r="R2383" s="119"/>
    </row>
    <row r="2384" spans="18:18" ht="14">
      <c r="R2384" s="119"/>
    </row>
    <row r="2385" spans="18:18" ht="14">
      <c r="R2385" s="119"/>
    </row>
    <row r="2386" spans="18:18" ht="14">
      <c r="R2386" s="119"/>
    </row>
    <row r="2387" spans="18:18" ht="14">
      <c r="R2387" s="119"/>
    </row>
    <row r="2388" spans="18:18" ht="14">
      <c r="R2388" s="119"/>
    </row>
    <row r="2389" spans="18:18" ht="14">
      <c r="R2389" s="119"/>
    </row>
    <row r="2390" spans="18:18" ht="14">
      <c r="R2390" s="119"/>
    </row>
    <row r="2391" spans="18:18" ht="14">
      <c r="R2391" s="119"/>
    </row>
    <row r="2392" spans="18:18" ht="14">
      <c r="R2392" s="119"/>
    </row>
    <row r="2393" spans="18:18" ht="14">
      <c r="R2393" s="119"/>
    </row>
    <row r="2394" spans="18:18" ht="14">
      <c r="R2394" s="119"/>
    </row>
    <row r="2395" spans="18:18" ht="14">
      <c r="R2395" s="119"/>
    </row>
    <row r="2396" spans="18:18" ht="14">
      <c r="R2396" s="119"/>
    </row>
    <row r="2397" spans="18:18" ht="14">
      <c r="R2397" s="119"/>
    </row>
    <row r="2398" spans="18:18" ht="14">
      <c r="R2398" s="119"/>
    </row>
    <row r="2399" spans="18:18" ht="14">
      <c r="R2399" s="119"/>
    </row>
    <row r="2400" spans="18:18" ht="14">
      <c r="R2400" s="119"/>
    </row>
    <row r="2401" spans="18:18" ht="14">
      <c r="R2401" s="119"/>
    </row>
    <row r="2402" spans="18:18" ht="14">
      <c r="R2402" s="119"/>
    </row>
    <row r="2403" spans="18:18" ht="14">
      <c r="R2403" s="119"/>
    </row>
    <row r="2404" spans="18:18" ht="14">
      <c r="R2404" s="119"/>
    </row>
    <row r="2405" spans="18:18" ht="14">
      <c r="R2405" s="119"/>
    </row>
    <row r="2406" spans="18:18" ht="14">
      <c r="R2406" s="119"/>
    </row>
    <row r="2407" spans="18:18" ht="14">
      <c r="R2407" s="119"/>
    </row>
    <row r="2408" spans="18:18" ht="14">
      <c r="R2408" s="119"/>
    </row>
    <row r="2409" spans="18:18" ht="14">
      <c r="R2409" s="119"/>
    </row>
    <row r="2410" spans="18:18" ht="14">
      <c r="R2410" s="119"/>
    </row>
    <row r="2411" spans="18:18" ht="14">
      <c r="R2411" s="119"/>
    </row>
    <row r="2412" spans="18:18" ht="14">
      <c r="R2412" s="119"/>
    </row>
    <row r="2413" spans="18:18" ht="14">
      <c r="R2413" s="119"/>
    </row>
    <row r="2414" spans="18:18" ht="14">
      <c r="R2414" s="119"/>
    </row>
    <row r="2415" spans="18:18" ht="14">
      <c r="R2415" s="119"/>
    </row>
    <row r="2416" spans="18:18" ht="14">
      <c r="R2416" s="119"/>
    </row>
    <row r="2417" spans="18:18" ht="14">
      <c r="R2417" s="119"/>
    </row>
    <row r="2418" spans="18:18" ht="14">
      <c r="R2418" s="119"/>
    </row>
    <row r="2419" spans="18:18" ht="14">
      <c r="R2419" s="119"/>
    </row>
    <row r="2420" spans="18:18" ht="14">
      <c r="R2420" s="119"/>
    </row>
    <row r="2421" spans="18:18" ht="14">
      <c r="R2421" s="119"/>
    </row>
    <row r="2422" spans="18:18" ht="14">
      <c r="R2422" s="119"/>
    </row>
    <row r="2423" spans="18:18" ht="14">
      <c r="R2423" s="119"/>
    </row>
    <row r="2424" spans="18:18" ht="14">
      <c r="R2424" s="119"/>
    </row>
    <row r="2425" spans="18:18" ht="14">
      <c r="R2425" s="119"/>
    </row>
    <row r="2426" spans="18:18" ht="14">
      <c r="R2426" s="119"/>
    </row>
    <row r="2427" spans="18:18" ht="14">
      <c r="R2427" s="119"/>
    </row>
    <row r="2428" spans="18:18" ht="14">
      <c r="R2428" s="119"/>
    </row>
    <row r="2429" spans="18:18" ht="14">
      <c r="R2429" s="119"/>
    </row>
    <row r="2430" spans="18:18" ht="14">
      <c r="R2430" s="119"/>
    </row>
    <row r="2431" spans="18:18" ht="14">
      <c r="R2431" s="119"/>
    </row>
    <row r="2432" spans="18:18" ht="14">
      <c r="R2432" s="119"/>
    </row>
    <row r="2433" spans="18:18" ht="14">
      <c r="R2433" s="119"/>
    </row>
    <row r="2434" spans="18:18" ht="14">
      <c r="R2434" s="119"/>
    </row>
    <row r="2435" spans="18:18" ht="14">
      <c r="R2435" s="119"/>
    </row>
    <row r="2436" spans="18:18" ht="14">
      <c r="R2436" s="119"/>
    </row>
    <row r="2437" spans="18:18" ht="14">
      <c r="R2437" s="119"/>
    </row>
    <row r="2438" spans="18:18" ht="14">
      <c r="R2438" s="119"/>
    </row>
    <row r="2439" spans="18:18" ht="14">
      <c r="R2439" s="119"/>
    </row>
    <row r="2440" spans="18:18" ht="14">
      <c r="R2440" s="119"/>
    </row>
    <row r="2441" spans="18:18" ht="14">
      <c r="R2441" s="119"/>
    </row>
    <row r="2442" spans="18:18" ht="14">
      <c r="R2442" s="119"/>
    </row>
    <row r="2443" spans="18:18" ht="14">
      <c r="R2443" s="119"/>
    </row>
    <row r="2444" spans="18:18" ht="14">
      <c r="R2444" s="119"/>
    </row>
    <row r="2445" spans="18:18" ht="14">
      <c r="R2445" s="119"/>
    </row>
    <row r="2446" spans="18:18" ht="14">
      <c r="R2446" s="119"/>
    </row>
    <row r="2447" spans="18:18" ht="14">
      <c r="R2447" s="119"/>
    </row>
    <row r="2448" spans="18:18" ht="14">
      <c r="R2448" s="119"/>
    </row>
    <row r="2449" spans="18:18" ht="14">
      <c r="R2449" s="119"/>
    </row>
    <row r="2450" spans="18:18" ht="14">
      <c r="R2450" s="119"/>
    </row>
    <row r="2451" spans="18:18" ht="14">
      <c r="R2451" s="119"/>
    </row>
    <row r="2452" spans="18:18" ht="14">
      <c r="R2452" s="119"/>
    </row>
    <row r="2453" spans="18:18" ht="14">
      <c r="R2453" s="119"/>
    </row>
    <row r="2454" spans="18:18" ht="14">
      <c r="R2454" s="119"/>
    </row>
    <row r="2455" spans="18:18" ht="14">
      <c r="R2455" s="119"/>
    </row>
    <row r="2456" spans="18:18" ht="14">
      <c r="R2456" s="119"/>
    </row>
    <row r="2457" spans="18:18" ht="14">
      <c r="R2457" s="119"/>
    </row>
    <row r="2458" spans="18:18" ht="14">
      <c r="R2458" s="119"/>
    </row>
    <row r="2459" spans="18:18" ht="14">
      <c r="R2459" s="119"/>
    </row>
    <row r="2460" spans="18:18" ht="14">
      <c r="R2460" s="119"/>
    </row>
    <row r="2461" spans="18:18" ht="14">
      <c r="R2461" s="119"/>
    </row>
    <row r="2462" spans="18:18" ht="14">
      <c r="R2462" s="119"/>
    </row>
    <row r="2463" spans="18:18" ht="14">
      <c r="R2463" s="119"/>
    </row>
    <row r="2464" spans="18:18" ht="14">
      <c r="R2464" s="119"/>
    </row>
    <row r="2465" spans="18:18" ht="14">
      <c r="R2465" s="119"/>
    </row>
    <row r="2466" spans="18:18" ht="14">
      <c r="R2466" s="119"/>
    </row>
    <row r="2467" spans="18:18" ht="14">
      <c r="R2467" s="119"/>
    </row>
    <row r="2468" spans="18:18" ht="14">
      <c r="R2468" s="119"/>
    </row>
    <row r="2469" spans="18:18" ht="14">
      <c r="R2469" s="119"/>
    </row>
    <row r="2470" spans="18:18" ht="14">
      <c r="R2470" s="119"/>
    </row>
    <row r="2471" spans="18:18" ht="14">
      <c r="R2471" s="119"/>
    </row>
    <row r="2472" spans="18:18" ht="14">
      <c r="R2472" s="119"/>
    </row>
    <row r="2473" spans="18:18" ht="14">
      <c r="R2473" s="119"/>
    </row>
    <row r="2474" spans="18:18" ht="14">
      <c r="R2474" s="119"/>
    </row>
    <row r="2475" spans="18:18" ht="14">
      <c r="R2475" s="119"/>
    </row>
    <row r="2476" spans="18:18" ht="14">
      <c r="R2476" s="119"/>
    </row>
    <row r="2477" spans="18:18" ht="14">
      <c r="R2477" s="119"/>
    </row>
    <row r="2478" spans="18:18" ht="14">
      <c r="R2478" s="119"/>
    </row>
    <row r="2479" spans="18:18" ht="14">
      <c r="R2479" s="119"/>
    </row>
    <row r="2480" spans="18:18" ht="14">
      <c r="R2480" s="119"/>
    </row>
    <row r="2481" spans="18:18" ht="14">
      <c r="R2481" s="119"/>
    </row>
    <row r="2482" spans="18:18" ht="14">
      <c r="R2482" s="119"/>
    </row>
    <row r="2483" spans="18:18" ht="14">
      <c r="R2483" s="119"/>
    </row>
    <row r="2484" spans="18:18" ht="14">
      <c r="R2484" s="119"/>
    </row>
    <row r="2485" spans="18:18" ht="14">
      <c r="R2485" s="119"/>
    </row>
    <row r="2486" spans="18:18" ht="14">
      <c r="R2486" s="119"/>
    </row>
    <row r="2487" spans="18:18" ht="14">
      <c r="R2487" s="119"/>
    </row>
    <row r="2488" spans="18:18" ht="14">
      <c r="R2488" s="119"/>
    </row>
    <row r="2489" spans="18:18" ht="14">
      <c r="R2489" s="119"/>
    </row>
    <row r="2490" spans="18:18" ht="14">
      <c r="R2490" s="119"/>
    </row>
    <row r="2491" spans="18:18" ht="14">
      <c r="R2491" s="119"/>
    </row>
    <row r="2492" spans="18:18" ht="14">
      <c r="R2492" s="119"/>
    </row>
    <row r="2493" spans="18:18" ht="14">
      <c r="R2493" s="119"/>
    </row>
    <row r="2494" spans="18:18" ht="14">
      <c r="R2494" s="119"/>
    </row>
    <row r="2495" spans="18:18" ht="14">
      <c r="R2495" s="119"/>
    </row>
    <row r="2496" spans="18:18" ht="14">
      <c r="R2496" s="119"/>
    </row>
    <row r="2497" spans="18:18" ht="14">
      <c r="R2497" s="119"/>
    </row>
    <row r="2498" spans="18:18" ht="14">
      <c r="R2498" s="119"/>
    </row>
    <row r="2499" spans="18:18" ht="14">
      <c r="R2499" s="119"/>
    </row>
    <row r="2500" spans="18:18" ht="14">
      <c r="R2500" s="119"/>
    </row>
    <row r="2501" spans="18:18" ht="14">
      <c r="R2501" s="119"/>
    </row>
    <row r="2502" spans="18:18" ht="14">
      <c r="R2502" s="119"/>
    </row>
    <row r="2503" spans="18:18" ht="14">
      <c r="R2503" s="119"/>
    </row>
    <row r="2504" spans="18:18" ht="14">
      <c r="R2504" s="119"/>
    </row>
    <row r="2505" spans="18:18" ht="14">
      <c r="R2505" s="119"/>
    </row>
    <row r="2506" spans="18:18" ht="14">
      <c r="R2506" s="119"/>
    </row>
    <row r="2507" spans="18:18" ht="14">
      <c r="R2507" s="119"/>
    </row>
  </sheetData>
  <conditionalFormatting sqref="O2:O10739">
    <cfRule type="cellIs" dxfId="219" priority="90" stopIfTrue="1" operator="greaterThan">
      <formula>5</formula>
    </cfRule>
  </conditionalFormatting>
  <conditionalFormatting sqref="Q2:Q10739">
    <cfRule type="cellIs" dxfId="218" priority="89" stopIfTrue="1" operator="notBetween">
      <formula>5</formula>
      <formula>9</formula>
    </cfRule>
  </conditionalFormatting>
  <conditionalFormatting sqref="R2:R10739">
    <cfRule type="cellIs" dxfId="217" priority="88" stopIfTrue="1" operator="greaterThan">
      <formula>75</formula>
    </cfRule>
  </conditionalFormatting>
  <conditionalFormatting sqref="S2:S10739">
    <cfRule type="cellIs" dxfId="216" priority="87" stopIfTrue="1" operator="greaterThan">
      <formula>90</formula>
    </cfRule>
  </conditionalFormatting>
  <conditionalFormatting sqref="T2:T10739">
    <cfRule type="cellIs" dxfId="215" priority="86" stopIfTrue="1" operator="greaterThan">
      <formula>0.4</formula>
    </cfRule>
  </conditionalFormatting>
  <conditionalFormatting sqref="U2:U10739">
    <cfRule type="cellIs" dxfId="214" priority="85" stopIfTrue="1" operator="greaterThan">
      <formula>2.3</formula>
    </cfRule>
  </conditionalFormatting>
  <conditionalFormatting sqref="V2:V10739">
    <cfRule type="cellIs" dxfId="213" priority="84" stopIfTrue="1" operator="greaterThan">
      <formula>1.1</formula>
    </cfRule>
  </conditionalFormatting>
  <conditionalFormatting sqref="W2:W10739">
    <cfRule type="cellIs" dxfId="212" priority="83" stopIfTrue="1" operator="greaterThan">
      <formula>0.059</formula>
    </cfRule>
  </conditionalFormatting>
  <conditionalFormatting sqref="X2:X10739">
    <cfRule type="cellIs" dxfId="211" priority="82" stopIfTrue="1" operator="greaterThan">
      <formula>0.16</formula>
    </cfRule>
  </conditionalFormatting>
  <conditionalFormatting sqref="Y2:Y10739">
    <cfRule type="cellIs" dxfId="210" priority="81" stopIfTrue="1" operator="greaterThan">
      <formula>0.076</formula>
    </cfRule>
  </conditionalFormatting>
  <conditionalFormatting sqref="O15">
    <cfRule type="cellIs" dxfId="209" priority="20" stopIfTrue="1" operator="greaterThan">
      <formula>5</formula>
    </cfRule>
  </conditionalFormatting>
  <conditionalFormatting sqref="Q15">
    <cfRule type="cellIs" dxfId="208" priority="19" stopIfTrue="1" operator="notBetween">
      <formula>5</formula>
      <formula>9</formula>
    </cfRule>
  </conditionalFormatting>
  <conditionalFormatting sqref="R15">
    <cfRule type="cellIs" dxfId="207" priority="18" stopIfTrue="1" operator="greaterThan">
      <formula>75</formula>
    </cfRule>
  </conditionalFormatting>
  <conditionalFormatting sqref="S15">
    <cfRule type="cellIs" dxfId="206" priority="17" stopIfTrue="1" operator="greaterThan">
      <formula>90</formula>
    </cfRule>
  </conditionalFormatting>
  <conditionalFormatting sqref="T15">
    <cfRule type="cellIs" dxfId="205" priority="16" stopIfTrue="1" operator="greaterThan">
      <formula>0.4</formula>
    </cfRule>
  </conditionalFormatting>
  <conditionalFormatting sqref="U15">
    <cfRule type="cellIs" dxfId="204" priority="15" stopIfTrue="1" operator="greaterThan">
      <formula>2.3</formula>
    </cfRule>
  </conditionalFormatting>
  <conditionalFormatting sqref="V15">
    <cfRule type="cellIs" dxfId="203" priority="14" stopIfTrue="1" operator="greaterThan">
      <formula>1.1</formula>
    </cfRule>
  </conditionalFormatting>
  <conditionalFormatting sqref="W15">
    <cfRule type="cellIs" dxfId="202" priority="13" stopIfTrue="1" operator="greaterThan">
      <formula>0.059</formula>
    </cfRule>
  </conditionalFormatting>
  <conditionalFormatting sqref="X15">
    <cfRule type="cellIs" dxfId="201" priority="12" stopIfTrue="1" operator="greaterThan">
      <formula>0.16</formula>
    </cfRule>
  </conditionalFormatting>
  <conditionalFormatting sqref="Y15">
    <cfRule type="cellIs" dxfId="200" priority="11" stopIfTrue="1" operator="greaterThan">
      <formula>0.076</formula>
    </cfRule>
  </conditionalFormatting>
  <conditionalFormatting sqref="O16:O19">
    <cfRule type="cellIs" dxfId="199" priority="10" stopIfTrue="1" operator="greaterThan">
      <formula>5</formula>
    </cfRule>
  </conditionalFormatting>
  <conditionalFormatting sqref="Q16:Q19">
    <cfRule type="cellIs" dxfId="198" priority="9" stopIfTrue="1" operator="notBetween">
      <formula>5</formula>
      <formula>9</formula>
    </cfRule>
  </conditionalFormatting>
  <conditionalFormatting sqref="R16:R19">
    <cfRule type="cellIs" dxfId="197" priority="8" stopIfTrue="1" operator="greaterThan">
      <formula>75</formula>
    </cfRule>
  </conditionalFormatting>
  <conditionalFormatting sqref="S16:S19">
    <cfRule type="cellIs" dxfId="196" priority="7" stopIfTrue="1" operator="greaterThan">
      <formula>90</formula>
    </cfRule>
  </conditionalFormatting>
  <conditionalFormatting sqref="T16:T19">
    <cfRule type="cellIs" dxfId="195" priority="6" stopIfTrue="1" operator="greaterThan">
      <formula>0.4</formula>
    </cfRule>
  </conditionalFormatting>
  <conditionalFormatting sqref="U16:U19">
    <cfRule type="cellIs" dxfId="194" priority="5" stopIfTrue="1" operator="greaterThan">
      <formula>2.3</formula>
    </cfRule>
  </conditionalFormatting>
  <conditionalFormatting sqref="V16:V19">
    <cfRule type="cellIs" dxfId="193" priority="4" stopIfTrue="1" operator="greaterThan">
      <formula>1.1</formula>
    </cfRule>
  </conditionalFormatting>
  <conditionalFormatting sqref="W16:W19">
    <cfRule type="cellIs" dxfId="192" priority="3" stopIfTrue="1" operator="greaterThan">
      <formula>0.059</formula>
    </cfRule>
  </conditionalFormatting>
  <conditionalFormatting sqref="X16:X19">
    <cfRule type="cellIs" dxfId="191" priority="2" stopIfTrue="1" operator="greaterThan">
      <formula>0.16</formula>
    </cfRule>
  </conditionalFormatting>
  <conditionalFormatting sqref="Y16:Y19">
    <cfRule type="cellIs" dxfId="190" priority="1" stopIfTrue="1" operator="greaterThan">
      <formula>0.076</formula>
    </cfRule>
  </conditionalFormatting>
  <pageMargins left="0.7" right="0.7" top="0.75" bottom="0.75" header="0.3" footer="0.3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 enableFormatConditionsCalculation="0">
    <tabColor theme="0" tint="-0.249977111117893"/>
  </sheetPr>
  <dimension ref="A1:AW366"/>
  <sheetViews>
    <sheetView showGridLines="0" topLeftCell="Q1" workbookViewId="0">
      <pane ySplit="1" topLeftCell="A339" activePane="bottomLeft" state="frozen"/>
      <selection activeCell="L35" sqref="L35"/>
      <selection pane="bottomLeft" sqref="A1:AD366"/>
    </sheetView>
  </sheetViews>
  <sheetFormatPr baseColWidth="10" defaultColWidth="8.83203125" defaultRowHeight="15" customHeight="1" x14ac:dyDescent="0"/>
  <cols>
    <col min="1" max="1" width="16.6640625" style="41" bestFit="1" customWidth="1"/>
    <col min="2" max="2" width="21.5" style="50" customWidth="1"/>
    <col min="3" max="3" width="18.5" style="50" customWidth="1"/>
    <col min="4" max="4" width="10.6640625" style="48" customWidth="1"/>
    <col min="5" max="5" width="18.5" style="50" customWidth="1"/>
    <col min="6" max="6" width="10.6640625" style="50" customWidth="1"/>
    <col min="7" max="7" width="13.83203125" style="76" bestFit="1" customWidth="1"/>
    <col min="8" max="8" width="8.83203125" style="50"/>
    <col min="9" max="9" width="11.83203125" style="49" customWidth="1"/>
    <col min="10" max="10" width="31.5" style="50" bestFit="1" customWidth="1"/>
    <col min="11" max="11" width="10" style="50" customWidth="1"/>
    <col min="12" max="12" width="10.5" style="49" customWidth="1"/>
    <col min="13" max="13" width="10.5" style="50" customWidth="1"/>
    <col min="14" max="14" width="8.83203125" style="50"/>
    <col min="15" max="15" width="8.83203125" style="74"/>
    <col min="16" max="16" width="8.83203125" style="50"/>
    <col min="17" max="17" width="8.83203125" style="74"/>
    <col min="18" max="18" width="8.83203125" style="50"/>
    <col min="19" max="19" width="8.83203125" style="74"/>
    <col min="20" max="20" width="8.83203125" style="50"/>
    <col min="21" max="21" width="8.83203125" style="74"/>
    <col min="22" max="22" width="8.83203125" style="50"/>
    <col min="23" max="23" width="13.33203125" style="74" customWidth="1"/>
    <col min="24" max="24" width="8.83203125" style="50"/>
    <col min="25" max="25" width="8.83203125" style="74"/>
    <col min="26" max="26" width="8.83203125" style="166"/>
    <col min="27" max="27" width="8.83203125" style="167"/>
    <col min="28" max="28" width="10" style="50" customWidth="1"/>
    <col min="29" max="29" width="12.1640625" style="74" customWidth="1"/>
    <col min="30" max="30" width="14.33203125" style="166" customWidth="1"/>
    <col min="31" max="32" width="11.6640625" style="50" customWidth="1"/>
    <col min="33" max="33" width="12.6640625" style="328" bestFit="1" customWidth="1"/>
    <col min="34" max="34" width="13.33203125" style="114" bestFit="1" customWidth="1"/>
    <col min="35" max="35" width="8.83203125" style="50"/>
    <col min="36" max="36" width="8.83203125" style="114"/>
    <col min="37" max="47" width="8.83203125" style="74"/>
  </cols>
  <sheetData>
    <row r="1" spans="1:37" ht="37" thickBot="1">
      <c r="A1" s="233" t="s">
        <v>32</v>
      </c>
      <c r="B1" s="37" t="s">
        <v>3</v>
      </c>
      <c r="C1" s="37" t="s">
        <v>4</v>
      </c>
      <c r="D1" s="39" t="s">
        <v>5</v>
      </c>
      <c r="E1" s="37" t="s">
        <v>6</v>
      </c>
      <c r="F1" s="37" t="s">
        <v>7</v>
      </c>
      <c r="G1" s="39" t="s">
        <v>0</v>
      </c>
      <c r="H1" s="37" t="s">
        <v>20</v>
      </c>
      <c r="I1" s="37" t="s">
        <v>8</v>
      </c>
      <c r="J1" s="37" t="s">
        <v>9</v>
      </c>
      <c r="K1" s="37" t="s">
        <v>10</v>
      </c>
      <c r="L1" s="37" t="s">
        <v>11</v>
      </c>
      <c r="M1" s="37" t="s">
        <v>12</v>
      </c>
      <c r="N1" s="37" t="s">
        <v>13</v>
      </c>
      <c r="O1" s="37" t="s">
        <v>4080</v>
      </c>
      <c r="P1" s="37" t="s">
        <v>14</v>
      </c>
      <c r="Q1" s="37" t="s">
        <v>4081</v>
      </c>
      <c r="R1" s="37" t="s">
        <v>4082</v>
      </c>
      <c r="S1" s="37" t="s">
        <v>4083</v>
      </c>
      <c r="T1" s="37" t="s">
        <v>4084</v>
      </c>
      <c r="U1" s="37" t="s">
        <v>4085</v>
      </c>
      <c r="V1" s="37" t="s">
        <v>4086</v>
      </c>
      <c r="W1" s="37" t="s">
        <v>4103</v>
      </c>
      <c r="X1" s="37" t="s">
        <v>4088</v>
      </c>
      <c r="Y1" s="37" t="s">
        <v>4089</v>
      </c>
      <c r="Z1" s="234" t="s">
        <v>15</v>
      </c>
      <c r="AA1" s="234" t="s">
        <v>16</v>
      </c>
      <c r="AB1" s="37" t="s">
        <v>17</v>
      </c>
      <c r="AC1" s="37" t="s">
        <v>18</v>
      </c>
      <c r="AD1" s="234" t="s">
        <v>19</v>
      </c>
      <c r="AE1" s="184" t="s">
        <v>4104</v>
      </c>
      <c r="AF1" s="184" t="s">
        <v>4105</v>
      </c>
      <c r="AG1" s="327" t="s">
        <v>1013</v>
      </c>
      <c r="AH1" s="114" t="s">
        <v>1906</v>
      </c>
      <c r="AI1" s="96" t="s">
        <v>1101</v>
      </c>
      <c r="AJ1" s="97"/>
      <c r="AK1" s="99"/>
    </row>
    <row r="2" spans="1:37" ht="15" customHeight="1">
      <c r="A2" s="235" t="s">
        <v>38</v>
      </c>
      <c r="B2" s="54" t="s">
        <v>385</v>
      </c>
      <c r="C2" s="54"/>
      <c r="D2" s="56" t="s">
        <v>98</v>
      </c>
      <c r="E2" s="54" t="s">
        <v>44</v>
      </c>
      <c r="F2" s="54" t="s">
        <v>1014</v>
      </c>
      <c r="G2" s="61" t="s">
        <v>384</v>
      </c>
      <c r="H2" s="54">
        <v>4493</v>
      </c>
      <c r="I2" s="55" t="s">
        <v>1</v>
      </c>
      <c r="J2" s="54" t="s">
        <v>81</v>
      </c>
      <c r="K2" s="57">
        <v>40830</v>
      </c>
      <c r="L2" s="156"/>
      <c r="M2" s="142"/>
      <c r="N2" s="54" t="s">
        <v>2</v>
      </c>
      <c r="O2" s="135">
        <f>2/2</f>
        <v>1</v>
      </c>
      <c r="P2" s="134">
        <v>6.9</v>
      </c>
      <c r="Q2" s="135">
        <v>6.6</v>
      </c>
      <c r="R2" s="54">
        <v>10</v>
      </c>
      <c r="S2" s="155">
        <v>7</v>
      </c>
      <c r="T2" s="54">
        <f>0.05/2</f>
        <v>2.5000000000000001E-2</v>
      </c>
      <c r="U2" s="155">
        <v>0.14000000000000001</v>
      </c>
      <c r="V2" s="54">
        <f>0.1/2</f>
        <v>0.05</v>
      </c>
      <c r="W2" s="155">
        <v>4.7E-2</v>
      </c>
      <c r="X2" s="54">
        <f>0.03/2</f>
        <v>1.4999999999999999E-2</v>
      </c>
      <c r="Y2" s="155">
        <f>0.03/2</f>
        <v>1.4999999999999999E-2</v>
      </c>
      <c r="Z2" s="236">
        <v>0.435</v>
      </c>
      <c r="AA2" s="237">
        <v>0.17100000000000001</v>
      </c>
      <c r="AB2" s="142">
        <v>2</v>
      </c>
      <c r="AC2" s="143">
        <v>16.2</v>
      </c>
      <c r="AD2" s="236">
        <v>0</v>
      </c>
      <c r="AE2" s="142">
        <v>0.4</v>
      </c>
      <c r="AF2" s="142">
        <v>0.24</v>
      </c>
      <c r="AG2" s="328">
        <v>5200</v>
      </c>
      <c r="AI2" s="97"/>
    </row>
    <row r="3" spans="1:37" ht="15" customHeight="1">
      <c r="A3" s="235" t="s">
        <v>38</v>
      </c>
      <c r="B3" s="54" t="s">
        <v>450</v>
      </c>
      <c r="C3" s="54" t="s">
        <v>450</v>
      </c>
      <c r="D3" s="56" t="s">
        <v>452</v>
      </c>
      <c r="E3" s="54" t="s">
        <v>453</v>
      </c>
      <c r="F3" s="54"/>
      <c r="G3" s="61" t="s">
        <v>451</v>
      </c>
      <c r="H3" s="54">
        <v>4493</v>
      </c>
      <c r="I3" s="201" t="s">
        <v>1</v>
      </c>
      <c r="J3" s="54" t="s">
        <v>81</v>
      </c>
      <c r="K3" s="57">
        <v>40863</v>
      </c>
      <c r="L3" s="156">
        <v>40858</v>
      </c>
      <c r="M3" s="142">
        <v>5</v>
      </c>
      <c r="N3" s="54" t="s">
        <v>2</v>
      </c>
      <c r="O3" s="135">
        <f>5/2</f>
        <v>2.5</v>
      </c>
      <c r="P3" s="54">
        <v>5.41</v>
      </c>
      <c r="Q3" s="155">
        <v>7.12</v>
      </c>
      <c r="R3" s="54">
        <v>50.9</v>
      </c>
      <c r="S3" s="155">
        <v>13</v>
      </c>
      <c r="T3" s="54">
        <v>0.11</v>
      </c>
      <c r="U3" s="155">
        <v>1.59</v>
      </c>
      <c r="V3" s="54">
        <v>2.52</v>
      </c>
      <c r="W3" s="155">
        <v>1.58</v>
      </c>
      <c r="X3" s="54">
        <v>0.97</v>
      </c>
      <c r="Y3" s="155">
        <v>1.0999999999999999E-2</v>
      </c>
      <c r="Z3" s="236"/>
      <c r="AA3" s="236"/>
      <c r="AB3" s="144"/>
      <c r="AC3" s="144"/>
      <c r="AD3" s="236"/>
      <c r="AE3" s="142">
        <v>0.09</v>
      </c>
      <c r="AF3" s="142">
        <f>0.1/2</f>
        <v>0.05</v>
      </c>
      <c r="AG3" s="328">
        <v>1</v>
      </c>
      <c r="AI3" s="97"/>
    </row>
    <row r="4" spans="1:37" ht="15" customHeight="1">
      <c r="A4" s="235" t="s">
        <v>38</v>
      </c>
      <c r="B4" s="54" t="s">
        <v>558</v>
      </c>
      <c r="C4" s="54" t="s">
        <v>558</v>
      </c>
      <c r="D4" s="56" t="s">
        <v>559</v>
      </c>
      <c r="E4" s="54" t="s">
        <v>560</v>
      </c>
      <c r="F4" s="54"/>
      <c r="G4" s="61" t="s">
        <v>561</v>
      </c>
      <c r="H4" s="54">
        <v>1527</v>
      </c>
      <c r="I4" s="55"/>
      <c r="J4" s="54" t="s">
        <v>562</v>
      </c>
      <c r="K4" s="57">
        <v>40857</v>
      </c>
      <c r="L4" s="156">
        <v>40844</v>
      </c>
      <c r="M4" s="142">
        <v>13</v>
      </c>
      <c r="N4" s="54" t="s">
        <v>2</v>
      </c>
      <c r="O4" s="135">
        <f>5/2</f>
        <v>2.5</v>
      </c>
      <c r="P4" s="134">
        <v>4.96</v>
      </c>
      <c r="Q4" s="135">
        <v>6.68</v>
      </c>
      <c r="R4" s="54">
        <v>10639</v>
      </c>
      <c r="S4" s="155">
        <v>204</v>
      </c>
      <c r="T4" s="54">
        <v>9.99</v>
      </c>
      <c r="U4" s="155">
        <f>0.5/2</f>
        <v>0.25</v>
      </c>
      <c r="V4" s="54">
        <v>0.42</v>
      </c>
      <c r="W4" s="155">
        <v>0.62</v>
      </c>
      <c r="X4" s="54">
        <v>0.13</v>
      </c>
      <c r="Y4" s="155">
        <v>4.0000000000000001E-3</v>
      </c>
      <c r="Z4" s="236"/>
      <c r="AA4" s="236"/>
      <c r="AB4" s="144"/>
      <c r="AC4" s="144"/>
      <c r="AD4" s="236"/>
      <c r="AE4" s="142">
        <v>2.15</v>
      </c>
      <c r="AF4" s="142">
        <v>1.27</v>
      </c>
      <c r="AI4" s="97"/>
    </row>
    <row r="5" spans="1:37" ht="15" customHeight="1">
      <c r="A5" s="235" t="s">
        <v>38</v>
      </c>
      <c r="B5" s="54" t="s">
        <v>563</v>
      </c>
      <c r="C5" s="54"/>
      <c r="D5" s="56" t="s">
        <v>564</v>
      </c>
      <c r="E5" s="54" t="s">
        <v>1015</v>
      </c>
      <c r="F5" s="54" t="s">
        <v>1016</v>
      </c>
      <c r="G5" s="61" t="s">
        <v>565</v>
      </c>
      <c r="H5" s="54">
        <v>4493</v>
      </c>
      <c r="I5" s="55" t="s">
        <v>1</v>
      </c>
      <c r="J5" s="54" t="s">
        <v>81</v>
      </c>
      <c r="K5" s="57">
        <v>40835</v>
      </c>
      <c r="L5" s="156"/>
      <c r="M5" s="142"/>
      <c r="N5" s="54" t="s">
        <v>2</v>
      </c>
      <c r="O5" s="155">
        <v>3.6</v>
      </c>
      <c r="P5" s="54">
        <v>7</v>
      </c>
      <c r="Q5" s="155">
        <v>6.6</v>
      </c>
      <c r="R5" s="54">
        <v>44</v>
      </c>
      <c r="S5" s="155">
        <v>56</v>
      </c>
      <c r="T5" s="54">
        <v>0.13</v>
      </c>
      <c r="U5" s="155">
        <v>1.8</v>
      </c>
      <c r="V5" s="54">
        <v>0.9</v>
      </c>
      <c r="W5" s="155">
        <v>2.3E-2</v>
      </c>
      <c r="X5" s="54">
        <v>6.9000000000000006E-2</v>
      </c>
      <c r="Y5" s="155">
        <f>0.03/2</f>
        <v>1.4999999999999999E-2</v>
      </c>
      <c r="Z5" s="236">
        <v>1</v>
      </c>
      <c r="AA5" s="237">
        <v>1</v>
      </c>
      <c r="AB5" s="142">
        <v>26</v>
      </c>
      <c r="AC5" s="143">
        <v>244</v>
      </c>
      <c r="AD5" s="236">
        <v>0.85</v>
      </c>
      <c r="AE5" s="142">
        <v>1.88</v>
      </c>
      <c r="AF5" s="142">
        <v>1.04</v>
      </c>
      <c r="AG5" s="328" t="s">
        <v>1017</v>
      </c>
      <c r="AI5" s="97"/>
    </row>
    <row r="6" spans="1:37" ht="15" customHeight="1">
      <c r="A6" s="235" t="s">
        <v>38</v>
      </c>
      <c r="B6" s="54" t="s">
        <v>566</v>
      </c>
      <c r="C6" s="54" t="s">
        <v>566</v>
      </c>
      <c r="D6" s="56" t="s">
        <v>567</v>
      </c>
      <c r="E6" s="54" t="s">
        <v>1018</v>
      </c>
      <c r="F6" s="54" t="s">
        <v>1019</v>
      </c>
      <c r="G6" s="61" t="s">
        <v>568</v>
      </c>
      <c r="H6" s="54">
        <v>7997</v>
      </c>
      <c r="I6" s="55" t="s">
        <v>1</v>
      </c>
      <c r="J6" s="54" t="s">
        <v>194</v>
      </c>
      <c r="K6" s="57">
        <v>40869</v>
      </c>
      <c r="L6" s="156">
        <v>40863</v>
      </c>
      <c r="M6" s="142">
        <v>6</v>
      </c>
      <c r="N6" s="54" t="s">
        <v>2</v>
      </c>
      <c r="O6" s="155">
        <f>1/2</f>
        <v>0.5</v>
      </c>
      <c r="P6" s="54">
        <v>5.21</v>
      </c>
      <c r="Q6" s="155">
        <v>7.24</v>
      </c>
      <c r="R6" s="54">
        <v>62</v>
      </c>
      <c r="S6" s="155">
        <v>2</v>
      </c>
      <c r="T6" s="54">
        <v>0.41</v>
      </c>
      <c r="U6" s="155">
        <v>1.68</v>
      </c>
      <c r="V6" s="54">
        <v>0.59</v>
      </c>
      <c r="W6" s="155">
        <v>0.09</v>
      </c>
      <c r="X6" s="54">
        <v>0.09</v>
      </c>
      <c r="Y6" s="155">
        <f>0.05/2</f>
        <v>2.5000000000000001E-2</v>
      </c>
      <c r="Z6" s="236"/>
      <c r="AA6" s="236"/>
      <c r="AB6" s="144"/>
      <c r="AC6" s="144"/>
      <c r="AD6" s="236"/>
      <c r="AE6" s="138">
        <v>0.25</v>
      </c>
      <c r="AF6" s="138">
        <v>0.1</v>
      </c>
      <c r="AG6" s="328" t="s">
        <v>1020</v>
      </c>
      <c r="AI6" s="97"/>
    </row>
    <row r="7" spans="1:37" ht="15" customHeight="1">
      <c r="A7" s="235" t="s">
        <v>38</v>
      </c>
      <c r="B7" s="54" t="s">
        <v>566</v>
      </c>
      <c r="C7" s="54" t="s">
        <v>566</v>
      </c>
      <c r="D7" s="56" t="s">
        <v>567</v>
      </c>
      <c r="E7" s="54" t="s">
        <v>1018</v>
      </c>
      <c r="F7" s="54" t="s">
        <v>1019</v>
      </c>
      <c r="G7" s="61" t="s">
        <v>568</v>
      </c>
      <c r="H7" s="54">
        <v>7997</v>
      </c>
      <c r="I7" s="55" t="s">
        <v>1</v>
      </c>
      <c r="J7" s="54" t="s">
        <v>569</v>
      </c>
      <c r="K7" s="57">
        <v>40869</v>
      </c>
      <c r="L7" s="156">
        <v>40863</v>
      </c>
      <c r="M7" s="142">
        <v>6</v>
      </c>
      <c r="N7" s="54" t="s">
        <v>2</v>
      </c>
      <c r="O7" s="155">
        <f>1/2</f>
        <v>0.5</v>
      </c>
      <c r="P7" s="54">
        <v>5.21</v>
      </c>
      <c r="Q7" s="155">
        <v>6.24</v>
      </c>
      <c r="R7" s="54">
        <v>31</v>
      </c>
      <c r="S7" s="155">
        <v>3</v>
      </c>
      <c r="T7" s="54">
        <v>0.15</v>
      </c>
      <c r="U7" s="155">
        <v>0.7</v>
      </c>
      <c r="V7" s="54">
        <v>0.54</v>
      </c>
      <c r="W7" s="155">
        <f>0.05/2</f>
        <v>2.5000000000000001E-2</v>
      </c>
      <c r="X7" s="54">
        <v>0.05</v>
      </c>
      <c r="Y7" s="155">
        <f>0.05/2</f>
        <v>2.5000000000000001E-2</v>
      </c>
      <c r="Z7" s="236"/>
      <c r="AA7" s="236"/>
      <c r="AB7" s="144"/>
      <c r="AC7" s="144"/>
      <c r="AD7" s="236"/>
      <c r="AE7" s="138">
        <v>0.13</v>
      </c>
      <c r="AF7" s="138">
        <v>0.12</v>
      </c>
      <c r="AG7" s="328">
        <v>450</v>
      </c>
      <c r="AI7" s="97"/>
    </row>
    <row r="8" spans="1:37" ht="15" customHeight="1">
      <c r="A8" s="235" t="s">
        <v>38</v>
      </c>
      <c r="B8" s="54" t="s">
        <v>570</v>
      </c>
      <c r="C8" s="54" t="s">
        <v>570</v>
      </c>
      <c r="D8" s="56" t="s">
        <v>567</v>
      </c>
      <c r="E8" s="54" t="s">
        <v>1021</v>
      </c>
      <c r="F8" s="54" t="s">
        <v>1022</v>
      </c>
      <c r="G8" s="61" t="s">
        <v>571</v>
      </c>
      <c r="H8" s="54">
        <v>7997</v>
      </c>
      <c r="I8" s="55" t="s">
        <v>1</v>
      </c>
      <c r="J8" s="54" t="s">
        <v>194</v>
      </c>
      <c r="K8" s="57">
        <v>40869</v>
      </c>
      <c r="L8" s="156">
        <v>40863</v>
      </c>
      <c r="M8" s="142">
        <v>6</v>
      </c>
      <c r="N8" s="54" t="s">
        <v>2</v>
      </c>
      <c r="O8" s="155">
        <v>7.1</v>
      </c>
      <c r="P8" s="54">
        <v>4.79</v>
      </c>
      <c r="Q8" s="155">
        <v>7.4</v>
      </c>
      <c r="R8" s="54">
        <v>185</v>
      </c>
      <c r="S8" s="155">
        <v>228</v>
      </c>
      <c r="T8" s="54">
        <v>2.4500000000000002</v>
      </c>
      <c r="U8" s="155">
        <v>21.9</v>
      </c>
      <c r="V8" s="54">
        <v>1.55</v>
      </c>
      <c r="W8" s="155">
        <v>4.2</v>
      </c>
      <c r="X8" s="54">
        <v>1.54</v>
      </c>
      <c r="Y8" s="155">
        <f>0.05/2</f>
        <v>2.5000000000000001E-2</v>
      </c>
      <c r="Z8" s="236"/>
      <c r="AA8" s="236"/>
      <c r="AB8" s="144"/>
      <c r="AC8" s="144"/>
      <c r="AD8" s="236"/>
      <c r="AE8" s="138">
        <v>10.6</v>
      </c>
      <c r="AF8" s="138">
        <v>3.02</v>
      </c>
      <c r="AG8" s="328">
        <v>110</v>
      </c>
      <c r="AI8" s="97"/>
    </row>
    <row r="9" spans="1:37" ht="15" customHeight="1">
      <c r="A9" s="235" t="s">
        <v>38</v>
      </c>
      <c r="B9" s="54" t="s">
        <v>570</v>
      </c>
      <c r="C9" s="54" t="s">
        <v>570</v>
      </c>
      <c r="D9" s="56" t="s">
        <v>567</v>
      </c>
      <c r="E9" s="54" t="s">
        <v>1021</v>
      </c>
      <c r="F9" s="54" t="s">
        <v>1022</v>
      </c>
      <c r="G9" s="61" t="s">
        <v>571</v>
      </c>
      <c r="H9" s="54">
        <v>7997</v>
      </c>
      <c r="I9" s="55" t="s">
        <v>1</v>
      </c>
      <c r="J9" s="54" t="s">
        <v>569</v>
      </c>
      <c r="K9" s="57">
        <v>40869</v>
      </c>
      <c r="L9" s="156">
        <v>40863</v>
      </c>
      <c r="M9" s="142">
        <v>6</v>
      </c>
      <c r="N9" s="54" t="s">
        <v>2</v>
      </c>
      <c r="O9" s="155">
        <f>1/2</f>
        <v>0.5</v>
      </c>
      <c r="P9" s="54">
        <v>4.79</v>
      </c>
      <c r="Q9" s="155">
        <v>7.04</v>
      </c>
      <c r="R9" s="54">
        <v>92</v>
      </c>
      <c r="S9" s="155">
        <v>28</v>
      </c>
      <c r="T9" s="54">
        <v>0.28999999999999998</v>
      </c>
      <c r="U9" s="155">
        <v>1.75</v>
      </c>
      <c r="V9" s="54">
        <v>2.04</v>
      </c>
      <c r="W9" s="155">
        <f>0.05/2</f>
        <v>2.5000000000000001E-2</v>
      </c>
      <c r="X9" s="54">
        <v>0.04</v>
      </c>
      <c r="Y9" s="155">
        <f>0.05/2</f>
        <v>2.5000000000000001E-2</v>
      </c>
      <c r="Z9" s="236"/>
      <c r="AA9" s="236"/>
      <c r="AB9" s="144"/>
      <c r="AC9" s="144"/>
      <c r="AD9" s="236"/>
      <c r="AE9" s="138">
        <v>1.23</v>
      </c>
      <c r="AF9" s="138">
        <v>0.34</v>
      </c>
      <c r="AG9" s="328">
        <v>112</v>
      </c>
      <c r="AI9" s="97"/>
    </row>
    <row r="10" spans="1:37" ht="15" customHeight="1">
      <c r="A10" s="235" t="s">
        <v>38</v>
      </c>
      <c r="B10" s="54" t="s">
        <v>572</v>
      </c>
      <c r="C10" s="54" t="s">
        <v>572</v>
      </c>
      <c r="D10" s="56" t="s">
        <v>567</v>
      </c>
      <c r="E10" s="54" t="s">
        <v>1023</v>
      </c>
      <c r="F10" s="54" t="s">
        <v>1024</v>
      </c>
      <c r="G10" s="61" t="s">
        <v>573</v>
      </c>
      <c r="H10" s="54">
        <v>7997</v>
      </c>
      <c r="I10" s="55" t="s">
        <v>1</v>
      </c>
      <c r="J10" s="54" t="s">
        <v>574</v>
      </c>
      <c r="K10" s="57">
        <v>40869</v>
      </c>
      <c r="L10" s="156">
        <v>40863</v>
      </c>
      <c r="M10" s="142">
        <v>6</v>
      </c>
      <c r="N10" s="54" t="s">
        <v>2</v>
      </c>
      <c r="O10" s="155">
        <f>1/2</f>
        <v>0.5</v>
      </c>
      <c r="P10" s="54">
        <v>6.12</v>
      </c>
      <c r="Q10" s="155">
        <v>6.95</v>
      </c>
      <c r="R10" s="54">
        <v>68</v>
      </c>
      <c r="S10" s="155">
        <v>6</v>
      </c>
      <c r="T10" s="54">
        <v>0.15</v>
      </c>
      <c r="U10" s="155">
        <v>0.91</v>
      </c>
      <c r="V10" s="54">
        <v>1.35</v>
      </c>
      <c r="W10" s="155">
        <f>0.05/2</f>
        <v>2.5000000000000001E-2</v>
      </c>
      <c r="X10" s="54">
        <v>0.08</v>
      </c>
      <c r="Y10" s="155">
        <f>0.05/2</f>
        <v>2.5000000000000001E-2</v>
      </c>
      <c r="Z10" s="236"/>
      <c r="AA10" s="236"/>
      <c r="AB10" s="144"/>
      <c r="AC10" s="144"/>
      <c r="AD10" s="236"/>
      <c r="AE10" s="138">
        <v>0.18</v>
      </c>
      <c r="AF10" s="138">
        <v>0.19</v>
      </c>
      <c r="AG10" s="328">
        <v>73</v>
      </c>
      <c r="AI10" s="97"/>
    </row>
    <row r="11" spans="1:37" ht="15" customHeight="1">
      <c r="A11" s="235" t="s">
        <v>38</v>
      </c>
      <c r="B11" s="54" t="s">
        <v>580</v>
      </c>
      <c r="C11" s="54" t="s">
        <v>580</v>
      </c>
      <c r="D11" s="56" t="s">
        <v>186</v>
      </c>
      <c r="E11" s="54" t="s">
        <v>581</v>
      </c>
      <c r="F11" s="54"/>
      <c r="G11" s="61" t="s">
        <v>582</v>
      </c>
      <c r="H11" s="54">
        <v>5551</v>
      </c>
      <c r="I11" s="55" t="s">
        <v>1</v>
      </c>
      <c r="J11" s="54" t="s">
        <v>81</v>
      </c>
      <c r="K11" s="57">
        <v>40857</v>
      </c>
      <c r="L11" s="156">
        <v>40846</v>
      </c>
      <c r="M11" s="142">
        <v>11</v>
      </c>
      <c r="N11" s="54" t="s">
        <v>2</v>
      </c>
      <c r="O11" s="155">
        <f>5/2</f>
        <v>2.5</v>
      </c>
      <c r="P11" s="54">
        <v>5.28</v>
      </c>
      <c r="Q11" s="155">
        <v>7.2</v>
      </c>
      <c r="R11" s="54">
        <v>117</v>
      </c>
      <c r="S11" s="155">
        <v>14</v>
      </c>
      <c r="T11" s="54">
        <v>0.2</v>
      </c>
      <c r="U11" s="155">
        <f>0.5/2</f>
        <v>0.25</v>
      </c>
      <c r="V11" s="54">
        <v>1.24</v>
      </c>
      <c r="W11" s="155">
        <v>0.10299999999999999</v>
      </c>
      <c r="X11" s="54">
        <v>0.08</v>
      </c>
      <c r="Y11" s="155">
        <v>8.9999999999999993E-3</v>
      </c>
      <c r="Z11" s="236"/>
      <c r="AA11" s="236"/>
      <c r="AB11" s="144"/>
      <c r="AC11" s="144"/>
      <c r="AD11" s="236"/>
      <c r="AE11" s="138">
        <v>0.55000000000000004</v>
      </c>
      <c r="AF11" s="138">
        <v>0.67</v>
      </c>
      <c r="AI11" s="97"/>
    </row>
    <row r="12" spans="1:37" ht="15" customHeight="1">
      <c r="A12" s="235" t="s">
        <v>38</v>
      </c>
      <c r="B12" s="54" t="s">
        <v>677</v>
      </c>
      <c r="C12" s="54" t="s">
        <v>678</v>
      </c>
      <c r="D12" s="56" t="s">
        <v>434</v>
      </c>
      <c r="E12" s="54" t="s">
        <v>304</v>
      </c>
      <c r="F12" s="54"/>
      <c r="G12" s="61" t="s">
        <v>679</v>
      </c>
      <c r="H12" s="54">
        <v>4493</v>
      </c>
      <c r="I12" s="55" t="s">
        <v>1</v>
      </c>
      <c r="J12" s="54" t="s">
        <v>641</v>
      </c>
      <c r="K12" s="57">
        <v>40835</v>
      </c>
      <c r="L12" s="156">
        <v>40830</v>
      </c>
      <c r="M12" s="142">
        <v>5</v>
      </c>
      <c r="N12" s="54" t="s">
        <v>2</v>
      </c>
      <c r="O12" s="155">
        <f>2.5/2</f>
        <v>1.25</v>
      </c>
      <c r="P12" s="54">
        <v>5.4</v>
      </c>
      <c r="Q12" s="155">
        <v>6.49</v>
      </c>
      <c r="R12" s="54">
        <v>120</v>
      </c>
      <c r="S12" s="155">
        <v>8</v>
      </c>
      <c r="T12" s="54">
        <f>0.1/2</f>
        <v>0.05</v>
      </c>
      <c r="U12" s="155">
        <f>0.5/2</f>
        <v>0.25</v>
      </c>
      <c r="V12" s="54">
        <v>0.3</v>
      </c>
      <c r="W12" s="155">
        <v>0.26</v>
      </c>
      <c r="X12" s="54">
        <v>0.16</v>
      </c>
      <c r="Y12" s="155">
        <f>0.013/2</f>
        <v>6.4999999999999997E-3</v>
      </c>
      <c r="Z12" s="236">
        <v>6.25E-2</v>
      </c>
      <c r="AA12" s="237">
        <v>6.25E-2</v>
      </c>
      <c r="AB12" s="142">
        <v>4.8</v>
      </c>
      <c r="AC12" s="143">
        <v>47</v>
      </c>
      <c r="AD12" s="236">
        <v>0</v>
      </c>
      <c r="AE12" s="138">
        <v>0.21</v>
      </c>
      <c r="AF12" s="138">
        <v>0.12</v>
      </c>
      <c r="AG12" s="238">
        <v>118</v>
      </c>
      <c r="AI12" s="97"/>
    </row>
    <row r="13" spans="1:37" ht="15" customHeight="1">
      <c r="A13" s="235" t="s">
        <v>38</v>
      </c>
      <c r="B13" s="54" t="s">
        <v>677</v>
      </c>
      <c r="C13" s="54" t="s">
        <v>678</v>
      </c>
      <c r="D13" s="56" t="s">
        <v>434</v>
      </c>
      <c r="E13" s="54" t="s">
        <v>304</v>
      </c>
      <c r="F13" s="54"/>
      <c r="G13" s="61" t="s">
        <v>679</v>
      </c>
      <c r="H13" s="54">
        <v>4493</v>
      </c>
      <c r="I13" s="55" t="s">
        <v>1</v>
      </c>
      <c r="J13" s="54" t="s">
        <v>643</v>
      </c>
      <c r="K13" s="57">
        <v>40835</v>
      </c>
      <c r="L13" s="156">
        <v>40830</v>
      </c>
      <c r="M13" s="142">
        <v>5</v>
      </c>
      <c r="N13" s="54" t="s">
        <v>2</v>
      </c>
      <c r="O13" s="155">
        <f>2.5/2</f>
        <v>1.25</v>
      </c>
      <c r="P13" s="54">
        <v>5.4</v>
      </c>
      <c r="Q13" s="155">
        <v>6.22</v>
      </c>
      <c r="R13" s="54">
        <v>18</v>
      </c>
      <c r="S13" s="155">
        <v>21</v>
      </c>
      <c r="T13" s="54">
        <f>0.1/2</f>
        <v>0.05</v>
      </c>
      <c r="U13" s="155">
        <f>0.5/2</f>
        <v>0.25</v>
      </c>
      <c r="V13" s="54">
        <v>0.21</v>
      </c>
      <c r="W13" s="155">
        <v>9.8000000000000004E-2</v>
      </c>
      <c r="X13" s="54">
        <v>0.09</v>
      </c>
      <c r="Y13" s="155">
        <f>0.013/2</f>
        <v>6.4999999999999997E-3</v>
      </c>
      <c r="Z13" s="236">
        <v>1</v>
      </c>
      <c r="AA13" s="237">
        <v>0.70699999999999996</v>
      </c>
      <c r="AB13" s="142">
        <v>6.6</v>
      </c>
      <c r="AC13" s="143">
        <v>23</v>
      </c>
      <c r="AD13" s="236">
        <v>0</v>
      </c>
      <c r="AE13" s="138">
        <v>1.9</v>
      </c>
      <c r="AF13" s="138">
        <v>0.94</v>
      </c>
      <c r="AG13" s="238">
        <v>1600</v>
      </c>
      <c r="AI13" s="97"/>
    </row>
    <row r="14" spans="1:37" ht="15" customHeight="1">
      <c r="A14" s="41" t="s">
        <v>38</v>
      </c>
      <c r="B14" s="50" t="s">
        <v>1203</v>
      </c>
      <c r="C14" s="50" t="s">
        <v>1204</v>
      </c>
      <c r="D14" s="48" t="s">
        <v>564</v>
      </c>
      <c r="E14" s="50" t="s">
        <v>44</v>
      </c>
      <c r="G14" s="76" t="s">
        <v>1205</v>
      </c>
      <c r="I14" s="49" t="s">
        <v>2</v>
      </c>
      <c r="J14" s="50" t="s">
        <v>1206</v>
      </c>
      <c r="K14" s="51">
        <v>40920</v>
      </c>
      <c r="L14" s="146"/>
      <c r="M14" s="85"/>
      <c r="N14" s="50" t="s">
        <v>2</v>
      </c>
      <c r="O14" s="74">
        <f>5/2</f>
        <v>2.5</v>
      </c>
      <c r="P14" s="50">
        <v>6</v>
      </c>
      <c r="Q14" s="74">
        <v>5</v>
      </c>
      <c r="R14" s="50">
        <f>2/2</f>
        <v>1</v>
      </c>
      <c r="S14" s="74">
        <v>4</v>
      </c>
      <c r="T14" s="50">
        <f>0.02/2</f>
        <v>0.01</v>
      </c>
      <c r="U14" s="74">
        <v>0.61</v>
      </c>
      <c r="V14" s="50">
        <v>0.54</v>
      </c>
      <c r="W14" s="74">
        <v>3.1E-2</v>
      </c>
      <c r="X14" s="50">
        <f>0.02/2</f>
        <v>0.01</v>
      </c>
      <c r="Y14" s="74">
        <f>0.001/2</f>
        <v>5.0000000000000001E-4</v>
      </c>
      <c r="Z14" s="236">
        <v>0.53600000000000003</v>
      </c>
      <c r="AA14" s="237">
        <v>0.52300000000000002</v>
      </c>
      <c r="AB14" s="85">
        <f>1/2</f>
        <v>0.5</v>
      </c>
      <c r="AC14" s="130">
        <v>9</v>
      </c>
      <c r="AD14" s="239">
        <v>0</v>
      </c>
      <c r="AE14" s="121">
        <f>0.05/2</f>
        <v>2.5000000000000001E-2</v>
      </c>
      <c r="AF14" s="121">
        <f>0.1/2</f>
        <v>0.05</v>
      </c>
      <c r="AI14" s="97"/>
    </row>
    <row r="15" spans="1:37" ht="15" customHeight="1">
      <c r="A15" s="41" t="s">
        <v>38</v>
      </c>
      <c r="B15" s="50" t="s">
        <v>1203</v>
      </c>
      <c r="C15" s="50" t="s">
        <v>1204</v>
      </c>
      <c r="D15" s="48" t="s">
        <v>564</v>
      </c>
      <c r="E15" s="50" t="s">
        <v>44</v>
      </c>
      <c r="G15" s="76" t="s">
        <v>1205</v>
      </c>
      <c r="I15" s="49" t="s">
        <v>2</v>
      </c>
      <c r="J15" s="50" t="s">
        <v>1207</v>
      </c>
      <c r="K15" s="51">
        <v>40920</v>
      </c>
      <c r="L15" s="146"/>
      <c r="M15" s="85"/>
      <c r="N15" s="50" t="s">
        <v>2</v>
      </c>
      <c r="O15" s="74">
        <f>5/2</f>
        <v>2.5</v>
      </c>
      <c r="P15" s="50">
        <v>6</v>
      </c>
      <c r="Q15" s="74">
        <v>5.3</v>
      </c>
      <c r="R15" s="50">
        <v>5.49</v>
      </c>
      <c r="S15" s="74">
        <v>16</v>
      </c>
      <c r="T15" s="50">
        <f>0.02/2</f>
        <v>0.01</v>
      </c>
      <c r="U15" s="74">
        <f>0.5/2</f>
        <v>0.25</v>
      </c>
      <c r="V15" s="50">
        <v>0.54</v>
      </c>
      <c r="W15" s="74">
        <v>7.6999999999999999E-2</v>
      </c>
      <c r="X15" s="50">
        <f>0.02/2</f>
        <v>0.01</v>
      </c>
      <c r="Y15" s="74">
        <f>0.001</f>
        <v>1E-3</v>
      </c>
      <c r="Z15" s="236">
        <v>0.17100000000000001</v>
      </c>
      <c r="AA15" s="237">
        <v>0.159</v>
      </c>
      <c r="AB15" s="85">
        <v>0.14000000000000001</v>
      </c>
      <c r="AC15" s="130">
        <f>0.1/2</f>
        <v>0.05</v>
      </c>
      <c r="AD15" s="239">
        <v>0</v>
      </c>
      <c r="AE15" s="121">
        <v>0.14000000000000001</v>
      </c>
      <c r="AF15" s="121">
        <f>0.1/2</f>
        <v>0.05</v>
      </c>
      <c r="AI15" s="97"/>
    </row>
    <row r="16" spans="1:37" ht="15" customHeight="1">
      <c r="A16" s="41" t="s">
        <v>38</v>
      </c>
      <c r="B16" s="50" t="s">
        <v>1208</v>
      </c>
      <c r="D16" s="48" t="s">
        <v>559</v>
      </c>
      <c r="G16" s="76" t="s">
        <v>1209</v>
      </c>
      <c r="I16" s="49" t="s">
        <v>2</v>
      </c>
      <c r="K16" s="51">
        <v>40884</v>
      </c>
      <c r="L16" s="146">
        <v>40876</v>
      </c>
      <c r="M16" s="85">
        <f>K16-L16</f>
        <v>8</v>
      </c>
      <c r="N16" s="50" t="s">
        <v>2</v>
      </c>
      <c r="O16" s="74">
        <f>2/2</f>
        <v>1</v>
      </c>
      <c r="P16" s="50">
        <v>5.37</v>
      </c>
      <c r="Q16" s="74">
        <v>6.49</v>
      </c>
      <c r="R16" s="50">
        <v>6</v>
      </c>
      <c r="S16" s="74">
        <v>72</v>
      </c>
      <c r="T16" s="50">
        <v>0.02</v>
      </c>
      <c r="U16" s="74">
        <f>0.014</f>
        <v>1.4E-2</v>
      </c>
      <c r="V16" s="50">
        <v>0.33</v>
      </c>
      <c r="W16" s="74">
        <v>0.03</v>
      </c>
      <c r="X16" s="50">
        <v>0.06</v>
      </c>
      <c r="Y16" s="74">
        <f>0.002/2</f>
        <v>1E-3</v>
      </c>
      <c r="Z16" s="236">
        <v>1</v>
      </c>
      <c r="AA16" s="237">
        <v>1</v>
      </c>
      <c r="AB16" s="85">
        <v>206</v>
      </c>
      <c r="AC16" s="130">
        <v>2490</v>
      </c>
      <c r="AD16" s="166">
        <v>1</v>
      </c>
      <c r="AE16" s="121">
        <v>3.65</v>
      </c>
      <c r="AF16" s="121">
        <v>2.35</v>
      </c>
      <c r="AI16" s="96"/>
    </row>
    <row r="17" spans="1:35" ht="15" customHeight="1">
      <c r="A17" s="41" t="s">
        <v>38</v>
      </c>
      <c r="B17" s="50" t="s">
        <v>1210</v>
      </c>
      <c r="D17" s="48" t="s">
        <v>406</v>
      </c>
      <c r="E17" s="50" t="s">
        <v>664</v>
      </c>
      <c r="F17" s="50" t="s">
        <v>1211</v>
      </c>
      <c r="G17" s="76" t="s">
        <v>1212</v>
      </c>
      <c r="H17" s="50">
        <v>7997</v>
      </c>
      <c r="I17" s="49" t="s">
        <v>2</v>
      </c>
      <c r="J17" s="50" t="s">
        <v>1213</v>
      </c>
      <c r="K17" s="51">
        <v>40920</v>
      </c>
      <c r="L17" s="146">
        <v>40899</v>
      </c>
      <c r="M17" s="85">
        <f>K17-L17</f>
        <v>21</v>
      </c>
      <c r="N17" s="50" t="s">
        <v>2</v>
      </c>
      <c r="O17" s="74">
        <f>5/2</f>
        <v>2.5</v>
      </c>
      <c r="P17" s="50">
        <v>5</v>
      </c>
      <c r="Q17" s="74">
        <v>7.02</v>
      </c>
      <c r="R17" s="50">
        <v>26.7</v>
      </c>
      <c r="S17" s="74">
        <v>181</v>
      </c>
      <c r="T17" s="50">
        <v>0.32</v>
      </c>
      <c r="U17" s="74">
        <f>0.5/2</f>
        <v>0.25</v>
      </c>
      <c r="V17" s="50">
        <v>0.65</v>
      </c>
      <c r="W17" s="74">
        <v>0.20399999999999999</v>
      </c>
      <c r="X17" s="50">
        <v>0.08</v>
      </c>
      <c r="Y17" s="74">
        <v>4.0000000000000001E-3</v>
      </c>
      <c r="Z17" s="239"/>
      <c r="AA17" s="240"/>
      <c r="AB17" s="85"/>
      <c r="AC17" s="130"/>
      <c r="AD17" s="239"/>
      <c r="AE17" s="121">
        <v>1.55</v>
      </c>
      <c r="AF17" s="121">
        <v>1.05</v>
      </c>
      <c r="AI17" s="97"/>
    </row>
    <row r="18" spans="1:35" ht="15" customHeight="1">
      <c r="A18" s="402" t="s">
        <v>38</v>
      </c>
      <c r="B18" s="50" t="s">
        <v>1544</v>
      </c>
      <c r="C18" s="50" t="s">
        <v>1545</v>
      </c>
      <c r="D18" s="48" t="s">
        <v>443</v>
      </c>
      <c r="E18" s="50" t="s">
        <v>1546</v>
      </c>
      <c r="G18" s="76" t="s">
        <v>1547</v>
      </c>
      <c r="H18" s="50">
        <v>4493</v>
      </c>
      <c r="I18" s="49" t="s">
        <v>1</v>
      </c>
      <c r="J18" s="50" t="s">
        <v>1508</v>
      </c>
      <c r="K18" s="51">
        <v>40996</v>
      </c>
      <c r="L18" s="115">
        <v>40993</v>
      </c>
      <c r="M18" s="50">
        <v>3</v>
      </c>
      <c r="N18" s="50" t="s">
        <v>2</v>
      </c>
      <c r="O18" s="74">
        <f>5/2</f>
        <v>2.5</v>
      </c>
      <c r="P18" s="50">
        <v>6.12</v>
      </c>
      <c r="Q18" s="74">
        <v>7.5</v>
      </c>
      <c r="R18" s="50">
        <v>321</v>
      </c>
      <c r="S18" s="74">
        <v>840</v>
      </c>
      <c r="T18" s="50">
        <v>2.98</v>
      </c>
      <c r="U18" s="74">
        <v>4.83</v>
      </c>
      <c r="V18" s="50">
        <v>0.99</v>
      </c>
      <c r="W18" s="74">
        <v>0.184</v>
      </c>
      <c r="X18" s="50">
        <v>0.15</v>
      </c>
      <c r="Y18" s="74">
        <v>3.7999999999999999E-2</v>
      </c>
      <c r="Z18" s="236">
        <v>1</v>
      </c>
      <c r="AA18" s="237">
        <v>1</v>
      </c>
      <c r="AB18" s="50">
        <v>56.7</v>
      </c>
      <c r="AC18" s="74">
        <v>130</v>
      </c>
      <c r="AD18" s="166">
        <v>1</v>
      </c>
      <c r="AE18" s="50">
        <v>10.8</v>
      </c>
      <c r="AF18" s="50">
        <v>7.11</v>
      </c>
      <c r="AH18" s="114">
        <f>0.001/2</f>
        <v>5.0000000000000001E-4</v>
      </c>
      <c r="AI18" s="97"/>
    </row>
    <row r="19" spans="1:35" ht="15" customHeight="1">
      <c r="A19" s="41" t="s">
        <v>38</v>
      </c>
      <c r="B19" s="50" t="s">
        <v>1548</v>
      </c>
      <c r="C19" s="50" t="s">
        <v>1549</v>
      </c>
      <c r="D19" s="48" t="s">
        <v>1550</v>
      </c>
      <c r="E19" s="50" t="s">
        <v>1546</v>
      </c>
      <c r="G19" s="76" t="s">
        <v>1551</v>
      </c>
      <c r="H19" s="50">
        <v>4493</v>
      </c>
      <c r="I19" s="49" t="s">
        <v>2</v>
      </c>
      <c r="J19" s="50" t="s">
        <v>1552</v>
      </c>
      <c r="K19" s="51">
        <v>41156</v>
      </c>
      <c r="L19" s="115">
        <v>41139</v>
      </c>
      <c r="M19" s="50">
        <v>17</v>
      </c>
      <c r="N19" s="50" t="s">
        <v>2</v>
      </c>
      <c r="O19" s="74">
        <v>1.4</v>
      </c>
      <c r="P19" s="50">
        <v>5</v>
      </c>
      <c r="Q19" s="74">
        <v>6.6</v>
      </c>
      <c r="R19" s="50">
        <v>48</v>
      </c>
      <c r="S19" s="74">
        <v>65</v>
      </c>
      <c r="T19" s="50">
        <v>0.4</v>
      </c>
      <c r="U19" s="74">
        <v>1.2</v>
      </c>
      <c r="V19" s="50">
        <v>1</v>
      </c>
      <c r="W19" s="74">
        <v>0.61</v>
      </c>
      <c r="X19" s="50">
        <v>0.1</v>
      </c>
      <c r="Y19" s="74">
        <v>4.7000000000000002E-3</v>
      </c>
      <c r="AE19" s="50">
        <v>5.3</v>
      </c>
      <c r="AF19" s="50">
        <v>3.2</v>
      </c>
      <c r="AI19" s="97"/>
    </row>
    <row r="20" spans="1:35" ht="15" customHeight="1">
      <c r="A20" s="41" t="s">
        <v>38</v>
      </c>
      <c r="B20" s="50" t="s">
        <v>1553</v>
      </c>
      <c r="C20" s="50" t="s">
        <v>1554</v>
      </c>
      <c r="D20" s="48" t="s">
        <v>1537</v>
      </c>
      <c r="E20" s="50" t="s">
        <v>1555</v>
      </c>
      <c r="G20" s="76" t="s">
        <v>1556</v>
      </c>
      <c r="I20" s="49" t="s">
        <v>2</v>
      </c>
      <c r="J20" s="50" t="s">
        <v>1558</v>
      </c>
      <c r="K20" s="51">
        <v>41171</v>
      </c>
      <c r="L20" s="115"/>
      <c r="N20" s="50" t="s">
        <v>2</v>
      </c>
      <c r="O20" s="74">
        <v>2</v>
      </c>
      <c r="P20" s="50">
        <v>5.98</v>
      </c>
      <c r="Q20" s="74">
        <v>5.81</v>
      </c>
      <c r="R20" s="50">
        <v>132</v>
      </c>
      <c r="S20" s="74">
        <v>20</v>
      </c>
      <c r="T20" s="50">
        <v>0.33500000000000002</v>
      </c>
      <c r="U20" s="74">
        <v>1.68</v>
      </c>
      <c r="V20" s="50">
        <v>0.1</v>
      </c>
      <c r="W20" s="74">
        <v>0.20100000000000001</v>
      </c>
      <c r="X20" s="50">
        <v>0.127</v>
      </c>
      <c r="Y20" s="74">
        <f>0.0075/2</f>
        <v>3.7499999999999999E-3</v>
      </c>
      <c r="Z20" s="236">
        <v>1</v>
      </c>
      <c r="AA20" s="237">
        <v>1</v>
      </c>
      <c r="AB20" s="50">
        <v>48</v>
      </c>
      <c r="AC20" s="74">
        <v>273</v>
      </c>
      <c r="AD20" s="166">
        <v>1</v>
      </c>
      <c r="AE20" s="50">
        <v>0.29899999999999999</v>
      </c>
      <c r="AF20" s="50">
        <v>0.17199999999999999</v>
      </c>
      <c r="AI20" s="97"/>
    </row>
    <row r="21" spans="1:35" ht="15" customHeight="1">
      <c r="A21" s="41" t="s">
        <v>38</v>
      </c>
      <c r="B21" s="50" t="s">
        <v>1559</v>
      </c>
      <c r="C21" s="50" t="s">
        <v>1559</v>
      </c>
      <c r="D21" s="48" t="s">
        <v>303</v>
      </c>
      <c r="E21" s="50" t="s">
        <v>1560</v>
      </c>
      <c r="G21" s="76" t="s">
        <v>1561</v>
      </c>
      <c r="H21" s="50">
        <v>4493</v>
      </c>
      <c r="I21" s="49" t="s">
        <v>1</v>
      </c>
      <c r="J21" s="50" t="s">
        <v>1562</v>
      </c>
      <c r="K21" s="51">
        <v>41148</v>
      </c>
      <c r="L21" s="115">
        <v>41139</v>
      </c>
      <c r="M21" s="50">
        <v>9</v>
      </c>
      <c r="N21" s="50" t="s">
        <v>2</v>
      </c>
      <c r="O21" s="74">
        <v>1.6</v>
      </c>
      <c r="Q21" s="74">
        <v>6.8</v>
      </c>
      <c r="R21" s="50">
        <v>120</v>
      </c>
      <c r="S21" s="74">
        <v>220</v>
      </c>
      <c r="T21" s="50">
        <v>1.19</v>
      </c>
      <c r="U21" s="74">
        <v>4.22</v>
      </c>
      <c r="V21" s="50">
        <v>5.01</v>
      </c>
      <c r="W21" s="74">
        <v>2.8</v>
      </c>
      <c r="X21" s="50">
        <v>0.38700000000000001</v>
      </c>
      <c r="Y21" s="74">
        <v>2.1000000000000001E-2</v>
      </c>
      <c r="AE21" s="50">
        <v>14.5</v>
      </c>
      <c r="AF21" s="50">
        <v>10.199999999999999</v>
      </c>
      <c r="AG21" s="328">
        <v>20</v>
      </c>
      <c r="AI21" s="97"/>
    </row>
    <row r="22" spans="1:35" ht="15" customHeight="1">
      <c r="A22" s="41" t="s">
        <v>38</v>
      </c>
      <c r="B22" s="50" t="s">
        <v>1548</v>
      </c>
      <c r="C22" s="50" t="s">
        <v>1549</v>
      </c>
      <c r="D22" s="48" t="s">
        <v>1550</v>
      </c>
      <c r="E22" s="50" t="s">
        <v>1546</v>
      </c>
      <c r="G22" s="76" t="s">
        <v>1551</v>
      </c>
      <c r="H22" s="50">
        <v>4493</v>
      </c>
      <c r="I22" s="49" t="s">
        <v>2</v>
      </c>
      <c r="J22" s="50" t="s">
        <v>1552</v>
      </c>
      <c r="K22" s="51">
        <v>41170</v>
      </c>
      <c r="L22" s="115">
        <v>41159</v>
      </c>
      <c r="M22" s="50">
        <v>11</v>
      </c>
      <c r="N22" s="50" t="s">
        <v>2</v>
      </c>
      <c r="P22" s="50">
        <v>4.7</v>
      </c>
      <c r="Z22" s="166">
        <v>0.31900000000000001</v>
      </c>
      <c r="AA22" s="167">
        <v>6.25E-2</v>
      </c>
      <c r="AC22" s="74">
        <v>338</v>
      </c>
      <c r="AD22" s="166">
        <v>0</v>
      </c>
      <c r="AI22" s="97"/>
    </row>
    <row r="23" spans="1:35" ht="15" customHeight="1">
      <c r="A23" s="41" t="s">
        <v>38</v>
      </c>
      <c r="B23" s="50" t="s">
        <v>1563</v>
      </c>
      <c r="C23" s="50" t="s">
        <v>1564</v>
      </c>
      <c r="D23" s="48" t="s">
        <v>1565</v>
      </c>
      <c r="E23" s="50" t="s">
        <v>1566</v>
      </c>
      <c r="G23" s="76" t="s">
        <v>1567</v>
      </c>
      <c r="H23" s="50">
        <v>4493</v>
      </c>
      <c r="I23" s="49" t="s">
        <v>2</v>
      </c>
      <c r="J23" s="50" t="s">
        <v>194</v>
      </c>
      <c r="K23" s="51">
        <v>40996</v>
      </c>
      <c r="L23" s="115">
        <v>40993</v>
      </c>
      <c r="M23" s="50">
        <v>3</v>
      </c>
      <c r="N23" s="50" t="s">
        <v>2</v>
      </c>
      <c r="O23" s="74">
        <f>5/2</f>
        <v>2.5</v>
      </c>
      <c r="P23" s="50">
        <v>4.95</v>
      </c>
      <c r="Q23" s="74">
        <v>7.8</v>
      </c>
      <c r="R23" s="50">
        <v>54.1</v>
      </c>
      <c r="S23" s="74">
        <v>102</v>
      </c>
      <c r="T23" s="50">
        <f>0.1/2</f>
        <v>0.05</v>
      </c>
      <c r="U23" s="74">
        <v>2.2599999999999998</v>
      </c>
      <c r="V23" s="50">
        <v>0.69</v>
      </c>
      <c r="W23" s="74">
        <v>1.74</v>
      </c>
      <c r="X23" s="50">
        <v>0.6</v>
      </c>
      <c r="Y23" s="74">
        <v>1.4E-2</v>
      </c>
      <c r="Z23" s="166">
        <v>8.77E-2</v>
      </c>
      <c r="AA23" s="167">
        <v>6.25E-2</v>
      </c>
      <c r="AB23" s="50">
        <v>21.7</v>
      </c>
      <c r="AC23" s="74">
        <v>123</v>
      </c>
      <c r="AD23" s="166">
        <v>0</v>
      </c>
      <c r="AE23" s="50">
        <v>2.74</v>
      </c>
      <c r="AF23" s="50">
        <v>0.9</v>
      </c>
      <c r="AI23" s="97"/>
    </row>
    <row r="24" spans="1:35" ht="15" customHeight="1">
      <c r="A24" s="41" t="s">
        <v>38</v>
      </c>
      <c r="B24" s="50" t="s">
        <v>1568</v>
      </c>
      <c r="C24" s="50" t="s">
        <v>1568</v>
      </c>
      <c r="D24" s="48" t="s">
        <v>1569</v>
      </c>
      <c r="E24" s="50" t="s">
        <v>1570</v>
      </c>
      <c r="G24" s="76" t="s">
        <v>1571</v>
      </c>
      <c r="I24" s="49" t="s">
        <v>2</v>
      </c>
      <c r="J24" s="50" t="s">
        <v>1572</v>
      </c>
      <c r="K24" s="51">
        <v>41021</v>
      </c>
      <c r="L24" s="115">
        <v>41011</v>
      </c>
      <c r="M24" s="50">
        <v>10</v>
      </c>
      <c r="N24" s="50" t="s">
        <v>2</v>
      </c>
      <c r="O24" s="74">
        <f>5/2</f>
        <v>2.5</v>
      </c>
      <c r="P24" s="50">
        <v>6.29</v>
      </c>
      <c r="Q24" s="74">
        <v>5.3</v>
      </c>
      <c r="R24" s="50">
        <v>24.3</v>
      </c>
      <c r="S24" s="74">
        <v>114</v>
      </c>
      <c r="T24" s="50">
        <v>0.34</v>
      </c>
      <c r="U24" s="74">
        <v>0.78</v>
      </c>
      <c r="V24" s="50">
        <v>0.53</v>
      </c>
      <c r="W24" s="74">
        <v>5.8000000000000003E-2</v>
      </c>
      <c r="X24" s="50">
        <v>0.08</v>
      </c>
      <c r="Y24" s="74">
        <f>0.001/2</f>
        <v>5.0000000000000001E-4</v>
      </c>
      <c r="Z24" s="166">
        <v>0.23300000000000001</v>
      </c>
      <c r="AA24" s="167">
        <v>0.17100000000000001</v>
      </c>
      <c r="AB24" s="50">
        <v>3.56</v>
      </c>
      <c r="AC24" s="74">
        <v>28</v>
      </c>
      <c r="AD24" s="166">
        <v>0</v>
      </c>
      <c r="AE24" s="50">
        <f>0.05/2</f>
        <v>2.5000000000000001E-2</v>
      </c>
      <c r="AF24" s="50">
        <f>0.1/2</f>
        <v>0.05</v>
      </c>
      <c r="AI24" s="97"/>
    </row>
    <row r="25" spans="1:35" ht="15" customHeight="1">
      <c r="A25" s="41" t="s">
        <v>38</v>
      </c>
      <c r="B25" s="50" t="s">
        <v>1573</v>
      </c>
      <c r="C25" s="50" t="s">
        <v>1574</v>
      </c>
      <c r="D25" s="48" t="s">
        <v>1537</v>
      </c>
      <c r="E25" s="50" t="s">
        <v>1575</v>
      </c>
      <c r="G25" s="76" t="s">
        <v>1576</v>
      </c>
      <c r="H25" s="50">
        <v>4493</v>
      </c>
      <c r="I25" s="49" t="s">
        <v>2</v>
      </c>
      <c r="J25" s="50" t="s">
        <v>1577</v>
      </c>
      <c r="K25" s="51">
        <v>41148</v>
      </c>
      <c r="L25" s="115">
        <v>41139</v>
      </c>
      <c r="M25" s="50">
        <v>9</v>
      </c>
      <c r="N25" s="50" t="s">
        <v>2</v>
      </c>
      <c r="O25" s="74">
        <v>3.5</v>
      </c>
      <c r="Q25" s="74">
        <v>7.42</v>
      </c>
      <c r="R25" s="50">
        <v>37.5</v>
      </c>
      <c r="S25" s="74">
        <v>158</v>
      </c>
      <c r="T25" s="50">
        <v>0.35899999999999999</v>
      </c>
      <c r="U25" s="74">
        <v>1.33</v>
      </c>
      <c r="V25" s="50">
        <v>1.66</v>
      </c>
      <c r="W25" s="74">
        <v>2.16</v>
      </c>
      <c r="X25" s="50">
        <v>0.61799999999999999</v>
      </c>
      <c r="Y25" s="74">
        <v>3.78E-2</v>
      </c>
      <c r="Z25" s="167">
        <v>6.25E-2</v>
      </c>
      <c r="AA25" s="167">
        <v>6.25E-2</v>
      </c>
      <c r="AB25" s="50">
        <v>106</v>
      </c>
      <c r="AC25" s="74">
        <v>1156</v>
      </c>
      <c r="AD25" s="166">
        <v>0</v>
      </c>
      <c r="AE25" s="50">
        <v>7.51</v>
      </c>
      <c r="AF25" s="50">
        <v>4.99</v>
      </c>
      <c r="AI25" s="97"/>
    </row>
    <row r="26" spans="1:35" ht="15" customHeight="1">
      <c r="A26" s="41" t="s">
        <v>38</v>
      </c>
      <c r="B26" s="50" t="s">
        <v>1573</v>
      </c>
      <c r="C26" s="50" t="s">
        <v>1574</v>
      </c>
      <c r="D26" s="48" t="s">
        <v>1537</v>
      </c>
      <c r="E26" s="50" t="s">
        <v>1575</v>
      </c>
      <c r="G26" s="76" t="s">
        <v>1576</v>
      </c>
      <c r="H26" s="50">
        <v>4493</v>
      </c>
      <c r="I26" s="49" t="s">
        <v>2</v>
      </c>
      <c r="J26" s="50" t="s">
        <v>586</v>
      </c>
      <c r="K26" s="51">
        <v>41148</v>
      </c>
      <c r="L26" s="115">
        <v>41139</v>
      </c>
      <c r="M26" s="50">
        <v>9</v>
      </c>
      <c r="N26" s="50" t="s">
        <v>2</v>
      </c>
      <c r="O26" s="74">
        <v>2.6</v>
      </c>
      <c r="Q26" s="74">
        <v>6.04</v>
      </c>
      <c r="R26" s="50">
        <v>35.9</v>
      </c>
      <c r="S26" s="74">
        <v>24</v>
      </c>
      <c r="T26" s="50">
        <v>0.246</v>
      </c>
      <c r="U26" s="74">
        <v>1.68</v>
      </c>
      <c r="V26" s="50">
        <v>0.31</v>
      </c>
      <c r="W26" s="74">
        <v>0.55600000000000005</v>
      </c>
      <c r="X26" s="50">
        <v>0.27800000000000002</v>
      </c>
      <c r="Y26" s="74">
        <v>8.0000000000000002E-3</v>
      </c>
      <c r="Z26" s="167">
        <v>6.25E-2</v>
      </c>
      <c r="AA26" s="167">
        <v>6.25E-2</v>
      </c>
      <c r="AB26" s="50">
        <v>22</v>
      </c>
      <c r="AC26" s="74">
        <v>203</v>
      </c>
      <c r="AD26" s="166">
        <v>0</v>
      </c>
      <c r="AE26" s="50">
        <v>1.2</v>
      </c>
      <c r="AF26" s="50">
        <v>0.73199999999999998</v>
      </c>
      <c r="AI26" s="97"/>
    </row>
    <row r="27" spans="1:35" ht="15" customHeight="1">
      <c r="A27" s="41" t="s">
        <v>38</v>
      </c>
      <c r="B27" s="50" t="s">
        <v>1578</v>
      </c>
      <c r="C27" s="50" t="s">
        <v>1578</v>
      </c>
      <c r="D27" s="48" t="s">
        <v>1569</v>
      </c>
      <c r="E27" s="50" t="s">
        <v>1579</v>
      </c>
      <c r="G27" s="76" t="s">
        <v>1580</v>
      </c>
      <c r="I27" s="49" t="s">
        <v>2</v>
      </c>
      <c r="J27" s="50" t="s">
        <v>1581</v>
      </c>
      <c r="K27" s="51">
        <v>41170</v>
      </c>
      <c r="L27" s="115"/>
      <c r="N27" s="50" t="s">
        <v>2</v>
      </c>
      <c r="O27" s="74">
        <v>2.4</v>
      </c>
      <c r="Q27" s="74">
        <v>6.85</v>
      </c>
      <c r="R27" s="50">
        <v>15</v>
      </c>
      <c r="S27" s="74">
        <v>2</v>
      </c>
      <c r="T27" s="50">
        <v>0.05</v>
      </c>
      <c r="U27" s="74">
        <f>0.1/2</f>
        <v>0.05</v>
      </c>
      <c r="V27" s="50">
        <v>0.27</v>
      </c>
      <c r="W27" s="74">
        <v>1.6E-2</v>
      </c>
      <c r="X27" s="50">
        <v>1.9E-2</v>
      </c>
      <c r="Y27" s="74">
        <f>0.002/2</f>
        <v>1E-3</v>
      </c>
      <c r="Z27" s="236">
        <v>1</v>
      </c>
      <c r="AA27" s="237">
        <v>1</v>
      </c>
      <c r="AB27" s="50">
        <v>445</v>
      </c>
      <c r="AC27" s="74">
        <v>4190</v>
      </c>
      <c r="AD27" s="166">
        <v>1</v>
      </c>
      <c r="AE27" s="50">
        <v>0.14000000000000001</v>
      </c>
      <c r="AF27" s="50">
        <f>0.02/2</f>
        <v>0.01</v>
      </c>
      <c r="AG27" s="225">
        <v>165</v>
      </c>
      <c r="AI27" s="97"/>
    </row>
    <row r="28" spans="1:35" ht="15" customHeight="1">
      <c r="A28" s="41" t="s">
        <v>38</v>
      </c>
      <c r="B28" s="50" t="s">
        <v>1582</v>
      </c>
      <c r="C28" s="50" t="s">
        <v>1583</v>
      </c>
      <c r="D28" s="48" t="s">
        <v>1569</v>
      </c>
      <c r="E28" s="50" t="s">
        <v>1584</v>
      </c>
      <c r="G28" s="76" t="s">
        <v>1585</v>
      </c>
      <c r="H28" s="50">
        <v>4493</v>
      </c>
      <c r="I28" s="49" t="s">
        <v>2</v>
      </c>
      <c r="J28" s="50" t="s">
        <v>569</v>
      </c>
      <c r="K28" s="51">
        <v>40996</v>
      </c>
      <c r="L28" s="115">
        <v>40993</v>
      </c>
      <c r="M28" s="50">
        <v>3</v>
      </c>
      <c r="N28" s="50" t="s">
        <v>2</v>
      </c>
      <c r="O28" s="74">
        <f>5/2</f>
        <v>2.5</v>
      </c>
      <c r="P28" s="50">
        <v>6.2</v>
      </c>
      <c r="Q28" s="74">
        <v>7.15</v>
      </c>
      <c r="R28" s="50">
        <v>42.6</v>
      </c>
      <c r="S28" s="74">
        <v>124</v>
      </c>
      <c r="T28" s="50">
        <v>0.13</v>
      </c>
      <c r="U28" s="74">
        <v>1.28</v>
      </c>
      <c r="V28" s="50">
        <v>1.49</v>
      </c>
      <c r="W28" s="74">
        <v>0.377</v>
      </c>
      <c r="X28" s="50">
        <v>0.25</v>
      </c>
      <c r="Y28" s="74">
        <v>1.7999999999999999E-2</v>
      </c>
      <c r="Z28" s="166">
        <v>6.25E-2</v>
      </c>
      <c r="AA28" s="167">
        <v>6.25E-2</v>
      </c>
      <c r="AB28" s="50">
        <v>15</v>
      </c>
      <c r="AC28" s="74">
        <v>93</v>
      </c>
      <c r="AD28" s="166">
        <v>0</v>
      </c>
      <c r="AE28" s="50">
        <v>10.8</v>
      </c>
      <c r="AF28" s="50">
        <v>7.11</v>
      </c>
      <c r="AI28" s="97"/>
    </row>
    <row r="29" spans="1:35" ht="15" customHeight="1">
      <c r="A29" s="41" t="s">
        <v>38</v>
      </c>
      <c r="B29" s="50" t="s">
        <v>1586</v>
      </c>
      <c r="C29" s="50" t="s">
        <v>1587</v>
      </c>
      <c r="D29" s="48" t="s">
        <v>406</v>
      </c>
      <c r="E29" s="50" t="s">
        <v>1588</v>
      </c>
      <c r="G29" s="76" t="s">
        <v>1589</v>
      </c>
      <c r="H29" s="50">
        <v>5551</v>
      </c>
      <c r="I29" s="49" t="s">
        <v>1</v>
      </c>
      <c r="J29" s="50" t="s">
        <v>1590</v>
      </c>
      <c r="K29" s="51">
        <v>40996</v>
      </c>
      <c r="L29" s="115">
        <v>40963</v>
      </c>
      <c r="M29" s="50">
        <v>33</v>
      </c>
      <c r="N29" s="50" t="s">
        <v>2</v>
      </c>
      <c r="O29" s="74">
        <f>5/2</f>
        <v>2.5</v>
      </c>
      <c r="Q29" s="74">
        <v>5.84</v>
      </c>
      <c r="R29" s="50">
        <v>89.4</v>
      </c>
      <c r="S29" s="74">
        <v>561</v>
      </c>
      <c r="T29" s="50">
        <v>0.49</v>
      </c>
      <c r="U29" s="74">
        <v>1.47</v>
      </c>
      <c r="V29" s="50">
        <v>0.72</v>
      </c>
      <c r="W29" s="74">
        <v>0.11899999999999999</v>
      </c>
      <c r="X29" s="50">
        <v>0.04</v>
      </c>
      <c r="Y29" s="74">
        <v>2E-3</v>
      </c>
      <c r="Z29" s="166">
        <v>0.16900000000000001</v>
      </c>
      <c r="AA29" s="167">
        <v>6.25E-2</v>
      </c>
      <c r="AB29" s="50">
        <v>3.4</v>
      </c>
      <c r="AC29" s="74">
        <v>36</v>
      </c>
      <c r="AD29" s="166">
        <v>0</v>
      </c>
      <c r="AE29" s="50">
        <v>0.68</v>
      </c>
      <c r="AF29" s="50">
        <v>0.41</v>
      </c>
      <c r="AG29" s="225">
        <v>17.100000000000001</v>
      </c>
      <c r="AI29" s="97"/>
    </row>
    <row r="30" spans="1:35" ht="15" customHeight="1">
      <c r="A30" s="41" t="s">
        <v>38</v>
      </c>
      <c r="B30" s="50" t="s">
        <v>1591</v>
      </c>
      <c r="C30" s="50" t="s">
        <v>1591</v>
      </c>
      <c r="D30" s="48" t="s">
        <v>1569</v>
      </c>
      <c r="E30" s="50" t="s">
        <v>1579</v>
      </c>
      <c r="G30" s="76" t="s">
        <v>1592</v>
      </c>
      <c r="H30" s="50">
        <v>4493</v>
      </c>
      <c r="I30" s="49" t="s">
        <v>1</v>
      </c>
      <c r="J30" s="50" t="s">
        <v>1593</v>
      </c>
      <c r="K30" s="51">
        <v>41171</v>
      </c>
      <c r="L30" s="115">
        <v>41157</v>
      </c>
      <c r="M30" s="50">
        <v>14</v>
      </c>
      <c r="N30" s="50" t="s">
        <v>2</v>
      </c>
      <c r="O30" s="74">
        <v>2.4</v>
      </c>
      <c r="P30" s="50">
        <v>6.78</v>
      </c>
      <c r="Q30" s="74">
        <v>6.37</v>
      </c>
      <c r="R30" s="50">
        <v>26</v>
      </c>
      <c r="S30" s="74">
        <v>41</v>
      </c>
      <c r="T30" s="50">
        <v>0.89</v>
      </c>
      <c r="U30" s="74">
        <v>0.82</v>
      </c>
      <c r="V30" s="50">
        <v>0.23</v>
      </c>
      <c r="W30" s="74">
        <v>3</v>
      </c>
      <c r="X30" s="50">
        <v>0.60799999999999998</v>
      </c>
      <c r="Y30" s="74">
        <v>1.9E-2</v>
      </c>
      <c r="AE30" s="50">
        <v>1.1599999999999999</v>
      </c>
      <c r="AF30" s="50">
        <v>0.53400000000000003</v>
      </c>
      <c r="AI30" s="97"/>
    </row>
    <row r="31" spans="1:35" ht="15" customHeight="1">
      <c r="A31" s="41" t="s">
        <v>38</v>
      </c>
      <c r="B31" s="50" t="s">
        <v>1594</v>
      </c>
      <c r="C31" s="50" t="s">
        <v>1594</v>
      </c>
      <c r="D31" s="48" t="s">
        <v>567</v>
      </c>
      <c r="G31" s="76" t="s">
        <v>1595</v>
      </c>
      <c r="K31" s="51">
        <v>41184</v>
      </c>
      <c r="L31" s="115"/>
      <c r="N31" s="50" t="s">
        <v>2</v>
      </c>
      <c r="O31" s="74">
        <v>3.22</v>
      </c>
      <c r="P31" s="50">
        <v>6.88</v>
      </c>
      <c r="Q31" s="74">
        <v>6.7</v>
      </c>
      <c r="R31" s="50">
        <v>30</v>
      </c>
      <c r="S31" s="74">
        <v>5</v>
      </c>
      <c r="T31" s="50">
        <v>0.76200000000000001</v>
      </c>
      <c r="U31" s="74">
        <v>1.32</v>
      </c>
      <c r="V31" s="50">
        <v>0.376</v>
      </c>
      <c r="W31" s="74">
        <v>0.35199999999999998</v>
      </c>
      <c r="X31" s="50">
        <v>0.111</v>
      </c>
      <c r="Y31" s="74">
        <v>3.9500000000000004E-3</v>
      </c>
      <c r="Z31" s="167">
        <v>6.25E-2</v>
      </c>
      <c r="AA31" s="167">
        <v>6.25E-2</v>
      </c>
      <c r="AB31" s="50">
        <v>12</v>
      </c>
      <c r="AC31" s="74">
        <v>18</v>
      </c>
      <c r="AD31" s="166">
        <v>0</v>
      </c>
      <c r="AI31" s="97"/>
    </row>
    <row r="32" spans="1:35" ht="15" customHeight="1">
      <c r="A32" s="41" t="s">
        <v>38</v>
      </c>
      <c r="B32" s="50" t="s">
        <v>1596</v>
      </c>
      <c r="C32" s="50" t="s">
        <v>1597</v>
      </c>
      <c r="D32" s="48" t="s">
        <v>818</v>
      </c>
      <c r="E32" s="50" t="s">
        <v>815</v>
      </c>
      <c r="G32" s="76" t="s">
        <v>1598</v>
      </c>
      <c r="H32" s="50">
        <v>4493</v>
      </c>
      <c r="I32" s="49" t="s">
        <v>1</v>
      </c>
      <c r="J32" s="50" t="s">
        <v>1508</v>
      </c>
      <c r="K32" s="51">
        <v>41180</v>
      </c>
      <c r="L32" s="115">
        <v>41170</v>
      </c>
      <c r="M32" s="50">
        <v>10</v>
      </c>
      <c r="N32" s="50" t="s">
        <v>2</v>
      </c>
      <c r="O32" s="74">
        <f>3.7/2</f>
        <v>1.85</v>
      </c>
      <c r="P32" s="50">
        <v>4.8</v>
      </c>
      <c r="Q32" s="74">
        <v>5.78</v>
      </c>
      <c r="R32" s="50">
        <v>14</v>
      </c>
      <c r="S32" s="74">
        <f>5/2</f>
        <v>2.5</v>
      </c>
      <c r="T32" s="50">
        <v>0.05</v>
      </c>
      <c r="U32" s="74">
        <v>0.93</v>
      </c>
      <c r="V32" s="50">
        <v>0.78</v>
      </c>
      <c r="W32" s="74">
        <v>0.60099999999999998</v>
      </c>
      <c r="X32" s="50">
        <v>0.14000000000000001</v>
      </c>
      <c r="Y32" s="74">
        <v>6.0000000000000001E-3</v>
      </c>
      <c r="AE32" s="50">
        <v>0.30299999999999999</v>
      </c>
      <c r="AF32" s="50">
        <v>0.16500000000000001</v>
      </c>
      <c r="AG32" s="328">
        <v>60</v>
      </c>
      <c r="AI32" s="97"/>
    </row>
    <row r="33" spans="1:35" ht="15" customHeight="1">
      <c r="A33" s="41" t="s">
        <v>38</v>
      </c>
      <c r="B33" s="50" t="s">
        <v>1599</v>
      </c>
      <c r="C33" s="50" t="s">
        <v>1600</v>
      </c>
      <c r="D33" s="48" t="s">
        <v>1569</v>
      </c>
      <c r="E33" s="50" t="s">
        <v>1601</v>
      </c>
      <c r="G33" s="76" t="s">
        <v>1602</v>
      </c>
      <c r="H33" s="50">
        <v>4493</v>
      </c>
      <c r="I33" s="49" t="s">
        <v>2</v>
      </c>
      <c r="J33" s="50" t="s">
        <v>1603</v>
      </c>
      <c r="K33" s="51">
        <v>41170</v>
      </c>
      <c r="L33" s="115">
        <v>41157</v>
      </c>
      <c r="M33" s="50">
        <v>13</v>
      </c>
      <c r="N33" s="50" t="s">
        <v>2</v>
      </c>
      <c r="O33" s="74">
        <v>8.6999999999999993</v>
      </c>
      <c r="P33" s="50">
        <v>6.78</v>
      </c>
      <c r="Q33" s="74">
        <v>7.27</v>
      </c>
      <c r="R33" s="50">
        <v>47</v>
      </c>
      <c r="S33" s="74">
        <v>250</v>
      </c>
      <c r="T33" s="50">
        <v>1.93</v>
      </c>
      <c r="U33" s="74">
        <v>6.86</v>
      </c>
      <c r="V33" s="50">
        <v>0.49</v>
      </c>
      <c r="W33" s="74">
        <v>11.5</v>
      </c>
      <c r="X33" s="50">
        <v>3.8</v>
      </c>
      <c r="Y33" s="74">
        <v>0.65500000000000003</v>
      </c>
      <c r="AE33" s="50">
        <v>9.9499999999999993</v>
      </c>
      <c r="AF33" s="50">
        <v>2.97</v>
      </c>
      <c r="AI33" s="97"/>
    </row>
    <row r="34" spans="1:35" ht="15" customHeight="1">
      <c r="A34" s="41" t="s">
        <v>38</v>
      </c>
      <c r="B34" s="50" t="s">
        <v>1604</v>
      </c>
      <c r="C34" s="50" t="s">
        <v>1604</v>
      </c>
      <c r="D34" s="48" t="s">
        <v>1569</v>
      </c>
      <c r="E34" s="50" t="s">
        <v>1605</v>
      </c>
      <c r="G34" s="76" t="s">
        <v>1606</v>
      </c>
      <c r="H34" s="50">
        <v>4493</v>
      </c>
      <c r="I34" s="49" t="s">
        <v>2</v>
      </c>
      <c r="J34" s="50" t="s">
        <v>1607</v>
      </c>
      <c r="K34" s="51">
        <v>41170</v>
      </c>
      <c r="L34" s="115">
        <v>41157</v>
      </c>
      <c r="M34" s="50">
        <v>13</v>
      </c>
      <c r="N34" s="50" t="s">
        <v>2</v>
      </c>
      <c r="O34" s="74">
        <v>4.5</v>
      </c>
      <c r="P34" s="50">
        <v>6.78</v>
      </c>
      <c r="Q34" s="74">
        <v>7.74</v>
      </c>
      <c r="R34" s="50">
        <v>350</v>
      </c>
      <c r="S34" s="74">
        <v>220</v>
      </c>
      <c r="T34" s="50">
        <v>2.34</v>
      </c>
      <c r="U34" s="74">
        <v>25.2</v>
      </c>
      <c r="V34" s="50">
        <f>0.01/2</f>
        <v>5.0000000000000001E-3</v>
      </c>
      <c r="W34" s="74">
        <v>16.2</v>
      </c>
      <c r="X34" s="50">
        <v>2.0699999999999998</v>
      </c>
      <c r="Y34" s="74">
        <v>4.1000000000000002E-2</v>
      </c>
      <c r="AE34" s="50">
        <v>3.97</v>
      </c>
      <c r="AF34" s="50">
        <v>2.25</v>
      </c>
      <c r="AI34" s="97"/>
    </row>
    <row r="35" spans="1:35" ht="15" customHeight="1">
      <c r="A35" s="41" t="s">
        <v>38</v>
      </c>
      <c r="B35" s="50" t="s">
        <v>1712</v>
      </c>
      <c r="C35" s="50" t="s">
        <v>1720</v>
      </c>
      <c r="D35" s="48" t="s">
        <v>567</v>
      </c>
      <c r="E35" s="50" t="s">
        <v>1538</v>
      </c>
      <c r="G35" s="76" t="s">
        <v>1721</v>
      </c>
      <c r="H35" s="50">
        <v>4493</v>
      </c>
      <c r="I35" s="49" t="s">
        <v>2</v>
      </c>
      <c r="J35" s="50" t="s">
        <v>1716</v>
      </c>
      <c r="K35" s="51">
        <v>41021</v>
      </c>
      <c r="L35" s="115"/>
      <c r="M35" s="50" t="s">
        <v>1147</v>
      </c>
      <c r="N35" s="50" t="s">
        <v>2</v>
      </c>
      <c r="O35" s="74">
        <f>5/2</f>
        <v>2.5</v>
      </c>
      <c r="P35" s="50">
        <v>6.21</v>
      </c>
      <c r="Q35" s="74">
        <v>7.81</v>
      </c>
      <c r="R35" s="50">
        <v>26</v>
      </c>
      <c r="S35" s="74">
        <f>5/2</f>
        <v>2.5</v>
      </c>
      <c r="T35" s="50">
        <f>0.1/2</f>
        <v>0.05</v>
      </c>
      <c r="U35" s="74">
        <f>1/2</f>
        <v>0.5</v>
      </c>
      <c r="V35" s="50">
        <f>0.1/2</f>
        <v>0.05</v>
      </c>
      <c r="W35" s="74">
        <v>0.04</v>
      </c>
      <c r="X35" s="50">
        <v>0.02</v>
      </c>
      <c r="Y35" s="74">
        <f>0.013/2</f>
        <v>6.4999999999999997E-3</v>
      </c>
      <c r="Z35" s="166">
        <v>1</v>
      </c>
      <c r="AA35" s="167">
        <v>1</v>
      </c>
      <c r="AB35" s="50">
        <v>27</v>
      </c>
      <c r="AC35" s="74">
        <v>81</v>
      </c>
      <c r="AD35" s="166">
        <v>1</v>
      </c>
      <c r="AE35" s="50">
        <f>0.1/2</f>
        <v>0.05</v>
      </c>
      <c r="AF35" s="50">
        <f>0.1/2</f>
        <v>0.05</v>
      </c>
      <c r="AI35" s="97"/>
    </row>
    <row r="36" spans="1:35" ht="15" customHeight="1">
      <c r="A36" s="41" t="s">
        <v>38</v>
      </c>
      <c r="B36" s="50" t="s">
        <v>1738</v>
      </c>
      <c r="C36" s="50" t="s">
        <v>1738</v>
      </c>
      <c r="D36" s="48" t="s">
        <v>78</v>
      </c>
      <c r="E36" s="50" t="s">
        <v>79</v>
      </c>
      <c r="G36" s="76" t="s">
        <v>1739</v>
      </c>
      <c r="I36" s="49" t="s">
        <v>2</v>
      </c>
      <c r="J36" s="50" t="s">
        <v>1740</v>
      </c>
      <c r="K36" s="51">
        <v>40968</v>
      </c>
      <c r="L36" s="115"/>
      <c r="M36" s="50" t="s">
        <v>1741</v>
      </c>
      <c r="N36" s="50" t="s">
        <v>2</v>
      </c>
      <c r="O36" s="74">
        <f>0.5/2</f>
        <v>0.25</v>
      </c>
      <c r="P36" s="50">
        <v>7.1</v>
      </c>
      <c r="Q36" s="74">
        <v>7.15</v>
      </c>
      <c r="R36" s="50">
        <v>240</v>
      </c>
      <c r="S36" s="74">
        <v>306</v>
      </c>
      <c r="T36" s="50">
        <f>0.05/2</f>
        <v>2.5000000000000001E-2</v>
      </c>
      <c r="U36" s="74">
        <v>1.31</v>
      </c>
      <c r="V36" s="50">
        <v>1.75</v>
      </c>
      <c r="W36" s="74">
        <v>0.35299999999999998</v>
      </c>
      <c r="X36" s="50">
        <v>0.129</v>
      </c>
      <c r="Y36" s="74">
        <v>4.0699999999999998E-3</v>
      </c>
      <c r="Z36" s="166">
        <v>1</v>
      </c>
      <c r="AA36" s="167">
        <v>1</v>
      </c>
      <c r="AB36" s="50">
        <v>418</v>
      </c>
      <c r="AC36" s="74">
        <v>4990</v>
      </c>
      <c r="AD36" s="166">
        <v>1</v>
      </c>
      <c r="AI36" s="97"/>
    </row>
    <row r="37" spans="1:35" ht="15" customHeight="1">
      <c r="A37" s="41" t="s">
        <v>38</v>
      </c>
      <c r="B37" s="50" t="s">
        <v>1738</v>
      </c>
      <c r="C37" s="50" t="s">
        <v>1738</v>
      </c>
      <c r="D37" s="48" t="s">
        <v>78</v>
      </c>
      <c r="E37" s="50" t="s">
        <v>79</v>
      </c>
      <c r="G37" s="76" t="s">
        <v>1739</v>
      </c>
      <c r="I37" s="49" t="s">
        <v>2</v>
      </c>
      <c r="J37" s="50" t="s">
        <v>1742</v>
      </c>
      <c r="K37" s="51">
        <v>40968</v>
      </c>
      <c r="L37" s="115"/>
      <c r="M37" s="50" t="s">
        <v>1741</v>
      </c>
      <c r="N37" s="50" t="s">
        <v>2</v>
      </c>
      <c r="O37" s="74">
        <f>0.5/2</f>
        <v>0.25</v>
      </c>
      <c r="P37" s="50">
        <v>7.43</v>
      </c>
      <c r="Q37" s="74">
        <v>7.23</v>
      </c>
      <c r="R37" s="50">
        <v>170</v>
      </c>
      <c r="S37" s="74">
        <v>130</v>
      </c>
      <c r="T37" s="50">
        <f>0.05/2</f>
        <v>2.5000000000000001E-2</v>
      </c>
      <c r="U37" s="74">
        <v>1.06</v>
      </c>
      <c r="V37" s="50">
        <v>2.58</v>
      </c>
      <c r="W37" s="74">
        <v>0.52800000000000002</v>
      </c>
      <c r="X37" s="50">
        <v>0.155</v>
      </c>
      <c r="Y37" s="74">
        <f>0.003/2</f>
        <v>1.5E-3</v>
      </c>
      <c r="Z37" s="166">
        <v>6.25E-2</v>
      </c>
      <c r="AA37" s="167">
        <v>6.25E-2</v>
      </c>
      <c r="AB37" s="50">
        <v>386</v>
      </c>
      <c r="AC37" s="74">
        <v>3190</v>
      </c>
      <c r="AD37" s="166">
        <v>0</v>
      </c>
      <c r="AI37" s="97"/>
    </row>
    <row r="38" spans="1:35" ht="15" customHeight="1">
      <c r="A38" s="41" t="s">
        <v>38</v>
      </c>
      <c r="B38" s="50" t="s">
        <v>1738</v>
      </c>
      <c r="C38" s="50" t="s">
        <v>1738</v>
      </c>
      <c r="D38" s="48" t="s">
        <v>78</v>
      </c>
      <c r="E38" s="50" t="s">
        <v>79</v>
      </c>
      <c r="G38" s="76" t="s">
        <v>1743</v>
      </c>
      <c r="I38" s="49" t="s">
        <v>2</v>
      </c>
      <c r="J38" s="50" t="s">
        <v>1744</v>
      </c>
      <c r="K38" s="51">
        <v>40968</v>
      </c>
      <c r="L38" s="115"/>
      <c r="N38" s="50" t="s">
        <v>2</v>
      </c>
      <c r="O38" s="74">
        <f>0.5/2</f>
        <v>0.25</v>
      </c>
      <c r="P38" s="50">
        <v>6.86</v>
      </c>
      <c r="Q38" s="74">
        <v>6.95</v>
      </c>
      <c r="R38" s="50">
        <v>43</v>
      </c>
      <c r="S38" s="74">
        <v>11</v>
      </c>
      <c r="T38" s="50">
        <f>0.05/2</f>
        <v>2.5000000000000001E-2</v>
      </c>
      <c r="U38" s="74">
        <v>0.6</v>
      </c>
      <c r="V38" s="50">
        <v>0.73899999999999999</v>
      </c>
      <c r="W38" s="74">
        <v>6.7000000000000004E-2</v>
      </c>
      <c r="X38" s="50">
        <v>3.1399999999999997E-2</v>
      </c>
      <c r="Y38" s="74">
        <v>3.0000000000000001E-3</v>
      </c>
      <c r="Z38" s="166">
        <v>0.93899999999999995</v>
      </c>
      <c r="AA38" s="167">
        <v>0.70699999999999996</v>
      </c>
      <c r="AB38" s="50">
        <v>28</v>
      </c>
      <c r="AC38" s="74">
        <v>63</v>
      </c>
      <c r="AD38" s="166">
        <v>0</v>
      </c>
      <c r="AI38" s="97"/>
    </row>
    <row r="39" spans="1:35" ht="15" customHeight="1">
      <c r="A39" s="41" t="s">
        <v>38</v>
      </c>
      <c r="B39" s="50" t="s">
        <v>1745</v>
      </c>
      <c r="C39" s="50" t="s">
        <v>1731</v>
      </c>
      <c r="D39" s="48" t="s">
        <v>1569</v>
      </c>
      <c r="E39" s="50" t="s">
        <v>1904</v>
      </c>
      <c r="G39" s="76" t="s">
        <v>1732</v>
      </c>
      <c r="H39" s="50">
        <v>4493</v>
      </c>
      <c r="I39" s="49" t="s">
        <v>2</v>
      </c>
      <c r="J39" s="50" t="s">
        <v>569</v>
      </c>
      <c r="K39" s="51">
        <v>41051</v>
      </c>
      <c r="L39" s="115">
        <v>41046</v>
      </c>
      <c r="M39" s="50">
        <v>5</v>
      </c>
      <c r="N39" s="50" t="s">
        <v>2</v>
      </c>
      <c r="O39" s="74">
        <f>5/2</f>
        <v>2.5</v>
      </c>
      <c r="P39" s="50">
        <v>7.28</v>
      </c>
      <c r="Q39" s="74">
        <v>5.9</v>
      </c>
      <c r="R39" s="50">
        <v>21.3</v>
      </c>
      <c r="S39" s="74">
        <v>44</v>
      </c>
      <c r="T39" s="50">
        <v>0.39</v>
      </c>
      <c r="U39" s="74">
        <f>0.5/2</f>
        <v>0.25</v>
      </c>
      <c r="V39" s="50">
        <v>0.62</v>
      </c>
      <c r="W39" s="74">
        <v>1.06</v>
      </c>
      <c r="X39" s="50">
        <v>0.24</v>
      </c>
      <c r="Y39" s="74">
        <v>1.2E-2</v>
      </c>
      <c r="Z39" s="166">
        <v>6.25E-2</v>
      </c>
      <c r="AA39" s="167">
        <v>6.25E-2</v>
      </c>
      <c r="AB39" s="50">
        <v>5.66</v>
      </c>
      <c r="AC39" s="74">
        <v>19</v>
      </c>
      <c r="AE39" s="50">
        <v>0.45</v>
      </c>
      <c r="AF39" s="50">
        <v>0.56000000000000005</v>
      </c>
      <c r="AI39" s="97"/>
    </row>
    <row r="40" spans="1:35" ht="15" customHeight="1">
      <c r="A40" s="41" t="s">
        <v>38</v>
      </c>
      <c r="B40" s="50" t="s">
        <v>1745</v>
      </c>
      <c r="C40" s="50" t="s">
        <v>1731</v>
      </c>
      <c r="D40" s="48" t="s">
        <v>1569</v>
      </c>
      <c r="E40" s="50" t="s">
        <v>1746</v>
      </c>
      <c r="G40" s="76" t="s">
        <v>1732</v>
      </c>
      <c r="H40" s="50">
        <v>4493</v>
      </c>
      <c r="I40" s="49" t="s">
        <v>2</v>
      </c>
      <c r="J40" s="50" t="s">
        <v>194</v>
      </c>
      <c r="K40" s="51">
        <v>41051</v>
      </c>
      <c r="L40" s="115">
        <v>41046</v>
      </c>
      <c r="M40" s="50">
        <v>5</v>
      </c>
      <c r="N40" s="50" t="s">
        <v>2</v>
      </c>
      <c r="O40" s="74">
        <f>5/2</f>
        <v>2.5</v>
      </c>
      <c r="P40" s="50">
        <v>7.28</v>
      </c>
      <c r="Q40" s="74">
        <v>6.4</v>
      </c>
      <c r="R40" s="50">
        <v>26.3</v>
      </c>
      <c r="S40" s="74">
        <v>24</v>
      </c>
      <c r="T40" s="50">
        <v>0.14000000000000001</v>
      </c>
      <c r="U40" s="74">
        <f>0.5/2</f>
        <v>0.25</v>
      </c>
      <c r="V40" s="50">
        <v>0.55000000000000004</v>
      </c>
      <c r="W40" s="74">
        <v>0.62</v>
      </c>
      <c r="X40" s="50">
        <v>0.22</v>
      </c>
      <c r="Y40" s="74">
        <v>3.5000000000000003E-2</v>
      </c>
      <c r="Z40" s="166">
        <v>6.25E-2</v>
      </c>
      <c r="AA40" s="167">
        <v>6.25E-2</v>
      </c>
      <c r="AB40" s="50">
        <v>15.1</v>
      </c>
      <c r="AC40" s="74">
        <v>82</v>
      </c>
      <c r="AE40" s="50">
        <v>0.33</v>
      </c>
      <c r="AF40" s="50">
        <v>0.36</v>
      </c>
      <c r="AI40" s="97"/>
    </row>
    <row r="41" spans="1:35" ht="15" customHeight="1">
      <c r="A41" s="41" t="s">
        <v>38</v>
      </c>
      <c r="B41" s="50" t="s">
        <v>1747</v>
      </c>
      <c r="C41" s="50" t="s">
        <v>1905</v>
      </c>
      <c r="D41" s="48" t="s">
        <v>1748</v>
      </c>
      <c r="E41" s="50" t="s">
        <v>304</v>
      </c>
      <c r="G41" s="76" t="s">
        <v>1749</v>
      </c>
      <c r="H41" s="50">
        <v>4493</v>
      </c>
      <c r="I41" s="49" t="s">
        <v>1</v>
      </c>
      <c r="J41" s="50" t="s">
        <v>1510</v>
      </c>
      <c r="K41" s="51">
        <v>41050</v>
      </c>
      <c r="L41" s="115">
        <v>41045</v>
      </c>
      <c r="M41" s="50">
        <v>5</v>
      </c>
      <c r="N41" s="50" t="s">
        <v>2</v>
      </c>
      <c r="O41" s="74">
        <f>2/2</f>
        <v>1</v>
      </c>
      <c r="P41" s="50">
        <v>5.5</v>
      </c>
      <c r="Q41" s="74">
        <v>5.3</v>
      </c>
      <c r="R41" s="50">
        <v>115</v>
      </c>
      <c r="S41" s="74">
        <v>49</v>
      </c>
      <c r="T41" s="50">
        <v>0.49</v>
      </c>
      <c r="U41" s="74">
        <v>3.35</v>
      </c>
      <c r="V41" s="50">
        <v>0.27</v>
      </c>
      <c r="W41" s="74">
        <v>5.5E-2</v>
      </c>
      <c r="X41" s="50">
        <v>8.8999999999999996E-2</v>
      </c>
      <c r="Y41" s="74">
        <f>0.03/2</f>
        <v>1.4999999999999999E-2</v>
      </c>
      <c r="Z41" s="166">
        <v>1</v>
      </c>
      <c r="AA41" s="167">
        <v>1</v>
      </c>
      <c r="AB41" s="50">
        <v>15</v>
      </c>
      <c r="AC41" s="74">
        <v>35</v>
      </c>
      <c r="AD41" s="166">
        <v>0.8</v>
      </c>
      <c r="AE41" s="50">
        <v>3.35</v>
      </c>
      <c r="AF41" s="50">
        <v>0.4</v>
      </c>
      <c r="AG41" s="328">
        <v>1400</v>
      </c>
      <c r="AI41" s="97"/>
    </row>
    <row r="42" spans="1:35" ht="15" customHeight="1">
      <c r="A42" s="41" t="s">
        <v>38</v>
      </c>
      <c r="B42" s="50" t="s">
        <v>1548</v>
      </c>
      <c r="C42" s="50" t="s">
        <v>1549</v>
      </c>
      <c r="D42" s="48" t="s">
        <v>1550</v>
      </c>
      <c r="E42" s="50" t="s">
        <v>1546</v>
      </c>
      <c r="G42" s="76" t="s">
        <v>1551</v>
      </c>
      <c r="H42" s="50">
        <v>4493</v>
      </c>
      <c r="I42" s="49" t="s">
        <v>2</v>
      </c>
      <c r="J42" s="50" t="s">
        <v>1552</v>
      </c>
      <c r="K42" s="51">
        <v>41044</v>
      </c>
      <c r="L42" s="115">
        <v>41038</v>
      </c>
      <c r="M42" s="50">
        <v>6</v>
      </c>
      <c r="N42" s="50" t="s">
        <v>2</v>
      </c>
      <c r="O42" s="74">
        <f>2/2</f>
        <v>1</v>
      </c>
      <c r="P42" s="50">
        <v>4.5999999999999996</v>
      </c>
      <c r="Q42" s="74">
        <v>6.8</v>
      </c>
      <c r="R42" s="50">
        <v>30</v>
      </c>
      <c r="S42" s="74">
        <v>22</v>
      </c>
      <c r="T42" s="50">
        <v>0.14000000000000001</v>
      </c>
      <c r="U42" s="74">
        <f>0.5/2</f>
        <v>0.25</v>
      </c>
      <c r="V42" s="50">
        <v>0.1</v>
      </c>
      <c r="W42" s="74">
        <v>0.22</v>
      </c>
      <c r="X42" s="50">
        <v>7.2999999999999995E-2</v>
      </c>
      <c r="Y42" s="74">
        <f>0.002/2</f>
        <v>1E-3</v>
      </c>
      <c r="AE42" s="50">
        <v>4.3</v>
      </c>
      <c r="AF42" s="50">
        <v>2.2000000000000002</v>
      </c>
      <c r="AI42" s="97"/>
    </row>
    <row r="43" spans="1:35" ht="15" customHeight="1">
      <c r="A43" s="41" t="s">
        <v>38</v>
      </c>
      <c r="B43" s="50" t="s">
        <v>1750</v>
      </c>
      <c r="C43" s="50" t="s">
        <v>1750</v>
      </c>
      <c r="D43" s="48" t="s">
        <v>98</v>
      </c>
      <c r="E43" s="50" t="s">
        <v>1546</v>
      </c>
      <c r="G43" s="76" t="s">
        <v>1751</v>
      </c>
      <c r="H43" s="50">
        <v>4493</v>
      </c>
      <c r="I43" s="49" t="s">
        <v>1</v>
      </c>
      <c r="J43" s="50" t="s">
        <v>1752</v>
      </c>
      <c r="K43" s="51">
        <v>41072</v>
      </c>
      <c r="L43" s="115">
        <v>41066</v>
      </c>
      <c r="M43" s="50">
        <v>6</v>
      </c>
      <c r="N43" s="50" t="s">
        <v>2</v>
      </c>
      <c r="O43" s="74">
        <v>2.4</v>
      </c>
      <c r="P43" s="50">
        <v>6.79</v>
      </c>
      <c r="Q43" s="74">
        <v>7.12</v>
      </c>
      <c r="R43" s="50">
        <v>170</v>
      </c>
      <c r="S43" s="74">
        <v>150</v>
      </c>
      <c r="T43" s="50">
        <v>0.39</v>
      </c>
      <c r="U43" s="74">
        <v>2.2400000000000002</v>
      </c>
      <c r="V43" s="50">
        <v>1.1000000000000001</v>
      </c>
      <c r="W43" s="74">
        <v>2.0299999999999998</v>
      </c>
      <c r="X43" s="50">
        <v>0.53900000000000003</v>
      </c>
      <c r="Y43" s="74">
        <v>1.4E-2</v>
      </c>
      <c r="AE43" s="50">
        <v>5.22</v>
      </c>
      <c r="AF43" s="50">
        <v>1.95</v>
      </c>
      <c r="AI43" s="97"/>
    </row>
    <row r="44" spans="1:35" ht="15" customHeight="1">
      <c r="A44" s="41" t="s">
        <v>38</v>
      </c>
      <c r="B44" s="50" t="s">
        <v>1753</v>
      </c>
      <c r="C44" s="50" t="s">
        <v>1753</v>
      </c>
      <c r="D44" s="48" t="s">
        <v>1565</v>
      </c>
      <c r="E44" s="50" t="s">
        <v>1754</v>
      </c>
      <c r="G44" s="76" t="s">
        <v>1755</v>
      </c>
      <c r="H44" s="50">
        <v>5551</v>
      </c>
      <c r="I44" s="49" t="s">
        <v>1</v>
      </c>
      <c r="J44" s="50" t="s">
        <v>1756</v>
      </c>
      <c r="K44" s="51">
        <v>40996</v>
      </c>
      <c r="L44" s="115">
        <v>40993</v>
      </c>
      <c r="M44" s="50">
        <v>3</v>
      </c>
      <c r="N44" s="50" t="s">
        <v>2</v>
      </c>
      <c r="O44" s="74">
        <f>5/2</f>
        <v>2.5</v>
      </c>
      <c r="Q44" s="74">
        <v>5.2</v>
      </c>
      <c r="R44" s="50">
        <v>27.3</v>
      </c>
      <c r="S44" s="74">
        <v>9</v>
      </c>
      <c r="T44" s="50">
        <v>0.09</v>
      </c>
      <c r="U44" s="74">
        <v>2.29</v>
      </c>
      <c r="V44" s="50">
        <v>0.71</v>
      </c>
      <c r="W44" s="74">
        <v>0.02</v>
      </c>
      <c r="X44" s="50">
        <v>0.1</v>
      </c>
      <c r="Y44" s="74">
        <v>1E-3</v>
      </c>
      <c r="Z44" s="166">
        <v>1</v>
      </c>
      <c r="AA44" s="167">
        <v>0.76200000000000001</v>
      </c>
      <c r="AB44" s="50">
        <v>56.7</v>
      </c>
      <c r="AC44" s="74">
        <v>48</v>
      </c>
      <c r="AD44" s="166">
        <v>0.1</v>
      </c>
      <c r="AE44" s="50">
        <f>0.05/2</f>
        <v>2.5000000000000001E-2</v>
      </c>
      <c r="AF44" s="50">
        <f>0.1/2</f>
        <v>0.05</v>
      </c>
      <c r="AI44" s="97"/>
    </row>
    <row r="45" spans="1:35" ht="15" customHeight="1">
      <c r="A45" s="41" t="s">
        <v>38</v>
      </c>
      <c r="B45" s="50" t="s">
        <v>1757</v>
      </c>
      <c r="C45" s="50" t="s">
        <v>1758</v>
      </c>
      <c r="D45" s="48" t="s">
        <v>1759</v>
      </c>
      <c r="E45" s="50" t="s">
        <v>815</v>
      </c>
      <c r="G45" s="76" t="s">
        <v>1760</v>
      </c>
      <c r="H45" s="50">
        <v>4493</v>
      </c>
      <c r="I45" s="49" t="s">
        <v>1</v>
      </c>
      <c r="J45" s="50" t="s">
        <v>1761</v>
      </c>
      <c r="K45" s="51">
        <v>41051</v>
      </c>
      <c r="L45" s="115">
        <v>41047</v>
      </c>
      <c r="M45" s="50">
        <v>4</v>
      </c>
      <c r="N45" s="50" t="s">
        <v>2</v>
      </c>
      <c r="O45" s="74">
        <f>1/2</f>
        <v>0.5</v>
      </c>
      <c r="P45" s="50">
        <v>6.98</v>
      </c>
      <c r="Q45" s="74">
        <v>7.24</v>
      </c>
      <c r="R45" s="50">
        <f>1/2</f>
        <v>0.5</v>
      </c>
      <c r="S45" s="74">
        <v>1</v>
      </c>
      <c r="T45" s="50">
        <f>0.1/2</f>
        <v>0.05</v>
      </c>
      <c r="U45" s="74">
        <v>2.91</v>
      </c>
      <c r="V45" s="50">
        <v>0.2</v>
      </c>
      <c r="W45" s="74">
        <f>0.05/2</f>
        <v>2.5000000000000001E-2</v>
      </c>
      <c r="X45" s="50">
        <v>0.01</v>
      </c>
      <c r="Y45" s="74">
        <f>0.05/2</f>
        <v>2.5000000000000001E-2</v>
      </c>
      <c r="Z45" s="166">
        <v>1</v>
      </c>
      <c r="AA45" s="167">
        <v>1</v>
      </c>
      <c r="AB45" s="50">
        <v>18</v>
      </c>
      <c r="AC45" s="74">
        <v>29</v>
      </c>
      <c r="AD45" s="166">
        <v>1</v>
      </c>
      <c r="AE45" s="50">
        <f>0.05/2</f>
        <v>2.5000000000000001E-2</v>
      </c>
      <c r="AF45" s="50">
        <f>0.1/2</f>
        <v>0.05</v>
      </c>
      <c r="AG45" s="328">
        <v>7</v>
      </c>
      <c r="AH45" s="114">
        <v>45</v>
      </c>
      <c r="AI45" s="97"/>
    </row>
    <row r="46" spans="1:35" ht="15" customHeight="1">
      <c r="A46" s="41" t="s">
        <v>38</v>
      </c>
      <c r="B46" s="50" t="s">
        <v>1762</v>
      </c>
      <c r="C46" s="50" t="s">
        <v>1763</v>
      </c>
      <c r="D46" s="48" t="s">
        <v>71</v>
      </c>
      <c r="E46" s="50" t="s">
        <v>1764</v>
      </c>
      <c r="G46" s="76" t="s">
        <v>1765</v>
      </c>
      <c r="H46" s="50">
        <v>4493</v>
      </c>
      <c r="I46" s="49" t="s">
        <v>2</v>
      </c>
      <c r="J46" s="50" t="s">
        <v>1766</v>
      </c>
      <c r="K46" s="51">
        <v>41030</v>
      </c>
      <c r="L46" s="115"/>
      <c r="N46" s="50" t="s">
        <v>2</v>
      </c>
      <c r="O46" s="74">
        <f>1.6/2</f>
        <v>0.8</v>
      </c>
      <c r="P46" s="50">
        <v>6.79</v>
      </c>
      <c r="Q46" s="74">
        <v>6.43</v>
      </c>
      <c r="R46" s="50">
        <v>20</v>
      </c>
      <c r="S46" s="74">
        <v>44</v>
      </c>
      <c r="T46" s="50">
        <v>0.03</v>
      </c>
      <c r="U46" s="74">
        <v>0.15</v>
      </c>
      <c r="V46" s="50">
        <v>0.14000000000000001</v>
      </c>
      <c r="W46" s="74">
        <v>0.34</v>
      </c>
      <c r="X46" s="50">
        <v>0.13</v>
      </c>
      <c r="Y46" s="74">
        <v>1.4E-2</v>
      </c>
      <c r="Z46" s="166">
        <v>6.25E-2</v>
      </c>
      <c r="AA46" s="167">
        <v>6.25E-2</v>
      </c>
      <c r="AB46" s="50">
        <v>6</v>
      </c>
      <c r="AC46" s="74">
        <v>38</v>
      </c>
      <c r="AD46" s="166">
        <v>0</v>
      </c>
      <c r="AE46" s="50">
        <v>1.94</v>
      </c>
      <c r="AF46" s="50">
        <v>1.24</v>
      </c>
      <c r="AI46" s="97"/>
    </row>
    <row r="47" spans="1:35" ht="14">
      <c r="A47" s="41" t="s">
        <v>38</v>
      </c>
      <c r="B47" s="50" t="s">
        <v>1767</v>
      </c>
      <c r="C47" s="50" t="s">
        <v>1768</v>
      </c>
      <c r="D47" s="48" t="s">
        <v>56</v>
      </c>
      <c r="E47" s="50" t="s">
        <v>1907</v>
      </c>
      <c r="F47" s="50" t="s">
        <v>1908</v>
      </c>
      <c r="G47" s="76" t="s">
        <v>1769</v>
      </c>
      <c r="H47" s="50">
        <v>4493</v>
      </c>
      <c r="I47" s="49" t="s">
        <v>1</v>
      </c>
      <c r="J47" s="50" t="s">
        <v>1508</v>
      </c>
      <c r="K47" s="51">
        <v>40996</v>
      </c>
      <c r="L47" s="115">
        <v>40993</v>
      </c>
      <c r="M47" s="50">
        <v>3</v>
      </c>
      <c r="N47" s="50" t="s">
        <v>2</v>
      </c>
      <c r="O47" s="74">
        <f>1.4/2</f>
        <v>0.7</v>
      </c>
      <c r="P47" s="50">
        <v>6.44</v>
      </c>
      <c r="Q47" s="74">
        <v>6.65</v>
      </c>
      <c r="R47" s="50">
        <v>29</v>
      </c>
      <c r="S47" s="74">
        <v>106</v>
      </c>
      <c r="T47" s="50">
        <v>0.21</v>
      </c>
      <c r="U47" s="74">
        <v>0.88</v>
      </c>
      <c r="V47" s="50">
        <v>1.02</v>
      </c>
      <c r="W47" s="74">
        <v>2.62</v>
      </c>
      <c r="X47" s="50">
        <v>0.94</v>
      </c>
      <c r="Y47" s="74">
        <v>0.02</v>
      </c>
      <c r="AE47" s="50">
        <v>2.94</v>
      </c>
      <c r="AF47" s="50">
        <v>1.84</v>
      </c>
      <c r="AI47" s="97"/>
    </row>
    <row r="48" spans="1:35" ht="15" customHeight="1">
      <c r="A48" s="41" t="s">
        <v>38</v>
      </c>
      <c r="B48" s="50" t="s">
        <v>1770</v>
      </c>
      <c r="C48" s="50" t="s">
        <v>1208</v>
      </c>
      <c r="D48" s="48" t="s">
        <v>559</v>
      </c>
      <c r="G48" s="76" t="s">
        <v>1209</v>
      </c>
      <c r="H48" s="50">
        <v>4493</v>
      </c>
      <c r="I48" s="49" t="s">
        <v>2</v>
      </c>
      <c r="J48" s="50" t="s">
        <v>1208</v>
      </c>
      <c r="K48" s="51">
        <v>41038</v>
      </c>
      <c r="L48" s="115">
        <v>41033</v>
      </c>
      <c r="M48" s="50">
        <v>5</v>
      </c>
      <c r="N48" s="50" t="s">
        <v>2</v>
      </c>
      <c r="O48" s="74">
        <f>1.4/2</f>
        <v>0.7</v>
      </c>
      <c r="P48" s="50">
        <v>5.33</v>
      </c>
      <c r="Q48" s="74">
        <v>6.4</v>
      </c>
      <c r="R48" s="50">
        <v>20</v>
      </c>
      <c r="S48" s="74">
        <v>12</v>
      </c>
      <c r="T48" s="50">
        <v>0.02</v>
      </c>
      <c r="U48" s="74">
        <v>0.19</v>
      </c>
      <c r="V48" s="50">
        <v>0.38</v>
      </c>
      <c r="W48" s="74">
        <v>0.01</v>
      </c>
      <c r="X48" s="50">
        <v>0.03</v>
      </c>
      <c r="Y48" s="74">
        <f>0.005/2</f>
        <v>2.5000000000000001E-3</v>
      </c>
      <c r="AE48" s="50">
        <v>0.8</v>
      </c>
      <c r="AF48" s="50">
        <v>0.49</v>
      </c>
      <c r="AI48" s="96"/>
    </row>
    <row r="49" spans="1:35" ht="15" customHeight="1">
      <c r="A49" s="41" t="s">
        <v>38</v>
      </c>
      <c r="B49" s="50" t="s">
        <v>1750</v>
      </c>
      <c r="C49" s="50" t="s">
        <v>1559</v>
      </c>
      <c r="D49" s="48" t="s">
        <v>98</v>
      </c>
      <c r="E49" s="50" t="s">
        <v>1546</v>
      </c>
      <c r="G49" s="76" t="s">
        <v>1751</v>
      </c>
      <c r="H49" s="50">
        <v>4493</v>
      </c>
      <c r="I49" s="49" t="s">
        <v>1</v>
      </c>
      <c r="J49" s="50" t="s">
        <v>1771</v>
      </c>
      <c r="K49" s="51">
        <v>40996</v>
      </c>
      <c r="L49" s="115">
        <v>40993</v>
      </c>
      <c r="M49" s="50">
        <v>3</v>
      </c>
      <c r="N49" s="50" t="s">
        <v>2</v>
      </c>
      <c r="O49" s="74">
        <v>3.6</v>
      </c>
      <c r="P49" s="50">
        <v>6</v>
      </c>
      <c r="Q49" s="74">
        <v>7.11</v>
      </c>
      <c r="R49" s="50">
        <f>10/2</f>
        <v>5</v>
      </c>
      <c r="S49" s="74">
        <v>230</v>
      </c>
      <c r="T49" s="50">
        <v>0.34</v>
      </c>
      <c r="U49" s="74">
        <v>1.18</v>
      </c>
      <c r="V49" s="50">
        <v>0.28000000000000003</v>
      </c>
      <c r="W49" s="74">
        <v>1.1299999999999999</v>
      </c>
      <c r="X49" s="50">
        <v>0.26</v>
      </c>
      <c r="Y49" s="74">
        <v>1.6E-2</v>
      </c>
      <c r="Z49" s="166">
        <v>8.5000000000000006E-2</v>
      </c>
      <c r="AA49" s="167">
        <v>6.25E-2</v>
      </c>
      <c r="AB49" s="50">
        <v>10</v>
      </c>
      <c r="AC49" s="74">
        <v>27</v>
      </c>
      <c r="AD49" s="166">
        <v>0</v>
      </c>
      <c r="AE49" s="50">
        <v>13.4</v>
      </c>
      <c r="AF49" s="50">
        <v>7.78</v>
      </c>
      <c r="AI49" s="97">
        <v>10</v>
      </c>
    </row>
    <row r="50" spans="1:35" ht="15" customHeight="1">
      <c r="A50" s="41" t="s">
        <v>38</v>
      </c>
      <c r="B50" s="50" t="s">
        <v>1573</v>
      </c>
      <c r="C50" s="50" t="s">
        <v>1574</v>
      </c>
      <c r="D50" s="48" t="s">
        <v>1537</v>
      </c>
      <c r="E50" s="50" t="s">
        <v>1575</v>
      </c>
      <c r="G50" s="76" t="s">
        <v>1576</v>
      </c>
      <c r="H50" s="50">
        <v>4493</v>
      </c>
      <c r="I50" s="49" t="s">
        <v>2</v>
      </c>
      <c r="J50" s="50" t="s">
        <v>586</v>
      </c>
      <c r="K50" s="51">
        <v>41030</v>
      </c>
      <c r="L50" s="115">
        <v>41021</v>
      </c>
      <c r="M50" s="50">
        <v>9</v>
      </c>
      <c r="N50" s="50" t="s">
        <v>2</v>
      </c>
      <c r="O50" s="74">
        <v>8.9</v>
      </c>
      <c r="P50" s="50">
        <v>5.15</v>
      </c>
      <c r="Q50" s="74">
        <v>7.12</v>
      </c>
      <c r="R50" s="50">
        <v>252</v>
      </c>
      <c r="S50" s="74">
        <v>14</v>
      </c>
      <c r="T50" s="50">
        <v>0.16200000000000001</v>
      </c>
      <c r="U50" s="74">
        <v>1.33</v>
      </c>
      <c r="V50" s="50">
        <v>2</v>
      </c>
      <c r="W50" s="74">
        <v>5.22</v>
      </c>
      <c r="X50" s="50">
        <v>2.56</v>
      </c>
      <c r="Y50" s="74">
        <v>0.08</v>
      </c>
      <c r="Z50" s="166">
        <v>6.25E-2</v>
      </c>
      <c r="AA50" s="167">
        <v>6.25E-2</v>
      </c>
      <c r="AB50" s="50">
        <v>276</v>
      </c>
      <c r="AC50" s="74">
        <v>610</v>
      </c>
      <c r="AD50" s="166">
        <v>0</v>
      </c>
      <c r="AE50" s="50">
        <v>0.66100000000000003</v>
      </c>
      <c r="AF50" s="50">
        <v>0.34</v>
      </c>
      <c r="AI50" s="97"/>
    </row>
    <row r="51" spans="1:35" ht="15" customHeight="1">
      <c r="A51" s="41" t="s">
        <v>38</v>
      </c>
      <c r="B51" s="50" t="s">
        <v>1573</v>
      </c>
      <c r="C51" s="50" t="s">
        <v>1574</v>
      </c>
      <c r="D51" s="48" t="s">
        <v>1537</v>
      </c>
      <c r="E51" s="50" t="s">
        <v>1575</v>
      </c>
      <c r="G51" s="76" t="s">
        <v>1576</v>
      </c>
      <c r="H51" s="50">
        <v>4493</v>
      </c>
      <c r="I51" s="49" t="s">
        <v>2</v>
      </c>
      <c r="J51" s="50" t="s">
        <v>1577</v>
      </c>
      <c r="K51" s="51">
        <v>41030</v>
      </c>
      <c r="L51" s="115">
        <v>41021</v>
      </c>
      <c r="M51" s="50">
        <v>9</v>
      </c>
      <c r="N51" s="50" t="s">
        <v>2</v>
      </c>
      <c r="O51" s="74">
        <v>6.6</v>
      </c>
      <c r="P51" s="50">
        <v>5.15</v>
      </c>
      <c r="Q51" s="74">
        <v>6.85</v>
      </c>
      <c r="R51" s="50">
        <v>100</v>
      </c>
      <c r="S51" s="74">
        <v>47</v>
      </c>
      <c r="T51" s="50">
        <v>0.24299999999999999</v>
      </c>
      <c r="U51" s="74">
        <v>1.19</v>
      </c>
      <c r="V51" s="50">
        <v>2</v>
      </c>
      <c r="W51" s="74">
        <v>3.87</v>
      </c>
      <c r="X51" s="50">
        <v>1.39</v>
      </c>
      <c r="Y51" s="74">
        <v>5.6399999999999999E-2</v>
      </c>
      <c r="Z51" s="166">
        <v>6.25E-2</v>
      </c>
      <c r="AA51" s="167">
        <v>6.25E-2</v>
      </c>
      <c r="AB51" s="50">
        <v>88</v>
      </c>
      <c r="AC51" s="74">
        <v>212</v>
      </c>
      <c r="AD51" s="166">
        <v>0</v>
      </c>
      <c r="AE51" s="50">
        <v>2.25</v>
      </c>
      <c r="AF51" s="50">
        <v>1.08</v>
      </c>
      <c r="AI51" s="97"/>
    </row>
    <row r="52" spans="1:35" ht="15" customHeight="1">
      <c r="A52" s="41" t="s">
        <v>38</v>
      </c>
      <c r="B52" s="50" t="s">
        <v>1772</v>
      </c>
      <c r="C52" s="50" t="s">
        <v>1773</v>
      </c>
      <c r="D52" s="48" t="s">
        <v>406</v>
      </c>
      <c r="E52" s="50" t="s">
        <v>1584</v>
      </c>
      <c r="G52" s="76" t="s">
        <v>1774</v>
      </c>
      <c r="H52" s="50">
        <v>4493</v>
      </c>
      <c r="I52" s="49" t="s">
        <v>2</v>
      </c>
      <c r="J52" s="50" t="s">
        <v>1508</v>
      </c>
      <c r="K52" s="51">
        <v>41156</v>
      </c>
      <c r="L52" s="115">
        <v>41149</v>
      </c>
      <c r="M52" s="50">
        <v>7</v>
      </c>
      <c r="N52" s="50" t="s">
        <v>2</v>
      </c>
      <c r="O52" s="74">
        <f>5/2</f>
        <v>2.5</v>
      </c>
      <c r="P52" s="50">
        <v>4.78</v>
      </c>
      <c r="Q52" s="74">
        <v>6.51</v>
      </c>
      <c r="R52" s="50">
        <v>11.4</v>
      </c>
      <c r="S52" s="74">
        <v>18</v>
      </c>
      <c r="T52" s="50">
        <v>0.16</v>
      </c>
      <c r="U52" s="74">
        <f>0.5/2</f>
        <v>0.25</v>
      </c>
      <c r="V52" s="50">
        <v>1.19</v>
      </c>
      <c r="W52" s="74">
        <v>0.4</v>
      </c>
      <c r="X52" s="50">
        <v>0.26</v>
      </c>
      <c r="Y52" s="74">
        <v>1.2E-2</v>
      </c>
      <c r="Z52" s="166">
        <v>6.25E-2</v>
      </c>
      <c r="AA52" s="167">
        <v>6.25E-2</v>
      </c>
      <c r="AB52" s="50">
        <v>15.3</v>
      </c>
      <c r="AC52" s="74">
        <v>62</v>
      </c>
      <c r="AD52" s="166">
        <v>0</v>
      </c>
      <c r="AE52" s="50">
        <v>0.35</v>
      </c>
      <c r="AF52" s="50">
        <v>0.32</v>
      </c>
      <c r="AI52" s="97"/>
    </row>
    <row r="53" spans="1:35" ht="15" customHeight="1">
      <c r="A53" s="41" t="s">
        <v>38</v>
      </c>
      <c r="B53" s="50" t="s">
        <v>1696</v>
      </c>
      <c r="C53" s="50" t="s">
        <v>1697</v>
      </c>
      <c r="D53" s="48" t="s">
        <v>262</v>
      </c>
      <c r="E53" s="50" t="s">
        <v>1698</v>
      </c>
      <c r="G53" s="76" t="s">
        <v>1699</v>
      </c>
      <c r="H53" s="50">
        <v>4493</v>
      </c>
      <c r="I53" s="49" t="s">
        <v>2</v>
      </c>
      <c r="J53" s="50" t="s">
        <v>1775</v>
      </c>
      <c r="K53" s="51">
        <v>41021</v>
      </c>
      <c r="L53" s="115">
        <v>41000</v>
      </c>
      <c r="M53" s="50">
        <v>21</v>
      </c>
      <c r="N53" s="50" t="s">
        <v>2</v>
      </c>
      <c r="O53" s="74">
        <f>5/2</f>
        <v>2.5</v>
      </c>
      <c r="P53" s="50">
        <v>6.47</v>
      </c>
      <c r="Q53" s="74">
        <v>5.7</v>
      </c>
      <c r="R53" s="50">
        <v>23.3</v>
      </c>
      <c r="S53" s="74">
        <v>24</v>
      </c>
      <c r="T53" s="50">
        <v>0.18</v>
      </c>
      <c r="U53" s="74">
        <f>0.5/2</f>
        <v>0.25</v>
      </c>
      <c r="V53" s="50">
        <v>0.54</v>
      </c>
      <c r="W53" s="74">
        <v>4.7E-2</v>
      </c>
      <c r="X53" s="50">
        <v>0.06</v>
      </c>
      <c r="Y53" s="74">
        <v>1E-3</v>
      </c>
      <c r="Z53" s="166">
        <v>0.35399999999999998</v>
      </c>
      <c r="AA53" s="167">
        <v>0.35399999999999998</v>
      </c>
      <c r="AC53" s="74">
        <v>32</v>
      </c>
      <c r="AD53" s="166">
        <v>0</v>
      </c>
      <c r="AE53" s="50">
        <f>0.05/2</f>
        <v>2.5000000000000001E-2</v>
      </c>
      <c r="AF53" s="50">
        <f>0.1/2</f>
        <v>0.05</v>
      </c>
      <c r="AI53" s="97"/>
    </row>
    <row r="54" spans="1:35" ht="15" customHeight="1">
      <c r="A54" s="41" t="s">
        <v>38</v>
      </c>
      <c r="B54" s="50" t="s">
        <v>1696</v>
      </c>
      <c r="C54" s="50" t="s">
        <v>1697</v>
      </c>
      <c r="D54" s="48" t="s">
        <v>262</v>
      </c>
      <c r="E54" s="50" t="s">
        <v>1698</v>
      </c>
      <c r="G54" s="76" t="s">
        <v>1699</v>
      </c>
      <c r="H54" s="50">
        <v>4493</v>
      </c>
      <c r="I54" s="49" t="s">
        <v>2</v>
      </c>
      <c r="J54" s="50" t="s">
        <v>1776</v>
      </c>
      <c r="K54" s="51">
        <v>41021</v>
      </c>
      <c r="L54" s="115">
        <v>41000</v>
      </c>
      <c r="M54" s="50">
        <v>21</v>
      </c>
      <c r="N54" s="50" t="s">
        <v>2</v>
      </c>
      <c r="O54" s="74">
        <f>5/2</f>
        <v>2.5</v>
      </c>
      <c r="P54" s="50">
        <v>6.47</v>
      </c>
      <c r="Q54" s="74">
        <v>5.9</v>
      </c>
      <c r="R54" s="50">
        <v>9.48</v>
      </c>
      <c r="S54" s="74">
        <v>14</v>
      </c>
      <c r="T54" s="50">
        <v>0.11</v>
      </c>
      <c r="U54" s="74">
        <v>0.72</v>
      </c>
      <c r="V54" s="50">
        <v>0.56000000000000005</v>
      </c>
      <c r="W54" s="74">
        <v>6.9000000000000006E-2</v>
      </c>
      <c r="X54" s="50">
        <v>0.08</v>
      </c>
      <c r="Y54" s="74">
        <v>5.0000000000000001E-3</v>
      </c>
      <c r="Z54" s="166">
        <v>0.36299999999999999</v>
      </c>
      <c r="AA54" s="167">
        <v>0.25</v>
      </c>
      <c r="AC54" s="74">
        <v>33</v>
      </c>
      <c r="AD54" s="166">
        <v>0</v>
      </c>
      <c r="AE54" s="50">
        <v>0.06</v>
      </c>
      <c r="AF54" s="50">
        <f>0.1/2</f>
        <v>0.05</v>
      </c>
      <c r="AI54" s="97"/>
    </row>
    <row r="55" spans="1:35" ht="15" customHeight="1">
      <c r="A55" s="41" t="s">
        <v>38</v>
      </c>
      <c r="B55" s="50" t="s">
        <v>1696</v>
      </c>
      <c r="C55" s="50" t="s">
        <v>1697</v>
      </c>
      <c r="D55" s="48" t="s">
        <v>262</v>
      </c>
      <c r="E55" s="50" t="s">
        <v>1698</v>
      </c>
      <c r="G55" s="76" t="s">
        <v>1699</v>
      </c>
      <c r="H55" s="50">
        <v>4493</v>
      </c>
      <c r="I55" s="49" t="s">
        <v>2</v>
      </c>
      <c r="J55" s="50" t="s">
        <v>1777</v>
      </c>
      <c r="K55" s="51">
        <v>41021</v>
      </c>
      <c r="L55" s="115">
        <v>41000</v>
      </c>
      <c r="M55" s="50">
        <v>21</v>
      </c>
      <c r="N55" s="50" t="s">
        <v>2</v>
      </c>
      <c r="O55" s="74">
        <f>5/2</f>
        <v>2.5</v>
      </c>
      <c r="P55" s="50">
        <v>6.47</v>
      </c>
      <c r="Q55" s="74">
        <v>5.8</v>
      </c>
      <c r="R55" s="50">
        <v>15.4</v>
      </c>
      <c r="S55" s="74">
        <v>19</v>
      </c>
      <c r="T55" s="50">
        <v>0.17</v>
      </c>
      <c r="U55" s="74">
        <v>1.39</v>
      </c>
      <c r="V55" s="50">
        <v>0.53</v>
      </c>
      <c r="W55" s="74">
        <v>5.3999999999999999E-2</v>
      </c>
      <c r="X55" s="50">
        <v>0.06</v>
      </c>
      <c r="Y55" s="74">
        <v>2E-3</v>
      </c>
      <c r="Z55" s="166">
        <v>0.35399999999999998</v>
      </c>
      <c r="AA55" s="167">
        <v>0.26200000000000001</v>
      </c>
      <c r="AC55" s="74">
        <v>32</v>
      </c>
      <c r="AD55" s="166">
        <v>0</v>
      </c>
      <c r="AE55" s="50">
        <f>0.05/2</f>
        <v>2.5000000000000001E-2</v>
      </c>
      <c r="AF55" s="50">
        <f>0.1/2</f>
        <v>0.05</v>
      </c>
      <c r="AI55" s="97"/>
    </row>
    <row r="56" spans="1:35" ht="15" customHeight="1">
      <c r="A56" s="41" t="s">
        <v>38</v>
      </c>
      <c r="B56" s="50" t="s">
        <v>1568</v>
      </c>
      <c r="C56" s="50" t="s">
        <v>1568</v>
      </c>
      <c r="D56" s="48" t="s">
        <v>1569</v>
      </c>
      <c r="E56" s="50" t="s">
        <v>1570</v>
      </c>
      <c r="G56" s="76" t="s">
        <v>1778</v>
      </c>
      <c r="H56" s="50">
        <v>4493</v>
      </c>
      <c r="I56" s="49" t="s">
        <v>2</v>
      </c>
      <c r="J56" s="50" t="s">
        <v>1779</v>
      </c>
      <c r="K56" s="51">
        <v>41021</v>
      </c>
      <c r="L56" s="115">
        <v>41011</v>
      </c>
      <c r="M56" s="50">
        <v>10</v>
      </c>
      <c r="N56" s="50" t="s">
        <v>2</v>
      </c>
      <c r="O56" s="74">
        <f>5/2</f>
        <v>2.5</v>
      </c>
      <c r="P56" s="50">
        <v>6.29</v>
      </c>
      <c r="Q56" s="74">
        <v>6.8</v>
      </c>
      <c r="R56" s="50">
        <v>58.8</v>
      </c>
      <c r="S56" s="74">
        <v>60</v>
      </c>
      <c r="T56" s="50">
        <v>0.32</v>
      </c>
      <c r="U56" s="74">
        <f>0.5/2</f>
        <v>0.25</v>
      </c>
      <c r="V56" s="50">
        <v>1.55</v>
      </c>
      <c r="W56" s="74">
        <v>0.26</v>
      </c>
      <c r="X56" s="50">
        <v>0.2</v>
      </c>
      <c r="Y56" s="74">
        <v>1.2E-2</v>
      </c>
      <c r="Z56" s="166">
        <v>7.6200000000000004E-2</v>
      </c>
      <c r="AA56" s="167">
        <v>6.25E-2</v>
      </c>
      <c r="AC56" s="74">
        <v>2310</v>
      </c>
      <c r="AD56" s="166">
        <v>0</v>
      </c>
      <c r="AE56" s="50">
        <v>0.22</v>
      </c>
      <c r="AF56" s="50">
        <v>0.32</v>
      </c>
      <c r="AI56" s="97"/>
    </row>
    <row r="57" spans="1:35" ht="15" customHeight="1">
      <c r="A57" s="41" t="s">
        <v>38</v>
      </c>
      <c r="B57" s="50" t="s">
        <v>570</v>
      </c>
      <c r="C57" s="50" t="s">
        <v>570</v>
      </c>
      <c r="D57" s="48" t="s">
        <v>567</v>
      </c>
      <c r="E57" s="50" t="s">
        <v>1901</v>
      </c>
      <c r="F57" s="50" t="s">
        <v>1902</v>
      </c>
      <c r="G57" s="76" t="s">
        <v>571</v>
      </c>
      <c r="H57" s="50">
        <v>7997</v>
      </c>
      <c r="I57" s="49" t="s">
        <v>2</v>
      </c>
      <c r="J57" s="50" t="s">
        <v>194</v>
      </c>
      <c r="K57" s="51">
        <v>41044</v>
      </c>
      <c r="L57" s="146">
        <v>41039</v>
      </c>
      <c r="M57" s="85">
        <v>5</v>
      </c>
      <c r="N57" s="50" t="s">
        <v>2</v>
      </c>
      <c r="O57" s="74">
        <f>1/2</f>
        <v>0.5</v>
      </c>
      <c r="P57" s="50">
        <v>5.0999999999999996</v>
      </c>
      <c r="Q57" s="74">
        <v>7.3</v>
      </c>
      <c r="R57" s="50">
        <v>62</v>
      </c>
      <c r="S57" s="74">
        <v>40</v>
      </c>
      <c r="T57" s="50">
        <v>0.4</v>
      </c>
      <c r="U57" s="74">
        <v>2.87</v>
      </c>
      <c r="V57" s="50">
        <v>1.81</v>
      </c>
      <c r="W57" s="74">
        <v>0.92</v>
      </c>
      <c r="X57" s="50">
        <v>0.46</v>
      </c>
      <c r="Y57" s="74">
        <f>0.05/2</f>
        <v>2.5000000000000001E-2</v>
      </c>
      <c r="Z57" s="239">
        <v>6.25E-2</v>
      </c>
      <c r="AA57" s="240">
        <v>6.25E-2</v>
      </c>
      <c r="AB57" s="85">
        <v>210</v>
      </c>
      <c r="AC57" s="130">
        <v>1126</v>
      </c>
      <c r="AD57" s="239">
        <v>0</v>
      </c>
      <c r="AE57" s="121">
        <v>1.78</v>
      </c>
      <c r="AF57" s="121">
        <v>0.51</v>
      </c>
      <c r="AI57" s="97"/>
    </row>
    <row r="58" spans="1:35" ht="15" customHeight="1">
      <c r="A58" s="41" t="s">
        <v>38</v>
      </c>
      <c r="B58" s="50" t="s">
        <v>570</v>
      </c>
      <c r="C58" s="50" t="s">
        <v>570</v>
      </c>
      <c r="D58" s="48" t="s">
        <v>567</v>
      </c>
      <c r="E58" s="50" t="s">
        <v>1901</v>
      </c>
      <c r="F58" s="50" t="s">
        <v>1902</v>
      </c>
      <c r="G58" s="76" t="s">
        <v>571</v>
      </c>
      <c r="H58" s="50">
        <v>7997</v>
      </c>
      <c r="I58" s="49" t="s">
        <v>2</v>
      </c>
      <c r="J58" s="50" t="s">
        <v>569</v>
      </c>
      <c r="K58" s="51">
        <v>41044</v>
      </c>
      <c r="L58" s="146">
        <v>41039</v>
      </c>
      <c r="M58" s="85">
        <v>5</v>
      </c>
      <c r="N58" s="50" t="s">
        <v>2</v>
      </c>
      <c r="O58" s="74">
        <f>1/2</f>
        <v>0.5</v>
      </c>
      <c r="P58" s="50">
        <v>5.38</v>
      </c>
      <c r="Q58" s="74">
        <v>7.04</v>
      </c>
      <c r="R58" s="50">
        <v>63</v>
      </c>
      <c r="S58" s="74">
        <v>18</v>
      </c>
      <c r="T58" s="50">
        <v>0.26</v>
      </c>
      <c r="U58" s="74">
        <v>2.46</v>
      </c>
      <c r="V58" s="50">
        <v>1.07</v>
      </c>
      <c r="W58" s="74">
        <f>0.05/2</f>
        <v>2.5000000000000001E-2</v>
      </c>
      <c r="X58" s="50">
        <v>0.05</v>
      </c>
      <c r="Y58" s="74">
        <f>0.05/2</f>
        <v>2.5000000000000001E-2</v>
      </c>
      <c r="Z58" s="239">
        <v>1</v>
      </c>
      <c r="AA58" s="240">
        <v>1</v>
      </c>
      <c r="AB58" s="85">
        <v>9</v>
      </c>
      <c r="AC58" s="130">
        <v>706</v>
      </c>
      <c r="AD58" s="239">
        <v>1</v>
      </c>
      <c r="AE58" s="121">
        <v>0.51</v>
      </c>
      <c r="AF58" s="121">
        <v>0.24</v>
      </c>
      <c r="AI58" s="97"/>
    </row>
    <row r="59" spans="1:35" ht="15" customHeight="1">
      <c r="A59" s="41" t="s">
        <v>38</v>
      </c>
      <c r="B59" s="50" t="s">
        <v>1696</v>
      </c>
      <c r="C59" s="50" t="s">
        <v>1697</v>
      </c>
      <c r="D59" s="48" t="s">
        <v>262</v>
      </c>
      <c r="E59" s="50" t="s">
        <v>1698</v>
      </c>
      <c r="G59" s="76" t="s">
        <v>1699</v>
      </c>
      <c r="H59" s="50">
        <v>4493</v>
      </c>
      <c r="I59" s="49" t="s">
        <v>2</v>
      </c>
      <c r="J59" s="50" t="s">
        <v>1700</v>
      </c>
      <c r="K59" s="51">
        <v>41085</v>
      </c>
      <c r="L59" s="146">
        <v>41073</v>
      </c>
      <c r="M59" s="85">
        <v>12</v>
      </c>
      <c r="N59" s="50" t="s">
        <v>2</v>
      </c>
      <c r="O59" s="74">
        <f>5/2</f>
        <v>2.5</v>
      </c>
      <c r="P59" s="50">
        <v>6.74</v>
      </c>
      <c r="Q59" s="74">
        <v>5.7</v>
      </c>
      <c r="R59" s="50">
        <v>3.57</v>
      </c>
      <c r="S59" s="74">
        <v>23</v>
      </c>
      <c r="T59" s="50">
        <v>0.05</v>
      </c>
      <c r="U59" s="74">
        <v>1.53</v>
      </c>
      <c r="V59" s="50">
        <v>0.62</v>
      </c>
      <c r="W59" s="74">
        <v>4.7E-2</v>
      </c>
      <c r="X59" s="50">
        <v>0.04</v>
      </c>
      <c r="Y59" s="74">
        <v>6.0000000000000001E-3</v>
      </c>
      <c r="Z59" s="239">
        <v>0.31900000000000001</v>
      </c>
      <c r="AA59" s="240">
        <v>0.17399999999999999</v>
      </c>
      <c r="AB59" s="85">
        <v>1.81</v>
      </c>
      <c r="AC59" s="130">
        <v>15</v>
      </c>
      <c r="AD59" s="239">
        <v>0</v>
      </c>
      <c r="AE59" s="121">
        <v>0.14000000000000001</v>
      </c>
      <c r="AF59" s="121">
        <v>0.12</v>
      </c>
      <c r="AI59" s="97"/>
    </row>
    <row r="60" spans="1:35" ht="15" customHeight="1">
      <c r="A60" s="41" t="s">
        <v>38</v>
      </c>
      <c r="B60" s="50" t="s">
        <v>1696</v>
      </c>
      <c r="C60" s="50" t="s">
        <v>1697</v>
      </c>
      <c r="D60" s="48" t="s">
        <v>262</v>
      </c>
      <c r="E60" s="50" t="s">
        <v>1698</v>
      </c>
      <c r="G60" s="76" t="s">
        <v>1699</v>
      </c>
      <c r="H60" s="50">
        <v>4493</v>
      </c>
      <c r="I60" s="49" t="s">
        <v>2</v>
      </c>
      <c r="J60" s="50" t="s">
        <v>1701</v>
      </c>
      <c r="K60" s="51">
        <v>41085</v>
      </c>
      <c r="L60" s="146">
        <v>41073</v>
      </c>
      <c r="M60" s="85">
        <v>12</v>
      </c>
      <c r="N60" s="50" t="s">
        <v>2</v>
      </c>
      <c r="O60" s="74">
        <f>5/2</f>
        <v>2.5</v>
      </c>
      <c r="P60" s="50">
        <v>6.74</v>
      </c>
      <c r="Q60" s="74">
        <v>5.67</v>
      </c>
      <c r="R60" s="50">
        <f>2/2</f>
        <v>1</v>
      </c>
      <c r="S60" s="74">
        <v>18</v>
      </c>
      <c r="T60" s="50">
        <f>0.02/2</f>
        <v>0.01</v>
      </c>
      <c r="U60" s="74">
        <v>1.1399999999999999</v>
      </c>
      <c r="V60" s="50">
        <v>0.59</v>
      </c>
      <c r="W60" s="74">
        <v>5.5E-2</v>
      </c>
      <c r="X60" s="50">
        <v>0.04</v>
      </c>
      <c r="Y60" s="74">
        <v>8.9999999999999993E-3</v>
      </c>
      <c r="Z60" s="239">
        <v>0.39200000000000002</v>
      </c>
      <c r="AA60" s="240">
        <v>0.186</v>
      </c>
      <c r="AB60" s="85">
        <v>2.09</v>
      </c>
      <c r="AC60" s="130">
        <v>12</v>
      </c>
      <c r="AD60" s="239">
        <v>0</v>
      </c>
      <c r="AE60" s="121">
        <v>0.22</v>
      </c>
      <c r="AF60" s="121">
        <v>0.15</v>
      </c>
      <c r="AI60" s="97"/>
    </row>
    <row r="61" spans="1:35" ht="15" customHeight="1">
      <c r="A61" s="41" t="s">
        <v>38</v>
      </c>
      <c r="B61" s="50" t="s">
        <v>1696</v>
      </c>
      <c r="C61" s="50" t="s">
        <v>1697</v>
      </c>
      <c r="D61" s="48" t="s">
        <v>262</v>
      </c>
      <c r="E61" s="50" t="s">
        <v>1698</v>
      </c>
      <c r="G61" s="76" t="s">
        <v>1699</v>
      </c>
      <c r="H61" s="50">
        <v>4493</v>
      </c>
      <c r="I61" s="49" t="s">
        <v>2</v>
      </c>
      <c r="J61" s="50" t="s">
        <v>1702</v>
      </c>
      <c r="K61" s="51">
        <v>41085</v>
      </c>
      <c r="L61" s="146">
        <v>41073</v>
      </c>
      <c r="M61" s="85">
        <v>12</v>
      </c>
      <c r="N61" s="50" t="s">
        <v>2</v>
      </c>
      <c r="O61" s="74">
        <f>5/2</f>
        <v>2.5</v>
      </c>
      <c r="P61" s="50">
        <v>6.74</v>
      </c>
      <c r="Q61" s="74">
        <v>5.6</v>
      </c>
      <c r="R61" s="50">
        <v>11.5</v>
      </c>
      <c r="S61" s="74">
        <v>34</v>
      </c>
      <c r="T61" s="50">
        <v>0.08</v>
      </c>
      <c r="U61" s="74">
        <v>1.63</v>
      </c>
      <c r="V61" s="50">
        <v>0.59</v>
      </c>
      <c r="W61" s="74">
        <v>4.1000000000000002E-2</v>
      </c>
      <c r="X61" s="50">
        <v>0.04</v>
      </c>
      <c r="Y61" s="74">
        <v>5.0000000000000001E-3</v>
      </c>
      <c r="Z61" s="239">
        <v>0.39200000000000002</v>
      </c>
      <c r="AA61" s="240">
        <v>0.20899999999999999</v>
      </c>
      <c r="AB61" s="85">
        <v>2.11</v>
      </c>
      <c r="AC61" s="130">
        <v>14</v>
      </c>
      <c r="AD61" s="239"/>
      <c r="AE61" s="121">
        <v>0.22</v>
      </c>
      <c r="AF61" s="121">
        <v>0.14000000000000001</v>
      </c>
      <c r="AI61" s="97"/>
    </row>
    <row r="62" spans="1:35" ht="15" customHeight="1">
      <c r="A62" s="41" t="s">
        <v>38</v>
      </c>
      <c r="B62" s="50" t="s">
        <v>1703</v>
      </c>
      <c r="C62" s="50" t="s">
        <v>1703</v>
      </c>
      <c r="D62" s="48" t="s">
        <v>303</v>
      </c>
      <c r="E62" s="50" t="s">
        <v>1557</v>
      </c>
      <c r="G62" s="76" t="s">
        <v>1704</v>
      </c>
      <c r="I62" s="49" t="s">
        <v>2</v>
      </c>
      <c r="J62" s="50" t="s">
        <v>1705</v>
      </c>
      <c r="K62" s="51">
        <v>40996</v>
      </c>
      <c r="L62" s="146"/>
      <c r="M62" s="85"/>
      <c r="N62" s="50" t="s">
        <v>2</v>
      </c>
      <c r="O62" s="74">
        <f>1/2</f>
        <v>0.5</v>
      </c>
      <c r="P62" s="50">
        <v>5.14</v>
      </c>
      <c r="Q62" s="74">
        <v>8.5299999999999994</v>
      </c>
      <c r="R62" s="50">
        <v>31</v>
      </c>
      <c r="S62" s="74">
        <v>633</v>
      </c>
      <c r="T62" s="50">
        <v>0.23</v>
      </c>
      <c r="U62" s="74">
        <v>2.66</v>
      </c>
      <c r="V62" s="50">
        <v>1.65</v>
      </c>
      <c r="W62" s="74">
        <v>0.63</v>
      </c>
      <c r="X62" s="50">
        <v>0.52</v>
      </c>
      <c r="Y62" s="74">
        <v>0.06</v>
      </c>
      <c r="Z62" s="239">
        <v>1</v>
      </c>
      <c r="AA62" s="239">
        <v>1</v>
      </c>
      <c r="AB62" s="85">
        <v>110</v>
      </c>
      <c r="AC62" s="130">
        <v>243</v>
      </c>
      <c r="AD62" s="239">
        <v>0.6</v>
      </c>
      <c r="AE62" s="121">
        <v>1.84</v>
      </c>
      <c r="AF62" s="121">
        <v>1.95</v>
      </c>
      <c r="AI62" s="97"/>
    </row>
    <row r="63" spans="1:35" ht="15" customHeight="1">
      <c r="A63" s="41" t="s">
        <v>38</v>
      </c>
      <c r="B63" s="50" t="s">
        <v>1706</v>
      </c>
      <c r="C63" s="50" t="s">
        <v>1706</v>
      </c>
      <c r="D63" s="48" t="s">
        <v>303</v>
      </c>
      <c r="E63" s="50" t="s">
        <v>1557</v>
      </c>
      <c r="G63" s="76" t="s">
        <v>1707</v>
      </c>
      <c r="H63" s="50" t="s">
        <v>1557</v>
      </c>
      <c r="I63" s="49" t="s">
        <v>2</v>
      </c>
      <c r="J63" s="50" t="s">
        <v>1708</v>
      </c>
      <c r="K63" s="51">
        <v>40996</v>
      </c>
      <c r="L63" s="146"/>
      <c r="M63" s="85"/>
      <c r="N63" s="50" t="s">
        <v>2</v>
      </c>
      <c r="O63" s="74">
        <f>1/2</f>
        <v>0.5</v>
      </c>
      <c r="P63" s="50">
        <v>5.14</v>
      </c>
      <c r="Q63" s="74">
        <v>6.6</v>
      </c>
      <c r="R63" s="50">
        <v>41</v>
      </c>
      <c r="S63" s="74">
        <v>505</v>
      </c>
      <c r="T63" s="50">
        <v>0.68</v>
      </c>
      <c r="U63" s="74">
        <v>1.75</v>
      </c>
      <c r="V63" s="50">
        <v>1.1100000000000001</v>
      </c>
      <c r="W63" s="74">
        <v>0.67</v>
      </c>
      <c r="X63" s="50">
        <v>0.33</v>
      </c>
      <c r="Y63" s="74">
        <v>0.25</v>
      </c>
      <c r="Z63" s="239">
        <v>1</v>
      </c>
      <c r="AA63" s="240">
        <v>0.82</v>
      </c>
      <c r="AB63" s="85">
        <v>70</v>
      </c>
      <c r="AC63" s="130">
        <v>46</v>
      </c>
      <c r="AD63" s="239">
        <v>0.3</v>
      </c>
      <c r="AE63" s="121">
        <v>12.9</v>
      </c>
      <c r="AF63" s="121">
        <v>9</v>
      </c>
      <c r="AI63" s="97"/>
    </row>
    <row r="64" spans="1:35" ht="15" customHeight="1">
      <c r="A64" s="41" t="s">
        <v>38</v>
      </c>
      <c r="B64" s="50" t="s">
        <v>1709</v>
      </c>
      <c r="C64" s="50" t="s">
        <v>1709</v>
      </c>
      <c r="D64" s="48" t="s">
        <v>559</v>
      </c>
      <c r="G64" s="76" t="s">
        <v>1711</v>
      </c>
      <c r="H64" s="50">
        <v>4493</v>
      </c>
      <c r="I64" s="49" t="s">
        <v>2</v>
      </c>
      <c r="J64" s="50" t="s">
        <v>1710</v>
      </c>
      <c r="K64" s="51">
        <v>41122</v>
      </c>
      <c r="L64" s="146">
        <v>41119</v>
      </c>
      <c r="M64" s="85">
        <v>3</v>
      </c>
      <c r="N64" s="50" t="s">
        <v>2</v>
      </c>
      <c r="O64" s="74">
        <v>6.4</v>
      </c>
      <c r="P64" s="50">
        <v>5</v>
      </c>
      <c r="Q64" s="74">
        <v>7.2</v>
      </c>
      <c r="R64" s="50">
        <v>86</v>
      </c>
      <c r="S64" s="74">
        <v>1033</v>
      </c>
      <c r="T64" s="50">
        <v>0.3</v>
      </c>
      <c r="U64" s="74">
        <f>0.5/2</f>
        <v>0.25</v>
      </c>
      <c r="V64" s="50">
        <v>0.2</v>
      </c>
      <c r="W64" s="74">
        <v>4.1000000000000002E-2</v>
      </c>
      <c r="X64" s="50">
        <v>0.11</v>
      </c>
      <c r="Y64" s="74">
        <v>1.4999999999999999E-2</v>
      </c>
      <c r="Z64" s="239">
        <v>1</v>
      </c>
      <c r="AA64" s="239">
        <v>1</v>
      </c>
      <c r="AB64" s="85">
        <v>24</v>
      </c>
      <c r="AC64" s="130">
        <v>78</v>
      </c>
      <c r="AD64" s="239">
        <v>0.9</v>
      </c>
      <c r="AE64" s="121">
        <v>14</v>
      </c>
      <c r="AF64" s="121">
        <v>9.6999999999999993</v>
      </c>
      <c r="AI64" s="97"/>
    </row>
    <row r="65" spans="1:35" ht="15" customHeight="1">
      <c r="A65" s="41" t="s">
        <v>38</v>
      </c>
      <c r="B65" s="50" t="s">
        <v>1712</v>
      </c>
      <c r="C65" s="50" t="s">
        <v>1713</v>
      </c>
      <c r="D65" s="48" t="s">
        <v>567</v>
      </c>
      <c r="E65" s="50" t="s">
        <v>1714</v>
      </c>
      <c r="G65" s="76" t="s">
        <v>1715</v>
      </c>
      <c r="H65" s="50">
        <v>4493</v>
      </c>
      <c r="I65" s="49" t="s">
        <v>2</v>
      </c>
      <c r="J65" s="50" t="s">
        <v>1144</v>
      </c>
      <c r="K65" s="51">
        <v>41021</v>
      </c>
      <c r="L65" s="146"/>
      <c r="M65" s="85" t="s">
        <v>1147</v>
      </c>
      <c r="N65" s="50" t="s">
        <v>2</v>
      </c>
      <c r="O65" s="74">
        <f t="shared" ref="O65:O71" si="0">5/2</f>
        <v>2.5</v>
      </c>
      <c r="P65" s="50">
        <v>6.21</v>
      </c>
      <c r="Q65" s="74">
        <v>6.35</v>
      </c>
      <c r="R65" s="50">
        <v>30</v>
      </c>
      <c r="S65" s="74">
        <v>50</v>
      </c>
      <c r="T65" s="50">
        <f>0.1/2</f>
        <v>0.05</v>
      </c>
      <c r="U65" s="74">
        <f t="shared" ref="U65:U71" si="1">1/2</f>
        <v>0.5</v>
      </c>
      <c r="V65" s="50">
        <f t="shared" ref="V65:V71" si="2">0.1/2</f>
        <v>0.05</v>
      </c>
      <c r="W65" s="74">
        <f>0.04/2</f>
        <v>0.02</v>
      </c>
      <c r="X65" s="50">
        <f>0.02/2</f>
        <v>0.01</v>
      </c>
      <c r="Y65" s="74">
        <f>0.013/2</f>
        <v>6.4999999999999997E-3</v>
      </c>
      <c r="Z65" s="239">
        <v>1</v>
      </c>
      <c r="AA65" s="240">
        <v>1</v>
      </c>
      <c r="AB65" s="85">
        <v>14</v>
      </c>
      <c r="AC65" s="130">
        <v>47</v>
      </c>
      <c r="AD65" s="239">
        <v>1</v>
      </c>
      <c r="AE65" s="121">
        <v>0.21</v>
      </c>
      <c r="AF65" s="121">
        <v>0.13</v>
      </c>
      <c r="AI65" s="97"/>
    </row>
    <row r="66" spans="1:35" ht="15" customHeight="1">
      <c r="A66" s="41" t="s">
        <v>38</v>
      </c>
      <c r="B66" s="50" t="s">
        <v>1712</v>
      </c>
      <c r="C66" s="50" t="s">
        <v>1713</v>
      </c>
      <c r="D66" s="48" t="s">
        <v>567</v>
      </c>
      <c r="E66" s="50" t="s">
        <v>1714</v>
      </c>
      <c r="G66" s="76" t="s">
        <v>1715</v>
      </c>
      <c r="H66" s="50">
        <v>4493</v>
      </c>
      <c r="I66" s="49" t="s">
        <v>2</v>
      </c>
      <c r="J66" s="50" t="s">
        <v>1716</v>
      </c>
      <c r="K66" s="51">
        <v>41021</v>
      </c>
      <c r="L66" s="146"/>
      <c r="M66" s="85" t="s">
        <v>1147</v>
      </c>
      <c r="N66" s="50" t="s">
        <v>2</v>
      </c>
      <c r="O66" s="74">
        <f t="shared" si="0"/>
        <v>2.5</v>
      </c>
      <c r="P66" s="50">
        <v>6.21</v>
      </c>
      <c r="Q66" s="74">
        <v>6.31</v>
      </c>
      <c r="R66" s="50">
        <v>7</v>
      </c>
      <c r="S66" s="74">
        <v>10</v>
      </c>
      <c r="T66" s="50">
        <f>0.1/2</f>
        <v>0.05</v>
      </c>
      <c r="U66" s="74">
        <f t="shared" si="1"/>
        <v>0.5</v>
      </c>
      <c r="V66" s="50">
        <f t="shared" si="2"/>
        <v>0.05</v>
      </c>
      <c r="W66" s="74">
        <f>0.04/2</f>
        <v>0.02</v>
      </c>
      <c r="X66" s="50">
        <f>0.02/2</f>
        <v>0.01</v>
      </c>
      <c r="Y66" s="74">
        <f>0.013/2</f>
        <v>6.4999999999999997E-3</v>
      </c>
      <c r="Z66" s="239">
        <v>1</v>
      </c>
      <c r="AA66" s="240">
        <v>1</v>
      </c>
      <c r="AB66" s="85">
        <v>15</v>
      </c>
      <c r="AC66" s="130">
        <v>33</v>
      </c>
      <c r="AD66" s="239">
        <v>1</v>
      </c>
      <c r="AE66" s="121">
        <v>0.56999999999999995</v>
      </c>
      <c r="AF66" s="121">
        <v>0.25</v>
      </c>
      <c r="AI66" s="97"/>
    </row>
    <row r="67" spans="1:35" ht="15" customHeight="1">
      <c r="A67" s="41" t="s">
        <v>38</v>
      </c>
      <c r="B67" s="50" t="s">
        <v>1712</v>
      </c>
      <c r="C67" s="50" t="s">
        <v>1717</v>
      </c>
      <c r="D67" s="48" t="s">
        <v>567</v>
      </c>
      <c r="E67" s="50" t="s">
        <v>1538</v>
      </c>
      <c r="G67" s="76" t="s">
        <v>1718</v>
      </c>
      <c r="H67" s="50">
        <v>4493</v>
      </c>
      <c r="I67" s="49" t="s">
        <v>2</v>
      </c>
      <c r="J67" s="50" t="s">
        <v>1144</v>
      </c>
      <c r="K67" s="51">
        <v>41021</v>
      </c>
      <c r="L67" s="146"/>
      <c r="M67" s="85" t="s">
        <v>1147</v>
      </c>
      <c r="N67" s="50" t="s">
        <v>2</v>
      </c>
      <c r="O67" s="74">
        <f t="shared" si="0"/>
        <v>2.5</v>
      </c>
      <c r="P67" s="50">
        <v>6.21</v>
      </c>
      <c r="Q67" s="74">
        <v>7.18</v>
      </c>
      <c r="R67" s="50">
        <v>10</v>
      </c>
      <c r="S67" s="74">
        <v>18</v>
      </c>
      <c r="T67" s="50">
        <f>0.1/2</f>
        <v>0.05</v>
      </c>
      <c r="U67" s="74">
        <f t="shared" si="1"/>
        <v>0.5</v>
      </c>
      <c r="V67" s="50">
        <f t="shared" si="2"/>
        <v>0.05</v>
      </c>
      <c r="W67" s="74">
        <f>0.04/2</f>
        <v>0.02</v>
      </c>
      <c r="X67" s="50">
        <f>0.02/2</f>
        <v>0.01</v>
      </c>
      <c r="Y67" s="74">
        <f>0.013/2</f>
        <v>6.4999999999999997E-3</v>
      </c>
      <c r="Z67" s="239">
        <v>1</v>
      </c>
      <c r="AA67" s="240">
        <v>1</v>
      </c>
      <c r="AB67" s="85">
        <v>12</v>
      </c>
      <c r="AC67" s="130">
        <v>40</v>
      </c>
      <c r="AD67" s="239">
        <v>1</v>
      </c>
      <c r="AE67" s="121">
        <v>0.15</v>
      </c>
      <c r="AF67" s="121">
        <f>0.1/2</f>
        <v>0.05</v>
      </c>
      <c r="AI67" s="97"/>
    </row>
    <row r="68" spans="1:35" ht="15" customHeight="1">
      <c r="A68" s="41" t="s">
        <v>38</v>
      </c>
      <c r="B68" s="50" t="s">
        <v>1712</v>
      </c>
      <c r="C68" s="50" t="s">
        <v>1717</v>
      </c>
      <c r="D68" s="48" t="s">
        <v>567</v>
      </c>
      <c r="E68" s="50" t="s">
        <v>1538</v>
      </c>
      <c r="G68" s="76" t="s">
        <v>1718</v>
      </c>
      <c r="H68" s="50">
        <v>4493</v>
      </c>
      <c r="I68" s="49" t="s">
        <v>2</v>
      </c>
      <c r="J68" s="50" t="s">
        <v>1716</v>
      </c>
      <c r="K68" s="51">
        <v>41021</v>
      </c>
      <c r="L68" s="146"/>
      <c r="M68" s="85" t="s">
        <v>1147</v>
      </c>
      <c r="N68" s="50" t="s">
        <v>2</v>
      </c>
      <c r="O68" s="74">
        <f t="shared" si="0"/>
        <v>2.5</v>
      </c>
      <c r="P68" s="50">
        <v>6.21</v>
      </c>
      <c r="Q68" s="74">
        <v>7.3</v>
      </c>
      <c r="R68" s="50">
        <v>47</v>
      </c>
      <c r="S68" s="74">
        <v>51</v>
      </c>
      <c r="T68" s="50">
        <f>0.1/2</f>
        <v>0.05</v>
      </c>
      <c r="U68" s="74">
        <f t="shared" si="1"/>
        <v>0.5</v>
      </c>
      <c r="V68" s="50">
        <f t="shared" si="2"/>
        <v>0.05</v>
      </c>
      <c r="W68" s="74">
        <v>7.0999999999999994E-2</v>
      </c>
      <c r="X68" s="50">
        <v>7.9000000000000001E-2</v>
      </c>
      <c r="Y68" s="74">
        <v>0.02</v>
      </c>
      <c r="Z68" s="239">
        <v>1</v>
      </c>
      <c r="AA68" s="240">
        <v>1</v>
      </c>
      <c r="AB68" s="85">
        <v>23</v>
      </c>
      <c r="AC68" s="130">
        <v>38</v>
      </c>
      <c r="AD68" s="239">
        <v>1</v>
      </c>
      <c r="AE68" s="121">
        <v>0.86</v>
      </c>
      <c r="AF68" s="121">
        <v>0.49</v>
      </c>
      <c r="AI68" s="97"/>
    </row>
    <row r="69" spans="1:35" ht="15" customHeight="1">
      <c r="A69" s="41" t="s">
        <v>38</v>
      </c>
      <c r="B69" s="50" t="s">
        <v>1712</v>
      </c>
      <c r="C69" s="50" t="s">
        <v>1717</v>
      </c>
      <c r="D69" s="48" t="s">
        <v>567</v>
      </c>
      <c r="E69" s="50" t="s">
        <v>1538</v>
      </c>
      <c r="G69" s="76" t="s">
        <v>1718</v>
      </c>
      <c r="H69" s="50">
        <v>4493</v>
      </c>
      <c r="I69" s="49" t="s">
        <v>2</v>
      </c>
      <c r="J69" s="50" t="s">
        <v>1719</v>
      </c>
      <c r="K69" s="51">
        <v>41021</v>
      </c>
      <c r="L69" s="146"/>
      <c r="M69" s="85" t="s">
        <v>1147</v>
      </c>
      <c r="N69" s="50" t="s">
        <v>2</v>
      </c>
      <c r="O69" s="74">
        <f t="shared" si="0"/>
        <v>2.5</v>
      </c>
      <c r="P69" s="50">
        <v>6.21</v>
      </c>
      <c r="Q69" s="74">
        <v>7.29</v>
      </c>
      <c r="R69" s="50">
        <v>120</v>
      </c>
      <c r="S69" s="74">
        <v>190</v>
      </c>
      <c r="T69" s="50">
        <v>0.22</v>
      </c>
      <c r="U69" s="74">
        <f t="shared" si="1"/>
        <v>0.5</v>
      </c>
      <c r="V69" s="50">
        <f t="shared" si="2"/>
        <v>0.05</v>
      </c>
      <c r="W69" s="74">
        <v>6.4000000000000001E-2</v>
      </c>
      <c r="X69" s="50">
        <v>0.1</v>
      </c>
      <c r="Y69" s="74">
        <v>2.5000000000000001E-2</v>
      </c>
      <c r="Z69" s="239">
        <v>1</v>
      </c>
      <c r="AA69" s="240">
        <v>1</v>
      </c>
      <c r="AB69" s="85">
        <v>36</v>
      </c>
      <c r="AC69" s="130">
        <v>29</v>
      </c>
      <c r="AD69" s="239">
        <v>1</v>
      </c>
      <c r="AE69" s="121">
        <v>2.4</v>
      </c>
      <c r="AF69" s="121">
        <v>1.2</v>
      </c>
      <c r="AI69" s="97"/>
    </row>
    <row r="70" spans="1:35" ht="15" customHeight="1">
      <c r="A70" s="41" t="s">
        <v>38</v>
      </c>
      <c r="B70" s="50" t="s">
        <v>1712</v>
      </c>
      <c r="C70" s="50" t="s">
        <v>1720</v>
      </c>
      <c r="D70" s="48" t="s">
        <v>567</v>
      </c>
      <c r="E70" s="50" t="s">
        <v>1538</v>
      </c>
      <c r="G70" s="76" t="s">
        <v>1721</v>
      </c>
      <c r="H70" s="50">
        <v>4493</v>
      </c>
      <c r="I70" s="49" t="s">
        <v>2</v>
      </c>
      <c r="J70" s="50" t="s">
        <v>1144</v>
      </c>
      <c r="K70" s="51">
        <v>41021</v>
      </c>
      <c r="L70" s="146"/>
      <c r="M70" s="85" t="s">
        <v>1147</v>
      </c>
      <c r="N70" s="50" t="s">
        <v>2</v>
      </c>
      <c r="O70" s="74">
        <f t="shared" si="0"/>
        <v>2.5</v>
      </c>
      <c r="P70" s="50">
        <v>6.21</v>
      </c>
      <c r="Q70" s="74">
        <v>6.9</v>
      </c>
      <c r="R70" s="50">
        <v>10</v>
      </c>
      <c r="S70" s="74">
        <f>5/2</f>
        <v>2.5</v>
      </c>
      <c r="T70" s="50">
        <f>0.1/2</f>
        <v>0.05</v>
      </c>
      <c r="U70" s="74">
        <f t="shared" si="1"/>
        <v>0.5</v>
      </c>
      <c r="V70" s="50">
        <f t="shared" si="2"/>
        <v>0.05</v>
      </c>
      <c r="W70" s="74">
        <v>6.4000000000000001E-2</v>
      </c>
      <c r="X70" s="50">
        <v>3.5999999999999997E-2</v>
      </c>
      <c r="Y70" s="74">
        <f>0.013/2</f>
        <v>6.4999999999999997E-3</v>
      </c>
      <c r="Z70" s="239">
        <v>0.46700000000000003</v>
      </c>
      <c r="AA70" s="240">
        <v>0.26500000000000001</v>
      </c>
      <c r="AB70" s="85">
        <v>7.1</v>
      </c>
      <c r="AC70" s="130">
        <v>50</v>
      </c>
      <c r="AD70" s="239">
        <v>0</v>
      </c>
      <c r="AE70" s="121">
        <f>0.1/2</f>
        <v>0.05</v>
      </c>
      <c r="AF70" s="121">
        <f>0.1/2</f>
        <v>0.05</v>
      </c>
      <c r="AI70" s="97"/>
    </row>
    <row r="71" spans="1:35" ht="15" customHeight="1">
      <c r="A71" s="41" t="s">
        <v>38</v>
      </c>
      <c r="B71" s="50" t="s">
        <v>1712</v>
      </c>
      <c r="C71" s="50" t="s">
        <v>1722</v>
      </c>
      <c r="D71" s="48" t="s">
        <v>567</v>
      </c>
      <c r="E71" s="50" t="s">
        <v>1538</v>
      </c>
      <c r="G71" s="76" t="s">
        <v>1723</v>
      </c>
      <c r="H71" s="50">
        <v>4493</v>
      </c>
      <c r="I71" s="49" t="s">
        <v>2</v>
      </c>
      <c r="J71" s="50" t="s">
        <v>1144</v>
      </c>
      <c r="K71" s="51">
        <v>41021</v>
      </c>
      <c r="L71" s="146"/>
      <c r="M71" s="85" t="s">
        <v>1147</v>
      </c>
      <c r="N71" s="50" t="s">
        <v>2</v>
      </c>
      <c r="O71" s="74">
        <f t="shared" si="0"/>
        <v>2.5</v>
      </c>
      <c r="P71" s="50">
        <v>6.21</v>
      </c>
      <c r="Q71" s="74">
        <v>7.49</v>
      </c>
      <c r="R71" s="50">
        <v>12</v>
      </c>
      <c r="S71" s="74">
        <v>8</v>
      </c>
      <c r="T71" s="50">
        <f>0.1/2</f>
        <v>0.05</v>
      </c>
      <c r="U71" s="74">
        <f t="shared" si="1"/>
        <v>0.5</v>
      </c>
      <c r="V71" s="50">
        <f t="shared" si="2"/>
        <v>0.05</v>
      </c>
      <c r="W71" s="74">
        <v>0.15</v>
      </c>
      <c r="X71" s="50">
        <v>6.7000000000000004E-2</v>
      </c>
      <c r="Y71" s="74">
        <f>0.013/2</f>
        <v>6.4999999999999997E-3</v>
      </c>
      <c r="Z71" s="239">
        <v>0.14899999999999999</v>
      </c>
      <c r="AA71" s="240">
        <v>0.11899999999999999</v>
      </c>
      <c r="AB71" s="85">
        <v>25</v>
      </c>
      <c r="AC71" s="130">
        <v>86</v>
      </c>
      <c r="AD71" s="239">
        <v>0</v>
      </c>
      <c r="AE71" s="85">
        <v>0.18</v>
      </c>
      <c r="AF71" s="85">
        <v>0.13</v>
      </c>
      <c r="AI71" s="97"/>
    </row>
    <row r="72" spans="1:35" ht="15" customHeight="1">
      <c r="A72" s="41" t="s">
        <v>38</v>
      </c>
      <c r="B72" s="50" t="s">
        <v>572</v>
      </c>
      <c r="C72" s="50" t="s">
        <v>572</v>
      </c>
      <c r="D72" s="48" t="s">
        <v>567</v>
      </c>
      <c r="E72" s="50" t="s">
        <v>1724</v>
      </c>
      <c r="G72" s="76" t="s">
        <v>573</v>
      </c>
      <c r="H72" s="50">
        <v>7997</v>
      </c>
      <c r="I72" s="49" t="s">
        <v>1</v>
      </c>
      <c r="J72" s="50" t="s">
        <v>1725</v>
      </c>
      <c r="K72" s="51">
        <v>41044</v>
      </c>
      <c r="L72" s="146"/>
      <c r="M72" s="85"/>
      <c r="N72" s="50" t="s">
        <v>2</v>
      </c>
      <c r="O72" s="74">
        <f>1/2</f>
        <v>0.5</v>
      </c>
      <c r="P72" s="50">
        <v>5.75</v>
      </c>
      <c r="Q72" s="74">
        <v>6.84</v>
      </c>
      <c r="R72" s="50">
        <v>62</v>
      </c>
      <c r="S72" s="74">
        <v>38</v>
      </c>
      <c r="T72" s="50">
        <v>0.12</v>
      </c>
      <c r="U72" s="74">
        <v>0.82</v>
      </c>
      <c r="V72" s="50">
        <v>0.36</v>
      </c>
      <c r="W72" s="74">
        <f>0.05/2</f>
        <v>2.5000000000000001E-2</v>
      </c>
      <c r="X72" s="50">
        <v>0.1</v>
      </c>
      <c r="Y72" s="74">
        <f>0.05/2</f>
        <v>2.5000000000000001E-2</v>
      </c>
      <c r="Z72" s="239">
        <v>1</v>
      </c>
      <c r="AA72" s="239">
        <v>1</v>
      </c>
      <c r="AB72" s="85">
        <v>4.5999999999999996</v>
      </c>
      <c r="AC72" s="130">
        <v>80</v>
      </c>
      <c r="AD72" s="239">
        <v>0.7</v>
      </c>
      <c r="AE72" s="85">
        <v>0.45</v>
      </c>
      <c r="AF72" s="85">
        <v>0.26</v>
      </c>
      <c r="AH72" s="114">
        <v>6</v>
      </c>
      <c r="AI72" s="97"/>
    </row>
    <row r="73" spans="1:35" ht="15" customHeight="1">
      <c r="A73" s="41" t="s">
        <v>38</v>
      </c>
      <c r="B73" s="50" t="s">
        <v>385</v>
      </c>
      <c r="C73" s="50" t="s">
        <v>1726</v>
      </c>
      <c r="D73" s="48" t="s">
        <v>98</v>
      </c>
      <c r="E73" s="50" t="s">
        <v>1727</v>
      </c>
      <c r="G73" s="76" t="s">
        <v>384</v>
      </c>
      <c r="H73" s="50">
        <v>4493</v>
      </c>
      <c r="I73" s="49" t="s">
        <v>1</v>
      </c>
      <c r="J73" s="50" t="s">
        <v>1508</v>
      </c>
      <c r="K73" s="51">
        <v>41051</v>
      </c>
      <c r="L73" s="146"/>
      <c r="M73" s="85" t="s">
        <v>1147</v>
      </c>
      <c r="N73" s="50" t="s">
        <v>2</v>
      </c>
      <c r="O73" s="74">
        <v>5.6</v>
      </c>
      <c r="P73" s="50">
        <v>6.8</v>
      </c>
      <c r="Q73" s="74">
        <v>6.8</v>
      </c>
      <c r="R73" s="50">
        <f>10/2</f>
        <v>5</v>
      </c>
      <c r="S73" s="74">
        <v>6</v>
      </c>
      <c r="T73" s="50">
        <f>0.05/2</f>
        <v>2.5000000000000001E-2</v>
      </c>
      <c r="U73" s="74">
        <v>0.36</v>
      </c>
      <c r="V73" s="50">
        <v>0.16</v>
      </c>
      <c r="W73" s="74">
        <v>5.0999999999999997E-2</v>
      </c>
      <c r="X73" s="50">
        <f>0.03/2</f>
        <v>1.4999999999999999E-2</v>
      </c>
      <c r="Y73" s="74">
        <f>0.03/2</f>
        <v>1.4999999999999999E-2</v>
      </c>
      <c r="AE73" s="50">
        <v>0.15</v>
      </c>
      <c r="AF73" s="50">
        <f>0.1/2</f>
        <v>0.05</v>
      </c>
      <c r="AI73" s="97"/>
    </row>
    <row r="74" spans="1:35" ht="15" customHeight="1">
      <c r="A74" s="41" t="s">
        <v>38</v>
      </c>
      <c r="B74" s="50" t="s">
        <v>563</v>
      </c>
      <c r="C74" s="50" t="s">
        <v>1728</v>
      </c>
      <c r="D74" s="48" t="s">
        <v>564</v>
      </c>
      <c r="E74" s="50" t="s">
        <v>1729</v>
      </c>
      <c r="G74" s="76" t="s">
        <v>565</v>
      </c>
      <c r="H74" s="50">
        <v>4493</v>
      </c>
      <c r="I74" s="49" t="s">
        <v>1</v>
      </c>
      <c r="J74" s="50" t="s">
        <v>1508</v>
      </c>
      <c r="K74" s="51">
        <v>41051</v>
      </c>
      <c r="L74" s="146"/>
      <c r="M74" s="85" t="s">
        <v>1147</v>
      </c>
      <c r="N74" s="50" t="s">
        <v>2</v>
      </c>
      <c r="O74" s="74">
        <v>6.4</v>
      </c>
      <c r="P74" s="50">
        <v>6.8</v>
      </c>
      <c r="Q74" s="74">
        <v>6.6</v>
      </c>
      <c r="R74" s="50">
        <f>10/2</f>
        <v>5</v>
      </c>
      <c r="S74" s="74">
        <v>2</v>
      </c>
      <c r="T74" s="50">
        <f>0.05/2</f>
        <v>2.5000000000000001E-2</v>
      </c>
      <c r="U74" s="74">
        <v>0.3</v>
      </c>
      <c r="V74" s="50">
        <v>0.17</v>
      </c>
      <c r="W74" s="74">
        <f>0.01/2</f>
        <v>5.0000000000000001E-3</v>
      </c>
      <c r="X74" s="50">
        <f>0.03/2</f>
        <v>1.4999999999999999E-2</v>
      </c>
      <c r="Y74" s="74">
        <f>0.03/2</f>
        <v>1.4999999999999999E-2</v>
      </c>
      <c r="AE74" s="50">
        <v>0.05</v>
      </c>
      <c r="AF74" s="50">
        <f>0.1/2</f>
        <v>0.05</v>
      </c>
      <c r="AI74" s="97"/>
    </row>
    <row r="75" spans="1:35" ht="15" customHeight="1">
      <c r="A75" s="41" t="s">
        <v>38</v>
      </c>
      <c r="B75" s="50" t="s">
        <v>1591</v>
      </c>
      <c r="C75" s="50" t="s">
        <v>1591</v>
      </c>
      <c r="D75" s="48" t="s">
        <v>1569</v>
      </c>
      <c r="E75" s="50" t="s">
        <v>1579</v>
      </c>
      <c r="G75" s="76" t="s">
        <v>1592</v>
      </c>
      <c r="H75" s="50">
        <v>4493</v>
      </c>
      <c r="I75" s="49" t="s">
        <v>1</v>
      </c>
      <c r="J75" s="50" t="s">
        <v>1730</v>
      </c>
      <c r="K75" s="51">
        <v>41021</v>
      </c>
      <c r="L75" s="146">
        <v>41011</v>
      </c>
      <c r="M75" s="85">
        <v>10</v>
      </c>
      <c r="N75" s="50" t="s">
        <v>2</v>
      </c>
      <c r="O75" s="74">
        <f>1.4/2</f>
        <v>0.7</v>
      </c>
      <c r="P75" s="50">
        <v>6.58</v>
      </c>
      <c r="Q75" s="74">
        <v>7.49</v>
      </c>
      <c r="R75" s="50">
        <v>10</v>
      </c>
      <c r="S75" s="74">
        <v>64</v>
      </c>
      <c r="T75" s="50">
        <v>0.31</v>
      </c>
      <c r="U75" s="74">
        <v>0.57999999999999996</v>
      </c>
      <c r="V75" s="50">
        <v>0.08</v>
      </c>
      <c r="W75" s="74">
        <v>0.85399999999999998</v>
      </c>
      <c r="X75" s="50">
        <v>0.105</v>
      </c>
      <c r="Y75" s="74">
        <v>1.2999999999999999E-2</v>
      </c>
      <c r="Z75" s="166">
        <v>6.25E-2</v>
      </c>
      <c r="AA75" s="167">
        <v>6.25E-2</v>
      </c>
      <c r="AB75" s="50">
        <v>10</v>
      </c>
      <c r="AC75" s="74">
        <v>31</v>
      </c>
      <c r="AD75" s="166">
        <v>0</v>
      </c>
      <c r="AE75" s="50">
        <v>0.92400000000000004</v>
      </c>
      <c r="AF75" s="50">
        <v>0.45100000000000001</v>
      </c>
      <c r="AI75" s="97"/>
    </row>
    <row r="76" spans="1:35" ht="15" customHeight="1">
      <c r="A76" s="41" t="s">
        <v>38</v>
      </c>
      <c r="B76" s="50" t="s">
        <v>1604</v>
      </c>
      <c r="C76" s="50" t="s">
        <v>1604</v>
      </c>
      <c r="D76" s="48" t="s">
        <v>1569</v>
      </c>
      <c r="E76" s="50" t="s">
        <v>1605</v>
      </c>
      <c r="G76" s="76" t="s">
        <v>1606</v>
      </c>
      <c r="H76" s="50">
        <v>4493</v>
      </c>
      <c r="I76" s="49" t="s">
        <v>2</v>
      </c>
      <c r="J76" s="50" t="s">
        <v>1607</v>
      </c>
      <c r="K76" s="51">
        <v>41021</v>
      </c>
      <c r="L76" s="115">
        <v>41011</v>
      </c>
      <c r="M76" s="50">
        <v>10</v>
      </c>
      <c r="N76" s="50" t="s">
        <v>2</v>
      </c>
      <c r="O76" s="74">
        <f>1.4/2</f>
        <v>0.7</v>
      </c>
      <c r="P76" s="50">
        <v>6.58</v>
      </c>
      <c r="Q76" s="74">
        <v>7.37</v>
      </c>
      <c r="R76" s="50">
        <v>60</v>
      </c>
      <c r="S76" s="74">
        <v>63</v>
      </c>
      <c r="T76" s="50">
        <v>0.24</v>
      </c>
      <c r="U76" s="74">
        <v>1.37</v>
      </c>
      <c r="V76" s="50">
        <v>2.89</v>
      </c>
      <c r="W76" s="74">
        <v>1.74</v>
      </c>
      <c r="X76" s="50">
        <v>0.61799999999999999</v>
      </c>
      <c r="Y76" s="74">
        <v>1.9E-2</v>
      </c>
      <c r="Z76" s="166">
        <v>6.25E-2</v>
      </c>
      <c r="AA76" s="167">
        <v>6.25E-2</v>
      </c>
      <c r="AB76" s="50">
        <v>18</v>
      </c>
      <c r="AC76" s="74">
        <v>187</v>
      </c>
      <c r="AD76" s="166">
        <v>0</v>
      </c>
      <c r="AE76" s="50">
        <v>1.36</v>
      </c>
      <c r="AF76" s="50">
        <v>1.29</v>
      </c>
      <c r="AI76" s="97"/>
    </row>
    <row r="77" spans="1:35" ht="15" customHeight="1">
      <c r="A77" s="41" t="s">
        <v>38</v>
      </c>
      <c r="B77" s="50" t="s">
        <v>1599</v>
      </c>
      <c r="C77" s="50" t="s">
        <v>1600</v>
      </c>
      <c r="D77" s="48" t="s">
        <v>1569</v>
      </c>
      <c r="E77" s="50" t="s">
        <v>1601</v>
      </c>
      <c r="G77" s="76" t="s">
        <v>1602</v>
      </c>
      <c r="H77" s="50">
        <v>4493</v>
      </c>
      <c r="I77" s="49" t="s">
        <v>2</v>
      </c>
      <c r="J77" s="50" t="s">
        <v>1603</v>
      </c>
      <c r="K77" s="51">
        <v>41021</v>
      </c>
      <c r="L77" s="115">
        <v>41011</v>
      </c>
      <c r="M77" s="50">
        <v>10</v>
      </c>
      <c r="N77" s="50" t="s">
        <v>2</v>
      </c>
      <c r="O77" s="74">
        <f>1.4/2</f>
        <v>0.7</v>
      </c>
      <c r="P77" s="50">
        <v>5.5</v>
      </c>
      <c r="Q77" s="74">
        <v>6.68</v>
      </c>
      <c r="R77" s="50">
        <v>11</v>
      </c>
      <c r="S77" s="74">
        <v>14</v>
      </c>
      <c r="T77" s="50">
        <v>0.2</v>
      </c>
      <c r="U77" s="74">
        <v>1.08</v>
      </c>
      <c r="V77" s="50">
        <v>0.45</v>
      </c>
      <c r="W77" s="74">
        <v>0.40500000000000003</v>
      </c>
      <c r="X77" s="50">
        <v>0.153</v>
      </c>
      <c r="Y77" s="74">
        <v>1.4999999999999999E-2</v>
      </c>
      <c r="Z77" s="166">
        <v>6.25E-2</v>
      </c>
      <c r="AA77" s="167">
        <v>6.25E-2</v>
      </c>
      <c r="AB77" s="50">
        <v>22</v>
      </c>
      <c r="AC77" s="74">
        <v>186</v>
      </c>
      <c r="AD77" s="166">
        <v>0</v>
      </c>
      <c r="AE77" s="50">
        <v>0.41799999999999998</v>
      </c>
      <c r="AF77" s="50">
        <v>0.29099999999999998</v>
      </c>
      <c r="AI77" s="97"/>
    </row>
    <row r="78" spans="1:35" ht="15" customHeight="1">
      <c r="A78" s="41" t="s">
        <v>38</v>
      </c>
      <c r="B78" s="50" t="s">
        <v>1731</v>
      </c>
      <c r="C78" s="50" t="s">
        <v>1731</v>
      </c>
      <c r="D78" s="48" t="s">
        <v>1569</v>
      </c>
      <c r="E78" s="50" t="s">
        <v>1605</v>
      </c>
      <c r="G78" s="76" t="s">
        <v>1732</v>
      </c>
      <c r="H78" s="50">
        <v>4493</v>
      </c>
      <c r="I78" s="49" t="s">
        <v>1</v>
      </c>
      <c r="J78" s="50" t="s">
        <v>1733</v>
      </c>
      <c r="K78" s="51">
        <v>41021</v>
      </c>
      <c r="L78" s="115">
        <v>41011</v>
      </c>
      <c r="M78" s="50">
        <v>10</v>
      </c>
      <c r="N78" s="50" t="s">
        <v>2</v>
      </c>
      <c r="O78" s="74">
        <v>3.4</v>
      </c>
      <c r="P78" s="50">
        <v>5.5</v>
      </c>
      <c r="Q78" s="74">
        <v>6.58</v>
      </c>
      <c r="R78" s="50">
        <v>46</v>
      </c>
      <c r="S78" s="74">
        <v>140</v>
      </c>
      <c r="T78" s="50">
        <v>0.32</v>
      </c>
      <c r="U78" s="74">
        <v>1.86</v>
      </c>
      <c r="V78" s="50">
        <v>1.19</v>
      </c>
      <c r="W78" s="74">
        <v>2.62</v>
      </c>
      <c r="X78" s="50">
        <v>0.71399999999999997</v>
      </c>
      <c r="Y78" s="74">
        <v>0.38500000000000001</v>
      </c>
      <c r="Z78" s="166">
        <v>6.25E-2</v>
      </c>
      <c r="AA78" s="167">
        <v>6.25E-2</v>
      </c>
      <c r="AB78" s="50">
        <v>64</v>
      </c>
      <c r="AC78" s="74">
        <v>451</v>
      </c>
      <c r="AD78" s="166">
        <v>0</v>
      </c>
      <c r="AE78" s="50">
        <v>4.76</v>
      </c>
      <c r="AF78" s="50">
        <v>3.81</v>
      </c>
      <c r="AI78" s="97"/>
    </row>
    <row r="79" spans="1:35" ht="15" customHeight="1">
      <c r="A79" s="41" t="s">
        <v>38</v>
      </c>
      <c r="B79" s="50" t="s">
        <v>566</v>
      </c>
      <c r="C79" s="50" t="s">
        <v>566</v>
      </c>
      <c r="D79" s="48" t="s">
        <v>567</v>
      </c>
      <c r="E79" s="50" t="s">
        <v>1734</v>
      </c>
      <c r="G79" s="76" t="s">
        <v>568</v>
      </c>
      <c r="H79" s="50">
        <v>7997</v>
      </c>
      <c r="I79" s="49" t="s">
        <v>1</v>
      </c>
      <c r="J79" s="50" t="s">
        <v>194</v>
      </c>
      <c r="K79" s="51">
        <v>41044</v>
      </c>
      <c r="L79" s="115"/>
      <c r="N79" s="50" t="s">
        <v>2</v>
      </c>
      <c r="O79" s="74">
        <f>1/2</f>
        <v>0.5</v>
      </c>
      <c r="P79" s="50">
        <v>4.95</v>
      </c>
      <c r="Q79" s="74">
        <v>7.15</v>
      </c>
      <c r="R79" s="50">
        <v>45</v>
      </c>
      <c r="S79" s="74">
        <v>3</v>
      </c>
      <c r="T79" s="50">
        <v>0.37</v>
      </c>
      <c r="U79" s="74">
        <v>1.1499999999999999</v>
      </c>
      <c r="V79" s="50">
        <v>0.32</v>
      </c>
      <c r="W79" s="74">
        <v>0.05</v>
      </c>
      <c r="X79" s="50">
        <v>0.27</v>
      </c>
      <c r="Y79" s="74">
        <f>0.05/2</f>
        <v>2.5000000000000001E-2</v>
      </c>
      <c r="Z79" s="239">
        <v>1</v>
      </c>
      <c r="AA79" s="167">
        <v>1</v>
      </c>
      <c r="AB79" s="50">
        <v>13</v>
      </c>
      <c r="AC79" s="74">
        <v>701</v>
      </c>
      <c r="AD79" s="166">
        <v>0.8</v>
      </c>
      <c r="AE79" s="50">
        <v>0.67</v>
      </c>
      <c r="AF79" s="50">
        <v>0.21</v>
      </c>
      <c r="AI79" s="97"/>
    </row>
    <row r="80" spans="1:35" ht="15" customHeight="1">
      <c r="A80" s="41" t="s">
        <v>38</v>
      </c>
      <c r="B80" s="50" t="s">
        <v>566</v>
      </c>
      <c r="C80" s="50" t="s">
        <v>566</v>
      </c>
      <c r="D80" s="48" t="s">
        <v>567</v>
      </c>
      <c r="E80" s="50" t="s">
        <v>1734</v>
      </c>
      <c r="G80" s="76" t="s">
        <v>568</v>
      </c>
      <c r="H80" s="50">
        <v>7997</v>
      </c>
      <c r="I80" s="49" t="s">
        <v>1</v>
      </c>
      <c r="J80" s="50" t="s">
        <v>569</v>
      </c>
      <c r="K80" s="51">
        <v>41044</v>
      </c>
      <c r="L80" s="115"/>
      <c r="N80" s="50" t="s">
        <v>2</v>
      </c>
      <c r="O80" s="74">
        <f>1/2</f>
        <v>0.5</v>
      </c>
      <c r="P80" s="50">
        <v>5.38</v>
      </c>
      <c r="Q80" s="74">
        <v>6.93</v>
      </c>
      <c r="R80" s="50">
        <v>115</v>
      </c>
      <c r="S80" s="74">
        <v>35</v>
      </c>
      <c r="T80" s="50">
        <v>0.39</v>
      </c>
      <c r="U80" s="74">
        <v>3.69</v>
      </c>
      <c r="V80" s="50">
        <v>2</v>
      </c>
      <c r="W80" s="74">
        <v>0.51</v>
      </c>
      <c r="X80" s="50">
        <v>0.52</v>
      </c>
      <c r="Y80" s="74">
        <f>0.05/2</f>
        <v>2.5000000000000001E-2</v>
      </c>
      <c r="Z80" s="166">
        <v>0.159</v>
      </c>
      <c r="AA80" s="167">
        <v>8.5000000000000006E-2</v>
      </c>
      <c r="AB80" s="50">
        <v>5</v>
      </c>
      <c r="AC80" s="74">
        <v>158</v>
      </c>
      <c r="AD80" s="166">
        <v>0</v>
      </c>
      <c r="AE80" s="50">
        <v>0.85</v>
      </c>
      <c r="AF80" s="50">
        <v>0.36</v>
      </c>
      <c r="AI80" s="97"/>
    </row>
    <row r="81" spans="1:47" s="4" customFormat="1" ht="15" customHeight="1">
      <c r="A81" s="66" t="s">
        <v>38</v>
      </c>
      <c r="B81" s="67" t="s">
        <v>1735</v>
      </c>
      <c r="C81" s="67" t="s">
        <v>1736</v>
      </c>
      <c r="D81" s="69" t="s">
        <v>186</v>
      </c>
      <c r="E81" s="67" t="s">
        <v>1737</v>
      </c>
      <c r="F81" s="67"/>
      <c r="G81" s="208" t="s">
        <v>582</v>
      </c>
      <c r="H81" s="67">
        <v>5551</v>
      </c>
      <c r="I81" s="68" t="s">
        <v>2</v>
      </c>
      <c r="J81" s="67" t="s">
        <v>1508</v>
      </c>
      <c r="K81" s="70">
        <v>41044</v>
      </c>
      <c r="L81" s="169">
        <v>41039</v>
      </c>
      <c r="M81" s="67">
        <v>5</v>
      </c>
      <c r="N81" s="67" t="s">
        <v>2</v>
      </c>
      <c r="O81" s="68">
        <f>5/2</f>
        <v>2.5</v>
      </c>
      <c r="P81" s="67">
        <v>4.38</v>
      </c>
      <c r="Q81" s="68">
        <v>6.3</v>
      </c>
      <c r="R81" s="67">
        <v>66.7</v>
      </c>
      <c r="S81" s="68">
        <v>22</v>
      </c>
      <c r="T81" s="67">
        <v>0.19</v>
      </c>
      <c r="U81" s="68">
        <v>1.9</v>
      </c>
      <c r="V81" s="67">
        <v>0.71</v>
      </c>
      <c r="W81" s="68">
        <v>0.29099999999999998</v>
      </c>
      <c r="X81" s="67">
        <v>0.1</v>
      </c>
      <c r="Y81" s="68">
        <v>5.0000000000000001E-3</v>
      </c>
      <c r="Z81" s="170">
        <v>6.25E-2</v>
      </c>
      <c r="AA81" s="171">
        <v>6.25E-2</v>
      </c>
      <c r="AB81" s="67">
        <v>25.2</v>
      </c>
      <c r="AC81" s="68">
        <v>102</v>
      </c>
      <c r="AD81" s="170">
        <v>0</v>
      </c>
      <c r="AE81" s="67">
        <v>0.25</v>
      </c>
      <c r="AF81" s="67">
        <v>0.28000000000000003</v>
      </c>
      <c r="AG81" s="329"/>
      <c r="AH81" s="172"/>
      <c r="AI81" s="241"/>
      <c r="AJ81" s="172"/>
      <c r="AK81" s="68"/>
      <c r="AL81" s="68"/>
      <c r="AM81" s="68"/>
      <c r="AN81" s="68"/>
      <c r="AO81" s="68"/>
      <c r="AP81" s="68"/>
      <c r="AQ81" s="68"/>
      <c r="AR81" s="68"/>
      <c r="AS81" s="68"/>
      <c r="AT81" s="68"/>
      <c r="AU81" s="68"/>
    </row>
    <row r="82" spans="1:47" ht="15" customHeight="1">
      <c r="A82" s="41" t="s">
        <v>38</v>
      </c>
      <c r="B82" s="50" t="s">
        <v>2381</v>
      </c>
      <c r="C82" s="50" t="s">
        <v>2382</v>
      </c>
      <c r="D82" s="48" t="s">
        <v>567</v>
      </c>
      <c r="E82" s="50" t="s">
        <v>2383</v>
      </c>
      <c r="G82" s="242" t="s">
        <v>2384</v>
      </c>
      <c r="H82" s="50">
        <v>4493</v>
      </c>
      <c r="I82" s="49" t="s">
        <v>1</v>
      </c>
      <c r="J82" s="50" t="s">
        <v>1700</v>
      </c>
      <c r="K82" s="51">
        <v>41240</v>
      </c>
      <c r="L82" s="115">
        <v>41220</v>
      </c>
      <c r="M82" s="50">
        <f>K82-L82</f>
        <v>20</v>
      </c>
      <c r="N82" s="50" t="s">
        <v>2</v>
      </c>
      <c r="O82" s="74">
        <f>5/2</f>
        <v>2.5</v>
      </c>
      <c r="P82" s="50">
        <v>4.5599999999999996</v>
      </c>
      <c r="Q82" s="74">
        <v>6.37</v>
      </c>
      <c r="R82" s="50">
        <v>16</v>
      </c>
      <c r="S82" s="74">
        <v>7</v>
      </c>
      <c r="T82" s="50">
        <f>0.1/2</f>
        <v>0.05</v>
      </c>
      <c r="U82" s="74">
        <f>1/2</f>
        <v>0.5</v>
      </c>
      <c r="V82" s="50">
        <v>0.44</v>
      </c>
      <c r="W82" s="243"/>
      <c r="X82" s="50">
        <v>4.3999999999999997E-2</v>
      </c>
      <c r="Y82" s="74">
        <f>0.013/2</f>
        <v>6.4999999999999997E-3</v>
      </c>
      <c r="Z82" s="166">
        <v>0.41199999999999998</v>
      </c>
      <c r="AA82" s="167">
        <v>0.308</v>
      </c>
      <c r="AB82" s="50">
        <v>4.9000000000000004</v>
      </c>
      <c r="AC82" s="74">
        <v>42</v>
      </c>
      <c r="AD82" s="166">
        <v>0</v>
      </c>
      <c r="AE82" s="50">
        <v>0.51</v>
      </c>
      <c r="AF82" s="50">
        <v>0.19</v>
      </c>
      <c r="AI82" s="97"/>
    </row>
    <row r="83" spans="1:47" ht="15" customHeight="1">
      <c r="A83" s="41" t="s">
        <v>38</v>
      </c>
      <c r="B83" s="50" t="s">
        <v>2385</v>
      </c>
      <c r="C83" s="50" t="s">
        <v>2385</v>
      </c>
      <c r="D83" s="48" t="s">
        <v>1565</v>
      </c>
      <c r="E83" s="50" t="s">
        <v>1754</v>
      </c>
      <c r="G83" s="242" t="s">
        <v>2450</v>
      </c>
      <c r="H83" s="50">
        <v>4493</v>
      </c>
      <c r="I83" s="49" t="s">
        <v>1</v>
      </c>
      <c r="J83" s="50">
        <v>1</v>
      </c>
      <c r="K83" s="51">
        <v>41180</v>
      </c>
      <c r="L83" s="115">
        <v>41177</v>
      </c>
      <c r="M83" s="50">
        <f t="shared" ref="M83:M89" si="3">K83-L83</f>
        <v>3</v>
      </c>
      <c r="N83" s="50" t="s">
        <v>2</v>
      </c>
      <c r="O83" s="74">
        <v>4.9000000000000004</v>
      </c>
      <c r="P83" s="50">
        <v>4.6100000000000003</v>
      </c>
      <c r="Q83" s="74">
        <v>7.67</v>
      </c>
      <c r="R83" s="50">
        <v>172</v>
      </c>
      <c r="S83" s="74">
        <v>66</v>
      </c>
      <c r="T83" s="50">
        <v>0.48</v>
      </c>
      <c r="U83" s="74">
        <v>4.28</v>
      </c>
      <c r="V83" s="50">
        <v>0.03</v>
      </c>
      <c r="W83" s="74">
        <v>1.87</v>
      </c>
      <c r="X83" s="50">
        <v>0.78</v>
      </c>
      <c r="Y83" s="74">
        <v>2.5000000000000001E-2</v>
      </c>
      <c r="Z83" s="166">
        <v>0.72</v>
      </c>
      <c r="AA83" s="167">
        <v>0.70699999999999996</v>
      </c>
      <c r="AB83" s="50">
        <v>282</v>
      </c>
      <c r="AC83" s="74">
        <v>2760</v>
      </c>
      <c r="AD83" s="166">
        <v>0</v>
      </c>
      <c r="AE83" s="50">
        <v>2.82</v>
      </c>
      <c r="AF83" s="50">
        <v>0.88900000000000001</v>
      </c>
      <c r="AI83" s="97"/>
    </row>
    <row r="84" spans="1:47" ht="15" customHeight="1">
      <c r="A84" s="41" t="s">
        <v>38</v>
      </c>
      <c r="B84" s="50" t="s">
        <v>2386</v>
      </c>
      <c r="D84" s="48" t="s">
        <v>406</v>
      </c>
      <c r="E84" s="50" t="s">
        <v>1584</v>
      </c>
      <c r="G84" s="242" t="s">
        <v>2387</v>
      </c>
      <c r="H84" s="50">
        <v>4493</v>
      </c>
      <c r="I84" s="49" t="s">
        <v>2</v>
      </c>
      <c r="J84" s="50" t="s">
        <v>2388</v>
      </c>
      <c r="K84" s="51">
        <v>41180</v>
      </c>
      <c r="L84" s="115">
        <v>41177</v>
      </c>
      <c r="M84" s="50">
        <f t="shared" si="3"/>
        <v>3</v>
      </c>
      <c r="N84" s="50" t="s">
        <v>2</v>
      </c>
      <c r="O84" s="74">
        <v>2</v>
      </c>
      <c r="P84" s="50">
        <v>6.6</v>
      </c>
      <c r="Q84" s="74">
        <v>7.9</v>
      </c>
      <c r="R84" s="50">
        <v>56</v>
      </c>
      <c r="S84" s="74">
        <v>55</v>
      </c>
      <c r="T84" s="50">
        <v>0.39</v>
      </c>
      <c r="U84" s="74">
        <v>2.57</v>
      </c>
      <c r="V84" s="50">
        <v>1.1599999999999999</v>
      </c>
      <c r="W84" s="74">
        <v>0.78700000000000003</v>
      </c>
      <c r="X84" s="50">
        <v>0.255</v>
      </c>
      <c r="Y84" s="74">
        <v>6.7000000000000004E-2</v>
      </c>
      <c r="Z84" s="166">
        <v>7.5300000000000006E-2</v>
      </c>
      <c r="AA84" s="167">
        <v>6.25E-2</v>
      </c>
      <c r="AB84" s="50">
        <v>54</v>
      </c>
      <c r="AC84" s="74">
        <v>712</v>
      </c>
      <c r="AD84" s="166">
        <v>0</v>
      </c>
      <c r="AE84" s="50">
        <v>2.83</v>
      </c>
      <c r="AF84" s="50">
        <v>1.48</v>
      </c>
      <c r="AI84" s="97"/>
    </row>
    <row r="85" spans="1:47" ht="15" customHeight="1">
      <c r="A85" s="41" t="s">
        <v>38</v>
      </c>
      <c r="B85" s="50" t="s">
        <v>2389</v>
      </c>
      <c r="C85" s="50" t="s">
        <v>2390</v>
      </c>
      <c r="D85" s="48" t="s">
        <v>78</v>
      </c>
      <c r="E85" s="50" t="s">
        <v>79</v>
      </c>
      <c r="G85" s="76" t="s">
        <v>2391</v>
      </c>
      <c r="I85" s="49" t="s">
        <v>2</v>
      </c>
      <c r="J85" s="50" t="s">
        <v>335</v>
      </c>
      <c r="K85" s="51">
        <v>41170</v>
      </c>
      <c r="L85" s="115">
        <v>41160</v>
      </c>
      <c r="M85" s="50">
        <f t="shared" si="3"/>
        <v>10</v>
      </c>
      <c r="N85" s="50" t="s">
        <v>2</v>
      </c>
      <c r="O85" s="74">
        <f>5/2</f>
        <v>2.5</v>
      </c>
      <c r="P85" s="50">
        <v>5.22</v>
      </c>
      <c r="Q85" s="74">
        <v>5</v>
      </c>
      <c r="R85" s="50">
        <v>48.3</v>
      </c>
      <c r="S85" s="74">
        <v>131</v>
      </c>
      <c r="T85" s="50">
        <v>0.42</v>
      </c>
      <c r="U85" s="74">
        <v>2.38</v>
      </c>
      <c r="V85" s="50">
        <v>0.93</v>
      </c>
      <c r="W85" s="74">
        <v>0.71699999999999997</v>
      </c>
      <c r="X85" s="50">
        <v>0.19</v>
      </c>
      <c r="Y85" s="74">
        <v>1.4999999999999999E-2</v>
      </c>
      <c r="Z85" s="166">
        <v>6.25E-2</v>
      </c>
      <c r="AA85" s="167">
        <v>6.25E-2</v>
      </c>
      <c r="AB85" s="50">
        <v>11.4</v>
      </c>
      <c r="AC85" s="74">
        <v>87</v>
      </c>
      <c r="AD85" s="166">
        <v>0</v>
      </c>
      <c r="AE85" s="50">
        <v>1.79</v>
      </c>
      <c r="AF85" s="50">
        <v>0.9</v>
      </c>
      <c r="AI85" s="97"/>
    </row>
    <row r="86" spans="1:47" ht="15" customHeight="1">
      <c r="A86" s="41" t="s">
        <v>38</v>
      </c>
      <c r="B86" s="50" t="s">
        <v>1731</v>
      </c>
      <c r="C86" s="50" t="s">
        <v>1731</v>
      </c>
      <c r="D86" s="48" t="s">
        <v>1569</v>
      </c>
      <c r="E86" s="50" t="s">
        <v>1605</v>
      </c>
      <c r="G86" s="76" t="s">
        <v>1732</v>
      </c>
      <c r="H86" s="50">
        <v>4493</v>
      </c>
      <c r="I86" s="49" t="s">
        <v>1</v>
      </c>
      <c r="J86" s="50" t="s">
        <v>1733</v>
      </c>
      <c r="K86" s="51">
        <v>41170</v>
      </c>
      <c r="L86" s="115">
        <v>41157</v>
      </c>
      <c r="M86" s="50">
        <f t="shared" si="3"/>
        <v>13</v>
      </c>
      <c r="N86" s="50" t="s">
        <v>2</v>
      </c>
      <c r="O86" s="74">
        <v>8.6999999999999993</v>
      </c>
      <c r="P86" s="50">
        <v>6.78</v>
      </c>
      <c r="Q86" s="74">
        <v>7.16</v>
      </c>
      <c r="R86" s="50">
        <v>180</v>
      </c>
      <c r="S86" s="74">
        <v>120</v>
      </c>
      <c r="T86" s="50">
        <v>3.97</v>
      </c>
      <c r="U86" s="74">
        <v>3.5</v>
      </c>
      <c r="V86" s="50">
        <v>0.1</v>
      </c>
      <c r="W86" s="74">
        <v>2.96</v>
      </c>
      <c r="X86" s="50">
        <v>0.80500000000000005</v>
      </c>
      <c r="Y86" s="74">
        <v>9.2999999999999999E-2</v>
      </c>
      <c r="AE86" s="50">
        <v>2.9</v>
      </c>
      <c r="AF86" s="50">
        <v>2.04</v>
      </c>
      <c r="AI86" s="97"/>
    </row>
    <row r="87" spans="1:47" ht="15" customHeight="1">
      <c r="A87" s="41" t="s">
        <v>38</v>
      </c>
      <c r="B87" s="50" t="s">
        <v>2392</v>
      </c>
      <c r="C87" s="50" t="s">
        <v>2393</v>
      </c>
      <c r="D87" s="48" t="s">
        <v>406</v>
      </c>
      <c r="E87" s="50" t="s">
        <v>1584</v>
      </c>
      <c r="G87" s="76" t="s">
        <v>2394</v>
      </c>
      <c r="I87" s="49" t="s">
        <v>2</v>
      </c>
      <c r="J87" s="50" t="s">
        <v>925</v>
      </c>
      <c r="K87" s="51">
        <v>41085</v>
      </c>
      <c r="L87" s="115">
        <v>41073</v>
      </c>
      <c r="M87" s="50">
        <f t="shared" si="3"/>
        <v>12</v>
      </c>
      <c r="N87" s="50" t="s">
        <v>2</v>
      </c>
      <c r="O87" s="74">
        <f>5/2</f>
        <v>2.5</v>
      </c>
      <c r="P87" s="50">
        <v>5.89</v>
      </c>
      <c r="Q87" s="74">
        <v>6.89</v>
      </c>
      <c r="R87" s="50">
        <v>48.9</v>
      </c>
      <c r="S87" s="74">
        <v>20</v>
      </c>
      <c r="T87" s="50">
        <v>0.13</v>
      </c>
      <c r="U87" s="74">
        <v>1.92</v>
      </c>
      <c r="V87" s="50">
        <v>0.71</v>
      </c>
      <c r="W87" s="74">
        <v>0.19</v>
      </c>
      <c r="X87" s="50">
        <v>0.14000000000000001</v>
      </c>
      <c r="Y87" s="74">
        <v>2.3E-2</v>
      </c>
      <c r="Z87" s="166">
        <v>0.10199999999999999</v>
      </c>
      <c r="AA87" s="167">
        <v>8.4099999999999994E-2</v>
      </c>
      <c r="AB87" s="50">
        <v>9.5500000000000007</v>
      </c>
      <c r="AC87" s="74">
        <v>157</v>
      </c>
      <c r="AD87" s="166">
        <v>0</v>
      </c>
      <c r="AE87" s="50">
        <v>0.18</v>
      </c>
      <c r="AF87" s="50">
        <v>0.18</v>
      </c>
      <c r="AI87" s="97"/>
    </row>
    <row r="88" spans="1:47" ht="15" customHeight="1">
      <c r="A88" s="41" t="s">
        <v>38</v>
      </c>
      <c r="B88" s="50" t="s">
        <v>1204</v>
      </c>
      <c r="C88" s="50" t="s">
        <v>2395</v>
      </c>
      <c r="D88" s="48" t="s">
        <v>564</v>
      </c>
      <c r="E88" s="50" t="s">
        <v>44</v>
      </c>
      <c r="G88" s="76" t="s">
        <v>1205</v>
      </c>
      <c r="I88" s="49" t="s">
        <v>2</v>
      </c>
      <c r="J88" s="50" t="s">
        <v>2395</v>
      </c>
      <c r="K88" s="51">
        <v>41240</v>
      </c>
      <c r="L88" s="115">
        <v>41227</v>
      </c>
      <c r="M88" s="50">
        <f t="shared" si="3"/>
        <v>13</v>
      </c>
      <c r="N88" s="50" t="s">
        <v>2</v>
      </c>
      <c r="O88" s="74">
        <f>1.6/2</f>
        <v>0.8</v>
      </c>
      <c r="P88" s="50">
        <v>6.06</v>
      </c>
      <c r="Q88" s="74">
        <v>7.11</v>
      </c>
      <c r="R88" s="50">
        <v>26</v>
      </c>
      <c r="S88" s="74">
        <v>86</v>
      </c>
      <c r="T88" s="50">
        <v>7.0000000000000007E-2</v>
      </c>
      <c r="U88" s="74">
        <v>0.74</v>
      </c>
      <c r="V88" s="50">
        <v>1.39</v>
      </c>
      <c r="W88" s="74">
        <v>0.59199999999999997</v>
      </c>
      <c r="X88" s="50">
        <v>0.24099999999999999</v>
      </c>
      <c r="Y88" s="74">
        <v>8.9999999999999993E-3</v>
      </c>
      <c r="AE88" s="50">
        <v>1.63</v>
      </c>
      <c r="AF88" s="50">
        <v>0.96499999999999997</v>
      </c>
      <c r="AI88" s="97"/>
    </row>
    <row r="89" spans="1:47" ht="15" customHeight="1">
      <c r="A89" s="41" t="s">
        <v>38</v>
      </c>
      <c r="B89" s="50" t="s">
        <v>1204</v>
      </c>
      <c r="C89" s="50" t="s">
        <v>194</v>
      </c>
      <c r="D89" s="48" t="s">
        <v>564</v>
      </c>
      <c r="E89" s="50" t="s">
        <v>44</v>
      </c>
      <c r="G89" s="76" t="s">
        <v>1205</v>
      </c>
      <c r="I89" s="49" t="s">
        <v>2</v>
      </c>
      <c r="J89" s="50" t="s">
        <v>194</v>
      </c>
      <c r="K89" s="51">
        <v>41240</v>
      </c>
      <c r="L89" s="115">
        <v>41227</v>
      </c>
      <c r="M89" s="50">
        <f t="shared" si="3"/>
        <v>13</v>
      </c>
      <c r="N89" s="50" t="s">
        <v>2</v>
      </c>
      <c r="O89" s="74">
        <f>1.5/2</f>
        <v>0.75</v>
      </c>
      <c r="P89" s="50">
        <v>6.06</v>
      </c>
      <c r="Q89" s="74">
        <v>7.13</v>
      </c>
      <c r="R89" s="50">
        <v>25</v>
      </c>
      <c r="S89" s="74">
        <v>100</v>
      </c>
      <c r="T89" s="50">
        <v>0.08</v>
      </c>
      <c r="U89" s="74">
        <v>0.89</v>
      </c>
      <c r="V89" s="50">
        <v>1.34</v>
      </c>
      <c r="W89" s="74">
        <v>0.628</v>
      </c>
      <c r="X89" s="50">
        <v>0.25800000000000001</v>
      </c>
      <c r="Y89" s="74">
        <v>8.9999999999999993E-3</v>
      </c>
      <c r="AE89" s="50">
        <v>1.65</v>
      </c>
      <c r="AF89" s="50">
        <v>0.98799999999999999</v>
      </c>
      <c r="AI89" s="97"/>
    </row>
    <row r="90" spans="1:47" ht="15" customHeight="1">
      <c r="A90" s="41" t="s">
        <v>38</v>
      </c>
      <c r="B90" s="50" t="s">
        <v>2396</v>
      </c>
      <c r="C90" s="50" t="s">
        <v>2397</v>
      </c>
      <c r="D90" s="48" t="s">
        <v>1550</v>
      </c>
      <c r="E90" s="50" t="s">
        <v>2398</v>
      </c>
      <c r="G90" s="76" t="s">
        <v>2399</v>
      </c>
      <c r="H90" s="50">
        <v>4493</v>
      </c>
      <c r="I90" s="49" t="s">
        <v>2</v>
      </c>
      <c r="J90" s="50" t="s">
        <v>194</v>
      </c>
      <c r="K90" s="51">
        <v>41170</v>
      </c>
      <c r="L90" s="115"/>
      <c r="N90" s="50" t="s">
        <v>2</v>
      </c>
      <c r="O90" s="74">
        <f>1.6/2</f>
        <v>0.8</v>
      </c>
      <c r="P90" s="50">
        <v>5.84</v>
      </c>
      <c r="Q90" s="74">
        <v>6.45</v>
      </c>
      <c r="R90" s="50">
        <v>6</v>
      </c>
      <c r="S90" s="74">
        <v>2</v>
      </c>
      <c r="T90" s="50">
        <v>0.02</v>
      </c>
      <c r="U90" s="74">
        <v>0.3</v>
      </c>
      <c r="V90" s="50">
        <v>0.14000000000000001</v>
      </c>
      <c r="W90" s="74">
        <v>0.20300000000000001</v>
      </c>
      <c r="X90" s="50">
        <v>8.1000000000000003E-2</v>
      </c>
      <c r="Y90" s="74">
        <v>2.1000000000000001E-2</v>
      </c>
      <c r="AE90" s="50">
        <v>0.44800000000000001</v>
      </c>
      <c r="AF90" s="50">
        <v>0.32300000000000001</v>
      </c>
      <c r="AI90" s="97"/>
    </row>
    <row r="91" spans="1:47" ht="15" customHeight="1">
      <c r="A91" s="41" t="s">
        <v>38</v>
      </c>
      <c r="B91" s="50" t="s">
        <v>2397</v>
      </c>
      <c r="C91" s="50" t="s">
        <v>2400</v>
      </c>
      <c r="D91" s="48" t="s">
        <v>1550</v>
      </c>
      <c r="E91" s="50" t="s">
        <v>81</v>
      </c>
      <c r="G91" s="76" t="s">
        <v>2401</v>
      </c>
      <c r="H91" s="50">
        <v>4493</v>
      </c>
      <c r="I91" s="49" t="s">
        <v>1</v>
      </c>
      <c r="J91" s="50" t="s">
        <v>2402</v>
      </c>
      <c r="K91" s="51">
        <v>41170</v>
      </c>
      <c r="L91" s="115"/>
      <c r="N91" s="50" t="s">
        <v>2</v>
      </c>
      <c r="O91" s="74">
        <f>1.5/2</f>
        <v>0.75</v>
      </c>
      <c r="P91" s="50">
        <v>5.84</v>
      </c>
      <c r="Q91" s="74">
        <v>5.97</v>
      </c>
      <c r="R91" s="50">
        <v>8</v>
      </c>
      <c r="S91" s="74">
        <v>4</v>
      </c>
      <c r="T91" s="50">
        <v>0.16</v>
      </c>
      <c r="U91" s="74">
        <v>1.03</v>
      </c>
      <c r="V91" s="50">
        <v>0.14000000000000001</v>
      </c>
      <c r="W91" s="74">
        <f>0.005/2</f>
        <v>2.5000000000000001E-3</v>
      </c>
      <c r="X91" s="50">
        <v>1.2999999999999999E-2</v>
      </c>
      <c r="Y91" s="74">
        <f>0.002/2</f>
        <v>1E-3</v>
      </c>
      <c r="AE91" s="50">
        <v>0.121</v>
      </c>
      <c r="AF91" s="50">
        <v>8.8999999999999996E-2</v>
      </c>
      <c r="AI91" s="97"/>
    </row>
    <row r="92" spans="1:47" ht="15" customHeight="1">
      <c r="A92" s="41" t="s">
        <v>38</v>
      </c>
      <c r="B92" s="50" t="s">
        <v>2403</v>
      </c>
      <c r="C92" s="50" t="s">
        <v>2404</v>
      </c>
      <c r="D92" s="48" t="s">
        <v>1569</v>
      </c>
      <c r="E92" s="50" t="s">
        <v>1584</v>
      </c>
      <c r="G92" s="76" t="s">
        <v>2405</v>
      </c>
      <c r="I92" s="49" t="s">
        <v>2</v>
      </c>
      <c r="J92" s="50" t="s">
        <v>2406</v>
      </c>
      <c r="K92" s="51">
        <v>41156</v>
      </c>
      <c r="L92" s="115">
        <v>41139</v>
      </c>
      <c r="M92" s="50">
        <f>K92-L92</f>
        <v>17</v>
      </c>
      <c r="N92" s="50" t="s">
        <v>2</v>
      </c>
      <c r="O92" s="74">
        <f>1.5/2</f>
        <v>0.75</v>
      </c>
      <c r="P92" s="50">
        <v>5.69</v>
      </c>
      <c r="Q92" s="74">
        <v>6.33</v>
      </c>
      <c r="R92" s="50">
        <v>5</v>
      </c>
      <c r="S92" s="74">
        <v>156</v>
      </c>
      <c r="T92" s="50">
        <v>0.06</v>
      </c>
      <c r="U92" s="74">
        <v>1.33</v>
      </c>
      <c r="V92" s="50">
        <v>3.02</v>
      </c>
      <c r="W92" s="74">
        <v>0.92300000000000004</v>
      </c>
      <c r="X92" s="50">
        <v>0.252</v>
      </c>
      <c r="Y92" s="74">
        <v>1.4999999999999999E-2</v>
      </c>
      <c r="Z92" s="166">
        <v>6.25E-2</v>
      </c>
      <c r="AA92" s="167">
        <v>6.25E-2</v>
      </c>
      <c r="AB92" s="50">
        <v>40</v>
      </c>
      <c r="AC92" s="74">
        <v>165</v>
      </c>
      <c r="AD92" s="166">
        <v>0</v>
      </c>
      <c r="AE92" s="50">
        <v>2.12</v>
      </c>
      <c r="AF92" s="50">
        <v>1.86</v>
      </c>
      <c r="AI92" s="97"/>
    </row>
    <row r="93" spans="1:47" ht="15" customHeight="1">
      <c r="A93" s="41" t="s">
        <v>38</v>
      </c>
      <c r="B93" s="50" t="s">
        <v>2403</v>
      </c>
      <c r="C93" s="50" t="s">
        <v>2404</v>
      </c>
      <c r="D93" s="48" t="s">
        <v>1569</v>
      </c>
      <c r="E93" s="50" t="s">
        <v>1584</v>
      </c>
      <c r="G93" s="76" t="s">
        <v>2405</v>
      </c>
      <c r="I93" s="49" t="s">
        <v>2</v>
      </c>
      <c r="J93" s="50" t="s">
        <v>2406</v>
      </c>
      <c r="K93" s="51">
        <v>41192</v>
      </c>
      <c r="L93" s="115">
        <v>41171</v>
      </c>
      <c r="M93" s="50">
        <f>K93-L93</f>
        <v>21</v>
      </c>
      <c r="N93" s="50" t="s">
        <v>2</v>
      </c>
      <c r="O93" s="74">
        <f>1.6/2</f>
        <v>0.8</v>
      </c>
      <c r="P93" s="50">
        <v>5.8</v>
      </c>
      <c r="Q93" s="74">
        <v>7.4</v>
      </c>
      <c r="R93" s="50">
        <v>5</v>
      </c>
      <c r="S93" s="74">
        <v>260</v>
      </c>
      <c r="T93" s="50">
        <v>0.13</v>
      </c>
      <c r="U93" s="74">
        <v>0.74</v>
      </c>
      <c r="V93" s="50">
        <v>1.36</v>
      </c>
      <c r="W93" s="74">
        <v>1.78</v>
      </c>
      <c r="X93" s="50">
        <v>0.41599999999999998</v>
      </c>
      <c r="Y93" s="74">
        <v>7.8E-2</v>
      </c>
      <c r="Z93" s="166">
        <v>6.25E-2</v>
      </c>
      <c r="AA93" s="167">
        <v>6.25E-2</v>
      </c>
      <c r="AB93" s="50">
        <v>18</v>
      </c>
      <c r="AC93" s="74">
        <v>92</v>
      </c>
      <c r="AD93" s="166">
        <v>0</v>
      </c>
      <c r="AE93" s="50">
        <v>10.5</v>
      </c>
      <c r="AF93" s="50">
        <v>7.87</v>
      </c>
      <c r="AI93" s="97"/>
    </row>
    <row r="94" spans="1:47" ht="15" customHeight="1">
      <c r="A94" s="41" t="s">
        <v>38</v>
      </c>
      <c r="B94" s="50" t="s">
        <v>558</v>
      </c>
      <c r="C94" s="50" t="s">
        <v>558</v>
      </c>
      <c r="D94" s="48" t="s">
        <v>559</v>
      </c>
      <c r="E94" s="50" t="s">
        <v>560</v>
      </c>
      <c r="G94" s="76" t="s">
        <v>561</v>
      </c>
      <c r="H94" s="50">
        <v>1527</v>
      </c>
      <c r="I94" s="49" t="s">
        <v>2</v>
      </c>
      <c r="J94" s="50">
        <v>1</v>
      </c>
      <c r="K94" s="51">
        <v>41184</v>
      </c>
      <c r="L94" s="115">
        <v>41180</v>
      </c>
      <c r="M94" s="50">
        <f>K94-L94</f>
        <v>4</v>
      </c>
      <c r="N94" s="50" t="s">
        <v>2</v>
      </c>
      <c r="O94" s="74">
        <f>5/2</f>
        <v>2.5</v>
      </c>
      <c r="P94" s="50">
        <v>6.51</v>
      </c>
      <c r="Q94" s="74">
        <v>7.15</v>
      </c>
      <c r="R94" s="50">
        <v>344</v>
      </c>
      <c r="S94" s="74">
        <v>484</v>
      </c>
      <c r="T94" s="50">
        <v>6.23</v>
      </c>
      <c r="U94" s="74">
        <v>3.53</v>
      </c>
      <c r="V94" s="50">
        <v>2.39</v>
      </c>
      <c r="W94" s="74">
        <v>2.25</v>
      </c>
      <c r="X94" s="50">
        <v>0.51</v>
      </c>
      <c r="Y94" s="74">
        <v>1.4E-2</v>
      </c>
      <c r="Z94" s="166">
        <v>0.70699999999999996</v>
      </c>
      <c r="AA94" s="167">
        <v>6.25E-2</v>
      </c>
      <c r="AB94" s="50">
        <v>119</v>
      </c>
      <c r="AC94" s="74">
        <v>766</v>
      </c>
      <c r="AD94" s="166">
        <v>0</v>
      </c>
      <c r="AE94" s="50">
        <v>27.8</v>
      </c>
      <c r="AF94" s="50">
        <v>12</v>
      </c>
      <c r="AI94" s="97"/>
    </row>
    <row r="95" spans="1:47" ht="15" customHeight="1">
      <c r="A95" s="41" t="s">
        <v>38</v>
      </c>
      <c r="B95" s="50" t="s">
        <v>563</v>
      </c>
      <c r="C95" s="50" t="s">
        <v>2407</v>
      </c>
      <c r="D95" s="48" t="s">
        <v>564</v>
      </c>
      <c r="E95" s="50" t="s">
        <v>2408</v>
      </c>
      <c r="F95" s="50" t="s">
        <v>2409</v>
      </c>
      <c r="G95" s="76" t="s">
        <v>565</v>
      </c>
      <c r="H95" s="50">
        <v>4493</v>
      </c>
      <c r="I95" s="49" t="s">
        <v>1</v>
      </c>
      <c r="J95" s="50" t="s">
        <v>1508</v>
      </c>
      <c r="K95" s="51">
        <v>41201</v>
      </c>
      <c r="L95" s="115"/>
      <c r="N95" s="50" t="s">
        <v>2</v>
      </c>
      <c r="O95" s="74">
        <f>2/2</f>
        <v>1</v>
      </c>
      <c r="P95" s="50">
        <v>6.2</v>
      </c>
      <c r="Q95" s="74">
        <v>6.3</v>
      </c>
      <c r="R95" s="50">
        <f>10/2</f>
        <v>5</v>
      </c>
      <c r="S95" s="74">
        <f>1/2</f>
        <v>0.5</v>
      </c>
      <c r="T95" s="50">
        <f>0.05/2</f>
        <v>2.5000000000000001E-2</v>
      </c>
      <c r="U95" s="74">
        <v>0.21</v>
      </c>
      <c r="V95" s="50">
        <v>0.11</v>
      </c>
      <c r="W95" s="74">
        <f>0.01/2</f>
        <v>5.0000000000000001E-3</v>
      </c>
      <c r="X95" s="50">
        <f>0.03/2</f>
        <v>1.4999999999999999E-2</v>
      </c>
      <c r="Y95" s="74">
        <f>0.03/2</f>
        <v>1.4999999999999999E-2</v>
      </c>
      <c r="Z95" s="166">
        <v>1</v>
      </c>
      <c r="AA95" s="167">
        <v>1</v>
      </c>
      <c r="AB95" s="50">
        <v>3</v>
      </c>
      <c r="AC95" s="74">
        <v>33</v>
      </c>
      <c r="AD95" s="166">
        <v>0.8</v>
      </c>
      <c r="AE95" s="50">
        <v>0.3</v>
      </c>
      <c r="AF95" s="50">
        <f>0.1/2</f>
        <v>0.05</v>
      </c>
      <c r="AG95" s="327">
        <v>20</v>
      </c>
      <c r="AI95" s="97"/>
    </row>
    <row r="96" spans="1:47" ht="15" customHeight="1">
      <c r="A96" s="41" t="s">
        <v>38</v>
      </c>
      <c r="B96" s="50" t="s">
        <v>385</v>
      </c>
      <c r="D96" s="48" t="s">
        <v>98</v>
      </c>
      <c r="E96" s="50" t="s">
        <v>44</v>
      </c>
      <c r="F96" s="50" t="s">
        <v>1014</v>
      </c>
      <c r="G96" s="76" t="s">
        <v>384</v>
      </c>
      <c r="H96" s="50">
        <v>4493</v>
      </c>
      <c r="I96" s="49" t="s">
        <v>1</v>
      </c>
      <c r="J96" s="50" t="s">
        <v>1508</v>
      </c>
      <c r="K96" s="51">
        <v>41184</v>
      </c>
      <c r="L96" s="115"/>
      <c r="N96" s="50" t="s">
        <v>2</v>
      </c>
      <c r="O96" s="74">
        <v>4</v>
      </c>
      <c r="P96" s="50">
        <v>6.9</v>
      </c>
      <c r="Q96" s="74">
        <v>7</v>
      </c>
      <c r="R96" s="50">
        <v>20</v>
      </c>
      <c r="S96" s="74">
        <v>11</v>
      </c>
      <c r="T96" s="50">
        <v>0.08</v>
      </c>
      <c r="U96" s="74">
        <v>0.56999999999999995</v>
      </c>
      <c r="V96" s="50">
        <v>0.36</v>
      </c>
      <c r="W96" s="74">
        <v>0.10199999999999999</v>
      </c>
      <c r="X96" s="50">
        <v>6.5000000000000002E-2</v>
      </c>
      <c r="Y96" s="74">
        <f>0.03/2</f>
        <v>1.4999999999999999E-2</v>
      </c>
      <c r="Z96" s="166">
        <v>0.113</v>
      </c>
      <c r="AA96" s="167">
        <v>8.6300000000000002E-2</v>
      </c>
      <c r="AB96" s="50">
        <v>5</v>
      </c>
      <c r="AC96" s="74">
        <v>30</v>
      </c>
      <c r="AD96" s="166">
        <v>0</v>
      </c>
      <c r="AE96" s="50">
        <v>0.48</v>
      </c>
      <c r="AF96" s="50">
        <v>0.39</v>
      </c>
      <c r="AI96" s="97">
        <v>1200</v>
      </c>
    </row>
    <row r="97" spans="1:35" ht="15" customHeight="1">
      <c r="A97" s="41" t="s">
        <v>38</v>
      </c>
      <c r="B97" s="50" t="s">
        <v>2410</v>
      </c>
      <c r="C97" s="50" t="s">
        <v>2411</v>
      </c>
      <c r="D97" s="48" t="s">
        <v>1896</v>
      </c>
      <c r="E97" s="50" t="s">
        <v>2412</v>
      </c>
      <c r="G97" s="76" t="s">
        <v>2413</v>
      </c>
      <c r="H97" s="50">
        <v>4493</v>
      </c>
      <c r="I97" s="49" t="s">
        <v>1</v>
      </c>
      <c r="J97" s="50" t="s">
        <v>81</v>
      </c>
      <c r="K97" s="51">
        <v>41197</v>
      </c>
      <c r="L97" s="115">
        <v>41192</v>
      </c>
      <c r="M97" s="50">
        <f>K97-L97</f>
        <v>5</v>
      </c>
      <c r="N97" s="50" t="s">
        <v>2</v>
      </c>
      <c r="O97" s="74">
        <f>5/2</f>
        <v>2.5</v>
      </c>
      <c r="P97" s="50">
        <v>7.19</v>
      </c>
      <c r="Q97" s="74">
        <v>7.68</v>
      </c>
      <c r="R97" s="50">
        <v>35</v>
      </c>
      <c r="S97" s="74">
        <v>18</v>
      </c>
      <c r="T97" s="50">
        <f>0.1/2</f>
        <v>0.05</v>
      </c>
      <c r="U97" s="74">
        <f>1/2</f>
        <v>0.5</v>
      </c>
      <c r="V97" s="50">
        <v>0.38</v>
      </c>
      <c r="W97" s="74">
        <v>0.2</v>
      </c>
      <c r="X97" s="50">
        <v>0.11</v>
      </c>
      <c r="Y97" s="74">
        <v>4.2999999999999997E-2</v>
      </c>
      <c r="Z97" s="166">
        <v>0.79300000000000004</v>
      </c>
      <c r="AA97" s="167">
        <v>0.70099999999999996</v>
      </c>
      <c r="AB97" s="50">
        <v>93</v>
      </c>
      <c r="AC97" s="74">
        <v>616</v>
      </c>
      <c r="AD97" s="166">
        <v>0.4</v>
      </c>
      <c r="AE97" s="50">
        <v>0.64</v>
      </c>
      <c r="AF97" s="50">
        <v>0.34</v>
      </c>
      <c r="AI97" s="97"/>
    </row>
    <row r="98" spans="1:35" ht="15" customHeight="1">
      <c r="A98" s="41" t="s">
        <v>38</v>
      </c>
      <c r="B98" s="50" t="s">
        <v>2410</v>
      </c>
      <c r="C98" s="50" t="s">
        <v>2411</v>
      </c>
      <c r="D98" s="48" t="s">
        <v>1896</v>
      </c>
      <c r="E98" s="50" t="s">
        <v>2412</v>
      </c>
      <c r="G98" s="76" t="s">
        <v>2413</v>
      </c>
      <c r="H98" s="50">
        <v>4493</v>
      </c>
      <c r="I98" s="49" t="s">
        <v>1</v>
      </c>
      <c r="J98" s="50" t="s">
        <v>924</v>
      </c>
      <c r="K98" s="51">
        <v>41197</v>
      </c>
      <c r="L98" s="115">
        <v>41192</v>
      </c>
      <c r="M98" s="50">
        <f>K98-L98</f>
        <v>5</v>
      </c>
      <c r="N98" s="50" t="s">
        <v>2</v>
      </c>
      <c r="O98" s="74">
        <f>5/2</f>
        <v>2.5</v>
      </c>
      <c r="P98" s="50">
        <v>7.19</v>
      </c>
      <c r="Q98" s="74">
        <v>7.7</v>
      </c>
      <c r="R98" s="50">
        <v>61</v>
      </c>
      <c r="S98" s="74">
        <v>59</v>
      </c>
      <c r="T98" s="50">
        <v>0.11</v>
      </c>
      <c r="U98" s="74">
        <v>1.2</v>
      </c>
      <c r="V98" s="50">
        <v>0.56000000000000005</v>
      </c>
      <c r="W98" s="74">
        <v>0.65</v>
      </c>
      <c r="X98" s="50">
        <v>0.2</v>
      </c>
      <c r="Y98" s="74">
        <v>0.1</v>
      </c>
      <c r="Z98" s="166">
        <v>6.25E-2</v>
      </c>
      <c r="AA98" s="167">
        <v>6.25E-2</v>
      </c>
      <c r="AB98" s="50">
        <v>49</v>
      </c>
      <c r="AC98" s="74">
        <v>173</v>
      </c>
      <c r="AD98" s="166">
        <v>0</v>
      </c>
      <c r="AE98" s="50">
        <v>4.4000000000000004</v>
      </c>
      <c r="AF98" s="50">
        <v>2.5</v>
      </c>
      <c r="AI98" s="97"/>
    </row>
    <row r="99" spans="1:35" ht="15" customHeight="1">
      <c r="A99" s="41" t="s">
        <v>38</v>
      </c>
      <c r="B99" s="50" t="s">
        <v>1763</v>
      </c>
      <c r="C99" s="50" t="s">
        <v>1763</v>
      </c>
      <c r="D99" s="48" t="s">
        <v>71</v>
      </c>
      <c r="E99" s="50" t="s">
        <v>687</v>
      </c>
      <c r="G99" s="76" t="s">
        <v>1765</v>
      </c>
      <c r="H99" s="50">
        <v>4493</v>
      </c>
      <c r="J99" s="50" t="s">
        <v>687</v>
      </c>
      <c r="K99" s="51">
        <v>41156</v>
      </c>
      <c r="L99" s="115">
        <v>41145</v>
      </c>
      <c r="M99" s="50">
        <f>K99-L99</f>
        <v>11</v>
      </c>
      <c r="N99" s="50" t="s">
        <v>2</v>
      </c>
      <c r="O99" s="74">
        <f>1.5/2</f>
        <v>0.75</v>
      </c>
      <c r="P99" s="50">
        <v>5.57</v>
      </c>
      <c r="Q99" s="74">
        <v>5.97</v>
      </c>
      <c r="R99" s="50">
        <v>15</v>
      </c>
      <c r="S99" s="74">
        <v>84</v>
      </c>
      <c r="T99" s="50">
        <v>0.14000000000000001</v>
      </c>
      <c r="U99" s="74">
        <v>1.03</v>
      </c>
      <c r="V99" s="50">
        <v>0.28999999999999998</v>
      </c>
      <c r="W99" s="74">
        <v>0.32200000000000001</v>
      </c>
      <c r="X99" s="50">
        <v>7.6999999999999999E-2</v>
      </c>
      <c r="Y99" s="74">
        <v>1.7000000000000001E-2</v>
      </c>
      <c r="AE99" s="50">
        <v>1.0900000000000001</v>
      </c>
      <c r="AF99" s="50">
        <v>0.92</v>
      </c>
      <c r="AI99" s="97"/>
    </row>
    <row r="100" spans="1:35" ht="15" customHeight="1">
      <c r="A100" s="41" t="s">
        <v>38</v>
      </c>
      <c r="B100" s="50" t="s">
        <v>1753</v>
      </c>
      <c r="C100" s="50" t="s">
        <v>1753</v>
      </c>
      <c r="D100" s="48" t="s">
        <v>1565</v>
      </c>
      <c r="E100" s="50" t="s">
        <v>1754</v>
      </c>
      <c r="G100" s="76" t="s">
        <v>1755</v>
      </c>
      <c r="H100" s="50">
        <v>5551</v>
      </c>
      <c r="I100" s="49" t="s">
        <v>1</v>
      </c>
      <c r="J100" s="50" t="s">
        <v>1756</v>
      </c>
      <c r="K100" s="51">
        <v>41179</v>
      </c>
      <c r="L100" s="115"/>
      <c r="N100" s="50" t="s">
        <v>2</v>
      </c>
      <c r="O100" s="74">
        <f t="shared" ref="O100:O107" si="4">5/2</f>
        <v>2.5</v>
      </c>
      <c r="P100" s="50">
        <v>7.74</v>
      </c>
      <c r="Q100" s="74">
        <v>7.99</v>
      </c>
      <c r="R100" s="50">
        <v>125</v>
      </c>
      <c r="S100" s="74">
        <v>18</v>
      </c>
      <c r="T100" s="50">
        <v>1.37</v>
      </c>
      <c r="U100" s="74">
        <v>9.49</v>
      </c>
      <c r="V100" s="50">
        <v>3.99</v>
      </c>
      <c r="W100" s="74">
        <v>0.09</v>
      </c>
      <c r="X100" s="50">
        <v>0.4</v>
      </c>
      <c r="Y100" s="74">
        <f>0.001/2</f>
        <v>5.0000000000000001E-4</v>
      </c>
      <c r="AE100" s="50">
        <f>0.05/2</f>
        <v>2.5000000000000001E-2</v>
      </c>
      <c r="AF100" s="50">
        <v>0.16</v>
      </c>
      <c r="AI100" s="97"/>
    </row>
    <row r="101" spans="1:35" ht="15" customHeight="1">
      <c r="A101" s="41" t="s">
        <v>38</v>
      </c>
      <c r="B101" s="50" t="s">
        <v>1712</v>
      </c>
      <c r="C101" s="50" t="s">
        <v>1713</v>
      </c>
      <c r="D101" s="48" t="s">
        <v>567</v>
      </c>
      <c r="E101" s="50" t="s">
        <v>1714</v>
      </c>
      <c r="G101" s="76" t="s">
        <v>1715</v>
      </c>
      <c r="H101" s="50">
        <v>4493</v>
      </c>
      <c r="I101" s="49" t="s">
        <v>2</v>
      </c>
      <c r="J101" s="50" t="s">
        <v>1144</v>
      </c>
      <c r="K101" s="51">
        <v>41116</v>
      </c>
      <c r="L101" s="115"/>
      <c r="N101" s="50" t="s">
        <v>2</v>
      </c>
      <c r="O101" s="74">
        <f t="shared" si="4"/>
        <v>2.5</v>
      </c>
      <c r="P101" s="50">
        <v>6.48</v>
      </c>
      <c r="Q101" s="74">
        <v>6.62</v>
      </c>
      <c r="R101" s="50">
        <v>61</v>
      </c>
      <c r="S101" s="74">
        <v>6</v>
      </c>
      <c r="T101" s="50">
        <v>0.28999999999999998</v>
      </c>
      <c r="U101" s="74">
        <v>1.5</v>
      </c>
      <c r="V101" s="50">
        <v>0.81</v>
      </c>
      <c r="W101" s="74">
        <v>5.3999999999999999E-2</v>
      </c>
      <c r="X101" s="50">
        <v>4.9000000000000002E-2</v>
      </c>
      <c r="Y101" s="74">
        <f>0.013/2</f>
        <v>6.4999999999999997E-3</v>
      </c>
      <c r="AE101" s="50">
        <v>0.2</v>
      </c>
      <c r="AF101" s="50">
        <v>0.13</v>
      </c>
      <c r="AI101" s="97"/>
    </row>
    <row r="102" spans="1:35" ht="15" customHeight="1">
      <c r="A102" s="41" t="s">
        <v>38</v>
      </c>
      <c r="B102" s="50" t="s">
        <v>1712</v>
      </c>
      <c r="C102" s="50" t="s">
        <v>1713</v>
      </c>
      <c r="D102" s="48" t="s">
        <v>567</v>
      </c>
      <c r="E102" s="50" t="s">
        <v>1714</v>
      </c>
      <c r="G102" s="76" t="s">
        <v>1715</v>
      </c>
      <c r="H102" s="50">
        <v>4493</v>
      </c>
      <c r="I102" s="49" t="s">
        <v>2</v>
      </c>
      <c r="J102" s="50" t="s">
        <v>1716</v>
      </c>
      <c r="K102" s="51">
        <v>41116</v>
      </c>
      <c r="L102" s="115"/>
      <c r="N102" s="50" t="s">
        <v>2</v>
      </c>
      <c r="O102" s="74">
        <f t="shared" si="4"/>
        <v>2.5</v>
      </c>
      <c r="P102" s="50">
        <v>6.48</v>
      </c>
      <c r="Q102" s="74">
        <v>6.7</v>
      </c>
      <c r="R102" s="50">
        <v>65</v>
      </c>
      <c r="S102" s="74">
        <v>18</v>
      </c>
      <c r="T102" s="50">
        <f t="shared" ref="T102:T107" si="5">0.1/2</f>
        <v>0.05</v>
      </c>
      <c r="U102" s="74">
        <v>1.1000000000000001</v>
      </c>
      <c r="V102" s="50">
        <v>0.9</v>
      </c>
      <c r="W102" s="74">
        <f>0.04/2</f>
        <v>0.02</v>
      </c>
      <c r="X102" s="50">
        <v>7.2999999999999995E-2</v>
      </c>
      <c r="Y102" s="74">
        <f>0.013/2</f>
        <v>6.4999999999999997E-3</v>
      </c>
      <c r="AE102" s="50">
        <v>1.3</v>
      </c>
      <c r="AF102" s="50">
        <v>0.72</v>
      </c>
      <c r="AI102" s="97"/>
    </row>
    <row r="103" spans="1:35" ht="15" customHeight="1">
      <c r="A103" s="41" t="s">
        <v>38</v>
      </c>
      <c r="B103" s="50" t="s">
        <v>1712</v>
      </c>
      <c r="C103" s="50" t="s">
        <v>1720</v>
      </c>
      <c r="D103" s="48" t="s">
        <v>567</v>
      </c>
      <c r="E103" s="50" t="s">
        <v>664</v>
      </c>
      <c r="G103" s="76" t="s">
        <v>1721</v>
      </c>
      <c r="H103" s="50">
        <v>4493</v>
      </c>
      <c r="I103" s="49" t="s">
        <v>2</v>
      </c>
      <c r="J103" s="50" t="s">
        <v>1144</v>
      </c>
      <c r="K103" s="51">
        <v>41116</v>
      </c>
      <c r="L103" s="115"/>
      <c r="N103" s="50" t="s">
        <v>2</v>
      </c>
      <c r="O103" s="74">
        <f t="shared" si="4"/>
        <v>2.5</v>
      </c>
      <c r="P103" s="50">
        <v>6.48</v>
      </c>
      <c r="Q103" s="74">
        <v>6.43</v>
      </c>
      <c r="R103" s="50">
        <v>53</v>
      </c>
      <c r="S103" s="74">
        <v>14</v>
      </c>
      <c r="T103" s="50">
        <f t="shared" si="5"/>
        <v>0.05</v>
      </c>
      <c r="U103" s="74">
        <v>1.2</v>
      </c>
      <c r="V103" s="50">
        <v>0.52</v>
      </c>
      <c r="W103" s="74">
        <v>0.28000000000000003</v>
      </c>
      <c r="X103" s="50">
        <v>7.5999999999999998E-2</v>
      </c>
      <c r="Y103" s="74">
        <v>1.4E-2</v>
      </c>
      <c r="AE103" s="50">
        <v>0.4</v>
      </c>
      <c r="AF103" s="50">
        <v>0.13</v>
      </c>
      <c r="AI103" s="97"/>
    </row>
    <row r="104" spans="1:35" ht="15" customHeight="1">
      <c r="A104" s="41" t="s">
        <v>38</v>
      </c>
      <c r="B104" s="50" t="s">
        <v>1712</v>
      </c>
      <c r="C104" s="50" t="s">
        <v>1720</v>
      </c>
      <c r="D104" s="48" t="s">
        <v>567</v>
      </c>
      <c r="E104" s="50" t="s">
        <v>664</v>
      </c>
      <c r="G104" s="76" t="s">
        <v>1721</v>
      </c>
      <c r="H104" s="50">
        <v>4493</v>
      </c>
      <c r="I104" s="49" t="s">
        <v>2</v>
      </c>
      <c r="J104" s="50" t="s">
        <v>1716</v>
      </c>
      <c r="K104" s="51">
        <v>41116</v>
      </c>
      <c r="L104" s="115"/>
      <c r="N104" s="50" t="s">
        <v>2</v>
      </c>
      <c r="O104" s="74">
        <f t="shared" si="4"/>
        <v>2.5</v>
      </c>
      <c r="P104" s="50">
        <v>6.48</v>
      </c>
      <c r="Q104" s="74">
        <v>6.33</v>
      </c>
      <c r="R104" s="50">
        <v>51</v>
      </c>
      <c r="S104" s="74">
        <v>6</v>
      </c>
      <c r="T104" s="50">
        <f t="shared" si="5"/>
        <v>0.05</v>
      </c>
      <c r="U104" s="74">
        <v>1.2</v>
      </c>
      <c r="V104" s="50">
        <v>0.63</v>
      </c>
      <c r="W104" s="74">
        <f>0.04/2</f>
        <v>0.02</v>
      </c>
      <c r="X104" s="50">
        <f>0.02/2</f>
        <v>0.01</v>
      </c>
      <c r="Y104" s="74">
        <f>0.013/2</f>
        <v>6.4999999999999997E-3</v>
      </c>
      <c r="AE104" s="50">
        <v>0.21</v>
      </c>
      <c r="AF104" s="50">
        <v>0.11</v>
      </c>
      <c r="AI104" s="97"/>
    </row>
    <row r="105" spans="1:35" ht="15" customHeight="1">
      <c r="A105" s="41" t="s">
        <v>38</v>
      </c>
      <c r="B105" s="50" t="s">
        <v>1712</v>
      </c>
      <c r="C105" s="50" t="s">
        <v>1717</v>
      </c>
      <c r="D105" s="48" t="s">
        <v>567</v>
      </c>
      <c r="E105" s="50" t="s">
        <v>664</v>
      </c>
      <c r="G105" s="76" t="s">
        <v>1718</v>
      </c>
      <c r="H105" s="50">
        <v>4493</v>
      </c>
      <c r="I105" s="49" t="s">
        <v>2</v>
      </c>
      <c r="J105" s="50" t="s">
        <v>1144</v>
      </c>
      <c r="K105" s="51">
        <v>41156</v>
      </c>
      <c r="L105" s="115"/>
      <c r="N105" s="50" t="s">
        <v>2</v>
      </c>
      <c r="O105" s="74">
        <f t="shared" si="4"/>
        <v>2.5</v>
      </c>
      <c r="P105" s="50">
        <v>5.76</v>
      </c>
      <c r="Q105" s="74">
        <v>7.54</v>
      </c>
      <c r="R105" s="50">
        <v>90</v>
      </c>
      <c r="S105" s="74">
        <v>33</v>
      </c>
      <c r="T105" s="50">
        <f t="shared" si="5"/>
        <v>0.05</v>
      </c>
      <c r="U105" s="74">
        <v>1.1000000000000001</v>
      </c>
      <c r="V105" s="50">
        <v>0.42</v>
      </c>
      <c r="W105" s="74">
        <f>0.04/2</f>
        <v>0.02</v>
      </c>
      <c r="X105" s="50">
        <v>5.3999999999999999E-2</v>
      </c>
      <c r="Y105" s="74">
        <f>0.013/2</f>
        <v>6.4999999999999997E-3</v>
      </c>
      <c r="AE105" s="50">
        <v>0.71</v>
      </c>
      <c r="AF105" s="50">
        <v>0.46</v>
      </c>
      <c r="AI105" s="97"/>
    </row>
    <row r="106" spans="1:35" ht="15" customHeight="1">
      <c r="A106" s="41" t="s">
        <v>38</v>
      </c>
      <c r="B106" s="50" t="s">
        <v>1712</v>
      </c>
      <c r="C106" s="50" t="s">
        <v>1717</v>
      </c>
      <c r="D106" s="48" t="s">
        <v>567</v>
      </c>
      <c r="E106" s="50" t="s">
        <v>664</v>
      </c>
      <c r="G106" s="76" t="s">
        <v>1718</v>
      </c>
      <c r="H106" s="50">
        <v>4493</v>
      </c>
      <c r="I106" s="49" t="s">
        <v>2</v>
      </c>
      <c r="J106" s="50" t="s">
        <v>1716</v>
      </c>
      <c r="K106" s="51">
        <v>41156</v>
      </c>
      <c r="L106" s="115"/>
      <c r="N106" s="50" t="s">
        <v>2</v>
      </c>
      <c r="O106" s="74">
        <f t="shared" si="4"/>
        <v>2.5</v>
      </c>
      <c r="P106" s="50">
        <v>5.76</v>
      </c>
      <c r="Q106" s="74">
        <v>7.06</v>
      </c>
      <c r="R106" s="50">
        <v>140</v>
      </c>
      <c r="S106" s="74">
        <v>60</v>
      </c>
      <c r="T106" s="50">
        <f t="shared" si="5"/>
        <v>0.05</v>
      </c>
      <c r="U106" s="74">
        <v>2.2000000000000002</v>
      </c>
      <c r="V106" s="50">
        <v>0.45</v>
      </c>
      <c r="W106" s="74">
        <f>0.04/2</f>
        <v>0.02</v>
      </c>
      <c r="X106" s="50">
        <v>7.2999999999999995E-2</v>
      </c>
      <c r="Y106" s="74">
        <v>2.1000000000000001E-2</v>
      </c>
      <c r="AE106" s="50">
        <v>1.7</v>
      </c>
      <c r="AF106" s="50">
        <v>1.1000000000000001</v>
      </c>
      <c r="AI106" s="97"/>
    </row>
    <row r="107" spans="1:35" ht="15" customHeight="1">
      <c r="A107" s="41" t="s">
        <v>38</v>
      </c>
      <c r="B107" s="50" t="s">
        <v>1712</v>
      </c>
      <c r="C107" s="50" t="s">
        <v>1722</v>
      </c>
      <c r="D107" s="48" t="s">
        <v>567</v>
      </c>
      <c r="E107" s="50" t="s">
        <v>664</v>
      </c>
      <c r="G107" s="76" t="s">
        <v>1723</v>
      </c>
      <c r="H107" s="50">
        <v>4493</v>
      </c>
      <c r="I107" s="49" t="s">
        <v>2</v>
      </c>
      <c r="J107" s="50" t="s">
        <v>1144</v>
      </c>
      <c r="K107" s="51">
        <v>41116</v>
      </c>
      <c r="L107" s="115"/>
      <c r="N107" s="50" t="s">
        <v>2</v>
      </c>
      <c r="O107" s="74">
        <f t="shared" si="4"/>
        <v>2.5</v>
      </c>
      <c r="P107" s="50">
        <v>6.78</v>
      </c>
      <c r="Q107" s="74">
        <v>6.87</v>
      </c>
      <c r="R107" s="50">
        <v>35</v>
      </c>
      <c r="S107" s="74">
        <v>10</v>
      </c>
      <c r="T107" s="50">
        <f t="shared" si="5"/>
        <v>0.05</v>
      </c>
      <c r="U107" s="74">
        <v>0.83</v>
      </c>
      <c r="V107" s="50">
        <v>0.69</v>
      </c>
      <c r="W107" s="74">
        <v>0.26</v>
      </c>
      <c r="X107" s="50">
        <v>7.0999999999999994E-2</v>
      </c>
      <c r="Y107" s="74">
        <f>0.013/2</f>
        <v>6.4999999999999997E-3</v>
      </c>
      <c r="AE107" s="50">
        <v>0.24</v>
      </c>
      <c r="AF107" s="50">
        <v>0.12</v>
      </c>
      <c r="AI107" s="97"/>
    </row>
    <row r="108" spans="1:35" ht="15" customHeight="1">
      <c r="A108" s="41" t="s">
        <v>38</v>
      </c>
      <c r="B108" s="50" t="s">
        <v>1758</v>
      </c>
      <c r="C108" s="50" t="s">
        <v>1758</v>
      </c>
      <c r="D108" s="48" t="s">
        <v>1759</v>
      </c>
      <c r="G108" s="76" t="s">
        <v>1760</v>
      </c>
      <c r="H108" s="50">
        <v>4493</v>
      </c>
      <c r="I108" s="49" t="s">
        <v>1</v>
      </c>
      <c r="J108" s="50" t="s">
        <v>2415</v>
      </c>
      <c r="K108" s="51">
        <v>41148</v>
      </c>
      <c r="L108" s="115"/>
      <c r="N108" s="50" t="s">
        <v>2</v>
      </c>
      <c r="O108" s="74">
        <f>1/2</f>
        <v>0.5</v>
      </c>
      <c r="P108" s="50">
        <v>6.32</v>
      </c>
      <c r="Q108" s="74">
        <v>5.72</v>
      </c>
      <c r="R108" s="50">
        <v>115</v>
      </c>
      <c r="S108" s="74">
        <v>6</v>
      </c>
      <c r="T108" s="50">
        <v>0.16</v>
      </c>
      <c r="U108" s="74">
        <v>3.15</v>
      </c>
      <c r="V108" s="50">
        <v>2.67</v>
      </c>
      <c r="W108" s="74">
        <f>0.05/2</f>
        <v>2.5000000000000001E-2</v>
      </c>
      <c r="X108" s="50">
        <v>0.05</v>
      </c>
      <c r="Y108" s="74">
        <f>0.05/2</f>
        <v>2.5000000000000001E-2</v>
      </c>
      <c r="Z108" s="166">
        <v>1</v>
      </c>
      <c r="AA108" s="167">
        <v>1</v>
      </c>
      <c r="AB108" s="50">
        <v>56</v>
      </c>
      <c r="AC108" s="74">
        <v>98</v>
      </c>
      <c r="AD108" s="166">
        <v>1</v>
      </c>
      <c r="AE108" s="50">
        <v>0.41</v>
      </c>
      <c r="AF108" s="50">
        <v>0.3</v>
      </c>
      <c r="AG108" s="224">
        <v>520</v>
      </c>
      <c r="AH108" s="74">
        <v>5000</v>
      </c>
      <c r="AI108" s="97"/>
    </row>
    <row r="109" spans="1:35" ht="15" customHeight="1">
      <c r="A109" s="41" t="s">
        <v>38</v>
      </c>
      <c r="B109" s="50" t="s">
        <v>2416</v>
      </c>
      <c r="C109" s="50" t="s">
        <v>2417</v>
      </c>
      <c r="D109" s="48" t="s">
        <v>559</v>
      </c>
      <c r="E109" s="50" t="s">
        <v>560</v>
      </c>
      <c r="G109" s="76" t="s">
        <v>2418</v>
      </c>
      <c r="H109" s="50">
        <v>4493</v>
      </c>
      <c r="I109" s="73"/>
      <c r="J109" s="50" t="s">
        <v>2419</v>
      </c>
      <c r="K109" s="51">
        <v>41156</v>
      </c>
      <c r="L109" s="115"/>
      <c r="N109" s="50" t="s">
        <v>2</v>
      </c>
      <c r="O109" s="74">
        <f t="shared" ref="O109:O116" si="6">5/2</f>
        <v>2.5</v>
      </c>
      <c r="P109" s="50">
        <v>5.95</v>
      </c>
      <c r="Q109" s="74">
        <v>7.2</v>
      </c>
      <c r="R109" s="50">
        <v>93.3</v>
      </c>
      <c r="S109" s="74">
        <v>132</v>
      </c>
      <c r="T109" s="50">
        <v>0.98</v>
      </c>
      <c r="U109" s="74">
        <f>0.5/2</f>
        <v>0.25</v>
      </c>
      <c r="V109" s="50">
        <v>1.33</v>
      </c>
      <c r="W109" s="74">
        <v>1.9</v>
      </c>
      <c r="X109" s="50">
        <v>0.77</v>
      </c>
      <c r="Y109" s="74">
        <v>8.4000000000000005E-2</v>
      </c>
      <c r="Z109" s="166">
        <v>6.25E-2</v>
      </c>
      <c r="AA109" s="167">
        <v>6.25E-2</v>
      </c>
      <c r="AB109" s="50">
        <v>79.2</v>
      </c>
      <c r="AC109" s="74">
        <v>489</v>
      </c>
      <c r="AD109" s="166">
        <v>0</v>
      </c>
      <c r="AE109" s="50">
        <v>3.36</v>
      </c>
      <c r="AF109" s="50">
        <v>2</v>
      </c>
      <c r="AI109" s="97"/>
    </row>
    <row r="110" spans="1:35" ht="15" customHeight="1">
      <c r="A110" s="41" t="s">
        <v>38</v>
      </c>
      <c r="B110" s="50" t="s">
        <v>2416</v>
      </c>
      <c r="C110" s="50" t="s">
        <v>2417</v>
      </c>
      <c r="D110" s="48" t="s">
        <v>559</v>
      </c>
      <c r="E110" s="50" t="s">
        <v>560</v>
      </c>
      <c r="G110" s="76" t="s">
        <v>2418</v>
      </c>
      <c r="H110" s="50">
        <v>4493</v>
      </c>
      <c r="I110" s="73"/>
      <c r="J110" s="50" t="s">
        <v>2420</v>
      </c>
      <c r="K110" s="51">
        <v>41156</v>
      </c>
      <c r="L110" s="115">
        <v>41139</v>
      </c>
      <c r="M110" s="50">
        <f t="shared" ref="M110:M119" si="7">K110-L110</f>
        <v>17</v>
      </c>
      <c r="N110" s="50" t="s">
        <v>2</v>
      </c>
      <c r="O110" s="74">
        <f t="shared" si="6"/>
        <v>2.5</v>
      </c>
      <c r="P110" s="50">
        <v>5.95</v>
      </c>
      <c r="Q110" s="74">
        <v>8.1999999999999993</v>
      </c>
      <c r="R110" s="50">
        <v>110</v>
      </c>
      <c r="S110" s="74">
        <v>296</v>
      </c>
      <c r="T110" s="50">
        <v>1.28</v>
      </c>
      <c r="U110" s="74">
        <v>1.1200000000000001</v>
      </c>
      <c r="V110" s="50">
        <v>2.83</v>
      </c>
      <c r="W110" s="74">
        <v>0.15</v>
      </c>
      <c r="X110" s="50">
        <v>0.09</v>
      </c>
      <c r="Y110" s="74">
        <v>1.4999999999999999E-2</v>
      </c>
      <c r="Z110" s="166">
        <v>1</v>
      </c>
      <c r="AA110" s="167">
        <v>1</v>
      </c>
      <c r="AB110" s="50">
        <v>53</v>
      </c>
      <c r="AC110" s="74">
        <v>730</v>
      </c>
      <c r="AD110" s="166">
        <v>1</v>
      </c>
      <c r="AE110" s="50">
        <v>3.48</v>
      </c>
      <c r="AF110" s="50">
        <v>2.23</v>
      </c>
      <c r="AI110" s="97"/>
    </row>
    <row r="111" spans="1:35" ht="15" customHeight="1">
      <c r="A111" s="41" t="s">
        <v>38</v>
      </c>
      <c r="B111" s="50" t="s">
        <v>2416</v>
      </c>
      <c r="C111" s="50" t="s">
        <v>2417</v>
      </c>
      <c r="D111" s="48" t="s">
        <v>559</v>
      </c>
      <c r="E111" s="50" t="s">
        <v>560</v>
      </c>
      <c r="G111" s="76" t="s">
        <v>2418</v>
      </c>
      <c r="H111" s="50">
        <v>4493</v>
      </c>
      <c r="I111" s="73"/>
      <c r="J111" s="50" t="s">
        <v>2421</v>
      </c>
      <c r="K111" s="51">
        <v>41156</v>
      </c>
      <c r="L111" s="115">
        <v>41139</v>
      </c>
      <c r="M111" s="50">
        <f t="shared" si="7"/>
        <v>17</v>
      </c>
      <c r="N111" s="50" t="s">
        <v>2</v>
      </c>
      <c r="O111" s="74">
        <f t="shared" si="6"/>
        <v>2.5</v>
      </c>
      <c r="P111" s="50">
        <v>5.95</v>
      </c>
      <c r="Q111" s="74">
        <v>5.8</v>
      </c>
      <c r="R111" s="50">
        <v>47.9</v>
      </c>
      <c r="S111" s="74">
        <v>38</v>
      </c>
      <c r="T111" s="50">
        <v>0.24</v>
      </c>
      <c r="U111" s="74">
        <v>1.1299999999999999</v>
      </c>
      <c r="V111" s="50">
        <v>1.19</v>
      </c>
      <c r="W111" s="74">
        <v>5.7000000000000002E-2</v>
      </c>
      <c r="X111" s="50">
        <v>0.06</v>
      </c>
      <c r="Y111" s="74">
        <v>3.0000000000000001E-3</v>
      </c>
      <c r="Z111" s="166">
        <v>1</v>
      </c>
      <c r="AA111" s="167">
        <v>1</v>
      </c>
      <c r="AB111" s="50">
        <v>10.4</v>
      </c>
      <c r="AC111" s="74">
        <v>68</v>
      </c>
      <c r="AD111" s="166">
        <v>1</v>
      </c>
      <c r="AE111" s="50">
        <v>0.7</v>
      </c>
      <c r="AF111" s="50">
        <v>0.4</v>
      </c>
      <c r="AI111" s="97"/>
    </row>
    <row r="112" spans="1:35" ht="15" customHeight="1">
      <c r="A112" s="41" t="s">
        <v>38</v>
      </c>
      <c r="B112" s="50" t="s">
        <v>2416</v>
      </c>
      <c r="C112" s="50" t="s">
        <v>2422</v>
      </c>
      <c r="D112" s="48" t="s">
        <v>559</v>
      </c>
      <c r="E112" s="50" t="s">
        <v>2423</v>
      </c>
      <c r="G112" s="76" t="s">
        <v>2418</v>
      </c>
      <c r="H112" s="50">
        <v>4493</v>
      </c>
      <c r="I112" s="49" t="s">
        <v>2</v>
      </c>
      <c r="J112" s="50" t="s">
        <v>2424</v>
      </c>
      <c r="K112" s="51">
        <v>41156</v>
      </c>
      <c r="L112" s="115">
        <v>41139</v>
      </c>
      <c r="M112" s="50">
        <f t="shared" si="7"/>
        <v>17</v>
      </c>
      <c r="N112" s="50" t="s">
        <v>2</v>
      </c>
      <c r="O112" s="74">
        <f t="shared" si="6"/>
        <v>2.5</v>
      </c>
      <c r="P112" s="50">
        <v>5.95</v>
      </c>
      <c r="Q112" s="74">
        <v>8.1</v>
      </c>
      <c r="R112" s="50">
        <v>68.7</v>
      </c>
      <c r="S112" s="74">
        <v>89</v>
      </c>
      <c r="T112" s="50">
        <v>0.46</v>
      </c>
      <c r="U112" s="74">
        <v>1.1399999999999999</v>
      </c>
      <c r="V112" s="50">
        <v>3.93</v>
      </c>
      <c r="W112" s="74">
        <v>0.42</v>
      </c>
      <c r="X112" s="50">
        <v>0.06</v>
      </c>
      <c r="Y112" s="74">
        <v>2E-3</v>
      </c>
      <c r="Z112" s="166">
        <v>6.25E-2</v>
      </c>
      <c r="AA112" s="167">
        <v>6.25E-2</v>
      </c>
      <c r="AB112" s="50">
        <v>57</v>
      </c>
      <c r="AC112" s="74">
        <v>555</v>
      </c>
      <c r="AD112" s="166">
        <v>0</v>
      </c>
      <c r="AE112" s="50">
        <v>0.71</v>
      </c>
      <c r="AF112" s="50">
        <v>0.73</v>
      </c>
      <c r="AI112" s="97"/>
    </row>
    <row r="113" spans="1:35" ht="15" customHeight="1">
      <c r="A113" s="41" t="s">
        <v>38</v>
      </c>
      <c r="B113" s="50" t="s">
        <v>2416</v>
      </c>
      <c r="C113" s="50" t="s">
        <v>2422</v>
      </c>
      <c r="D113" s="48" t="s">
        <v>559</v>
      </c>
      <c r="E113" s="50" t="s">
        <v>2423</v>
      </c>
      <c r="G113" s="76" t="s">
        <v>2473</v>
      </c>
      <c r="H113" s="50">
        <v>4493</v>
      </c>
      <c r="I113" s="49" t="s">
        <v>2</v>
      </c>
      <c r="J113" s="50" t="s">
        <v>2425</v>
      </c>
      <c r="K113" s="51">
        <v>41156</v>
      </c>
      <c r="L113" s="115">
        <v>41139</v>
      </c>
      <c r="M113" s="50">
        <f t="shared" si="7"/>
        <v>17</v>
      </c>
      <c r="N113" s="50" t="s">
        <v>2</v>
      </c>
      <c r="O113" s="74">
        <f t="shared" si="6"/>
        <v>2.5</v>
      </c>
      <c r="P113" s="50">
        <v>5.95</v>
      </c>
      <c r="Q113" s="74">
        <v>8</v>
      </c>
      <c r="R113" s="50">
        <v>82.1</v>
      </c>
      <c r="S113" s="74">
        <v>152</v>
      </c>
      <c r="T113" s="50">
        <v>0.27</v>
      </c>
      <c r="U113" s="74">
        <v>1.1200000000000001</v>
      </c>
      <c r="V113" s="50">
        <v>1.88</v>
      </c>
      <c r="W113" s="74">
        <v>0.28000000000000003</v>
      </c>
      <c r="X113" s="50">
        <v>7.0000000000000007E-2</v>
      </c>
      <c r="Y113" s="74">
        <v>2.4E-2</v>
      </c>
      <c r="Z113" s="166">
        <v>1</v>
      </c>
      <c r="AA113" s="167">
        <v>1</v>
      </c>
      <c r="AB113" s="50">
        <v>269</v>
      </c>
      <c r="AC113" s="74">
        <v>2020</v>
      </c>
      <c r="AE113" s="50">
        <v>0.64</v>
      </c>
      <c r="AF113" s="50">
        <v>0.83</v>
      </c>
      <c r="AI113" s="97"/>
    </row>
    <row r="114" spans="1:35" ht="15" customHeight="1">
      <c r="A114" s="41" t="s">
        <v>38</v>
      </c>
      <c r="B114" s="50" t="s">
        <v>1709</v>
      </c>
      <c r="C114" s="50" t="s">
        <v>1709</v>
      </c>
      <c r="D114" s="48" t="s">
        <v>559</v>
      </c>
      <c r="G114" s="76" t="s">
        <v>1711</v>
      </c>
      <c r="H114" s="50">
        <v>4493</v>
      </c>
      <c r="I114" s="49" t="s">
        <v>2</v>
      </c>
      <c r="J114" s="50" t="s">
        <v>1709</v>
      </c>
      <c r="K114" s="51">
        <v>41156</v>
      </c>
      <c r="L114" s="115">
        <v>41139</v>
      </c>
      <c r="M114" s="50">
        <f t="shared" si="7"/>
        <v>17</v>
      </c>
      <c r="N114" s="50" t="s">
        <v>2</v>
      </c>
      <c r="O114" s="74">
        <f t="shared" si="6"/>
        <v>2.5</v>
      </c>
      <c r="P114" s="50">
        <v>5</v>
      </c>
      <c r="Q114" s="74">
        <v>6.5</v>
      </c>
      <c r="R114" s="50">
        <v>71</v>
      </c>
      <c r="S114" s="74">
        <v>444</v>
      </c>
      <c r="T114" s="50">
        <v>0.32</v>
      </c>
      <c r="U114" s="74">
        <v>0.59</v>
      </c>
      <c r="V114" s="50">
        <v>0.8</v>
      </c>
      <c r="W114" s="74">
        <v>3.5999999999999997E-2</v>
      </c>
      <c r="X114" s="50">
        <v>0.12</v>
      </c>
      <c r="Y114" s="74">
        <v>1.4E-2</v>
      </c>
      <c r="AE114" s="50">
        <v>14</v>
      </c>
      <c r="AF114" s="50">
        <v>9.6</v>
      </c>
      <c r="AI114" s="97"/>
    </row>
    <row r="115" spans="1:35" ht="15" customHeight="1">
      <c r="A115" s="41" t="s">
        <v>38</v>
      </c>
      <c r="B115" s="50" t="s">
        <v>2416</v>
      </c>
      <c r="C115" s="50" t="s">
        <v>2417</v>
      </c>
      <c r="D115" s="48" t="s">
        <v>559</v>
      </c>
      <c r="E115" s="50" t="s">
        <v>560</v>
      </c>
      <c r="G115" s="76" t="s">
        <v>2418</v>
      </c>
      <c r="H115" s="50">
        <v>4493</v>
      </c>
      <c r="I115" s="73"/>
      <c r="J115" s="50" t="s">
        <v>2426</v>
      </c>
      <c r="K115" s="51">
        <v>41156</v>
      </c>
      <c r="L115" s="115">
        <v>41139</v>
      </c>
      <c r="M115" s="50">
        <f t="shared" si="7"/>
        <v>17</v>
      </c>
      <c r="N115" s="50" t="s">
        <v>2</v>
      </c>
      <c r="O115" s="74">
        <f t="shared" si="6"/>
        <v>2.5</v>
      </c>
      <c r="P115" s="50">
        <v>5.95</v>
      </c>
      <c r="Q115" s="74">
        <v>6.7</v>
      </c>
      <c r="R115" s="50">
        <v>88</v>
      </c>
      <c r="S115" s="74">
        <v>4</v>
      </c>
      <c r="T115" s="50">
        <v>0.2</v>
      </c>
      <c r="U115" s="74">
        <v>0.85</v>
      </c>
      <c r="V115" s="50">
        <v>1.87</v>
      </c>
      <c r="W115" s="74">
        <v>0.12</v>
      </c>
      <c r="X115" s="50">
        <v>0.18</v>
      </c>
      <c r="Y115" s="74">
        <v>2E-3</v>
      </c>
      <c r="Z115" s="166">
        <v>1</v>
      </c>
      <c r="AA115" s="167">
        <v>0.185</v>
      </c>
      <c r="AB115" s="50">
        <v>104</v>
      </c>
      <c r="AC115" s="74">
        <v>2170</v>
      </c>
      <c r="AD115" s="166">
        <v>0.35</v>
      </c>
      <c r="AE115" s="50">
        <v>1.01</v>
      </c>
      <c r="AF115" s="50">
        <f>0.1/2</f>
        <v>0.05</v>
      </c>
      <c r="AI115" s="97"/>
    </row>
    <row r="116" spans="1:35" ht="15" customHeight="1">
      <c r="A116" s="41" t="s">
        <v>38</v>
      </c>
      <c r="B116" s="50" t="s">
        <v>2416</v>
      </c>
      <c r="C116" s="50" t="s">
        <v>2417</v>
      </c>
      <c r="D116" s="48" t="s">
        <v>559</v>
      </c>
      <c r="E116" s="50" t="s">
        <v>560</v>
      </c>
      <c r="G116" s="76" t="s">
        <v>2418</v>
      </c>
      <c r="H116" s="50">
        <v>4493</v>
      </c>
      <c r="I116" s="73"/>
      <c r="J116" s="50" t="s">
        <v>2427</v>
      </c>
      <c r="K116" s="51">
        <v>41156</v>
      </c>
      <c r="L116" s="115">
        <v>41139</v>
      </c>
      <c r="M116" s="50">
        <f t="shared" si="7"/>
        <v>17</v>
      </c>
      <c r="N116" s="50" t="s">
        <v>2</v>
      </c>
      <c r="O116" s="74">
        <f t="shared" si="6"/>
        <v>2.5</v>
      </c>
      <c r="P116" s="50">
        <v>5.95</v>
      </c>
      <c r="Q116" s="74">
        <v>6.9</v>
      </c>
      <c r="R116" s="50">
        <v>27.2</v>
      </c>
      <c r="S116" s="74">
        <v>15</v>
      </c>
      <c r="T116" s="50">
        <v>0.11</v>
      </c>
      <c r="U116" s="74">
        <f>0.5/2</f>
        <v>0.25</v>
      </c>
      <c r="V116" s="50">
        <v>0.69</v>
      </c>
      <c r="W116" s="74">
        <v>5.3999999999999999E-2</v>
      </c>
      <c r="X116" s="50">
        <v>0.08</v>
      </c>
      <c r="Y116" s="74">
        <v>7.0000000000000001E-3</v>
      </c>
      <c r="Z116" s="166">
        <v>1</v>
      </c>
      <c r="AA116" s="167">
        <v>0.70699999999999996</v>
      </c>
      <c r="AB116" s="50">
        <v>12.3</v>
      </c>
      <c r="AC116" s="74">
        <v>70</v>
      </c>
      <c r="AD116" s="166">
        <v>0.05</v>
      </c>
      <c r="AE116" s="50">
        <v>0.62</v>
      </c>
      <c r="AF116" s="50">
        <v>0.38</v>
      </c>
      <c r="AI116" s="97"/>
    </row>
    <row r="117" spans="1:35" ht="15" customHeight="1">
      <c r="A117" s="41" t="s">
        <v>38</v>
      </c>
      <c r="B117" s="50" t="s">
        <v>2428</v>
      </c>
      <c r="C117" s="50" t="s">
        <v>2428</v>
      </c>
      <c r="D117" s="48" t="s">
        <v>434</v>
      </c>
      <c r="E117" s="50" t="s">
        <v>304</v>
      </c>
      <c r="G117" s="76" t="s">
        <v>2429</v>
      </c>
      <c r="H117" s="50">
        <v>7997</v>
      </c>
      <c r="I117" s="49" t="s">
        <v>1</v>
      </c>
      <c r="J117" s="50" t="s">
        <v>2430</v>
      </c>
      <c r="K117" s="51">
        <v>41021</v>
      </c>
      <c r="L117" s="115">
        <v>41000</v>
      </c>
      <c r="M117" s="50">
        <f t="shared" si="7"/>
        <v>21</v>
      </c>
      <c r="N117" s="50" t="s">
        <v>2</v>
      </c>
      <c r="O117" s="74">
        <f>1.5/2</f>
        <v>0.75</v>
      </c>
      <c r="P117" s="50">
        <v>6.58</v>
      </c>
      <c r="Q117" s="74">
        <v>7.16</v>
      </c>
      <c r="R117" s="50">
        <v>67</v>
      </c>
      <c r="S117" s="74">
        <v>61</v>
      </c>
      <c r="T117" s="50">
        <v>0.36</v>
      </c>
      <c r="U117" s="74">
        <v>1.34</v>
      </c>
      <c r="V117" s="50">
        <v>0.39</v>
      </c>
      <c r="W117" s="74">
        <v>7.8E-2</v>
      </c>
      <c r="X117" s="50">
        <v>2.8000000000000001E-2</v>
      </c>
      <c r="Y117" s="74">
        <f>0.002/2</f>
        <v>1E-3</v>
      </c>
      <c r="Z117" s="166">
        <v>1</v>
      </c>
      <c r="AA117" s="167">
        <v>0.59499999999999997</v>
      </c>
      <c r="AB117" s="50">
        <v>18</v>
      </c>
      <c r="AC117" s="74">
        <v>104</v>
      </c>
      <c r="AD117" s="166">
        <v>0</v>
      </c>
      <c r="AE117" s="50">
        <v>0.28799999999999998</v>
      </c>
      <c r="AF117" s="50">
        <v>0.19800000000000001</v>
      </c>
      <c r="AI117" s="97"/>
    </row>
    <row r="118" spans="1:35" ht="15" customHeight="1">
      <c r="A118" s="41" t="s">
        <v>38</v>
      </c>
      <c r="B118" s="50" t="s">
        <v>2431</v>
      </c>
      <c r="C118" s="50" t="s">
        <v>1568</v>
      </c>
      <c r="D118" s="48" t="s">
        <v>1569</v>
      </c>
      <c r="E118" s="50" t="s">
        <v>1570</v>
      </c>
      <c r="G118" s="76" t="s">
        <v>2432</v>
      </c>
      <c r="I118" s="49" t="s">
        <v>2</v>
      </c>
      <c r="J118" s="50" t="s">
        <v>2433</v>
      </c>
      <c r="K118" s="51">
        <v>41156</v>
      </c>
      <c r="L118" s="115">
        <v>41139</v>
      </c>
      <c r="M118" s="50">
        <f t="shared" si="7"/>
        <v>17</v>
      </c>
      <c r="N118" s="50" t="s">
        <v>2</v>
      </c>
      <c r="O118" s="74">
        <f>5/2</f>
        <v>2.5</v>
      </c>
      <c r="P118" s="50">
        <v>8.35</v>
      </c>
      <c r="Q118" s="74">
        <v>6.35</v>
      </c>
      <c r="R118" s="50">
        <v>15.3</v>
      </c>
      <c r="S118" s="74">
        <v>16</v>
      </c>
      <c r="T118" s="50">
        <v>0.13</v>
      </c>
      <c r="U118" s="74">
        <f>0.5/2</f>
        <v>0.25</v>
      </c>
      <c r="V118" s="50">
        <v>1.1100000000000001</v>
      </c>
      <c r="W118" s="74">
        <v>0.4</v>
      </c>
      <c r="X118" s="50">
        <v>0.16</v>
      </c>
      <c r="Y118" s="74">
        <v>5.0000000000000001E-3</v>
      </c>
      <c r="AE118" s="50">
        <v>0.47</v>
      </c>
      <c r="AF118" s="50">
        <v>0.32</v>
      </c>
      <c r="AI118" s="97"/>
    </row>
    <row r="119" spans="1:35" ht="15" customHeight="1">
      <c r="A119" s="41" t="s">
        <v>38</v>
      </c>
      <c r="B119" s="50" t="s">
        <v>1568</v>
      </c>
      <c r="C119" s="50" t="s">
        <v>1568</v>
      </c>
      <c r="D119" s="48" t="s">
        <v>1569</v>
      </c>
      <c r="E119" s="50" t="s">
        <v>1570</v>
      </c>
      <c r="G119" s="76" t="s">
        <v>2432</v>
      </c>
      <c r="I119" s="49" t="s">
        <v>2</v>
      </c>
      <c r="J119" s="50" t="s">
        <v>1572</v>
      </c>
      <c r="K119" s="51">
        <v>41021</v>
      </c>
      <c r="L119" s="115">
        <v>41011</v>
      </c>
      <c r="M119" s="50">
        <f t="shared" si="7"/>
        <v>10</v>
      </c>
      <c r="N119" s="50" t="s">
        <v>2</v>
      </c>
      <c r="O119" s="74">
        <f>5/2</f>
        <v>2.5</v>
      </c>
      <c r="P119" s="50">
        <v>6.29</v>
      </c>
      <c r="Q119" s="74">
        <v>5.3</v>
      </c>
      <c r="R119" s="50">
        <v>24.3</v>
      </c>
      <c r="S119" s="74">
        <v>114</v>
      </c>
      <c r="T119" s="50">
        <v>0.34</v>
      </c>
      <c r="U119" s="74">
        <v>0.78</v>
      </c>
      <c r="V119" s="50">
        <v>0.53</v>
      </c>
      <c r="W119" s="74">
        <v>5.8000000000000003E-2</v>
      </c>
      <c r="X119" s="50">
        <v>0.08</v>
      </c>
      <c r="Y119" s="74">
        <f>0.001/2</f>
        <v>5.0000000000000001E-4</v>
      </c>
      <c r="Z119" s="166">
        <v>0.23300000000000001</v>
      </c>
      <c r="AA119" s="167">
        <v>0.17100000000000001</v>
      </c>
      <c r="AC119" s="74">
        <v>28</v>
      </c>
      <c r="AD119" s="166">
        <v>0</v>
      </c>
      <c r="AE119" s="50">
        <f>0.05/2</f>
        <v>2.5000000000000001E-2</v>
      </c>
      <c r="AF119" s="50">
        <f>0.1/2</f>
        <v>0.05</v>
      </c>
      <c r="AI119" s="97"/>
    </row>
    <row r="120" spans="1:35" ht="15" customHeight="1">
      <c r="A120" s="41" t="s">
        <v>38</v>
      </c>
      <c r="B120" s="50" t="s">
        <v>1582</v>
      </c>
      <c r="C120" s="50" t="s">
        <v>1583</v>
      </c>
      <c r="D120" s="48" t="s">
        <v>1569</v>
      </c>
      <c r="E120" s="50" t="s">
        <v>1584</v>
      </c>
      <c r="G120" s="76" t="s">
        <v>1585</v>
      </c>
      <c r="I120" s="49" t="s">
        <v>2</v>
      </c>
      <c r="J120" s="50" t="s">
        <v>569</v>
      </c>
      <c r="K120" s="51">
        <v>41156</v>
      </c>
      <c r="L120" s="115"/>
      <c r="N120" s="50" t="s">
        <v>2</v>
      </c>
      <c r="O120" s="74">
        <f>5/2</f>
        <v>2.5</v>
      </c>
      <c r="P120" s="50">
        <v>6.13</v>
      </c>
      <c r="Q120" s="74">
        <v>7.2</v>
      </c>
      <c r="R120" s="50">
        <v>55.1</v>
      </c>
      <c r="S120" s="74">
        <v>113</v>
      </c>
      <c r="T120" s="50">
        <v>0.52</v>
      </c>
      <c r="U120" s="74">
        <v>1.28</v>
      </c>
      <c r="V120" s="50">
        <v>2.62</v>
      </c>
      <c r="W120" s="74">
        <v>0.21</v>
      </c>
      <c r="X120" s="50">
        <v>0.1</v>
      </c>
      <c r="Y120" s="74">
        <v>1E-3</v>
      </c>
      <c r="AE120" s="50">
        <v>0.61</v>
      </c>
      <c r="AF120" s="50">
        <v>0.86</v>
      </c>
      <c r="AI120" s="97"/>
    </row>
    <row r="121" spans="1:35" ht="15" customHeight="1">
      <c r="A121" s="41" t="s">
        <v>38</v>
      </c>
      <c r="B121" s="50" t="s">
        <v>1568</v>
      </c>
      <c r="C121" s="50" t="s">
        <v>1568</v>
      </c>
      <c r="D121" s="48" t="s">
        <v>1569</v>
      </c>
      <c r="E121" s="50" t="s">
        <v>1570</v>
      </c>
      <c r="G121" s="76" t="s">
        <v>1778</v>
      </c>
      <c r="H121" s="50">
        <v>4493</v>
      </c>
      <c r="I121" s="49" t="s">
        <v>2</v>
      </c>
      <c r="J121" s="50" t="s">
        <v>2434</v>
      </c>
      <c r="K121" s="51">
        <v>41156</v>
      </c>
      <c r="L121" s="115">
        <v>41139</v>
      </c>
      <c r="M121" s="50">
        <f>K121-L121</f>
        <v>17</v>
      </c>
      <c r="N121" s="50" t="s">
        <v>2</v>
      </c>
      <c r="O121" s="74">
        <f>5/2</f>
        <v>2.5</v>
      </c>
      <c r="P121" s="50">
        <v>5.88</v>
      </c>
      <c r="Q121" s="74">
        <v>5.8</v>
      </c>
      <c r="R121" s="50">
        <v>171</v>
      </c>
      <c r="S121" s="74">
        <v>147</v>
      </c>
      <c r="T121" s="50">
        <v>0.49</v>
      </c>
      <c r="U121" s="74">
        <v>11.7</v>
      </c>
      <c r="V121" s="50">
        <v>2.27</v>
      </c>
      <c r="W121" s="74">
        <v>2.12</v>
      </c>
      <c r="X121" s="50">
        <v>1.47</v>
      </c>
      <c r="Y121" s="74">
        <v>0.121</v>
      </c>
      <c r="AE121" s="50">
        <v>1.31</v>
      </c>
      <c r="AF121" s="50">
        <v>1.02</v>
      </c>
      <c r="AI121" s="97"/>
    </row>
    <row r="122" spans="1:35" ht="15" customHeight="1">
      <c r="A122" s="41" t="s">
        <v>38</v>
      </c>
      <c r="B122" s="50" t="s">
        <v>2435</v>
      </c>
      <c r="C122" s="50" t="s">
        <v>2436</v>
      </c>
      <c r="D122" s="48" t="s">
        <v>564</v>
      </c>
      <c r="E122" s="50" t="s">
        <v>2437</v>
      </c>
      <c r="G122" s="76" t="s">
        <v>2438</v>
      </c>
      <c r="I122" s="49" t="s">
        <v>2</v>
      </c>
      <c r="J122" s="50" t="s">
        <v>2439</v>
      </c>
      <c r="K122" s="51">
        <v>41171</v>
      </c>
      <c r="L122" s="115">
        <v>41159</v>
      </c>
      <c r="M122" s="50">
        <f>K122-L122</f>
        <v>12</v>
      </c>
      <c r="N122" s="50" t="s">
        <v>2</v>
      </c>
      <c r="O122" s="74">
        <f>1/2</f>
        <v>0.5</v>
      </c>
      <c r="P122" s="50">
        <v>4.7</v>
      </c>
      <c r="Q122" s="74">
        <v>6.4</v>
      </c>
      <c r="R122" s="50">
        <f>1/2</f>
        <v>0.5</v>
      </c>
      <c r="S122" s="74">
        <f>5/2</f>
        <v>2.5</v>
      </c>
      <c r="T122" s="50">
        <v>7.1999999999999995E-2</v>
      </c>
      <c r="U122" s="74">
        <f>0.5/2</f>
        <v>0.25</v>
      </c>
      <c r="V122" s="50">
        <v>0.2</v>
      </c>
      <c r="W122" s="74">
        <v>4.8000000000000001E-2</v>
      </c>
      <c r="X122" s="50">
        <v>3.1E-2</v>
      </c>
      <c r="Y122" s="74">
        <f>0.002/2</f>
        <v>1E-3</v>
      </c>
      <c r="Z122" s="166">
        <v>0.70699999999999996</v>
      </c>
      <c r="AA122" s="167">
        <v>6.25E-2</v>
      </c>
      <c r="AB122" s="50">
        <v>9</v>
      </c>
      <c r="AC122" s="74">
        <v>20</v>
      </c>
      <c r="AD122" s="166">
        <v>0</v>
      </c>
      <c r="AE122" s="50">
        <v>0.14000000000000001</v>
      </c>
      <c r="AF122" s="50">
        <f>0.05/2</f>
        <v>2.5000000000000001E-2</v>
      </c>
      <c r="AI122" s="97"/>
    </row>
    <row r="123" spans="1:35" ht="15" customHeight="1">
      <c r="A123" s="41" t="s">
        <v>38</v>
      </c>
      <c r="B123" s="50" t="s">
        <v>2435</v>
      </c>
      <c r="C123" s="50" t="s">
        <v>2436</v>
      </c>
      <c r="D123" s="48" t="s">
        <v>564</v>
      </c>
      <c r="E123" s="50" t="s">
        <v>2440</v>
      </c>
      <c r="G123" s="76" t="s">
        <v>2438</v>
      </c>
      <c r="I123" s="49" t="s">
        <v>2</v>
      </c>
      <c r="J123" s="50" t="s">
        <v>2441</v>
      </c>
      <c r="K123" s="51">
        <v>41171</v>
      </c>
      <c r="L123" s="115">
        <v>41159</v>
      </c>
      <c r="M123" s="50">
        <f>K123-L123</f>
        <v>12</v>
      </c>
      <c r="N123" s="50" t="s">
        <v>2</v>
      </c>
      <c r="O123" s="74">
        <f>1/2</f>
        <v>0.5</v>
      </c>
      <c r="P123" s="50">
        <v>4.7</v>
      </c>
      <c r="Q123" s="74">
        <v>6.3</v>
      </c>
      <c r="R123" s="50">
        <v>6.3</v>
      </c>
      <c r="S123" s="74">
        <f>5/2</f>
        <v>2.5</v>
      </c>
      <c r="T123" s="50">
        <v>0.12</v>
      </c>
      <c r="U123" s="74">
        <f>0.5/2</f>
        <v>0.25</v>
      </c>
      <c r="V123" s="50">
        <v>0.2</v>
      </c>
      <c r="W123" s="74">
        <v>6.8000000000000005E-2</v>
      </c>
      <c r="X123" s="50">
        <v>0.13</v>
      </c>
      <c r="Y123" s="74">
        <f>0.002/2</f>
        <v>1E-3</v>
      </c>
      <c r="Z123" s="166">
        <v>6.25E-2</v>
      </c>
      <c r="AA123" s="167">
        <v>6.25E-2</v>
      </c>
      <c r="AB123" s="50">
        <v>9</v>
      </c>
      <c r="AC123" s="74">
        <v>23</v>
      </c>
      <c r="AD123" s="166">
        <v>0</v>
      </c>
      <c r="AE123" s="50">
        <v>5.5E-2</v>
      </c>
      <c r="AF123" s="50">
        <f>0.05/2</f>
        <v>2.5000000000000001E-2</v>
      </c>
      <c r="AI123" s="97"/>
    </row>
    <row r="124" spans="1:35" ht="15" customHeight="1">
      <c r="A124" s="41" t="s">
        <v>38</v>
      </c>
      <c r="B124" s="50" t="s">
        <v>2435</v>
      </c>
      <c r="C124" s="50" t="s">
        <v>2436</v>
      </c>
      <c r="D124" s="48" t="s">
        <v>564</v>
      </c>
      <c r="E124" s="50" t="s">
        <v>2442</v>
      </c>
      <c r="G124" s="76" t="s">
        <v>2438</v>
      </c>
      <c r="I124" s="49" t="s">
        <v>2</v>
      </c>
      <c r="J124" s="50" t="s">
        <v>2443</v>
      </c>
      <c r="K124" s="51">
        <v>41171</v>
      </c>
      <c r="L124" s="115">
        <v>41159</v>
      </c>
      <c r="M124" s="50">
        <f>K124-L124</f>
        <v>12</v>
      </c>
      <c r="N124" s="50" t="s">
        <v>2</v>
      </c>
      <c r="O124" s="74">
        <f>1/2</f>
        <v>0.5</v>
      </c>
      <c r="P124" s="50">
        <v>4.7</v>
      </c>
      <c r="Q124" s="74">
        <v>6.1</v>
      </c>
      <c r="R124" s="50">
        <v>6.8</v>
      </c>
      <c r="S124" s="74">
        <f>5/2</f>
        <v>2.5</v>
      </c>
      <c r="T124" s="50">
        <v>7.4999999999999997E-2</v>
      </c>
      <c r="U124" s="74">
        <f>0.5/2</f>
        <v>0.25</v>
      </c>
      <c r="V124" s="50">
        <v>0.1</v>
      </c>
      <c r="W124" s="74">
        <v>4.1000000000000002E-2</v>
      </c>
      <c r="X124" s="50">
        <v>2.9000000000000001E-2</v>
      </c>
      <c r="Y124" s="74">
        <f>0.002/2</f>
        <v>1E-3</v>
      </c>
      <c r="Z124" s="166">
        <v>0.29699999999999999</v>
      </c>
      <c r="AA124" s="167">
        <v>0.26200000000000001</v>
      </c>
      <c r="AB124" s="50">
        <v>9</v>
      </c>
      <c r="AC124" s="74">
        <v>22</v>
      </c>
      <c r="AD124" s="166">
        <v>0</v>
      </c>
      <c r="AE124" s="50">
        <v>9.7000000000000003E-2</v>
      </c>
      <c r="AF124" s="50">
        <f>0.05/2</f>
        <v>2.5000000000000001E-2</v>
      </c>
      <c r="AI124" s="97"/>
    </row>
    <row r="125" spans="1:35" ht="15" customHeight="1">
      <c r="A125" s="41" t="s">
        <v>38</v>
      </c>
      <c r="B125" s="50" t="s">
        <v>2444</v>
      </c>
      <c r="C125" s="50" t="s">
        <v>2445</v>
      </c>
      <c r="D125" s="48" t="s">
        <v>567</v>
      </c>
      <c r="E125" s="50" t="s">
        <v>2383</v>
      </c>
      <c r="G125" s="76" t="s">
        <v>2446</v>
      </c>
      <c r="H125" s="50">
        <v>4493</v>
      </c>
      <c r="I125" s="73"/>
      <c r="J125" s="50" t="s">
        <v>115</v>
      </c>
      <c r="K125" s="51">
        <v>41148</v>
      </c>
      <c r="L125" s="115"/>
      <c r="N125" s="50" t="s">
        <v>2</v>
      </c>
      <c r="O125" s="74">
        <f>5/2</f>
        <v>2.5</v>
      </c>
      <c r="P125" s="50">
        <v>6.92</v>
      </c>
      <c r="Q125" s="74">
        <v>6.97</v>
      </c>
      <c r="R125" s="50">
        <v>120</v>
      </c>
      <c r="S125" s="74">
        <v>120</v>
      </c>
      <c r="T125" s="50">
        <f>0.1/2</f>
        <v>0.05</v>
      </c>
      <c r="U125" s="74">
        <v>1.5</v>
      </c>
      <c r="V125" s="50">
        <v>0.46</v>
      </c>
      <c r="W125" s="74">
        <v>1.1000000000000001</v>
      </c>
      <c r="X125" s="50">
        <v>1.4</v>
      </c>
      <c r="Y125" s="74">
        <v>0.02</v>
      </c>
      <c r="Z125" s="166">
        <v>1</v>
      </c>
      <c r="AA125" s="167">
        <v>1</v>
      </c>
      <c r="AB125" s="50">
        <v>620</v>
      </c>
      <c r="AC125" s="74">
        <v>6880</v>
      </c>
      <c r="AD125" s="166">
        <v>1</v>
      </c>
      <c r="AE125" s="50">
        <v>4.7</v>
      </c>
      <c r="AF125" s="50">
        <v>1.8</v>
      </c>
      <c r="AG125" s="328">
        <v>100</v>
      </c>
      <c r="AI125" s="97"/>
    </row>
    <row r="126" spans="1:35" ht="15" customHeight="1">
      <c r="A126" s="41" t="s">
        <v>38</v>
      </c>
      <c r="B126" s="50" t="s">
        <v>2397</v>
      </c>
      <c r="C126" s="50" t="s">
        <v>2397</v>
      </c>
      <c r="D126" s="48" t="s">
        <v>1550</v>
      </c>
      <c r="E126" s="50" t="s">
        <v>2447</v>
      </c>
      <c r="G126" s="76" t="s">
        <v>2448</v>
      </c>
      <c r="H126" s="50">
        <v>4493</v>
      </c>
      <c r="I126" s="49" t="s">
        <v>1</v>
      </c>
      <c r="J126" s="50" t="s">
        <v>2449</v>
      </c>
      <c r="K126" s="51">
        <v>40920</v>
      </c>
      <c r="L126" s="115"/>
      <c r="N126" s="50" t="s">
        <v>2</v>
      </c>
      <c r="O126" s="74">
        <v>2.2999999999999998</v>
      </c>
      <c r="P126" s="50">
        <v>5.75</v>
      </c>
      <c r="Q126" s="74">
        <v>6.32</v>
      </c>
      <c r="R126" s="50">
        <v>8</v>
      </c>
      <c r="S126" s="74">
        <v>80</v>
      </c>
      <c r="T126" s="50">
        <v>0.03</v>
      </c>
      <c r="U126" s="74">
        <v>0.43</v>
      </c>
      <c r="V126" s="50">
        <v>0.04</v>
      </c>
      <c r="W126" s="74">
        <v>0.45600000000000002</v>
      </c>
      <c r="X126" s="50">
        <v>0.21299999999999999</v>
      </c>
      <c r="Y126" s="74">
        <v>2.7E-2</v>
      </c>
      <c r="Z126" s="166">
        <v>6.25E-2</v>
      </c>
      <c r="AA126" s="167">
        <v>6.25E-2</v>
      </c>
      <c r="AB126" s="50">
        <v>6</v>
      </c>
      <c r="AC126" s="74">
        <v>11</v>
      </c>
      <c r="AD126" s="166">
        <v>0</v>
      </c>
      <c r="AE126" s="50">
        <v>1.54</v>
      </c>
      <c r="AF126" s="50">
        <v>0.65600000000000003</v>
      </c>
      <c r="AI126" s="97"/>
    </row>
    <row r="127" spans="1:35" ht="15" customHeight="1">
      <c r="A127" s="41" t="s">
        <v>38</v>
      </c>
      <c r="B127" s="50" t="s">
        <v>2397</v>
      </c>
      <c r="C127" s="50" t="s">
        <v>2400</v>
      </c>
      <c r="D127" s="48" t="s">
        <v>1550</v>
      </c>
      <c r="E127" s="50" t="s">
        <v>81</v>
      </c>
      <c r="G127" s="76" t="s">
        <v>2401</v>
      </c>
      <c r="H127" s="50">
        <v>4493</v>
      </c>
      <c r="I127" s="49" t="s">
        <v>1</v>
      </c>
      <c r="J127" s="50" t="s">
        <v>2402</v>
      </c>
      <c r="K127" s="51">
        <v>40920</v>
      </c>
      <c r="L127" s="115"/>
      <c r="N127" s="50" t="s">
        <v>2</v>
      </c>
      <c r="O127" s="74">
        <f>1.4/2</f>
        <v>0.7</v>
      </c>
      <c r="P127" s="50">
        <v>5.75</v>
      </c>
      <c r="Q127" s="74">
        <v>6.31</v>
      </c>
      <c r="R127" s="50">
        <v>1</v>
      </c>
      <c r="S127" s="74">
        <v>14</v>
      </c>
      <c r="T127" s="50">
        <v>0.02</v>
      </c>
      <c r="U127" s="74">
        <v>0.43</v>
      </c>
      <c r="V127" s="50">
        <v>0.28999999999999998</v>
      </c>
      <c r="W127" s="74">
        <f>0.005/2</f>
        <v>2.5000000000000001E-3</v>
      </c>
      <c r="X127" s="50">
        <v>2.1000000000000001E-2</v>
      </c>
      <c r="Y127" s="74">
        <f>0.002/2</f>
        <v>1E-3</v>
      </c>
      <c r="Z127" s="166">
        <v>1</v>
      </c>
      <c r="AA127" s="167">
        <v>1</v>
      </c>
      <c r="AB127" s="50">
        <v>4</v>
      </c>
      <c r="AC127" s="74">
        <v>17</v>
      </c>
      <c r="AD127" s="166">
        <v>1</v>
      </c>
      <c r="AE127" s="50">
        <v>0.33100000000000002</v>
      </c>
      <c r="AF127" s="50">
        <v>0.14199999999999999</v>
      </c>
      <c r="AI127" s="97"/>
    </row>
    <row r="128" spans="1:35" ht="15" customHeight="1">
      <c r="A128" s="41" t="s">
        <v>38</v>
      </c>
      <c r="B128" s="50" t="s">
        <v>1563</v>
      </c>
      <c r="C128" s="50" t="s">
        <v>1564</v>
      </c>
      <c r="D128" s="48" t="s">
        <v>1565</v>
      </c>
      <c r="E128" s="50" t="s">
        <v>2476</v>
      </c>
      <c r="G128" s="76" t="s">
        <v>1567</v>
      </c>
      <c r="H128" s="50">
        <v>4493</v>
      </c>
      <c r="I128" s="49" t="s">
        <v>2</v>
      </c>
      <c r="J128" s="50" t="s">
        <v>194</v>
      </c>
      <c r="K128" s="51">
        <v>41156</v>
      </c>
      <c r="L128" s="115"/>
      <c r="N128" s="50" t="s">
        <v>2</v>
      </c>
      <c r="O128" s="74">
        <f>5/2</f>
        <v>2.5</v>
      </c>
      <c r="P128" s="50">
        <v>5.52</v>
      </c>
      <c r="Q128" s="74">
        <v>6.76</v>
      </c>
      <c r="R128" s="50">
        <v>2.68</v>
      </c>
      <c r="S128" s="74">
        <v>27</v>
      </c>
      <c r="T128" s="50">
        <v>0.11</v>
      </c>
      <c r="U128" s="74">
        <f>0.5/2</f>
        <v>0.25</v>
      </c>
      <c r="V128" s="50">
        <v>0.89</v>
      </c>
      <c r="W128" s="74">
        <v>0.02</v>
      </c>
      <c r="X128" s="50">
        <f>0.02/2</f>
        <v>0.01</v>
      </c>
      <c r="Y128" s="74">
        <f>0.001/2</f>
        <v>5.0000000000000001E-4</v>
      </c>
      <c r="AE128" s="50">
        <f>0.05/2</f>
        <v>2.5000000000000001E-2</v>
      </c>
      <c r="AF128" s="50">
        <f>0.1/2</f>
        <v>0.05</v>
      </c>
      <c r="AI128" s="97"/>
    </row>
    <row r="129" spans="1:47" ht="15" customHeight="1">
      <c r="A129" s="41" t="s">
        <v>38</v>
      </c>
      <c r="B129" s="50" t="s">
        <v>2385</v>
      </c>
      <c r="C129" s="50" t="s">
        <v>2385</v>
      </c>
      <c r="D129" s="48" t="s">
        <v>1565</v>
      </c>
      <c r="E129" s="50" t="s">
        <v>1754</v>
      </c>
      <c r="G129" s="76" t="s">
        <v>2450</v>
      </c>
      <c r="H129" s="50">
        <v>4493</v>
      </c>
      <c r="I129" s="49" t="s">
        <v>1</v>
      </c>
      <c r="J129" s="50">
        <v>1</v>
      </c>
      <c r="K129" s="51">
        <v>40997</v>
      </c>
      <c r="L129" s="115">
        <v>40980</v>
      </c>
      <c r="M129" s="50">
        <f>K129-L129</f>
        <v>17</v>
      </c>
      <c r="N129" s="50" t="s">
        <v>2</v>
      </c>
      <c r="O129" s="74">
        <f>1.4/2</f>
        <v>0.7</v>
      </c>
      <c r="P129" s="50">
        <v>6.14</v>
      </c>
      <c r="Q129" s="74">
        <v>6.61</v>
      </c>
      <c r="R129" s="50">
        <v>47</v>
      </c>
      <c r="S129" s="74">
        <v>12</v>
      </c>
      <c r="T129" s="50">
        <v>0.33</v>
      </c>
      <c r="U129" s="74">
        <v>3.42</v>
      </c>
      <c r="V129" s="50">
        <v>0.49</v>
      </c>
      <c r="W129" s="74">
        <v>0.95499999999999996</v>
      </c>
      <c r="X129" s="50">
        <v>1.1299999999999999</v>
      </c>
      <c r="Y129" s="74">
        <v>5.0000000000000001E-3</v>
      </c>
      <c r="AE129" s="50">
        <v>0.20799999999999999</v>
      </c>
      <c r="AF129" s="50">
        <v>8.5000000000000006E-2</v>
      </c>
      <c r="AG129" s="328">
        <v>207</v>
      </c>
      <c r="AI129" s="97"/>
    </row>
    <row r="130" spans="1:47" ht="15" customHeight="1">
      <c r="A130" s="41" t="s">
        <v>38</v>
      </c>
      <c r="B130" s="50" t="s">
        <v>2451</v>
      </c>
      <c r="C130" s="50" t="s">
        <v>2451</v>
      </c>
      <c r="D130" s="48" t="s">
        <v>1541</v>
      </c>
      <c r="E130" s="50" t="s">
        <v>44</v>
      </c>
      <c r="G130" s="76" t="s">
        <v>2452</v>
      </c>
      <c r="I130" s="73"/>
      <c r="J130" s="50" t="s">
        <v>2453</v>
      </c>
      <c r="K130" s="51">
        <v>41156</v>
      </c>
      <c r="L130" s="115">
        <v>41139</v>
      </c>
      <c r="M130" s="50">
        <f>K130-L130</f>
        <v>17</v>
      </c>
      <c r="N130" s="50" t="s">
        <v>2</v>
      </c>
      <c r="O130" s="74">
        <f>1.4/2</f>
        <v>0.7</v>
      </c>
      <c r="P130" s="50">
        <v>4.9800000000000004</v>
      </c>
      <c r="Q130" s="74">
        <v>5.7</v>
      </c>
      <c r="R130" s="50">
        <v>7</v>
      </c>
      <c r="S130" s="74">
        <v>64</v>
      </c>
      <c r="T130" s="50">
        <v>0.03</v>
      </c>
      <c r="U130" s="74">
        <v>0.89</v>
      </c>
      <c r="V130" s="50">
        <v>1.49</v>
      </c>
      <c r="W130" s="74">
        <v>0.22500000000000001</v>
      </c>
      <c r="X130" s="50">
        <v>0.11899999999999999</v>
      </c>
      <c r="Y130" s="74">
        <v>3.0000000000000001E-3</v>
      </c>
      <c r="Z130" s="166">
        <v>6.25E-2</v>
      </c>
      <c r="AA130" s="167">
        <v>6.25E-2</v>
      </c>
      <c r="AB130" s="50">
        <v>6</v>
      </c>
      <c r="AC130" s="74">
        <v>32</v>
      </c>
      <c r="AD130" s="166">
        <v>0</v>
      </c>
      <c r="AE130" s="50">
        <v>0.38900000000000001</v>
      </c>
      <c r="AF130" s="50">
        <v>0.317</v>
      </c>
      <c r="AI130" s="97"/>
    </row>
    <row r="131" spans="1:47" ht="15" customHeight="1">
      <c r="A131" s="41" t="s">
        <v>38</v>
      </c>
      <c r="B131" s="50" t="s">
        <v>2454</v>
      </c>
      <c r="C131" s="50" t="s">
        <v>2455</v>
      </c>
      <c r="D131" s="48" t="s">
        <v>443</v>
      </c>
      <c r="E131" s="50" t="s">
        <v>44</v>
      </c>
      <c r="G131" s="76" t="s">
        <v>2456</v>
      </c>
      <c r="H131" s="50">
        <v>4493</v>
      </c>
      <c r="I131" s="49" t="s">
        <v>2474</v>
      </c>
      <c r="J131" s="50" t="s">
        <v>194</v>
      </c>
      <c r="K131" s="51">
        <v>40920</v>
      </c>
      <c r="L131" s="115">
        <v>40904</v>
      </c>
      <c r="M131" s="50">
        <f>K131-L131</f>
        <v>16</v>
      </c>
      <c r="N131" s="50" t="s">
        <v>2</v>
      </c>
      <c r="O131" s="74">
        <f>5/2</f>
        <v>2.5</v>
      </c>
      <c r="P131" s="50">
        <v>5.8</v>
      </c>
      <c r="Q131" s="74">
        <v>5.7</v>
      </c>
      <c r="R131" s="50">
        <v>8.3800000000000008</v>
      </c>
      <c r="S131" s="74">
        <v>21</v>
      </c>
      <c r="T131" s="50">
        <v>0.03</v>
      </c>
      <c r="U131" s="74">
        <f>0.5/2</f>
        <v>0.25</v>
      </c>
      <c r="V131" s="50">
        <v>0.56000000000000005</v>
      </c>
      <c r="W131" s="74">
        <v>7.8E-2</v>
      </c>
      <c r="X131" s="50">
        <f>0.02/2</f>
        <v>0.01</v>
      </c>
      <c r="Y131" s="74">
        <v>3.0000000000000001E-3</v>
      </c>
      <c r="Z131" s="166">
        <v>0.185</v>
      </c>
      <c r="AA131" s="167">
        <v>0.13800000000000001</v>
      </c>
      <c r="AB131" s="50">
        <v>3.06</v>
      </c>
      <c r="AC131" s="74">
        <v>19</v>
      </c>
      <c r="AD131" s="166">
        <v>0</v>
      </c>
      <c r="AE131" s="50">
        <v>0.98</v>
      </c>
      <c r="AF131" s="50">
        <v>0.55000000000000004</v>
      </c>
      <c r="AI131" s="97"/>
    </row>
    <row r="132" spans="1:47" ht="15" customHeight="1">
      <c r="A132" s="41" t="s">
        <v>38</v>
      </c>
      <c r="B132" s="50" t="s">
        <v>2457</v>
      </c>
      <c r="D132" s="48" t="s">
        <v>78</v>
      </c>
      <c r="E132" s="50" t="s">
        <v>79</v>
      </c>
      <c r="G132" s="76" t="s">
        <v>2458</v>
      </c>
      <c r="H132" s="50">
        <v>4493</v>
      </c>
      <c r="I132" s="73"/>
      <c r="J132" s="50" t="s">
        <v>194</v>
      </c>
      <c r="K132" s="51">
        <v>41157</v>
      </c>
      <c r="L132" s="115">
        <v>41149</v>
      </c>
      <c r="M132" s="50">
        <f>K132-L132</f>
        <v>8</v>
      </c>
      <c r="N132" s="50" t="s">
        <v>2</v>
      </c>
      <c r="O132" s="74">
        <f>2/2</f>
        <v>1</v>
      </c>
      <c r="P132" s="50">
        <v>6.6</v>
      </c>
      <c r="Q132" s="74">
        <v>6.5</v>
      </c>
      <c r="R132" s="50">
        <v>24</v>
      </c>
      <c r="S132" s="74">
        <v>36</v>
      </c>
      <c r="T132" s="50">
        <v>0.09</v>
      </c>
      <c r="U132" s="74">
        <v>0.78</v>
      </c>
      <c r="V132" s="50">
        <v>0.36</v>
      </c>
      <c r="W132" s="74">
        <v>0.22900000000000001</v>
      </c>
      <c r="X132" s="50">
        <v>0.10199999999999999</v>
      </c>
      <c r="Y132" s="74">
        <v>0.03</v>
      </c>
      <c r="Z132" s="166">
        <v>0.46700000000000003</v>
      </c>
      <c r="AA132" s="167">
        <v>7.7499999999999999E-2</v>
      </c>
      <c r="AB132" s="50">
        <v>7</v>
      </c>
      <c r="AC132" s="74">
        <v>37</v>
      </c>
      <c r="AD132" s="166">
        <v>0</v>
      </c>
      <c r="AE132" s="50">
        <v>1.0900000000000001</v>
      </c>
      <c r="AF132" s="50">
        <v>0.64</v>
      </c>
      <c r="AI132" s="97"/>
    </row>
    <row r="133" spans="1:47" s="1" customFormat="1" ht="15" customHeight="1">
      <c r="A133" s="75" t="s">
        <v>38</v>
      </c>
      <c r="B133" s="50" t="s">
        <v>2457</v>
      </c>
      <c r="C133" s="50"/>
      <c r="D133" s="48" t="s">
        <v>78</v>
      </c>
      <c r="E133" s="50" t="s">
        <v>79</v>
      </c>
      <c r="F133" s="50"/>
      <c r="G133" s="76" t="s">
        <v>2458</v>
      </c>
      <c r="H133" s="50">
        <v>4493</v>
      </c>
      <c r="I133" s="49" t="s">
        <v>1</v>
      </c>
      <c r="J133" s="50" t="s">
        <v>194</v>
      </c>
      <c r="K133" s="51">
        <v>40935</v>
      </c>
      <c r="L133" s="115">
        <v>40931</v>
      </c>
      <c r="M133" s="50">
        <f>K133-L133</f>
        <v>4</v>
      </c>
      <c r="N133" s="50" t="s">
        <v>2</v>
      </c>
      <c r="O133" s="49">
        <v>10.199999999999999</v>
      </c>
      <c r="P133" s="50">
        <v>7.6</v>
      </c>
      <c r="Q133" s="49">
        <v>7.5</v>
      </c>
      <c r="R133" s="50">
        <v>42</v>
      </c>
      <c r="S133" s="49">
        <v>42</v>
      </c>
      <c r="T133" s="50">
        <v>0.11</v>
      </c>
      <c r="U133" s="49">
        <v>1.43</v>
      </c>
      <c r="V133" s="50">
        <v>1.2</v>
      </c>
      <c r="W133" s="49">
        <v>0.253</v>
      </c>
      <c r="X133" s="50">
        <v>0.16400000000000001</v>
      </c>
      <c r="Y133" s="49">
        <v>3.6999999999999998E-2</v>
      </c>
      <c r="Z133" s="166">
        <v>0.183</v>
      </c>
      <c r="AA133" s="244">
        <v>0.16800000000000001</v>
      </c>
      <c r="AB133" s="50">
        <v>13</v>
      </c>
      <c r="AC133" s="49">
        <v>88</v>
      </c>
      <c r="AD133" s="166">
        <v>0</v>
      </c>
      <c r="AE133" s="50">
        <v>1.73</v>
      </c>
      <c r="AF133" s="50">
        <v>0.97</v>
      </c>
      <c r="AG133" s="330"/>
      <c r="AH133" s="114"/>
      <c r="AI133" s="97"/>
      <c r="AJ133" s="114"/>
      <c r="AK133" s="49"/>
      <c r="AL133" s="49"/>
      <c r="AM133" s="49"/>
      <c r="AN133" s="49"/>
      <c r="AO133" s="49"/>
      <c r="AP133" s="49"/>
      <c r="AQ133" s="49"/>
      <c r="AR133" s="49"/>
      <c r="AS133" s="49"/>
      <c r="AT133" s="49"/>
      <c r="AU133" s="49"/>
    </row>
    <row r="134" spans="1:47" ht="15" customHeight="1">
      <c r="A134" s="41" t="s">
        <v>38</v>
      </c>
      <c r="B134" s="50" t="s">
        <v>1578</v>
      </c>
      <c r="D134" s="48" t="s">
        <v>1537</v>
      </c>
      <c r="E134" s="50" t="s">
        <v>1555</v>
      </c>
      <c r="G134" s="76" t="s">
        <v>1556</v>
      </c>
      <c r="I134" s="49" t="s">
        <v>2</v>
      </c>
      <c r="K134" s="51">
        <v>40969</v>
      </c>
      <c r="L134" s="115"/>
      <c r="N134" s="50" t="s">
        <v>2</v>
      </c>
      <c r="O134" s="74">
        <f>1/2</f>
        <v>0.5</v>
      </c>
      <c r="P134" s="50">
        <v>4.8499999999999996</v>
      </c>
      <c r="R134" s="50">
        <f>5/2</f>
        <v>2.5</v>
      </c>
      <c r="V134" s="50">
        <f>0.1/2</f>
        <v>0.05</v>
      </c>
      <c r="W134" s="74">
        <v>3.5400000000000001E-2</v>
      </c>
      <c r="X134" s="50">
        <v>2.2800000000000001E-2</v>
      </c>
      <c r="Y134" s="74">
        <f>0.0075/2</f>
        <v>3.7499999999999999E-3</v>
      </c>
      <c r="Z134" s="166">
        <v>1</v>
      </c>
      <c r="AA134" s="167">
        <v>1</v>
      </c>
      <c r="AB134" s="50">
        <v>12</v>
      </c>
      <c r="AC134" s="74">
        <v>62</v>
      </c>
      <c r="AD134" s="166">
        <v>1</v>
      </c>
      <c r="AG134" s="328">
        <f>2/2</f>
        <v>1</v>
      </c>
      <c r="AI134" s="97"/>
    </row>
    <row r="135" spans="1:47" ht="15" customHeight="1">
      <c r="A135" s="41" t="s">
        <v>38</v>
      </c>
      <c r="B135" s="50" t="s">
        <v>1591</v>
      </c>
      <c r="C135" s="50" t="s">
        <v>1591</v>
      </c>
      <c r="D135" s="48" t="s">
        <v>1569</v>
      </c>
      <c r="E135" s="50" t="s">
        <v>1579</v>
      </c>
      <c r="G135" s="76" t="s">
        <v>1592</v>
      </c>
      <c r="H135" s="50">
        <v>4493</v>
      </c>
      <c r="I135" s="49" t="s">
        <v>1</v>
      </c>
      <c r="J135" s="50" t="s">
        <v>1593</v>
      </c>
      <c r="K135" s="51">
        <v>41180</v>
      </c>
      <c r="L135" s="115">
        <v>41171</v>
      </c>
      <c r="M135" s="85">
        <f>K135-L135</f>
        <v>9</v>
      </c>
      <c r="N135" s="50" t="s">
        <v>2</v>
      </c>
      <c r="AG135" s="328">
        <f>10/2</f>
        <v>5</v>
      </c>
      <c r="AI135" s="97"/>
    </row>
    <row r="136" spans="1:47" ht="15" customHeight="1">
      <c r="A136" s="41" t="s">
        <v>38</v>
      </c>
      <c r="B136" s="50" t="s">
        <v>2444</v>
      </c>
      <c r="C136" s="50" t="s">
        <v>2592</v>
      </c>
      <c r="D136" s="48" t="s">
        <v>1683</v>
      </c>
      <c r="G136" s="76" t="s">
        <v>2593</v>
      </c>
      <c r="I136" s="49" t="s">
        <v>2</v>
      </c>
      <c r="K136" s="51">
        <v>40996</v>
      </c>
      <c r="L136" s="115">
        <v>40992</v>
      </c>
      <c r="M136" s="50">
        <v>4</v>
      </c>
      <c r="N136" s="50" t="s">
        <v>2</v>
      </c>
      <c r="O136" s="74">
        <f>5/2</f>
        <v>2.5</v>
      </c>
      <c r="P136" s="50">
        <v>7.84</v>
      </c>
      <c r="Q136" s="74">
        <v>6.78</v>
      </c>
      <c r="R136" s="50">
        <v>150</v>
      </c>
      <c r="S136" s="74">
        <v>740</v>
      </c>
      <c r="T136" s="50">
        <v>0.64</v>
      </c>
      <c r="U136" s="74">
        <v>1.9</v>
      </c>
      <c r="V136" s="50">
        <v>0.74</v>
      </c>
      <c r="W136" s="74">
        <v>3.8</v>
      </c>
      <c r="X136" s="50">
        <v>5.7</v>
      </c>
      <c r="Y136" s="74">
        <v>0.19</v>
      </c>
      <c r="Z136" s="166">
        <v>6.25E-2</v>
      </c>
      <c r="AA136" s="167">
        <v>6.25E-2</v>
      </c>
      <c r="AB136" s="50">
        <v>43</v>
      </c>
      <c r="AC136" s="74">
        <v>73</v>
      </c>
      <c r="AD136" s="166">
        <v>0</v>
      </c>
      <c r="AE136" s="50">
        <v>2.1</v>
      </c>
      <c r="AF136" s="50">
        <v>2</v>
      </c>
      <c r="AI136" s="97"/>
    </row>
    <row r="137" spans="1:47" ht="15" customHeight="1">
      <c r="A137" s="41" t="s">
        <v>38</v>
      </c>
      <c r="B137" s="50" t="s">
        <v>677</v>
      </c>
      <c r="C137" s="50" t="s">
        <v>678</v>
      </c>
      <c r="D137" s="48" t="s">
        <v>434</v>
      </c>
      <c r="E137" s="50" t="s">
        <v>304</v>
      </c>
      <c r="G137" s="76" t="s">
        <v>679</v>
      </c>
      <c r="H137" s="50">
        <v>4493</v>
      </c>
      <c r="I137" s="49" t="s">
        <v>1</v>
      </c>
      <c r="J137" s="50" t="s">
        <v>641</v>
      </c>
      <c r="K137" s="51">
        <v>41220</v>
      </c>
      <c r="L137" s="115">
        <v>41212</v>
      </c>
      <c r="M137" s="85">
        <f t="shared" ref="M137:M141" si="8">K137-L137</f>
        <v>8</v>
      </c>
      <c r="N137" s="50" t="s">
        <v>1</v>
      </c>
      <c r="O137" s="74">
        <v>3.2</v>
      </c>
      <c r="P137" s="50">
        <v>5.8</v>
      </c>
      <c r="Q137" s="74">
        <v>6.83</v>
      </c>
      <c r="R137" s="50">
        <v>240</v>
      </c>
      <c r="S137" s="74">
        <v>84</v>
      </c>
      <c r="T137" s="50">
        <v>0.92</v>
      </c>
      <c r="U137" s="74">
        <v>3.4</v>
      </c>
      <c r="V137" s="50">
        <v>0.48</v>
      </c>
      <c r="W137" s="74">
        <v>4.5999999999999996</v>
      </c>
      <c r="X137" s="50">
        <v>0.85</v>
      </c>
      <c r="Y137" s="74">
        <v>2.1999999999999999E-2</v>
      </c>
      <c r="Z137" s="166">
        <v>0.21</v>
      </c>
      <c r="AA137" s="167">
        <v>0.126</v>
      </c>
      <c r="AB137" s="50">
        <v>160</v>
      </c>
      <c r="AC137" s="74">
        <v>350</v>
      </c>
      <c r="AD137" s="166">
        <v>0</v>
      </c>
      <c r="AE137" s="50">
        <v>4.8</v>
      </c>
      <c r="AF137" s="50">
        <v>0.96</v>
      </c>
      <c r="AG137" s="328">
        <v>107.1</v>
      </c>
      <c r="AI137" s="97"/>
    </row>
    <row r="138" spans="1:47" ht="15" customHeight="1">
      <c r="A138" s="41" t="s">
        <v>38</v>
      </c>
      <c r="B138" s="50" t="s">
        <v>677</v>
      </c>
      <c r="C138" s="50" t="s">
        <v>678</v>
      </c>
      <c r="D138" s="48" t="s">
        <v>434</v>
      </c>
      <c r="E138" s="50" t="s">
        <v>304</v>
      </c>
      <c r="G138" s="76" t="s">
        <v>679</v>
      </c>
      <c r="H138" s="50">
        <v>4493</v>
      </c>
      <c r="I138" s="49" t="s">
        <v>1</v>
      </c>
      <c r="J138" s="50" t="s">
        <v>643</v>
      </c>
      <c r="K138" s="51">
        <v>41220</v>
      </c>
      <c r="L138" s="115">
        <v>41212</v>
      </c>
      <c r="M138" s="85">
        <f t="shared" si="8"/>
        <v>8</v>
      </c>
      <c r="N138" s="50" t="s">
        <v>1</v>
      </c>
      <c r="O138" s="74">
        <f>2.5/2</f>
        <v>1.25</v>
      </c>
      <c r="P138" s="50">
        <v>5.8</v>
      </c>
      <c r="Q138" s="74">
        <v>6.83</v>
      </c>
      <c r="R138" s="50">
        <v>190</v>
      </c>
      <c r="S138" s="74">
        <v>59</v>
      </c>
      <c r="T138" s="50">
        <v>0.46</v>
      </c>
      <c r="U138" s="74">
        <v>1.5</v>
      </c>
      <c r="V138" s="50">
        <f>1/2</f>
        <v>0.5</v>
      </c>
      <c r="W138" s="74">
        <v>0.15</v>
      </c>
      <c r="X138" s="50">
        <v>0.16</v>
      </c>
      <c r="Y138" s="74">
        <f>0.013/2</f>
        <v>6.4999999999999997E-3</v>
      </c>
      <c r="Z138" s="166">
        <v>0.35399999999999998</v>
      </c>
      <c r="AA138" s="167">
        <v>0.34200000000000003</v>
      </c>
      <c r="AB138" s="50">
        <v>1900</v>
      </c>
      <c r="AC138" s="74">
        <v>11080</v>
      </c>
      <c r="AD138" s="166">
        <v>0</v>
      </c>
      <c r="AE138" s="50">
        <v>3.9</v>
      </c>
      <c r="AF138" s="50">
        <v>0.18</v>
      </c>
      <c r="AG138" s="328">
        <v>51.2</v>
      </c>
      <c r="AI138" s="97"/>
    </row>
    <row r="139" spans="1:47" ht="15" customHeight="1">
      <c r="A139" s="41" t="s">
        <v>38</v>
      </c>
      <c r="B139" s="50" t="s">
        <v>677</v>
      </c>
      <c r="C139" s="50" t="s">
        <v>678</v>
      </c>
      <c r="D139" s="48" t="s">
        <v>434</v>
      </c>
      <c r="E139" s="50" t="s">
        <v>304</v>
      </c>
      <c r="G139" s="76" t="s">
        <v>679</v>
      </c>
      <c r="H139" s="50">
        <v>4493</v>
      </c>
      <c r="I139" s="49" t="s">
        <v>1</v>
      </c>
      <c r="J139" s="50" t="s">
        <v>641</v>
      </c>
      <c r="K139" s="51">
        <v>41037</v>
      </c>
      <c r="L139" s="115">
        <v>41033</v>
      </c>
      <c r="M139" s="85">
        <f t="shared" si="8"/>
        <v>4</v>
      </c>
      <c r="N139" s="50" t="s">
        <v>2</v>
      </c>
      <c r="O139" s="74">
        <v>8.1999999999999993</v>
      </c>
      <c r="P139" s="50">
        <v>6.4</v>
      </c>
      <c r="Q139" s="74">
        <v>6.7</v>
      </c>
      <c r="R139" s="50">
        <v>130</v>
      </c>
      <c r="S139" s="74">
        <v>68</v>
      </c>
      <c r="T139" s="50">
        <v>0.13</v>
      </c>
      <c r="U139" s="74">
        <v>1</v>
      </c>
      <c r="V139" s="50">
        <f>0.1/2</f>
        <v>0.05</v>
      </c>
      <c r="W139" s="74">
        <v>0.22</v>
      </c>
      <c r="X139" s="50">
        <v>0.19</v>
      </c>
      <c r="Y139" s="74">
        <v>0.03</v>
      </c>
      <c r="AE139" s="50">
        <v>1.9</v>
      </c>
      <c r="AF139" s="50">
        <v>0.83</v>
      </c>
      <c r="AI139" s="97"/>
    </row>
    <row r="140" spans="1:47" ht="15" customHeight="1">
      <c r="A140" s="41" t="s">
        <v>38</v>
      </c>
      <c r="B140" s="50" t="s">
        <v>677</v>
      </c>
      <c r="C140" s="50" t="s">
        <v>678</v>
      </c>
      <c r="D140" s="48" t="s">
        <v>434</v>
      </c>
      <c r="E140" s="50" t="s">
        <v>304</v>
      </c>
      <c r="G140" s="76" t="s">
        <v>679</v>
      </c>
      <c r="H140" s="50">
        <v>4493</v>
      </c>
      <c r="I140" s="49" t="s">
        <v>1</v>
      </c>
      <c r="J140" s="50" t="s">
        <v>643</v>
      </c>
      <c r="K140" s="51">
        <v>41037</v>
      </c>
      <c r="L140" s="115">
        <v>41033</v>
      </c>
      <c r="M140" s="85">
        <f t="shared" si="8"/>
        <v>4</v>
      </c>
      <c r="N140" s="50" t="s">
        <v>2</v>
      </c>
      <c r="O140" s="74">
        <v>6.9</v>
      </c>
      <c r="P140" s="50">
        <v>6.4</v>
      </c>
      <c r="Q140" s="74">
        <v>6.45</v>
      </c>
      <c r="R140" s="50">
        <v>170</v>
      </c>
      <c r="S140" s="74">
        <v>380</v>
      </c>
      <c r="T140" s="50">
        <v>0.33</v>
      </c>
      <c r="U140" s="74">
        <f>1/2</f>
        <v>0.5</v>
      </c>
      <c r="V140" s="50">
        <f>0.1/2</f>
        <v>0.05</v>
      </c>
      <c r="W140" s="74">
        <v>0.17</v>
      </c>
      <c r="X140" s="50">
        <v>0.12</v>
      </c>
      <c r="Y140" s="74">
        <v>2.5999999999999999E-2</v>
      </c>
      <c r="AE140" s="50">
        <v>2.4</v>
      </c>
      <c r="AF140" s="50">
        <v>0.68</v>
      </c>
      <c r="AI140" s="97"/>
    </row>
    <row r="141" spans="1:47" ht="15" customHeight="1">
      <c r="A141" s="41" t="s">
        <v>38</v>
      </c>
      <c r="B141" s="50" t="s">
        <v>2636</v>
      </c>
      <c r="C141" s="50" t="s">
        <v>2636</v>
      </c>
      <c r="D141" s="48" t="s">
        <v>1569</v>
      </c>
      <c r="E141" s="50" t="s">
        <v>1579</v>
      </c>
      <c r="G141" s="76" t="s">
        <v>2637</v>
      </c>
      <c r="I141" s="49" t="s">
        <v>1</v>
      </c>
      <c r="J141" s="50" t="s">
        <v>194</v>
      </c>
      <c r="K141" s="51">
        <v>41201</v>
      </c>
      <c r="L141" s="115">
        <v>41192</v>
      </c>
      <c r="M141" s="85">
        <f t="shared" si="8"/>
        <v>9</v>
      </c>
      <c r="N141" s="50" t="s">
        <v>2</v>
      </c>
      <c r="O141" s="74">
        <f>5/2</f>
        <v>2.5</v>
      </c>
      <c r="P141" s="50">
        <v>6.5</v>
      </c>
      <c r="Q141" s="74">
        <v>6.65</v>
      </c>
      <c r="R141" s="50">
        <v>96.3</v>
      </c>
      <c r="S141" s="74">
        <v>7</v>
      </c>
      <c r="T141" s="50">
        <v>0.26</v>
      </c>
      <c r="U141" s="74">
        <v>1.04</v>
      </c>
      <c r="V141" s="50">
        <f>1.1/2</f>
        <v>0.55000000000000004</v>
      </c>
      <c r="W141" s="74">
        <v>0.86799999999999999</v>
      </c>
      <c r="X141" s="50">
        <v>0.76100000000000001</v>
      </c>
      <c r="Y141" s="74">
        <f>0.076/2</f>
        <v>3.7999999999999999E-2</v>
      </c>
      <c r="Z141" s="166">
        <v>6.25E-2</v>
      </c>
      <c r="AA141" s="167">
        <v>6.25E-2</v>
      </c>
      <c r="AB141" s="50">
        <v>35.5</v>
      </c>
      <c r="AC141" s="74">
        <v>270</v>
      </c>
      <c r="AG141" s="328">
        <v>84</v>
      </c>
      <c r="AI141" s="97"/>
    </row>
    <row r="142" spans="1:47" ht="15" customHeight="1">
      <c r="A142" s="41" t="s">
        <v>38</v>
      </c>
      <c r="B142" s="50" t="s">
        <v>2636</v>
      </c>
      <c r="C142" s="50" t="s">
        <v>2636</v>
      </c>
      <c r="D142" s="48" t="s">
        <v>1569</v>
      </c>
      <c r="E142" s="50" t="s">
        <v>1579</v>
      </c>
      <c r="G142" s="76" t="s">
        <v>2637</v>
      </c>
      <c r="I142" s="49" t="s">
        <v>1</v>
      </c>
      <c r="J142" s="50" t="s">
        <v>194</v>
      </c>
      <c r="K142" s="51">
        <v>40996</v>
      </c>
      <c r="L142" s="115"/>
      <c r="N142" s="50" t="s">
        <v>2</v>
      </c>
      <c r="O142" s="74">
        <f>5/2</f>
        <v>2.5</v>
      </c>
      <c r="P142" s="50">
        <v>6.26</v>
      </c>
      <c r="Q142" s="74">
        <v>6.5</v>
      </c>
      <c r="R142" s="50">
        <v>25.6</v>
      </c>
      <c r="S142" s="74">
        <v>6</v>
      </c>
      <c r="T142" s="50">
        <v>0.21</v>
      </c>
      <c r="U142" s="74">
        <v>4.8</v>
      </c>
      <c r="V142" s="50">
        <v>0.37</v>
      </c>
      <c r="W142" s="74">
        <v>1.0389999999999999</v>
      </c>
      <c r="X142" s="50">
        <v>0.34</v>
      </c>
      <c r="Y142" s="74">
        <v>5.0000000000000001E-3</v>
      </c>
      <c r="Z142" s="166">
        <v>6.25E-2</v>
      </c>
      <c r="AA142" s="167">
        <v>6.25E-2</v>
      </c>
      <c r="AB142" s="50">
        <v>7.07</v>
      </c>
      <c r="AC142" s="74">
        <v>29</v>
      </c>
      <c r="AD142" s="166">
        <v>0</v>
      </c>
      <c r="AI142" s="97"/>
    </row>
    <row r="143" spans="1:47" ht="14">
      <c r="A143" s="41" t="s">
        <v>38</v>
      </c>
      <c r="B143" s="50" t="s">
        <v>1767</v>
      </c>
      <c r="C143" s="50" t="s">
        <v>1768</v>
      </c>
      <c r="D143" s="48" t="s">
        <v>1565</v>
      </c>
      <c r="E143" s="50" t="s">
        <v>2642</v>
      </c>
      <c r="F143" s="50" t="s">
        <v>2641</v>
      </c>
      <c r="G143" s="76" t="s">
        <v>1769</v>
      </c>
      <c r="H143" s="50">
        <v>4493</v>
      </c>
      <c r="I143" s="49" t="s">
        <v>2474</v>
      </c>
      <c r="J143" s="50" t="s">
        <v>81</v>
      </c>
      <c r="K143" s="51">
        <v>41156</v>
      </c>
      <c r="L143" s="115">
        <v>41149</v>
      </c>
      <c r="M143" s="85">
        <f t="shared" ref="M143:M145" si="9">K143-L143</f>
        <v>7</v>
      </c>
      <c r="N143" s="50" t="s">
        <v>2</v>
      </c>
      <c r="O143" s="74">
        <f>1.4/2</f>
        <v>0.7</v>
      </c>
      <c r="P143" s="50">
        <v>4.8</v>
      </c>
      <c r="Q143" s="74">
        <v>6.8</v>
      </c>
      <c r="R143" s="50">
        <v>10</v>
      </c>
      <c r="S143" s="74">
        <v>1326</v>
      </c>
      <c r="T143" s="50">
        <v>0.04</v>
      </c>
      <c r="U143" s="74">
        <v>2.0699999999999998</v>
      </c>
      <c r="V143" s="50">
        <v>1.07</v>
      </c>
      <c r="W143" s="74">
        <v>1.66</v>
      </c>
      <c r="X143" s="50">
        <v>0.745</v>
      </c>
      <c r="Y143" s="74">
        <v>1.0999999999999999E-2</v>
      </c>
      <c r="Z143" s="166">
        <v>1</v>
      </c>
      <c r="AA143" s="167">
        <v>0.39300000000000002</v>
      </c>
      <c r="AB143" s="50">
        <v>8</v>
      </c>
      <c r="AC143" s="74">
        <v>46</v>
      </c>
      <c r="AD143" s="166">
        <v>0.4</v>
      </c>
      <c r="AE143" s="50">
        <v>2.39</v>
      </c>
      <c r="AF143" s="50">
        <v>2.2999999999999998</v>
      </c>
      <c r="AG143" s="328">
        <f>10/2</f>
        <v>5</v>
      </c>
      <c r="AI143" s="97"/>
    </row>
    <row r="144" spans="1:47" ht="15" customHeight="1">
      <c r="A144" s="41" t="s">
        <v>38</v>
      </c>
      <c r="B144" s="50" t="s">
        <v>2617</v>
      </c>
      <c r="C144" s="50" t="s">
        <v>2638</v>
      </c>
      <c r="D144" s="48" t="s">
        <v>1569</v>
      </c>
      <c r="E144" s="50" t="s">
        <v>1601</v>
      </c>
      <c r="G144" s="76" t="s">
        <v>2639</v>
      </c>
      <c r="H144" s="50">
        <v>6512</v>
      </c>
      <c r="I144" s="49" t="s">
        <v>2</v>
      </c>
      <c r="J144" s="50" t="s">
        <v>2640</v>
      </c>
      <c r="K144" s="51">
        <v>41021</v>
      </c>
      <c r="L144" s="115">
        <v>41011</v>
      </c>
      <c r="M144" s="85">
        <f t="shared" si="9"/>
        <v>10</v>
      </c>
      <c r="N144" s="50" t="s">
        <v>2</v>
      </c>
      <c r="O144" s="74">
        <v>2.6</v>
      </c>
      <c r="P144" s="50">
        <v>6.58</v>
      </c>
      <c r="Q144" s="74">
        <v>6.18</v>
      </c>
      <c r="R144" s="50">
        <v>53</v>
      </c>
      <c r="S144" s="74">
        <v>93</v>
      </c>
      <c r="T144" s="50">
        <v>0.4</v>
      </c>
      <c r="U144" s="74">
        <v>2.31</v>
      </c>
      <c r="V144" s="50">
        <v>0.35</v>
      </c>
      <c r="W144" s="74">
        <v>9.5000000000000001E-2</v>
      </c>
      <c r="X144" s="50">
        <v>0.63100000000000001</v>
      </c>
      <c r="Y144" s="74">
        <v>2.5999999999999999E-2</v>
      </c>
      <c r="Z144" s="166">
        <v>1</v>
      </c>
      <c r="AA144" s="167">
        <v>0.68300000000000005</v>
      </c>
      <c r="AB144" s="50">
        <v>6</v>
      </c>
      <c r="AC144" s="74">
        <v>46</v>
      </c>
      <c r="AD144" s="166">
        <v>0</v>
      </c>
      <c r="AE144" s="50">
        <v>7.26</v>
      </c>
      <c r="AF144" s="50">
        <v>2.42</v>
      </c>
      <c r="AI144" s="97"/>
    </row>
    <row r="145" spans="1:47" ht="15" customHeight="1">
      <c r="A145" s="41" t="s">
        <v>38</v>
      </c>
      <c r="B145" s="50" t="s">
        <v>2617</v>
      </c>
      <c r="C145" s="50" t="s">
        <v>2638</v>
      </c>
      <c r="D145" s="48" t="s">
        <v>1569</v>
      </c>
      <c r="E145" s="50" t="s">
        <v>1601</v>
      </c>
      <c r="G145" s="76" t="s">
        <v>2639</v>
      </c>
      <c r="H145" s="50">
        <v>6512</v>
      </c>
      <c r="I145" s="49" t="s">
        <v>2</v>
      </c>
      <c r="J145" s="50" t="s">
        <v>2640</v>
      </c>
      <c r="K145" s="51">
        <v>41170</v>
      </c>
      <c r="L145" s="115">
        <v>41157</v>
      </c>
      <c r="M145" s="85">
        <f t="shared" si="9"/>
        <v>13</v>
      </c>
      <c r="N145" s="50" t="s">
        <v>2</v>
      </c>
      <c r="O145" s="74">
        <f>1.5/2</f>
        <v>0.75</v>
      </c>
      <c r="P145" s="50">
        <v>6.78</v>
      </c>
      <c r="Q145" s="74">
        <v>6.45</v>
      </c>
      <c r="R145" s="50">
        <v>36</v>
      </c>
      <c r="S145" s="74">
        <v>77</v>
      </c>
      <c r="T145" s="50">
        <v>0.42</v>
      </c>
      <c r="U145" s="74">
        <v>3.5</v>
      </c>
      <c r="V145" s="50">
        <v>0.75</v>
      </c>
      <c r="W145" s="74">
        <v>4.2999999999999997E-2</v>
      </c>
      <c r="X145" s="50">
        <v>0.44700000000000001</v>
      </c>
      <c r="Y145" s="74">
        <v>2.1000000000000001E-2</v>
      </c>
      <c r="AE145" s="50">
        <v>2</v>
      </c>
      <c r="AF145" s="50">
        <v>1.28</v>
      </c>
      <c r="AI145" s="97"/>
    </row>
    <row r="146" spans="1:47" ht="15" customHeight="1">
      <c r="A146" s="41" t="s">
        <v>38</v>
      </c>
      <c r="B146" s="50" t="s">
        <v>1770</v>
      </c>
      <c r="C146" s="50" t="s">
        <v>1208</v>
      </c>
      <c r="D146" s="48" t="s">
        <v>559</v>
      </c>
      <c r="G146" s="76" t="s">
        <v>1209</v>
      </c>
      <c r="H146" s="50">
        <v>4492</v>
      </c>
      <c r="I146" s="49" t="s">
        <v>2</v>
      </c>
      <c r="K146" s="51">
        <v>41345</v>
      </c>
      <c r="L146" s="115"/>
      <c r="N146" s="50" t="s">
        <v>2</v>
      </c>
      <c r="O146" s="74">
        <f>1.4/2</f>
        <v>0.7</v>
      </c>
      <c r="P146" s="50">
        <v>5.4</v>
      </c>
      <c r="Q146" s="74">
        <v>7.06</v>
      </c>
      <c r="R146" s="50">
        <v>12</v>
      </c>
      <c r="S146" s="74">
        <v>56</v>
      </c>
      <c r="T146" s="50">
        <f>0.01/2</f>
        <v>5.0000000000000001E-3</v>
      </c>
      <c r="U146" s="74">
        <v>3.06</v>
      </c>
      <c r="V146" s="50">
        <v>0.15</v>
      </c>
      <c r="W146" s="74">
        <v>0.04</v>
      </c>
      <c r="X146" s="50">
        <v>5.6000000000000001E-2</v>
      </c>
      <c r="Y146" s="74">
        <f>0.007</f>
        <v>7.0000000000000001E-3</v>
      </c>
      <c r="Z146" s="166">
        <v>1</v>
      </c>
      <c r="AA146" s="167">
        <v>1</v>
      </c>
      <c r="AB146" s="50">
        <v>500</v>
      </c>
      <c r="AC146" s="74">
        <v>4490</v>
      </c>
      <c r="AD146" s="166">
        <v>0.95</v>
      </c>
      <c r="AE146" s="50">
        <v>2.5</v>
      </c>
      <c r="AF146" s="50">
        <v>1.34</v>
      </c>
      <c r="AI146" s="96"/>
    </row>
    <row r="147" spans="1:47" ht="15" customHeight="1">
      <c r="A147" s="41" t="s">
        <v>38</v>
      </c>
      <c r="B147" s="50" t="s">
        <v>3136</v>
      </c>
      <c r="C147" s="50" t="s">
        <v>2445</v>
      </c>
      <c r="D147" s="48" t="s">
        <v>567</v>
      </c>
      <c r="E147" s="50" t="s">
        <v>2383</v>
      </c>
      <c r="G147" s="76" t="s">
        <v>2446</v>
      </c>
      <c r="H147" s="50">
        <v>4493</v>
      </c>
      <c r="I147" s="49" t="s">
        <v>1</v>
      </c>
      <c r="J147" s="50" t="s">
        <v>115</v>
      </c>
      <c r="K147" s="51">
        <v>41324</v>
      </c>
      <c r="L147" s="115"/>
      <c r="N147" s="50" t="s">
        <v>2</v>
      </c>
      <c r="O147" s="74">
        <f>5/2</f>
        <v>2.5</v>
      </c>
      <c r="P147" s="50">
        <v>7.34</v>
      </c>
      <c r="Q147" s="74">
        <v>7.23</v>
      </c>
      <c r="R147" s="50">
        <v>130</v>
      </c>
      <c r="S147" s="74">
        <v>78</v>
      </c>
      <c r="T147" s="50">
        <v>1.6</v>
      </c>
      <c r="U147" s="74">
        <v>4.0999999999999996</v>
      </c>
      <c r="V147" s="50">
        <v>0.35</v>
      </c>
      <c r="W147" s="74">
        <v>0.14000000000000001</v>
      </c>
      <c r="X147" s="50">
        <v>0.27</v>
      </c>
      <c r="Y147" s="74">
        <f>0.013/2</f>
        <v>6.4999999999999997E-3</v>
      </c>
      <c r="Z147" s="166">
        <v>1</v>
      </c>
      <c r="AA147" s="167">
        <v>1</v>
      </c>
      <c r="AB147" s="50">
        <v>520</v>
      </c>
      <c r="AC147" s="74">
        <v>3390</v>
      </c>
      <c r="AE147" s="50">
        <v>6.9</v>
      </c>
      <c r="AF147" s="50">
        <v>1</v>
      </c>
      <c r="AG147" s="328">
        <v>1</v>
      </c>
      <c r="AI147" s="97"/>
      <c r="AJ147" s="74"/>
    </row>
    <row r="148" spans="1:47" s="1" customFormat="1" ht="15" customHeight="1">
      <c r="A148" s="75" t="s">
        <v>38</v>
      </c>
      <c r="B148" s="50" t="s">
        <v>3137</v>
      </c>
      <c r="C148" s="50" t="s">
        <v>3138</v>
      </c>
      <c r="D148" s="48" t="s">
        <v>1896</v>
      </c>
      <c r="E148" s="50" t="s">
        <v>3139</v>
      </c>
      <c r="F148" s="50" t="s">
        <v>2667</v>
      </c>
      <c r="G148" s="76" t="s">
        <v>3140</v>
      </c>
      <c r="H148" s="50">
        <v>4493</v>
      </c>
      <c r="I148" s="49" t="s">
        <v>1</v>
      </c>
      <c r="J148" s="50" t="s">
        <v>510</v>
      </c>
      <c r="K148" s="51">
        <v>41044</v>
      </c>
      <c r="L148" s="115">
        <v>41039</v>
      </c>
      <c r="M148" s="85">
        <f t="shared" ref="M148:M153" si="10">K148-L148</f>
        <v>5</v>
      </c>
      <c r="N148" s="50" t="s">
        <v>2</v>
      </c>
      <c r="O148" s="49">
        <f>5/2</f>
        <v>2.5</v>
      </c>
      <c r="P148" s="50">
        <v>5.29</v>
      </c>
      <c r="Q148" s="49">
        <v>7.93</v>
      </c>
      <c r="R148" s="50">
        <v>29.2</v>
      </c>
      <c r="S148" s="49">
        <v>47</v>
      </c>
      <c r="T148" s="50">
        <v>0.16</v>
      </c>
      <c r="U148" s="49">
        <f>0.5/2</f>
        <v>0.25</v>
      </c>
      <c r="V148" s="50">
        <v>0.56000000000000005</v>
      </c>
      <c r="W148" s="49">
        <v>5.5E-2</v>
      </c>
      <c r="X148" s="50">
        <v>0.12</v>
      </c>
      <c r="Y148" s="49">
        <v>0.01</v>
      </c>
      <c r="Z148" s="166">
        <v>1</v>
      </c>
      <c r="AA148" s="244">
        <v>0.72199999999999998</v>
      </c>
      <c r="AB148" s="50">
        <v>25.9</v>
      </c>
      <c r="AC148" s="49">
        <v>39</v>
      </c>
      <c r="AD148" s="166">
        <v>0.1</v>
      </c>
      <c r="AE148" s="50">
        <v>1.54</v>
      </c>
      <c r="AF148" s="50">
        <v>0.72</v>
      </c>
      <c r="AG148" s="330">
        <v>56.5</v>
      </c>
      <c r="AH148" s="114"/>
      <c r="AI148" s="97"/>
      <c r="AJ148" s="49"/>
      <c r="AK148" s="49"/>
      <c r="AL148" s="49"/>
      <c r="AM148" s="49"/>
      <c r="AN148" s="49"/>
      <c r="AO148" s="49"/>
      <c r="AP148" s="49"/>
      <c r="AQ148" s="49"/>
      <c r="AR148" s="49"/>
      <c r="AS148" s="49"/>
      <c r="AT148" s="49"/>
      <c r="AU148" s="49"/>
    </row>
    <row r="149" spans="1:47" ht="15" customHeight="1">
      <c r="A149" s="41" t="s">
        <v>38</v>
      </c>
      <c r="B149" s="50" t="s">
        <v>1586</v>
      </c>
      <c r="C149" s="50" t="s">
        <v>1587</v>
      </c>
      <c r="D149" s="48" t="s">
        <v>406</v>
      </c>
      <c r="E149" s="50" t="s">
        <v>1588</v>
      </c>
      <c r="G149" s="76" t="s">
        <v>1589</v>
      </c>
      <c r="H149" s="50">
        <v>5551</v>
      </c>
      <c r="I149" s="49" t="s">
        <v>1</v>
      </c>
      <c r="J149" s="50" t="s">
        <v>1590</v>
      </c>
      <c r="K149" s="51">
        <v>41345</v>
      </c>
      <c r="L149" s="115">
        <v>41332</v>
      </c>
      <c r="M149" s="85">
        <f t="shared" si="10"/>
        <v>13</v>
      </c>
      <c r="N149" s="50" t="s">
        <v>2</v>
      </c>
      <c r="O149" s="74">
        <v>5.49</v>
      </c>
      <c r="P149" s="50">
        <v>5.6</v>
      </c>
      <c r="Q149" s="74">
        <v>6.9</v>
      </c>
      <c r="R149" s="50">
        <v>87.7</v>
      </c>
      <c r="S149" s="74">
        <v>256</v>
      </c>
      <c r="T149" s="50">
        <v>0.34</v>
      </c>
      <c r="U149" s="74">
        <v>0.89</v>
      </c>
      <c r="V149" s="50">
        <v>0.77</v>
      </c>
      <c r="W149" s="74">
        <v>9.76</v>
      </c>
      <c r="X149" s="50">
        <v>0.49</v>
      </c>
      <c r="Y149" s="74">
        <v>4.2000000000000003E-2</v>
      </c>
      <c r="Z149" s="166">
        <v>6.25E-2</v>
      </c>
      <c r="AA149" s="167">
        <v>6.25E-2</v>
      </c>
      <c r="AB149" s="50">
        <v>24.4</v>
      </c>
      <c r="AC149" s="74">
        <v>58</v>
      </c>
      <c r="AD149" s="166">
        <v>0</v>
      </c>
      <c r="AE149" s="50">
        <v>1.71</v>
      </c>
      <c r="AF149" s="50">
        <v>1.46</v>
      </c>
      <c r="AG149" s="328">
        <v>8</v>
      </c>
      <c r="AI149" s="97"/>
      <c r="AJ149" s="74"/>
    </row>
    <row r="150" spans="1:47" ht="15" customHeight="1">
      <c r="A150" s="41" t="s">
        <v>38</v>
      </c>
      <c r="B150" s="50" t="s">
        <v>1599</v>
      </c>
      <c r="C150" s="50" t="s">
        <v>1600</v>
      </c>
      <c r="D150" s="48" t="s">
        <v>1569</v>
      </c>
      <c r="E150" s="50" t="s">
        <v>1601</v>
      </c>
      <c r="G150" s="76" t="s">
        <v>1602</v>
      </c>
      <c r="H150" s="50">
        <v>4493</v>
      </c>
      <c r="I150" s="49" t="s">
        <v>2</v>
      </c>
      <c r="J150" s="50" t="s">
        <v>1603</v>
      </c>
      <c r="K150" s="51">
        <v>41345</v>
      </c>
      <c r="L150" s="115">
        <v>41341</v>
      </c>
      <c r="M150" s="85">
        <f t="shared" si="10"/>
        <v>4</v>
      </c>
      <c r="N150" s="50" t="s">
        <v>2</v>
      </c>
      <c r="O150" s="74">
        <f>1.4/2</f>
        <v>0.7</v>
      </c>
      <c r="Q150" s="74">
        <v>4.4400000000000004</v>
      </c>
      <c r="R150" s="50">
        <v>21</v>
      </c>
      <c r="S150" s="74">
        <v>6</v>
      </c>
      <c r="T150" s="50">
        <v>0.22</v>
      </c>
      <c r="U150" s="74">
        <v>1.06</v>
      </c>
      <c r="V150" s="50">
        <v>0.41</v>
      </c>
      <c r="W150" s="74">
        <v>0.27200000000000002</v>
      </c>
      <c r="X150" s="50">
        <v>0.161</v>
      </c>
      <c r="Y150" s="74">
        <v>1.6E-2</v>
      </c>
      <c r="Z150" s="166">
        <v>6.25E-2</v>
      </c>
      <c r="AA150" s="167">
        <v>6.25E-2</v>
      </c>
      <c r="AB150" s="50">
        <v>54</v>
      </c>
      <c r="AC150" s="74">
        <v>196</v>
      </c>
      <c r="AD150" s="166">
        <f>0/20</f>
        <v>0</v>
      </c>
      <c r="AE150" s="50">
        <v>0.497</v>
      </c>
      <c r="AF150" s="50">
        <v>0.32200000000000001</v>
      </c>
      <c r="AI150" s="97"/>
    </row>
    <row r="151" spans="1:47" ht="15" customHeight="1">
      <c r="A151" s="41" t="s">
        <v>38</v>
      </c>
      <c r="B151" s="50" t="s">
        <v>1604</v>
      </c>
      <c r="C151" s="50" t="s">
        <v>1604</v>
      </c>
      <c r="D151" s="48" t="s">
        <v>1569</v>
      </c>
      <c r="E151" s="50" t="s">
        <v>1605</v>
      </c>
      <c r="G151" s="76" t="s">
        <v>1606</v>
      </c>
      <c r="H151" s="50">
        <v>4493</v>
      </c>
      <c r="I151" s="49" t="s">
        <v>2</v>
      </c>
      <c r="J151" s="50" t="s">
        <v>1607</v>
      </c>
      <c r="K151" s="51">
        <v>41345</v>
      </c>
      <c r="L151" s="115">
        <v>41341</v>
      </c>
      <c r="M151" s="85">
        <f t="shared" si="10"/>
        <v>4</v>
      </c>
      <c r="N151" s="50" t="s">
        <v>2</v>
      </c>
      <c r="O151" s="74">
        <v>2</v>
      </c>
      <c r="Q151" s="74">
        <v>6.64</v>
      </c>
      <c r="R151" s="50">
        <v>54</v>
      </c>
      <c r="S151" s="74">
        <v>100</v>
      </c>
      <c r="T151" s="50">
        <v>0.24</v>
      </c>
      <c r="U151" s="74">
        <v>0.95</v>
      </c>
      <c r="V151" s="50">
        <v>1.57</v>
      </c>
      <c r="W151" s="74">
        <v>1.89</v>
      </c>
      <c r="X151" s="50">
        <v>0.84599999999999997</v>
      </c>
      <c r="Y151" s="74">
        <v>2.5000000000000001E-2</v>
      </c>
      <c r="Z151" s="166">
        <v>6.25E-2</v>
      </c>
      <c r="AA151" s="167">
        <v>6.25E-2</v>
      </c>
      <c r="AB151" s="50">
        <v>20</v>
      </c>
      <c r="AC151" s="74">
        <v>184</v>
      </c>
      <c r="AD151" s="166">
        <f>0/20</f>
        <v>0</v>
      </c>
      <c r="AE151" s="50">
        <v>7.88</v>
      </c>
      <c r="AF151" s="50">
        <v>5.04</v>
      </c>
      <c r="AI151" s="97"/>
    </row>
    <row r="152" spans="1:47" ht="15" customHeight="1">
      <c r="A152" s="41" t="s">
        <v>38</v>
      </c>
      <c r="B152" s="50" t="s">
        <v>1731</v>
      </c>
      <c r="C152" s="50" t="s">
        <v>1731</v>
      </c>
      <c r="D152" s="48" t="s">
        <v>1569</v>
      </c>
      <c r="E152" s="50" t="s">
        <v>1605</v>
      </c>
      <c r="G152" s="76" t="s">
        <v>1732</v>
      </c>
      <c r="H152" s="50">
        <v>4493</v>
      </c>
      <c r="I152" s="49" t="s">
        <v>1</v>
      </c>
      <c r="J152" s="50" t="s">
        <v>1733</v>
      </c>
      <c r="K152" s="51">
        <v>41345</v>
      </c>
      <c r="L152" s="115">
        <v>41341</v>
      </c>
      <c r="M152" s="85">
        <f t="shared" si="10"/>
        <v>4</v>
      </c>
      <c r="N152" s="50" t="s">
        <v>2</v>
      </c>
      <c r="O152" s="74">
        <v>4.0999999999999996</v>
      </c>
      <c r="Q152" s="74">
        <v>3.56</v>
      </c>
      <c r="R152" s="50">
        <v>87</v>
      </c>
      <c r="S152" s="74">
        <v>170</v>
      </c>
      <c r="T152" s="50">
        <v>0.44</v>
      </c>
      <c r="U152" s="74">
        <v>1.86</v>
      </c>
      <c r="V152" s="50">
        <v>0.8</v>
      </c>
      <c r="W152" s="74">
        <v>2.95</v>
      </c>
      <c r="X152" s="50">
        <v>0.82199999999999995</v>
      </c>
      <c r="Y152" s="74">
        <v>9.5000000000000001E-2</v>
      </c>
      <c r="Z152" s="166">
        <v>6.25E-2</v>
      </c>
      <c r="AA152" s="167">
        <v>6.25E-2</v>
      </c>
      <c r="AB152" s="50">
        <v>28</v>
      </c>
      <c r="AC152" s="74">
        <v>88</v>
      </c>
      <c r="AD152" s="166">
        <f>0/20</f>
        <v>0</v>
      </c>
      <c r="AE152" s="50">
        <v>8.07</v>
      </c>
      <c r="AF152" s="50">
        <v>6.75</v>
      </c>
      <c r="AI152" s="97"/>
    </row>
    <row r="153" spans="1:47" ht="15" customHeight="1">
      <c r="A153" s="41" t="s">
        <v>38</v>
      </c>
      <c r="B153" s="50" t="s">
        <v>1591</v>
      </c>
      <c r="C153" s="50" t="s">
        <v>1591</v>
      </c>
      <c r="D153" s="48" t="s">
        <v>1569</v>
      </c>
      <c r="E153" s="50" t="s">
        <v>1579</v>
      </c>
      <c r="G153" s="76" t="s">
        <v>1592</v>
      </c>
      <c r="H153" s="50">
        <v>4493</v>
      </c>
      <c r="I153" s="49" t="s">
        <v>1</v>
      </c>
      <c r="J153" s="50" t="s">
        <v>1593</v>
      </c>
      <c r="K153" s="51">
        <v>41345</v>
      </c>
      <c r="L153" s="115">
        <v>41342</v>
      </c>
      <c r="M153" s="85">
        <f t="shared" si="10"/>
        <v>3</v>
      </c>
      <c r="N153" s="50" t="s">
        <v>2</v>
      </c>
      <c r="O153" s="74">
        <v>1.5</v>
      </c>
      <c r="Q153" s="74">
        <v>7.02</v>
      </c>
      <c r="R153" s="50">
        <v>109</v>
      </c>
      <c r="S153" s="74">
        <v>36</v>
      </c>
      <c r="T153" s="50">
        <v>1.34</v>
      </c>
      <c r="U153" s="74">
        <v>1.87</v>
      </c>
      <c r="V153" s="50">
        <v>0.16</v>
      </c>
      <c r="W153" s="74">
        <v>3.08</v>
      </c>
      <c r="X153" s="50">
        <v>0.33500000000000002</v>
      </c>
      <c r="Y153" s="74">
        <v>0.11</v>
      </c>
      <c r="Z153" s="166">
        <v>6.25E-2</v>
      </c>
      <c r="AA153" s="167">
        <v>6.25E-2</v>
      </c>
      <c r="AB153" s="50">
        <v>48</v>
      </c>
      <c r="AC153" s="74">
        <v>251</v>
      </c>
      <c r="AD153" s="166">
        <f>0/20</f>
        <v>0</v>
      </c>
      <c r="AE153" s="50">
        <v>2.56</v>
      </c>
      <c r="AF153" s="50">
        <v>0.90100000000000002</v>
      </c>
      <c r="AI153" s="97"/>
    </row>
    <row r="154" spans="1:47" ht="15" customHeight="1">
      <c r="A154" s="41" t="s">
        <v>38</v>
      </c>
      <c r="B154" s="50" t="s">
        <v>385</v>
      </c>
      <c r="D154" s="48" t="s">
        <v>98</v>
      </c>
      <c r="E154" s="50" t="s">
        <v>44</v>
      </c>
      <c r="F154" s="50" t="s">
        <v>3872</v>
      </c>
      <c r="G154" s="76" t="s">
        <v>384</v>
      </c>
      <c r="H154" s="50">
        <v>4493</v>
      </c>
      <c r="I154" s="49" t="s">
        <v>1</v>
      </c>
      <c r="J154" s="50" t="s">
        <v>81</v>
      </c>
      <c r="K154" s="51">
        <v>41376</v>
      </c>
      <c r="L154" s="115"/>
      <c r="M154" s="379" t="s">
        <v>3873</v>
      </c>
      <c r="N154" s="50" t="s">
        <v>2</v>
      </c>
      <c r="O154" s="74">
        <v>11.8</v>
      </c>
      <c r="P154" s="50">
        <v>6.4</v>
      </c>
      <c r="Q154" s="74">
        <v>5.9</v>
      </c>
      <c r="R154" s="50">
        <v>188</v>
      </c>
      <c r="S154" s="74">
        <v>336</v>
      </c>
      <c r="T154" s="50">
        <v>0.38</v>
      </c>
      <c r="U154" s="74">
        <v>2.4900000000000002</v>
      </c>
      <c r="V154" s="50">
        <v>0.61</v>
      </c>
      <c r="W154" s="74">
        <v>4.5999999999999999E-2</v>
      </c>
      <c r="X154" s="50">
        <v>0.112</v>
      </c>
      <c r="Y154" s="74">
        <f>0.03/2</f>
        <v>1.4999999999999999E-2</v>
      </c>
      <c r="AE154" s="50">
        <v>8.52</v>
      </c>
      <c r="AF154" s="50">
        <v>6.67</v>
      </c>
      <c r="AI154" s="97"/>
    </row>
    <row r="155" spans="1:47" ht="15" customHeight="1">
      <c r="A155" s="41" t="s">
        <v>38</v>
      </c>
      <c r="B155" s="50" t="s">
        <v>563</v>
      </c>
      <c r="D155" s="48" t="s">
        <v>564</v>
      </c>
      <c r="E155" s="50" t="s">
        <v>3874</v>
      </c>
      <c r="F155" s="50" t="s">
        <v>3875</v>
      </c>
      <c r="G155" s="76" t="s">
        <v>565</v>
      </c>
      <c r="H155" s="50">
        <v>4493</v>
      </c>
      <c r="I155" s="49" t="s">
        <v>1</v>
      </c>
      <c r="J155" s="50" t="s">
        <v>81</v>
      </c>
      <c r="K155" s="51">
        <v>41376</v>
      </c>
      <c r="L155" s="115"/>
      <c r="M155" s="50" t="s">
        <v>3873</v>
      </c>
      <c r="N155" s="50" t="s">
        <v>2</v>
      </c>
      <c r="O155" s="74">
        <v>2.2999999999999998</v>
      </c>
      <c r="P155" s="50">
        <v>6.5</v>
      </c>
      <c r="Q155" s="74">
        <v>6.2</v>
      </c>
      <c r="R155" s="50">
        <v>28</v>
      </c>
      <c r="S155" s="74">
        <v>50</v>
      </c>
      <c r="T155" s="50">
        <v>0.33</v>
      </c>
      <c r="U155" s="74">
        <v>0.68</v>
      </c>
      <c r="V155" s="50">
        <v>0.16</v>
      </c>
      <c r="W155" s="74">
        <v>0.55700000000000005</v>
      </c>
      <c r="X155" s="50">
        <v>0.16500000000000001</v>
      </c>
      <c r="Y155" s="74">
        <f>0.03/2</f>
        <v>1.4999999999999999E-2</v>
      </c>
      <c r="AE155" s="50">
        <v>4.2</v>
      </c>
      <c r="AF155" s="50">
        <v>3.14</v>
      </c>
      <c r="AI155" s="97"/>
    </row>
    <row r="156" spans="1:47" ht="15" customHeight="1">
      <c r="A156" s="41" t="s">
        <v>38</v>
      </c>
      <c r="B156" s="50" t="s">
        <v>1578</v>
      </c>
      <c r="C156" s="50" t="s">
        <v>1578</v>
      </c>
      <c r="D156" s="48" t="s">
        <v>1537</v>
      </c>
      <c r="E156" s="50" t="s">
        <v>1555</v>
      </c>
      <c r="G156" s="76" t="s">
        <v>1556</v>
      </c>
      <c r="I156" s="49" t="s">
        <v>2</v>
      </c>
      <c r="J156" s="50" t="s">
        <v>1558</v>
      </c>
      <c r="K156" s="51">
        <v>41402</v>
      </c>
      <c r="L156" s="115"/>
      <c r="N156" s="50" t="s">
        <v>2</v>
      </c>
      <c r="O156" s="74">
        <v>3.4</v>
      </c>
      <c r="P156" s="50">
        <v>6.84</v>
      </c>
      <c r="Q156" s="74">
        <v>6.99</v>
      </c>
      <c r="R156" s="50">
        <v>32.799999999999997</v>
      </c>
      <c r="S156" s="74">
        <v>24</v>
      </c>
      <c r="T156" s="50">
        <v>8.2500000000000004E-2</v>
      </c>
      <c r="U156" s="74">
        <f>0.2/2</f>
        <v>0.1</v>
      </c>
      <c r="V156" s="50">
        <f>0.1/2</f>
        <v>0.05</v>
      </c>
      <c r="W156" s="74">
        <v>0.3</v>
      </c>
      <c r="X156" s="50">
        <v>0.11600000000000001</v>
      </c>
      <c r="Y156" s="74">
        <v>8.2000000000000007E-3</v>
      </c>
      <c r="Z156" s="166">
        <v>0.436</v>
      </c>
      <c r="AA156" s="167">
        <v>0.27700000000000002</v>
      </c>
      <c r="AB156" s="50">
        <v>22</v>
      </c>
      <c r="AC156" s="74">
        <v>330</v>
      </c>
      <c r="AD156" s="166">
        <f t="shared" ref="AD156:AD161" si="11">0/20</f>
        <v>0</v>
      </c>
      <c r="AE156" s="50">
        <v>0.75800000000000001</v>
      </c>
      <c r="AF156" s="50">
        <v>0.34799999999999998</v>
      </c>
      <c r="AI156" s="97"/>
    </row>
    <row r="157" spans="1:47" ht="15" customHeight="1">
      <c r="A157" s="41" t="s">
        <v>38</v>
      </c>
      <c r="B157" s="50" t="s">
        <v>2386</v>
      </c>
      <c r="D157" s="48" t="s">
        <v>406</v>
      </c>
      <c r="E157" s="50" t="s">
        <v>1584</v>
      </c>
      <c r="G157" s="76" t="s">
        <v>2387</v>
      </c>
      <c r="H157" s="50">
        <v>4493</v>
      </c>
      <c r="I157" s="49" t="s">
        <v>2</v>
      </c>
      <c r="J157" s="50" t="s">
        <v>3876</v>
      </c>
      <c r="K157" s="51">
        <v>41358</v>
      </c>
      <c r="L157" s="115">
        <v>41351</v>
      </c>
      <c r="M157" s="85">
        <f t="shared" ref="M157:M158" si="12">K157-L157</f>
        <v>7</v>
      </c>
      <c r="N157" s="50" t="s">
        <v>2</v>
      </c>
      <c r="O157" s="74">
        <v>8.4</v>
      </c>
      <c r="P157" s="50">
        <v>6.9</v>
      </c>
      <c r="Q157" s="74">
        <v>8.6</v>
      </c>
      <c r="R157" s="50">
        <v>184</v>
      </c>
      <c r="S157" s="74">
        <v>143</v>
      </c>
      <c r="T157" s="50">
        <v>0.43</v>
      </c>
      <c r="U157" s="74">
        <v>7.34</v>
      </c>
      <c r="V157" s="50">
        <v>1.95</v>
      </c>
      <c r="W157" s="74">
        <v>1.0900000000000001</v>
      </c>
      <c r="X157" s="50">
        <v>0.59699999999999998</v>
      </c>
      <c r="Y157" s="74">
        <v>0.14099999999999999</v>
      </c>
      <c r="Z157" s="166">
        <v>1</v>
      </c>
      <c r="AA157" s="167">
        <v>0.122</v>
      </c>
      <c r="AB157" s="50">
        <v>105</v>
      </c>
      <c r="AC157" s="74">
        <v>988</v>
      </c>
      <c r="AD157" s="166">
        <f t="shared" si="11"/>
        <v>0</v>
      </c>
      <c r="AE157" s="50">
        <v>6.01</v>
      </c>
      <c r="AF157" s="50">
        <v>5.25</v>
      </c>
      <c r="AI157" s="97"/>
    </row>
    <row r="158" spans="1:47" ht="15" customHeight="1">
      <c r="A158" s="41" t="s">
        <v>38</v>
      </c>
      <c r="B158" s="50" t="s">
        <v>3877</v>
      </c>
      <c r="C158" s="50" t="s">
        <v>1583</v>
      </c>
      <c r="D158" s="48" t="s">
        <v>1569</v>
      </c>
      <c r="E158" s="50" t="s">
        <v>1584</v>
      </c>
      <c r="G158" s="76" t="s">
        <v>1585</v>
      </c>
      <c r="I158" s="49" t="s">
        <v>3878</v>
      </c>
      <c r="J158" s="50" t="s">
        <v>75</v>
      </c>
      <c r="K158" s="51">
        <v>41403</v>
      </c>
      <c r="L158" s="115">
        <v>41384</v>
      </c>
      <c r="M158" s="85">
        <f t="shared" si="12"/>
        <v>19</v>
      </c>
      <c r="N158" s="50" t="s">
        <v>2</v>
      </c>
      <c r="O158" s="74">
        <v>5.6</v>
      </c>
      <c r="P158" s="50">
        <v>6.66</v>
      </c>
      <c r="Q158" s="74">
        <v>7.32</v>
      </c>
      <c r="R158" s="50">
        <v>58</v>
      </c>
      <c r="S158" s="74">
        <v>87</v>
      </c>
      <c r="T158" s="50">
        <v>0.11</v>
      </c>
      <c r="U158" s="74">
        <v>0.56000000000000005</v>
      </c>
      <c r="V158" s="50">
        <v>1.28</v>
      </c>
      <c r="W158" s="74">
        <v>0.52</v>
      </c>
      <c r="X158" s="50">
        <v>0.11</v>
      </c>
      <c r="Y158" s="74">
        <v>7.5999999999999998E-2</v>
      </c>
      <c r="Z158" s="166">
        <v>8.8400000000000006E-2</v>
      </c>
      <c r="AA158" s="167">
        <v>6.25E-2</v>
      </c>
      <c r="AB158" s="50">
        <v>13.4</v>
      </c>
      <c r="AC158" s="74">
        <v>46</v>
      </c>
      <c r="AD158" s="166">
        <f t="shared" si="11"/>
        <v>0</v>
      </c>
      <c r="AE158" s="50">
        <v>4.26</v>
      </c>
      <c r="AF158" s="50">
        <v>2.52</v>
      </c>
      <c r="AI158" s="97"/>
    </row>
    <row r="159" spans="1:47" ht="15" customHeight="1">
      <c r="A159" s="41" t="s">
        <v>38</v>
      </c>
      <c r="B159" s="50" t="s">
        <v>3879</v>
      </c>
      <c r="D159" s="48" t="s">
        <v>98</v>
      </c>
      <c r="E159" s="50" t="s">
        <v>44</v>
      </c>
      <c r="G159" s="76" t="s">
        <v>3880</v>
      </c>
      <c r="H159" s="50">
        <v>4493</v>
      </c>
      <c r="J159" s="50" t="s">
        <v>75</v>
      </c>
      <c r="K159" s="51">
        <v>41261</v>
      </c>
      <c r="L159" s="115"/>
      <c r="N159" s="50" t="s">
        <v>2</v>
      </c>
      <c r="O159" s="74">
        <f>2/2</f>
        <v>1</v>
      </c>
      <c r="Q159" s="74">
        <v>7.1</v>
      </c>
      <c r="R159" s="50">
        <v>28</v>
      </c>
      <c r="S159" s="74">
        <v>118</v>
      </c>
      <c r="T159" s="50">
        <v>0.34</v>
      </c>
      <c r="U159" s="74">
        <v>1.85</v>
      </c>
      <c r="V159" s="50">
        <v>0.37</v>
      </c>
      <c r="W159" s="74">
        <v>1.61</v>
      </c>
      <c r="X159" s="50">
        <v>0.6</v>
      </c>
      <c r="Y159" s="74">
        <f>0.03/2</f>
        <v>1.4999999999999999E-2</v>
      </c>
      <c r="Z159" s="166">
        <v>6.25E-2</v>
      </c>
      <c r="AA159" s="167">
        <v>6.25E-2</v>
      </c>
      <c r="AB159" s="50">
        <v>16</v>
      </c>
      <c r="AC159" s="74">
        <v>40</v>
      </c>
      <c r="AD159" s="166">
        <f t="shared" si="11"/>
        <v>0</v>
      </c>
      <c r="AE159" s="50">
        <v>3.23</v>
      </c>
      <c r="AF159" s="50">
        <v>1.85</v>
      </c>
      <c r="AI159" s="97"/>
    </row>
    <row r="160" spans="1:47" ht="15" customHeight="1">
      <c r="A160" s="41" t="s">
        <v>38</v>
      </c>
      <c r="B160" s="50" t="s">
        <v>1578</v>
      </c>
      <c r="C160" s="50" t="s">
        <v>1578</v>
      </c>
      <c r="D160" s="48" t="s">
        <v>1569</v>
      </c>
      <c r="G160" s="76" t="s">
        <v>1580</v>
      </c>
      <c r="K160" s="51">
        <v>41403</v>
      </c>
      <c r="L160" s="115"/>
      <c r="N160" s="50" t="s">
        <v>2</v>
      </c>
      <c r="O160" s="74">
        <f>1/2</f>
        <v>0.5</v>
      </c>
      <c r="Q160" s="74">
        <v>6.28</v>
      </c>
      <c r="R160" s="50">
        <v>83.2</v>
      </c>
      <c r="S160" s="74">
        <v>71</v>
      </c>
      <c r="T160" s="50">
        <v>0.27</v>
      </c>
      <c r="U160" s="74">
        <v>3.98</v>
      </c>
      <c r="V160" s="50">
        <v>0.92</v>
      </c>
      <c r="W160" s="74">
        <v>3.0339999999999998</v>
      </c>
      <c r="X160" s="50">
        <v>1.387</v>
      </c>
      <c r="Y160" s="74">
        <v>5.7000000000000002E-2</v>
      </c>
      <c r="Z160" s="166">
        <v>6.25E-2</v>
      </c>
      <c r="AA160" s="167">
        <v>6.25E-2</v>
      </c>
      <c r="AB160" s="50">
        <v>27.76</v>
      </c>
      <c r="AC160" s="74">
        <v>113</v>
      </c>
      <c r="AD160" s="166">
        <f t="shared" si="11"/>
        <v>0</v>
      </c>
      <c r="AE160" s="50">
        <v>0.5</v>
      </c>
      <c r="AF160" s="50">
        <v>0.43</v>
      </c>
      <c r="AI160" s="97"/>
    </row>
    <row r="161" spans="1:35" ht="15" customHeight="1">
      <c r="A161" s="41" t="s">
        <v>38</v>
      </c>
      <c r="B161" s="50" t="s">
        <v>2457</v>
      </c>
      <c r="D161" s="48" t="s">
        <v>78</v>
      </c>
      <c r="E161" s="50" t="s">
        <v>79</v>
      </c>
      <c r="G161" s="76" t="s">
        <v>2458</v>
      </c>
      <c r="H161" s="50">
        <v>4493</v>
      </c>
      <c r="J161" s="50" t="s">
        <v>74</v>
      </c>
      <c r="K161" s="51">
        <v>41345</v>
      </c>
      <c r="L161" s="115">
        <v>41341</v>
      </c>
      <c r="M161" s="85">
        <f t="shared" ref="M161:M164" si="13">K161-L161</f>
        <v>4</v>
      </c>
      <c r="N161" s="50" t="s">
        <v>2</v>
      </c>
      <c r="O161" s="74">
        <f>2/2</f>
        <v>1</v>
      </c>
      <c r="P161" s="50">
        <v>7.1</v>
      </c>
      <c r="Q161" s="74">
        <v>7.1</v>
      </c>
      <c r="R161" s="50">
        <v>6</v>
      </c>
      <c r="S161" s="74">
        <v>16</v>
      </c>
      <c r="T161" s="50">
        <f>0.05/2</f>
        <v>2.5000000000000001E-2</v>
      </c>
      <c r="U161" s="74">
        <v>0.28000000000000003</v>
      </c>
      <c r="V161" s="50">
        <v>0.13</v>
      </c>
      <c r="W161" s="74">
        <v>0.1</v>
      </c>
      <c r="X161" s="50">
        <v>5.1999999999999998E-2</v>
      </c>
      <c r="Y161" s="74">
        <f>0.03/2</f>
        <v>1.4999999999999999E-2</v>
      </c>
      <c r="Z161" s="166">
        <v>0.28699999999999998</v>
      </c>
      <c r="AA161" s="167">
        <v>0.19500000000000001</v>
      </c>
      <c r="AB161" s="50">
        <v>7</v>
      </c>
      <c r="AC161" s="74">
        <v>57</v>
      </c>
      <c r="AD161" s="166">
        <f t="shared" si="11"/>
        <v>0</v>
      </c>
      <c r="AE161" s="50">
        <v>1.0900000000000001</v>
      </c>
      <c r="AF161" s="50">
        <v>0.59</v>
      </c>
      <c r="AI161" s="97"/>
    </row>
    <row r="162" spans="1:35" ht="15" customHeight="1">
      <c r="A162" s="41" t="s">
        <v>38</v>
      </c>
      <c r="B162" s="50" t="s">
        <v>3881</v>
      </c>
      <c r="C162" s="50" t="s">
        <v>3881</v>
      </c>
      <c r="D162" s="48" t="s">
        <v>588</v>
      </c>
      <c r="F162" s="50" t="s">
        <v>3882</v>
      </c>
      <c r="G162" s="76" t="s">
        <v>3883</v>
      </c>
      <c r="H162" s="50">
        <v>4493</v>
      </c>
      <c r="I162" s="49" t="s">
        <v>1</v>
      </c>
      <c r="J162" s="50" t="s">
        <v>3884</v>
      </c>
      <c r="K162" s="51">
        <v>41402</v>
      </c>
      <c r="L162" s="115">
        <v>41385</v>
      </c>
      <c r="M162" s="85">
        <f t="shared" si="13"/>
        <v>17</v>
      </c>
      <c r="N162" s="50" t="s">
        <v>2</v>
      </c>
      <c r="O162" s="74">
        <v>4.8</v>
      </c>
      <c r="P162" s="50">
        <v>5.72</v>
      </c>
      <c r="Q162" s="74">
        <v>7.62</v>
      </c>
      <c r="R162" s="50">
        <v>54.8</v>
      </c>
      <c r="S162" s="74">
        <v>599</v>
      </c>
      <c r="T162" s="50">
        <v>0.64</v>
      </c>
      <c r="U162" s="74">
        <v>1.32</v>
      </c>
      <c r="V162" s="50">
        <v>7.8</v>
      </c>
      <c r="W162" s="74">
        <v>1.75</v>
      </c>
      <c r="X162" s="50">
        <v>0.56999999999999995</v>
      </c>
      <c r="Y162" s="74">
        <v>0.08</v>
      </c>
      <c r="AE162" s="50">
        <v>27</v>
      </c>
      <c r="AF162" s="50">
        <v>20.100000000000001</v>
      </c>
      <c r="AI162" s="97"/>
    </row>
    <row r="163" spans="1:35" ht="15" customHeight="1">
      <c r="A163" s="41" t="s">
        <v>38</v>
      </c>
      <c r="B163" s="50" t="s">
        <v>1548</v>
      </c>
      <c r="C163" s="50" t="s">
        <v>3885</v>
      </c>
      <c r="D163" s="48" t="s">
        <v>1550</v>
      </c>
      <c r="E163" s="50" t="s">
        <v>1546</v>
      </c>
      <c r="G163" s="76" t="s">
        <v>1551</v>
      </c>
      <c r="H163" s="50">
        <v>4493</v>
      </c>
      <c r="I163" s="49" t="s">
        <v>2</v>
      </c>
      <c r="J163" s="72" t="s">
        <v>1552</v>
      </c>
      <c r="K163" s="51">
        <v>41403</v>
      </c>
      <c r="L163" s="115">
        <v>41376</v>
      </c>
      <c r="M163" s="85">
        <f t="shared" si="13"/>
        <v>27</v>
      </c>
      <c r="N163" s="50" t="s">
        <v>2</v>
      </c>
      <c r="O163" s="74">
        <f>1.4/2</f>
        <v>0.7</v>
      </c>
      <c r="P163" s="50">
        <v>5.72</v>
      </c>
      <c r="Q163" s="74">
        <v>7.9</v>
      </c>
      <c r="R163" s="50">
        <v>140</v>
      </c>
      <c r="S163" s="74">
        <v>267</v>
      </c>
      <c r="T163" s="50">
        <v>1.04</v>
      </c>
      <c r="U163" s="74">
        <v>3.74</v>
      </c>
      <c r="V163" s="50">
        <v>1.2</v>
      </c>
      <c r="W163" s="74">
        <v>2.62</v>
      </c>
      <c r="X163" s="50">
        <v>0.61599999999999999</v>
      </c>
      <c r="Y163" s="74">
        <v>7.0999999999999994E-2</v>
      </c>
      <c r="Z163" s="166">
        <v>1</v>
      </c>
      <c r="AA163" s="167">
        <v>0.125</v>
      </c>
      <c r="AB163" s="50">
        <v>49</v>
      </c>
      <c r="AC163" s="74">
        <v>80</v>
      </c>
      <c r="AD163" s="166">
        <f>0/20</f>
        <v>0</v>
      </c>
      <c r="AE163" s="50">
        <v>74.5</v>
      </c>
      <c r="AF163" s="50">
        <v>35.700000000000003</v>
      </c>
      <c r="AI163" s="97"/>
    </row>
    <row r="164" spans="1:35" ht="15" customHeight="1">
      <c r="A164" s="41" t="s">
        <v>38</v>
      </c>
      <c r="B164" s="50" t="s">
        <v>2451</v>
      </c>
      <c r="C164" s="50" t="s">
        <v>2451</v>
      </c>
      <c r="D164" s="48" t="s">
        <v>1541</v>
      </c>
      <c r="E164" s="50" t="s">
        <v>1546</v>
      </c>
      <c r="G164" s="76" t="s">
        <v>2452</v>
      </c>
      <c r="I164" s="49" t="s">
        <v>2</v>
      </c>
      <c r="J164" s="50" t="s">
        <v>2453</v>
      </c>
      <c r="K164" s="51">
        <v>41376</v>
      </c>
      <c r="L164" s="115">
        <v>41366</v>
      </c>
      <c r="M164" s="85">
        <f t="shared" si="13"/>
        <v>10</v>
      </c>
      <c r="N164" s="50" t="s">
        <v>2</v>
      </c>
      <c r="O164" s="74">
        <f>1.4/2</f>
        <v>0.7</v>
      </c>
      <c r="P164" s="50">
        <v>4.78</v>
      </c>
      <c r="Q164" s="74">
        <v>6.51</v>
      </c>
      <c r="R164" s="50">
        <v>4</v>
      </c>
      <c r="S164" s="74">
        <v>10</v>
      </c>
      <c r="T164" s="50">
        <v>0.01</v>
      </c>
      <c r="U164" s="74">
        <v>1.04</v>
      </c>
      <c r="V164" s="50">
        <v>0.96</v>
      </c>
      <c r="W164" s="74">
        <v>0.106</v>
      </c>
      <c r="X164" s="50">
        <v>6.7000000000000004E-2</v>
      </c>
      <c r="Y164" s="74">
        <f>0.02/2</f>
        <v>0.01</v>
      </c>
      <c r="Z164" s="166">
        <v>8.8400000000000006E-2</v>
      </c>
      <c r="AA164" s="167">
        <v>8.8400000000000006E-2</v>
      </c>
      <c r="AB164" s="50">
        <v>6</v>
      </c>
      <c r="AC164" s="74">
        <v>30</v>
      </c>
      <c r="AD164" s="166">
        <f>0/20</f>
        <v>0</v>
      </c>
      <c r="AE164" s="50">
        <v>0.59</v>
      </c>
      <c r="AF164" s="50">
        <v>0.6</v>
      </c>
      <c r="AI164" s="97"/>
    </row>
    <row r="165" spans="1:35" ht="15" customHeight="1">
      <c r="A165" s="41" t="s">
        <v>38</v>
      </c>
      <c r="B165" s="50" t="s">
        <v>1559</v>
      </c>
      <c r="C165" s="50" t="s">
        <v>1559</v>
      </c>
      <c r="D165" s="48" t="s">
        <v>303</v>
      </c>
      <c r="E165" s="50" t="s">
        <v>1560</v>
      </c>
      <c r="G165" s="76" t="s">
        <v>1561</v>
      </c>
      <c r="H165" s="50">
        <v>4493</v>
      </c>
      <c r="I165" s="49" t="s">
        <v>1</v>
      </c>
      <c r="J165" s="50" t="s">
        <v>3886</v>
      </c>
      <c r="K165" s="51">
        <v>41374</v>
      </c>
      <c r="L165" s="115">
        <v>41364</v>
      </c>
      <c r="M165" s="50">
        <f>K165-L165</f>
        <v>10</v>
      </c>
      <c r="N165" s="50" t="s">
        <v>2</v>
      </c>
      <c r="O165" s="74">
        <v>3.3</v>
      </c>
      <c r="Q165" s="74">
        <v>6.89</v>
      </c>
      <c r="R165" s="50">
        <v>484</v>
      </c>
      <c r="S165" s="74">
        <v>78</v>
      </c>
      <c r="T165" s="50">
        <v>0.69</v>
      </c>
      <c r="U165" s="74">
        <v>5.0999999999999996</v>
      </c>
      <c r="V165" s="50">
        <v>1.45</v>
      </c>
      <c r="W165" s="74">
        <v>2.13</v>
      </c>
      <c r="X165" s="50">
        <v>0.30299999999999999</v>
      </c>
      <c r="Y165" s="74">
        <v>1.7999999999999999E-2</v>
      </c>
      <c r="Z165" s="166">
        <v>6.25E-2</v>
      </c>
      <c r="AA165" s="167">
        <v>6.25E-2</v>
      </c>
      <c r="AB165" s="50">
        <v>64</v>
      </c>
      <c r="AC165" s="74">
        <v>524</v>
      </c>
      <c r="AD165" s="166">
        <f>0/20</f>
        <v>0</v>
      </c>
      <c r="AE165" s="50">
        <v>6.34</v>
      </c>
      <c r="AF165" s="50">
        <v>3.91</v>
      </c>
      <c r="AI165" s="97"/>
    </row>
    <row r="166" spans="1:35" ht="15" customHeight="1">
      <c r="A166" s="41" t="s">
        <v>38</v>
      </c>
      <c r="B166" s="50" t="s">
        <v>1750</v>
      </c>
      <c r="C166" s="50" t="s">
        <v>1559</v>
      </c>
      <c r="D166" s="48" t="s">
        <v>98</v>
      </c>
      <c r="E166" s="50" t="s">
        <v>1546</v>
      </c>
      <c r="G166" s="76" t="s">
        <v>1751</v>
      </c>
      <c r="H166" s="50">
        <v>4493</v>
      </c>
      <c r="I166" s="49" t="s">
        <v>1</v>
      </c>
      <c r="J166" s="50" t="s">
        <v>1771</v>
      </c>
      <c r="K166" s="51">
        <v>41345</v>
      </c>
      <c r="L166" s="115">
        <v>41342</v>
      </c>
      <c r="M166" s="85">
        <f t="shared" ref="M166:M167" si="14">K166-L166</f>
        <v>3</v>
      </c>
      <c r="N166" s="50" t="s">
        <v>2</v>
      </c>
      <c r="O166" s="74">
        <v>7.3</v>
      </c>
      <c r="Q166" s="74">
        <v>7.77</v>
      </c>
      <c r="R166" s="50">
        <v>109</v>
      </c>
      <c r="S166" s="74">
        <v>300</v>
      </c>
      <c r="T166" s="50">
        <v>0.43</v>
      </c>
      <c r="U166" s="74">
        <v>1.31</v>
      </c>
      <c r="V166" s="50">
        <v>0.43</v>
      </c>
      <c r="W166" s="74">
        <v>2.48</v>
      </c>
      <c r="X166" s="50">
        <v>0.496</v>
      </c>
      <c r="Y166" s="74">
        <v>2.5999999999999999E-2</v>
      </c>
      <c r="Z166" s="166">
        <v>6.25E-2</v>
      </c>
      <c r="AA166" s="167">
        <v>6.25E-2</v>
      </c>
      <c r="AB166" s="50">
        <v>34</v>
      </c>
      <c r="AC166" s="74">
        <v>161</v>
      </c>
      <c r="AD166" s="166">
        <f>0/20</f>
        <v>0</v>
      </c>
      <c r="AE166" s="50">
        <v>22.4</v>
      </c>
      <c r="AF166" s="50">
        <v>11.4</v>
      </c>
      <c r="AI166" s="97">
        <f>10/2</f>
        <v>5</v>
      </c>
    </row>
    <row r="167" spans="1:35" ht="15" customHeight="1">
      <c r="A167" s="41" t="s">
        <v>38</v>
      </c>
      <c r="B167" s="50" t="s">
        <v>1747</v>
      </c>
      <c r="C167" s="50" t="s">
        <v>1905</v>
      </c>
      <c r="D167" s="48" t="s">
        <v>1748</v>
      </c>
      <c r="E167" s="50" t="s">
        <v>304</v>
      </c>
      <c r="G167" s="76" t="s">
        <v>1749</v>
      </c>
      <c r="H167" s="50">
        <v>4493</v>
      </c>
      <c r="I167" s="49" t="s">
        <v>1</v>
      </c>
      <c r="J167" s="50" t="s">
        <v>114</v>
      </c>
      <c r="K167" s="51">
        <v>41402</v>
      </c>
      <c r="L167" s="115">
        <v>41398</v>
      </c>
      <c r="M167" s="85">
        <f t="shared" si="14"/>
        <v>4</v>
      </c>
      <c r="N167" s="50" t="s">
        <v>2</v>
      </c>
      <c r="O167" s="74">
        <v>3.3</v>
      </c>
      <c r="Q167" s="74">
        <v>4.9000000000000004</v>
      </c>
      <c r="R167" s="50">
        <v>357</v>
      </c>
      <c r="S167" s="74">
        <v>50</v>
      </c>
      <c r="T167" s="50">
        <v>0.5</v>
      </c>
      <c r="U167" s="74">
        <v>6.45</v>
      </c>
      <c r="V167" s="50">
        <v>1.53</v>
      </c>
      <c r="W167" s="74">
        <v>0.20399999999999999</v>
      </c>
      <c r="X167" s="50">
        <v>0.184</v>
      </c>
      <c r="Y167" s="74">
        <f>0.03/2</f>
        <v>1.4999999999999999E-2</v>
      </c>
      <c r="Z167" s="166">
        <v>1</v>
      </c>
      <c r="AA167" s="167">
        <v>1</v>
      </c>
      <c r="AB167" s="50">
        <v>47</v>
      </c>
      <c r="AC167" s="74">
        <v>160</v>
      </c>
      <c r="AD167" s="166">
        <f>20/20</f>
        <v>1</v>
      </c>
      <c r="AE167" s="50">
        <v>1.39</v>
      </c>
      <c r="AF167" s="50">
        <v>1.1499999999999999</v>
      </c>
      <c r="AI167" s="97">
        <v>900</v>
      </c>
    </row>
    <row r="168" spans="1:35" ht="15" customHeight="1">
      <c r="A168" s="41" t="s">
        <v>38</v>
      </c>
      <c r="B168" s="50" t="s">
        <v>2428</v>
      </c>
      <c r="C168" s="50" t="s">
        <v>2428</v>
      </c>
      <c r="G168" s="76" t="s">
        <v>2429</v>
      </c>
      <c r="J168" s="50" t="s">
        <v>3887</v>
      </c>
      <c r="K168" s="51">
        <v>41345</v>
      </c>
      <c r="L168" s="115"/>
      <c r="N168" s="50" t="s">
        <v>2</v>
      </c>
      <c r="O168" s="74">
        <v>2.7</v>
      </c>
      <c r="P168" s="50">
        <v>6.79</v>
      </c>
      <c r="Q168" s="74">
        <v>7.38</v>
      </c>
      <c r="R168" s="50">
        <v>18</v>
      </c>
      <c r="S168" s="74">
        <v>137</v>
      </c>
      <c r="T168" s="50">
        <v>0.48</v>
      </c>
      <c r="U168" s="74">
        <v>1.96</v>
      </c>
      <c r="V168" s="50">
        <v>0.23</v>
      </c>
      <c r="W168" s="74">
        <v>0.21</v>
      </c>
      <c r="X168" s="50">
        <v>0.27</v>
      </c>
      <c r="Y168" s="74">
        <f t="shared" ref="Y168:Y173" si="15">0.05/2</f>
        <v>2.5000000000000001E-2</v>
      </c>
      <c r="Z168" s="166">
        <v>1</v>
      </c>
      <c r="AA168" s="167">
        <v>1</v>
      </c>
      <c r="AB168" s="50">
        <v>160</v>
      </c>
      <c r="AC168" s="74">
        <v>88</v>
      </c>
      <c r="AD168" s="166">
        <f>20/20</f>
        <v>1</v>
      </c>
      <c r="AE168" s="50">
        <v>8.9</v>
      </c>
      <c r="AF168" s="50">
        <v>6.08</v>
      </c>
      <c r="AG168" s="328">
        <v>56</v>
      </c>
      <c r="AI168" s="97"/>
    </row>
    <row r="169" spans="1:35" ht="15" customHeight="1">
      <c r="A169" s="41" t="s">
        <v>38</v>
      </c>
      <c r="B169" s="50" t="s">
        <v>570</v>
      </c>
      <c r="C169" s="50" t="s">
        <v>3888</v>
      </c>
      <c r="D169" s="48" t="s">
        <v>567</v>
      </c>
      <c r="E169" s="50" t="s">
        <v>1901</v>
      </c>
      <c r="F169" s="50" t="s">
        <v>3889</v>
      </c>
      <c r="G169" s="76" t="s">
        <v>571</v>
      </c>
      <c r="H169" s="50">
        <v>7997</v>
      </c>
      <c r="J169" s="50" t="s">
        <v>5192</v>
      </c>
      <c r="K169" s="51">
        <v>41324</v>
      </c>
      <c r="L169" s="115"/>
      <c r="N169" s="50" t="s">
        <v>2</v>
      </c>
      <c r="O169" s="74">
        <f>1/2</f>
        <v>0.5</v>
      </c>
      <c r="P169" s="50">
        <v>4.8499999999999996</v>
      </c>
      <c r="Q169" s="74">
        <v>7.55</v>
      </c>
      <c r="R169" s="50">
        <v>15</v>
      </c>
      <c r="S169" s="74">
        <v>13</v>
      </c>
      <c r="T169" s="50">
        <v>0.25</v>
      </c>
      <c r="U169" s="74">
        <v>0.84</v>
      </c>
      <c r="V169" s="50">
        <v>0.38</v>
      </c>
      <c r="W169" s="74">
        <v>0.15</v>
      </c>
      <c r="X169" s="50">
        <v>0.15</v>
      </c>
      <c r="Y169" s="74">
        <f t="shared" si="15"/>
        <v>2.5000000000000001E-2</v>
      </c>
      <c r="Z169" s="166">
        <v>0.46700000000000003</v>
      </c>
      <c r="AA169" s="167">
        <v>0.27700000000000002</v>
      </c>
      <c r="AB169" s="50">
        <v>20</v>
      </c>
      <c r="AC169" s="74">
        <v>109</v>
      </c>
      <c r="AD169" s="166">
        <f>0/20</f>
        <v>0</v>
      </c>
      <c r="AE169" s="50">
        <v>1</v>
      </c>
      <c r="AF169" s="50">
        <v>1.3</v>
      </c>
      <c r="AG169" s="328">
        <v>2</v>
      </c>
      <c r="AI169" s="97"/>
    </row>
    <row r="170" spans="1:35" ht="15" customHeight="1">
      <c r="A170" s="41" t="s">
        <v>38</v>
      </c>
      <c r="B170" s="50" t="s">
        <v>570</v>
      </c>
      <c r="C170" s="50" t="s">
        <v>3890</v>
      </c>
      <c r="D170" s="48" t="s">
        <v>567</v>
      </c>
      <c r="E170" s="50" t="s">
        <v>1901</v>
      </c>
      <c r="F170" s="50" t="s">
        <v>3891</v>
      </c>
      <c r="G170" s="76" t="s">
        <v>571</v>
      </c>
      <c r="H170" s="50">
        <v>7997</v>
      </c>
      <c r="J170" s="50" t="s">
        <v>5193</v>
      </c>
      <c r="K170" s="51">
        <v>41324</v>
      </c>
      <c r="L170" s="115"/>
      <c r="N170" s="50" t="s">
        <v>2</v>
      </c>
      <c r="O170" s="74">
        <v>2.4</v>
      </c>
      <c r="P170" s="50">
        <v>4.8499999999999996</v>
      </c>
      <c r="Q170" s="74">
        <v>7.79</v>
      </c>
      <c r="R170" s="50">
        <v>121</v>
      </c>
      <c r="S170" s="74">
        <v>120</v>
      </c>
      <c r="T170" s="50">
        <v>0.55000000000000004</v>
      </c>
      <c r="U170" s="74">
        <v>8.48</v>
      </c>
      <c r="V170" s="50">
        <v>0.5</v>
      </c>
      <c r="W170" s="74">
        <v>0.08</v>
      </c>
      <c r="X170" s="50">
        <v>0.22</v>
      </c>
      <c r="Y170" s="74">
        <f t="shared" si="15"/>
        <v>2.5000000000000001E-2</v>
      </c>
      <c r="Z170" s="166">
        <v>1</v>
      </c>
      <c r="AA170" s="167">
        <v>1</v>
      </c>
      <c r="AB170" s="50">
        <v>32</v>
      </c>
      <c r="AC170" s="74">
        <v>784</v>
      </c>
      <c r="AD170" s="166">
        <f>20/20</f>
        <v>1</v>
      </c>
      <c r="AE170" s="50">
        <v>6.5</v>
      </c>
      <c r="AF170" s="50">
        <v>5.25</v>
      </c>
      <c r="AG170" s="328">
        <v>3210</v>
      </c>
      <c r="AI170" s="97"/>
    </row>
    <row r="171" spans="1:35" ht="15" customHeight="1">
      <c r="A171" s="41" t="s">
        <v>38</v>
      </c>
      <c r="B171" s="50" t="s">
        <v>572</v>
      </c>
      <c r="C171" s="50" t="s">
        <v>3892</v>
      </c>
      <c r="D171" s="48" t="s">
        <v>567</v>
      </c>
      <c r="E171" s="50" t="s">
        <v>3893</v>
      </c>
      <c r="F171" s="50" t="s">
        <v>3894</v>
      </c>
      <c r="G171" s="76" t="s">
        <v>573</v>
      </c>
      <c r="H171" s="50">
        <v>7997</v>
      </c>
      <c r="I171" s="49" t="s">
        <v>1</v>
      </c>
      <c r="J171" s="50" t="s">
        <v>3895</v>
      </c>
      <c r="K171" s="51">
        <v>41324</v>
      </c>
      <c r="L171" s="115"/>
      <c r="N171" s="50" t="s">
        <v>2</v>
      </c>
      <c r="O171" s="74">
        <v>1.7</v>
      </c>
      <c r="P171" s="50">
        <v>5.94</v>
      </c>
      <c r="Q171" s="74">
        <v>7.22</v>
      </c>
      <c r="R171" s="50">
        <v>108</v>
      </c>
      <c r="S171" s="74">
        <v>266</v>
      </c>
      <c r="T171" s="50">
        <v>0.48</v>
      </c>
      <c r="U171" s="74">
        <v>0.56000000000000005</v>
      </c>
      <c r="V171" s="50">
        <v>0.41</v>
      </c>
      <c r="W171" s="74">
        <v>7.0000000000000007E-2</v>
      </c>
      <c r="X171" s="50">
        <v>0.31</v>
      </c>
      <c r="Y171" s="74">
        <f t="shared" si="15"/>
        <v>2.5000000000000001E-2</v>
      </c>
      <c r="Z171" s="166">
        <v>1</v>
      </c>
      <c r="AA171" s="167">
        <v>1</v>
      </c>
      <c r="AB171" s="50">
        <v>9</v>
      </c>
      <c r="AC171" s="74">
        <v>459</v>
      </c>
      <c r="AD171" s="166">
        <f>20/20</f>
        <v>1</v>
      </c>
      <c r="AE171" s="50">
        <v>6.35</v>
      </c>
      <c r="AF171" s="50">
        <v>5.5</v>
      </c>
      <c r="AG171" s="328">
        <v>2</v>
      </c>
      <c r="AI171" s="97"/>
    </row>
    <row r="172" spans="1:35" ht="15" customHeight="1">
      <c r="A172" s="41" t="s">
        <v>38</v>
      </c>
      <c r="B172" s="50" t="s">
        <v>566</v>
      </c>
      <c r="C172" s="50" t="s">
        <v>3896</v>
      </c>
      <c r="D172" s="48" t="s">
        <v>567</v>
      </c>
      <c r="G172" s="76" t="s">
        <v>568</v>
      </c>
      <c r="J172" s="50" t="s">
        <v>3897</v>
      </c>
      <c r="K172" s="51">
        <v>41324</v>
      </c>
      <c r="L172" s="115"/>
      <c r="N172" s="50" t="s">
        <v>2</v>
      </c>
      <c r="O172" s="74">
        <f>1/2</f>
        <v>0.5</v>
      </c>
      <c r="P172" s="50">
        <v>5.37</v>
      </c>
      <c r="Q172" s="74">
        <v>7.21</v>
      </c>
      <c r="R172" s="50">
        <v>88</v>
      </c>
      <c r="S172" s="74">
        <v>22</v>
      </c>
      <c r="T172" s="50">
        <v>0.16</v>
      </c>
      <c r="U172" s="74">
        <v>1.75</v>
      </c>
      <c r="V172" s="50">
        <v>0.35</v>
      </c>
      <c r="W172" s="74">
        <v>0.08</v>
      </c>
      <c r="X172" s="50">
        <v>0.15</v>
      </c>
      <c r="Y172" s="74">
        <f t="shared" si="15"/>
        <v>2.5000000000000001E-2</v>
      </c>
      <c r="Z172" s="166">
        <v>1</v>
      </c>
      <c r="AA172" s="167">
        <v>1</v>
      </c>
      <c r="AB172" s="50">
        <v>574</v>
      </c>
      <c r="AC172" s="74">
        <v>5850</v>
      </c>
      <c r="AD172" s="166">
        <f>13/20</f>
        <v>0.65</v>
      </c>
      <c r="AE172" s="50">
        <v>1</v>
      </c>
      <c r="AF172" s="50">
        <v>1.2</v>
      </c>
      <c r="AG172" s="328">
        <v>8</v>
      </c>
      <c r="AI172" s="97"/>
    </row>
    <row r="173" spans="1:35" ht="15" customHeight="1">
      <c r="A173" s="41" t="s">
        <v>38</v>
      </c>
      <c r="B173" s="50" t="s">
        <v>566</v>
      </c>
      <c r="C173" s="50" t="s">
        <v>3898</v>
      </c>
      <c r="D173" s="48" t="s">
        <v>567</v>
      </c>
      <c r="E173" s="50" t="s">
        <v>1018</v>
      </c>
      <c r="F173" s="50" t="s">
        <v>3899</v>
      </c>
      <c r="G173" s="76" t="s">
        <v>568</v>
      </c>
      <c r="H173" s="50">
        <v>7997</v>
      </c>
      <c r="I173" s="49" t="s">
        <v>1</v>
      </c>
      <c r="J173" s="50" t="s">
        <v>3900</v>
      </c>
      <c r="K173" s="51">
        <v>41324</v>
      </c>
      <c r="L173" s="115"/>
      <c r="N173" s="50" t="s">
        <v>2</v>
      </c>
      <c r="O173" s="74">
        <v>1.2</v>
      </c>
      <c r="P173" s="50">
        <v>5.37</v>
      </c>
      <c r="Q173" s="74">
        <v>6.91</v>
      </c>
      <c r="R173" s="50">
        <v>73</v>
      </c>
      <c r="S173" s="74">
        <v>57</v>
      </c>
      <c r="T173" s="50">
        <v>0.56000000000000005</v>
      </c>
      <c r="U173" s="74">
        <v>10.8</v>
      </c>
      <c r="V173" s="50">
        <v>0.73</v>
      </c>
      <c r="W173" s="74">
        <v>0.38</v>
      </c>
      <c r="X173" s="50">
        <v>0.62</v>
      </c>
      <c r="Y173" s="74">
        <f t="shared" si="15"/>
        <v>2.5000000000000001E-2</v>
      </c>
      <c r="Z173" s="166">
        <v>6.25E-2</v>
      </c>
      <c r="AA173" s="167">
        <v>6.25E-2</v>
      </c>
      <c r="AB173" s="50">
        <v>62</v>
      </c>
      <c r="AC173" s="74">
        <v>278</v>
      </c>
      <c r="AD173" s="166">
        <f>0/20</f>
        <v>0</v>
      </c>
      <c r="AE173" s="50">
        <v>1.52</v>
      </c>
      <c r="AF173" s="50">
        <v>1.44</v>
      </c>
      <c r="AG173" s="328">
        <v>0</v>
      </c>
      <c r="AI173" s="97"/>
    </row>
    <row r="174" spans="1:35" ht="15" customHeight="1">
      <c r="A174" s="41" t="s">
        <v>38</v>
      </c>
      <c r="B174" s="50" t="s">
        <v>3901</v>
      </c>
      <c r="D174" s="48" t="s">
        <v>1683</v>
      </c>
      <c r="E174" s="50" t="s">
        <v>304</v>
      </c>
      <c r="G174" s="76" t="s">
        <v>3902</v>
      </c>
      <c r="H174" s="50">
        <v>4493</v>
      </c>
      <c r="I174" s="49" t="s">
        <v>2</v>
      </c>
      <c r="K174" s="51">
        <v>41332</v>
      </c>
      <c r="L174" s="115"/>
      <c r="N174" s="50" t="s">
        <v>2</v>
      </c>
      <c r="O174" s="74">
        <f>5/2</f>
        <v>2.5</v>
      </c>
      <c r="P174" s="50">
        <v>6</v>
      </c>
      <c r="Q174" s="74">
        <v>6.31</v>
      </c>
      <c r="R174" s="50">
        <f>5/2</f>
        <v>2.5</v>
      </c>
      <c r="S174" s="74">
        <f>5/2</f>
        <v>2.5</v>
      </c>
      <c r="T174" s="50">
        <f>0.1/2</f>
        <v>0.05</v>
      </c>
      <c r="U174" s="74">
        <f>1/2</f>
        <v>0.5</v>
      </c>
      <c r="V174" s="50">
        <f>0.1/2</f>
        <v>0.05</v>
      </c>
      <c r="W174" s="74">
        <v>5.8000000000000003E-2</v>
      </c>
      <c r="X174" s="50">
        <v>3.2000000000000001E-2</v>
      </c>
      <c r="Y174" s="74">
        <f>0.013/2</f>
        <v>6.4999999999999997E-3</v>
      </c>
      <c r="Z174" s="166">
        <v>0.40600000000000003</v>
      </c>
      <c r="AA174" s="167">
        <v>0.26800000000000002</v>
      </c>
      <c r="AB174" s="50">
        <v>2.1</v>
      </c>
      <c r="AC174" s="74">
        <v>8</v>
      </c>
      <c r="AD174" s="166">
        <f>0/20</f>
        <v>0</v>
      </c>
      <c r="AI174" s="97"/>
    </row>
    <row r="175" spans="1:35" ht="15" customHeight="1">
      <c r="A175" s="41" t="s">
        <v>38</v>
      </c>
      <c r="B175" s="50" t="s">
        <v>3903</v>
      </c>
      <c r="C175" s="50" t="s">
        <v>3903</v>
      </c>
      <c r="D175" s="48" t="s">
        <v>564</v>
      </c>
      <c r="E175" s="50" t="s">
        <v>3904</v>
      </c>
      <c r="F175" s="50">
        <v>4000</v>
      </c>
      <c r="G175" s="76" t="s">
        <v>3905</v>
      </c>
      <c r="H175" s="50">
        <v>4493</v>
      </c>
      <c r="I175" s="49" t="s">
        <v>2</v>
      </c>
      <c r="J175" s="50" t="s">
        <v>81</v>
      </c>
      <c r="K175" s="51">
        <v>41240</v>
      </c>
      <c r="L175" s="115">
        <v>41237</v>
      </c>
      <c r="M175" s="85">
        <f t="shared" ref="M175:M181" si="16">K175-L175</f>
        <v>3</v>
      </c>
      <c r="N175" s="50" t="s">
        <v>2</v>
      </c>
      <c r="O175" s="74">
        <v>4.0999999999999996</v>
      </c>
      <c r="P175" s="50">
        <v>7.1</v>
      </c>
      <c r="Q175" s="74">
        <v>7</v>
      </c>
      <c r="R175" s="50">
        <v>56</v>
      </c>
      <c r="S175" s="74">
        <v>284</v>
      </c>
      <c r="T175" s="50">
        <v>0.51</v>
      </c>
      <c r="U175" s="74">
        <v>2.13</v>
      </c>
      <c r="V175" s="50">
        <v>1.08</v>
      </c>
      <c r="W175" s="74">
        <v>2.25</v>
      </c>
      <c r="X175" s="50">
        <v>0.38300000000000001</v>
      </c>
      <c r="Y175" s="74">
        <v>8.7999999999999995E-2</v>
      </c>
      <c r="Z175" s="166">
        <v>6.25E-2</v>
      </c>
      <c r="AA175" s="167">
        <v>6.25E-2</v>
      </c>
      <c r="AB175" s="50">
        <v>334</v>
      </c>
      <c r="AC175" s="74">
        <v>1750</v>
      </c>
      <c r="AD175" s="166">
        <f>0/20</f>
        <v>0</v>
      </c>
      <c r="AE175" s="50">
        <v>12</v>
      </c>
      <c r="AF175" s="50">
        <v>6.6</v>
      </c>
      <c r="AI175" s="97"/>
    </row>
    <row r="176" spans="1:35" ht="15" customHeight="1">
      <c r="A176" s="41" t="s">
        <v>38</v>
      </c>
      <c r="B176" s="50" t="s">
        <v>3903</v>
      </c>
      <c r="C176" s="50" t="s">
        <v>3903</v>
      </c>
      <c r="D176" s="48" t="s">
        <v>564</v>
      </c>
      <c r="E176" s="50" t="s">
        <v>3904</v>
      </c>
      <c r="F176" s="50">
        <v>4000</v>
      </c>
      <c r="G176" s="76" t="s">
        <v>3906</v>
      </c>
      <c r="H176" s="50">
        <v>4493</v>
      </c>
      <c r="I176" s="49" t="s">
        <v>2</v>
      </c>
      <c r="J176" s="50" t="s">
        <v>114</v>
      </c>
      <c r="K176" s="51">
        <v>41240</v>
      </c>
      <c r="L176" s="115">
        <v>41237</v>
      </c>
      <c r="M176" s="85">
        <f t="shared" si="16"/>
        <v>3</v>
      </c>
      <c r="N176" s="50" t="s">
        <v>2</v>
      </c>
      <c r="O176" s="74">
        <v>10.7</v>
      </c>
      <c r="P176" s="50">
        <v>7.1</v>
      </c>
      <c r="Q176" s="74">
        <v>7.5</v>
      </c>
      <c r="R176" s="50">
        <v>154</v>
      </c>
      <c r="S176" s="74">
        <v>120</v>
      </c>
      <c r="T176" s="50">
        <v>1.1599999999999999</v>
      </c>
      <c r="U176" s="74">
        <v>4.17</v>
      </c>
      <c r="V176" s="50">
        <v>0.27</v>
      </c>
      <c r="W176" s="74">
        <v>4.4000000000000004</v>
      </c>
      <c r="X176" s="50">
        <v>1.71</v>
      </c>
      <c r="Y176" s="74">
        <v>4.3999999999999997E-2</v>
      </c>
      <c r="Z176" s="166">
        <v>6.25E-2</v>
      </c>
      <c r="AA176" s="167">
        <v>6.25E-2</v>
      </c>
      <c r="AB176" s="50">
        <v>349</v>
      </c>
      <c r="AC176" s="74">
        <v>1913</v>
      </c>
      <c r="AD176" s="166">
        <f>0/20</f>
        <v>0</v>
      </c>
      <c r="AE176" s="50">
        <v>5.67</v>
      </c>
      <c r="AF176" s="50">
        <v>3</v>
      </c>
      <c r="AI176" s="97"/>
    </row>
    <row r="177" spans="1:35" ht="15" customHeight="1">
      <c r="A177" s="41" t="s">
        <v>38</v>
      </c>
      <c r="B177" s="50" t="s">
        <v>3903</v>
      </c>
      <c r="C177" s="50" t="s">
        <v>3903</v>
      </c>
      <c r="D177" s="48" t="s">
        <v>564</v>
      </c>
      <c r="E177" s="50" t="s">
        <v>3904</v>
      </c>
      <c r="F177" s="50">
        <v>4000</v>
      </c>
      <c r="G177" s="76" t="s">
        <v>3906</v>
      </c>
      <c r="H177" s="50">
        <v>4493</v>
      </c>
      <c r="I177" s="49" t="s">
        <v>2</v>
      </c>
      <c r="J177" s="50" t="s">
        <v>115</v>
      </c>
      <c r="K177" s="51">
        <v>41240</v>
      </c>
      <c r="L177" s="115">
        <v>41237</v>
      </c>
      <c r="M177" s="85">
        <f t="shared" si="16"/>
        <v>3</v>
      </c>
      <c r="N177" s="50" t="s">
        <v>2</v>
      </c>
      <c r="O177" s="74">
        <v>3.9</v>
      </c>
      <c r="P177" s="50">
        <v>7.1</v>
      </c>
      <c r="Q177" s="74">
        <v>7.1</v>
      </c>
      <c r="R177" s="50">
        <v>194</v>
      </c>
      <c r="S177" s="74">
        <v>74</v>
      </c>
      <c r="T177" s="50">
        <v>0.2</v>
      </c>
      <c r="U177" s="74">
        <v>2.58</v>
      </c>
      <c r="V177" s="50">
        <v>1.28</v>
      </c>
      <c r="W177" s="74">
        <v>0.93600000000000005</v>
      </c>
      <c r="X177" s="50">
        <v>0.66300000000000003</v>
      </c>
      <c r="Y177" s="74">
        <f>0.03/2</f>
        <v>1.4999999999999999E-2</v>
      </c>
      <c r="Z177" s="166">
        <v>6.25E-2</v>
      </c>
      <c r="AA177" s="167">
        <v>6.25E-2</v>
      </c>
      <c r="AB177" s="50">
        <v>32</v>
      </c>
      <c r="AC177" s="74">
        <v>278</v>
      </c>
      <c r="AD177" s="166">
        <f>0/20</f>
        <v>0</v>
      </c>
      <c r="AE177" s="50">
        <v>2.23</v>
      </c>
      <c r="AF177" s="50">
        <v>1.3</v>
      </c>
      <c r="AI177" s="97"/>
    </row>
    <row r="178" spans="1:35" ht="15" customHeight="1">
      <c r="A178" s="41" t="s">
        <v>38</v>
      </c>
      <c r="B178" s="50" t="s">
        <v>2636</v>
      </c>
      <c r="C178" s="50" t="s">
        <v>2636</v>
      </c>
      <c r="D178" s="48" t="s">
        <v>1569</v>
      </c>
      <c r="E178" s="50" t="s">
        <v>1579</v>
      </c>
      <c r="G178" s="76" t="s">
        <v>2637</v>
      </c>
      <c r="I178" s="49" t="s">
        <v>1</v>
      </c>
      <c r="J178" s="50" t="s">
        <v>3907</v>
      </c>
      <c r="K178" s="51">
        <v>41352</v>
      </c>
      <c r="L178" s="115">
        <v>41340</v>
      </c>
      <c r="M178" s="85">
        <f t="shared" si="16"/>
        <v>12</v>
      </c>
      <c r="N178" s="50" t="s">
        <v>1</v>
      </c>
      <c r="O178" s="74">
        <f>1/2</f>
        <v>0.5</v>
      </c>
      <c r="P178" s="50">
        <v>6.5</v>
      </c>
      <c r="Q178" s="74">
        <v>6.54</v>
      </c>
      <c r="R178" s="50">
        <v>18.7</v>
      </c>
      <c r="S178" s="74">
        <f>1/2</f>
        <v>0.5</v>
      </c>
      <c r="T178" s="50">
        <v>0.12</v>
      </c>
      <c r="U178" s="74">
        <v>2.2799999999999998</v>
      </c>
      <c r="V178" s="50">
        <v>0.1</v>
      </c>
      <c r="W178" s="74">
        <v>0.20300000000000001</v>
      </c>
      <c r="X178" s="50">
        <v>0.111</v>
      </c>
      <c r="Y178" s="74">
        <v>4.0000000000000001E-3</v>
      </c>
      <c r="AB178" s="50">
        <v>3.76</v>
      </c>
      <c r="AE178" s="50">
        <v>0.08</v>
      </c>
      <c r="AF178" s="50">
        <v>0.13</v>
      </c>
      <c r="AI178" s="97"/>
    </row>
    <row r="179" spans="1:35" ht="15" customHeight="1">
      <c r="A179" s="41" t="s">
        <v>38</v>
      </c>
      <c r="B179" s="50" t="s">
        <v>3908</v>
      </c>
      <c r="C179" s="50" t="s">
        <v>2382</v>
      </c>
      <c r="D179" s="48" t="s">
        <v>567</v>
      </c>
      <c r="E179" s="50" t="s">
        <v>2383</v>
      </c>
      <c r="G179" s="76" t="s">
        <v>2384</v>
      </c>
      <c r="H179" s="50">
        <v>4493</v>
      </c>
      <c r="I179" s="49" t="s">
        <v>1</v>
      </c>
      <c r="J179" s="50" t="s">
        <v>1700</v>
      </c>
      <c r="K179" s="51">
        <v>41352</v>
      </c>
      <c r="L179" s="115">
        <v>41345</v>
      </c>
      <c r="M179" s="85">
        <f t="shared" si="16"/>
        <v>7</v>
      </c>
      <c r="N179" s="50" t="s">
        <v>1</v>
      </c>
      <c r="O179" s="74">
        <f>5/2</f>
        <v>2.5</v>
      </c>
      <c r="P179" s="50">
        <v>4.71</v>
      </c>
      <c r="Q179" s="74">
        <v>6.22</v>
      </c>
      <c r="R179" s="50">
        <f>5/2</f>
        <v>2.5</v>
      </c>
      <c r="S179" s="74">
        <f>5/2</f>
        <v>2.5</v>
      </c>
      <c r="T179" s="50">
        <f>0.1/2</f>
        <v>0.05</v>
      </c>
      <c r="U179" s="74">
        <f>1/2</f>
        <v>0.5</v>
      </c>
      <c r="V179" s="50">
        <v>0.14000000000000001</v>
      </c>
      <c r="W179" s="74">
        <f>0.04/2</f>
        <v>0.02</v>
      </c>
      <c r="X179" s="50">
        <f>0.02/2</f>
        <v>0.01</v>
      </c>
      <c r="Y179" s="74">
        <f>0.013/2</f>
        <v>6.4999999999999997E-3</v>
      </c>
      <c r="Z179" s="166">
        <v>1</v>
      </c>
      <c r="AA179" s="167">
        <v>1</v>
      </c>
      <c r="AB179" s="50">
        <v>2.2000000000000002</v>
      </c>
      <c r="AC179" s="74">
        <v>18</v>
      </c>
      <c r="AD179" s="166">
        <f>20/20</f>
        <v>1</v>
      </c>
      <c r="AE179" s="50">
        <f>0.1/2</f>
        <v>0.05</v>
      </c>
      <c r="AF179" s="50">
        <f>0.1/2</f>
        <v>0.05</v>
      </c>
      <c r="AI179" s="97"/>
    </row>
    <row r="180" spans="1:35" ht="15" customHeight="1">
      <c r="A180" s="41" t="s">
        <v>38</v>
      </c>
      <c r="B180" s="50" t="s">
        <v>2617</v>
      </c>
      <c r="C180" s="50" t="s">
        <v>2638</v>
      </c>
      <c r="D180" s="48" t="s">
        <v>1569</v>
      </c>
      <c r="E180" s="50" t="s">
        <v>1601</v>
      </c>
      <c r="G180" s="76" t="s">
        <v>2639</v>
      </c>
      <c r="H180" s="50">
        <v>6512</v>
      </c>
      <c r="I180" s="49" t="s">
        <v>2</v>
      </c>
      <c r="J180" s="50" t="s">
        <v>2640</v>
      </c>
      <c r="K180" s="51">
        <v>41345</v>
      </c>
      <c r="L180" s="115">
        <v>41341</v>
      </c>
      <c r="M180" s="85">
        <f t="shared" si="16"/>
        <v>4</v>
      </c>
      <c r="N180" s="50" t="s">
        <v>2</v>
      </c>
      <c r="O180" s="74">
        <v>3.8</v>
      </c>
      <c r="Q180" s="74">
        <v>6.97</v>
      </c>
      <c r="R180" s="50">
        <v>87</v>
      </c>
      <c r="S180" s="74">
        <v>150</v>
      </c>
      <c r="T180" s="50">
        <v>0.53</v>
      </c>
      <c r="U180" s="74">
        <v>1.45</v>
      </c>
      <c r="V180" s="50">
        <v>0.33</v>
      </c>
      <c r="W180" s="74">
        <v>7.3999999999999996E-2</v>
      </c>
      <c r="X180" s="50">
        <v>0.24099999999999999</v>
      </c>
      <c r="Y180" s="74">
        <v>7.2999999999999995E-2</v>
      </c>
      <c r="Z180" s="166">
        <v>1</v>
      </c>
      <c r="AA180" s="167">
        <v>1</v>
      </c>
      <c r="AB180" s="50">
        <v>6</v>
      </c>
      <c r="AC180" s="74">
        <v>143</v>
      </c>
      <c r="AD180" s="166">
        <f>20/20</f>
        <v>1</v>
      </c>
      <c r="AE180" s="50">
        <v>7.18</v>
      </c>
      <c r="AF180" s="50">
        <v>4.41</v>
      </c>
      <c r="AI180" s="97"/>
    </row>
    <row r="181" spans="1:35" ht="15" customHeight="1">
      <c r="A181" s="41" t="s">
        <v>38</v>
      </c>
      <c r="B181" s="50" t="s">
        <v>1735</v>
      </c>
      <c r="C181" s="50" t="s">
        <v>1736</v>
      </c>
      <c r="D181" s="48" t="s">
        <v>186</v>
      </c>
      <c r="E181" s="50" t="s">
        <v>1737</v>
      </c>
      <c r="G181" s="76" t="s">
        <v>582</v>
      </c>
      <c r="H181" s="50">
        <v>5551</v>
      </c>
      <c r="I181" s="49" t="s">
        <v>2</v>
      </c>
      <c r="J181" s="50">
        <v>1</v>
      </c>
      <c r="K181" s="51">
        <v>41345</v>
      </c>
      <c r="L181" s="115">
        <v>41341</v>
      </c>
      <c r="M181" s="85">
        <f t="shared" si="16"/>
        <v>4</v>
      </c>
      <c r="N181" s="50" t="s">
        <v>1</v>
      </c>
      <c r="O181" s="74">
        <f>5/2</f>
        <v>2.5</v>
      </c>
      <c r="P181" s="50">
        <v>5.32</v>
      </c>
      <c r="Q181" s="74">
        <v>7.9</v>
      </c>
      <c r="R181" s="50">
        <v>37.6</v>
      </c>
      <c r="S181" s="74">
        <v>58</v>
      </c>
      <c r="T181" s="50">
        <f>0.04/2</f>
        <v>0.02</v>
      </c>
      <c r="U181" s="74">
        <v>1.59</v>
      </c>
      <c r="V181" s="50">
        <v>0.88</v>
      </c>
      <c r="W181" s="74">
        <v>0.47399999999999998</v>
      </c>
      <c r="X181" s="50">
        <v>0.2</v>
      </c>
      <c r="Y181" s="74">
        <v>4.2000000000000003E-2</v>
      </c>
      <c r="Z181" s="166">
        <v>0.159</v>
      </c>
      <c r="AA181" s="167">
        <v>6.25E-2</v>
      </c>
      <c r="AB181" s="50">
        <v>41.6</v>
      </c>
      <c r="AC181" s="74">
        <v>114</v>
      </c>
      <c r="AD181" s="166">
        <f>0/20</f>
        <v>0</v>
      </c>
      <c r="AE181" s="50">
        <v>2.61</v>
      </c>
      <c r="AF181" s="50">
        <v>1.71</v>
      </c>
      <c r="AI181" s="97"/>
    </row>
    <row r="182" spans="1:35" ht="15" customHeight="1">
      <c r="A182" s="41" t="s">
        <v>38</v>
      </c>
      <c r="B182" s="7" t="s">
        <v>2397</v>
      </c>
      <c r="C182" s="7" t="s">
        <v>2400</v>
      </c>
      <c r="D182" s="14" t="s">
        <v>1550</v>
      </c>
      <c r="E182" s="7" t="s">
        <v>81</v>
      </c>
      <c r="F182" s="7"/>
      <c r="G182" s="15" t="s">
        <v>2399</v>
      </c>
      <c r="H182" s="7">
        <v>4493</v>
      </c>
      <c r="I182" s="19" t="s">
        <v>2</v>
      </c>
      <c r="J182" s="7" t="s">
        <v>2400</v>
      </c>
      <c r="K182" s="16">
        <v>41332</v>
      </c>
      <c r="L182" s="17"/>
      <c r="M182" s="7"/>
      <c r="N182" s="7" t="s">
        <v>2</v>
      </c>
      <c r="O182" s="6">
        <v>0.75</v>
      </c>
      <c r="P182" s="7">
        <v>5.97</v>
      </c>
      <c r="Q182" s="6">
        <v>6.43</v>
      </c>
      <c r="R182" s="7">
        <v>0.5</v>
      </c>
      <c r="S182" s="6">
        <v>18</v>
      </c>
      <c r="T182" s="7">
        <v>0.02</v>
      </c>
      <c r="U182" s="6">
        <v>1.25</v>
      </c>
      <c r="V182" s="7">
        <v>0.03</v>
      </c>
      <c r="W182" s="6">
        <v>2.5000000000000001E-3</v>
      </c>
      <c r="X182" s="7">
        <v>2.9000000000000001E-2</v>
      </c>
      <c r="Y182" s="6">
        <v>1E-3</v>
      </c>
      <c r="Z182" s="308">
        <v>1</v>
      </c>
      <c r="AA182" s="309">
        <v>1</v>
      </c>
      <c r="AB182" s="7">
        <v>4</v>
      </c>
      <c r="AC182" s="6">
        <v>39</v>
      </c>
      <c r="AD182" s="27">
        <v>0.8</v>
      </c>
      <c r="AE182" s="7">
        <v>0.82199999999999995</v>
      </c>
      <c r="AF182" s="7">
        <v>0.28299999999999997</v>
      </c>
      <c r="AG182" s="331">
        <v>5</v>
      </c>
      <c r="AH182" s="3"/>
      <c r="AI182" s="24"/>
    </row>
    <row r="183" spans="1:35" ht="15" customHeight="1">
      <c r="A183" s="41" t="s">
        <v>38</v>
      </c>
      <c r="B183" s="7" t="s">
        <v>2397</v>
      </c>
      <c r="C183" s="7" t="s">
        <v>2400</v>
      </c>
      <c r="D183" s="14" t="s">
        <v>1550</v>
      </c>
      <c r="E183" s="7" t="s">
        <v>4234</v>
      </c>
      <c r="F183" s="7"/>
      <c r="G183" s="15" t="s">
        <v>2401</v>
      </c>
      <c r="H183" s="7"/>
      <c r="I183" s="19" t="s">
        <v>2</v>
      </c>
      <c r="J183" s="7" t="s">
        <v>2400</v>
      </c>
      <c r="K183" s="16">
        <v>41332</v>
      </c>
      <c r="L183" s="17"/>
      <c r="M183" s="7"/>
      <c r="N183" s="7" t="s">
        <v>2</v>
      </c>
      <c r="O183" s="6">
        <v>0.7</v>
      </c>
      <c r="P183" s="7">
        <v>5.97</v>
      </c>
      <c r="Q183" s="6">
        <v>6.52</v>
      </c>
      <c r="R183" s="7">
        <v>0.5</v>
      </c>
      <c r="S183" s="6">
        <v>32</v>
      </c>
      <c r="T183" s="7">
        <v>0.03</v>
      </c>
      <c r="U183" s="6">
        <v>1.81</v>
      </c>
      <c r="V183" s="7">
        <v>0.03</v>
      </c>
      <c r="W183" s="6">
        <v>0.11600000000000001</v>
      </c>
      <c r="X183" s="7">
        <v>6.4000000000000001E-2</v>
      </c>
      <c r="Y183" s="6">
        <v>1.4E-2</v>
      </c>
      <c r="Z183" s="308">
        <v>0.10199999999999999</v>
      </c>
      <c r="AA183" s="309">
        <v>8.8400000000000006E-2</v>
      </c>
      <c r="AB183" s="7">
        <v>2</v>
      </c>
      <c r="AC183" s="6">
        <v>10</v>
      </c>
      <c r="AD183" s="27">
        <v>0</v>
      </c>
      <c r="AE183" s="7">
        <v>0.57399999999999995</v>
      </c>
      <c r="AF183" s="7">
        <v>0.35399999999999998</v>
      </c>
      <c r="AG183" s="331">
        <v>5</v>
      </c>
      <c r="AH183" s="3"/>
      <c r="AI183" s="24"/>
    </row>
    <row r="184" spans="1:35" ht="15" customHeight="1">
      <c r="A184" s="41" t="s">
        <v>38</v>
      </c>
      <c r="B184" s="7" t="s">
        <v>1568</v>
      </c>
      <c r="C184" s="7" t="s">
        <v>1568</v>
      </c>
      <c r="D184" s="14" t="s">
        <v>1569</v>
      </c>
      <c r="E184" s="7" t="s">
        <v>1584</v>
      </c>
      <c r="F184" s="7"/>
      <c r="G184" s="15" t="s">
        <v>1778</v>
      </c>
      <c r="H184" s="7"/>
      <c r="I184" s="19" t="s">
        <v>2</v>
      </c>
      <c r="J184" s="7" t="s">
        <v>2434</v>
      </c>
      <c r="K184" s="16">
        <v>41432</v>
      </c>
      <c r="L184" s="17"/>
      <c r="M184" s="7"/>
      <c r="N184" s="7" t="s">
        <v>2</v>
      </c>
      <c r="O184" s="6">
        <v>2.5</v>
      </c>
      <c r="P184" s="7">
        <v>7.07</v>
      </c>
      <c r="Q184" s="6">
        <v>6.7</v>
      </c>
      <c r="R184" s="7">
        <v>48</v>
      </c>
      <c r="S184" s="6">
        <v>34</v>
      </c>
      <c r="T184" s="7">
        <v>0.2</v>
      </c>
      <c r="U184" s="6">
        <v>1.38</v>
      </c>
      <c r="V184" s="7">
        <v>0.91</v>
      </c>
      <c r="W184" s="6">
        <v>0.54</v>
      </c>
      <c r="X184" s="7">
        <v>0.43</v>
      </c>
      <c r="Y184" s="6">
        <v>2.8000000000000001E-2</v>
      </c>
      <c r="Z184" s="308">
        <v>6.25E-2</v>
      </c>
      <c r="AA184" s="309">
        <v>6.25E-2</v>
      </c>
      <c r="AB184" s="7">
        <v>10.5</v>
      </c>
      <c r="AC184" s="6">
        <v>73</v>
      </c>
      <c r="AD184" s="27">
        <v>0</v>
      </c>
      <c r="AE184" s="7">
        <v>1.19</v>
      </c>
      <c r="AF184" s="7">
        <v>0.91</v>
      </c>
      <c r="AG184" s="331"/>
      <c r="AH184" s="3"/>
      <c r="AI184" s="24"/>
    </row>
    <row r="185" spans="1:35" ht="15" customHeight="1">
      <c r="A185" s="41" t="s">
        <v>38</v>
      </c>
      <c r="B185" s="7" t="s">
        <v>1568</v>
      </c>
      <c r="C185" s="7" t="s">
        <v>1568</v>
      </c>
      <c r="D185" s="14" t="s">
        <v>1569</v>
      </c>
      <c r="E185" s="7" t="s">
        <v>1584</v>
      </c>
      <c r="F185" s="7"/>
      <c r="G185" s="15" t="s">
        <v>2432</v>
      </c>
      <c r="H185" s="7"/>
      <c r="I185" s="19" t="s">
        <v>2</v>
      </c>
      <c r="J185" s="7" t="s">
        <v>2433</v>
      </c>
      <c r="K185" s="16">
        <v>41432</v>
      </c>
      <c r="L185" s="17"/>
      <c r="M185" s="7"/>
      <c r="N185" s="7" t="s">
        <v>2</v>
      </c>
      <c r="O185" s="6">
        <v>2.5</v>
      </c>
      <c r="P185" s="7">
        <v>7</v>
      </c>
      <c r="Q185" s="6">
        <v>6.66</v>
      </c>
      <c r="R185" s="7">
        <v>53</v>
      </c>
      <c r="S185" s="6">
        <v>26</v>
      </c>
      <c r="T185" s="7">
        <v>0.26</v>
      </c>
      <c r="U185" s="6">
        <v>1.69</v>
      </c>
      <c r="V185" s="7">
        <v>0.76</v>
      </c>
      <c r="W185" s="6">
        <v>2.17</v>
      </c>
      <c r="X185" s="7">
        <v>0.05</v>
      </c>
      <c r="Y185" s="6">
        <v>7.0000000000000001E-3</v>
      </c>
      <c r="Z185" s="308">
        <v>0.106</v>
      </c>
      <c r="AA185" s="309">
        <v>6.25E-2</v>
      </c>
      <c r="AB185" s="7">
        <v>17.100000000000001</v>
      </c>
      <c r="AC185" s="6">
        <v>391</v>
      </c>
      <c r="AD185" s="27">
        <v>0</v>
      </c>
      <c r="AE185" s="7">
        <v>0.4</v>
      </c>
      <c r="AF185" s="7">
        <v>0.21</v>
      </c>
      <c r="AG185" s="331"/>
      <c r="AH185" s="3"/>
      <c r="AI185" s="24"/>
    </row>
    <row r="186" spans="1:35" ht="15" customHeight="1">
      <c r="A186" s="41" t="s">
        <v>38</v>
      </c>
      <c r="B186" s="7" t="s">
        <v>4235</v>
      </c>
      <c r="C186" s="7"/>
      <c r="D186" s="14" t="s">
        <v>1748</v>
      </c>
      <c r="E186" s="7" t="s">
        <v>304</v>
      </c>
      <c r="F186" s="7"/>
      <c r="G186" s="15" t="s">
        <v>1749</v>
      </c>
      <c r="H186" s="7">
        <v>4493</v>
      </c>
      <c r="I186" s="19" t="s">
        <v>1</v>
      </c>
      <c r="J186" s="7" t="s">
        <v>75</v>
      </c>
      <c r="K186" s="16">
        <v>41402</v>
      </c>
      <c r="L186" s="17">
        <v>41398</v>
      </c>
      <c r="M186" s="85">
        <f>K186-L186</f>
        <v>4</v>
      </c>
      <c r="N186" s="7" t="s">
        <v>2</v>
      </c>
      <c r="O186" s="6">
        <v>0.3</v>
      </c>
      <c r="P186" s="7"/>
      <c r="Q186" s="6">
        <v>4.9000000000000004</v>
      </c>
      <c r="R186" s="7">
        <v>357</v>
      </c>
      <c r="S186" s="6">
        <v>50</v>
      </c>
      <c r="T186" s="7">
        <v>0.5</v>
      </c>
      <c r="U186" s="6">
        <v>6.45</v>
      </c>
      <c r="V186" s="7">
        <v>1.53</v>
      </c>
      <c r="W186" s="6">
        <v>0.20399999999999999</v>
      </c>
      <c r="X186" s="7">
        <v>0.184</v>
      </c>
      <c r="Y186" s="6">
        <v>1.4999999999999999E-2</v>
      </c>
      <c r="Z186" s="308">
        <v>1</v>
      </c>
      <c r="AA186" s="309">
        <v>1</v>
      </c>
      <c r="AB186" s="7">
        <v>47</v>
      </c>
      <c r="AC186" s="6">
        <v>160</v>
      </c>
      <c r="AD186" s="27">
        <v>1</v>
      </c>
      <c r="AE186" s="7">
        <v>1.39</v>
      </c>
      <c r="AF186" s="7">
        <v>1.1499999999999999</v>
      </c>
      <c r="AG186" s="331"/>
      <c r="AH186" s="3"/>
      <c r="AI186" s="24">
        <v>900</v>
      </c>
    </row>
    <row r="187" spans="1:35" ht="15" customHeight="1">
      <c r="A187" s="41" t="s">
        <v>38</v>
      </c>
      <c r="B187" s="7" t="s">
        <v>1753</v>
      </c>
      <c r="C187" s="7" t="s">
        <v>1753</v>
      </c>
      <c r="D187" s="14" t="s">
        <v>1565</v>
      </c>
      <c r="E187" s="7" t="s">
        <v>4236</v>
      </c>
      <c r="F187" s="7"/>
      <c r="G187" s="15" t="s">
        <v>1755</v>
      </c>
      <c r="H187" s="7">
        <v>5551</v>
      </c>
      <c r="I187" s="19" t="s">
        <v>1</v>
      </c>
      <c r="J187" s="7" t="s">
        <v>1756</v>
      </c>
      <c r="K187" s="16">
        <v>41428</v>
      </c>
      <c r="L187" s="17"/>
      <c r="M187" s="7"/>
      <c r="N187" s="7" t="s">
        <v>2</v>
      </c>
      <c r="O187" s="6">
        <v>2.5</v>
      </c>
      <c r="P187" s="7">
        <v>7.38</v>
      </c>
      <c r="Q187" s="6">
        <v>5.0999999999999996</v>
      </c>
      <c r="R187" s="7">
        <v>211</v>
      </c>
      <c r="S187" s="6">
        <v>0.5</v>
      </c>
      <c r="T187" s="7">
        <v>0.18</v>
      </c>
      <c r="U187" s="6">
        <v>4.57</v>
      </c>
      <c r="V187" s="7">
        <v>1.37</v>
      </c>
      <c r="W187" s="6">
        <v>8.8999999999999996E-2</v>
      </c>
      <c r="X187" s="7">
        <v>0.51</v>
      </c>
      <c r="Y187" s="6">
        <v>1E-3</v>
      </c>
      <c r="Z187" s="308">
        <v>1</v>
      </c>
      <c r="AA187" s="309">
        <v>0.57399999999999995</v>
      </c>
      <c r="AB187" s="7">
        <v>12.7</v>
      </c>
      <c r="AC187" s="6">
        <v>73</v>
      </c>
      <c r="AD187" s="27">
        <v>0</v>
      </c>
      <c r="AE187" s="7">
        <v>0.1</v>
      </c>
      <c r="AF187" s="7">
        <v>0.21</v>
      </c>
      <c r="AG187" s="331"/>
      <c r="AH187" s="3"/>
      <c r="AI187" s="24"/>
    </row>
    <row r="188" spans="1:35" ht="15" customHeight="1">
      <c r="A188" s="41" t="s">
        <v>38</v>
      </c>
      <c r="B188" s="7" t="s">
        <v>2385</v>
      </c>
      <c r="C188" s="7"/>
      <c r="D188" s="14" t="s">
        <v>1565</v>
      </c>
      <c r="E188" s="7" t="s">
        <v>1754</v>
      </c>
      <c r="F188" s="7"/>
      <c r="G188" s="15" t="s">
        <v>2450</v>
      </c>
      <c r="H188" s="7">
        <v>4493</v>
      </c>
      <c r="I188" s="19" t="s">
        <v>1</v>
      </c>
      <c r="J188" s="7">
        <v>1</v>
      </c>
      <c r="K188" s="16">
        <v>41402</v>
      </c>
      <c r="L188" s="17">
        <v>41395</v>
      </c>
      <c r="M188" s="85">
        <f t="shared" ref="M188:M190" si="17">K188-L188</f>
        <v>7</v>
      </c>
      <c r="N188" s="7" t="s">
        <v>2</v>
      </c>
      <c r="O188" s="6">
        <v>15</v>
      </c>
      <c r="P188" s="7">
        <v>5.22</v>
      </c>
      <c r="Q188" s="6">
        <v>6.62</v>
      </c>
      <c r="R188" s="7">
        <v>230</v>
      </c>
      <c r="S188" s="6">
        <v>420</v>
      </c>
      <c r="T188" s="7">
        <v>0.23</v>
      </c>
      <c r="U188" s="6">
        <v>5.01</v>
      </c>
      <c r="V188" s="7">
        <v>0.05</v>
      </c>
      <c r="W188" s="6">
        <v>16.3</v>
      </c>
      <c r="X188" s="7">
        <v>7.32</v>
      </c>
      <c r="Y188" s="6">
        <v>0.23599999999999999</v>
      </c>
      <c r="Z188" s="308">
        <v>6.25E-2</v>
      </c>
      <c r="AA188" s="309">
        <v>6.25E-2</v>
      </c>
      <c r="AB188" s="7">
        <v>316</v>
      </c>
      <c r="AC188" s="6">
        <v>2940</v>
      </c>
      <c r="AD188" s="27">
        <v>0</v>
      </c>
      <c r="AE188" s="7">
        <v>24</v>
      </c>
      <c r="AF188" s="7">
        <v>9.9700000000000006</v>
      </c>
      <c r="AG188" s="331"/>
      <c r="AH188" s="3"/>
      <c r="AI188" s="24"/>
    </row>
    <row r="189" spans="1:35" ht="14">
      <c r="A189" s="41" t="s">
        <v>38</v>
      </c>
      <c r="B189" s="7" t="s">
        <v>1767</v>
      </c>
      <c r="C189" s="7" t="s">
        <v>1768</v>
      </c>
      <c r="D189" s="14" t="s">
        <v>1565</v>
      </c>
      <c r="E189" s="7" t="s">
        <v>1754</v>
      </c>
      <c r="F189" s="7"/>
      <c r="G189" s="15" t="s">
        <v>1769</v>
      </c>
      <c r="H189" s="7">
        <v>4493</v>
      </c>
      <c r="I189" s="19" t="s">
        <v>1</v>
      </c>
      <c r="J189" s="7" t="s">
        <v>81</v>
      </c>
      <c r="K189" s="16">
        <v>41345</v>
      </c>
      <c r="L189" s="17">
        <v>41339</v>
      </c>
      <c r="M189" s="85">
        <f t="shared" si="17"/>
        <v>6</v>
      </c>
      <c r="N189" s="7" t="s">
        <v>1</v>
      </c>
      <c r="O189" s="6">
        <v>0.8</v>
      </c>
      <c r="P189" s="7">
        <v>6.07</v>
      </c>
      <c r="Q189" s="6">
        <v>7.48</v>
      </c>
      <c r="R189" s="7">
        <v>10</v>
      </c>
      <c r="S189" s="6">
        <v>124</v>
      </c>
      <c r="T189" s="7">
        <v>7.0000000000000007E-2</v>
      </c>
      <c r="U189" s="6">
        <v>2.36</v>
      </c>
      <c r="V189" s="7">
        <v>0.27</v>
      </c>
      <c r="W189" s="6">
        <v>0.95</v>
      </c>
      <c r="X189" s="7">
        <v>0.41599999999999998</v>
      </c>
      <c r="Y189" s="6">
        <v>2.9000000000000001E-2</v>
      </c>
      <c r="Z189" s="308"/>
      <c r="AA189" s="309"/>
      <c r="AB189" s="7"/>
      <c r="AC189" s="6"/>
      <c r="AD189" s="27"/>
      <c r="AE189" s="7">
        <v>3.02</v>
      </c>
      <c r="AF189" s="7">
        <v>1.88</v>
      </c>
      <c r="AG189" s="331"/>
      <c r="AH189" s="3"/>
      <c r="AI189" s="24"/>
    </row>
    <row r="190" spans="1:35" ht="15" customHeight="1">
      <c r="A190" s="41" t="s">
        <v>38</v>
      </c>
      <c r="B190" s="7" t="s">
        <v>1563</v>
      </c>
      <c r="C190" s="7" t="s">
        <v>1564</v>
      </c>
      <c r="D190" s="14" t="s">
        <v>1565</v>
      </c>
      <c r="E190" s="7" t="s">
        <v>2476</v>
      </c>
      <c r="F190" s="7"/>
      <c r="G190" s="15" t="s">
        <v>1567</v>
      </c>
      <c r="H190" s="7">
        <v>4493</v>
      </c>
      <c r="I190" s="19" t="s">
        <v>2</v>
      </c>
      <c r="J190" s="7" t="s">
        <v>74</v>
      </c>
      <c r="K190" s="16">
        <v>41428</v>
      </c>
      <c r="L190" s="17">
        <v>41422</v>
      </c>
      <c r="M190" s="85">
        <f t="shared" si="17"/>
        <v>6</v>
      </c>
      <c r="N190" s="7" t="s">
        <v>2</v>
      </c>
      <c r="O190" s="6">
        <v>2.5</v>
      </c>
      <c r="P190" s="7">
        <v>6.93</v>
      </c>
      <c r="Q190" s="6">
        <v>8.6</v>
      </c>
      <c r="R190" s="7">
        <v>195</v>
      </c>
      <c r="S190" s="6">
        <v>436</v>
      </c>
      <c r="T190" s="7">
        <v>0.83</v>
      </c>
      <c r="U190" s="6">
        <v>2.31</v>
      </c>
      <c r="V190" s="7">
        <v>0.81</v>
      </c>
      <c r="W190" s="6">
        <v>2.15</v>
      </c>
      <c r="X190" s="7">
        <v>1.23</v>
      </c>
      <c r="Y190" s="6">
        <v>3.4000000000000002E-2</v>
      </c>
      <c r="Z190" s="308">
        <v>6.25E-2</v>
      </c>
      <c r="AA190" s="309">
        <v>6.25E-2</v>
      </c>
      <c r="AB190" s="7">
        <v>85.2</v>
      </c>
      <c r="AC190" s="6">
        <v>924</v>
      </c>
      <c r="AD190" s="27">
        <v>0</v>
      </c>
      <c r="AE190" s="7">
        <v>18</v>
      </c>
      <c r="AF190" s="7">
        <v>6.82</v>
      </c>
      <c r="AG190" s="331"/>
      <c r="AH190" s="3"/>
      <c r="AI190" s="24"/>
    </row>
    <row r="191" spans="1:35" ht="15" customHeight="1">
      <c r="A191" s="41" t="s">
        <v>38</v>
      </c>
      <c r="B191" s="7" t="s">
        <v>1696</v>
      </c>
      <c r="C191" s="7" t="s">
        <v>1697</v>
      </c>
      <c r="D191" s="14" t="s">
        <v>262</v>
      </c>
      <c r="E191" s="7" t="s">
        <v>4237</v>
      </c>
      <c r="F191" s="7"/>
      <c r="G191" s="15" t="s">
        <v>1699</v>
      </c>
      <c r="H191" s="7"/>
      <c r="I191" s="19" t="s">
        <v>2</v>
      </c>
      <c r="J191" s="7" t="s">
        <v>4238</v>
      </c>
      <c r="K191" s="16">
        <v>41402</v>
      </c>
      <c r="L191" s="17"/>
      <c r="M191" s="7"/>
      <c r="N191" s="7" t="s">
        <v>2</v>
      </c>
      <c r="O191" s="6">
        <v>2.5</v>
      </c>
      <c r="P191" s="7">
        <v>5.87</v>
      </c>
      <c r="Q191" s="6">
        <v>5.7</v>
      </c>
      <c r="R191" s="7">
        <v>82</v>
      </c>
      <c r="S191" s="6">
        <v>32</v>
      </c>
      <c r="T191" s="7">
        <v>0.12</v>
      </c>
      <c r="U191" s="6">
        <v>0.83</v>
      </c>
      <c r="V191" s="7">
        <v>0.77</v>
      </c>
      <c r="W191" s="6">
        <v>0.3</v>
      </c>
      <c r="X191" s="7">
        <v>0.09</v>
      </c>
      <c r="Y191" s="6">
        <v>1.9E-2</v>
      </c>
      <c r="Z191" s="308">
        <v>6.25E-2</v>
      </c>
      <c r="AA191" s="309">
        <v>6.25E-2</v>
      </c>
      <c r="AB191" s="7">
        <v>4.41</v>
      </c>
      <c r="AC191" s="6">
        <v>51</v>
      </c>
      <c r="AD191" s="27">
        <v>0</v>
      </c>
      <c r="AE191" s="7">
        <v>0.69</v>
      </c>
      <c r="AF191" s="7">
        <v>0.4</v>
      </c>
      <c r="AG191" s="331">
        <v>1</v>
      </c>
      <c r="AH191" s="3"/>
      <c r="AI191" s="24"/>
    </row>
    <row r="192" spans="1:35" ht="15" customHeight="1">
      <c r="A192" s="41" t="s">
        <v>38</v>
      </c>
      <c r="B192" s="7" t="s">
        <v>1696</v>
      </c>
      <c r="C192" s="7" t="s">
        <v>1697</v>
      </c>
      <c r="D192" s="14" t="s">
        <v>262</v>
      </c>
      <c r="E192" s="7" t="s">
        <v>4237</v>
      </c>
      <c r="F192" s="7"/>
      <c r="G192" s="15" t="s">
        <v>1699</v>
      </c>
      <c r="H192" s="7"/>
      <c r="I192" s="19"/>
      <c r="J192" s="7" t="s">
        <v>1701</v>
      </c>
      <c r="K192" s="16">
        <v>41402</v>
      </c>
      <c r="L192" s="17"/>
      <c r="M192" s="7"/>
      <c r="N192" s="7" t="s">
        <v>2</v>
      </c>
      <c r="O192" s="6">
        <v>2.5</v>
      </c>
      <c r="P192" s="7">
        <v>6.04</v>
      </c>
      <c r="Q192" s="6">
        <v>6.3</v>
      </c>
      <c r="R192" s="7">
        <v>83</v>
      </c>
      <c r="S192" s="6">
        <v>12</v>
      </c>
      <c r="T192" s="7">
        <v>0.26</v>
      </c>
      <c r="U192" s="6">
        <v>1.1599999999999999</v>
      </c>
      <c r="V192" s="7">
        <v>0.9</v>
      </c>
      <c r="W192" s="6">
        <v>0.28999999999999998</v>
      </c>
      <c r="X192" s="7">
        <v>0.28000000000000003</v>
      </c>
      <c r="Y192" s="6">
        <v>2.4E-2</v>
      </c>
      <c r="Z192" s="308">
        <v>6.25E-2</v>
      </c>
      <c r="AA192" s="309">
        <v>6.25E-2</v>
      </c>
      <c r="AB192" s="7">
        <v>9.0299999999999994</v>
      </c>
      <c r="AC192" s="6">
        <v>107</v>
      </c>
      <c r="AD192" s="27">
        <v>0</v>
      </c>
      <c r="AE192" s="7">
        <v>0.46</v>
      </c>
      <c r="AF192" s="7">
        <v>0.23</v>
      </c>
      <c r="AG192" s="331">
        <v>36.799999999999997</v>
      </c>
      <c r="AH192" s="3"/>
      <c r="AI192" s="24"/>
    </row>
    <row r="193" spans="1:35" ht="15" customHeight="1">
      <c r="A193" s="41" t="s">
        <v>38</v>
      </c>
      <c r="B193" s="7" t="s">
        <v>3903</v>
      </c>
      <c r="C193" s="7" t="s">
        <v>3903</v>
      </c>
      <c r="D193" s="14" t="s">
        <v>564</v>
      </c>
      <c r="E193" s="7" t="s">
        <v>3904</v>
      </c>
      <c r="F193" s="7"/>
      <c r="G193" s="15" t="s">
        <v>3905</v>
      </c>
      <c r="H193" s="7">
        <v>4493</v>
      </c>
      <c r="I193" s="19" t="s">
        <v>2</v>
      </c>
      <c r="J193" s="7" t="s">
        <v>114</v>
      </c>
      <c r="K193" s="16">
        <v>41352</v>
      </c>
      <c r="L193" s="17">
        <v>41349</v>
      </c>
      <c r="M193" s="85">
        <f t="shared" ref="M193:M195" si="18">K193-L193</f>
        <v>3</v>
      </c>
      <c r="N193" s="7" t="s">
        <v>2</v>
      </c>
      <c r="O193" s="6">
        <v>1</v>
      </c>
      <c r="P193" s="7">
        <v>4</v>
      </c>
      <c r="Q193" s="6">
        <v>6.6</v>
      </c>
      <c r="R193" s="7">
        <v>10</v>
      </c>
      <c r="S193" s="6">
        <v>30</v>
      </c>
      <c r="T193" s="7">
        <v>7.0000000000000007E-2</v>
      </c>
      <c r="U193" s="6">
        <v>1.31</v>
      </c>
      <c r="V193" s="7">
        <v>0.13</v>
      </c>
      <c r="W193" s="6">
        <v>0.72099999999999997</v>
      </c>
      <c r="X193" s="7">
        <v>0.32700000000000001</v>
      </c>
      <c r="Y193" s="6">
        <v>1.4999999999999999E-2</v>
      </c>
      <c r="Z193" s="308">
        <v>6.25E-2</v>
      </c>
      <c r="AA193" s="309">
        <v>6.25E-2</v>
      </c>
      <c r="AB193" s="7">
        <v>7</v>
      </c>
      <c r="AC193" s="6">
        <v>25</v>
      </c>
      <c r="AD193" s="27">
        <v>0</v>
      </c>
      <c r="AE193" s="7">
        <v>1.1599999999999999</v>
      </c>
      <c r="AF193" s="7">
        <v>0.5</v>
      </c>
      <c r="AG193" s="331"/>
      <c r="AH193" s="3"/>
      <c r="AI193" s="24"/>
    </row>
    <row r="194" spans="1:35" ht="15" customHeight="1">
      <c r="A194" s="41" t="s">
        <v>38</v>
      </c>
      <c r="B194" s="7" t="s">
        <v>3903</v>
      </c>
      <c r="C194" s="7" t="s">
        <v>3903</v>
      </c>
      <c r="D194" s="14" t="s">
        <v>564</v>
      </c>
      <c r="E194" s="7" t="s">
        <v>3904</v>
      </c>
      <c r="F194" s="7">
        <v>4000</v>
      </c>
      <c r="G194" s="15" t="s">
        <v>3905</v>
      </c>
      <c r="H194" s="7">
        <v>4493</v>
      </c>
      <c r="I194" s="19" t="s">
        <v>2</v>
      </c>
      <c r="J194" s="7" t="s">
        <v>115</v>
      </c>
      <c r="K194" s="16">
        <v>41352</v>
      </c>
      <c r="L194" s="17">
        <v>41349</v>
      </c>
      <c r="M194" s="85">
        <f t="shared" si="18"/>
        <v>3</v>
      </c>
      <c r="N194" s="7" t="s">
        <v>2</v>
      </c>
      <c r="O194" s="6">
        <v>1</v>
      </c>
      <c r="P194" s="7">
        <v>4</v>
      </c>
      <c r="Q194" s="6">
        <v>6.3</v>
      </c>
      <c r="R194" s="7">
        <v>5</v>
      </c>
      <c r="S194" s="6">
        <v>24</v>
      </c>
      <c r="T194" s="7">
        <v>2.5000000000000001E-2</v>
      </c>
      <c r="U194" s="6">
        <v>0.51</v>
      </c>
      <c r="V194" s="7">
        <v>0.15</v>
      </c>
      <c r="W194" s="6">
        <v>0.17599999999999999</v>
      </c>
      <c r="X194" s="7">
        <v>0.17899999999999999</v>
      </c>
      <c r="Y194" s="6">
        <v>1.4999999999999999E-2</v>
      </c>
      <c r="Z194" s="308">
        <v>0.13100000000000001</v>
      </c>
      <c r="AA194" s="309">
        <v>6.25E-2</v>
      </c>
      <c r="AB194" s="7">
        <v>2</v>
      </c>
      <c r="AC194" s="6">
        <v>13</v>
      </c>
      <c r="AD194" s="27">
        <v>0</v>
      </c>
      <c r="AE194" s="7">
        <v>0.57999999999999996</v>
      </c>
      <c r="AF194" s="7">
        <v>0.2</v>
      </c>
      <c r="AG194" s="331"/>
      <c r="AH194" s="3"/>
      <c r="AI194" s="24"/>
    </row>
    <row r="195" spans="1:35" ht="15" customHeight="1">
      <c r="A195" s="41" t="s">
        <v>38</v>
      </c>
      <c r="B195" s="7" t="s">
        <v>3903</v>
      </c>
      <c r="C195" s="7" t="s">
        <v>3903</v>
      </c>
      <c r="D195" s="14" t="s">
        <v>564</v>
      </c>
      <c r="E195" s="7" t="s">
        <v>3904</v>
      </c>
      <c r="F195" s="7">
        <v>4000</v>
      </c>
      <c r="G195" s="15" t="s">
        <v>3906</v>
      </c>
      <c r="H195" s="7">
        <v>4493</v>
      </c>
      <c r="I195" s="19" t="s">
        <v>2</v>
      </c>
      <c r="J195" s="7" t="s">
        <v>81</v>
      </c>
      <c r="K195" s="16">
        <v>41352</v>
      </c>
      <c r="L195" s="17">
        <v>41349</v>
      </c>
      <c r="M195" s="85">
        <f t="shared" si="18"/>
        <v>3</v>
      </c>
      <c r="N195" s="7" t="s">
        <v>2</v>
      </c>
      <c r="O195" s="6">
        <v>1</v>
      </c>
      <c r="P195" s="7">
        <v>4</v>
      </c>
      <c r="Q195" s="6">
        <v>6.9</v>
      </c>
      <c r="R195" s="7">
        <v>16</v>
      </c>
      <c r="S195" s="6">
        <v>227</v>
      </c>
      <c r="T195" s="7">
        <v>0.22</v>
      </c>
      <c r="U195" s="6">
        <v>0.97</v>
      </c>
      <c r="V195" s="7">
        <v>0.13</v>
      </c>
      <c r="W195" s="6">
        <v>0.997</v>
      </c>
      <c r="X195" s="7">
        <v>0.14299999999999999</v>
      </c>
      <c r="Y195" s="6">
        <v>4.5999999999999999E-2</v>
      </c>
      <c r="Z195" s="308">
        <v>6.25E-2</v>
      </c>
      <c r="AA195" s="309">
        <v>6.25E-2</v>
      </c>
      <c r="AB195" s="7">
        <v>13</v>
      </c>
      <c r="AC195" s="6">
        <v>46</v>
      </c>
      <c r="AD195" s="27">
        <v>0</v>
      </c>
      <c r="AE195" s="7">
        <v>3.59</v>
      </c>
      <c r="AF195" s="7">
        <v>2.2000000000000002</v>
      </c>
      <c r="AG195" s="331"/>
      <c r="AH195" s="3"/>
      <c r="AI195" s="24"/>
    </row>
    <row r="196" spans="1:35" ht="15" customHeight="1">
      <c r="A196" s="41" t="s">
        <v>38</v>
      </c>
      <c r="B196" s="7" t="s">
        <v>1763</v>
      </c>
      <c r="C196" s="7"/>
      <c r="D196" s="14" t="s">
        <v>71</v>
      </c>
      <c r="E196" s="7"/>
      <c r="F196" s="7"/>
      <c r="G196" s="15" t="s">
        <v>1765</v>
      </c>
      <c r="H196" s="7">
        <v>4493</v>
      </c>
      <c r="I196" s="19" t="s">
        <v>2</v>
      </c>
      <c r="J196" s="7" t="s">
        <v>586</v>
      </c>
      <c r="K196" s="16">
        <v>41417</v>
      </c>
      <c r="L196" s="17"/>
      <c r="M196" s="7"/>
      <c r="N196" s="7" t="s">
        <v>2</v>
      </c>
      <c r="O196" s="6">
        <v>1</v>
      </c>
      <c r="P196" s="7">
        <v>5.51</v>
      </c>
      <c r="Q196" s="6">
        <v>6.55</v>
      </c>
      <c r="R196" s="7">
        <v>3300</v>
      </c>
      <c r="S196" s="6">
        <v>70</v>
      </c>
      <c r="T196" s="7">
        <v>0.56999999999999995</v>
      </c>
      <c r="U196" s="6">
        <v>2.5</v>
      </c>
      <c r="V196" s="7">
        <v>0.01</v>
      </c>
      <c r="W196" s="6">
        <v>1.6</v>
      </c>
      <c r="X196" s="7">
        <v>0.62</v>
      </c>
      <c r="Y196" s="6">
        <v>8.6999999999999994E-2</v>
      </c>
      <c r="Z196" s="308">
        <v>1</v>
      </c>
      <c r="AA196" s="309">
        <v>0.49199999999999999</v>
      </c>
      <c r="AB196" s="7">
        <v>22</v>
      </c>
      <c r="AC196" s="6">
        <v>166</v>
      </c>
      <c r="AD196" s="27">
        <v>0.05</v>
      </c>
      <c r="AE196" s="7">
        <v>2.8</v>
      </c>
      <c r="AF196" s="7">
        <v>1.6</v>
      </c>
      <c r="AG196" s="331"/>
      <c r="AH196" s="3"/>
      <c r="AI196" s="24"/>
    </row>
    <row r="197" spans="1:35" ht="15" customHeight="1">
      <c r="A197" s="41" t="s">
        <v>38</v>
      </c>
      <c r="B197" s="7" t="s">
        <v>2410</v>
      </c>
      <c r="C197" s="7" t="s">
        <v>2411</v>
      </c>
      <c r="D197" s="14" t="s">
        <v>1896</v>
      </c>
      <c r="E197" s="7" t="s">
        <v>2412</v>
      </c>
      <c r="F197" s="7"/>
      <c r="G197" s="15" t="s">
        <v>2413</v>
      </c>
      <c r="H197" s="7">
        <v>4493</v>
      </c>
      <c r="I197" s="19" t="s">
        <v>1</v>
      </c>
      <c r="J197" s="7" t="s">
        <v>115</v>
      </c>
      <c r="K197" s="16">
        <v>41324</v>
      </c>
      <c r="L197" s="17">
        <v>41316</v>
      </c>
      <c r="M197" s="85">
        <f t="shared" ref="M197:M201" si="19">K197-L197</f>
        <v>8</v>
      </c>
      <c r="N197" s="7" t="s">
        <v>1</v>
      </c>
      <c r="O197" s="6">
        <v>2.5</v>
      </c>
      <c r="P197" s="7">
        <v>7.78</v>
      </c>
      <c r="Q197" s="6">
        <v>7.71</v>
      </c>
      <c r="R197" s="7">
        <v>120</v>
      </c>
      <c r="S197" s="6">
        <v>53</v>
      </c>
      <c r="T197" s="7">
        <v>1.5</v>
      </c>
      <c r="U197" s="6">
        <v>10</v>
      </c>
      <c r="V197" s="7">
        <v>0.43</v>
      </c>
      <c r="W197" s="6">
        <v>0.54</v>
      </c>
      <c r="X197" s="7">
        <v>0.27</v>
      </c>
      <c r="Y197" s="6">
        <v>2.1000000000000001E-2</v>
      </c>
      <c r="Z197" s="308">
        <v>1</v>
      </c>
      <c r="AA197" s="309">
        <v>1</v>
      </c>
      <c r="AB197" s="7">
        <v>65</v>
      </c>
      <c r="AC197" s="6">
        <v>405</v>
      </c>
      <c r="AD197" s="27">
        <v>0.95</v>
      </c>
      <c r="AE197" s="7">
        <v>3</v>
      </c>
      <c r="AF197" s="7">
        <v>1.6</v>
      </c>
      <c r="AG197" s="331">
        <v>800</v>
      </c>
      <c r="AH197" s="3"/>
      <c r="AI197" s="24"/>
    </row>
    <row r="198" spans="1:35" ht="15" customHeight="1">
      <c r="A198" s="41" t="s">
        <v>38</v>
      </c>
      <c r="B198" s="7" t="s">
        <v>2410</v>
      </c>
      <c r="C198" s="7" t="s">
        <v>2411</v>
      </c>
      <c r="D198" s="14" t="s">
        <v>1896</v>
      </c>
      <c r="E198" s="7" t="s">
        <v>2412</v>
      </c>
      <c r="F198" s="7"/>
      <c r="G198" s="15" t="s">
        <v>2413</v>
      </c>
      <c r="H198" s="7">
        <v>4493</v>
      </c>
      <c r="I198" s="19" t="s">
        <v>1</v>
      </c>
      <c r="J198" s="7" t="s">
        <v>81</v>
      </c>
      <c r="K198" s="16">
        <v>41324</v>
      </c>
      <c r="L198" s="17">
        <v>41316</v>
      </c>
      <c r="M198" s="85">
        <f t="shared" si="19"/>
        <v>8</v>
      </c>
      <c r="N198" s="7" t="s">
        <v>1</v>
      </c>
      <c r="O198" s="6">
        <v>2.5</v>
      </c>
      <c r="P198" s="7">
        <v>7.78</v>
      </c>
      <c r="Q198" s="6">
        <v>8.41</v>
      </c>
      <c r="R198" s="7">
        <v>20</v>
      </c>
      <c r="S198" s="6">
        <v>11</v>
      </c>
      <c r="T198" s="7">
        <v>0.15</v>
      </c>
      <c r="U198" s="6">
        <v>0.5</v>
      </c>
      <c r="V198" s="7">
        <v>0.28999999999999998</v>
      </c>
      <c r="W198" s="6">
        <v>0.13</v>
      </c>
      <c r="X198" s="7">
        <v>7.2999999999999995E-2</v>
      </c>
      <c r="Y198" s="6">
        <v>2.5999999999999999E-2</v>
      </c>
      <c r="Z198" s="308">
        <v>0.46700000000000003</v>
      </c>
      <c r="AA198" s="309">
        <v>0.26800000000000002</v>
      </c>
      <c r="AB198" s="7">
        <v>12</v>
      </c>
      <c r="AC198" s="6">
        <v>34</v>
      </c>
      <c r="AD198" s="27">
        <v>0</v>
      </c>
      <c r="AE198" s="7">
        <v>0.81</v>
      </c>
      <c r="AF198" s="7">
        <v>0.44</v>
      </c>
      <c r="AG198" s="331">
        <v>100</v>
      </c>
      <c r="AH198" s="3"/>
      <c r="AI198" s="24"/>
    </row>
    <row r="199" spans="1:35" ht="15" customHeight="1">
      <c r="A199" s="41" t="s">
        <v>38</v>
      </c>
      <c r="B199" s="7" t="s">
        <v>2410</v>
      </c>
      <c r="C199" s="7" t="s">
        <v>2411</v>
      </c>
      <c r="D199" s="14" t="s">
        <v>1896</v>
      </c>
      <c r="E199" s="7" t="s">
        <v>2412</v>
      </c>
      <c r="F199" s="7"/>
      <c r="G199" s="15" t="s">
        <v>2413</v>
      </c>
      <c r="H199" s="7">
        <v>4493</v>
      </c>
      <c r="I199" s="19" t="s">
        <v>1</v>
      </c>
      <c r="J199" s="7" t="s">
        <v>81</v>
      </c>
      <c r="K199" s="16">
        <v>41402</v>
      </c>
      <c r="L199" s="17">
        <v>41384</v>
      </c>
      <c r="M199" s="85">
        <f t="shared" si="19"/>
        <v>18</v>
      </c>
      <c r="N199" s="7" t="s">
        <v>2</v>
      </c>
      <c r="O199" s="6">
        <v>1</v>
      </c>
      <c r="P199" s="7">
        <v>6.59</v>
      </c>
      <c r="Q199" s="6">
        <v>7.73</v>
      </c>
      <c r="R199" s="7">
        <v>90</v>
      </c>
      <c r="S199" s="6">
        <v>294</v>
      </c>
      <c r="T199" s="7">
        <v>0.4</v>
      </c>
      <c r="U199" s="6">
        <v>1.58</v>
      </c>
      <c r="V199" s="7">
        <v>0.3</v>
      </c>
      <c r="W199" s="6">
        <v>0.78100000000000003</v>
      </c>
      <c r="X199" s="7">
        <v>0.51700000000000002</v>
      </c>
      <c r="Y199" s="6">
        <v>0.17499999999999999</v>
      </c>
      <c r="Z199" s="308"/>
      <c r="AA199" s="309"/>
      <c r="AB199" s="7"/>
      <c r="AC199" s="6"/>
      <c r="AD199" s="27"/>
      <c r="AE199" s="7">
        <v>11</v>
      </c>
      <c r="AF199" s="7">
        <v>8.82</v>
      </c>
      <c r="AG199" s="331">
        <v>50</v>
      </c>
      <c r="AH199" s="3"/>
      <c r="AI199" s="24"/>
    </row>
    <row r="200" spans="1:35" ht="15" customHeight="1">
      <c r="A200" s="41" t="s">
        <v>38</v>
      </c>
      <c r="B200" s="7" t="s">
        <v>2410</v>
      </c>
      <c r="C200" s="7" t="s">
        <v>2411</v>
      </c>
      <c r="D200" s="14" t="s">
        <v>1896</v>
      </c>
      <c r="E200" s="7" t="s">
        <v>2412</v>
      </c>
      <c r="F200" s="7"/>
      <c r="G200" s="15" t="s">
        <v>2413</v>
      </c>
      <c r="H200" s="7">
        <v>4493</v>
      </c>
      <c r="I200" s="19" t="s">
        <v>1</v>
      </c>
      <c r="J200" s="7" t="s">
        <v>115</v>
      </c>
      <c r="K200" s="16">
        <v>41402</v>
      </c>
      <c r="L200" s="17">
        <v>41384</v>
      </c>
      <c r="M200" s="85">
        <f t="shared" si="19"/>
        <v>18</v>
      </c>
      <c r="N200" s="7" t="s">
        <v>2</v>
      </c>
      <c r="O200" s="6">
        <v>1</v>
      </c>
      <c r="P200" s="7">
        <v>6.59</v>
      </c>
      <c r="Q200" s="6">
        <v>8.3800000000000008</v>
      </c>
      <c r="R200" s="7">
        <v>117</v>
      </c>
      <c r="S200" s="6">
        <v>3392</v>
      </c>
      <c r="T200" s="7">
        <v>9.92</v>
      </c>
      <c r="U200" s="6">
        <v>9.74</v>
      </c>
      <c r="V200" s="7">
        <v>0.05</v>
      </c>
      <c r="W200" s="6">
        <v>21.2</v>
      </c>
      <c r="X200" s="7">
        <v>7.47</v>
      </c>
      <c r="Y200" s="6">
        <v>0.96099999999999997</v>
      </c>
      <c r="Z200" s="308"/>
      <c r="AA200" s="309"/>
      <c r="AB200" s="7"/>
      <c r="AC200" s="6"/>
      <c r="AD200" s="27"/>
      <c r="AE200" s="7">
        <v>114</v>
      </c>
      <c r="AF200" s="7">
        <v>68</v>
      </c>
      <c r="AG200" s="331">
        <v>5000</v>
      </c>
      <c r="AH200" s="3"/>
      <c r="AI200" s="24"/>
    </row>
    <row r="201" spans="1:35" ht="15" customHeight="1">
      <c r="A201" s="41" t="s">
        <v>38</v>
      </c>
      <c r="B201" s="50" t="s">
        <v>1780</v>
      </c>
      <c r="D201" s="48" t="s">
        <v>1537</v>
      </c>
      <c r="G201" s="76" t="s">
        <v>1781</v>
      </c>
      <c r="I201" s="49" t="s">
        <v>2</v>
      </c>
      <c r="J201" s="50" t="s">
        <v>4478</v>
      </c>
      <c r="K201" s="51">
        <v>41402</v>
      </c>
      <c r="L201" s="115">
        <v>41365</v>
      </c>
      <c r="M201" s="85">
        <f t="shared" si="19"/>
        <v>37</v>
      </c>
      <c r="N201" s="50" t="s">
        <v>2</v>
      </c>
      <c r="O201" s="74">
        <v>2.7</v>
      </c>
      <c r="P201" s="50">
        <v>6.3</v>
      </c>
      <c r="Q201" s="74">
        <v>6.64</v>
      </c>
      <c r="R201" s="50">
        <v>123</v>
      </c>
      <c r="S201" s="74">
        <v>1950</v>
      </c>
      <c r="T201" s="50">
        <v>0.10199999999999999</v>
      </c>
      <c r="U201" s="74">
        <v>2.73</v>
      </c>
      <c r="V201" s="50">
        <v>0.17299999999999999</v>
      </c>
      <c r="W201" s="74">
        <v>7.52</v>
      </c>
      <c r="X201" s="50">
        <v>2.17</v>
      </c>
      <c r="Y201" s="74">
        <v>0.43</v>
      </c>
      <c r="Z201" s="166">
        <v>6.25E-2</v>
      </c>
      <c r="AA201" s="167">
        <v>6.25E-2</v>
      </c>
      <c r="AB201" s="50">
        <v>16</v>
      </c>
      <c r="AC201" s="74">
        <v>42</v>
      </c>
      <c r="AD201" s="166">
        <v>0</v>
      </c>
      <c r="AE201" s="50">
        <v>42.1</v>
      </c>
      <c r="AF201" s="50">
        <v>22.9</v>
      </c>
      <c r="AI201" s="97"/>
    </row>
    <row r="202" spans="1:35" ht="15" customHeight="1">
      <c r="A202" s="41" t="s">
        <v>38</v>
      </c>
      <c r="B202" s="50" t="s">
        <v>2444</v>
      </c>
      <c r="C202" s="50" t="s">
        <v>2592</v>
      </c>
      <c r="D202" s="48" t="s">
        <v>567</v>
      </c>
      <c r="E202" s="50" t="s">
        <v>2383</v>
      </c>
      <c r="G202" s="76" t="s">
        <v>2446</v>
      </c>
      <c r="H202" s="50">
        <v>4493</v>
      </c>
      <c r="J202" s="50" t="s">
        <v>115</v>
      </c>
      <c r="K202" s="51">
        <v>40955</v>
      </c>
      <c r="L202" s="115"/>
      <c r="N202" s="50" t="s">
        <v>2</v>
      </c>
      <c r="O202" s="74">
        <f>5/2</f>
        <v>2.5</v>
      </c>
      <c r="Q202" s="74">
        <v>7.05</v>
      </c>
      <c r="R202" s="50">
        <v>320</v>
      </c>
      <c r="S202" s="74">
        <v>84</v>
      </c>
      <c r="T202" s="50">
        <v>0.38</v>
      </c>
      <c r="U202" s="74">
        <f>1/2</f>
        <v>0.5</v>
      </c>
      <c r="V202" s="50">
        <v>7.4</v>
      </c>
      <c r="W202" s="74">
        <v>0.22</v>
      </c>
      <c r="X202" s="50">
        <v>0.25</v>
      </c>
      <c r="Y202" s="74">
        <f>0.013/2</f>
        <v>6.4999999999999997E-3</v>
      </c>
      <c r="Z202" s="166">
        <v>0.435</v>
      </c>
      <c r="AA202" s="167">
        <v>0.35399999999999998</v>
      </c>
      <c r="AB202" s="50">
        <v>2600</v>
      </c>
      <c r="AC202" s="74">
        <v>18469</v>
      </c>
      <c r="AD202" s="166">
        <v>0</v>
      </c>
      <c r="AI202" s="97"/>
    </row>
    <row r="203" spans="1:35" ht="15" customHeight="1">
      <c r="A203" s="41" t="s">
        <v>38</v>
      </c>
      <c r="B203" s="50" t="s">
        <v>4479</v>
      </c>
      <c r="C203" s="50" t="s">
        <v>4480</v>
      </c>
      <c r="D203" s="48" t="s">
        <v>1537</v>
      </c>
      <c r="E203" s="50" t="s">
        <v>4481</v>
      </c>
      <c r="G203" s="76" t="s">
        <v>4482</v>
      </c>
      <c r="J203" s="50" t="s">
        <v>1376</v>
      </c>
      <c r="K203" s="51">
        <v>41499</v>
      </c>
      <c r="L203" s="115"/>
      <c r="N203" s="50" t="s">
        <v>2</v>
      </c>
      <c r="O203" s="74">
        <v>1.29</v>
      </c>
      <c r="P203" s="50">
        <v>6.98</v>
      </c>
      <c r="Q203" s="74">
        <v>6.9</v>
      </c>
      <c r="R203" s="50">
        <v>92</v>
      </c>
      <c r="S203" s="74">
        <v>15</v>
      </c>
      <c r="T203" s="50">
        <v>0.21</v>
      </c>
      <c r="U203" s="74">
        <v>0.91400000000000003</v>
      </c>
      <c r="V203" s="50">
        <v>0.71199999999999997</v>
      </c>
      <c r="W203" s="74">
        <v>0.49399999999999999</v>
      </c>
      <c r="X203" s="50">
        <v>0.38</v>
      </c>
      <c r="Y203" s="74">
        <v>7.9399999999999991E-3</v>
      </c>
      <c r="Z203" s="166">
        <v>0.125</v>
      </c>
      <c r="AA203" s="167">
        <v>6.25E-2</v>
      </c>
      <c r="AB203" s="50">
        <v>50.2</v>
      </c>
      <c r="AC203" s="74">
        <v>614</v>
      </c>
      <c r="AD203" s="166">
        <v>0</v>
      </c>
      <c r="AI203" s="97"/>
    </row>
    <row r="204" spans="1:35" ht="15" customHeight="1">
      <c r="A204" s="41" t="s">
        <v>38</v>
      </c>
      <c r="B204" s="50" t="s">
        <v>1604</v>
      </c>
      <c r="C204" s="50" t="s">
        <v>1604</v>
      </c>
      <c r="D204" s="48" t="s">
        <v>1569</v>
      </c>
      <c r="E204" s="50" t="s">
        <v>1605</v>
      </c>
      <c r="G204" s="76" t="s">
        <v>1606</v>
      </c>
      <c r="H204" s="50">
        <v>4493</v>
      </c>
      <c r="I204" s="49" t="s">
        <v>2</v>
      </c>
      <c r="J204" s="50" t="s">
        <v>4483</v>
      </c>
      <c r="K204" s="51">
        <v>41499</v>
      </c>
      <c r="L204" s="115">
        <v>41495</v>
      </c>
      <c r="M204" s="85">
        <f t="shared" ref="M204:M216" si="20">K204-L204</f>
        <v>4</v>
      </c>
      <c r="N204" s="50" t="s">
        <v>2</v>
      </c>
      <c r="O204" s="74">
        <v>1.5</v>
      </c>
      <c r="P204" s="50">
        <v>6</v>
      </c>
      <c r="Q204" s="74">
        <v>7.71</v>
      </c>
      <c r="R204" s="50">
        <v>243</v>
      </c>
      <c r="S204" s="74">
        <v>130</v>
      </c>
      <c r="T204" s="50">
        <v>1.66</v>
      </c>
      <c r="U204" s="74">
        <v>18.600000000000001</v>
      </c>
      <c r="V204" s="50">
        <v>1.2</v>
      </c>
      <c r="W204" s="74">
        <v>9.39</v>
      </c>
      <c r="X204" s="50">
        <v>1.94</v>
      </c>
      <c r="Y204" s="74">
        <v>2.1000000000000001E-2</v>
      </c>
      <c r="AE204" s="50">
        <v>3.25</v>
      </c>
      <c r="AF204" s="50">
        <v>1.81</v>
      </c>
      <c r="AI204" s="97"/>
    </row>
    <row r="205" spans="1:35" ht="15" customHeight="1">
      <c r="A205" s="41" t="s">
        <v>38</v>
      </c>
      <c r="B205" s="50" t="s">
        <v>1731</v>
      </c>
      <c r="D205" s="48" t="s">
        <v>1569</v>
      </c>
      <c r="E205" s="50" t="s">
        <v>1605</v>
      </c>
      <c r="G205" s="76" t="s">
        <v>1732</v>
      </c>
      <c r="H205" s="50">
        <v>4493</v>
      </c>
      <c r="I205" s="49" t="s">
        <v>1</v>
      </c>
      <c r="J205" s="50" t="s">
        <v>1733</v>
      </c>
      <c r="K205" s="51">
        <v>41499</v>
      </c>
      <c r="L205" s="115">
        <v>41495</v>
      </c>
      <c r="M205" s="85">
        <f t="shared" si="20"/>
        <v>4</v>
      </c>
      <c r="N205" s="50" t="s">
        <v>2</v>
      </c>
      <c r="O205" s="74">
        <v>5</v>
      </c>
      <c r="P205" s="50">
        <v>6</v>
      </c>
      <c r="Q205" s="74">
        <v>6.93</v>
      </c>
      <c r="R205" s="50">
        <v>189</v>
      </c>
      <c r="S205" s="74">
        <v>52</v>
      </c>
      <c r="T205" s="50">
        <v>1</v>
      </c>
      <c r="U205" s="74">
        <v>2.79</v>
      </c>
      <c r="V205" s="50">
        <v>0.9</v>
      </c>
      <c r="W205" s="74">
        <v>3.78</v>
      </c>
      <c r="X205" s="50">
        <v>2.71</v>
      </c>
      <c r="Y205" s="74">
        <v>6.7000000000000004E-2</v>
      </c>
      <c r="AE205" s="50">
        <v>2.15</v>
      </c>
      <c r="AF205" s="50">
        <v>1.18</v>
      </c>
      <c r="AG205" s="328">
        <v>20</v>
      </c>
      <c r="AI205" s="97"/>
    </row>
    <row r="206" spans="1:35" ht="15" customHeight="1">
      <c r="A206" s="41" t="s">
        <v>38</v>
      </c>
      <c r="B206" s="50" t="s">
        <v>4484</v>
      </c>
      <c r="C206" s="50" t="s">
        <v>4485</v>
      </c>
      <c r="D206" s="48" t="s">
        <v>262</v>
      </c>
      <c r="E206" s="50" t="s">
        <v>4486</v>
      </c>
      <c r="G206" s="76" t="s">
        <v>1399</v>
      </c>
      <c r="H206" s="50">
        <v>4493</v>
      </c>
      <c r="I206" s="49" t="s">
        <v>2</v>
      </c>
      <c r="J206" s="50" t="s">
        <v>1700</v>
      </c>
      <c r="K206" s="51">
        <v>41428</v>
      </c>
      <c r="L206" s="115">
        <v>41419</v>
      </c>
      <c r="M206" s="85">
        <f t="shared" si="20"/>
        <v>9</v>
      </c>
      <c r="N206" s="50" t="s">
        <v>2</v>
      </c>
      <c r="O206" s="74">
        <f>5/2</f>
        <v>2.5</v>
      </c>
      <c r="P206" s="50">
        <v>6.23</v>
      </c>
      <c r="Q206" s="74">
        <v>4.88</v>
      </c>
      <c r="R206" s="50">
        <v>11</v>
      </c>
      <c r="S206" s="74">
        <v>3</v>
      </c>
      <c r="T206" s="50">
        <f>0.04/2</f>
        <v>0.02</v>
      </c>
      <c r="U206" s="74">
        <v>1.0900000000000001</v>
      </c>
      <c r="V206" s="50">
        <v>1.33</v>
      </c>
      <c r="W206" s="74">
        <v>3.2000000000000001E-2</v>
      </c>
      <c r="X206" s="50">
        <v>0.09</v>
      </c>
      <c r="Y206" s="74">
        <v>3.0000000000000001E-3</v>
      </c>
      <c r="AE206" s="50">
        <v>0.06</v>
      </c>
      <c r="AF206" s="50">
        <f>0.1/2</f>
        <v>0.05</v>
      </c>
      <c r="AI206" s="97"/>
    </row>
    <row r="207" spans="1:35" ht="15" customHeight="1">
      <c r="A207" s="235" t="s">
        <v>38</v>
      </c>
      <c r="B207" s="50" t="s">
        <v>4484</v>
      </c>
      <c r="C207" s="50" t="s">
        <v>4485</v>
      </c>
      <c r="D207" s="48" t="s">
        <v>262</v>
      </c>
      <c r="E207" s="50" t="s">
        <v>4486</v>
      </c>
      <c r="G207" s="76" t="s">
        <v>1399</v>
      </c>
      <c r="H207" s="50">
        <v>4493</v>
      </c>
      <c r="I207" s="49" t="s">
        <v>2</v>
      </c>
      <c r="J207" s="50" t="s">
        <v>1701</v>
      </c>
      <c r="K207" s="51">
        <v>41428</v>
      </c>
      <c r="L207" s="115">
        <v>41419</v>
      </c>
      <c r="M207" s="85">
        <f t="shared" si="20"/>
        <v>9</v>
      </c>
      <c r="N207" s="50" t="s">
        <v>2</v>
      </c>
      <c r="O207" s="74">
        <f>5/2</f>
        <v>2.5</v>
      </c>
      <c r="P207" s="50">
        <v>3.58</v>
      </c>
      <c r="Q207" s="74">
        <v>4.97</v>
      </c>
      <c r="R207" s="50">
        <v>8</v>
      </c>
      <c r="S207" s="74">
        <v>3</v>
      </c>
      <c r="T207" s="50">
        <f>0.04/2</f>
        <v>0.02</v>
      </c>
      <c r="U207" s="74">
        <v>0.68</v>
      </c>
      <c r="V207" s="50">
        <v>1.1499999999999999</v>
      </c>
      <c r="W207" s="74">
        <v>4.4999999999999998E-2</v>
      </c>
      <c r="X207" s="50">
        <v>0.1</v>
      </c>
      <c r="Y207" s="74">
        <v>5.0000000000000001E-3</v>
      </c>
      <c r="AE207" s="50">
        <v>0.14000000000000001</v>
      </c>
      <c r="AF207" s="50">
        <f>0.1/2</f>
        <v>0.05</v>
      </c>
      <c r="AI207" s="97"/>
    </row>
    <row r="208" spans="1:35" ht="15" customHeight="1">
      <c r="A208" s="41" t="s">
        <v>38</v>
      </c>
      <c r="B208" s="50" t="s">
        <v>4487</v>
      </c>
      <c r="C208" s="50" t="s">
        <v>4488</v>
      </c>
      <c r="D208" s="48" t="s">
        <v>406</v>
      </c>
      <c r="E208" s="50" t="s">
        <v>1588</v>
      </c>
      <c r="G208" s="76" t="s">
        <v>1589</v>
      </c>
      <c r="H208" s="50">
        <v>5551</v>
      </c>
      <c r="I208" s="49" t="s">
        <v>1</v>
      </c>
      <c r="J208" s="50" t="s">
        <v>1590</v>
      </c>
      <c r="K208" s="51">
        <v>41495</v>
      </c>
      <c r="L208" s="115">
        <v>41456</v>
      </c>
      <c r="M208" s="85">
        <f t="shared" si="20"/>
        <v>39</v>
      </c>
      <c r="N208" s="50" t="s">
        <v>2</v>
      </c>
      <c r="O208" s="74">
        <f>5/2</f>
        <v>2.5</v>
      </c>
      <c r="P208" s="50">
        <v>5</v>
      </c>
      <c r="Q208" s="74">
        <v>6.96</v>
      </c>
      <c r="R208" s="50">
        <v>121</v>
      </c>
      <c r="S208" s="74">
        <v>174</v>
      </c>
      <c r="T208" s="50">
        <v>0.33</v>
      </c>
      <c r="U208" s="74">
        <v>2.0499999999999998</v>
      </c>
      <c r="V208" s="50">
        <v>2.4500000000000002</v>
      </c>
      <c r="W208" s="74">
        <v>1.27</v>
      </c>
      <c r="X208" s="50">
        <v>0.39</v>
      </c>
      <c r="Y208" s="74">
        <v>1.4E-2</v>
      </c>
      <c r="AE208" s="50">
        <v>9.8800000000000008</v>
      </c>
      <c r="AF208" s="50">
        <v>6.43</v>
      </c>
      <c r="AG208" s="328">
        <v>118</v>
      </c>
      <c r="AI208" s="97"/>
    </row>
    <row r="209" spans="1:35" ht="15" customHeight="1">
      <c r="A209" s="41" t="s">
        <v>38</v>
      </c>
      <c r="B209" s="50" t="s">
        <v>1591</v>
      </c>
      <c r="D209" s="48" t="s">
        <v>1569</v>
      </c>
      <c r="E209" s="50" t="s">
        <v>1579</v>
      </c>
      <c r="G209" s="76" t="s">
        <v>1592</v>
      </c>
      <c r="H209" s="50">
        <v>4493</v>
      </c>
      <c r="I209" s="49" t="s">
        <v>1</v>
      </c>
      <c r="J209" s="50" t="s">
        <v>4489</v>
      </c>
      <c r="K209" s="51">
        <v>41499</v>
      </c>
      <c r="L209" s="115">
        <v>41495</v>
      </c>
      <c r="M209" s="85">
        <f t="shared" si="20"/>
        <v>4</v>
      </c>
      <c r="N209" s="50" t="s">
        <v>2</v>
      </c>
      <c r="O209" s="74">
        <v>91</v>
      </c>
      <c r="P209" s="50">
        <v>6</v>
      </c>
      <c r="Q209" s="74">
        <v>7.71</v>
      </c>
      <c r="R209" s="50">
        <v>137</v>
      </c>
      <c r="S209" s="74">
        <v>39</v>
      </c>
      <c r="T209" s="50">
        <v>0.43</v>
      </c>
      <c r="U209" s="74">
        <v>1.1100000000000001</v>
      </c>
      <c r="V209" s="50">
        <v>0.75</v>
      </c>
      <c r="W209" s="74">
        <v>1.23</v>
      </c>
      <c r="X209" s="50">
        <v>0.19600000000000001</v>
      </c>
      <c r="Y209" s="74">
        <v>2.1999999999999999E-2</v>
      </c>
      <c r="AE209" s="50">
        <v>0.77</v>
      </c>
      <c r="AF209" s="50">
        <v>0.436</v>
      </c>
      <c r="AG209" s="328">
        <f>10/2</f>
        <v>5</v>
      </c>
      <c r="AI209" s="97"/>
    </row>
    <row r="210" spans="1:35" ht="15" customHeight="1">
      <c r="A210" s="41" t="s">
        <v>38</v>
      </c>
      <c r="B210" s="50" t="s">
        <v>4490</v>
      </c>
      <c r="C210" s="50" t="s">
        <v>678</v>
      </c>
      <c r="D210" s="48" t="s">
        <v>567</v>
      </c>
      <c r="E210" s="50" t="s">
        <v>304</v>
      </c>
      <c r="G210" s="76" t="s">
        <v>679</v>
      </c>
      <c r="H210" s="50">
        <v>4493</v>
      </c>
      <c r="I210" s="49" t="s">
        <v>1</v>
      </c>
      <c r="J210" s="50" t="s">
        <v>641</v>
      </c>
      <c r="K210" s="51">
        <v>41499</v>
      </c>
      <c r="L210" s="115">
        <v>41495</v>
      </c>
      <c r="M210" s="85">
        <f t="shared" si="20"/>
        <v>4</v>
      </c>
      <c r="N210" s="50" t="s">
        <v>2</v>
      </c>
      <c r="O210" s="74">
        <f>5/2</f>
        <v>2.5</v>
      </c>
      <c r="P210" s="50">
        <v>5.3</v>
      </c>
      <c r="Q210" s="74">
        <v>6.88</v>
      </c>
      <c r="R210" s="50">
        <v>65</v>
      </c>
      <c r="S210" s="74">
        <v>24</v>
      </c>
      <c r="T210" s="50">
        <v>0.12</v>
      </c>
      <c r="U210" s="74">
        <v>1.2</v>
      </c>
      <c r="V210" s="50">
        <v>1.1000000000000001</v>
      </c>
      <c r="W210" s="74">
        <v>0.73</v>
      </c>
      <c r="X210" s="50">
        <v>0.27</v>
      </c>
      <c r="Y210" s="74">
        <f>0.013/2</f>
        <v>6.4999999999999997E-3</v>
      </c>
      <c r="AE210" s="50">
        <v>0.85</v>
      </c>
      <c r="AF210" s="50">
        <v>0.37</v>
      </c>
      <c r="AI210" s="97"/>
    </row>
    <row r="211" spans="1:35" ht="15" customHeight="1">
      <c r="A211" s="235" t="s">
        <v>38</v>
      </c>
      <c r="B211" s="50" t="s">
        <v>4490</v>
      </c>
      <c r="C211" s="50" t="s">
        <v>678</v>
      </c>
      <c r="D211" s="48" t="s">
        <v>567</v>
      </c>
      <c r="E211" s="50" t="s">
        <v>304</v>
      </c>
      <c r="G211" s="76" t="s">
        <v>679</v>
      </c>
      <c r="H211" s="50">
        <v>4493</v>
      </c>
      <c r="I211" s="49" t="s">
        <v>1</v>
      </c>
      <c r="J211" s="77" t="s">
        <v>643</v>
      </c>
      <c r="K211" s="51">
        <v>41499</v>
      </c>
      <c r="L211" s="115">
        <v>41495</v>
      </c>
      <c r="M211" s="85">
        <f t="shared" si="20"/>
        <v>4</v>
      </c>
      <c r="N211" s="50" t="s">
        <v>2</v>
      </c>
      <c r="O211" s="74">
        <f>5/2</f>
        <v>2.5</v>
      </c>
      <c r="P211" s="50">
        <v>5.3</v>
      </c>
      <c r="Q211" s="74">
        <v>7.31</v>
      </c>
      <c r="R211" s="50">
        <v>95</v>
      </c>
      <c r="S211" s="74">
        <v>48</v>
      </c>
      <c r="T211" s="50">
        <v>0.15</v>
      </c>
      <c r="U211" s="74">
        <v>1.3</v>
      </c>
      <c r="V211" s="50">
        <v>1.2</v>
      </c>
      <c r="W211" s="74">
        <v>9.2999999999999999E-2</v>
      </c>
      <c r="X211" s="50">
        <v>0.13</v>
      </c>
      <c r="Y211" s="74">
        <v>3.2000000000000001E-2</v>
      </c>
      <c r="AE211" s="50">
        <v>1.6</v>
      </c>
      <c r="AF211" s="50">
        <v>0.89</v>
      </c>
      <c r="AI211" s="97"/>
    </row>
    <row r="212" spans="1:35" ht="15" customHeight="1">
      <c r="A212" s="41" t="s">
        <v>38</v>
      </c>
      <c r="B212" s="50" t="s">
        <v>4491</v>
      </c>
      <c r="C212" s="50" t="s">
        <v>4492</v>
      </c>
      <c r="D212" s="48" t="s">
        <v>2374</v>
      </c>
      <c r="E212" s="50" t="s">
        <v>4493</v>
      </c>
      <c r="G212" s="76" t="s">
        <v>4494</v>
      </c>
      <c r="H212" s="50">
        <v>4993</v>
      </c>
      <c r="I212" s="49" t="s">
        <v>1</v>
      </c>
      <c r="J212" s="50" t="s">
        <v>4492</v>
      </c>
      <c r="K212" s="51">
        <v>41499</v>
      </c>
      <c r="L212" s="115">
        <v>41495</v>
      </c>
      <c r="M212" s="85">
        <f t="shared" si="20"/>
        <v>4</v>
      </c>
      <c r="N212" s="50" t="s">
        <v>2</v>
      </c>
      <c r="O212" s="74">
        <f>5/2</f>
        <v>2.5</v>
      </c>
      <c r="P212" s="50">
        <v>7.38</v>
      </c>
      <c r="Q212" s="74">
        <v>8</v>
      </c>
      <c r="R212" s="50">
        <v>175</v>
      </c>
      <c r="S212" s="74">
        <v>4</v>
      </c>
      <c r="T212" s="50">
        <v>0.94</v>
      </c>
      <c r="U212" s="74">
        <v>1.31</v>
      </c>
      <c r="V212" s="50">
        <v>0.94</v>
      </c>
      <c r="W212" s="74">
        <v>1.0999999999999999E-2</v>
      </c>
      <c r="X212" s="50">
        <f>0.02/2</f>
        <v>0.01</v>
      </c>
      <c r="Y212" s="74">
        <f>0.001/2</f>
        <v>5.0000000000000001E-4</v>
      </c>
      <c r="Z212" s="166">
        <v>0.5</v>
      </c>
      <c r="AA212" s="167">
        <v>0.35399999999999998</v>
      </c>
      <c r="AB212" s="50">
        <v>1207</v>
      </c>
      <c r="AC212" s="74">
        <v>7670</v>
      </c>
      <c r="AD212" s="166">
        <v>0</v>
      </c>
      <c r="AE212" s="50">
        <v>0.37</v>
      </c>
      <c r="AF212" s="50">
        <f>0.1/2</f>
        <v>0.05</v>
      </c>
      <c r="AG212" s="328">
        <v>344.8</v>
      </c>
      <c r="AI212" s="97"/>
    </row>
    <row r="213" spans="1:35" ht="15" customHeight="1">
      <c r="A213" s="41" t="s">
        <v>38</v>
      </c>
      <c r="B213" s="50" t="s">
        <v>4495</v>
      </c>
      <c r="C213" s="50" t="s">
        <v>1583</v>
      </c>
      <c r="D213" s="48" t="s">
        <v>1569</v>
      </c>
      <c r="E213" s="50" t="s">
        <v>1584</v>
      </c>
      <c r="G213" s="76" t="s">
        <v>1585</v>
      </c>
      <c r="I213" s="49" t="s">
        <v>2</v>
      </c>
      <c r="J213" s="50" t="s">
        <v>569</v>
      </c>
      <c r="K213" s="51">
        <v>41495</v>
      </c>
      <c r="L213" s="115">
        <v>41490</v>
      </c>
      <c r="M213" s="85">
        <f t="shared" si="20"/>
        <v>5</v>
      </c>
      <c r="N213" s="50" t="s">
        <v>2</v>
      </c>
      <c r="O213" s="74">
        <f>5/2</f>
        <v>2.5</v>
      </c>
      <c r="P213" s="50">
        <v>6.3</v>
      </c>
      <c r="Q213" s="74">
        <v>7.38</v>
      </c>
      <c r="R213" s="50">
        <v>48</v>
      </c>
      <c r="S213" s="74">
        <v>46</v>
      </c>
      <c r="T213" s="50">
        <v>0.18</v>
      </c>
      <c r="U213" s="74">
        <v>1.46</v>
      </c>
      <c r="V213" s="50">
        <v>6.67</v>
      </c>
      <c r="W213" s="74">
        <v>0.42</v>
      </c>
      <c r="X213" s="50">
        <v>0.14000000000000001</v>
      </c>
      <c r="Y213" s="74">
        <v>2.5000000000000001E-2</v>
      </c>
      <c r="AE213" s="50">
        <v>4.26</v>
      </c>
      <c r="AF213" s="50">
        <v>2.82</v>
      </c>
      <c r="AI213" s="97"/>
    </row>
    <row r="214" spans="1:35" ht="15" customHeight="1">
      <c r="A214" s="41" t="s">
        <v>38</v>
      </c>
      <c r="B214" s="50" t="s">
        <v>4496</v>
      </c>
      <c r="D214" s="48" t="s">
        <v>1537</v>
      </c>
      <c r="E214" s="50" t="s">
        <v>4497</v>
      </c>
      <c r="G214" s="76" t="s">
        <v>4498</v>
      </c>
      <c r="I214" s="49" t="s">
        <v>2</v>
      </c>
      <c r="J214" s="50" t="s">
        <v>4499</v>
      </c>
      <c r="K214" s="51">
        <v>41508</v>
      </c>
      <c r="L214" s="115">
        <v>41504</v>
      </c>
      <c r="M214" s="85">
        <f t="shared" si="20"/>
        <v>4</v>
      </c>
      <c r="N214" s="50" t="s">
        <v>2</v>
      </c>
      <c r="O214" s="74">
        <v>1.53</v>
      </c>
      <c r="Q214" s="74">
        <v>5.22</v>
      </c>
      <c r="R214" s="50">
        <v>40</v>
      </c>
      <c r="S214" s="74">
        <f>10/2</f>
        <v>5</v>
      </c>
      <c r="T214" s="50">
        <v>0.14499999999999999</v>
      </c>
      <c r="U214" s="74">
        <v>1.26</v>
      </c>
      <c r="V214" s="50">
        <v>0.3</v>
      </c>
      <c r="W214" s="74">
        <v>0.4</v>
      </c>
      <c r="X214" s="50">
        <v>0.29799999999999999</v>
      </c>
      <c r="Y214" s="74">
        <v>3.2300000000000002E-2</v>
      </c>
      <c r="Z214" s="166">
        <v>0.17699999999999999</v>
      </c>
      <c r="AA214" s="167">
        <v>0.17699999999999999</v>
      </c>
      <c r="AB214" s="50">
        <v>9.8000000000000007</v>
      </c>
      <c r="AC214" s="74">
        <v>52.1</v>
      </c>
      <c r="AD214" s="166">
        <v>0</v>
      </c>
      <c r="AE214" s="50">
        <v>0.19600000000000001</v>
      </c>
      <c r="AF214" s="50">
        <f>0.01/2</f>
        <v>5.0000000000000001E-3</v>
      </c>
      <c r="AI214" s="97"/>
    </row>
    <row r="215" spans="1:35" ht="15" customHeight="1">
      <c r="A215" s="41" t="s">
        <v>38</v>
      </c>
      <c r="B215" s="50" t="s">
        <v>4500</v>
      </c>
      <c r="C215" s="50" t="s">
        <v>2667</v>
      </c>
      <c r="D215" s="48" t="s">
        <v>98</v>
      </c>
      <c r="E215" s="50" t="s">
        <v>1546</v>
      </c>
      <c r="G215" s="76" t="s">
        <v>1751</v>
      </c>
      <c r="H215" s="50">
        <v>4493</v>
      </c>
      <c r="I215" s="49" t="s">
        <v>1</v>
      </c>
      <c r="J215" s="50" t="s">
        <v>4501</v>
      </c>
      <c r="K215" s="51">
        <v>41499</v>
      </c>
      <c r="L215" s="115">
        <v>41495</v>
      </c>
      <c r="M215" s="85">
        <f t="shared" si="20"/>
        <v>4</v>
      </c>
      <c r="N215" s="50" t="s">
        <v>2</v>
      </c>
      <c r="O215" s="74">
        <f>1.4/2</f>
        <v>0.7</v>
      </c>
      <c r="P215" s="50">
        <v>6</v>
      </c>
      <c r="Q215" s="74">
        <v>8.07</v>
      </c>
      <c r="R215" s="50">
        <v>37</v>
      </c>
      <c r="S215" s="74">
        <v>14</v>
      </c>
      <c r="T215" s="50">
        <v>0.21</v>
      </c>
      <c r="U215" s="74">
        <v>0.54</v>
      </c>
      <c r="V215" s="50">
        <v>1.02</v>
      </c>
      <c r="W215" s="74">
        <v>0.224</v>
      </c>
      <c r="X215" s="50">
        <v>4.9000000000000002E-2</v>
      </c>
      <c r="Y215" s="74">
        <f>0.002/2</f>
        <v>1E-3</v>
      </c>
      <c r="AE215" s="50">
        <v>0.86299999999999999</v>
      </c>
      <c r="AF215" s="50">
        <v>0.80400000000000005</v>
      </c>
      <c r="AI215" s="97"/>
    </row>
    <row r="216" spans="1:35" ht="15" customHeight="1">
      <c r="A216" s="41" t="s">
        <v>38</v>
      </c>
      <c r="B216" s="50" t="s">
        <v>4505</v>
      </c>
      <c r="D216" s="48" t="s">
        <v>2274</v>
      </c>
      <c r="E216" s="50" t="s">
        <v>4502</v>
      </c>
      <c r="G216" s="76" t="s">
        <v>4503</v>
      </c>
      <c r="H216" s="50">
        <v>7997</v>
      </c>
      <c r="I216" s="49" t="s">
        <v>1</v>
      </c>
      <c r="J216" s="50" t="s">
        <v>4504</v>
      </c>
      <c r="K216" s="51">
        <v>41487</v>
      </c>
      <c r="L216" s="115">
        <v>41481</v>
      </c>
      <c r="M216" s="85">
        <f t="shared" si="20"/>
        <v>6</v>
      </c>
      <c r="N216" s="50" t="s">
        <v>2</v>
      </c>
      <c r="O216" s="74">
        <v>2.2000000000000002</v>
      </c>
      <c r="P216" s="50">
        <v>5.48</v>
      </c>
      <c r="Q216" s="74">
        <v>5.77</v>
      </c>
      <c r="R216" s="50">
        <v>44.7</v>
      </c>
      <c r="S216" s="74">
        <v>8</v>
      </c>
      <c r="T216" s="50">
        <v>0.17599999999999999</v>
      </c>
      <c r="U216" s="74">
        <v>2.52</v>
      </c>
      <c r="V216" s="50">
        <v>0.84</v>
      </c>
      <c r="W216" s="74">
        <v>1.06</v>
      </c>
      <c r="X216" s="50">
        <v>0.749</v>
      </c>
      <c r="Y216" s="74">
        <v>1.66E-2</v>
      </c>
      <c r="Z216" s="166">
        <v>6.25E-2</v>
      </c>
      <c r="AA216" s="167">
        <v>6.25E-2</v>
      </c>
      <c r="AB216" s="50">
        <v>40</v>
      </c>
      <c r="AC216" s="74">
        <v>173</v>
      </c>
      <c r="AD216" s="166">
        <v>0</v>
      </c>
      <c r="AE216" s="50">
        <v>0.20899999999999999</v>
      </c>
      <c r="AF216" s="50">
        <v>8.9499999999999996E-2</v>
      </c>
      <c r="AI216" s="97"/>
    </row>
    <row r="217" spans="1:35" ht="15" customHeight="1">
      <c r="A217" s="41" t="s">
        <v>38</v>
      </c>
      <c r="B217" s="50" t="s">
        <v>1758</v>
      </c>
      <c r="D217" s="48" t="s">
        <v>1759</v>
      </c>
      <c r="G217" s="76" t="s">
        <v>1760</v>
      </c>
      <c r="J217" s="50" t="s">
        <v>2415</v>
      </c>
      <c r="K217" s="51">
        <v>41499</v>
      </c>
      <c r="L217" s="115"/>
      <c r="N217" s="50" t="s">
        <v>2</v>
      </c>
      <c r="O217" s="74">
        <f>1/2</f>
        <v>0.5</v>
      </c>
      <c r="P217" s="50">
        <v>6.56</v>
      </c>
      <c r="Q217" s="74">
        <v>7.11</v>
      </c>
      <c r="R217" s="50">
        <v>21</v>
      </c>
      <c r="S217" s="74">
        <f>1/2</f>
        <v>0.5</v>
      </c>
      <c r="T217" s="50">
        <v>0.23</v>
      </c>
      <c r="U217" s="74">
        <v>3.22</v>
      </c>
      <c r="V217" s="50">
        <v>1.04</v>
      </c>
      <c r="W217" s="74">
        <v>0.09</v>
      </c>
      <c r="X217" s="50">
        <v>0.15</v>
      </c>
      <c r="Y217" s="74">
        <f>0.05/2</f>
        <v>2.5000000000000001E-2</v>
      </c>
      <c r="Z217" s="166">
        <v>1</v>
      </c>
      <c r="AA217" s="167">
        <v>1</v>
      </c>
      <c r="AB217" s="50">
        <v>3</v>
      </c>
      <c r="AC217" s="74">
        <v>43</v>
      </c>
      <c r="AD217" s="166">
        <v>1</v>
      </c>
      <c r="AE217" s="50">
        <v>0.64</v>
      </c>
      <c r="AF217" s="50">
        <v>0.86</v>
      </c>
      <c r="AG217" s="328">
        <v>6</v>
      </c>
      <c r="AH217" s="114">
        <v>342</v>
      </c>
      <c r="AI217" s="97"/>
    </row>
    <row r="218" spans="1:35" ht="15" customHeight="1">
      <c r="A218" s="41" t="s">
        <v>38</v>
      </c>
      <c r="B218" s="50" t="s">
        <v>2428</v>
      </c>
      <c r="C218" s="50" t="s">
        <v>2428</v>
      </c>
      <c r="D218" s="48" t="s">
        <v>434</v>
      </c>
      <c r="G218" s="76" t="s">
        <v>2429</v>
      </c>
      <c r="J218" s="50" t="s">
        <v>3887</v>
      </c>
      <c r="K218" s="51">
        <v>41466</v>
      </c>
      <c r="L218" s="115">
        <v>41457</v>
      </c>
      <c r="M218" s="85">
        <f t="shared" ref="M218:M220" si="21">K218-L218</f>
        <v>9</v>
      </c>
      <c r="N218" s="50" t="s">
        <v>2</v>
      </c>
      <c r="O218" s="74">
        <f>1/2</f>
        <v>0.5</v>
      </c>
      <c r="P218" s="50">
        <v>4.76</v>
      </c>
      <c r="Q218" s="74">
        <v>6.7</v>
      </c>
      <c r="R218" s="50">
        <v>26</v>
      </c>
      <c r="S218" s="74">
        <v>83</v>
      </c>
      <c r="T218" s="50">
        <v>0.68</v>
      </c>
      <c r="U218" s="74">
        <v>0.91</v>
      </c>
      <c r="V218" s="50">
        <v>2.39</v>
      </c>
      <c r="W218" s="74">
        <v>0.14000000000000001</v>
      </c>
      <c r="X218" s="50">
        <v>0.09</v>
      </c>
      <c r="Y218" s="74">
        <f>0.05/2</f>
        <v>2.5000000000000001E-2</v>
      </c>
      <c r="Z218" s="166">
        <v>1</v>
      </c>
      <c r="AA218" s="167">
        <v>1</v>
      </c>
      <c r="AB218" s="50">
        <v>34</v>
      </c>
      <c r="AC218" s="74">
        <v>123</v>
      </c>
      <c r="AD218" s="166">
        <v>0.65</v>
      </c>
      <c r="AE218" s="50">
        <v>4.67</v>
      </c>
      <c r="AF218" s="50">
        <v>3.71</v>
      </c>
      <c r="AG218" s="328">
        <v>430</v>
      </c>
      <c r="AI218" s="97"/>
    </row>
    <row r="219" spans="1:35" ht="15" customHeight="1">
      <c r="A219" s="41" t="s">
        <v>38</v>
      </c>
      <c r="B219" s="50" t="s">
        <v>4632</v>
      </c>
      <c r="C219" s="50" t="s">
        <v>4633</v>
      </c>
      <c r="D219" s="48" t="s">
        <v>567</v>
      </c>
      <c r="E219" s="50" t="s">
        <v>4634</v>
      </c>
      <c r="G219" s="76" t="s">
        <v>4635</v>
      </c>
      <c r="H219" s="50">
        <v>4493</v>
      </c>
      <c r="I219" s="49" t="s">
        <v>1</v>
      </c>
      <c r="J219" s="50" t="s">
        <v>81</v>
      </c>
      <c r="K219" s="51">
        <v>41345</v>
      </c>
      <c r="L219" s="115">
        <v>41339</v>
      </c>
      <c r="M219" s="85">
        <f t="shared" si="21"/>
        <v>6</v>
      </c>
      <c r="N219" s="50" t="s">
        <v>2</v>
      </c>
      <c r="O219" s="74">
        <f>0.5/2</f>
        <v>0.25</v>
      </c>
      <c r="Q219" s="74">
        <v>6.17</v>
      </c>
      <c r="R219" s="50">
        <f>10/2</f>
        <v>5</v>
      </c>
      <c r="S219" s="74">
        <f>4/2</f>
        <v>2</v>
      </c>
      <c r="T219" s="50">
        <v>0.21</v>
      </c>
      <c r="U219" s="74">
        <v>0.52800000000000002</v>
      </c>
      <c r="V219" s="50">
        <v>0.247</v>
      </c>
      <c r="W219" s="74">
        <v>0.122</v>
      </c>
      <c r="X219" s="50">
        <v>0.17399999999999999</v>
      </c>
      <c r="Y219" s="74">
        <f>0.003/2</f>
        <v>1.5E-3</v>
      </c>
      <c r="Z219" s="166">
        <v>6.25E-2</v>
      </c>
      <c r="AA219" s="167">
        <v>6.25E-2</v>
      </c>
      <c r="AB219" s="50">
        <v>6</v>
      </c>
      <c r="AC219" s="74">
        <v>34</v>
      </c>
      <c r="AD219" s="166">
        <v>0</v>
      </c>
      <c r="AE219" s="50">
        <v>6.2899999999999998E-2</v>
      </c>
      <c r="AF219" s="50">
        <v>0.14299999999999999</v>
      </c>
      <c r="AG219" s="74"/>
      <c r="AI219" s="97"/>
    </row>
    <row r="220" spans="1:35" ht="15" customHeight="1">
      <c r="A220" s="41" t="s">
        <v>38</v>
      </c>
      <c r="B220" s="50" t="s">
        <v>4636</v>
      </c>
      <c r="C220" s="50" t="s">
        <v>4637</v>
      </c>
      <c r="D220" s="48" t="s">
        <v>818</v>
      </c>
      <c r="E220" s="50" t="s">
        <v>815</v>
      </c>
      <c r="G220" s="76" t="s">
        <v>1598</v>
      </c>
      <c r="H220" s="50">
        <v>4493</v>
      </c>
      <c r="I220" s="49" t="s">
        <v>1</v>
      </c>
      <c r="J220" s="50" t="s">
        <v>81</v>
      </c>
      <c r="K220" s="51">
        <v>41428</v>
      </c>
      <c r="L220" s="115">
        <v>41424</v>
      </c>
      <c r="M220" s="85">
        <f t="shared" si="21"/>
        <v>4</v>
      </c>
      <c r="N220" s="50" t="s">
        <v>2</v>
      </c>
      <c r="O220" s="74">
        <v>3</v>
      </c>
      <c r="P220" s="50">
        <v>4.7</v>
      </c>
      <c r="Q220" s="74">
        <v>7.38</v>
      </c>
      <c r="R220" s="50">
        <v>129</v>
      </c>
      <c r="S220" s="74">
        <v>310</v>
      </c>
      <c r="T220" s="50">
        <v>0.64</v>
      </c>
      <c r="U220" s="74">
        <v>2.5099999999999998</v>
      </c>
      <c r="V220" s="50">
        <v>1.2</v>
      </c>
      <c r="W220" s="74">
        <v>2.72</v>
      </c>
      <c r="X220" s="50">
        <v>0.32600000000000001</v>
      </c>
      <c r="Y220" s="74">
        <v>0.11</v>
      </c>
      <c r="Z220" s="166">
        <v>6.25E-2</v>
      </c>
      <c r="AA220" s="167">
        <v>6.25E-2</v>
      </c>
      <c r="AB220" s="50">
        <v>26</v>
      </c>
      <c r="AC220" s="74">
        <v>105</v>
      </c>
      <c r="AD220" s="166">
        <v>0</v>
      </c>
      <c r="AE220" s="50">
        <v>16.600000000000001</v>
      </c>
      <c r="AF220" s="50">
        <v>10.7</v>
      </c>
      <c r="AG220" s="74">
        <f>2000/2</f>
        <v>1000</v>
      </c>
      <c r="AI220" s="97"/>
    </row>
    <row r="221" spans="1:35" ht="15" customHeight="1">
      <c r="A221" s="41" t="s">
        <v>38</v>
      </c>
      <c r="B221" s="50" t="s">
        <v>4638</v>
      </c>
      <c r="C221" s="50" t="s">
        <v>4638</v>
      </c>
      <c r="D221" s="48" t="s">
        <v>1537</v>
      </c>
      <c r="E221" s="50" t="s">
        <v>4639</v>
      </c>
      <c r="G221" s="76" t="s">
        <v>4640</v>
      </c>
      <c r="H221" s="50">
        <v>4493</v>
      </c>
      <c r="I221" s="49" t="s">
        <v>2</v>
      </c>
      <c r="J221" s="50" t="s">
        <v>1144</v>
      </c>
      <c r="K221" s="51">
        <v>41422</v>
      </c>
      <c r="L221" s="115"/>
      <c r="M221" s="50" t="s">
        <v>3873</v>
      </c>
      <c r="N221" s="50" t="s">
        <v>2</v>
      </c>
      <c r="O221" s="74">
        <f>5/2</f>
        <v>2.5</v>
      </c>
      <c r="P221" s="50">
        <v>6.38</v>
      </c>
      <c r="Q221" s="74">
        <v>6.93</v>
      </c>
      <c r="R221" s="50">
        <v>25</v>
      </c>
      <c r="S221" s="74">
        <v>31</v>
      </c>
      <c r="T221" s="50">
        <f>0.1/2</f>
        <v>0.05</v>
      </c>
      <c r="U221" s="74">
        <f>1/2</f>
        <v>0.5</v>
      </c>
      <c r="V221" s="50">
        <v>0.45</v>
      </c>
      <c r="W221" s="74">
        <v>0.18</v>
      </c>
      <c r="X221" s="50">
        <v>0.12</v>
      </c>
      <c r="Y221" s="74">
        <f>0.013/2</f>
        <v>6.4999999999999997E-3</v>
      </c>
      <c r="Z221" s="166">
        <v>0.379</v>
      </c>
      <c r="AA221" s="167">
        <v>0.125</v>
      </c>
      <c r="AB221" s="50">
        <v>23</v>
      </c>
      <c r="AC221" s="74">
        <v>56</v>
      </c>
      <c r="AD221" s="166">
        <v>0</v>
      </c>
      <c r="AE221" s="50">
        <v>0.84</v>
      </c>
      <c r="AF221" s="50">
        <v>0.49</v>
      </c>
      <c r="AG221" s="74"/>
      <c r="AI221" s="97"/>
    </row>
    <row r="222" spans="1:35" ht="15" customHeight="1">
      <c r="A222" s="41" t="s">
        <v>38</v>
      </c>
      <c r="B222" s="50" t="s">
        <v>1548</v>
      </c>
      <c r="C222" s="50" t="s">
        <v>4641</v>
      </c>
      <c r="D222" s="48" t="s">
        <v>1550</v>
      </c>
      <c r="E222" s="50" t="s">
        <v>1546</v>
      </c>
      <c r="G222" s="76" t="s">
        <v>1551</v>
      </c>
      <c r="H222" s="50">
        <v>4493</v>
      </c>
      <c r="J222" s="50" t="s">
        <v>1552</v>
      </c>
      <c r="K222" s="51">
        <v>41495</v>
      </c>
      <c r="L222" s="115">
        <v>41490</v>
      </c>
      <c r="M222" s="85">
        <f t="shared" ref="M222:M226" si="22">K222-L222</f>
        <v>5</v>
      </c>
      <c r="N222" s="50" t="s">
        <v>2</v>
      </c>
      <c r="O222" s="74">
        <f>1/2</f>
        <v>0.5</v>
      </c>
      <c r="P222" s="50">
        <v>5</v>
      </c>
      <c r="Q222" s="74">
        <v>7.4</v>
      </c>
      <c r="R222" s="50">
        <v>59</v>
      </c>
      <c r="S222" s="74">
        <v>16</v>
      </c>
      <c r="T222" s="50">
        <v>0.28999999999999998</v>
      </c>
      <c r="U222" s="74">
        <f>0.94/2</f>
        <v>0.47</v>
      </c>
      <c r="V222" s="50">
        <v>0.7</v>
      </c>
      <c r="W222" s="74">
        <v>1.2</v>
      </c>
      <c r="X222" s="50">
        <v>0.24</v>
      </c>
      <c r="Y222" s="74">
        <v>0.01</v>
      </c>
      <c r="AE222" s="50">
        <v>7.4</v>
      </c>
      <c r="AF222" s="50">
        <v>4.5</v>
      </c>
      <c r="AG222" s="74"/>
      <c r="AI222" s="97"/>
    </row>
    <row r="223" spans="1:35" ht="15" customHeight="1">
      <c r="A223" s="41" t="s">
        <v>38</v>
      </c>
      <c r="B223" s="50" t="s">
        <v>2617</v>
      </c>
      <c r="C223" s="50" t="s">
        <v>2638</v>
      </c>
      <c r="D223" s="48" t="s">
        <v>1569</v>
      </c>
      <c r="E223" s="50" t="s">
        <v>1601</v>
      </c>
      <c r="G223" s="76" t="s">
        <v>2639</v>
      </c>
      <c r="H223" s="50">
        <v>6512</v>
      </c>
      <c r="I223" s="49" t="s">
        <v>2</v>
      </c>
      <c r="J223" s="50" t="s">
        <v>4642</v>
      </c>
      <c r="K223" s="51">
        <v>41508</v>
      </c>
      <c r="L223" s="115">
        <v>41499</v>
      </c>
      <c r="M223" s="85">
        <f t="shared" si="22"/>
        <v>9</v>
      </c>
      <c r="N223" s="50" t="s">
        <v>2</v>
      </c>
      <c r="O223" s="74">
        <v>3.2</v>
      </c>
      <c r="P223" s="50">
        <v>6.44</v>
      </c>
      <c r="Q223" s="74">
        <v>5.34</v>
      </c>
      <c r="R223" s="50">
        <v>380</v>
      </c>
      <c r="S223" s="74">
        <v>29</v>
      </c>
      <c r="T223" s="50">
        <v>1.7</v>
      </c>
      <c r="U223" s="74">
        <v>13</v>
      </c>
      <c r="V223" s="50">
        <v>1.86</v>
      </c>
      <c r="W223" s="74">
        <v>0.10199999999999999</v>
      </c>
      <c r="X223" s="50">
        <v>1.38</v>
      </c>
      <c r="Y223" s="74">
        <v>6.0000000000000001E-3</v>
      </c>
      <c r="AE223" s="50">
        <v>0.98899999999999999</v>
      </c>
      <c r="AF223" s="50">
        <v>0.79700000000000004</v>
      </c>
      <c r="AG223" s="74"/>
      <c r="AI223" s="97"/>
    </row>
    <row r="224" spans="1:35" ht="15" customHeight="1">
      <c r="A224" s="41" t="s">
        <v>38</v>
      </c>
      <c r="B224" s="50" t="s">
        <v>1599</v>
      </c>
      <c r="C224" s="50" t="s">
        <v>1600</v>
      </c>
      <c r="D224" s="48" t="s">
        <v>1569</v>
      </c>
      <c r="E224" s="50" t="s">
        <v>1601</v>
      </c>
      <c r="G224" s="76" t="s">
        <v>1602</v>
      </c>
      <c r="H224" s="50">
        <v>4493</v>
      </c>
      <c r="I224" s="49" t="s">
        <v>2</v>
      </c>
      <c r="J224" s="50" t="s">
        <v>1603</v>
      </c>
      <c r="K224" s="51">
        <v>41508</v>
      </c>
      <c r="L224" s="115">
        <v>41499</v>
      </c>
      <c r="M224" s="85">
        <f t="shared" si="22"/>
        <v>9</v>
      </c>
      <c r="N224" s="50" t="s">
        <v>2</v>
      </c>
      <c r="O224" s="74">
        <f>1.4/2</f>
        <v>0.7</v>
      </c>
      <c r="P224" s="50">
        <v>6.4</v>
      </c>
      <c r="Q224" s="74">
        <v>6.88</v>
      </c>
      <c r="R224" s="50">
        <v>15</v>
      </c>
      <c r="S224" s="74">
        <v>40</v>
      </c>
      <c r="T224" s="50">
        <v>0.54</v>
      </c>
      <c r="U224" s="74">
        <v>1.39</v>
      </c>
      <c r="V224" s="50">
        <v>3.1</v>
      </c>
      <c r="W224" s="74">
        <v>0.76200000000000001</v>
      </c>
      <c r="X224" s="50">
        <v>0.19500000000000001</v>
      </c>
      <c r="Y224" s="74">
        <v>2.3E-2</v>
      </c>
      <c r="AE224" s="50">
        <v>0.71</v>
      </c>
      <c r="AF224" s="50">
        <v>0.32800000000000001</v>
      </c>
      <c r="AG224" s="74"/>
      <c r="AI224" s="97"/>
    </row>
    <row r="225" spans="1:35" ht="15" customHeight="1">
      <c r="A225" s="41" t="s">
        <v>38</v>
      </c>
      <c r="B225" s="50" t="s">
        <v>4484</v>
      </c>
      <c r="C225" s="50" t="s">
        <v>4485</v>
      </c>
      <c r="D225" s="48" t="s">
        <v>262</v>
      </c>
      <c r="E225" s="50" t="s">
        <v>4643</v>
      </c>
      <c r="G225" s="76" t="s">
        <v>1699</v>
      </c>
      <c r="H225" s="50">
        <v>4493</v>
      </c>
      <c r="J225" s="50" t="s">
        <v>1701</v>
      </c>
      <c r="K225" s="51">
        <v>41529</v>
      </c>
      <c r="L225" s="115">
        <v>41513</v>
      </c>
      <c r="M225" s="85">
        <f t="shared" si="22"/>
        <v>16</v>
      </c>
      <c r="N225" s="50" t="s">
        <v>2</v>
      </c>
      <c r="O225" s="74">
        <f>5/2</f>
        <v>2.5</v>
      </c>
      <c r="P225" s="50">
        <v>6.43</v>
      </c>
      <c r="Q225" s="74">
        <v>6.2</v>
      </c>
      <c r="R225" s="50">
        <v>73</v>
      </c>
      <c r="S225" s="74">
        <v>15</v>
      </c>
      <c r="T225" s="50">
        <v>0.33</v>
      </c>
      <c r="U225" s="74">
        <v>4.8099999999999996</v>
      </c>
      <c r="V225" s="50">
        <v>1.6</v>
      </c>
      <c r="W225" s="74">
        <v>0.34</v>
      </c>
      <c r="X225" s="50">
        <v>0.5</v>
      </c>
      <c r="Y225" s="74">
        <v>2.7E-2</v>
      </c>
      <c r="Z225" s="166">
        <v>6.25E-2</v>
      </c>
      <c r="AA225" s="167">
        <v>6.25E-2</v>
      </c>
      <c r="AB225" s="50">
        <v>29.2</v>
      </c>
      <c r="AC225" s="74">
        <v>282</v>
      </c>
      <c r="AD225" s="166">
        <v>0</v>
      </c>
      <c r="AE225" s="50">
        <v>0.61</v>
      </c>
      <c r="AF225" s="50">
        <v>0.31</v>
      </c>
      <c r="AG225" s="74">
        <v>9900</v>
      </c>
      <c r="AI225" s="97"/>
    </row>
    <row r="226" spans="1:35" ht="15" customHeight="1">
      <c r="A226" s="41" t="s">
        <v>38</v>
      </c>
      <c r="B226" s="50" t="s">
        <v>4484</v>
      </c>
      <c r="C226" s="50" t="s">
        <v>4485</v>
      </c>
      <c r="D226" s="48" t="s">
        <v>262</v>
      </c>
      <c r="E226" s="50" t="s">
        <v>4643</v>
      </c>
      <c r="G226" s="76" t="s">
        <v>1699</v>
      </c>
      <c r="H226" s="50">
        <v>4993</v>
      </c>
      <c r="I226" s="49" t="s">
        <v>2</v>
      </c>
      <c r="J226" s="50" t="s">
        <v>1700</v>
      </c>
      <c r="K226" s="51">
        <v>41529</v>
      </c>
      <c r="L226" s="115">
        <v>41513</v>
      </c>
      <c r="M226" s="85">
        <f t="shared" si="22"/>
        <v>16</v>
      </c>
      <c r="N226" s="50" t="s">
        <v>2</v>
      </c>
      <c r="O226" s="74">
        <f>5/2</f>
        <v>2.5</v>
      </c>
      <c r="P226" s="50">
        <v>6.43</v>
      </c>
      <c r="Q226" s="74">
        <v>6.1</v>
      </c>
      <c r="R226" s="50">
        <v>11</v>
      </c>
      <c r="S226" s="74">
        <v>17</v>
      </c>
      <c r="T226" s="50">
        <v>0.33</v>
      </c>
      <c r="U226" s="74">
        <v>4.5999999999999996</v>
      </c>
      <c r="V226" s="50">
        <v>1.54</v>
      </c>
      <c r="W226" s="74">
        <v>3.5000000000000003E-2</v>
      </c>
      <c r="X226" s="50">
        <v>0.51</v>
      </c>
      <c r="Y226" s="74">
        <v>3.3000000000000002E-2</v>
      </c>
      <c r="Z226" s="166">
        <v>6.25E-2</v>
      </c>
      <c r="AA226" s="167">
        <v>6.25E-2</v>
      </c>
      <c r="AB226" s="50">
        <v>29.1</v>
      </c>
      <c r="AC226" s="74">
        <v>285</v>
      </c>
      <c r="AD226" s="166">
        <v>0</v>
      </c>
      <c r="AE226" s="50">
        <v>0.72</v>
      </c>
      <c r="AF226" s="50">
        <v>0.38</v>
      </c>
      <c r="AG226" s="74">
        <v>8500</v>
      </c>
      <c r="AI226" s="97"/>
    </row>
    <row r="227" spans="1:35" ht="15" customHeight="1">
      <c r="A227" s="41" t="s">
        <v>38</v>
      </c>
      <c r="B227" s="50" t="s">
        <v>4920</v>
      </c>
      <c r="C227" s="74" t="s">
        <v>1720</v>
      </c>
      <c r="D227" s="48" t="s">
        <v>567</v>
      </c>
      <c r="E227" s="74" t="s">
        <v>1538</v>
      </c>
      <c r="F227" s="86"/>
      <c r="G227" s="48" t="s">
        <v>1721</v>
      </c>
      <c r="H227" s="74">
        <v>4952</v>
      </c>
      <c r="I227" s="50" t="s">
        <v>2</v>
      </c>
      <c r="J227" s="50" t="s">
        <v>1144</v>
      </c>
      <c r="K227" s="51">
        <v>41417</v>
      </c>
      <c r="L227" s="173"/>
      <c r="N227" s="50" t="s">
        <v>2</v>
      </c>
      <c r="O227" s="74">
        <v>12</v>
      </c>
      <c r="P227" s="50">
        <v>5.63</v>
      </c>
      <c r="Q227" s="74">
        <v>7.4</v>
      </c>
      <c r="R227" s="50">
        <v>170</v>
      </c>
      <c r="S227" s="74">
        <v>130</v>
      </c>
      <c r="T227" s="50">
        <v>0.28999999999999998</v>
      </c>
      <c r="U227" s="131">
        <v>1.9</v>
      </c>
      <c r="V227" s="50">
        <v>0.56000000000000005</v>
      </c>
      <c r="W227" s="74">
        <v>0.48</v>
      </c>
      <c r="X227" s="50">
        <v>2.9000000000000001E-2</v>
      </c>
      <c r="Y227" s="74">
        <v>8.8999999999999996E-2</v>
      </c>
      <c r="Z227" s="164">
        <v>0.95499999999999996</v>
      </c>
      <c r="AA227" s="165">
        <v>0.77500000000000002</v>
      </c>
      <c r="AB227" s="50">
        <v>44</v>
      </c>
      <c r="AC227" s="74">
        <v>362</v>
      </c>
      <c r="AD227" s="164">
        <v>0.4</v>
      </c>
      <c r="AE227" s="50">
        <v>4.5999999999999996</v>
      </c>
      <c r="AF227" s="50">
        <v>2.2999999999999998</v>
      </c>
      <c r="AI227" s="97"/>
    </row>
    <row r="228" spans="1:35" ht="15" customHeight="1">
      <c r="A228" s="41" t="s">
        <v>38</v>
      </c>
      <c r="B228" s="50" t="s">
        <v>4920</v>
      </c>
      <c r="C228" s="74" t="s">
        <v>1720</v>
      </c>
      <c r="D228" s="48" t="s">
        <v>567</v>
      </c>
      <c r="E228" s="74" t="s">
        <v>1538</v>
      </c>
      <c r="F228" s="86"/>
      <c r="G228" s="48" t="s">
        <v>1721</v>
      </c>
      <c r="H228" s="74">
        <v>4952</v>
      </c>
      <c r="I228" s="50" t="s">
        <v>2</v>
      </c>
      <c r="J228" s="50" t="s">
        <v>1716</v>
      </c>
      <c r="K228" s="51">
        <v>41417</v>
      </c>
      <c r="L228" s="173"/>
      <c r="N228" s="50" t="s">
        <v>2</v>
      </c>
      <c r="O228" s="74">
        <v>16</v>
      </c>
      <c r="P228" s="50">
        <v>5.63</v>
      </c>
      <c r="Q228" s="74">
        <v>6.68</v>
      </c>
      <c r="R228" s="50">
        <v>76</v>
      </c>
      <c r="S228" s="74">
        <v>28</v>
      </c>
      <c r="T228" s="50">
        <v>0.3</v>
      </c>
      <c r="U228" s="131">
        <v>1.7</v>
      </c>
      <c r="V228" s="50">
        <v>5.2</v>
      </c>
      <c r="W228" s="74">
        <f>0.04/2</f>
        <v>0.02</v>
      </c>
      <c r="X228" s="50">
        <f>0.02/2</f>
        <v>0.01</v>
      </c>
      <c r="Y228" s="74">
        <f>0.013/2</f>
        <v>6.4999999999999997E-3</v>
      </c>
      <c r="Z228" s="164">
        <v>1</v>
      </c>
      <c r="AA228" s="165">
        <v>1</v>
      </c>
      <c r="AB228" s="50">
        <v>8.1</v>
      </c>
      <c r="AC228" s="74">
        <v>69</v>
      </c>
      <c r="AD228" s="164">
        <v>0.8</v>
      </c>
      <c r="AE228" s="50">
        <v>0.48</v>
      </c>
      <c r="AF228" s="50">
        <v>0.28000000000000003</v>
      </c>
      <c r="AI228" s="97"/>
    </row>
    <row r="229" spans="1:35" ht="15" customHeight="1">
      <c r="A229" s="41" t="s">
        <v>38</v>
      </c>
      <c r="B229" s="50" t="s">
        <v>4920</v>
      </c>
      <c r="C229" s="74" t="s">
        <v>1720</v>
      </c>
      <c r="D229" s="48" t="s">
        <v>567</v>
      </c>
      <c r="E229" s="74" t="s">
        <v>1538</v>
      </c>
      <c r="F229" s="86"/>
      <c r="G229" s="48" t="s">
        <v>1721</v>
      </c>
      <c r="H229" s="74">
        <v>4952</v>
      </c>
      <c r="I229" s="50" t="s">
        <v>2</v>
      </c>
      <c r="J229" s="50" t="s">
        <v>1144</v>
      </c>
      <c r="K229" s="51">
        <v>41499</v>
      </c>
      <c r="L229" s="173"/>
      <c r="N229" s="50" t="s">
        <v>2</v>
      </c>
      <c r="O229" s="74">
        <f>5/2</f>
        <v>2.5</v>
      </c>
      <c r="P229" s="50">
        <v>6</v>
      </c>
      <c r="Q229" s="74">
        <v>6.96</v>
      </c>
      <c r="R229" s="50">
        <v>23</v>
      </c>
      <c r="S229" s="74">
        <v>13</v>
      </c>
      <c r="T229" s="50">
        <f>0.1/2</f>
        <v>0.05</v>
      </c>
      <c r="U229" s="74">
        <f>1/2</f>
        <v>0.5</v>
      </c>
      <c r="V229" s="50">
        <v>0.28000000000000003</v>
      </c>
      <c r="W229" s="74">
        <f>0.04/2</f>
        <v>0.02</v>
      </c>
      <c r="X229" s="50">
        <f>0.02/2</f>
        <v>0.01</v>
      </c>
      <c r="Y229" s="74">
        <f>0.013/2</f>
        <v>6.4999999999999997E-3</v>
      </c>
      <c r="AE229" s="50">
        <v>0.28000000000000003</v>
      </c>
      <c r="AF229" s="50">
        <v>0.12</v>
      </c>
      <c r="AI229" s="97"/>
    </row>
    <row r="230" spans="1:35" ht="15" customHeight="1">
      <c r="A230" s="41" t="s">
        <v>38</v>
      </c>
      <c r="B230" s="50" t="s">
        <v>4920</v>
      </c>
      <c r="C230" s="74" t="s">
        <v>1720</v>
      </c>
      <c r="D230" s="48" t="s">
        <v>567</v>
      </c>
      <c r="E230" s="74" t="s">
        <v>1538</v>
      </c>
      <c r="F230" s="86"/>
      <c r="G230" s="48" t="s">
        <v>1721</v>
      </c>
      <c r="H230" s="74">
        <v>4952</v>
      </c>
      <c r="I230" s="50" t="s">
        <v>2</v>
      </c>
      <c r="J230" s="50" t="s">
        <v>1716</v>
      </c>
      <c r="K230" s="51">
        <v>41499</v>
      </c>
      <c r="L230" s="173"/>
      <c r="N230" s="50" t="s">
        <v>2</v>
      </c>
      <c r="O230" s="74">
        <f>5/2</f>
        <v>2.5</v>
      </c>
      <c r="P230" s="50">
        <v>6</v>
      </c>
      <c r="Q230" s="74">
        <v>6.88</v>
      </c>
      <c r="R230" s="50">
        <v>23</v>
      </c>
      <c r="S230" s="74">
        <v>6</v>
      </c>
      <c r="T230" s="50">
        <f>0.1/2</f>
        <v>0.05</v>
      </c>
      <c r="U230" s="74">
        <f>1/2</f>
        <v>0.5</v>
      </c>
      <c r="V230" s="50">
        <v>0.33</v>
      </c>
      <c r="W230" s="74">
        <f>0.04/2</f>
        <v>0.02</v>
      </c>
      <c r="X230" s="50">
        <f>0.02/2</f>
        <v>0.01</v>
      </c>
      <c r="Y230" s="74">
        <f>0.013/2</f>
        <v>6.4999999999999997E-3</v>
      </c>
      <c r="AE230" s="50">
        <v>0.2</v>
      </c>
      <c r="AF230" s="50">
        <v>0.1</v>
      </c>
      <c r="AI230" s="97"/>
    </row>
    <row r="231" spans="1:35" ht="15" customHeight="1">
      <c r="A231" s="41" t="s">
        <v>38</v>
      </c>
      <c r="B231" s="50" t="s">
        <v>563</v>
      </c>
      <c r="C231" s="50" t="s">
        <v>2407</v>
      </c>
      <c r="D231" s="48" t="s">
        <v>564</v>
      </c>
      <c r="E231" s="50" t="s">
        <v>2408</v>
      </c>
      <c r="F231" s="50" t="s">
        <v>2409</v>
      </c>
      <c r="G231" s="76" t="s">
        <v>565</v>
      </c>
      <c r="H231" s="50">
        <v>4493</v>
      </c>
      <c r="I231" s="49" t="s">
        <v>1</v>
      </c>
      <c r="J231" s="50" t="s">
        <v>1508</v>
      </c>
      <c r="K231" s="51">
        <v>41579</v>
      </c>
      <c r="L231" s="115"/>
      <c r="N231" s="50" t="s">
        <v>2</v>
      </c>
      <c r="W231" s="74">
        <v>6.4000000000000001E-2</v>
      </c>
      <c r="AE231" s="50">
        <v>1.78</v>
      </c>
      <c r="AF231" s="50">
        <v>1.29</v>
      </c>
      <c r="AG231" s="328">
        <f>100/2</f>
        <v>50</v>
      </c>
      <c r="AI231" s="97"/>
    </row>
    <row r="232" spans="1:35" ht="15" customHeight="1">
      <c r="A232" s="41" t="s">
        <v>38</v>
      </c>
      <c r="B232" s="50" t="s">
        <v>385</v>
      </c>
      <c r="D232" s="48" t="s">
        <v>98</v>
      </c>
      <c r="E232" s="50" t="s">
        <v>44</v>
      </c>
      <c r="F232" s="50" t="s">
        <v>3872</v>
      </c>
      <c r="G232" s="76" t="s">
        <v>384</v>
      </c>
      <c r="H232" s="50">
        <v>4493</v>
      </c>
      <c r="I232" s="49" t="s">
        <v>1</v>
      </c>
      <c r="J232" s="50" t="s">
        <v>81</v>
      </c>
      <c r="K232" s="51">
        <v>41579</v>
      </c>
      <c r="L232" s="115"/>
      <c r="N232" s="50" t="s">
        <v>2</v>
      </c>
      <c r="O232" s="74">
        <v>2</v>
      </c>
      <c r="S232" s="74">
        <v>8</v>
      </c>
      <c r="W232" s="74">
        <v>0.25700000000000001</v>
      </c>
      <c r="AE232" s="50">
        <v>0.57999999999999996</v>
      </c>
      <c r="AF232" s="50">
        <v>0.34</v>
      </c>
      <c r="AI232" s="97">
        <v>1300</v>
      </c>
    </row>
    <row r="233" spans="1:35" ht="15" customHeight="1">
      <c r="A233" s="41" t="s">
        <v>38</v>
      </c>
      <c r="B233" s="50" t="s">
        <v>4920</v>
      </c>
      <c r="C233" s="74" t="s">
        <v>1720</v>
      </c>
      <c r="D233" s="48" t="s">
        <v>567</v>
      </c>
      <c r="E233" s="74" t="s">
        <v>1538</v>
      </c>
      <c r="F233" s="86"/>
      <c r="G233" s="48" t="s">
        <v>1721</v>
      </c>
      <c r="H233" s="74">
        <v>4952</v>
      </c>
      <c r="I233" s="50" t="s">
        <v>2</v>
      </c>
      <c r="J233" s="50" t="s">
        <v>1144</v>
      </c>
      <c r="K233" s="51">
        <v>41417</v>
      </c>
      <c r="L233" s="173"/>
      <c r="N233" s="50" t="s">
        <v>2</v>
      </c>
      <c r="O233" s="74">
        <v>12</v>
      </c>
      <c r="P233" s="50">
        <v>5.63</v>
      </c>
      <c r="Q233" s="74">
        <v>7.4</v>
      </c>
      <c r="R233" s="50">
        <v>170</v>
      </c>
      <c r="S233" s="74">
        <v>130</v>
      </c>
      <c r="T233" s="50">
        <v>0.28999999999999998</v>
      </c>
      <c r="U233" s="131">
        <v>1.9</v>
      </c>
      <c r="V233" s="50">
        <v>0.56000000000000005</v>
      </c>
      <c r="W233" s="74">
        <v>0.48</v>
      </c>
      <c r="X233" s="50">
        <v>2.9000000000000001E-2</v>
      </c>
      <c r="Y233" s="74">
        <v>8.8999999999999996E-2</v>
      </c>
      <c r="Z233" s="164">
        <v>0.95499999999999996</v>
      </c>
      <c r="AA233" s="165">
        <v>0.77500000000000002</v>
      </c>
      <c r="AB233" s="50">
        <v>44</v>
      </c>
      <c r="AC233" s="74">
        <v>362</v>
      </c>
      <c r="AD233" s="164">
        <v>0.4</v>
      </c>
      <c r="AE233" s="50">
        <v>4.5999999999999996</v>
      </c>
      <c r="AF233" s="50">
        <v>2.2999999999999998</v>
      </c>
      <c r="AI233" s="97"/>
    </row>
    <row r="234" spans="1:35" ht="15" customHeight="1">
      <c r="A234" s="41" t="s">
        <v>38</v>
      </c>
      <c r="B234" s="50" t="s">
        <v>4920</v>
      </c>
      <c r="C234" s="74" t="s">
        <v>1720</v>
      </c>
      <c r="D234" s="48" t="s">
        <v>567</v>
      </c>
      <c r="E234" s="74" t="s">
        <v>1538</v>
      </c>
      <c r="F234" s="86"/>
      <c r="G234" s="48" t="s">
        <v>1721</v>
      </c>
      <c r="H234" s="74">
        <v>4952</v>
      </c>
      <c r="I234" s="50" t="s">
        <v>2</v>
      </c>
      <c r="J234" s="50" t="s">
        <v>1716</v>
      </c>
      <c r="K234" s="51">
        <v>41417</v>
      </c>
      <c r="L234" s="173"/>
      <c r="N234" s="50" t="s">
        <v>2</v>
      </c>
      <c r="O234" s="74">
        <v>16</v>
      </c>
      <c r="P234" s="50">
        <v>5.63</v>
      </c>
      <c r="Q234" s="74">
        <v>6.68</v>
      </c>
      <c r="R234" s="50">
        <v>76</v>
      </c>
      <c r="S234" s="74">
        <v>28</v>
      </c>
      <c r="T234" s="50">
        <v>0.3</v>
      </c>
      <c r="U234" s="131">
        <v>1.7</v>
      </c>
      <c r="V234" s="50">
        <v>5.2</v>
      </c>
      <c r="W234" s="74">
        <f>0.04/2</f>
        <v>0.02</v>
      </c>
      <c r="X234" s="50">
        <f>0.02/2</f>
        <v>0.01</v>
      </c>
      <c r="Y234" s="74">
        <f>0.013/2</f>
        <v>6.4999999999999997E-3</v>
      </c>
      <c r="Z234" s="164">
        <v>1</v>
      </c>
      <c r="AA234" s="165">
        <v>1</v>
      </c>
      <c r="AB234" s="50">
        <v>8.1</v>
      </c>
      <c r="AC234" s="74">
        <v>69</v>
      </c>
      <c r="AD234" s="164">
        <v>0.8</v>
      </c>
      <c r="AE234" s="50">
        <v>0.48</v>
      </c>
      <c r="AF234" s="50">
        <v>0.28000000000000003</v>
      </c>
      <c r="AI234" s="97"/>
    </row>
    <row r="235" spans="1:35" ht="15" customHeight="1">
      <c r="A235" s="41" t="s">
        <v>38</v>
      </c>
      <c r="B235" s="50" t="s">
        <v>4920</v>
      </c>
      <c r="C235" s="74" t="s">
        <v>1720</v>
      </c>
      <c r="D235" s="48" t="s">
        <v>567</v>
      </c>
      <c r="E235" s="74" t="s">
        <v>1538</v>
      </c>
      <c r="F235" s="86"/>
      <c r="G235" s="48" t="s">
        <v>1721</v>
      </c>
      <c r="H235" s="74">
        <v>4952</v>
      </c>
      <c r="I235" s="50" t="s">
        <v>2</v>
      </c>
      <c r="J235" s="50" t="s">
        <v>1144</v>
      </c>
      <c r="K235" s="51">
        <v>41499</v>
      </c>
      <c r="L235" s="173"/>
      <c r="N235" s="50" t="s">
        <v>2</v>
      </c>
      <c r="O235" s="74">
        <f>5/2</f>
        <v>2.5</v>
      </c>
      <c r="P235" s="50">
        <v>6</v>
      </c>
      <c r="Q235" s="74">
        <v>6.96</v>
      </c>
      <c r="R235" s="50">
        <v>23</v>
      </c>
      <c r="S235" s="74">
        <v>13</v>
      </c>
      <c r="T235" s="50">
        <f>0.1/2</f>
        <v>0.05</v>
      </c>
      <c r="U235" s="74">
        <f>1/2</f>
        <v>0.5</v>
      </c>
      <c r="V235" s="50">
        <v>0.28000000000000003</v>
      </c>
      <c r="W235" s="74">
        <f>0.04/2</f>
        <v>0.02</v>
      </c>
      <c r="X235" s="50">
        <f>0.02/2</f>
        <v>0.01</v>
      </c>
      <c r="Y235" s="74">
        <f>0.013/2</f>
        <v>6.4999999999999997E-3</v>
      </c>
      <c r="AE235" s="50">
        <v>0.28000000000000003</v>
      </c>
      <c r="AF235" s="50">
        <v>0.12</v>
      </c>
      <c r="AI235" s="97"/>
    </row>
    <row r="236" spans="1:35" ht="15" customHeight="1">
      <c r="A236" s="41" t="s">
        <v>38</v>
      </c>
      <c r="B236" s="50" t="s">
        <v>4920</v>
      </c>
      <c r="C236" s="74" t="s">
        <v>1720</v>
      </c>
      <c r="D236" s="48" t="s">
        <v>567</v>
      </c>
      <c r="E236" s="74" t="s">
        <v>1538</v>
      </c>
      <c r="F236" s="86"/>
      <c r="G236" s="48" t="s">
        <v>1721</v>
      </c>
      <c r="H236" s="74">
        <v>4952</v>
      </c>
      <c r="I236" s="50" t="s">
        <v>2</v>
      </c>
      <c r="J236" s="50" t="s">
        <v>1716</v>
      </c>
      <c r="K236" s="51">
        <v>41499</v>
      </c>
      <c r="L236" s="173"/>
      <c r="N236" s="50" t="s">
        <v>2</v>
      </c>
      <c r="O236" s="74">
        <f>5/2</f>
        <v>2.5</v>
      </c>
      <c r="P236" s="50">
        <v>6</v>
      </c>
      <c r="Q236" s="74">
        <v>6.88</v>
      </c>
      <c r="R236" s="50">
        <v>23</v>
      </c>
      <c r="S236" s="74">
        <v>6</v>
      </c>
      <c r="T236" s="50">
        <f>0.1/2</f>
        <v>0.05</v>
      </c>
      <c r="U236" s="74">
        <f>1/2</f>
        <v>0.5</v>
      </c>
      <c r="V236" s="50">
        <v>0.33</v>
      </c>
      <c r="W236" s="74">
        <f>0.04/2</f>
        <v>0.02</v>
      </c>
      <c r="X236" s="50">
        <f>0.02/2</f>
        <v>0.01</v>
      </c>
      <c r="Y236" s="74">
        <f>0.013/2</f>
        <v>6.4999999999999997E-3</v>
      </c>
      <c r="AE236" s="50">
        <v>0.2</v>
      </c>
      <c r="AF236" s="50">
        <v>0.1</v>
      </c>
      <c r="AI236" s="97"/>
    </row>
    <row r="237" spans="1:35" ht="15" customHeight="1">
      <c r="A237" s="41" t="s">
        <v>38</v>
      </c>
      <c r="B237" s="50" t="s">
        <v>385</v>
      </c>
      <c r="D237" s="48" t="s">
        <v>98</v>
      </c>
      <c r="E237" s="50" t="s">
        <v>44</v>
      </c>
      <c r="F237" s="50" t="s">
        <v>3872</v>
      </c>
      <c r="G237" s="76" t="s">
        <v>384</v>
      </c>
      <c r="H237" s="50">
        <v>4493</v>
      </c>
      <c r="I237" s="49" t="s">
        <v>1</v>
      </c>
      <c r="J237" s="50" t="s">
        <v>81</v>
      </c>
      <c r="K237" s="51">
        <v>41579</v>
      </c>
      <c r="L237" s="115"/>
      <c r="N237" s="50" t="s">
        <v>2</v>
      </c>
      <c r="O237" s="74">
        <v>2</v>
      </c>
      <c r="S237" s="74">
        <v>8</v>
      </c>
      <c r="W237" s="74">
        <v>0.25700000000000001</v>
      </c>
      <c r="AE237" s="50">
        <v>0.57999999999999996</v>
      </c>
      <c r="AF237" s="50">
        <v>0.34</v>
      </c>
      <c r="AI237" s="97">
        <v>1300</v>
      </c>
    </row>
    <row r="238" spans="1:35" ht="15" customHeight="1">
      <c r="A238" s="41" t="s">
        <v>38</v>
      </c>
      <c r="B238" s="50" t="s">
        <v>1712</v>
      </c>
      <c r="C238" s="50" t="s">
        <v>1717</v>
      </c>
      <c r="D238" s="48" t="s">
        <v>567</v>
      </c>
      <c r="E238" s="50" t="s">
        <v>664</v>
      </c>
      <c r="G238" s="76" t="s">
        <v>1718</v>
      </c>
      <c r="H238" s="50">
        <v>4493</v>
      </c>
      <c r="I238" s="49" t="s">
        <v>2</v>
      </c>
      <c r="J238" s="50" t="s">
        <v>1144</v>
      </c>
      <c r="K238" s="51">
        <v>41417</v>
      </c>
      <c r="L238" s="115"/>
      <c r="N238" s="50" t="s">
        <v>2</v>
      </c>
      <c r="O238" s="74">
        <f t="shared" ref="O238:O243" si="23">5/2</f>
        <v>2.5</v>
      </c>
      <c r="P238" s="50">
        <v>5.63</v>
      </c>
      <c r="Q238" s="74">
        <v>7.42</v>
      </c>
      <c r="R238" s="50">
        <v>63</v>
      </c>
      <c r="S238" s="74">
        <v>31</v>
      </c>
      <c r="T238" s="50">
        <f>0.1/2</f>
        <v>0.05</v>
      </c>
      <c r="U238" s="74">
        <v>1.1000000000000001</v>
      </c>
      <c r="V238" s="50">
        <v>0.32</v>
      </c>
      <c r="W238" s="74">
        <f t="shared" ref="W238:W243" si="24">0.04/2</f>
        <v>0.02</v>
      </c>
      <c r="X238" s="50">
        <v>5.2999999999999999E-2</v>
      </c>
      <c r="Y238" s="74">
        <f>0.013/2</f>
        <v>6.4999999999999997E-3</v>
      </c>
      <c r="Z238" s="166">
        <v>1</v>
      </c>
      <c r="AA238" s="167">
        <v>1</v>
      </c>
      <c r="AB238" s="50">
        <v>10</v>
      </c>
      <c r="AC238" s="74">
        <v>51</v>
      </c>
      <c r="AD238" s="166">
        <v>1</v>
      </c>
      <c r="AE238" s="50">
        <v>1.7</v>
      </c>
      <c r="AF238" s="50">
        <v>0.54</v>
      </c>
      <c r="AI238" s="97"/>
    </row>
    <row r="239" spans="1:35" ht="15" customHeight="1">
      <c r="A239" s="41" t="s">
        <v>38</v>
      </c>
      <c r="B239" s="50" t="s">
        <v>1712</v>
      </c>
      <c r="C239" s="50" t="s">
        <v>1717</v>
      </c>
      <c r="D239" s="48" t="s">
        <v>567</v>
      </c>
      <c r="E239" s="50" t="s">
        <v>664</v>
      </c>
      <c r="G239" s="76" t="s">
        <v>1718</v>
      </c>
      <c r="H239" s="50">
        <v>4493</v>
      </c>
      <c r="I239" s="49" t="s">
        <v>2</v>
      </c>
      <c r="J239" s="50" t="s">
        <v>1716</v>
      </c>
      <c r="K239" s="51">
        <v>41417</v>
      </c>
      <c r="L239" s="115"/>
      <c r="N239" s="50" t="s">
        <v>2</v>
      </c>
      <c r="O239" s="74">
        <f t="shared" si="23"/>
        <v>2.5</v>
      </c>
      <c r="P239" s="50">
        <v>5.63</v>
      </c>
      <c r="Q239" s="74">
        <v>8.57</v>
      </c>
      <c r="R239" s="50">
        <v>78</v>
      </c>
      <c r="S239" s="74">
        <v>39</v>
      </c>
      <c r="T239" s="50">
        <v>0.12</v>
      </c>
      <c r="U239" s="74">
        <v>1.5</v>
      </c>
      <c r="V239" s="50">
        <v>0.28999999999999998</v>
      </c>
      <c r="W239" s="74">
        <f t="shared" si="24"/>
        <v>0.02</v>
      </c>
      <c r="X239" s="50">
        <v>5.1999999999999998E-2</v>
      </c>
      <c r="Y239" s="74">
        <v>2.3E-2</v>
      </c>
      <c r="Z239" s="166">
        <v>1</v>
      </c>
      <c r="AA239" s="167">
        <v>1</v>
      </c>
      <c r="AB239" s="50">
        <v>19</v>
      </c>
      <c r="AC239" s="74">
        <v>84</v>
      </c>
      <c r="AD239" s="166">
        <v>1</v>
      </c>
      <c r="AE239" s="50">
        <v>0.55000000000000004</v>
      </c>
      <c r="AF239" s="50">
        <v>0.35</v>
      </c>
      <c r="AI239" s="97"/>
    </row>
    <row r="240" spans="1:35" ht="15" customHeight="1">
      <c r="A240" s="41" t="s">
        <v>38</v>
      </c>
      <c r="B240" s="50" t="s">
        <v>1712</v>
      </c>
      <c r="C240" s="50" t="s">
        <v>1717</v>
      </c>
      <c r="D240" s="48" t="s">
        <v>567</v>
      </c>
      <c r="E240" s="50" t="s">
        <v>664</v>
      </c>
      <c r="G240" s="76" t="s">
        <v>1718</v>
      </c>
      <c r="H240" s="50">
        <v>4493</v>
      </c>
      <c r="I240" s="49" t="s">
        <v>2</v>
      </c>
      <c r="J240" s="50" t="s">
        <v>1719</v>
      </c>
      <c r="K240" s="51">
        <v>41417</v>
      </c>
      <c r="L240" s="115"/>
      <c r="N240" s="50" t="s">
        <v>2</v>
      </c>
      <c r="O240" s="74">
        <f t="shared" si="23"/>
        <v>2.5</v>
      </c>
      <c r="P240" s="50">
        <v>5.63</v>
      </c>
      <c r="Q240" s="74">
        <v>6.79</v>
      </c>
      <c r="R240" s="50">
        <v>130</v>
      </c>
      <c r="S240" s="74">
        <v>45</v>
      </c>
      <c r="T240" s="50">
        <v>0.44</v>
      </c>
      <c r="U240" s="74">
        <v>1.3</v>
      </c>
      <c r="V240" s="50">
        <v>0.23</v>
      </c>
      <c r="W240" s="74">
        <f t="shared" si="24"/>
        <v>0.02</v>
      </c>
      <c r="X240" s="50">
        <v>2.9000000000000001E-2</v>
      </c>
      <c r="Y240" s="74">
        <f>0.013/2</f>
        <v>6.4999999999999997E-3</v>
      </c>
      <c r="Z240" s="166">
        <v>1</v>
      </c>
      <c r="AA240" s="167">
        <v>1</v>
      </c>
      <c r="AB240" s="50">
        <v>20</v>
      </c>
      <c r="AC240" s="74">
        <v>94</v>
      </c>
      <c r="AD240" s="166">
        <v>1</v>
      </c>
      <c r="AE240" s="50">
        <v>0.68</v>
      </c>
      <c r="AF240" s="50">
        <v>0.42</v>
      </c>
      <c r="AI240" s="97"/>
    </row>
    <row r="241" spans="1:35" ht="15" customHeight="1">
      <c r="A241" s="41" t="s">
        <v>38</v>
      </c>
      <c r="B241" s="50" t="s">
        <v>1712</v>
      </c>
      <c r="C241" s="50" t="s">
        <v>1717</v>
      </c>
      <c r="D241" s="48" t="s">
        <v>567</v>
      </c>
      <c r="E241" s="50" t="s">
        <v>664</v>
      </c>
      <c r="G241" s="76" t="s">
        <v>1718</v>
      </c>
      <c r="H241" s="50">
        <v>4493</v>
      </c>
      <c r="I241" s="49" t="s">
        <v>2</v>
      </c>
      <c r="J241" s="50" t="s">
        <v>1716</v>
      </c>
      <c r="K241" s="51">
        <v>41499</v>
      </c>
      <c r="L241" s="115"/>
      <c r="N241" s="50" t="s">
        <v>2</v>
      </c>
      <c r="O241" s="74">
        <f t="shared" si="23"/>
        <v>2.5</v>
      </c>
      <c r="P241" s="50">
        <v>6</v>
      </c>
      <c r="Q241" s="74">
        <v>7.35</v>
      </c>
      <c r="R241" s="50">
        <v>20</v>
      </c>
      <c r="S241" s="74">
        <v>19</v>
      </c>
      <c r="T241" s="50">
        <f>0.1/2</f>
        <v>0.05</v>
      </c>
      <c r="U241" s="74">
        <f>1/2</f>
        <v>0.5</v>
      </c>
      <c r="V241" s="50">
        <v>0.27</v>
      </c>
      <c r="W241" s="74">
        <f t="shared" si="24"/>
        <v>0.02</v>
      </c>
      <c r="X241" s="50">
        <f>0.02/2</f>
        <v>0.01</v>
      </c>
      <c r="Y241" s="74">
        <f>0.013/2</f>
        <v>6.4999999999999997E-3</v>
      </c>
      <c r="AE241" s="50">
        <v>0.25</v>
      </c>
      <c r="AF241" s="50">
        <v>0.18</v>
      </c>
      <c r="AI241" s="97"/>
    </row>
    <row r="242" spans="1:35" ht="15" customHeight="1">
      <c r="A242" s="41" t="s">
        <v>38</v>
      </c>
      <c r="B242" s="50" t="s">
        <v>1712</v>
      </c>
      <c r="C242" s="50" t="s">
        <v>1717</v>
      </c>
      <c r="D242" s="48" t="s">
        <v>567</v>
      </c>
      <c r="E242" s="50" t="s">
        <v>664</v>
      </c>
      <c r="G242" s="76" t="s">
        <v>1718</v>
      </c>
      <c r="H242" s="50">
        <v>4493</v>
      </c>
      <c r="I242" s="49" t="s">
        <v>2</v>
      </c>
      <c r="J242" s="50" t="s">
        <v>4976</v>
      </c>
      <c r="K242" s="51">
        <v>41499</v>
      </c>
      <c r="L242" s="115"/>
      <c r="N242" s="50" t="s">
        <v>2</v>
      </c>
      <c r="O242" s="74">
        <f t="shared" si="23"/>
        <v>2.5</v>
      </c>
      <c r="P242" s="50">
        <v>6</v>
      </c>
      <c r="Q242" s="74">
        <v>7.89</v>
      </c>
      <c r="R242" s="50">
        <v>290</v>
      </c>
      <c r="S242" s="74">
        <v>580</v>
      </c>
      <c r="T242" s="50">
        <v>0.57999999999999996</v>
      </c>
      <c r="U242" s="74">
        <v>1.4</v>
      </c>
      <c r="V242" s="50">
        <v>0.87</v>
      </c>
      <c r="W242" s="74">
        <f t="shared" si="24"/>
        <v>0.02</v>
      </c>
      <c r="X242" s="50">
        <v>0.33</v>
      </c>
      <c r="Y242" s="74">
        <v>0.12</v>
      </c>
      <c r="AI242" s="97"/>
    </row>
    <row r="243" spans="1:35" ht="15" customHeight="1">
      <c r="A243" s="41" t="s">
        <v>38</v>
      </c>
      <c r="B243" s="50" t="s">
        <v>1712</v>
      </c>
      <c r="C243" s="50" t="s">
        <v>1713</v>
      </c>
      <c r="D243" s="48" t="s">
        <v>567</v>
      </c>
      <c r="E243" s="50" t="s">
        <v>1714</v>
      </c>
      <c r="G243" s="76" t="s">
        <v>1715</v>
      </c>
      <c r="H243" s="50">
        <v>4493</v>
      </c>
      <c r="I243" s="49" t="s">
        <v>2</v>
      </c>
      <c r="J243" s="50" t="s">
        <v>1144</v>
      </c>
      <c r="K243" s="51">
        <v>41417</v>
      </c>
      <c r="L243" s="115"/>
      <c r="N243" s="50" t="s">
        <v>2</v>
      </c>
      <c r="O243" s="74">
        <f t="shared" si="23"/>
        <v>2.5</v>
      </c>
      <c r="P243" s="50">
        <v>5.63</v>
      </c>
      <c r="Q243" s="74">
        <v>7.07</v>
      </c>
      <c r="R243" s="50">
        <v>31</v>
      </c>
      <c r="S243" s="74">
        <v>6</v>
      </c>
      <c r="T243" s="50">
        <v>0.13</v>
      </c>
      <c r="U243" s="74">
        <v>1.1000000000000001</v>
      </c>
      <c r="V243" s="50">
        <v>0.34</v>
      </c>
      <c r="W243" s="74">
        <f t="shared" si="24"/>
        <v>0.02</v>
      </c>
      <c r="X243" s="50">
        <f>0.02/2</f>
        <v>0.01</v>
      </c>
      <c r="Y243" s="74">
        <f>0.013/2</f>
        <v>6.4999999999999997E-3</v>
      </c>
      <c r="Z243" s="166">
        <v>1</v>
      </c>
      <c r="AA243" s="167">
        <v>1</v>
      </c>
      <c r="AB243" s="50">
        <v>3.5</v>
      </c>
      <c r="AC243" s="74">
        <v>105</v>
      </c>
      <c r="AD243" s="166">
        <v>1</v>
      </c>
      <c r="AE243" s="50">
        <v>0.2</v>
      </c>
      <c r="AF243" s="50">
        <f>0.1/2</f>
        <v>0.05</v>
      </c>
      <c r="AI243" s="97"/>
    </row>
    <row r="244" spans="1:35" ht="15" customHeight="1">
      <c r="A244" s="41" t="s">
        <v>38</v>
      </c>
      <c r="B244" s="50" t="s">
        <v>1712</v>
      </c>
      <c r="C244" s="50" t="s">
        <v>1713</v>
      </c>
      <c r="D244" s="48" t="s">
        <v>567</v>
      </c>
      <c r="E244" s="50" t="s">
        <v>1714</v>
      </c>
      <c r="G244" s="76" t="s">
        <v>1715</v>
      </c>
      <c r="H244" s="50">
        <v>4493</v>
      </c>
      <c r="I244" s="49" t="s">
        <v>2</v>
      </c>
      <c r="J244" s="50" t="s">
        <v>1716</v>
      </c>
      <c r="K244" s="51">
        <v>41417</v>
      </c>
      <c r="L244" s="115"/>
      <c r="N244" s="50" t="s">
        <v>2</v>
      </c>
      <c r="O244" s="74">
        <v>13</v>
      </c>
      <c r="P244" s="50">
        <v>5.63</v>
      </c>
      <c r="Q244" s="74">
        <v>7.04</v>
      </c>
      <c r="R244" s="50">
        <v>48</v>
      </c>
      <c r="S244" s="74">
        <v>12</v>
      </c>
      <c r="T244" s="50">
        <v>0.2</v>
      </c>
      <c r="U244" s="74">
        <v>1.6</v>
      </c>
      <c r="V244" s="50">
        <v>0.35</v>
      </c>
      <c r="W244" s="74">
        <v>5.0999999999999997E-2</v>
      </c>
      <c r="X244" s="50">
        <v>0.04</v>
      </c>
      <c r="Y244" s="74">
        <f>0.013/2</f>
        <v>6.4999999999999997E-3</v>
      </c>
      <c r="Z244" s="166">
        <v>1</v>
      </c>
      <c r="AA244" s="167">
        <v>1</v>
      </c>
      <c r="AB244" s="50">
        <v>21</v>
      </c>
      <c r="AC244" s="74">
        <v>105</v>
      </c>
      <c r="AD244" s="166">
        <v>1</v>
      </c>
      <c r="AE244" s="50">
        <v>0.28999999999999998</v>
      </c>
      <c r="AF244" s="50">
        <v>0.13</v>
      </c>
      <c r="AI244" s="97"/>
    </row>
    <row r="245" spans="1:35" ht="15" customHeight="1">
      <c r="A245" s="41" t="s">
        <v>38</v>
      </c>
      <c r="B245" s="50" t="s">
        <v>1712</v>
      </c>
      <c r="C245" s="50" t="s">
        <v>1713</v>
      </c>
      <c r="D245" s="48" t="s">
        <v>567</v>
      </c>
      <c r="E245" s="50" t="s">
        <v>1714</v>
      </c>
      <c r="G245" s="76" t="s">
        <v>1715</v>
      </c>
      <c r="H245" s="50">
        <v>4493</v>
      </c>
      <c r="I245" s="49" t="s">
        <v>2</v>
      </c>
      <c r="J245" s="50" t="s">
        <v>1144</v>
      </c>
      <c r="K245" s="51">
        <v>41529</v>
      </c>
      <c r="L245" s="115"/>
      <c r="N245" s="50" t="s">
        <v>2</v>
      </c>
      <c r="O245" s="74">
        <v>6.8</v>
      </c>
      <c r="P245" s="50">
        <v>6.8</v>
      </c>
      <c r="Q245" s="74">
        <v>6.81</v>
      </c>
      <c r="R245" s="50">
        <v>57</v>
      </c>
      <c r="S245" s="74">
        <v>85</v>
      </c>
      <c r="T245" s="50">
        <v>0.22</v>
      </c>
      <c r="U245" s="74">
        <v>1</v>
      </c>
      <c r="V245" s="50">
        <v>0.24</v>
      </c>
      <c r="W245" s="74">
        <v>9.5000000000000001E-2</v>
      </c>
      <c r="X245" s="50">
        <v>0.23</v>
      </c>
      <c r="Y245" s="74">
        <v>0.03</v>
      </c>
      <c r="AE245" s="50">
        <v>3.4</v>
      </c>
      <c r="AF245" s="50">
        <v>1.2</v>
      </c>
      <c r="AI245" s="97"/>
    </row>
    <row r="246" spans="1:35" ht="15" customHeight="1">
      <c r="A246" s="41" t="s">
        <v>38</v>
      </c>
      <c r="B246" s="50" t="s">
        <v>1712</v>
      </c>
      <c r="C246" s="50" t="s">
        <v>1713</v>
      </c>
      <c r="D246" s="48" t="s">
        <v>567</v>
      </c>
      <c r="E246" s="50" t="s">
        <v>1714</v>
      </c>
      <c r="G246" s="76" t="s">
        <v>1715</v>
      </c>
      <c r="H246" s="50">
        <v>4493</v>
      </c>
      <c r="I246" s="49" t="s">
        <v>2</v>
      </c>
      <c r="J246" s="50" t="s">
        <v>1716</v>
      </c>
      <c r="K246" s="51">
        <v>41529</v>
      </c>
      <c r="L246" s="115"/>
      <c r="N246" s="50" t="s">
        <v>2</v>
      </c>
      <c r="O246" s="74">
        <f>5/2</f>
        <v>2.5</v>
      </c>
      <c r="P246" s="50">
        <v>6.8</v>
      </c>
      <c r="Q246" s="74">
        <v>6.73</v>
      </c>
      <c r="R246" s="50">
        <v>78</v>
      </c>
      <c r="S246" s="74">
        <v>160</v>
      </c>
      <c r="T246" s="50">
        <v>0.48</v>
      </c>
      <c r="U246" s="74">
        <v>1.6</v>
      </c>
      <c r="V246" s="50">
        <v>0.91</v>
      </c>
      <c r="W246" s="74">
        <v>0.13</v>
      </c>
      <c r="X246" s="50">
        <v>0.25</v>
      </c>
      <c r="Y246" s="74">
        <v>2.9000000000000001E-2</v>
      </c>
      <c r="AE246" s="50">
        <v>2.2999999999999998</v>
      </c>
      <c r="AF246" s="50">
        <v>0.88</v>
      </c>
      <c r="AI246" s="97"/>
    </row>
    <row r="247" spans="1:35" ht="15" customHeight="1">
      <c r="A247" s="41" t="s">
        <v>38</v>
      </c>
      <c r="B247" s="50" t="s">
        <v>1712</v>
      </c>
      <c r="C247" s="50" t="s">
        <v>1722</v>
      </c>
      <c r="D247" s="48" t="s">
        <v>567</v>
      </c>
      <c r="E247" s="50" t="s">
        <v>1538</v>
      </c>
      <c r="G247" s="76" t="s">
        <v>1723</v>
      </c>
      <c r="H247" s="50">
        <v>4493</v>
      </c>
      <c r="I247" s="49" t="s">
        <v>2</v>
      </c>
      <c r="J247" s="50" t="s">
        <v>1144</v>
      </c>
      <c r="K247" s="51">
        <v>41417</v>
      </c>
      <c r="L247" s="115"/>
      <c r="N247" s="50" t="s">
        <v>2</v>
      </c>
      <c r="O247" s="74">
        <f>5/2</f>
        <v>2.5</v>
      </c>
      <c r="P247" s="50">
        <v>5.63</v>
      </c>
      <c r="Q247" s="74">
        <v>7.33</v>
      </c>
      <c r="R247" s="50">
        <v>440</v>
      </c>
      <c r="S247" s="74">
        <v>350</v>
      </c>
      <c r="T247" s="50">
        <v>0.93</v>
      </c>
      <c r="U247" s="74">
        <v>3.9</v>
      </c>
      <c r="V247" s="50">
        <v>3</v>
      </c>
      <c r="W247" s="74">
        <v>5.7</v>
      </c>
      <c r="X247" s="50">
        <v>0.97</v>
      </c>
      <c r="Y247" s="74">
        <v>0.31</v>
      </c>
      <c r="Z247" s="166">
        <v>6.25E-2</v>
      </c>
      <c r="AA247" s="167">
        <v>6.25E-2</v>
      </c>
      <c r="AB247" s="50">
        <v>180</v>
      </c>
      <c r="AC247" s="74">
        <v>336</v>
      </c>
      <c r="AD247" s="166">
        <v>0</v>
      </c>
      <c r="AE247" s="50">
        <v>7.5</v>
      </c>
      <c r="AF247" s="50">
        <v>3.3</v>
      </c>
      <c r="AI247" s="97"/>
    </row>
    <row r="248" spans="1:35" ht="15" customHeight="1">
      <c r="A248" s="41" t="s">
        <v>38</v>
      </c>
      <c r="B248" s="50" t="s">
        <v>1712</v>
      </c>
      <c r="C248" s="50" t="s">
        <v>1722</v>
      </c>
      <c r="D248" s="48" t="s">
        <v>567</v>
      </c>
      <c r="E248" s="50" t="s">
        <v>664</v>
      </c>
      <c r="G248" s="76" t="s">
        <v>1723</v>
      </c>
      <c r="H248" s="50">
        <v>4493</v>
      </c>
      <c r="I248" s="49" t="s">
        <v>2</v>
      </c>
      <c r="J248" s="50" t="s">
        <v>1144</v>
      </c>
      <c r="K248" s="51">
        <v>41499</v>
      </c>
      <c r="L248" s="115"/>
      <c r="N248" s="50" t="s">
        <v>2</v>
      </c>
      <c r="O248" s="74">
        <f>5/2</f>
        <v>2.5</v>
      </c>
      <c r="P248" s="50">
        <v>6</v>
      </c>
      <c r="Q248" s="74">
        <v>7.39</v>
      </c>
      <c r="R248" s="50">
        <v>29</v>
      </c>
      <c r="S248" s="74">
        <v>20</v>
      </c>
      <c r="T248" s="50">
        <v>0.11</v>
      </c>
      <c r="U248" s="74">
        <f>1/2</f>
        <v>0.5</v>
      </c>
      <c r="V248" s="50">
        <v>0.59</v>
      </c>
      <c r="W248" s="74">
        <v>0.18</v>
      </c>
      <c r="X248" s="50">
        <v>0.05</v>
      </c>
      <c r="Y248" s="74">
        <f>0.013/2</f>
        <v>6.4999999999999997E-3</v>
      </c>
      <c r="AE248" s="50">
        <v>0.18</v>
      </c>
      <c r="AF248" s="50">
        <v>0.1</v>
      </c>
      <c r="AI248" s="97"/>
    </row>
    <row r="249" spans="1:35" ht="15" customHeight="1">
      <c r="A249" s="41" t="s">
        <v>38</v>
      </c>
      <c r="B249" s="50" t="s">
        <v>1770</v>
      </c>
      <c r="C249" s="50" t="s">
        <v>1208</v>
      </c>
      <c r="D249" s="48" t="s">
        <v>559</v>
      </c>
      <c r="G249" s="76" t="s">
        <v>1209</v>
      </c>
      <c r="H249" s="50">
        <v>4492</v>
      </c>
      <c r="I249" s="49" t="s">
        <v>2</v>
      </c>
      <c r="K249" s="51">
        <v>41540</v>
      </c>
      <c r="L249" s="115"/>
      <c r="N249" s="50" t="s">
        <v>2</v>
      </c>
      <c r="O249" s="74">
        <f>1.4/2</f>
        <v>0.7</v>
      </c>
      <c r="P249" s="50">
        <v>5.69</v>
      </c>
      <c r="Q249" s="74">
        <v>7.11</v>
      </c>
      <c r="R249" s="50">
        <v>11</v>
      </c>
      <c r="S249" s="74">
        <v>20</v>
      </c>
      <c r="T249" s="50">
        <v>0.12</v>
      </c>
      <c r="U249" s="74">
        <v>1.81</v>
      </c>
      <c r="V249" s="50">
        <v>2.48</v>
      </c>
      <c r="W249" s="74">
        <v>0.04</v>
      </c>
      <c r="X249" s="50">
        <v>7.4999999999999997E-2</v>
      </c>
      <c r="Y249" s="74">
        <v>3.0000000000000001E-3</v>
      </c>
      <c r="AE249" s="50">
        <v>1.4</v>
      </c>
      <c r="AF249" s="50">
        <v>1.2</v>
      </c>
      <c r="AI249" s="96"/>
    </row>
    <row r="250" spans="1:35" ht="15" customHeight="1">
      <c r="A250" s="41" t="s">
        <v>38</v>
      </c>
      <c r="B250" s="50" t="s">
        <v>5119</v>
      </c>
      <c r="C250" s="50" t="s">
        <v>5120</v>
      </c>
      <c r="D250" s="48" t="s">
        <v>434</v>
      </c>
      <c r="E250" s="50" t="s">
        <v>304</v>
      </c>
      <c r="G250" s="76" t="s">
        <v>5118</v>
      </c>
      <c r="I250" s="49" t="s">
        <v>1</v>
      </c>
      <c r="J250" s="50" t="s">
        <v>2121</v>
      </c>
      <c r="K250" s="51">
        <v>40996</v>
      </c>
      <c r="L250" s="115">
        <v>40992</v>
      </c>
      <c r="M250" s="85">
        <f t="shared" ref="M250:M251" si="25">K250-L250</f>
        <v>4</v>
      </c>
      <c r="N250" s="50" t="s">
        <v>2</v>
      </c>
      <c r="O250" s="74">
        <v>3.26</v>
      </c>
      <c r="P250" s="50">
        <v>6.93</v>
      </c>
      <c r="Q250" s="74">
        <v>6.97</v>
      </c>
      <c r="R250" s="50">
        <v>88</v>
      </c>
      <c r="S250" s="74">
        <v>28</v>
      </c>
      <c r="T250" s="50">
        <f>0.05/2</f>
        <v>2.5000000000000001E-2</v>
      </c>
      <c r="U250" s="74">
        <v>1</v>
      </c>
      <c r="V250" s="50">
        <v>0.754</v>
      </c>
      <c r="W250" s="74">
        <v>0.51300000000000001</v>
      </c>
      <c r="X250" s="50">
        <v>0.32700000000000001</v>
      </c>
      <c r="Y250" s="74">
        <v>2.06E-2</v>
      </c>
      <c r="Z250" s="166">
        <v>6.25E-2</v>
      </c>
      <c r="AA250" s="167">
        <v>6.25E-2</v>
      </c>
      <c r="AI250" s="97"/>
    </row>
    <row r="251" spans="1:35" ht="15" customHeight="1">
      <c r="A251" s="41" t="s">
        <v>38</v>
      </c>
      <c r="B251" s="50" t="s">
        <v>5119</v>
      </c>
      <c r="C251" s="50" t="s">
        <v>5120</v>
      </c>
      <c r="D251" s="48" t="s">
        <v>434</v>
      </c>
      <c r="E251" s="50" t="s">
        <v>304</v>
      </c>
      <c r="G251" s="76" t="s">
        <v>5118</v>
      </c>
      <c r="I251" s="49" t="s">
        <v>1</v>
      </c>
      <c r="J251" s="50" t="s">
        <v>2121</v>
      </c>
      <c r="K251" s="51">
        <v>41221</v>
      </c>
      <c r="L251" s="115">
        <v>41212</v>
      </c>
      <c r="M251" s="85">
        <f t="shared" si="25"/>
        <v>9</v>
      </c>
      <c r="N251" s="50" t="s">
        <v>2</v>
      </c>
      <c r="O251" s="74">
        <v>1.47</v>
      </c>
      <c r="Q251" s="74">
        <v>7.27</v>
      </c>
      <c r="R251" s="50">
        <v>190</v>
      </c>
      <c r="S251" s="74">
        <v>13</v>
      </c>
      <c r="T251" s="50">
        <f>0.05/2</f>
        <v>2.5000000000000001E-2</v>
      </c>
      <c r="U251" s="74">
        <v>1.29</v>
      </c>
      <c r="V251" s="50">
        <v>0.60299999999999998</v>
      </c>
      <c r="W251" s="74">
        <v>0.11700000000000001</v>
      </c>
      <c r="X251" s="50">
        <v>0.442</v>
      </c>
      <c r="Y251" s="74">
        <f>0.003/2</f>
        <v>1.5E-3</v>
      </c>
      <c r="AI251" s="97"/>
    </row>
    <row r="252" spans="1:35" ht="15" customHeight="1">
      <c r="A252" s="41" t="s">
        <v>38</v>
      </c>
      <c r="B252" s="50" t="s">
        <v>1773</v>
      </c>
      <c r="C252" s="50" t="s">
        <v>1773</v>
      </c>
      <c r="D252" s="48" t="s">
        <v>406</v>
      </c>
      <c r="G252" s="76" t="s">
        <v>1774</v>
      </c>
      <c r="J252" s="50" t="s">
        <v>1508</v>
      </c>
      <c r="K252" s="51">
        <v>40883</v>
      </c>
      <c r="L252" s="115"/>
      <c r="N252" s="50" t="s">
        <v>2</v>
      </c>
      <c r="O252" s="74">
        <f>5/2</f>
        <v>2.5</v>
      </c>
      <c r="P252" s="50">
        <v>4.2699999999999996</v>
      </c>
      <c r="Q252" s="74">
        <v>6.59</v>
      </c>
      <c r="R252" s="50">
        <v>232</v>
      </c>
      <c r="S252" s="74">
        <v>123</v>
      </c>
      <c r="T252" s="50">
        <v>0.67</v>
      </c>
      <c r="U252" s="74">
        <f>0.5/2</f>
        <v>0.25</v>
      </c>
      <c r="V252" s="50">
        <v>0.13</v>
      </c>
      <c r="W252" s="74">
        <v>0.73</v>
      </c>
      <c r="X252" s="50">
        <v>0.2</v>
      </c>
      <c r="Y252" s="74">
        <v>2.5000000000000001E-2</v>
      </c>
      <c r="AE252" s="50">
        <v>0.78</v>
      </c>
      <c r="AF252" s="50">
        <v>0.7</v>
      </c>
      <c r="AI252" s="97"/>
    </row>
    <row r="253" spans="1:35" ht="15" customHeight="1">
      <c r="A253" s="41" t="s">
        <v>38</v>
      </c>
      <c r="B253" s="50" t="s">
        <v>1773</v>
      </c>
      <c r="C253" s="50" t="s">
        <v>1773</v>
      </c>
      <c r="D253" s="48" t="s">
        <v>406</v>
      </c>
      <c r="G253" s="76" t="s">
        <v>1774</v>
      </c>
      <c r="J253" s="50" t="s">
        <v>1508</v>
      </c>
      <c r="K253" s="51">
        <v>41376</v>
      </c>
      <c r="L253" s="115">
        <v>41374</v>
      </c>
      <c r="M253" s="85">
        <f t="shared" ref="M253:M254" si="26">K253-L253</f>
        <v>2</v>
      </c>
      <c r="N253" s="50" t="s">
        <v>2</v>
      </c>
      <c r="O253" s="74">
        <f>5/2</f>
        <v>2.5</v>
      </c>
      <c r="P253" s="50">
        <v>5.99</v>
      </c>
      <c r="Q253" s="74">
        <v>6.7</v>
      </c>
      <c r="R253" s="50">
        <v>32</v>
      </c>
      <c r="S253" s="74">
        <v>54</v>
      </c>
      <c r="T253" s="50">
        <v>0.05</v>
      </c>
      <c r="U253" s="74">
        <v>1.17</v>
      </c>
      <c r="V253" s="50">
        <v>1.25</v>
      </c>
      <c r="W253" s="74">
        <v>0.115</v>
      </c>
      <c r="X253" s="50">
        <v>0.2</v>
      </c>
      <c r="Y253" s="74">
        <v>1E-3</v>
      </c>
      <c r="Z253" s="166">
        <v>6.25E-2</v>
      </c>
      <c r="AA253" s="167">
        <v>6.25E-2</v>
      </c>
      <c r="AB253" s="50">
        <v>18.2</v>
      </c>
      <c r="AC253" s="74">
        <v>125</v>
      </c>
      <c r="AD253" s="166">
        <v>0</v>
      </c>
      <c r="AE253" s="50">
        <v>0.13</v>
      </c>
      <c r="AF253" s="50">
        <v>0.19</v>
      </c>
      <c r="AI253" s="97"/>
    </row>
    <row r="254" spans="1:35" ht="15" customHeight="1">
      <c r="A254" s="41" t="s">
        <v>38</v>
      </c>
      <c r="B254" s="50" t="s">
        <v>2403</v>
      </c>
      <c r="C254" s="50" t="s">
        <v>2404</v>
      </c>
      <c r="D254" s="48" t="s">
        <v>1569</v>
      </c>
      <c r="E254" s="50" t="s">
        <v>1584</v>
      </c>
      <c r="G254" s="76" t="s">
        <v>2405</v>
      </c>
      <c r="I254" s="49" t="s">
        <v>2</v>
      </c>
      <c r="J254" s="50" t="s">
        <v>2406</v>
      </c>
      <c r="K254" s="51">
        <v>41585</v>
      </c>
      <c r="L254" s="115">
        <v>41520</v>
      </c>
      <c r="M254" s="85">
        <f t="shared" si="26"/>
        <v>65</v>
      </c>
      <c r="N254" s="50" t="s">
        <v>2</v>
      </c>
      <c r="O254" s="74">
        <f>1/2</f>
        <v>0.5</v>
      </c>
      <c r="P254" s="50">
        <v>5.61</v>
      </c>
      <c r="Q254" s="74">
        <v>6.75</v>
      </c>
      <c r="R254" s="50">
        <v>12</v>
      </c>
      <c r="S254" s="74">
        <v>80</v>
      </c>
      <c r="T254" s="50">
        <v>0.23</v>
      </c>
      <c r="U254" s="74">
        <v>4.87</v>
      </c>
      <c r="V254" s="50">
        <v>3.58</v>
      </c>
      <c r="W254" s="74">
        <v>0.75</v>
      </c>
      <c r="X254" s="50">
        <v>0.18</v>
      </c>
      <c r="Y254" s="74">
        <v>1.2E-2</v>
      </c>
      <c r="Z254" s="166">
        <v>6.25E-2</v>
      </c>
      <c r="AA254" s="167">
        <v>6.25E-2</v>
      </c>
      <c r="AB254" s="50">
        <v>72</v>
      </c>
      <c r="AC254" s="74">
        <v>281</v>
      </c>
      <c r="AD254" s="166">
        <v>0</v>
      </c>
      <c r="AE254" s="50">
        <v>1.47</v>
      </c>
      <c r="AF254" s="50">
        <v>1</v>
      </c>
      <c r="AI254" s="97"/>
    </row>
    <row r="255" spans="1:35" ht="15" customHeight="1">
      <c r="A255" s="41" t="s">
        <v>38</v>
      </c>
      <c r="B255" s="50" t="s">
        <v>5242</v>
      </c>
      <c r="D255" s="48" t="s">
        <v>443</v>
      </c>
      <c r="E255" s="50" t="s">
        <v>44</v>
      </c>
      <c r="G255" s="76" t="s">
        <v>5243</v>
      </c>
      <c r="H255" s="50">
        <v>4493</v>
      </c>
      <c r="I255" s="49" t="s">
        <v>2</v>
      </c>
      <c r="J255" s="50" t="s">
        <v>81</v>
      </c>
      <c r="K255" s="51">
        <v>41108</v>
      </c>
      <c r="L255" s="115"/>
      <c r="N255" s="50" t="s">
        <v>2</v>
      </c>
      <c r="O255" s="74">
        <f>5/2</f>
        <v>2.5</v>
      </c>
      <c r="P255" s="50">
        <v>5.54</v>
      </c>
      <c r="Q255" s="74">
        <v>7.83</v>
      </c>
      <c r="R255" s="50">
        <v>10.5</v>
      </c>
      <c r="S255" s="74">
        <v>9</v>
      </c>
      <c r="T255" s="50">
        <v>0.17</v>
      </c>
      <c r="U255" s="74">
        <f>0.5/2</f>
        <v>0.25</v>
      </c>
      <c r="V255" s="50">
        <v>0.55000000000000004</v>
      </c>
      <c r="W255" s="74">
        <v>0.03</v>
      </c>
      <c r="X255" s="50">
        <v>0.02</v>
      </c>
      <c r="Y255" s="74">
        <f>0.001/2</f>
        <v>5.0000000000000001E-4</v>
      </c>
      <c r="Z255" s="166">
        <v>1</v>
      </c>
      <c r="AA255" s="167">
        <v>1</v>
      </c>
      <c r="AB255" s="50">
        <v>35.200000000000003</v>
      </c>
      <c r="AC255" s="74">
        <v>161</v>
      </c>
      <c r="AD255" s="166">
        <v>1</v>
      </c>
      <c r="AE255" s="50">
        <v>0.05</v>
      </c>
      <c r="AF255" s="50">
        <f>0.1/2</f>
        <v>0.05</v>
      </c>
      <c r="AI255" s="97"/>
    </row>
    <row r="256" spans="1:35" ht="15" customHeight="1">
      <c r="A256" s="41" t="s">
        <v>38</v>
      </c>
      <c r="B256" s="50" t="s">
        <v>5242</v>
      </c>
      <c r="D256" s="48" t="s">
        <v>443</v>
      </c>
      <c r="E256" s="50" t="s">
        <v>44</v>
      </c>
      <c r="G256" s="76" t="s">
        <v>5243</v>
      </c>
      <c r="H256" s="50">
        <v>4493</v>
      </c>
      <c r="I256" s="49" t="s">
        <v>2</v>
      </c>
      <c r="J256" s="50" t="s">
        <v>81</v>
      </c>
      <c r="K256" s="51">
        <v>41529</v>
      </c>
      <c r="L256" s="115">
        <v>41524</v>
      </c>
      <c r="M256" s="85">
        <f t="shared" ref="M256:M258" si="27">K256-L256</f>
        <v>5</v>
      </c>
      <c r="N256" s="50" t="s">
        <v>2</v>
      </c>
      <c r="O256" s="74">
        <f>5/2</f>
        <v>2.5</v>
      </c>
      <c r="P256" s="50">
        <v>6.76</v>
      </c>
      <c r="Q256" s="74">
        <v>7.37</v>
      </c>
      <c r="R256" s="50">
        <v>66</v>
      </c>
      <c r="S256" s="74">
        <v>71</v>
      </c>
      <c r="T256" s="50">
        <v>0.5</v>
      </c>
      <c r="U256" s="74">
        <v>1.91</v>
      </c>
      <c r="V256" s="50">
        <v>4.6399999999999997</v>
      </c>
      <c r="W256" s="74">
        <v>0.25</v>
      </c>
      <c r="X256" s="50">
        <v>7.0000000000000007E-2</v>
      </c>
      <c r="Y256" s="74">
        <v>7.0000000000000001E-3</v>
      </c>
      <c r="AE256" s="50">
        <v>3.41</v>
      </c>
      <c r="AF256" s="50">
        <v>2.0099999999999998</v>
      </c>
      <c r="AI256" s="97"/>
    </row>
    <row r="257" spans="1:35" ht="15" customHeight="1">
      <c r="A257" s="41" t="s">
        <v>38</v>
      </c>
      <c r="B257" s="50" t="s">
        <v>1548</v>
      </c>
      <c r="C257" s="50" t="s">
        <v>1549</v>
      </c>
      <c r="D257" s="48" t="s">
        <v>1550</v>
      </c>
      <c r="E257" s="50" t="s">
        <v>1546</v>
      </c>
      <c r="G257" s="76" t="s">
        <v>1551</v>
      </c>
      <c r="H257" s="50">
        <v>4493</v>
      </c>
      <c r="I257" s="49" t="s">
        <v>2</v>
      </c>
      <c r="J257" s="50" t="s">
        <v>1552</v>
      </c>
      <c r="K257" s="51">
        <v>41605</v>
      </c>
      <c r="L257" s="115">
        <v>41596</v>
      </c>
      <c r="M257" s="85">
        <f t="shared" si="27"/>
        <v>9</v>
      </c>
      <c r="N257" s="50" t="s">
        <v>2</v>
      </c>
      <c r="AI257" s="97"/>
    </row>
    <row r="258" spans="1:35" ht="15" customHeight="1">
      <c r="A258" s="41" t="s">
        <v>38</v>
      </c>
      <c r="B258" s="50" t="s">
        <v>1604</v>
      </c>
      <c r="C258" s="50" t="s">
        <v>1604</v>
      </c>
      <c r="D258" s="48" t="s">
        <v>1569</v>
      </c>
      <c r="E258" s="50" t="s">
        <v>1605</v>
      </c>
      <c r="G258" s="76" t="s">
        <v>1606</v>
      </c>
      <c r="H258" s="50">
        <v>4493</v>
      </c>
      <c r="I258" s="49" t="s">
        <v>2</v>
      </c>
      <c r="J258" s="50" t="s">
        <v>1607</v>
      </c>
      <c r="K258" s="51">
        <v>41717</v>
      </c>
      <c r="L258" s="115">
        <v>41710</v>
      </c>
      <c r="M258" s="85">
        <f t="shared" si="27"/>
        <v>7</v>
      </c>
      <c r="N258" s="50" t="s">
        <v>2</v>
      </c>
      <c r="O258" s="74">
        <v>72</v>
      </c>
      <c r="P258" s="50">
        <v>5</v>
      </c>
      <c r="Q258" s="74">
        <v>6.7</v>
      </c>
      <c r="R258" s="50">
        <v>9000</v>
      </c>
      <c r="S258" s="74">
        <v>460</v>
      </c>
      <c r="T258" s="50">
        <v>0.48</v>
      </c>
      <c r="U258" s="74">
        <v>194</v>
      </c>
      <c r="V258" s="50">
        <v>1.6</v>
      </c>
      <c r="W258" s="74">
        <v>27.2</v>
      </c>
      <c r="X258" s="50">
        <v>58.9</v>
      </c>
      <c r="Y258" s="74">
        <v>3.9E-2</v>
      </c>
      <c r="AI258" s="97"/>
    </row>
    <row r="259" spans="1:35" ht="15" customHeight="1">
      <c r="A259" s="41" t="s">
        <v>38</v>
      </c>
      <c r="B259" s="50" t="s">
        <v>1559</v>
      </c>
      <c r="C259" s="50" t="s">
        <v>1559</v>
      </c>
      <c r="D259" s="48" t="s">
        <v>303</v>
      </c>
      <c r="E259" s="50" t="s">
        <v>1560</v>
      </c>
      <c r="G259" s="76" t="s">
        <v>1561</v>
      </c>
      <c r="H259" s="50">
        <v>4493</v>
      </c>
      <c r="I259" s="49" t="s">
        <v>1</v>
      </c>
      <c r="J259" s="50" t="s">
        <v>3886</v>
      </c>
      <c r="K259" s="51">
        <v>41710</v>
      </c>
      <c r="L259" s="115">
        <v>41691</v>
      </c>
      <c r="M259" s="50">
        <f>K259-L259</f>
        <v>19</v>
      </c>
      <c r="N259" s="50" t="s">
        <v>2</v>
      </c>
      <c r="O259" s="74">
        <f>1.6/2</f>
        <v>0.8</v>
      </c>
      <c r="Q259" s="74">
        <v>7.3</v>
      </c>
      <c r="R259" s="50">
        <v>25</v>
      </c>
      <c r="S259" s="74">
        <v>63</v>
      </c>
      <c r="T259" s="50">
        <v>0.21</v>
      </c>
      <c r="U259" s="74">
        <v>0.82</v>
      </c>
      <c r="V259" s="50">
        <v>0.53</v>
      </c>
      <c r="W259" s="74">
        <v>0.83599999999999997</v>
      </c>
      <c r="X259" s="50">
        <v>0.155</v>
      </c>
      <c r="Y259" s="74">
        <v>1.7999999999999999E-2</v>
      </c>
      <c r="AE259" s="50">
        <v>5.46</v>
      </c>
      <c r="AF259" s="50">
        <v>3.15</v>
      </c>
      <c r="AI259" s="97"/>
    </row>
    <row r="260" spans="1:35" ht="15" customHeight="1">
      <c r="A260" s="41" t="s">
        <v>38</v>
      </c>
      <c r="B260" s="50" t="s">
        <v>1591</v>
      </c>
      <c r="C260" s="50" t="s">
        <v>1591</v>
      </c>
      <c r="D260" s="48" t="s">
        <v>1569</v>
      </c>
      <c r="E260" s="50" t="s">
        <v>1579</v>
      </c>
      <c r="G260" s="76" t="s">
        <v>1592</v>
      </c>
      <c r="H260" s="50">
        <v>4493</v>
      </c>
      <c r="I260" s="49" t="s">
        <v>1</v>
      </c>
      <c r="J260" s="50" t="s">
        <v>4489</v>
      </c>
      <c r="K260" s="51">
        <v>41718</v>
      </c>
      <c r="L260" s="115">
        <v>41710</v>
      </c>
      <c r="M260" s="85">
        <f t="shared" ref="M260:M306" si="28">K260-L260</f>
        <v>8</v>
      </c>
      <c r="N260" s="50" t="s">
        <v>2</v>
      </c>
      <c r="O260" s="74">
        <v>4.9000000000000004</v>
      </c>
      <c r="P260" s="50">
        <v>5</v>
      </c>
      <c r="Q260" s="74">
        <v>6.97</v>
      </c>
      <c r="R260" s="50">
        <v>25</v>
      </c>
      <c r="S260" s="74">
        <v>87</v>
      </c>
      <c r="T260" s="50">
        <v>0.56000000000000005</v>
      </c>
      <c r="U260" s="74">
        <v>1.9</v>
      </c>
      <c r="V260" s="50">
        <v>0.28000000000000003</v>
      </c>
      <c r="W260" s="74">
        <v>5</v>
      </c>
      <c r="X260" s="50">
        <v>0.64700000000000002</v>
      </c>
      <c r="Y260" s="74">
        <v>0.48</v>
      </c>
      <c r="AE260" s="50">
        <v>4.75</v>
      </c>
      <c r="AF260" s="50">
        <v>4.18</v>
      </c>
      <c r="AI260" s="97"/>
    </row>
    <row r="261" spans="1:35" ht="15" customHeight="1">
      <c r="A261" s="41" t="s">
        <v>38</v>
      </c>
      <c r="B261" s="50" t="s">
        <v>1731</v>
      </c>
      <c r="C261" s="50" t="s">
        <v>1731</v>
      </c>
      <c r="D261" s="48" t="s">
        <v>1569</v>
      </c>
      <c r="E261" s="50" t="s">
        <v>1605</v>
      </c>
      <c r="G261" s="76" t="s">
        <v>1732</v>
      </c>
      <c r="H261" s="50">
        <v>4493</v>
      </c>
      <c r="I261" s="49" t="s">
        <v>1</v>
      </c>
      <c r="J261" s="50" t="s">
        <v>1733</v>
      </c>
      <c r="K261" s="51">
        <v>41717</v>
      </c>
      <c r="L261" s="115">
        <v>41710</v>
      </c>
      <c r="M261" s="85">
        <f t="shared" si="28"/>
        <v>7</v>
      </c>
      <c r="N261" s="50" t="s">
        <v>2</v>
      </c>
      <c r="O261" s="74">
        <v>6.7</v>
      </c>
      <c r="P261" s="50">
        <v>5</v>
      </c>
      <c r="Q261" s="74">
        <v>6.61</v>
      </c>
      <c r="R261" s="50">
        <v>70</v>
      </c>
      <c r="S261" s="74">
        <v>240</v>
      </c>
      <c r="T261" s="50">
        <v>0.53</v>
      </c>
      <c r="U261" s="74">
        <v>2.4</v>
      </c>
      <c r="V261" s="50">
        <v>0.84</v>
      </c>
      <c r="W261" s="74">
        <v>3.2</v>
      </c>
      <c r="X261" s="50">
        <v>1.0900000000000001</v>
      </c>
      <c r="Y261" s="74">
        <v>7.5999999999999998E-2</v>
      </c>
      <c r="AE261" s="50">
        <v>7.85</v>
      </c>
      <c r="AF261" s="50">
        <v>6.18</v>
      </c>
      <c r="AI261" s="97"/>
    </row>
    <row r="262" spans="1:35" ht="15" customHeight="1">
      <c r="A262" s="41" t="s">
        <v>38</v>
      </c>
      <c r="B262" s="50" t="s">
        <v>1578</v>
      </c>
      <c r="C262" s="50" t="s">
        <v>1578</v>
      </c>
      <c r="D262" s="48" t="s">
        <v>1569</v>
      </c>
      <c r="E262" s="50" t="s">
        <v>1579</v>
      </c>
      <c r="G262" s="76" t="s">
        <v>1580</v>
      </c>
      <c r="H262" s="49"/>
      <c r="I262" s="50"/>
      <c r="K262" s="51">
        <v>41729</v>
      </c>
      <c r="L262" s="115"/>
      <c r="M262" s="85"/>
      <c r="N262" s="50" t="s">
        <v>2</v>
      </c>
      <c r="O262" s="74">
        <v>1.2</v>
      </c>
      <c r="Q262" s="74">
        <v>5.24</v>
      </c>
      <c r="R262" s="50">
        <v>7.5</v>
      </c>
      <c r="S262" s="74">
        <v>39</v>
      </c>
      <c r="T262" s="50">
        <v>0.06</v>
      </c>
      <c r="U262" s="74">
        <v>0.54</v>
      </c>
      <c r="V262" s="50">
        <f>0.1/2</f>
        <v>0.05</v>
      </c>
      <c r="W262" s="74">
        <v>9.9000000000000005E-2</v>
      </c>
      <c r="X262" s="50">
        <v>5.3999999999999999E-2</v>
      </c>
      <c r="Y262" s="74">
        <f>0.002/2</f>
        <v>1E-3</v>
      </c>
      <c r="AE262" s="50">
        <v>0.09</v>
      </c>
      <c r="AF262" s="50">
        <v>0.09</v>
      </c>
      <c r="AG262" s="328">
        <v>4</v>
      </c>
      <c r="AI262" s="97"/>
    </row>
    <row r="263" spans="1:35" ht="15" customHeight="1">
      <c r="A263" s="41" t="s">
        <v>38</v>
      </c>
      <c r="B263" s="50" t="s">
        <v>1568</v>
      </c>
      <c r="C263" s="50" t="s">
        <v>1568</v>
      </c>
      <c r="D263" s="48" t="s">
        <v>1569</v>
      </c>
      <c r="E263" s="50" t="s">
        <v>1584</v>
      </c>
      <c r="G263" s="76" t="s">
        <v>1778</v>
      </c>
      <c r="I263" s="49" t="s">
        <v>2</v>
      </c>
      <c r="J263" s="50" t="s">
        <v>1779</v>
      </c>
      <c r="K263" s="51">
        <v>41744</v>
      </c>
      <c r="L263" s="115"/>
      <c r="M263" s="85"/>
      <c r="N263" s="50" t="s">
        <v>2</v>
      </c>
      <c r="O263" s="74">
        <f>5/2</f>
        <v>2.5</v>
      </c>
      <c r="P263" s="50">
        <v>6.42</v>
      </c>
      <c r="Q263" s="74">
        <v>6.46</v>
      </c>
      <c r="R263" s="50">
        <v>132</v>
      </c>
      <c r="S263" s="74">
        <v>76</v>
      </c>
      <c r="T263" s="50">
        <v>0.22</v>
      </c>
      <c r="U263" s="74">
        <v>1.76</v>
      </c>
      <c r="V263" s="50">
        <v>1.02</v>
      </c>
      <c r="W263" s="74">
        <v>1.1200000000000001</v>
      </c>
      <c r="X263" s="50">
        <v>1.31</v>
      </c>
      <c r="Y263" s="74">
        <v>6.5000000000000002E-2</v>
      </c>
      <c r="AE263" s="50">
        <v>1.61</v>
      </c>
      <c r="AF263" s="50">
        <v>1.18</v>
      </c>
      <c r="AI263" s="97"/>
    </row>
    <row r="264" spans="1:35" ht="15" customHeight="1">
      <c r="A264" s="41" t="s">
        <v>38</v>
      </c>
      <c r="B264" s="50" t="s">
        <v>5453</v>
      </c>
      <c r="C264" s="50" t="s">
        <v>5454</v>
      </c>
      <c r="D264" s="48" t="s">
        <v>1569</v>
      </c>
      <c r="E264" s="50" t="s">
        <v>1584</v>
      </c>
      <c r="G264" s="76" t="s">
        <v>2432</v>
      </c>
      <c r="I264" s="49" t="s">
        <v>2</v>
      </c>
      <c r="J264" s="50" t="s">
        <v>5455</v>
      </c>
      <c r="K264" s="51">
        <v>41744</v>
      </c>
      <c r="L264" s="115"/>
      <c r="M264" s="85"/>
      <c r="N264" s="50" t="s">
        <v>2</v>
      </c>
      <c r="O264" s="74">
        <f>5/2</f>
        <v>2.5</v>
      </c>
      <c r="P264" s="50">
        <v>7.26</v>
      </c>
      <c r="Q264" s="74">
        <v>7.24</v>
      </c>
      <c r="R264" s="50">
        <v>17</v>
      </c>
      <c r="S264" s="74">
        <v>5</v>
      </c>
      <c r="T264" s="50">
        <v>0.04</v>
      </c>
      <c r="U264" s="74">
        <v>0.89</v>
      </c>
      <c r="V264" s="50">
        <v>0.59</v>
      </c>
      <c r="W264" s="74">
        <v>9.1999999999999998E-2</v>
      </c>
      <c r="X264" s="50">
        <v>0.16</v>
      </c>
      <c r="Y264" s="74">
        <v>1E-3</v>
      </c>
      <c r="AE264" s="50">
        <v>0.11</v>
      </c>
      <c r="AF264" s="50">
        <f>0.1/2</f>
        <v>0.05</v>
      </c>
      <c r="AI264" s="97"/>
    </row>
    <row r="265" spans="1:35" ht="15" customHeight="1">
      <c r="A265" s="41" t="s">
        <v>38</v>
      </c>
      <c r="B265" s="50" t="s">
        <v>3881</v>
      </c>
      <c r="C265" s="50" t="s">
        <v>3881</v>
      </c>
      <c r="D265" s="48" t="s">
        <v>588</v>
      </c>
      <c r="E265" s="50" t="s">
        <v>44</v>
      </c>
      <c r="F265" s="50" t="s">
        <v>3882</v>
      </c>
      <c r="G265" s="76" t="s">
        <v>3883</v>
      </c>
      <c r="H265" s="50">
        <v>4493</v>
      </c>
      <c r="I265" s="49" t="s">
        <v>2</v>
      </c>
      <c r="J265" s="50" t="s">
        <v>3884</v>
      </c>
      <c r="K265" s="51">
        <v>41744</v>
      </c>
      <c r="L265" s="115">
        <v>41738</v>
      </c>
      <c r="M265" s="85">
        <f t="shared" si="28"/>
        <v>6</v>
      </c>
      <c r="N265" s="50" t="s">
        <v>2</v>
      </c>
      <c r="O265" s="74">
        <v>2</v>
      </c>
      <c r="P265" s="50">
        <v>4.8099999999999996</v>
      </c>
      <c r="Q265" s="74">
        <v>6.92</v>
      </c>
      <c r="R265" s="50">
        <v>31</v>
      </c>
      <c r="S265" s="74">
        <v>220.5</v>
      </c>
      <c r="T265" s="50">
        <v>0.21</v>
      </c>
      <c r="U265" s="74">
        <v>1.41</v>
      </c>
      <c r="V265" s="50">
        <v>0.38</v>
      </c>
      <c r="W265" s="74">
        <v>1.45</v>
      </c>
      <c r="X265" s="50">
        <v>0.36</v>
      </c>
      <c r="Y265" s="74">
        <v>0.3</v>
      </c>
      <c r="AE265" s="50">
        <v>12.2</v>
      </c>
      <c r="AF265" s="50">
        <v>8.8699999999999992</v>
      </c>
      <c r="AI265" s="97"/>
    </row>
    <row r="266" spans="1:35" ht="15" customHeight="1">
      <c r="A266" s="41" t="s">
        <v>38</v>
      </c>
      <c r="B266" s="50" t="s">
        <v>1582</v>
      </c>
      <c r="C266" s="50" t="s">
        <v>1583</v>
      </c>
      <c r="D266" s="48" t="s">
        <v>1569</v>
      </c>
      <c r="E266" s="50" t="s">
        <v>1584</v>
      </c>
      <c r="G266" s="76" t="s">
        <v>1585</v>
      </c>
      <c r="H266" s="49"/>
      <c r="I266" s="50" t="s">
        <v>2</v>
      </c>
      <c r="J266" s="50" t="s">
        <v>569</v>
      </c>
      <c r="K266" s="51">
        <v>41744</v>
      </c>
      <c r="L266" s="115"/>
      <c r="M266" s="85"/>
      <c r="N266" s="50" t="s">
        <v>2</v>
      </c>
      <c r="O266" s="74">
        <f>5/2</f>
        <v>2.5</v>
      </c>
      <c r="P266" s="50">
        <v>6.82</v>
      </c>
      <c r="Q266" s="74">
        <v>7.28</v>
      </c>
      <c r="R266" s="50">
        <v>24</v>
      </c>
      <c r="S266" s="74">
        <v>22</v>
      </c>
      <c r="T266" s="50">
        <v>7.0000000000000007E-2</v>
      </c>
      <c r="U266" s="74">
        <v>0.77</v>
      </c>
      <c r="V266" s="50">
        <v>0.63</v>
      </c>
      <c r="W266" s="74">
        <v>0.26</v>
      </c>
      <c r="X266" s="50">
        <v>0.1</v>
      </c>
      <c r="Y266" s="74">
        <v>1.7000000000000001E-2</v>
      </c>
      <c r="AE266" s="50">
        <v>1.99</v>
      </c>
      <c r="AF266" s="50">
        <v>1.41</v>
      </c>
      <c r="AI266" s="97"/>
    </row>
    <row r="267" spans="1:35" ht="15" customHeight="1">
      <c r="A267" s="41" t="s">
        <v>38</v>
      </c>
      <c r="B267" s="50" t="s">
        <v>5456</v>
      </c>
      <c r="C267" s="50" t="s">
        <v>5242</v>
      </c>
      <c r="D267" s="48" t="s">
        <v>443</v>
      </c>
      <c r="E267" s="50" t="s">
        <v>44</v>
      </c>
      <c r="G267" s="76" t="s">
        <v>5243</v>
      </c>
      <c r="H267" s="50">
        <v>4493</v>
      </c>
      <c r="I267" s="49" t="s">
        <v>2</v>
      </c>
      <c r="J267" s="50" t="s">
        <v>81</v>
      </c>
      <c r="K267" s="51">
        <v>41170</v>
      </c>
      <c r="L267" s="115">
        <v>41160</v>
      </c>
      <c r="M267" s="85">
        <f t="shared" si="28"/>
        <v>10</v>
      </c>
      <c r="N267" s="50" t="s">
        <v>2</v>
      </c>
      <c r="O267" s="74">
        <f>5/2</f>
        <v>2.5</v>
      </c>
      <c r="P267" s="50">
        <v>6.92</v>
      </c>
      <c r="Q267" s="74">
        <v>6.87</v>
      </c>
      <c r="R267" s="50">
        <v>150</v>
      </c>
      <c r="S267" s="74">
        <v>333</v>
      </c>
      <c r="T267" s="50">
        <v>1.31</v>
      </c>
      <c r="U267" s="74">
        <v>1.55</v>
      </c>
      <c r="V267" s="50">
        <v>0.69</v>
      </c>
      <c r="W267" s="74">
        <v>6.9000000000000006E-2</v>
      </c>
      <c r="X267" s="50">
        <v>0.08</v>
      </c>
      <c r="Y267" s="74">
        <v>1.2E-2</v>
      </c>
      <c r="AE267" s="50">
        <v>10.8</v>
      </c>
      <c r="AF267" s="50">
        <v>5.83</v>
      </c>
      <c r="AI267" s="97"/>
    </row>
    <row r="268" spans="1:35" ht="15" customHeight="1">
      <c r="A268" s="41" t="s">
        <v>38</v>
      </c>
      <c r="B268" s="50" t="s">
        <v>5456</v>
      </c>
      <c r="C268" s="50" t="s">
        <v>5242</v>
      </c>
      <c r="D268" s="48" t="s">
        <v>443</v>
      </c>
      <c r="E268" s="50" t="s">
        <v>44</v>
      </c>
      <c r="G268" s="76" t="s">
        <v>5243</v>
      </c>
      <c r="H268" s="50">
        <v>4493</v>
      </c>
      <c r="I268" s="49" t="s">
        <v>2</v>
      </c>
      <c r="J268" s="50" t="s">
        <v>114</v>
      </c>
      <c r="K268" s="51">
        <v>41345</v>
      </c>
      <c r="L268" s="115">
        <v>41339</v>
      </c>
      <c r="M268" s="85">
        <f t="shared" si="28"/>
        <v>6</v>
      </c>
      <c r="N268" s="50" t="s">
        <v>2</v>
      </c>
      <c r="O268" s="74">
        <v>5.2</v>
      </c>
      <c r="P268" s="50">
        <v>7.37</v>
      </c>
      <c r="Q268" s="74">
        <v>7.2</v>
      </c>
      <c r="R268" s="50">
        <v>35.700000000000003</v>
      </c>
      <c r="S268" s="74">
        <v>78</v>
      </c>
      <c r="T268" s="50">
        <f>0.04/2</f>
        <v>0.02</v>
      </c>
      <c r="U268" s="74">
        <v>0.78</v>
      </c>
      <c r="V268" s="50">
        <v>0.86</v>
      </c>
      <c r="W268" s="74">
        <v>0.155</v>
      </c>
      <c r="X268" s="50">
        <v>0.1</v>
      </c>
      <c r="Y268" s="74">
        <v>1.2E-2</v>
      </c>
      <c r="Z268" s="166">
        <v>1</v>
      </c>
      <c r="AA268" s="167">
        <v>0.22500000000000001</v>
      </c>
      <c r="AB268" s="50">
        <v>32.4</v>
      </c>
      <c r="AC268" s="74">
        <v>131</v>
      </c>
      <c r="AD268" s="166">
        <v>0</v>
      </c>
      <c r="AE268" s="50">
        <v>4.32</v>
      </c>
      <c r="AF268" s="50">
        <v>2.41</v>
      </c>
      <c r="AI268" s="97"/>
    </row>
    <row r="269" spans="1:35" ht="15" customHeight="1">
      <c r="A269" s="41" t="s">
        <v>38</v>
      </c>
      <c r="B269" s="50" t="s">
        <v>3903</v>
      </c>
      <c r="C269" s="50" t="s">
        <v>3903</v>
      </c>
      <c r="D269" s="48" t="s">
        <v>564</v>
      </c>
      <c r="E269" s="50" t="s">
        <v>44</v>
      </c>
      <c r="F269" s="50">
        <v>4000</v>
      </c>
      <c r="G269" s="76" t="s">
        <v>3906</v>
      </c>
      <c r="H269" s="50">
        <v>4493</v>
      </c>
      <c r="I269" s="49" t="s">
        <v>2</v>
      </c>
      <c r="J269" s="50" t="s">
        <v>81</v>
      </c>
      <c r="K269" s="51">
        <v>41579</v>
      </c>
      <c r="L269" s="115">
        <v>41565</v>
      </c>
      <c r="M269" s="85">
        <f t="shared" si="28"/>
        <v>14</v>
      </c>
      <c r="N269" s="50" t="s">
        <v>2</v>
      </c>
      <c r="O269" s="74">
        <f>2/2</f>
        <v>1</v>
      </c>
      <c r="P269" s="50">
        <v>6.8</v>
      </c>
      <c r="Q269" s="74">
        <v>8.1</v>
      </c>
      <c r="R269" s="50">
        <v>96</v>
      </c>
      <c r="S269" s="74">
        <v>545</v>
      </c>
      <c r="T269" s="50">
        <v>0.9</v>
      </c>
      <c r="U269" s="74">
        <v>2.4700000000000002</v>
      </c>
      <c r="V269" s="50">
        <v>6.85</v>
      </c>
      <c r="W269" s="74">
        <v>3.49</v>
      </c>
      <c r="X269" s="50">
        <v>0.54900000000000004</v>
      </c>
      <c r="Y269" s="74">
        <v>0.123</v>
      </c>
      <c r="AE269" s="50">
        <v>23.8</v>
      </c>
      <c r="AF269" s="50">
        <v>15.3</v>
      </c>
      <c r="AI269" s="97"/>
    </row>
    <row r="270" spans="1:35" ht="15" customHeight="1">
      <c r="A270" s="41" t="s">
        <v>38</v>
      </c>
      <c r="B270" s="50" t="s">
        <v>3903</v>
      </c>
      <c r="C270" s="50" t="s">
        <v>3903</v>
      </c>
      <c r="D270" s="48" t="s">
        <v>564</v>
      </c>
      <c r="E270" s="50" t="s">
        <v>44</v>
      </c>
      <c r="F270" s="50">
        <v>4000</v>
      </c>
      <c r="G270" s="76" t="s">
        <v>3906</v>
      </c>
      <c r="H270" s="50">
        <v>4493</v>
      </c>
      <c r="I270" s="49" t="s">
        <v>2</v>
      </c>
      <c r="J270" s="50" t="s">
        <v>114</v>
      </c>
      <c r="K270" s="51">
        <v>41579</v>
      </c>
      <c r="L270" s="115">
        <v>41565</v>
      </c>
      <c r="M270" s="85">
        <f t="shared" si="28"/>
        <v>14</v>
      </c>
      <c r="N270" s="50" t="s">
        <v>2</v>
      </c>
      <c r="O270" s="74">
        <v>14.8</v>
      </c>
      <c r="P270" s="50">
        <v>6.8</v>
      </c>
      <c r="Q270" s="74">
        <v>7.2</v>
      </c>
      <c r="R270" s="50">
        <v>190</v>
      </c>
      <c r="S270" s="74">
        <v>313</v>
      </c>
      <c r="T270" s="50">
        <v>4.84</v>
      </c>
      <c r="U270" s="74">
        <v>8.26</v>
      </c>
      <c r="V270" s="50">
        <v>0.19</v>
      </c>
      <c r="W270" s="74">
        <v>19.8</v>
      </c>
      <c r="X270" s="50">
        <v>9.6999999999999993</v>
      </c>
      <c r="Y270" s="74">
        <v>0.20499999999999999</v>
      </c>
      <c r="AE270" s="50">
        <v>15.4</v>
      </c>
      <c r="AF270" s="50">
        <v>10.3</v>
      </c>
      <c r="AI270" s="97"/>
    </row>
    <row r="271" spans="1:35" ht="15" customHeight="1">
      <c r="A271" s="41" t="s">
        <v>38</v>
      </c>
      <c r="B271" s="50" t="s">
        <v>3903</v>
      </c>
      <c r="C271" s="50" t="s">
        <v>3903</v>
      </c>
      <c r="D271" s="48" t="s">
        <v>564</v>
      </c>
      <c r="E271" s="50" t="s">
        <v>44</v>
      </c>
      <c r="F271" s="50">
        <v>4000</v>
      </c>
      <c r="G271" s="76" t="s">
        <v>3906</v>
      </c>
      <c r="H271" s="50">
        <v>4493</v>
      </c>
      <c r="I271" s="49" t="s">
        <v>2</v>
      </c>
      <c r="J271" s="50" t="s">
        <v>115</v>
      </c>
      <c r="K271" s="51">
        <v>41579</v>
      </c>
      <c r="L271" s="115">
        <v>41565</v>
      </c>
      <c r="M271" s="85">
        <f t="shared" si="28"/>
        <v>14</v>
      </c>
      <c r="N271" s="50" t="s">
        <v>2</v>
      </c>
      <c r="O271" s="74">
        <v>2.8</v>
      </c>
      <c r="P271" s="50">
        <v>6.8</v>
      </c>
      <c r="Q271" s="74">
        <v>6.9</v>
      </c>
      <c r="R271" s="50">
        <v>72</v>
      </c>
      <c r="S271" s="74">
        <v>72</v>
      </c>
      <c r="T271" s="50">
        <v>0.31</v>
      </c>
      <c r="U271" s="74">
        <v>1.35</v>
      </c>
      <c r="V271" s="50">
        <v>0.33</v>
      </c>
      <c r="W271" s="74">
        <v>0.76300000000000001</v>
      </c>
      <c r="X271" s="50">
        <v>0.46400000000000002</v>
      </c>
      <c r="Y271" s="74">
        <f>0.03/2</f>
        <v>1.4999999999999999E-2</v>
      </c>
      <c r="AE271" s="50">
        <v>2.1800000000000002</v>
      </c>
      <c r="AF271" s="50">
        <v>1.5</v>
      </c>
      <c r="AI271" s="97"/>
    </row>
    <row r="272" spans="1:35" ht="15" customHeight="1">
      <c r="A272" s="41" t="s">
        <v>38</v>
      </c>
      <c r="B272" s="50" t="s">
        <v>5457</v>
      </c>
      <c r="C272" s="50" t="s">
        <v>5457</v>
      </c>
      <c r="D272" s="48" t="s">
        <v>452</v>
      </c>
      <c r="E272" s="50" t="s">
        <v>5458</v>
      </c>
      <c r="F272" s="50" t="s">
        <v>5459</v>
      </c>
      <c r="G272" s="76" t="s">
        <v>451</v>
      </c>
      <c r="H272" s="50">
        <v>4493</v>
      </c>
      <c r="I272" s="49" t="s">
        <v>1</v>
      </c>
      <c r="J272" s="48" t="s">
        <v>1943</v>
      </c>
      <c r="K272" s="51">
        <v>41578</v>
      </c>
      <c r="L272" s="115">
        <v>41552</v>
      </c>
      <c r="M272" s="85">
        <f t="shared" si="28"/>
        <v>26</v>
      </c>
      <c r="N272" s="50" t="s">
        <v>2</v>
      </c>
      <c r="O272" s="74">
        <f>5/2</f>
        <v>2.5</v>
      </c>
      <c r="P272" s="50">
        <v>5</v>
      </c>
      <c r="Q272" s="74">
        <v>7.71</v>
      </c>
      <c r="R272" s="50">
        <v>114</v>
      </c>
      <c r="S272" s="74">
        <v>21</v>
      </c>
      <c r="T272" s="50">
        <v>0.53</v>
      </c>
      <c r="U272" s="74">
        <v>4.22</v>
      </c>
      <c r="V272" s="50">
        <v>1.86</v>
      </c>
      <c r="W272" s="74">
        <v>1.06</v>
      </c>
      <c r="X272" s="50">
        <v>0.34</v>
      </c>
      <c r="Y272" s="74">
        <v>6.0999999999999999E-2</v>
      </c>
      <c r="AE272" s="50">
        <v>1.0900000000000001</v>
      </c>
      <c r="AF272" s="50">
        <v>0.67</v>
      </c>
      <c r="AI272" s="97"/>
    </row>
    <row r="273" spans="1:35" ht="15" customHeight="1">
      <c r="A273" s="41" t="s">
        <v>38</v>
      </c>
      <c r="B273" s="50" t="s">
        <v>4490</v>
      </c>
      <c r="C273" s="50" t="s">
        <v>678</v>
      </c>
      <c r="D273" s="48" t="s">
        <v>567</v>
      </c>
      <c r="E273" s="50" t="s">
        <v>304</v>
      </c>
      <c r="G273" s="76" t="s">
        <v>679</v>
      </c>
      <c r="H273" s="50">
        <v>4493</v>
      </c>
      <c r="I273" s="49" t="s">
        <v>1</v>
      </c>
      <c r="J273" s="50" t="s">
        <v>641</v>
      </c>
      <c r="K273" s="51">
        <v>41631</v>
      </c>
      <c r="L273" s="115">
        <v>41625</v>
      </c>
      <c r="M273" s="85">
        <f t="shared" si="28"/>
        <v>6</v>
      </c>
      <c r="N273" s="50" t="s">
        <v>1</v>
      </c>
      <c r="R273" s="50">
        <v>30</v>
      </c>
      <c r="W273" s="74">
        <v>0.17</v>
      </c>
      <c r="X273" s="50">
        <v>7.3999999999999996E-2</v>
      </c>
      <c r="AE273" s="50">
        <v>0.25</v>
      </c>
      <c r="AG273" s="328">
        <f>10/2</f>
        <v>5</v>
      </c>
      <c r="AI273" s="97"/>
    </row>
    <row r="274" spans="1:35" ht="15" customHeight="1">
      <c r="A274" s="41" t="s">
        <v>38</v>
      </c>
      <c r="B274" s="50" t="s">
        <v>4490</v>
      </c>
      <c r="C274" s="50" t="s">
        <v>678</v>
      </c>
      <c r="D274" s="48" t="s">
        <v>567</v>
      </c>
      <c r="E274" s="50" t="s">
        <v>304</v>
      </c>
      <c r="G274" s="76" t="s">
        <v>679</v>
      </c>
      <c r="H274" s="50">
        <v>4493</v>
      </c>
      <c r="I274" s="49" t="s">
        <v>1</v>
      </c>
      <c r="J274" s="50" t="s">
        <v>643</v>
      </c>
      <c r="K274" s="51">
        <v>41631</v>
      </c>
      <c r="L274" s="115">
        <v>41625</v>
      </c>
      <c r="M274" s="85">
        <f t="shared" si="28"/>
        <v>6</v>
      </c>
      <c r="N274" s="50" t="s">
        <v>1</v>
      </c>
      <c r="R274" s="50">
        <v>49</v>
      </c>
      <c r="S274" s="74">
        <v>46</v>
      </c>
      <c r="W274" s="74">
        <v>1.3</v>
      </c>
      <c r="AF274" s="50">
        <v>2.1</v>
      </c>
      <c r="AI274" s="97"/>
    </row>
    <row r="275" spans="1:35" ht="15" customHeight="1">
      <c r="A275" s="41" t="s">
        <v>38</v>
      </c>
      <c r="B275" s="50" t="s">
        <v>5460</v>
      </c>
      <c r="C275" s="50" t="s">
        <v>5461</v>
      </c>
      <c r="D275" s="48" t="s">
        <v>165</v>
      </c>
      <c r="G275" s="76" t="s">
        <v>5462</v>
      </c>
      <c r="J275" s="50" t="s">
        <v>33</v>
      </c>
      <c r="K275" s="51">
        <v>41554</v>
      </c>
      <c r="L275" s="115">
        <v>41539</v>
      </c>
      <c r="M275" s="85">
        <f t="shared" si="28"/>
        <v>15</v>
      </c>
      <c r="N275" s="50" t="s">
        <v>2</v>
      </c>
      <c r="O275" s="74">
        <f>5/2</f>
        <v>2.5</v>
      </c>
      <c r="P275" s="50">
        <v>8.25</v>
      </c>
      <c r="Q275" s="74">
        <v>6.2</v>
      </c>
      <c r="R275" s="50">
        <v>91</v>
      </c>
      <c r="S275" s="74">
        <v>65</v>
      </c>
      <c r="T275" s="50">
        <v>0.3</v>
      </c>
      <c r="U275" s="74">
        <v>2.2200000000000002</v>
      </c>
      <c r="V275" s="50">
        <v>0.9</v>
      </c>
      <c r="W275" s="74">
        <v>1.9E-2</v>
      </c>
      <c r="X275" s="50">
        <v>7.0000000000000007E-2</v>
      </c>
      <c r="Y275" s="74">
        <v>5.7000000000000002E-2</v>
      </c>
      <c r="Z275" s="166">
        <v>1</v>
      </c>
      <c r="AA275" s="167">
        <v>1</v>
      </c>
      <c r="AB275" s="50">
        <v>5.5</v>
      </c>
      <c r="AC275" s="74">
        <v>95</v>
      </c>
      <c r="AD275" s="166">
        <v>1</v>
      </c>
      <c r="AE275" s="50">
        <v>4.1399999999999997</v>
      </c>
      <c r="AF275" s="50">
        <v>2.35</v>
      </c>
      <c r="AI275" s="97"/>
    </row>
    <row r="276" spans="1:35" ht="15" customHeight="1">
      <c r="A276" s="41" t="s">
        <v>38</v>
      </c>
      <c r="B276" s="50" t="s">
        <v>5460</v>
      </c>
      <c r="C276" s="50" t="s">
        <v>5461</v>
      </c>
      <c r="D276" s="48" t="s">
        <v>165</v>
      </c>
      <c r="E276" s="50" t="s">
        <v>1754</v>
      </c>
      <c r="G276" s="76" t="s">
        <v>5462</v>
      </c>
      <c r="H276" s="50">
        <v>4493</v>
      </c>
      <c r="I276" s="49" t="s">
        <v>1</v>
      </c>
      <c r="J276" s="50" t="s">
        <v>34</v>
      </c>
      <c r="K276" s="51">
        <v>41554</v>
      </c>
      <c r="L276" s="115">
        <v>41539</v>
      </c>
      <c r="M276" s="85">
        <f t="shared" si="28"/>
        <v>15</v>
      </c>
      <c r="N276" s="50" t="s">
        <v>2</v>
      </c>
      <c r="O276" s="74">
        <f>5/2</f>
        <v>2.5</v>
      </c>
      <c r="P276" s="50">
        <v>8.25</v>
      </c>
      <c r="Q276" s="74">
        <v>6.3</v>
      </c>
      <c r="R276" s="50">
        <v>159</v>
      </c>
      <c r="S276" s="74">
        <v>217</v>
      </c>
      <c r="T276" s="50">
        <v>0.19</v>
      </c>
      <c r="U276" s="74">
        <v>3.67</v>
      </c>
      <c r="V276" s="50">
        <v>1.08</v>
      </c>
      <c r="W276" s="74">
        <v>3.5000000000000003E-2</v>
      </c>
      <c r="X276" s="50">
        <v>0.16</v>
      </c>
      <c r="Y276" s="74">
        <v>5.0000000000000001E-3</v>
      </c>
      <c r="Z276" s="166">
        <v>1</v>
      </c>
      <c r="AA276" s="167">
        <v>1</v>
      </c>
      <c r="AB276" s="50">
        <v>12.7</v>
      </c>
      <c r="AC276" s="74">
        <v>120</v>
      </c>
      <c r="AD276" s="166">
        <v>1</v>
      </c>
      <c r="AE276" s="50">
        <v>1.48</v>
      </c>
      <c r="AF276" s="50">
        <v>0.88</v>
      </c>
      <c r="AI276" s="97"/>
    </row>
    <row r="277" spans="1:35" ht="15" customHeight="1">
      <c r="A277" s="41" t="s">
        <v>38</v>
      </c>
      <c r="B277" s="50" t="s">
        <v>5460</v>
      </c>
      <c r="C277" s="50" t="s">
        <v>5461</v>
      </c>
      <c r="D277" s="48" t="s">
        <v>165</v>
      </c>
      <c r="E277" s="50" t="s">
        <v>1754</v>
      </c>
      <c r="G277" s="76" t="s">
        <v>5462</v>
      </c>
      <c r="H277" s="50">
        <v>4493</v>
      </c>
      <c r="I277" s="49" t="s">
        <v>1</v>
      </c>
      <c r="J277" s="50" t="s">
        <v>68</v>
      </c>
      <c r="K277" s="51">
        <v>41554</v>
      </c>
      <c r="L277" s="115">
        <v>41539</v>
      </c>
      <c r="M277" s="85">
        <f t="shared" si="28"/>
        <v>15</v>
      </c>
      <c r="N277" s="50" t="s">
        <v>2</v>
      </c>
      <c r="O277" s="74">
        <f>5/2</f>
        <v>2.5</v>
      </c>
      <c r="P277" s="50">
        <v>8.25</v>
      </c>
      <c r="Q277" s="74">
        <v>6.5</v>
      </c>
      <c r="R277" s="50">
        <v>66</v>
      </c>
      <c r="S277" s="74">
        <v>74</v>
      </c>
      <c r="T277" s="50">
        <v>0.1</v>
      </c>
      <c r="U277" s="74">
        <v>2.89</v>
      </c>
      <c r="V277" s="50">
        <v>0.64</v>
      </c>
      <c r="W277" s="74">
        <v>6.0000000000000001E-3</v>
      </c>
      <c r="X277" s="50">
        <v>0.06</v>
      </c>
      <c r="Y277" s="74">
        <v>2E-3</v>
      </c>
      <c r="Z277" s="166">
        <v>1</v>
      </c>
      <c r="AA277" s="167">
        <v>1</v>
      </c>
      <c r="AB277" s="50">
        <v>2.72</v>
      </c>
      <c r="AC277" s="74">
        <v>34</v>
      </c>
      <c r="AD277" s="166">
        <v>1</v>
      </c>
      <c r="AE277" s="50">
        <v>0.42</v>
      </c>
      <c r="AF277" s="50">
        <v>0.22</v>
      </c>
      <c r="AI277" s="97"/>
    </row>
    <row r="278" spans="1:35" ht="15" customHeight="1">
      <c r="A278" s="41" t="s">
        <v>38</v>
      </c>
      <c r="B278" s="50" t="s">
        <v>5460</v>
      </c>
      <c r="C278" s="50" t="s">
        <v>5461</v>
      </c>
      <c r="D278" s="48" t="s">
        <v>165</v>
      </c>
      <c r="E278" s="50" t="s">
        <v>1754</v>
      </c>
      <c r="G278" s="76" t="s">
        <v>5462</v>
      </c>
      <c r="H278" s="50">
        <v>4493</v>
      </c>
      <c r="I278" s="49" t="s">
        <v>1</v>
      </c>
      <c r="J278" s="50" t="s">
        <v>279</v>
      </c>
      <c r="K278" s="51">
        <v>41554</v>
      </c>
      <c r="L278" s="115">
        <v>41539</v>
      </c>
      <c r="M278" s="85">
        <f t="shared" si="28"/>
        <v>15</v>
      </c>
      <c r="N278" s="50" t="s">
        <v>2</v>
      </c>
      <c r="O278" s="74">
        <f>5/2</f>
        <v>2.5</v>
      </c>
      <c r="P278" s="50">
        <v>8.25</v>
      </c>
      <c r="Q278" s="74">
        <v>6.5</v>
      </c>
      <c r="R278" s="50">
        <v>111</v>
      </c>
      <c r="S278" s="74">
        <v>10</v>
      </c>
      <c r="T278" s="50">
        <v>0.15</v>
      </c>
      <c r="U278" s="74">
        <v>1.96</v>
      </c>
      <c r="V278" s="50">
        <v>0.52</v>
      </c>
      <c r="W278" s="74">
        <v>1.9E-2</v>
      </c>
      <c r="X278" s="50">
        <v>0.1</v>
      </c>
      <c r="Y278" s="74">
        <v>1E-3</v>
      </c>
      <c r="Z278" s="166">
        <v>1</v>
      </c>
      <c r="AA278" s="167">
        <v>1</v>
      </c>
      <c r="AB278" s="50">
        <v>9.6</v>
      </c>
      <c r="AC278" s="74">
        <v>89</v>
      </c>
      <c r="AD278" s="166">
        <v>1</v>
      </c>
      <c r="AE278" s="50">
        <v>0.36</v>
      </c>
      <c r="AF278" s="50">
        <v>0.18</v>
      </c>
      <c r="AI278" s="97"/>
    </row>
    <row r="279" spans="1:35" ht="15" customHeight="1">
      <c r="A279" s="41" t="s">
        <v>38</v>
      </c>
      <c r="B279" s="50" t="s">
        <v>5460</v>
      </c>
      <c r="C279" s="50" t="s">
        <v>5461</v>
      </c>
      <c r="D279" s="48" t="s">
        <v>165</v>
      </c>
      <c r="E279" s="50" t="s">
        <v>1754</v>
      </c>
      <c r="G279" s="76" t="s">
        <v>5462</v>
      </c>
      <c r="H279" s="50">
        <v>4493</v>
      </c>
      <c r="I279" s="49" t="s">
        <v>1</v>
      </c>
      <c r="J279" s="50" t="s">
        <v>138</v>
      </c>
      <c r="K279" s="51">
        <v>41554</v>
      </c>
      <c r="L279" s="115">
        <v>41539</v>
      </c>
      <c r="M279" s="85">
        <f t="shared" si="28"/>
        <v>15</v>
      </c>
      <c r="N279" s="50" t="s">
        <v>2</v>
      </c>
      <c r="O279" s="74">
        <f>5/2</f>
        <v>2.5</v>
      </c>
      <c r="P279" s="50">
        <v>8.25</v>
      </c>
      <c r="Q279" s="74">
        <v>5.9</v>
      </c>
      <c r="R279" s="50">
        <v>80</v>
      </c>
      <c r="S279" s="74">
        <v>62</v>
      </c>
      <c r="T279" s="50">
        <v>0.15</v>
      </c>
      <c r="U279" s="74">
        <v>1.85</v>
      </c>
      <c r="V279" s="50">
        <v>0.85</v>
      </c>
      <c r="W279" s="74">
        <v>8.0000000000000002E-3</v>
      </c>
      <c r="X279" s="50">
        <v>0.04</v>
      </c>
      <c r="Y279" s="74">
        <v>3.0000000000000001E-3</v>
      </c>
      <c r="Z279" s="166">
        <v>1</v>
      </c>
      <c r="AA279" s="167">
        <v>1</v>
      </c>
      <c r="AB279" s="50">
        <v>1</v>
      </c>
      <c r="AC279" s="74">
        <v>24</v>
      </c>
      <c r="AD279" s="166">
        <v>1</v>
      </c>
      <c r="AE279" s="50">
        <v>0.82</v>
      </c>
      <c r="AF279" s="50">
        <v>0.42</v>
      </c>
      <c r="AI279" s="97"/>
    </row>
    <row r="280" spans="1:35" ht="15" customHeight="1">
      <c r="A280" s="41" t="s">
        <v>38</v>
      </c>
      <c r="B280" s="50" t="s">
        <v>1758</v>
      </c>
      <c r="C280" s="50" t="s">
        <v>1758</v>
      </c>
      <c r="D280" s="48" t="s">
        <v>1759</v>
      </c>
      <c r="G280" s="76" t="s">
        <v>1760</v>
      </c>
      <c r="H280" s="50">
        <v>4493</v>
      </c>
      <c r="I280" s="49" t="s">
        <v>1</v>
      </c>
      <c r="J280" s="50" t="s">
        <v>2415</v>
      </c>
      <c r="K280" s="51">
        <v>41585</v>
      </c>
      <c r="L280" s="115"/>
      <c r="M280" s="85"/>
      <c r="N280" s="50" t="s">
        <v>2</v>
      </c>
      <c r="O280" s="74">
        <f>1/2</f>
        <v>0.5</v>
      </c>
      <c r="P280" s="50">
        <v>6.89</v>
      </c>
      <c r="Q280" s="74">
        <v>7.14</v>
      </c>
      <c r="R280" s="50">
        <v>22</v>
      </c>
      <c r="S280" s="74">
        <v>3</v>
      </c>
      <c r="T280" s="50">
        <v>0.56999999999999995</v>
      </c>
      <c r="U280" s="74">
        <v>6.58</v>
      </c>
      <c r="V280" s="50">
        <v>0.19</v>
      </c>
      <c r="W280" s="74">
        <f>0.05/2</f>
        <v>2.5000000000000001E-2</v>
      </c>
      <c r="X280" s="50">
        <v>0.06</v>
      </c>
      <c r="Y280" s="74">
        <f>0.05/2</f>
        <v>2.5000000000000001E-2</v>
      </c>
      <c r="AE280" s="50">
        <v>0.18</v>
      </c>
      <c r="AF280" s="50">
        <v>1.69</v>
      </c>
      <c r="AG280" s="328">
        <v>730</v>
      </c>
      <c r="AH280" s="114">
        <v>0</v>
      </c>
      <c r="AI280" s="97"/>
    </row>
    <row r="281" spans="1:35" ht="15" customHeight="1">
      <c r="A281" s="41" t="s">
        <v>38</v>
      </c>
      <c r="B281" s="50" t="s">
        <v>2386</v>
      </c>
      <c r="D281" s="48" t="s">
        <v>1569</v>
      </c>
      <c r="E281" s="50" t="s">
        <v>1584</v>
      </c>
      <c r="G281" s="76" t="s">
        <v>2387</v>
      </c>
      <c r="H281" s="50">
        <v>4493</v>
      </c>
      <c r="I281" s="49" t="s">
        <v>2</v>
      </c>
      <c r="J281" s="50" t="s">
        <v>3876</v>
      </c>
      <c r="K281" s="51">
        <v>41538</v>
      </c>
      <c r="L281" s="115">
        <v>41531</v>
      </c>
      <c r="M281" s="85">
        <f t="shared" si="28"/>
        <v>7</v>
      </c>
      <c r="N281" s="50" t="s">
        <v>2</v>
      </c>
      <c r="O281" s="74">
        <f>2/2</f>
        <v>1</v>
      </c>
      <c r="P281" s="50">
        <v>6.6</v>
      </c>
      <c r="Q281" s="74">
        <v>7.8</v>
      </c>
      <c r="R281" s="50">
        <v>15</v>
      </c>
      <c r="S281" s="74">
        <v>3</v>
      </c>
      <c r="T281" s="50">
        <v>0.19</v>
      </c>
      <c r="U281" s="74">
        <v>0.8</v>
      </c>
      <c r="V281" s="50">
        <v>0.16</v>
      </c>
      <c r="W281" s="74">
        <v>9.4E-2</v>
      </c>
      <c r="X281" s="50">
        <f>0.03/2</f>
        <v>1.4999999999999999E-2</v>
      </c>
      <c r="Y281" s="74">
        <f>0.03/2</f>
        <v>1.4999999999999999E-2</v>
      </c>
      <c r="Z281" s="166">
        <v>0.48399999999999999</v>
      </c>
      <c r="AA281" s="167">
        <v>0.15</v>
      </c>
      <c r="AB281" s="50">
        <v>16</v>
      </c>
      <c r="AC281" s="74">
        <v>112</v>
      </c>
      <c r="AD281" s="166">
        <v>0</v>
      </c>
      <c r="AE281" s="50">
        <v>0.08</v>
      </c>
      <c r="AF281" s="50">
        <v>0.14000000000000001</v>
      </c>
      <c r="AI281" s="97"/>
    </row>
    <row r="282" spans="1:35" ht="15" customHeight="1">
      <c r="A282" s="41" t="s">
        <v>38</v>
      </c>
      <c r="B282" s="50" t="s">
        <v>4505</v>
      </c>
      <c r="C282" s="50" t="s">
        <v>4505</v>
      </c>
      <c r="D282" s="48" t="s">
        <v>2274</v>
      </c>
      <c r="E282" s="50" t="s">
        <v>4502</v>
      </c>
      <c r="G282" s="76" t="s">
        <v>4503</v>
      </c>
      <c r="H282" s="50">
        <v>7997</v>
      </c>
      <c r="I282" s="49" t="s">
        <v>1</v>
      </c>
      <c r="J282" s="50" t="s">
        <v>5463</v>
      </c>
      <c r="K282" s="51">
        <v>41456</v>
      </c>
      <c r="L282" s="115">
        <v>41452</v>
      </c>
      <c r="M282" s="85">
        <f t="shared" si="28"/>
        <v>4</v>
      </c>
      <c r="N282" s="50" t="s">
        <v>2</v>
      </c>
      <c r="O282" s="74">
        <v>1.3</v>
      </c>
      <c r="P282" s="50">
        <v>5.54</v>
      </c>
      <c r="Q282" s="74">
        <v>6.87</v>
      </c>
      <c r="R282" s="50">
        <v>59.2</v>
      </c>
      <c r="S282" s="74">
        <v>9</v>
      </c>
      <c r="T282" s="50">
        <v>0.57399999999999995</v>
      </c>
      <c r="U282" s="74">
        <v>0.77</v>
      </c>
      <c r="V282" s="50">
        <v>0.215</v>
      </c>
      <c r="W282" s="74">
        <v>2.27</v>
      </c>
      <c r="X282" s="50">
        <v>0.79600000000000004</v>
      </c>
      <c r="Y282" s="74">
        <v>7.3400000000000007E-2</v>
      </c>
      <c r="Z282" s="166">
        <v>6.25E-2</v>
      </c>
      <c r="AA282" s="167">
        <v>6.25E-2</v>
      </c>
      <c r="AB282" s="50">
        <v>34</v>
      </c>
      <c r="AC282" s="74">
        <v>130</v>
      </c>
      <c r="AD282" s="166">
        <v>0</v>
      </c>
      <c r="AE282" s="50">
        <v>0.33600000000000002</v>
      </c>
      <c r="AF282" s="50">
        <v>0.16300000000000001</v>
      </c>
      <c r="AI282" s="97"/>
    </row>
    <row r="283" spans="1:35" ht="15" customHeight="1">
      <c r="A283" s="41" t="s">
        <v>38</v>
      </c>
      <c r="B283" s="50" t="s">
        <v>2636</v>
      </c>
      <c r="C283" s="50" t="s">
        <v>2636</v>
      </c>
      <c r="D283" s="48" t="s">
        <v>1569</v>
      </c>
      <c r="E283" s="50" t="s">
        <v>1579</v>
      </c>
      <c r="G283" s="76" t="s">
        <v>2637</v>
      </c>
      <c r="I283" s="49" t="s">
        <v>1</v>
      </c>
      <c r="J283" s="50" t="s">
        <v>194</v>
      </c>
      <c r="K283" s="51">
        <v>41539</v>
      </c>
      <c r="L283" s="115">
        <v>41529</v>
      </c>
      <c r="M283" s="85">
        <f t="shared" si="28"/>
        <v>10</v>
      </c>
      <c r="N283" s="50" t="s">
        <v>2</v>
      </c>
      <c r="O283" s="74">
        <f>1/2</f>
        <v>0.5</v>
      </c>
      <c r="P283" s="50">
        <v>6.8</v>
      </c>
      <c r="Q283" s="74">
        <v>6.27</v>
      </c>
      <c r="R283" s="50">
        <f>1/2</f>
        <v>0.5</v>
      </c>
      <c r="S283" s="74">
        <f>1/2</f>
        <v>0.5</v>
      </c>
      <c r="T283" s="50">
        <v>0.15</v>
      </c>
      <c r="U283" s="74">
        <v>0.48</v>
      </c>
      <c r="V283" s="50">
        <v>0.66</v>
      </c>
      <c r="W283" s="74">
        <v>0.28599999999999998</v>
      </c>
      <c r="X283" s="50">
        <v>0.14000000000000001</v>
      </c>
      <c r="Y283" s="74">
        <v>1E-3</v>
      </c>
      <c r="AE283" s="50">
        <v>0.04</v>
      </c>
      <c r="AF283" s="50">
        <v>0.04</v>
      </c>
      <c r="AI283" s="97"/>
    </row>
    <row r="284" spans="1:35" ht="15" customHeight="1">
      <c r="A284" s="41" t="s">
        <v>38</v>
      </c>
      <c r="B284" s="50" t="s">
        <v>2416</v>
      </c>
      <c r="C284" s="50" t="s">
        <v>2422</v>
      </c>
      <c r="D284" s="48" t="s">
        <v>559</v>
      </c>
      <c r="E284" s="50" t="s">
        <v>2423</v>
      </c>
      <c r="G284" s="76" t="s">
        <v>2473</v>
      </c>
      <c r="H284" s="50">
        <v>4493</v>
      </c>
      <c r="J284" s="50" t="s">
        <v>2425</v>
      </c>
      <c r="K284" s="51">
        <v>41520</v>
      </c>
      <c r="L284" s="115">
        <v>41517</v>
      </c>
      <c r="M284" s="85">
        <f t="shared" si="28"/>
        <v>3</v>
      </c>
      <c r="N284" s="50" t="s">
        <v>2</v>
      </c>
      <c r="O284" s="74">
        <f t="shared" ref="O284:O290" si="29">5/2</f>
        <v>2.5</v>
      </c>
      <c r="P284" s="50">
        <v>6.98</v>
      </c>
      <c r="Q284" s="74">
        <v>7.43</v>
      </c>
      <c r="R284" s="50">
        <v>37</v>
      </c>
      <c r="S284" s="74">
        <v>15</v>
      </c>
      <c r="T284" s="50">
        <v>0.26</v>
      </c>
      <c r="U284" s="74">
        <v>2.41</v>
      </c>
      <c r="V284" s="50">
        <v>1.62</v>
      </c>
      <c r="W284" s="74">
        <v>0.41</v>
      </c>
      <c r="X284" s="50">
        <v>0.13</v>
      </c>
      <c r="Y284" s="74">
        <v>2.3E-2</v>
      </c>
      <c r="Z284" s="166">
        <v>6.25E-2</v>
      </c>
      <c r="AA284" s="167">
        <v>6.25E-2</v>
      </c>
      <c r="AB284" s="50">
        <v>17.5</v>
      </c>
      <c r="AC284" s="74">
        <v>157</v>
      </c>
      <c r="AD284" s="166">
        <v>0</v>
      </c>
      <c r="AE284" s="50">
        <v>0.67</v>
      </c>
      <c r="AF284" s="50">
        <v>0.38</v>
      </c>
      <c r="AI284" s="97"/>
    </row>
    <row r="285" spans="1:35" ht="15" customHeight="1">
      <c r="A285" s="41" t="s">
        <v>38</v>
      </c>
      <c r="B285" s="50" t="s">
        <v>2416</v>
      </c>
      <c r="C285" s="50" t="s">
        <v>6365</v>
      </c>
      <c r="D285" s="48" t="s">
        <v>559</v>
      </c>
      <c r="E285" s="50" t="s">
        <v>560</v>
      </c>
      <c r="G285" s="76" t="s">
        <v>2418</v>
      </c>
      <c r="H285" s="50">
        <v>4493</v>
      </c>
      <c r="J285" s="50" t="s">
        <v>5576</v>
      </c>
      <c r="K285" s="51">
        <v>41520</v>
      </c>
      <c r="L285" s="115">
        <v>41517</v>
      </c>
      <c r="M285" s="85">
        <f t="shared" si="28"/>
        <v>3</v>
      </c>
      <c r="N285" s="50" t="s">
        <v>2</v>
      </c>
      <c r="O285" s="74">
        <f t="shared" si="29"/>
        <v>2.5</v>
      </c>
      <c r="P285" s="50">
        <v>6.98</v>
      </c>
      <c r="Q285" s="74">
        <v>7.54</v>
      </c>
      <c r="R285" s="50">
        <v>67</v>
      </c>
      <c r="S285" s="74">
        <v>133</v>
      </c>
      <c r="T285" s="50">
        <v>0.27</v>
      </c>
      <c r="U285" s="74">
        <v>1.0900000000000001</v>
      </c>
      <c r="V285" s="50">
        <v>1.78</v>
      </c>
      <c r="W285" s="74">
        <v>0.6</v>
      </c>
      <c r="X285" s="50">
        <v>0.26</v>
      </c>
      <c r="Y285" s="74">
        <v>1.9E-2</v>
      </c>
      <c r="Z285" s="166">
        <v>1</v>
      </c>
      <c r="AA285" s="167">
        <v>0.5</v>
      </c>
      <c r="AB285" s="50">
        <v>43.9</v>
      </c>
      <c r="AC285" s="74">
        <v>291</v>
      </c>
      <c r="AD285" s="166">
        <v>0.2</v>
      </c>
      <c r="AE285" s="50">
        <v>5.28</v>
      </c>
      <c r="AF285" s="50">
        <v>3.25</v>
      </c>
      <c r="AI285" s="97"/>
    </row>
    <row r="286" spans="1:35" ht="15" customHeight="1">
      <c r="A286" s="41" t="s">
        <v>38</v>
      </c>
      <c r="B286" s="50" t="s">
        <v>5575</v>
      </c>
      <c r="C286" s="50" t="s">
        <v>2417</v>
      </c>
      <c r="D286" s="48" t="s">
        <v>559</v>
      </c>
      <c r="E286" s="50" t="s">
        <v>560</v>
      </c>
      <c r="G286" s="76" t="s">
        <v>2418</v>
      </c>
      <c r="H286" s="50">
        <v>4493</v>
      </c>
      <c r="J286" s="50" t="s">
        <v>5464</v>
      </c>
      <c r="K286" s="51">
        <v>41520</v>
      </c>
      <c r="L286" s="115">
        <v>41517</v>
      </c>
      <c r="M286" s="85">
        <f t="shared" si="28"/>
        <v>3</v>
      </c>
      <c r="N286" s="50" t="s">
        <v>2</v>
      </c>
      <c r="O286" s="74">
        <f t="shared" si="29"/>
        <v>2.5</v>
      </c>
      <c r="P286" s="50">
        <v>6.98</v>
      </c>
      <c r="Q286" s="74">
        <v>7.47</v>
      </c>
      <c r="R286" s="50">
        <v>8</v>
      </c>
      <c r="S286" s="74">
        <v>1</v>
      </c>
      <c r="T286" s="50">
        <v>0.1</v>
      </c>
      <c r="U286" s="74">
        <v>0.89</v>
      </c>
      <c r="V286" s="50">
        <v>0.78</v>
      </c>
      <c r="W286" s="74">
        <v>0.06</v>
      </c>
      <c r="X286" s="50">
        <v>0.1</v>
      </c>
      <c r="Y286" s="74">
        <v>3.0000000000000001E-3</v>
      </c>
      <c r="Z286" s="166">
        <v>0.66</v>
      </c>
      <c r="AA286" s="167">
        <v>0.5</v>
      </c>
      <c r="AB286" s="50">
        <v>7.61</v>
      </c>
      <c r="AC286" s="74">
        <v>44</v>
      </c>
      <c r="AD286" s="166">
        <v>0</v>
      </c>
      <c r="AE286" s="50">
        <v>0.17</v>
      </c>
      <c r="AF286" s="50">
        <v>0.16</v>
      </c>
      <c r="AI286" s="97"/>
    </row>
    <row r="287" spans="1:35" ht="15" customHeight="1">
      <c r="A287" s="41" t="s">
        <v>38</v>
      </c>
      <c r="B287" s="50" t="s">
        <v>5575</v>
      </c>
      <c r="C287" s="50" t="s">
        <v>2417</v>
      </c>
      <c r="D287" s="48" t="s">
        <v>559</v>
      </c>
      <c r="E287" s="50" t="s">
        <v>560</v>
      </c>
      <c r="G287" s="76" t="s">
        <v>2418</v>
      </c>
      <c r="H287" s="50">
        <v>4493</v>
      </c>
      <c r="J287" s="50" t="s">
        <v>5465</v>
      </c>
      <c r="K287" s="51">
        <v>41520</v>
      </c>
      <c r="L287" s="115">
        <v>41517</v>
      </c>
      <c r="M287" s="85">
        <f t="shared" si="28"/>
        <v>3</v>
      </c>
      <c r="N287" s="50" t="s">
        <v>2</v>
      </c>
      <c r="O287" s="74">
        <f t="shared" si="29"/>
        <v>2.5</v>
      </c>
      <c r="P287" s="50">
        <v>6.98</v>
      </c>
      <c r="Q287" s="74">
        <v>9.08</v>
      </c>
      <c r="R287" s="50">
        <v>168</v>
      </c>
      <c r="S287" s="74">
        <v>490</v>
      </c>
      <c r="T287" s="50">
        <v>0.46</v>
      </c>
      <c r="U287" s="74">
        <v>1.29</v>
      </c>
      <c r="V287" s="50">
        <v>1.19</v>
      </c>
      <c r="W287" s="74">
        <v>0.23</v>
      </c>
      <c r="X287" s="50">
        <v>0.18</v>
      </c>
      <c r="Y287" s="74">
        <v>4.4999999999999998E-2</v>
      </c>
      <c r="Z287" s="166">
        <v>1</v>
      </c>
      <c r="AA287" s="167">
        <v>1</v>
      </c>
      <c r="AB287" s="50">
        <v>103</v>
      </c>
      <c r="AC287" s="74">
        <v>87</v>
      </c>
      <c r="AD287" s="166">
        <v>1</v>
      </c>
      <c r="AE287" s="50">
        <v>27.9</v>
      </c>
      <c r="AF287" s="50">
        <v>15.3</v>
      </c>
      <c r="AI287" s="97"/>
    </row>
    <row r="288" spans="1:35" ht="15" customHeight="1">
      <c r="A288" s="41" t="s">
        <v>38</v>
      </c>
      <c r="B288" s="50" t="s">
        <v>5575</v>
      </c>
      <c r="C288" s="50" t="s">
        <v>2417</v>
      </c>
      <c r="D288" s="48" t="s">
        <v>559</v>
      </c>
      <c r="E288" s="50" t="s">
        <v>560</v>
      </c>
      <c r="G288" s="76" t="s">
        <v>2418</v>
      </c>
      <c r="H288" s="50">
        <v>4493</v>
      </c>
      <c r="J288" s="50" t="s">
        <v>2421</v>
      </c>
      <c r="K288" s="51">
        <v>41520</v>
      </c>
      <c r="L288" s="115"/>
      <c r="M288" s="85"/>
      <c r="N288" s="50" t="s">
        <v>2</v>
      </c>
      <c r="O288" s="74">
        <f t="shared" si="29"/>
        <v>2.5</v>
      </c>
      <c r="P288" s="50">
        <v>6.98</v>
      </c>
      <c r="Q288" s="74">
        <v>6.74</v>
      </c>
      <c r="R288" s="50">
        <v>79</v>
      </c>
      <c r="S288" s="74">
        <v>143</v>
      </c>
      <c r="T288" s="50">
        <v>0.37</v>
      </c>
      <c r="U288" s="74">
        <v>1.5</v>
      </c>
      <c r="V288" s="50">
        <v>1.1599999999999999</v>
      </c>
      <c r="W288" s="74">
        <v>1.1200000000000001</v>
      </c>
      <c r="X288" s="50">
        <v>0.24</v>
      </c>
      <c r="Y288" s="74">
        <v>1.4E-2</v>
      </c>
      <c r="Z288" s="166">
        <v>6.25E-2</v>
      </c>
      <c r="AA288" s="167">
        <v>6.25E-2</v>
      </c>
      <c r="AB288" s="50">
        <v>20.5</v>
      </c>
      <c r="AC288" s="74">
        <v>39</v>
      </c>
      <c r="AD288" s="166">
        <v>0</v>
      </c>
      <c r="AE288" s="50">
        <v>8.01</v>
      </c>
      <c r="AF288" s="50">
        <v>4.26</v>
      </c>
      <c r="AI288" s="97"/>
    </row>
    <row r="289" spans="1:35" ht="15" customHeight="1">
      <c r="A289" s="41" t="s">
        <v>38</v>
      </c>
      <c r="B289" s="50" t="s">
        <v>5575</v>
      </c>
      <c r="C289" s="50" t="s">
        <v>2417</v>
      </c>
      <c r="D289" s="48" t="s">
        <v>559</v>
      </c>
      <c r="E289" s="50" t="s">
        <v>560</v>
      </c>
      <c r="G289" s="76" t="s">
        <v>2418</v>
      </c>
      <c r="H289" s="50">
        <v>4493</v>
      </c>
      <c r="J289" s="50" t="s">
        <v>2427</v>
      </c>
      <c r="K289" s="51">
        <v>41520</v>
      </c>
      <c r="L289" s="115"/>
      <c r="M289" s="85"/>
      <c r="N289" s="50" t="s">
        <v>2</v>
      </c>
      <c r="O289" s="74">
        <f t="shared" si="29"/>
        <v>2.5</v>
      </c>
      <c r="P289" s="50">
        <v>6.98</v>
      </c>
      <c r="Q289" s="74">
        <v>6.96</v>
      </c>
      <c r="R289" s="50">
        <v>46</v>
      </c>
      <c r="S289" s="74">
        <v>69</v>
      </c>
      <c r="T289" s="50">
        <v>0.18</v>
      </c>
      <c r="U289" s="74">
        <v>0.25</v>
      </c>
      <c r="V289" s="50">
        <v>1.2</v>
      </c>
      <c r="W289" s="74">
        <v>0.16</v>
      </c>
      <c r="X289" s="50">
        <v>0.08</v>
      </c>
      <c r="Y289" s="74">
        <v>6.0000000000000001E-3</v>
      </c>
      <c r="Z289" s="166">
        <v>0.70699999999999996</v>
      </c>
      <c r="AA289" s="167">
        <v>0.51800000000000002</v>
      </c>
      <c r="AB289" s="50">
        <v>14.5</v>
      </c>
      <c r="AC289" s="74">
        <v>50</v>
      </c>
      <c r="AD289" s="166">
        <v>0</v>
      </c>
      <c r="AE289" s="50">
        <v>3.3</v>
      </c>
      <c r="AF289" s="50">
        <v>2.0699999999999998</v>
      </c>
      <c r="AI289" s="97"/>
    </row>
    <row r="290" spans="1:35" ht="15" customHeight="1">
      <c r="A290" s="41" t="s">
        <v>38</v>
      </c>
      <c r="B290" s="50" t="s">
        <v>1736</v>
      </c>
      <c r="C290" s="50" t="s">
        <v>1736</v>
      </c>
      <c r="D290" s="48" t="s">
        <v>186</v>
      </c>
      <c r="E290" s="50" t="s">
        <v>1737</v>
      </c>
      <c r="G290" s="76" t="s">
        <v>582</v>
      </c>
      <c r="H290" s="50">
        <v>5551</v>
      </c>
      <c r="J290" s="48" t="s">
        <v>1943</v>
      </c>
      <c r="K290" s="51">
        <v>41578</v>
      </c>
      <c r="L290" s="115"/>
      <c r="M290" s="85"/>
      <c r="N290" s="50" t="s">
        <v>2</v>
      </c>
      <c r="O290" s="74">
        <f t="shared" si="29"/>
        <v>2.5</v>
      </c>
      <c r="P290" s="50">
        <v>6.72</v>
      </c>
      <c r="Q290" s="74">
        <v>7.93</v>
      </c>
      <c r="R290" s="50">
        <v>108</v>
      </c>
      <c r="S290" s="74">
        <v>9</v>
      </c>
      <c r="T290" s="50">
        <v>0.52</v>
      </c>
      <c r="U290" s="74">
        <v>4.66</v>
      </c>
      <c r="V290" s="50">
        <v>2.5299999999999998</v>
      </c>
      <c r="W290" s="74">
        <v>0.63</v>
      </c>
      <c r="X290" s="50">
        <v>0.11</v>
      </c>
      <c r="Y290" s="74">
        <v>7.0000000000000001E-3</v>
      </c>
      <c r="AE290" s="50">
        <v>0.45</v>
      </c>
      <c r="AF290" s="50">
        <v>0.32</v>
      </c>
      <c r="AI290" s="97"/>
    </row>
    <row r="291" spans="1:35" ht="15" customHeight="1">
      <c r="A291" s="41" t="s">
        <v>38</v>
      </c>
      <c r="B291" s="50" t="s">
        <v>1573</v>
      </c>
      <c r="C291" s="50" t="s">
        <v>1574</v>
      </c>
      <c r="D291" s="48" t="s">
        <v>1537</v>
      </c>
      <c r="E291" s="50" t="s">
        <v>5466</v>
      </c>
      <c r="G291" s="76" t="s">
        <v>1576</v>
      </c>
      <c r="H291" s="50">
        <v>4493</v>
      </c>
      <c r="I291" s="49" t="s">
        <v>2</v>
      </c>
      <c r="J291" s="50" t="s">
        <v>586</v>
      </c>
      <c r="K291" s="51">
        <v>41374</v>
      </c>
      <c r="L291" s="115">
        <v>41352</v>
      </c>
      <c r="M291" s="85">
        <f t="shared" si="28"/>
        <v>22</v>
      </c>
      <c r="N291" s="50" t="s">
        <v>2</v>
      </c>
      <c r="O291" s="74">
        <v>5.9</v>
      </c>
      <c r="P291" s="50">
        <v>4.99</v>
      </c>
      <c r="R291" s="50">
        <v>248</v>
      </c>
      <c r="S291" s="74">
        <v>269</v>
      </c>
      <c r="T291" s="50">
        <v>0.58299999999999996</v>
      </c>
      <c r="U291" s="74">
        <v>5.25</v>
      </c>
      <c r="V291" s="50">
        <v>1.52</v>
      </c>
      <c r="W291" s="74">
        <v>6.22</v>
      </c>
      <c r="X291" s="50">
        <v>2.77</v>
      </c>
      <c r="Y291" s="74">
        <v>9.7000000000000003E-2</v>
      </c>
      <c r="Z291" s="166">
        <v>6.25E-2</v>
      </c>
      <c r="AA291" s="167">
        <v>6.25E-2</v>
      </c>
      <c r="AB291" s="50">
        <v>210</v>
      </c>
      <c r="AC291" s="74">
        <v>2030</v>
      </c>
      <c r="AD291" s="166">
        <v>0</v>
      </c>
      <c r="AE291" s="50">
        <v>9.39</v>
      </c>
      <c r="AF291" s="50">
        <v>4.87</v>
      </c>
      <c r="AI291" s="97"/>
    </row>
    <row r="292" spans="1:35" ht="15" customHeight="1">
      <c r="A292" s="41" t="s">
        <v>38</v>
      </c>
      <c r="B292" s="50" t="s">
        <v>1573</v>
      </c>
      <c r="C292" s="50" t="s">
        <v>1574</v>
      </c>
      <c r="D292" s="48" t="s">
        <v>1537</v>
      </c>
      <c r="E292" s="50" t="s">
        <v>5466</v>
      </c>
      <c r="G292" s="76" t="s">
        <v>1576</v>
      </c>
      <c r="H292" s="50">
        <v>4493</v>
      </c>
      <c r="I292" s="49" t="s">
        <v>2</v>
      </c>
      <c r="J292" s="50" t="s">
        <v>586</v>
      </c>
      <c r="K292" s="51">
        <v>41529</v>
      </c>
      <c r="L292" s="115">
        <v>41519</v>
      </c>
      <c r="M292" s="85">
        <f t="shared" si="28"/>
        <v>10</v>
      </c>
      <c r="N292" s="50" t="s">
        <v>2</v>
      </c>
      <c r="O292" s="74">
        <v>4.4000000000000004</v>
      </c>
      <c r="P292" s="50">
        <v>4.55</v>
      </c>
      <c r="Q292" s="74">
        <v>6.55</v>
      </c>
      <c r="R292" s="50">
        <v>124</v>
      </c>
      <c r="S292" s="74">
        <v>353</v>
      </c>
      <c r="T292" s="50">
        <v>1.1000000000000001</v>
      </c>
      <c r="U292" s="74">
        <v>0.7</v>
      </c>
      <c r="V292" s="50">
        <v>1.04</v>
      </c>
      <c r="W292" s="74">
        <v>7.25</v>
      </c>
      <c r="X292" s="50">
        <v>3.35</v>
      </c>
      <c r="Y292" s="74">
        <v>0.27500000000000002</v>
      </c>
      <c r="Z292" s="166">
        <v>6.25E-2</v>
      </c>
      <c r="AA292" s="167">
        <v>6.25E-2</v>
      </c>
      <c r="AB292" s="50">
        <v>60</v>
      </c>
      <c r="AC292" s="74">
        <v>468</v>
      </c>
      <c r="AD292" s="166">
        <v>0</v>
      </c>
      <c r="AE292" s="50">
        <v>13.1</v>
      </c>
      <c r="AF292" s="50">
        <v>8.26</v>
      </c>
      <c r="AI292" s="97"/>
    </row>
    <row r="293" spans="1:35" ht="14">
      <c r="A293" s="41" t="s">
        <v>38</v>
      </c>
      <c r="B293" s="7" t="s">
        <v>1767</v>
      </c>
      <c r="C293" s="50" t="s">
        <v>1768</v>
      </c>
      <c r="D293" s="48" t="s">
        <v>1565</v>
      </c>
      <c r="E293" s="50" t="s">
        <v>1907</v>
      </c>
      <c r="F293" s="50" t="s">
        <v>2641</v>
      </c>
      <c r="G293" s="76" t="s">
        <v>1769</v>
      </c>
      <c r="H293" s="50">
        <v>4493</v>
      </c>
      <c r="I293" s="49" t="s">
        <v>1</v>
      </c>
      <c r="J293" s="50" t="s">
        <v>81</v>
      </c>
      <c r="K293" s="51">
        <v>41466</v>
      </c>
      <c r="L293" s="115">
        <v>41456</v>
      </c>
      <c r="M293" s="85">
        <f t="shared" si="28"/>
        <v>10</v>
      </c>
      <c r="N293" s="50" t="s">
        <v>2</v>
      </c>
      <c r="O293" s="74">
        <f>2/2</f>
        <v>1</v>
      </c>
      <c r="P293" s="50">
        <v>5.72</v>
      </c>
      <c r="Q293" s="74">
        <v>6.87</v>
      </c>
      <c r="R293" s="50">
        <v>12</v>
      </c>
      <c r="S293" s="74">
        <v>112</v>
      </c>
      <c r="T293" s="50">
        <v>0.22</v>
      </c>
      <c r="U293" s="74">
        <v>0.28000000000000003</v>
      </c>
      <c r="V293" s="50">
        <v>1.24</v>
      </c>
      <c r="W293" s="74">
        <v>0.35</v>
      </c>
      <c r="X293" s="50">
        <v>0.16</v>
      </c>
      <c r="Y293" s="74">
        <v>9.4999999999999998E-3</v>
      </c>
      <c r="Z293" s="166">
        <v>0.20399999999999999</v>
      </c>
      <c r="AA293" s="167">
        <v>0.14899999999999999</v>
      </c>
      <c r="AB293" s="50">
        <v>8</v>
      </c>
      <c r="AC293" s="74">
        <v>70</v>
      </c>
      <c r="AD293" s="166">
        <v>0</v>
      </c>
      <c r="AE293" s="50">
        <v>6.9</v>
      </c>
      <c r="AF293" s="50">
        <v>5</v>
      </c>
      <c r="AG293" s="328" t="s">
        <v>6366</v>
      </c>
      <c r="AI293" s="97"/>
    </row>
    <row r="294" spans="1:35" ht="15" customHeight="1">
      <c r="A294" s="41" t="s">
        <v>38</v>
      </c>
      <c r="B294" s="50" t="s">
        <v>5467</v>
      </c>
      <c r="C294" s="50" t="s">
        <v>5467</v>
      </c>
      <c r="D294" s="48" t="s">
        <v>1550</v>
      </c>
      <c r="G294" s="76" t="s">
        <v>5468</v>
      </c>
      <c r="H294" s="50">
        <v>4493</v>
      </c>
      <c r="I294" s="49" t="s">
        <v>2</v>
      </c>
      <c r="J294" s="50" t="s">
        <v>5469</v>
      </c>
      <c r="K294" s="51">
        <v>41585</v>
      </c>
      <c r="L294" s="115">
        <v>41578</v>
      </c>
      <c r="M294" s="85">
        <f t="shared" si="28"/>
        <v>7</v>
      </c>
      <c r="N294" s="50" t="s">
        <v>2</v>
      </c>
      <c r="O294" s="74">
        <f>5/2</f>
        <v>2.5</v>
      </c>
      <c r="P294" s="50">
        <v>5.63</v>
      </c>
      <c r="Q294" s="74">
        <v>5.64</v>
      </c>
      <c r="R294" s="50">
        <v>9</v>
      </c>
      <c r="S294" s="74">
        <v>5</v>
      </c>
      <c r="T294" s="50">
        <f>0.04/2</f>
        <v>0.02</v>
      </c>
      <c r="U294" s="74">
        <v>1.03</v>
      </c>
      <c r="V294" s="50">
        <v>0.68</v>
      </c>
      <c r="W294" s="74">
        <v>6.0000000000000001E-3</v>
      </c>
      <c r="X294" s="50">
        <v>0.06</v>
      </c>
      <c r="Y294" s="74">
        <f>0.001/2</f>
        <v>5.0000000000000001E-4</v>
      </c>
      <c r="Z294" s="166">
        <v>0.83</v>
      </c>
      <c r="AA294" s="167">
        <v>0.70699999999999996</v>
      </c>
      <c r="AB294" s="50">
        <f>1/2</f>
        <v>0.5</v>
      </c>
      <c r="AC294" s="74">
        <v>10</v>
      </c>
      <c r="AD294" s="166">
        <v>0</v>
      </c>
      <c r="AE294" s="50">
        <f>0.05/2</f>
        <v>2.5000000000000001E-2</v>
      </c>
      <c r="AF294" s="50">
        <f>0.1/2</f>
        <v>0.05</v>
      </c>
      <c r="AI294" s="97"/>
    </row>
    <row r="295" spans="1:35" ht="15" customHeight="1">
      <c r="A295" s="41" t="s">
        <v>38</v>
      </c>
      <c r="B295" s="50" t="s">
        <v>1753</v>
      </c>
      <c r="C295" s="50" t="s">
        <v>1753</v>
      </c>
      <c r="D295" s="48" t="s">
        <v>1550</v>
      </c>
      <c r="E295" s="50" t="s">
        <v>1754</v>
      </c>
      <c r="G295" s="76" t="s">
        <v>1755</v>
      </c>
      <c r="H295" s="50">
        <v>5551</v>
      </c>
      <c r="I295" s="49" t="s">
        <v>1</v>
      </c>
      <c r="J295" s="50" t="s">
        <v>1756</v>
      </c>
      <c r="K295" s="51">
        <v>41578</v>
      </c>
      <c r="L295" s="115"/>
      <c r="M295" s="85"/>
      <c r="N295" s="50" t="s">
        <v>2</v>
      </c>
      <c r="O295" s="74">
        <f>5/2</f>
        <v>2.5</v>
      </c>
      <c r="P295" s="50">
        <v>6.9</v>
      </c>
      <c r="Q295" s="74">
        <v>6.91</v>
      </c>
      <c r="R295" s="50">
        <v>83</v>
      </c>
      <c r="S295" s="74">
        <v>23</v>
      </c>
      <c r="T295" s="50">
        <v>0.6</v>
      </c>
      <c r="U295" s="74">
        <v>10.3</v>
      </c>
      <c r="V295" s="50">
        <v>1.48</v>
      </c>
      <c r="W295" s="74">
        <v>7.5999999999999998E-2</v>
      </c>
      <c r="X295" s="50">
        <v>0.22</v>
      </c>
      <c r="Y295" s="74">
        <v>2E-3</v>
      </c>
      <c r="AE295" s="50">
        <v>0.39</v>
      </c>
      <c r="AF295" s="50">
        <v>0.37</v>
      </c>
      <c r="AI295" s="97"/>
    </row>
    <row r="296" spans="1:35" ht="15" customHeight="1">
      <c r="A296" s="41" t="s">
        <v>38</v>
      </c>
      <c r="B296" s="50" t="s">
        <v>2396</v>
      </c>
      <c r="C296" s="50" t="s">
        <v>2400</v>
      </c>
      <c r="D296" s="48" t="s">
        <v>1550</v>
      </c>
      <c r="E296" s="50" t="s">
        <v>81</v>
      </c>
      <c r="G296" s="76" t="s">
        <v>2401</v>
      </c>
      <c r="H296" s="50">
        <v>4493</v>
      </c>
      <c r="I296" s="49" t="s">
        <v>2</v>
      </c>
      <c r="J296" s="50" t="s">
        <v>2402</v>
      </c>
      <c r="K296" s="51">
        <v>41529</v>
      </c>
      <c r="L296" s="115">
        <v>41520</v>
      </c>
      <c r="M296" s="85">
        <f t="shared" si="28"/>
        <v>9</v>
      </c>
      <c r="N296" s="50" t="s">
        <v>2</v>
      </c>
      <c r="O296" s="74">
        <f>1/2</f>
        <v>0.5</v>
      </c>
      <c r="P296" s="50">
        <v>5.81</v>
      </c>
      <c r="Q296" s="74">
        <v>5.86</v>
      </c>
      <c r="R296" s="50">
        <v>13</v>
      </c>
      <c r="S296" s="74">
        <v>24</v>
      </c>
      <c r="T296" s="50">
        <v>0.08</v>
      </c>
      <c r="U296" s="74">
        <v>0.83</v>
      </c>
      <c r="V296" s="50">
        <v>0.26</v>
      </c>
      <c r="W296" s="74">
        <v>1.2999999999999999E-2</v>
      </c>
      <c r="X296" s="50">
        <v>6.4000000000000001E-2</v>
      </c>
      <c r="Y296" s="74">
        <f>0.002/2</f>
        <v>1E-3</v>
      </c>
      <c r="AE296" s="50">
        <v>0.62</v>
      </c>
      <c r="AF296" s="50">
        <v>0.48</v>
      </c>
      <c r="AI296" s="97"/>
    </row>
    <row r="297" spans="1:35" ht="15" customHeight="1">
      <c r="A297" s="41" t="s">
        <v>38</v>
      </c>
      <c r="B297" s="50" t="s">
        <v>2396</v>
      </c>
      <c r="C297" s="50" t="s">
        <v>2397</v>
      </c>
      <c r="D297" s="48" t="s">
        <v>1550</v>
      </c>
      <c r="E297" s="50" t="s">
        <v>2398</v>
      </c>
      <c r="G297" s="76" t="s">
        <v>2399</v>
      </c>
      <c r="H297" s="50">
        <v>4493</v>
      </c>
      <c r="I297" s="49" t="s">
        <v>2</v>
      </c>
      <c r="J297" s="50" t="s">
        <v>74</v>
      </c>
      <c r="K297" s="51">
        <v>41529</v>
      </c>
      <c r="L297" s="115">
        <v>41520</v>
      </c>
      <c r="M297" s="85">
        <f t="shared" si="28"/>
        <v>9</v>
      </c>
      <c r="N297" s="50" t="s">
        <v>2</v>
      </c>
      <c r="O297" s="74">
        <f>1/2</f>
        <v>0.5</v>
      </c>
      <c r="P297" s="50">
        <v>5.81</v>
      </c>
      <c r="Q297" s="74">
        <v>6.18</v>
      </c>
      <c r="R297" s="50">
        <v>10</v>
      </c>
      <c r="S297" s="74">
        <v>20</v>
      </c>
      <c r="T297" s="50">
        <v>0.32</v>
      </c>
      <c r="U297" s="74">
        <v>0.7</v>
      </c>
      <c r="V297" s="50">
        <v>0.87</v>
      </c>
      <c r="W297" s="74">
        <v>0.1</v>
      </c>
      <c r="X297" s="50">
        <v>8.8999999999999996E-2</v>
      </c>
      <c r="Y297" s="74">
        <v>9.1999999999999998E-3</v>
      </c>
      <c r="AE297" s="50">
        <v>0.87</v>
      </c>
      <c r="AF297" s="50">
        <v>0.63</v>
      </c>
      <c r="AI297" s="97"/>
    </row>
    <row r="298" spans="1:35" ht="15" customHeight="1">
      <c r="A298" s="41" t="s">
        <v>38</v>
      </c>
      <c r="B298" s="50" t="s">
        <v>4638</v>
      </c>
      <c r="C298" s="50" t="s">
        <v>4638</v>
      </c>
      <c r="D298" s="48" t="s">
        <v>1537</v>
      </c>
      <c r="E298" s="50" t="s">
        <v>4639</v>
      </c>
      <c r="G298" s="76" t="s">
        <v>4640</v>
      </c>
      <c r="H298" s="50">
        <v>4493</v>
      </c>
      <c r="I298" s="49" t="s">
        <v>2</v>
      </c>
      <c r="J298" s="50" t="s">
        <v>1144</v>
      </c>
      <c r="K298" s="51">
        <v>41529</v>
      </c>
      <c r="L298" s="115">
        <v>41526</v>
      </c>
      <c r="M298" s="85">
        <f t="shared" si="28"/>
        <v>3</v>
      </c>
      <c r="N298" s="50" t="s">
        <v>2</v>
      </c>
      <c r="O298" s="74">
        <f>5/2</f>
        <v>2.5</v>
      </c>
      <c r="P298" s="50">
        <v>6.8</v>
      </c>
      <c r="Q298" s="74">
        <v>6.83</v>
      </c>
      <c r="R298" s="50">
        <v>18</v>
      </c>
      <c r="S298" s="74">
        <v>25</v>
      </c>
      <c r="T298" s="50">
        <f>0.1/2</f>
        <v>0.05</v>
      </c>
      <c r="U298" s="74">
        <f>1/2</f>
        <v>0.5</v>
      </c>
      <c r="V298" s="50">
        <v>0.37</v>
      </c>
      <c r="W298" s="74">
        <v>6.9000000000000006E-2</v>
      </c>
      <c r="X298" s="50">
        <v>4.7E-2</v>
      </c>
      <c r="Y298" s="74">
        <f>0.013/2</f>
        <v>6.4999999999999997E-3</v>
      </c>
      <c r="AE298" s="50">
        <v>0.23</v>
      </c>
      <c r="AF298" s="50">
        <v>0.13</v>
      </c>
      <c r="AI298" s="97"/>
    </row>
    <row r="299" spans="1:35" ht="15" customHeight="1">
      <c r="A299" s="41" t="s">
        <v>38</v>
      </c>
      <c r="B299" s="50" t="s">
        <v>4632</v>
      </c>
      <c r="C299" s="50" t="s">
        <v>4633</v>
      </c>
      <c r="D299" s="48" t="s">
        <v>567</v>
      </c>
      <c r="E299" s="50" t="s">
        <v>4634</v>
      </c>
      <c r="G299" s="76" t="s">
        <v>4635</v>
      </c>
      <c r="H299" s="50">
        <v>4493</v>
      </c>
      <c r="I299" s="49" t="s">
        <v>1</v>
      </c>
      <c r="J299" s="50" t="s">
        <v>81</v>
      </c>
      <c r="K299" s="51">
        <v>41554</v>
      </c>
      <c r="L299" s="115">
        <v>41539</v>
      </c>
      <c r="M299" s="85">
        <f t="shared" si="28"/>
        <v>15</v>
      </c>
      <c r="N299" s="50" t="s">
        <v>2</v>
      </c>
      <c r="O299" s="74">
        <f>0.556/2</f>
        <v>0.27800000000000002</v>
      </c>
      <c r="P299" s="50">
        <v>6.32</v>
      </c>
      <c r="Q299" s="74">
        <v>6.29</v>
      </c>
      <c r="R299" s="50">
        <v>67</v>
      </c>
      <c r="S299" s="74">
        <v>27.2</v>
      </c>
      <c r="T299" s="50">
        <v>0.17899999999999999</v>
      </c>
      <c r="U299" s="74">
        <v>1.33</v>
      </c>
      <c r="V299" s="50">
        <v>0.53100000000000003</v>
      </c>
      <c r="W299" s="74">
        <v>0.20300000000000001</v>
      </c>
      <c r="X299" s="50">
        <v>0.16600000000000001</v>
      </c>
      <c r="Y299" s="74">
        <v>6.8199999999999997E-3</v>
      </c>
      <c r="Z299" s="166">
        <v>0.218</v>
      </c>
      <c r="AA299" s="167">
        <v>0.14899999999999999</v>
      </c>
      <c r="AB299" s="50">
        <v>12.1</v>
      </c>
      <c r="AC299" s="74">
        <v>73.599999999999994</v>
      </c>
      <c r="AD299" s="166">
        <v>0</v>
      </c>
      <c r="AE299" s="50">
        <v>0.26400000000000001</v>
      </c>
      <c r="AF299" s="50">
        <v>0.46300000000000002</v>
      </c>
      <c r="AI299" s="97"/>
    </row>
    <row r="300" spans="1:35" ht="15" customHeight="1">
      <c r="A300" s="41" t="s">
        <v>38</v>
      </c>
      <c r="B300" s="50" t="s">
        <v>1709</v>
      </c>
      <c r="C300" s="50" t="s">
        <v>1709</v>
      </c>
      <c r="D300" s="48" t="s">
        <v>559</v>
      </c>
      <c r="E300" s="50" t="s">
        <v>560</v>
      </c>
      <c r="G300" s="76" t="s">
        <v>1711</v>
      </c>
      <c r="H300" s="50">
        <v>4493</v>
      </c>
      <c r="J300" s="50" t="s">
        <v>1590</v>
      </c>
      <c r="K300" s="51">
        <v>41653</v>
      </c>
      <c r="L300" s="115">
        <v>41650</v>
      </c>
      <c r="M300" s="85">
        <f t="shared" si="28"/>
        <v>3</v>
      </c>
      <c r="N300" s="50" t="s">
        <v>1</v>
      </c>
      <c r="O300" s="74">
        <f>1.5/2</f>
        <v>0.75</v>
      </c>
      <c r="P300" s="50">
        <v>4.8</v>
      </c>
      <c r="Q300" s="74">
        <v>6.7</v>
      </c>
      <c r="R300" s="50">
        <f>10/2</f>
        <v>5</v>
      </c>
      <c r="S300" s="74">
        <v>50</v>
      </c>
      <c r="T300" s="50">
        <v>0.3</v>
      </c>
      <c r="U300" s="74">
        <v>0.57999999999999996</v>
      </c>
      <c r="V300" s="50">
        <v>0.2</v>
      </c>
      <c r="W300" s="74">
        <v>2.5000000000000001E-2</v>
      </c>
      <c r="X300" s="50">
        <v>6.8000000000000005E-2</v>
      </c>
      <c r="Y300" s="74">
        <v>0.01</v>
      </c>
      <c r="Z300" s="166">
        <v>1</v>
      </c>
      <c r="AA300" s="167">
        <v>1</v>
      </c>
      <c r="AB300" s="50">
        <v>31</v>
      </c>
      <c r="AC300" s="74">
        <v>84</v>
      </c>
      <c r="AD300" s="166">
        <v>1</v>
      </c>
      <c r="AE300" s="50">
        <v>6.49</v>
      </c>
      <c r="AF300" s="50">
        <v>4.41</v>
      </c>
      <c r="AI300" s="97"/>
    </row>
    <row r="301" spans="1:35" ht="15" customHeight="1">
      <c r="A301" s="41" t="s">
        <v>38</v>
      </c>
      <c r="B301" s="50" t="s">
        <v>2451</v>
      </c>
      <c r="C301" s="50" t="s">
        <v>2451</v>
      </c>
      <c r="D301" s="48" t="s">
        <v>1541</v>
      </c>
      <c r="E301" s="50" t="s">
        <v>44</v>
      </c>
      <c r="G301" s="76" t="s">
        <v>2452</v>
      </c>
      <c r="I301" s="49" t="s">
        <v>2</v>
      </c>
      <c r="J301" s="50" t="s">
        <v>2453</v>
      </c>
      <c r="K301" s="51">
        <v>41585</v>
      </c>
      <c r="L301" s="115">
        <v>41578</v>
      </c>
      <c r="M301" s="85">
        <f t="shared" si="28"/>
        <v>7</v>
      </c>
      <c r="N301" s="50" t="s">
        <v>2</v>
      </c>
      <c r="O301" s="74">
        <f>1/2</f>
        <v>0.5</v>
      </c>
      <c r="P301" s="50">
        <v>5.69</v>
      </c>
      <c r="Q301" s="74">
        <v>6.25</v>
      </c>
      <c r="R301" s="50">
        <v>19</v>
      </c>
      <c r="S301" s="74">
        <v>12</v>
      </c>
      <c r="T301" s="50">
        <v>0.01</v>
      </c>
      <c r="U301" s="74">
        <v>0.42</v>
      </c>
      <c r="V301" s="50">
        <v>0.12</v>
      </c>
      <c r="W301" s="74">
        <v>0.2</v>
      </c>
      <c r="X301" s="50">
        <v>7.0000000000000007E-2</v>
      </c>
      <c r="Y301" s="74">
        <f>0.001/2</f>
        <v>5.0000000000000001E-4</v>
      </c>
      <c r="AE301" s="50">
        <v>0.41</v>
      </c>
      <c r="AF301" s="50">
        <v>0.45</v>
      </c>
      <c r="AI301" s="97"/>
    </row>
    <row r="302" spans="1:35" ht="15" customHeight="1">
      <c r="A302" s="41" t="s">
        <v>38</v>
      </c>
      <c r="B302" s="50" t="s">
        <v>1578</v>
      </c>
      <c r="C302" s="50" t="s">
        <v>1578</v>
      </c>
      <c r="D302" s="48" t="s">
        <v>1537</v>
      </c>
      <c r="E302" s="50" t="s">
        <v>1555</v>
      </c>
      <c r="G302" s="76" t="s">
        <v>1556</v>
      </c>
      <c r="I302" s="49" t="s">
        <v>2</v>
      </c>
      <c r="J302" s="50" t="s">
        <v>1558</v>
      </c>
      <c r="K302" s="51">
        <v>41662</v>
      </c>
      <c r="L302" s="115"/>
      <c r="M302" s="85"/>
      <c r="N302" s="50" t="s">
        <v>1</v>
      </c>
      <c r="O302" s="74">
        <f>1.9/2</f>
        <v>0.95</v>
      </c>
      <c r="Q302" s="74">
        <v>7.02</v>
      </c>
      <c r="R302" s="50">
        <f>10/2</f>
        <v>5</v>
      </c>
      <c r="S302" s="74">
        <v>5.5</v>
      </c>
      <c r="T302" s="50">
        <v>0.02</v>
      </c>
      <c r="U302" s="74">
        <v>0.23</v>
      </c>
      <c r="V302" s="50">
        <v>0.1</v>
      </c>
      <c r="W302" s="74">
        <v>3.2000000000000001E-2</v>
      </c>
      <c r="X302" s="50">
        <v>3.9E-2</v>
      </c>
      <c r="Y302" s="74">
        <f>0.002/2</f>
        <v>1E-3</v>
      </c>
      <c r="Z302" s="166">
        <v>0.89700000000000002</v>
      </c>
      <c r="AA302" s="167">
        <v>0.61599999999999999</v>
      </c>
      <c r="AB302" s="50">
        <v>18</v>
      </c>
      <c r="AC302" s="74">
        <v>69</v>
      </c>
      <c r="AD302" s="166">
        <v>0</v>
      </c>
      <c r="AE302" s="50">
        <v>0.20399999999999999</v>
      </c>
      <c r="AF302" s="50">
        <v>0.113</v>
      </c>
      <c r="AI302" s="97"/>
    </row>
    <row r="303" spans="1:35" ht="15" customHeight="1">
      <c r="A303" s="41" t="s">
        <v>38</v>
      </c>
      <c r="B303" s="50" t="s">
        <v>2457</v>
      </c>
      <c r="C303" s="50" t="s">
        <v>2457</v>
      </c>
      <c r="D303" s="48" t="s">
        <v>78</v>
      </c>
      <c r="E303" s="50" t="s">
        <v>79</v>
      </c>
      <c r="G303" s="76" t="s">
        <v>2458</v>
      </c>
      <c r="H303" s="50">
        <v>4493</v>
      </c>
      <c r="J303" s="50" t="s">
        <v>194</v>
      </c>
      <c r="K303" s="51">
        <v>41605</v>
      </c>
      <c r="L303" s="115">
        <v>41600</v>
      </c>
      <c r="M303" s="85">
        <f t="shared" si="28"/>
        <v>5</v>
      </c>
      <c r="N303" s="50" t="s">
        <v>2</v>
      </c>
      <c r="O303" s="74">
        <f>2/1</f>
        <v>2</v>
      </c>
      <c r="P303" s="50">
        <v>7.4</v>
      </c>
      <c r="Q303" s="74">
        <v>7.3</v>
      </c>
      <c r="R303" s="50">
        <v>31</v>
      </c>
      <c r="S303" s="74">
        <v>6</v>
      </c>
      <c r="T303" s="50">
        <v>0.06</v>
      </c>
      <c r="U303" s="74">
        <v>0.56999999999999995</v>
      </c>
      <c r="V303" s="50">
        <f>0.1/2</f>
        <v>0.05</v>
      </c>
      <c r="W303" s="74">
        <v>0.14799999999999999</v>
      </c>
      <c r="X303" s="50">
        <v>0.108</v>
      </c>
      <c r="Y303" s="74">
        <f>0.03/2</f>
        <v>1.4999999999999999E-2</v>
      </c>
      <c r="AE303" s="50">
        <v>0.16</v>
      </c>
      <c r="AF303" s="50">
        <v>0.16</v>
      </c>
      <c r="AI303" s="97"/>
    </row>
    <row r="304" spans="1:35" ht="15" customHeight="1">
      <c r="A304" s="41" t="s">
        <v>38</v>
      </c>
      <c r="B304" s="50" t="s">
        <v>5470</v>
      </c>
      <c r="C304" s="50" t="s">
        <v>5471</v>
      </c>
      <c r="D304" s="48" t="s">
        <v>1896</v>
      </c>
      <c r="E304" s="50" t="s">
        <v>5472</v>
      </c>
      <c r="G304" s="76" t="s">
        <v>5473</v>
      </c>
      <c r="I304" s="49" t="s">
        <v>2</v>
      </c>
      <c r="J304" s="50" t="s">
        <v>255</v>
      </c>
      <c r="K304" s="51">
        <v>41637</v>
      </c>
      <c r="L304" s="115">
        <v>41631</v>
      </c>
      <c r="M304" s="85">
        <f t="shared" si="28"/>
        <v>6</v>
      </c>
      <c r="N304" s="50" t="s">
        <v>2</v>
      </c>
      <c r="O304" s="74">
        <v>1.2</v>
      </c>
      <c r="P304" s="50">
        <v>6.55</v>
      </c>
      <c r="Q304" s="74">
        <v>6.65</v>
      </c>
      <c r="R304" s="50">
        <v>47.3</v>
      </c>
      <c r="S304" s="74">
        <v>120</v>
      </c>
      <c r="T304" s="50">
        <v>0.5</v>
      </c>
      <c r="U304" s="74">
        <v>1.18</v>
      </c>
      <c r="V304" s="50">
        <v>0.52</v>
      </c>
      <c r="W304" s="74">
        <v>6.0000000000000001E-3</v>
      </c>
      <c r="X304" s="50">
        <v>3.3000000000000002E-2</v>
      </c>
      <c r="Y304" s="74">
        <v>3.0000000000000001E-3</v>
      </c>
      <c r="Z304" s="166">
        <v>1</v>
      </c>
      <c r="AA304" s="167">
        <v>0.89100000000000001</v>
      </c>
      <c r="AB304" s="50">
        <v>16.100000000000001</v>
      </c>
      <c r="AC304" s="74">
        <v>276</v>
      </c>
      <c r="AD304" s="166">
        <v>0.5</v>
      </c>
      <c r="AE304" s="50">
        <v>0.05</v>
      </c>
      <c r="AF304" s="50">
        <v>7.0000000000000007E-2</v>
      </c>
      <c r="AI304" s="97"/>
    </row>
    <row r="305" spans="1:35" ht="15" customHeight="1">
      <c r="A305" s="41" t="s">
        <v>38</v>
      </c>
      <c r="B305" s="50" t="s">
        <v>1586</v>
      </c>
      <c r="C305" s="50" t="s">
        <v>1587</v>
      </c>
      <c r="D305" s="48" t="s">
        <v>406</v>
      </c>
      <c r="E305" s="50" t="s">
        <v>1588</v>
      </c>
      <c r="G305" s="76" t="s">
        <v>1589</v>
      </c>
      <c r="H305" s="50">
        <v>5551</v>
      </c>
      <c r="I305" s="49" t="s">
        <v>1</v>
      </c>
      <c r="J305" s="50" t="s">
        <v>1590</v>
      </c>
      <c r="K305" s="51">
        <v>41718</v>
      </c>
      <c r="L305" s="115">
        <v>41711</v>
      </c>
      <c r="M305" s="85">
        <f t="shared" si="28"/>
        <v>7</v>
      </c>
      <c r="N305" s="50" t="s">
        <v>2</v>
      </c>
      <c r="O305" s="74">
        <v>6.8</v>
      </c>
      <c r="P305" s="50">
        <v>5.6</v>
      </c>
      <c r="Q305" s="74">
        <v>7.7</v>
      </c>
      <c r="R305" s="50">
        <v>89</v>
      </c>
      <c r="S305" s="74">
        <v>74</v>
      </c>
      <c r="T305" s="50">
        <v>0.28000000000000003</v>
      </c>
      <c r="U305" s="74">
        <v>0.75</v>
      </c>
      <c r="V305" s="50">
        <v>1.25</v>
      </c>
      <c r="W305" s="74">
        <v>0.94</v>
      </c>
      <c r="X305" s="50">
        <v>0.15</v>
      </c>
      <c r="Y305" s="74">
        <v>1.2999999999999999E-2</v>
      </c>
      <c r="Z305" s="166">
        <v>6.25E-2</v>
      </c>
      <c r="AA305" s="167">
        <v>6.25E-2</v>
      </c>
      <c r="AB305" s="50">
        <v>50.9</v>
      </c>
      <c r="AC305" s="74">
        <v>283</v>
      </c>
      <c r="AD305" s="166">
        <v>0</v>
      </c>
      <c r="AE305" s="50">
        <v>6.8</v>
      </c>
      <c r="AF305" s="50">
        <v>5.46</v>
      </c>
      <c r="AI305" s="97"/>
    </row>
    <row r="306" spans="1:35" ht="15" customHeight="1">
      <c r="A306" s="41" t="s">
        <v>38</v>
      </c>
      <c r="B306" s="50" t="s">
        <v>5456</v>
      </c>
      <c r="C306" s="50" t="s">
        <v>5242</v>
      </c>
      <c r="D306" s="48" t="s">
        <v>443</v>
      </c>
      <c r="E306" s="50" t="s">
        <v>44</v>
      </c>
      <c r="G306" s="76" t="s">
        <v>5243</v>
      </c>
      <c r="H306" s="50">
        <v>4493</v>
      </c>
      <c r="I306" s="49" t="s">
        <v>2</v>
      </c>
      <c r="J306" s="48" t="s">
        <v>1943</v>
      </c>
      <c r="K306" s="51">
        <v>41710</v>
      </c>
      <c r="L306" s="115">
        <v>41689</v>
      </c>
      <c r="M306" s="85">
        <f t="shared" si="28"/>
        <v>21</v>
      </c>
      <c r="N306" s="50" t="s">
        <v>1</v>
      </c>
      <c r="O306" s="74">
        <f>5/2</f>
        <v>2.5</v>
      </c>
      <c r="Q306" s="74">
        <v>5.37</v>
      </c>
      <c r="R306" s="50">
        <v>9</v>
      </c>
      <c r="S306" s="74">
        <f>1/2</f>
        <v>0.5</v>
      </c>
      <c r="T306" s="50">
        <v>0.24</v>
      </c>
      <c r="U306" s="74">
        <f>0.5/2</f>
        <v>0.25</v>
      </c>
      <c r="V306" s="50">
        <v>0.54</v>
      </c>
      <c r="W306" s="74">
        <v>1.6E-2</v>
      </c>
      <c r="X306" s="50">
        <f>0.02/2</f>
        <v>0.01</v>
      </c>
      <c r="Y306" s="74">
        <f>0.001/2</f>
        <v>5.0000000000000001E-4</v>
      </c>
      <c r="AE306" s="50">
        <v>0.28000000000000003</v>
      </c>
      <c r="AF306" s="50">
        <v>0.18</v>
      </c>
      <c r="AI306" s="97"/>
    </row>
    <row r="307" spans="1:35" ht="15" customHeight="1">
      <c r="A307" s="41" t="s">
        <v>38</v>
      </c>
      <c r="B307" s="50" t="s">
        <v>5557</v>
      </c>
      <c r="C307" s="50" t="s">
        <v>5558</v>
      </c>
      <c r="D307" s="48" t="s">
        <v>588</v>
      </c>
      <c r="E307" s="50" t="s">
        <v>3859</v>
      </c>
      <c r="G307" s="76" t="s">
        <v>5559</v>
      </c>
      <c r="I307" s="49" t="s">
        <v>2</v>
      </c>
      <c r="J307" s="50" t="s">
        <v>5560</v>
      </c>
      <c r="K307" s="51">
        <v>41729</v>
      </c>
      <c r="L307" s="115"/>
      <c r="M307" s="85"/>
      <c r="N307" s="50" t="s">
        <v>2</v>
      </c>
      <c r="O307" s="74">
        <v>3</v>
      </c>
      <c r="Q307" s="74">
        <v>6.8</v>
      </c>
      <c r="R307" s="50">
        <v>76</v>
      </c>
      <c r="S307" s="74">
        <v>73.2</v>
      </c>
      <c r="T307" s="50">
        <v>0.43</v>
      </c>
      <c r="U307" s="74">
        <v>2.5</v>
      </c>
      <c r="V307" s="50">
        <v>0.06</v>
      </c>
      <c r="W307" s="74">
        <v>2.68</v>
      </c>
      <c r="X307" s="50">
        <v>0.46100000000000002</v>
      </c>
      <c r="Y307" s="74">
        <v>0.14399999999999999</v>
      </c>
      <c r="AE307" s="50">
        <v>17.3</v>
      </c>
      <c r="AF307" s="50">
        <v>9.1999999999999993</v>
      </c>
      <c r="AI307" s="97"/>
    </row>
    <row r="308" spans="1:35" ht="15" customHeight="1">
      <c r="A308" s="41" t="s">
        <v>38</v>
      </c>
      <c r="B308" s="50" t="s">
        <v>5561</v>
      </c>
      <c r="C308" s="50" t="s">
        <v>5562</v>
      </c>
      <c r="D308" s="48" t="s">
        <v>1896</v>
      </c>
      <c r="E308" s="50" t="s">
        <v>3139</v>
      </c>
      <c r="G308" s="76" t="s">
        <v>5563</v>
      </c>
      <c r="H308" s="50">
        <v>4493</v>
      </c>
      <c r="I308" s="49" t="s">
        <v>1</v>
      </c>
      <c r="J308" s="50" t="s">
        <v>510</v>
      </c>
      <c r="K308" s="51">
        <v>41645</v>
      </c>
      <c r="L308" s="115">
        <v>41637</v>
      </c>
      <c r="M308" s="85">
        <f>K308-L308</f>
        <v>8</v>
      </c>
      <c r="N308" s="50" t="s">
        <v>2</v>
      </c>
      <c r="O308" s="74">
        <v>11.3</v>
      </c>
      <c r="Q308" s="74">
        <v>8.5</v>
      </c>
      <c r="R308" s="50">
        <v>108</v>
      </c>
      <c r="S308" s="74">
        <v>192</v>
      </c>
      <c r="T308" s="50">
        <v>0.83</v>
      </c>
      <c r="U308" s="74">
        <v>2.36</v>
      </c>
      <c r="V308" s="50">
        <v>0.17</v>
      </c>
      <c r="W308" s="74">
        <v>3.73</v>
      </c>
      <c r="X308" s="50">
        <v>2.37</v>
      </c>
      <c r="Y308" s="74">
        <v>0.18</v>
      </c>
      <c r="Z308" s="166">
        <v>0.108</v>
      </c>
      <c r="AA308" s="167">
        <f>0.0625/2</f>
        <v>3.125E-2</v>
      </c>
      <c r="AB308" s="50">
        <v>35</v>
      </c>
      <c r="AC308" s="74">
        <v>418</v>
      </c>
      <c r="AD308" s="166">
        <v>0</v>
      </c>
      <c r="AE308" s="50">
        <v>11.8</v>
      </c>
      <c r="AF308" s="50">
        <v>7.3</v>
      </c>
      <c r="AG308" s="328">
        <v>100</v>
      </c>
      <c r="AI308" s="97"/>
    </row>
    <row r="309" spans="1:35" ht="15" customHeight="1">
      <c r="A309" s="41" t="s">
        <v>38</v>
      </c>
      <c r="B309" s="50" t="s">
        <v>2386</v>
      </c>
      <c r="C309" s="50" t="s">
        <v>5564</v>
      </c>
      <c r="D309" s="48" t="s">
        <v>406</v>
      </c>
      <c r="E309" s="50" t="s">
        <v>1584</v>
      </c>
      <c r="G309" s="76" t="s">
        <v>2387</v>
      </c>
      <c r="H309" s="50">
        <v>4493</v>
      </c>
      <c r="I309" s="49" t="s">
        <v>2</v>
      </c>
      <c r="J309" s="50" t="s">
        <v>5565</v>
      </c>
      <c r="K309" s="51">
        <v>41718</v>
      </c>
      <c r="L309" s="115">
        <v>41708</v>
      </c>
      <c r="M309" s="85">
        <f>K309-L309</f>
        <v>10</v>
      </c>
      <c r="N309" s="50" t="s">
        <v>2</v>
      </c>
      <c r="O309" s="74">
        <v>2.1</v>
      </c>
      <c r="P309" s="50">
        <v>5.8</v>
      </c>
      <c r="Q309" s="74">
        <v>8.9</v>
      </c>
      <c r="R309" s="50">
        <v>63</v>
      </c>
      <c r="S309" s="74">
        <v>61</v>
      </c>
      <c r="T309" s="50">
        <v>0.22</v>
      </c>
      <c r="U309" s="74">
        <v>1.65</v>
      </c>
      <c r="V309" s="50">
        <v>0.27</v>
      </c>
      <c r="W309" s="74">
        <v>0.40600000000000003</v>
      </c>
      <c r="X309" s="50">
        <v>0.20200000000000001</v>
      </c>
      <c r="Y309" s="74">
        <f>0.03/2</f>
        <v>1.4999999999999999E-2</v>
      </c>
      <c r="Z309" s="166">
        <v>6.25E-2</v>
      </c>
      <c r="AA309" s="167">
        <v>6.25E-2</v>
      </c>
      <c r="AB309" s="50">
        <v>27</v>
      </c>
      <c r="AC309" s="74">
        <v>193</v>
      </c>
      <c r="AD309" s="166">
        <v>0</v>
      </c>
      <c r="AE309" s="50">
        <v>1.03</v>
      </c>
      <c r="AF309" s="50">
        <v>0.74</v>
      </c>
      <c r="AI309" s="97"/>
    </row>
    <row r="310" spans="1:35" ht="15" customHeight="1">
      <c r="A310" s="41" t="s">
        <v>38</v>
      </c>
      <c r="B310" s="50" t="s">
        <v>2636</v>
      </c>
      <c r="C310" s="50" t="s">
        <v>5566</v>
      </c>
      <c r="D310" s="48" t="s">
        <v>1569</v>
      </c>
      <c r="E310" s="50" t="s">
        <v>1579</v>
      </c>
      <c r="G310" s="76" t="s">
        <v>2637</v>
      </c>
      <c r="I310" s="49" t="s">
        <v>1</v>
      </c>
      <c r="J310" s="50" t="s">
        <v>5567</v>
      </c>
      <c r="K310" s="51">
        <v>41726</v>
      </c>
      <c r="L310" s="115">
        <v>41712</v>
      </c>
      <c r="M310" s="85">
        <f>K310-L310</f>
        <v>14</v>
      </c>
      <c r="N310" s="50" t="s">
        <v>1</v>
      </c>
      <c r="O310" s="74">
        <f>1/2</f>
        <v>0.5</v>
      </c>
      <c r="P310" s="50">
        <v>7</v>
      </c>
      <c r="Q310" s="74">
        <v>6.48</v>
      </c>
      <c r="R310" s="50">
        <v>22.2</v>
      </c>
      <c r="S310" s="74">
        <v>102</v>
      </c>
      <c r="T310" s="50">
        <v>0.7</v>
      </c>
      <c r="U310" s="74">
        <v>2.2000000000000002</v>
      </c>
      <c r="V310" s="50">
        <v>0.14000000000000001</v>
      </c>
      <c r="W310" s="74">
        <v>1.5429999999999999</v>
      </c>
      <c r="X310" s="50">
        <v>0.58699999999999997</v>
      </c>
      <c r="Y310" s="74">
        <v>1.0999999999999999E-2</v>
      </c>
      <c r="Z310" s="166">
        <v>0.26800000000000002</v>
      </c>
      <c r="AA310" s="167">
        <v>0.121</v>
      </c>
      <c r="AB310" s="50">
        <v>1.85</v>
      </c>
      <c r="AC310" s="74">
        <v>16</v>
      </c>
      <c r="AD310" s="166">
        <v>0</v>
      </c>
      <c r="AE310" s="50">
        <v>0.77</v>
      </c>
      <c r="AF310" s="50">
        <v>0.18</v>
      </c>
      <c r="AG310" s="328">
        <v>132</v>
      </c>
      <c r="AI310" s="97"/>
    </row>
    <row r="311" spans="1:35" ht="15" customHeight="1">
      <c r="A311" s="41" t="s">
        <v>38</v>
      </c>
      <c r="B311" s="50" t="s">
        <v>5568</v>
      </c>
      <c r="C311" s="50" t="s">
        <v>5569</v>
      </c>
      <c r="D311" s="48" t="s">
        <v>1830</v>
      </c>
      <c r="E311" s="50" t="s">
        <v>664</v>
      </c>
      <c r="G311" s="76" t="s">
        <v>5570</v>
      </c>
      <c r="I311" s="49" t="s">
        <v>2</v>
      </c>
      <c r="J311" s="50" t="s">
        <v>5569</v>
      </c>
      <c r="K311" s="51">
        <v>41180</v>
      </c>
      <c r="L311" s="115">
        <v>41170</v>
      </c>
      <c r="M311" s="50">
        <f t="shared" ref="M311:M321" si="30">K311-L311</f>
        <v>10</v>
      </c>
      <c r="N311" s="50" t="s">
        <v>2</v>
      </c>
      <c r="O311" s="74">
        <f>1/2</f>
        <v>0.5</v>
      </c>
      <c r="P311" s="50">
        <v>4.5</v>
      </c>
      <c r="Q311" s="74">
        <v>8.1999999999999993</v>
      </c>
      <c r="R311" s="50">
        <v>10</v>
      </c>
      <c r="S311" s="74">
        <v>6</v>
      </c>
      <c r="T311" s="50">
        <v>4.3999999999999997E-2</v>
      </c>
      <c r="U311" s="74">
        <v>0.57999999999999996</v>
      </c>
      <c r="V311" s="50">
        <v>0.2</v>
      </c>
      <c r="W311" s="74">
        <f>0.002/2</f>
        <v>1E-3</v>
      </c>
      <c r="X311" s="50">
        <v>1.2E-2</v>
      </c>
      <c r="Y311" s="74">
        <f>0.002/2</f>
        <v>1E-3</v>
      </c>
      <c r="Z311" s="166">
        <v>1</v>
      </c>
      <c r="AA311" s="167">
        <v>1</v>
      </c>
      <c r="AB311" s="50">
        <v>10</v>
      </c>
      <c r="AC311" s="74">
        <v>55</v>
      </c>
      <c r="AD311" s="166">
        <v>1</v>
      </c>
      <c r="AI311" s="97"/>
    </row>
    <row r="312" spans="1:35" ht="15" customHeight="1">
      <c r="A312" s="41" t="s">
        <v>38</v>
      </c>
      <c r="B312" s="50" t="s">
        <v>5568</v>
      </c>
      <c r="C312" s="50" t="s">
        <v>5571</v>
      </c>
      <c r="D312" s="48" t="s">
        <v>1830</v>
      </c>
      <c r="E312" s="50" t="s">
        <v>664</v>
      </c>
      <c r="G312" s="76" t="s">
        <v>5570</v>
      </c>
      <c r="I312" s="49" t="s">
        <v>2</v>
      </c>
      <c r="J312" s="50" t="s">
        <v>5571</v>
      </c>
      <c r="K312" s="51">
        <v>41180</v>
      </c>
      <c r="L312" s="115">
        <v>41170</v>
      </c>
      <c r="M312" s="50">
        <f t="shared" si="30"/>
        <v>10</v>
      </c>
      <c r="N312" s="50" t="s">
        <v>2</v>
      </c>
      <c r="O312" s="74">
        <v>1.3</v>
      </c>
      <c r="P312" s="50">
        <v>4.5</v>
      </c>
      <c r="Q312" s="74">
        <v>7.5</v>
      </c>
      <c r="R312" s="50">
        <v>18</v>
      </c>
      <c r="S312" s="74">
        <v>18</v>
      </c>
      <c r="T312" s="50">
        <v>5.5E-2</v>
      </c>
      <c r="U312" s="74">
        <v>0.62</v>
      </c>
      <c r="V312" s="50">
        <v>0.31</v>
      </c>
      <c r="W312" s="74">
        <v>3.8E-3</v>
      </c>
      <c r="X312" s="50">
        <v>3.4000000000000002E-2</v>
      </c>
      <c r="Y312" s="74">
        <f>0.002/2</f>
        <v>1E-3</v>
      </c>
      <c r="Z312" s="166">
        <v>1</v>
      </c>
      <c r="AA312" s="167">
        <v>1</v>
      </c>
      <c r="AB312" s="50">
        <v>4</v>
      </c>
      <c r="AC312" s="74">
        <v>19</v>
      </c>
      <c r="AD312" s="166">
        <v>1</v>
      </c>
      <c r="AI312" s="97"/>
    </row>
    <row r="313" spans="1:35" ht="15" customHeight="1">
      <c r="A313" s="41" t="s">
        <v>38</v>
      </c>
      <c r="B313" s="50" t="s">
        <v>5568</v>
      </c>
      <c r="C313" s="50" t="s">
        <v>5572</v>
      </c>
      <c r="D313" s="48" t="s">
        <v>1830</v>
      </c>
      <c r="E313" s="50" t="s">
        <v>664</v>
      </c>
      <c r="G313" s="76" t="s">
        <v>5570</v>
      </c>
      <c r="I313" s="49" t="s">
        <v>2</v>
      </c>
      <c r="J313" s="50" t="s">
        <v>5572</v>
      </c>
      <c r="K313" s="51">
        <v>41180</v>
      </c>
      <c r="L313" s="115">
        <v>41170</v>
      </c>
      <c r="M313" s="50">
        <f t="shared" si="30"/>
        <v>10</v>
      </c>
      <c r="N313" s="50" t="s">
        <v>2</v>
      </c>
      <c r="O313" s="74">
        <f>1/2</f>
        <v>0.5</v>
      </c>
      <c r="P313" s="50">
        <v>4.5</v>
      </c>
      <c r="Q313" s="74">
        <v>6.9</v>
      </c>
      <c r="R313" s="50">
        <v>11</v>
      </c>
      <c r="S313" s="74">
        <v>3</v>
      </c>
      <c r="T313" s="50">
        <v>4.7E-2</v>
      </c>
      <c r="U313" s="74">
        <v>0.64</v>
      </c>
      <c r="V313" s="50">
        <v>0.34</v>
      </c>
      <c r="W313" s="74">
        <v>2.3E-3</v>
      </c>
      <c r="X313" s="50">
        <v>1.7999999999999999E-2</v>
      </c>
      <c r="Y313" s="74">
        <f>0.002/2</f>
        <v>1E-3</v>
      </c>
      <c r="Z313" s="166">
        <v>1</v>
      </c>
      <c r="AA313" s="167">
        <v>1</v>
      </c>
      <c r="AB313" s="50">
        <v>42</v>
      </c>
      <c r="AC313" s="74">
        <v>409</v>
      </c>
      <c r="AD313" s="166">
        <v>1</v>
      </c>
      <c r="AI313" s="97"/>
    </row>
    <row r="314" spans="1:35" ht="15" customHeight="1">
      <c r="A314" s="41" t="s">
        <v>38</v>
      </c>
      <c r="B314" s="50" t="s">
        <v>5568</v>
      </c>
      <c r="C314" s="50" t="s">
        <v>5573</v>
      </c>
      <c r="D314" s="48" t="s">
        <v>1830</v>
      </c>
      <c r="E314" s="50" t="s">
        <v>664</v>
      </c>
      <c r="G314" s="76" t="s">
        <v>5570</v>
      </c>
      <c r="I314" s="49" t="s">
        <v>2</v>
      </c>
      <c r="J314" s="50" t="s">
        <v>5573</v>
      </c>
      <c r="K314" s="51">
        <v>41180</v>
      </c>
      <c r="L314" s="115">
        <v>41170</v>
      </c>
      <c r="M314" s="50">
        <f t="shared" si="30"/>
        <v>10</v>
      </c>
      <c r="N314" s="50" t="s">
        <v>2</v>
      </c>
      <c r="O314" s="74">
        <f>1/2</f>
        <v>0.5</v>
      </c>
      <c r="P314" s="50">
        <v>4.5</v>
      </c>
      <c r="Q314" s="74">
        <v>6.8</v>
      </c>
      <c r="R314" s="50">
        <v>19</v>
      </c>
      <c r="S314" s="74">
        <v>21</v>
      </c>
      <c r="T314" s="50">
        <v>6.8000000000000005E-2</v>
      </c>
      <c r="U314" s="74">
        <v>0.84</v>
      </c>
      <c r="V314" s="50">
        <v>0.4</v>
      </c>
      <c r="W314" s="74">
        <v>5.1999999999999998E-3</v>
      </c>
      <c r="X314" s="50">
        <v>3.4000000000000002E-2</v>
      </c>
      <c r="Y314" s="74">
        <f>0.002/2</f>
        <v>1E-3</v>
      </c>
      <c r="Z314" s="166">
        <v>1</v>
      </c>
      <c r="AA314" s="167">
        <v>1</v>
      </c>
      <c r="AB314" s="50">
        <v>4</v>
      </c>
      <c r="AC314" s="74">
        <v>18</v>
      </c>
      <c r="AD314" s="166">
        <v>1</v>
      </c>
      <c r="AI314" s="97"/>
    </row>
    <row r="315" spans="1:35" ht="15" customHeight="1">
      <c r="A315" s="41" t="s">
        <v>38</v>
      </c>
      <c r="B315" s="50" t="s">
        <v>1599</v>
      </c>
      <c r="C315" s="50" t="s">
        <v>1600</v>
      </c>
      <c r="D315" s="48" t="s">
        <v>1569</v>
      </c>
      <c r="E315" s="50" t="s">
        <v>1601</v>
      </c>
      <c r="G315" s="76" t="s">
        <v>1602</v>
      </c>
      <c r="H315" s="50">
        <v>4493</v>
      </c>
      <c r="I315" s="49" t="s">
        <v>2</v>
      </c>
      <c r="J315" s="50" t="s">
        <v>1603</v>
      </c>
      <c r="K315" s="51">
        <v>41718</v>
      </c>
      <c r="L315" s="115">
        <v>41710</v>
      </c>
      <c r="M315" s="50">
        <f t="shared" si="30"/>
        <v>8</v>
      </c>
      <c r="N315" s="50" t="s">
        <v>2</v>
      </c>
      <c r="O315" s="74">
        <v>5.7</v>
      </c>
      <c r="P315" s="50">
        <v>5</v>
      </c>
      <c r="Q315" s="74">
        <v>6.82</v>
      </c>
      <c r="R315" s="50">
        <v>200</v>
      </c>
      <c r="S315" s="74">
        <v>460</v>
      </c>
      <c r="T315" s="50">
        <v>0.95</v>
      </c>
      <c r="U315" s="74">
        <v>8.82</v>
      </c>
      <c r="V315" s="50">
        <v>1.01</v>
      </c>
      <c r="W315" s="74">
        <v>6.5</v>
      </c>
      <c r="X315" s="50">
        <v>7.13</v>
      </c>
      <c r="Y315" s="74">
        <v>0.437</v>
      </c>
      <c r="AE315" s="50">
        <v>8.1999999999999993</v>
      </c>
      <c r="AF315" s="50">
        <v>3.74</v>
      </c>
      <c r="AI315" s="97"/>
    </row>
    <row r="316" spans="1:35" ht="15" customHeight="1">
      <c r="A316" s="41" t="s">
        <v>38</v>
      </c>
      <c r="B316" s="50" t="s">
        <v>5575</v>
      </c>
      <c r="D316" s="48" t="s">
        <v>559</v>
      </c>
      <c r="E316" s="50" t="s">
        <v>560</v>
      </c>
      <c r="G316" s="76" t="s">
        <v>2418</v>
      </c>
      <c r="H316" s="50">
        <v>4493</v>
      </c>
      <c r="J316" s="50" t="s">
        <v>2427</v>
      </c>
      <c r="K316" s="51">
        <v>41737</v>
      </c>
      <c r="L316" s="115">
        <v>41733</v>
      </c>
      <c r="M316" s="50">
        <f t="shared" si="30"/>
        <v>4</v>
      </c>
      <c r="N316" s="50" t="s">
        <v>2</v>
      </c>
      <c r="O316" s="74">
        <f t="shared" ref="O316:O321" si="31">5/2</f>
        <v>2.5</v>
      </c>
      <c r="P316" s="50">
        <v>7.37</v>
      </c>
      <c r="Q316" s="74">
        <v>7.3</v>
      </c>
      <c r="R316" s="50">
        <v>28</v>
      </c>
      <c r="S316" s="74">
        <v>18</v>
      </c>
      <c r="T316" s="50">
        <v>0.06</v>
      </c>
      <c r="U316" s="74">
        <v>0.73</v>
      </c>
      <c r="V316" s="50">
        <v>0.94</v>
      </c>
      <c r="W316" s="74">
        <v>0.15</v>
      </c>
      <c r="X316" s="50">
        <v>0.1</v>
      </c>
      <c r="Y316" s="74">
        <v>3.9E-2</v>
      </c>
      <c r="Z316" s="166">
        <v>0.17100000000000001</v>
      </c>
      <c r="AA316" s="167">
        <v>0.106</v>
      </c>
      <c r="AB316" s="50">
        <v>20.3</v>
      </c>
      <c r="AC316" s="74">
        <v>172</v>
      </c>
      <c r="AD316" s="166">
        <v>0</v>
      </c>
      <c r="AE316" s="50">
        <v>1.63</v>
      </c>
      <c r="AF316" s="50">
        <v>1.0900000000000001</v>
      </c>
      <c r="AI316" s="97"/>
    </row>
    <row r="317" spans="1:35" ht="15" customHeight="1">
      <c r="A317" s="41" t="s">
        <v>38</v>
      </c>
      <c r="B317" s="50" t="s">
        <v>5575</v>
      </c>
      <c r="D317" s="48" t="s">
        <v>559</v>
      </c>
      <c r="E317" s="50" t="s">
        <v>560</v>
      </c>
      <c r="G317" s="76" t="s">
        <v>2418</v>
      </c>
      <c r="H317" s="50">
        <v>4493</v>
      </c>
      <c r="J317" s="50" t="s">
        <v>2420</v>
      </c>
      <c r="K317" s="51">
        <v>41737</v>
      </c>
      <c r="L317" s="115">
        <v>41733</v>
      </c>
      <c r="M317" s="50">
        <f t="shared" si="30"/>
        <v>4</v>
      </c>
      <c r="N317" s="50" t="s">
        <v>2</v>
      </c>
      <c r="O317" s="74">
        <f t="shared" si="31"/>
        <v>2.5</v>
      </c>
      <c r="P317" s="50">
        <v>7.37</v>
      </c>
      <c r="Q317" s="74">
        <v>7.3</v>
      </c>
      <c r="R317" s="50">
        <v>23</v>
      </c>
      <c r="S317" s="74">
        <v>18</v>
      </c>
      <c r="T317" s="50">
        <v>7.0000000000000007E-2</v>
      </c>
      <c r="U317" s="74">
        <v>0.73</v>
      </c>
      <c r="V317" s="50">
        <v>1.03</v>
      </c>
      <c r="W317" s="74">
        <v>0.15</v>
      </c>
      <c r="X317" s="50">
        <v>0.1</v>
      </c>
      <c r="Y317" s="74">
        <v>4.2000000000000003E-2</v>
      </c>
      <c r="Z317" s="166">
        <v>0.70199999999999996</v>
      </c>
      <c r="AA317" s="167">
        <v>0.125</v>
      </c>
      <c r="AB317" s="50">
        <v>20.2</v>
      </c>
      <c r="AC317" s="74">
        <v>178</v>
      </c>
      <c r="AD317" s="166">
        <v>0</v>
      </c>
      <c r="AE317" s="50">
        <v>1.53</v>
      </c>
      <c r="AF317" s="50">
        <v>1.04</v>
      </c>
      <c r="AI317" s="97"/>
    </row>
    <row r="318" spans="1:35" ht="15" customHeight="1">
      <c r="A318" s="41" t="s">
        <v>38</v>
      </c>
      <c r="B318" s="50" t="s">
        <v>5575</v>
      </c>
      <c r="D318" s="48" t="s">
        <v>559</v>
      </c>
      <c r="E318" s="50" t="s">
        <v>560</v>
      </c>
      <c r="G318" s="76" t="s">
        <v>2418</v>
      </c>
      <c r="H318" s="50">
        <v>4493</v>
      </c>
      <c r="J318" s="50" t="s">
        <v>5577</v>
      </c>
      <c r="K318" s="51">
        <v>41737</v>
      </c>
      <c r="L318" s="115">
        <v>41733</v>
      </c>
      <c r="M318" s="50">
        <f t="shared" si="30"/>
        <v>4</v>
      </c>
      <c r="N318" s="50" t="s">
        <v>2</v>
      </c>
      <c r="O318" s="74">
        <f t="shared" si="31"/>
        <v>2.5</v>
      </c>
      <c r="P318" s="50">
        <v>7.37</v>
      </c>
      <c r="Q318" s="74">
        <v>7.3</v>
      </c>
      <c r="R318" s="50">
        <v>25</v>
      </c>
      <c r="S318" s="74">
        <v>17</v>
      </c>
      <c r="T318" s="50">
        <v>0.06</v>
      </c>
      <c r="U318" s="74">
        <v>0.53</v>
      </c>
      <c r="V318" s="50">
        <v>0.97</v>
      </c>
      <c r="W318" s="74">
        <v>0.13</v>
      </c>
      <c r="X318" s="50">
        <v>0.09</v>
      </c>
      <c r="Y318" s="74">
        <v>3.3000000000000002E-2</v>
      </c>
      <c r="Z318" s="166">
        <v>0.48299999999999998</v>
      </c>
      <c r="AA318" s="167">
        <v>0.126</v>
      </c>
      <c r="AB318" s="50">
        <v>19.8</v>
      </c>
      <c r="AC318" s="74">
        <v>177</v>
      </c>
      <c r="AD318" s="166">
        <v>0</v>
      </c>
      <c r="AE318" s="50">
        <v>1.38</v>
      </c>
      <c r="AF318" s="50">
        <v>0.95</v>
      </c>
      <c r="AI318" s="97"/>
    </row>
    <row r="319" spans="1:35" ht="15" customHeight="1">
      <c r="A319" s="41" t="s">
        <v>38</v>
      </c>
      <c r="B319" s="50" t="s">
        <v>5574</v>
      </c>
      <c r="C319" s="50" t="s">
        <v>5578</v>
      </c>
      <c r="D319" s="48" t="s">
        <v>559</v>
      </c>
      <c r="E319" s="50" t="s">
        <v>560</v>
      </c>
      <c r="G319" s="76" t="s">
        <v>5579</v>
      </c>
      <c r="H319" s="50">
        <v>4493</v>
      </c>
      <c r="J319" s="50" t="s">
        <v>2419</v>
      </c>
      <c r="K319" s="51">
        <v>41737</v>
      </c>
      <c r="L319" s="115">
        <v>41733</v>
      </c>
      <c r="M319" s="50">
        <f t="shared" si="30"/>
        <v>4</v>
      </c>
      <c r="N319" s="50" t="s">
        <v>2</v>
      </c>
      <c r="O319" s="74">
        <f t="shared" si="31"/>
        <v>2.5</v>
      </c>
      <c r="P319" s="50">
        <v>7.37</v>
      </c>
      <c r="Q319" s="74">
        <v>7.2</v>
      </c>
      <c r="R319" s="50">
        <v>49</v>
      </c>
      <c r="S319" s="74">
        <v>51</v>
      </c>
      <c r="T319" s="50">
        <v>0.14000000000000001</v>
      </c>
      <c r="U319" s="74">
        <v>0.76</v>
      </c>
      <c r="V319" s="50">
        <v>0.95</v>
      </c>
      <c r="W319" s="74">
        <v>0.6</v>
      </c>
      <c r="X319" s="50">
        <v>0.27</v>
      </c>
      <c r="Y319" s="74">
        <v>3.3000000000000002E-2</v>
      </c>
      <c r="Z319" s="166">
        <f>0.0625/2</f>
        <v>3.125E-2</v>
      </c>
      <c r="AA319" s="167">
        <f>0.0625/2</f>
        <v>3.125E-2</v>
      </c>
      <c r="AB319" s="50">
        <v>20.9</v>
      </c>
      <c r="AC319" s="74">
        <v>135</v>
      </c>
      <c r="AD319" s="166">
        <v>0</v>
      </c>
      <c r="AE319" s="50">
        <v>3.81</v>
      </c>
      <c r="AF319" s="50">
        <v>2.52</v>
      </c>
      <c r="AI319" s="97"/>
    </row>
    <row r="320" spans="1:35" ht="15" customHeight="1">
      <c r="A320" s="41" t="s">
        <v>38</v>
      </c>
      <c r="B320" s="50" t="s">
        <v>5575</v>
      </c>
      <c r="D320" s="48" t="s">
        <v>559</v>
      </c>
      <c r="E320" s="50" t="s">
        <v>2423</v>
      </c>
      <c r="G320" s="76" t="s">
        <v>2418</v>
      </c>
      <c r="H320" s="50">
        <v>4493</v>
      </c>
      <c r="J320" s="50" t="s">
        <v>2419</v>
      </c>
      <c r="K320" s="51">
        <v>41737</v>
      </c>
      <c r="L320" s="115">
        <v>41733</v>
      </c>
      <c r="M320" s="50">
        <f t="shared" si="30"/>
        <v>4</v>
      </c>
      <c r="N320" s="50" t="s">
        <v>2</v>
      </c>
      <c r="O320" s="74">
        <f t="shared" si="31"/>
        <v>2.5</v>
      </c>
      <c r="P320" s="50">
        <v>7.37</v>
      </c>
      <c r="Q320" s="74">
        <v>7.2</v>
      </c>
      <c r="R320" s="50">
        <v>49</v>
      </c>
      <c r="S320" s="74">
        <v>51</v>
      </c>
      <c r="T320" s="50">
        <v>0.14000000000000001</v>
      </c>
      <c r="U320" s="74">
        <v>0.76</v>
      </c>
      <c r="V320" s="50">
        <v>0.95</v>
      </c>
      <c r="W320" s="74">
        <v>0.6</v>
      </c>
      <c r="X320" s="50">
        <v>0.27</v>
      </c>
      <c r="Y320" s="74">
        <v>3.3000000000000002E-2</v>
      </c>
      <c r="Z320" s="166">
        <v>6.25E-2</v>
      </c>
      <c r="AA320" s="167">
        <v>6.25E-2</v>
      </c>
      <c r="AB320" s="50">
        <v>20.9</v>
      </c>
      <c r="AC320" s="74">
        <v>135</v>
      </c>
      <c r="AD320" s="166">
        <v>0</v>
      </c>
      <c r="AE320" s="50">
        <v>3.81</v>
      </c>
      <c r="AF320" s="50">
        <v>2.52</v>
      </c>
      <c r="AI320" s="97"/>
    </row>
    <row r="321" spans="1:47" ht="15" customHeight="1">
      <c r="A321" s="41" t="s">
        <v>38</v>
      </c>
      <c r="B321" s="50" t="s">
        <v>5575</v>
      </c>
      <c r="C321" s="50" t="s">
        <v>2417</v>
      </c>
      <c r="D321" s="48" t="s">
        <v>559</v>
      </c>
      <c r="E321" s="50" t="s">
        <v>560</v>
      </c>
      <c r="G321" s="76" t="s">
        <v>2418</v>
      </c>
      <c r="H321" s="50">
        <v>4493</v>
      </c>
      <c r="I321" s="49" t="s">
        <v>2</v>
      </c>
      <c r="J321" s="50" t="s">
        <v>2426</v>
      </c>
      <c r="K321" s="51">
        <v>41737</v>
      </c>
      <c r="L321" s="115">
        <v>41733</v>
      </c>
      <c r="M321" s="50">
        <f t="shared" si="30"/>
        <v>4</v>
      </c>
      <c r="N321" s="50" t="s">
        <v>2</v>
      </c>
      <c r="O321" s="74">
        <f t="shared" si="31"/>
        <v>2.5</v>
      </c>
      <c r="P321" s="50">
        <v>7.37</v>
      </c>
      <c r="Q321" s="74">
        <v>7</v>
      </c>
      <c r="R321" s="50">
        <v>82</v>
      </c>
      <c r="S321" s="74">
        <v>144</v>
      </c>
      <c r="T321" s="50">
        <v>0.28999999999999998</v>
      </c>
      <c r="U321" s="74">
        <v>1.1499999999999999</v>
      </c>
      <c r="V321" s="50">
        <v>0.71</v>
      </c>
      <c r="W321" s="74">
        <v>1.57</v>
      </c>
      <c r="X321" s="50">
        <v>0.63</v>
      </c>
      <c r="Y321" s="74">
        <v>0.03</v>
      </c>
      <c r="Z321" s="166">
        <v>6.25E-2</v>
      </c>
      <c r="AA321" s="167">
        <v>6.25E-2</v>
      </c>
      <c r="AB321" s="50">
        <v>23.3</v>
      </c>
      <c r="AC321" s="74">
        <v>53</v>
      </c>
      <c r="AD321" s="166">
        <v>0</v>
      </c>
      <c r="AE321" s="50">
        <v>9.89</v>
      </c>
      <c r="AF321" s="50">
        <v>6.31</v>
      </c>
      <c r="AI321" s="97"/>
    </row>
    <row r="322" spans="1:47" s="400" customFormat="1" ht="15" customHeight="1">
      <c r="A322" s="41" t="s">
        <v>38</v>
      </c>
      <c r="B322" s="402" t="s">
        <v>5568</v>
      </c>
      <c r="C322" s="402" t="s">
        <v>5569</v>
      </c>
      <c r="D322" s="401" t="s">
        <v>1830</v>
      </c>
      <c r="E322" s="402" t="s">
        <v>1538</v>
      </c>
      <c r="F322" s="402"/>
      <c r="G322" s="393" t="s">
        <v>5570</v>
      </c>
      <c r="H322" s="402"/>
      <c r="I322" s="391" t="s">
        <v>2</v>
      </c>
      <c r="J322" s="402" t="s">
        <v>5569</v>
      </c>
      <c r="K322" s="403">
        <v>40835</v>
      </c>
      <c r="L322" s="379">
        <v>40809</v>
      </c>
      <c r="M322" s="402">
        <f t="shared" ref="M322:M329" si="32">K322-L322</f>
        <v>26</v>
      </c>
      <c r="N322" s="402" t="s">
        <v>2</v>
      </c>
      <c r="O322" s="404" t="s">
        <v>955</v>
      </c>
      <c r="P322" s="402">
        <v>4.74</v>
      </c>
      <c r="Q322" s="404">
        <v>6</v>
      </c>
      <c r="R322" s="402">
        <v>20</v>
      </c>
      <c r="S322" s="404">
        <v>6</v>
      </c>
      <c r="T322" s="402">
        <v>8.7999999999999995E-2</v>
      </c>
      <c r="U322" s="404" t="s">
        <v>955</v>
      </c>
      <c r="V322" s="402">
        <v>0.1</v>
      </c>
      <c r="W322" s="404">
        <v>6.7999999999999996E-3</v>
      </c>
      <c r="X322" s="402">
        <v>2.3E-2</v>
      </c>
      <c r="Y322" s="404" t="s">
        <v>955</v>
      </c>
      <c r="Z322" s="166">
        <v>1</v>
      </c>
      <c r="AA322" s="167">
        <v>1</v>
      </c>
      <c r="AB322" s="402">
        <v>4</v>
      </c>
      <c r="AC322" s="404">
        <v>40</v>
      </c>
      <c r="AD322" s="166">
        <v>1</v>
      </c>
      <c r="AE322" s="402">
        <v>0.26</v>
      </c>
      <c r="AF322" s="402">
        <v>0.1</v>
      </c>
      <c r="AG322" s="328"/>
      <c r="AH322" s="394"/>
      <c r="AI322" s="97"/>
      <c r="AJ322" s="394"/>
      <c r="AK322" s="404"/>
      <c r="AL322" s="404"/>
      <c r="AM322" s="404"/>
      <c r="AN322" s="404"/>
      <c r="AO322" s="404"/>
      <c r="AP322" s="404"/>
      <c r="AQ322" s="404"/>
      <c r="AR322" s="404"/>
      <c r="AS322" s="404"/>
      <c r="AT322" s="404"/>
      <c r="AU322" s="404"/>
    </row>
    <row r="323" spans="1:47" s="400" customFormat="1" ht="15" customHeight="1">
      <c r="A323" s="41" t="s">
        <v>38</v>
      </c>
      <c r="B323" s="402" t="s">
        <v>5568</v>
      </c>
      <c r="C323" s="402" t="s">
        <v>5573</v>
      </c>
      <c r="D323" s="401" t="s">
        <v>1830</v>
      </c>
      <c r="E323" s="402" t="s">
        <v>1538</v>
      </c>
      <c r="F323" s="402"/>
      <c r="G323" s="393" t="s">
        <v>5570</v>
      </c>
      <c r="H323" s="402"/>
      <c r="I323" s="391" t="s">
        <v>2</v>
      </c>
      <c r="J323" s="402" t="s">
        <v>5573</v>
      </c>
      <c r="K323" s="403">
        <v>40835</v>
      </c>
      <c r="L323" s="379">
        <v>40809</v>
      </c>
      <c r="M323" s="402">
        <f t="shared" si="32"/>
        <v>26</v>
      </c>
      <c r="N323" s="402" t="s">
        <v>2</v>
      </c>
      <c r="O323" s="404" t="s">
        <v>955</v>
      </c>
      <c r="P323" s="402">
        <v>4.74</v>
      </c>
      <c r="Q323" s="404">
        <v>6.7</v>
      </c>
      <c r="R323" s="402">
        <v>23</v>
      </c>
      <c r="S323" s="404">
        <v>3</v>
      </c>
      <c r="T323" s="402">
        <v>5.6000000000000001E-2</v>
      </c>
      <c r="U323" s="404" t="s">
        <v>955</v>
      </c>
      <c r="V323" s="402">
        <v>0.18</v>
      </c>
      <c r="W323" s="404">
        <v>4.4999999999999997E-3</v>
      </c>
      <c r="X323" s="402">
        <v>1.7000000000000001E-2</v>
      </c>
      <c r="Y323" s="404" t="s">
        <v>955</v>
      </c>
      <c r="Z323" s="166">
        <v>1</v>
      </c>
      <c r="AA323" s="167">
        <v>1</v>
      </c>
      <c r="AB323" s="402">
        <v>20</v>
      </c>
      <c r="AC323" s="404">
        <v>225</v>
      </c>
      <c r="AD323" s="166">
        <v>1</v>
      </c>
      <c r="AE323" s="402">
        <v>0.18</v>
      </c>
      <c r="AF323" s="402">
        <v>9.5000000000000001E-2</v>
      </c>
      <c r="AG323" s="328"/>
      <c r="AH323" s="394"/>
      <c r="AI323" s="97"/>
      <c r="AJ323" s="394"/>
      <c r="AK323" s="404"/>
      <c r="AL323" s="404"/>
      <c r="AM323" s="404"/>
      <c r="AN323" s="404"/>
      <c r="AO323" s="404"/>
      <c r="AP323" s="404"/>
      <c r="AQ323" s="404"/>
      <c r="AR323" s="404"/>
      <c r="AS323" s="404"/>
      <c r="AT323" s="404"/>
      <c r="AU323" s="404"/>
    </row>
    <row r="324" spans="1:47" s="400" customFormat="1" ht="15" customHeight="1">
      <c r="A324" s="41" t="s">
        <v>38</v>
      </c>
      <c r="B324" s="402" t="s">
        <v>5568</v>
      </c>
      <c r="C324" s="402" t="s">
        <v>5572</v>
      </c>
      <c r="D324" s="401" t="s">
        <v>1830</v>
      </c>
      <c r="E324" s="402" t="s">
        <v>1538</v>
      </c>
      <c r="F324" s="402"/>
      <c r="G324" s="393" t="s">
        <v>5570</v>
      </c>
      <c r="H324" s="402"/>
      <c r="I324" s="391" t="s">
        <v>2</v>
      </c>
      <c r="J324" s="402" t="s">
        <v>5572</v>
      </c>
      <c r="K324" s="403">
        <v>40835</v>
      </c>
      <c r="L324" s="379">
        <v>40809</v>
      </c>
      <c r="M324" s="402">
        <f t="shared" si="32"/>
        <v>26</v>
      </c>
      <c r="N324" s="402" t="s">
        <v>2</v>
      </c>
      <c r="O324" s="404" t="s">
        <v>955</v>
      </c>
      <c r="P324" s="402">
        <v>4.74</v>
      </c>
      <c r="Q324" s="404">
        <v>6.4</v>
      </c>
      <c r="R324" s="402">
        <v>34</v>
      </c>
      <c r="S324" s="404">
        <v>10</v>
      </c>
      <c r="T324" s="402">
        <v>8.6999999999999994E-2</v>
      </c>
      <c r="U324" s="404">
        <v>0.67</v>
      </c>
      <c r="V324" s="402">
        <v>0.16</v>
      </c>
      <c r="W324" s="404">
        <v>7.4000000000000003E-3</v>
      </c>
      <c r="X324" s="402">
        <v>0.03</v>
      </c>
      <c r="Y324" s="404" t="s">
        <v>955</v>
      </c>
      <c r="Z324" s="166">
        <v>1</v>
      </c>
      <c r="AA324" s="167">
        <v>1</v>
      </c>
      <c r="AB324" s="402">
        <v>2</v>
      </c>
      <c r="AC324" s="404">
        <v>18</v>
      </c>
      <c r="AD324" s="166">
        <v>1</v>
      </c>
      <c r="AE324" s="402">
        <v>0.32</v>
      </c>
      <c r="AF324" s="402">
        <v>0.2</v>
      </c>
      <c r="AG324" s="328"/>
      <c r="AH324" s="394"/>
      <c r="AI324" s="97"/>
      <c r="AJ324" s="394"/>
      <c r="AK324" s="404"/>
      <c r="AL324" s="404"/>
      <c r="AM324" s="404"/>
      <c r="AN324" s="404"/>
      <c r="AO324" s="404"/>
      <c r="AP324" s="404"/>
      <c r="AQ324" s="404"/>
      <c r="AR324" s="404"/>
      <c r="AS324" s="404"/>
      <c r="AT324" s="404"/>
      <c r="AU324" s="404"/>
    </row>
    <row r="325" spans="1:47" s="400" customFormat="1" ht="15" customHeight="1">
      <c r="A325" s="41" t="s">
        <v>38</v>
      </c>
      <c r="B325" s="402" t="s">
        <v>5568</v>
      </c>
      <c r="C325" s="402" t="s">
        <v>5571</v>
      </c>
      <c r="D325" s="401" t="s">
        <v>1830</v>
      </c>
      <c r="E325" s="402" t="s">
        <v>1538</v>
      </c>
      <c r="F325" s="402"/>
      <c r="G325" s="393" t="s">
        <v>5570</v>
      </c>
      <c r="H325" s="402"/>
      <c r="I325" s="391" t="s">
        <v>2</v>
      </c>
      <c r="J325" s="402" t="s">
        <v>5571</v>
      </c>
      <c r="K325" s="403">
        <v>40835</v>
      </c>
      <c r="L325" s="379">
        <v>40809</v>
      </c>
      <c r="M325" s="402">
        <f t="shared" si="32"/>
        <v>26</v>
      </c>
      <c r="N325" s="402" t="s">
        <v>2</v>
      </c>
      <c r="O325" s="404" t="s">
        <v>955</v>
      </c>
      <c r="P325" s="402">
        <v>4.74</v>
      </c>
      <c r="Q325" s="404">
        <v>6.2</v>
      </c>
      <c r="R325" s="402">
        <v>38</v>
      </c>
      <c r="S325" s="404">
        <v>17</v>
      </c>
      <c r="T325" s="402">
        <v>0.15</v>
      </c>
      <c r="U325" s="404">
        <v>0.56999999999999995</v>
      </c>
      <c r="V325" s="402">
        <v>0.11</v>
      </c>
      <c r="W325" s="404">
        <v>7.7999999999999996E-3</v>
      </c>
      <c r="X325" s="402">
        <v>3.6999999999999998E-2</v>
      </c>
      <c r="Y325" s="404">
        <v>4.1999999999999997E-3</v>
      </c>
      <c r="Z325" s="166">
        <v>1</v>
      </c>
      <c r="AA325" s="167">
        <v>1</v>
      </c>
      <c r="AB325" s="402">
        <v>2</v>
      </c>
      <c r="AC325" s="404">
        <v>16</v>
      </c>
      <c r="AD325" s="166">
        <v>1</v>
      </c>
      <c r="AE325" s="402">
        <v>0.32</v>
      </c>
      <c r="AF325" s="402">
        <v>0.19</v>
      </c>
      <c r="AG325" s="328"/>
      <c r="AH325" s="394"/>
      <c r="AI325" s="97"/>
      <c r="AJ325" s="394"/>
      <c r="AK325" s="404"/>
      <c r="AL325" s="404"/>
      <c r="AM325" s="404"/>
      <c r="AN325" s="404"/>
      <c r="AO325" s="404"/>
      <c r="AP325" s="404"/>
      <c r="AQ325" s="404"/>
      <c r="AR325" s="404"/>
      <c r="AS325" s="404"/>
      <c r="AT325" s="404"/>
      <c r="AU325" s="404"/>
    </row>
    <row r="326" spans="1:47" s="400" customFormat="1" ht="15" customHeight="1">
      <c r="A326" s="41" t="s">
        <v>38</v>
      </c>
      <c r="B326" s="402" t="s">
        <v>5568</v>
      </c>
      <c r="C326" s="402" t="s">
        <v>5569</v>
      </c>
      <c r="D326" s="401" t="s">
        <v>1830</v>
      </c>
      <c r="E326" s="402" t="s">
        <v>1538</v>
      </c>
      <c r="F326" s="402"/>
      <c r="G326" s="393" t="s">
        <v>5570</v>
      </c>
      <c r="H326" s="402"/>
      <c r="I326" s="391" t="s">
        <v>2</v>
      </c>
      <c r="J326" s="402" t="s">
        <v>5569</v>
      </c>
      <c r="K326" s="403">
        <v>41432</v>
      </c>
      <c r="L326" s="379">
        <v>41423</v>
      </c>
      <c r="M326" s="402">
        <f t="shared" si="32"/>
        <v>9</v>
      </c>
      <c r="N326" s="402" t="s">
        <v>2</v>
      </c>
      <c r="O326" s="404">
        <v>1.2</v>
      </c>
      <c r="P326" s="402">
        <v>6</v>
      </c>
      <c r="Q326" s="404">
        <v>7.6</v>
      </c>
      <c r="R326" s="402">
        <v>86</v>
      </c>
      <c r="S326" s="404">
        <v>190</v>
      </c>
      <c r="T326" s="402">
        <v>0.31</v>
      </c>
      <c r="U326" s="404">
        <v>2.2000000000000002</v>
      </c>
      <c r="V326" s="402">
        <v>0.34</v>
      </c>
      <c r="W326" s="404">
        <v>2.1000000000000001E-2</v>
      </c>
      <c r="X326" s="402">
        <v>6.6000000000000003E-2</v>
      </c>
      <c r="Y326" s="404">
        <v>2.8E-3</v>
      </c>
      <c r="Z326" s="166">
        <v>1</v>
      </c>
      <c r="AA326" s="167">
        <v>1</v>
      </c>
      <c r="AB326" s="402"/>
      <c r="AC326" s="404">
        <v>102</v>
      </c>
      <c r="AD326" s="166">
        <v>1</v>
      </c>
      <c r="AE326" s="402" t="s">
        <v>955</v>
      </c>
      <c r="AF326" s="402">
        <v>1.4</v>
      </c>
      <c r="AG326" s="328"/>
      <c r="AH326" s="394"/>
      <c r="AI326" s="97"/>
      <c r="AJ326" s="394"/>
      <c r="AK326" s="404"/>
      <c r="AL326" s="404"/>
      <c r="AM326" s="404"/>
      <c r="AN326" s="404"/>
      <c r="AO326" s="404"/>
      <c r="AP326" s="404"/>
      <c r="AQ326" s="404"/>
      <c r="AR326" s="404"/>
      <c r="AS326" s="404"/>
      <c r="AT326" s="404"/>
      <c r="AU326" s="404"/>
    </row>
    <row r="327" spans="1:47" s="400" customFormat="1" ht="15" customHeight="1">
      <c r="A327" s="41" t="s">
        <v>38</v>
      </c>
      <c r="B327" s="402" t="s">
        <v>5568</v>
      </c>
      <c r="C327" s="402" t="s">
        <v>5571</v>
      </c>
      <c r="D327" s="401" t="s">
        <v>1830</v>
      </c>
      <c r="E327" s="402" t="s">
        <v>1538</v>
      </c>
      <c r="F327" s="402"/>
      <c r="G327" s="393" t="s">
        <v>5570</v>
      </c>
      <c r="H327" s="402"/>
      <c r="I327" s="391" t="s">
        <v>2</v>
      </c>
      <c r="J327" s="402" t="s">
        <v>5571</v>
      </c>
      <c r="K327" s="403">
        <v>41432</v>
      </c>
      <c r="L327" s="379">
        <v>41423</v>
      </c>
      <c r="M327" s="402">
        <f t="shared" si="32"/>
        <v>9</v>
      </c>
      <c r="N327" s="402" t="s">
        <v>2</v>
      </c>
      <c r="O327" s="404">
        <v>1.1000000000000001</v>
      </c>
      <c r="P327" s="402">
        <v>6</v>
      </c>
      <c r="Q327" s="404">
        <v>7.1</v>
      </c>
      <c r="R327" s="402">
        <v>24</v>
      </c>
      <c r="S327" s="404">
        <v>6.3</v>
      </c>
      <c r="T327" s="402">
        <v>7.3999999999999996E-2</v>
      </c>
      <c r="U327" s="404">
        <v>0.52</v>
      </c>
      <c r="V327" s="402">
        <v>0.28999999999999998</v>
      </c>
      <c r="W327" s="404">
        <v>0.01</v>
      </c>
      <c r="X327" s="402">
        <v>4.2000000000000003E-2</v>
      </c>
      <c r="Y327" s="404">
        <v>2E-3</v>
      </c>
      <c r="Z327" s="166">
        <v>1</v>
      </c>
      <c r="AA327" s="167">
        <v>1</v>
      </c>
      <c r="AB327" s="402"/>
      <c r="AC327" s="404">
        <v>36</v>
      </c>
      <c r="AD327" s="166">
        <v>1</v>
      </c>
      <c r="AE327" s="402" t="s">
        <v>955</v>
      </c>
      <c r="AF327" s="402">
        <v>0.26</v>
      </c>
      <c r="AG327" s="328"/>
      <c r="AH327" s="394"/>
      <c r="AI327" s="97"/>
      <c r="AJ327" s="394"/>
      <c r="AK327" s="404"/>
      <c r="AL327" s="404"/>
      <c r="AM327" s="404"/>
      <c r="AN327" s="404"/>
      <c r="AO327" s="404"/>
      <c r="AP327" s="404"/>
      <c r="AQ327" s="404"/>
      <c r="AR327" s="404"/>
      <c r="AS327" s="404"/>
      <c r="AT327" s="404"/>
      <c r="AU327" s="404"/>
    </row>
    <row r="328" spans="1:47" s="400" customFormat="1" ht="15" customHeight="1">
      <c r="A328" s="41" t="s">
        <v>38</v>
      </c>
      <c r="B328" s="402" t="s">
        <v>5568</v>
      </c>
      <c r="C328" s="402" t="s">
        <v>5572</v>
      </c>
      <c r="D328" s="401" t="s">
        <v>1830</v>
      </c>
      <c r="E328" s="402" t="s">
        <v>1538</v>
      </c>
      <c r="F328" s="402"/>
      <c r="G328" s="393" t="s">
        <v>5570</v>
      </c>
      <c r="H328" s="402"/>
      <c r="I328" s="391" t="s">
        <v>2</v>
      </c>
      <c r="J328" s="402" t="s">
        <v>5572</v>
      </c>
      <c r="K328" s="403">
        <v>41432</v>
      </c>
      <c r="L328" s="379">
        <v>41423</v>
      </c>
      <c r="M328" s="402">
        <f t="shared" si="32"/>
        <v>9</v>
      </c>
      <c r="N328" s="402" t="s">
        <v>2</v>
      </c>
      <c r="O328" s="404">
        <v>1.1000000000000001</v>
      </c>
      <c r="P328" s="402">
        <v>6</v>
      </c>
      <c r="Q328" s="404">
        <v>6.9</v>
      </c>
      <c r="R328" s="402">
        <v>30</v>
      </c>
      <c r="S328" s="404">
        <v>2</v>
      </c>
      <c r="T328" s="402">
        <v>5.1999999999999998E-2</v>
      </c>
      <c r="U328" s="404">
        <v>0.52</v>
      </c>
      <c r="V328" s="402">
        <v>0.38</v>
      </c>
      <c r="W328" s="404">
        <v>6.0000000000000001E-3</v>
      </c>
      <c r="X328" s="402">
        <v>1.2999999999999999E-2</v>
      </c>
      <c r="Y328" s="404">
        <v>2E-3</v>
      </c>
      <c r="Z328" s="166">
        <v>1</v>
      </c>
      <c r="AA328" s="167">
        <v>1</v>
      </c>
      <c r="AB328" s="402"/>
      <c r="AC328" s="404">
        <v>227</v>
      </c>
      <c r="AD328" s="166">
        <v>1</v>
      </c>
      <c r="AE328" s="402" t="s">
        <v>955</v>
      </c>
      <c r="AF328" s="402">
        <v>0.14000000000000001</v>
      </c>
      <c r="AG328" s="328"/>
      <c r="AH328" s="394"/>
      <c r="AI328" s="97"/>
      <c r="AJ328" s="394"/>
      <c r="AK328" s="404"/>
      <c r="AL328" s="404"/>
      <c r="AM328" s="404"/>
      <c r="AN328" s="404"/>
      <c r="AO328" s="404"/>
      <c r="AP328" s="404"/>
      <c r="AQ328" s="404"/>
      <c r="AR328" s="404"/>
      <c r="AS328" s="404"/>
      <c r="AT328" s="404"/>
      <c r="AU328" s="404"/>
    </row>
    <row r="329" spans="1:47" s="400" customFormat="1" ht="15" customHeight="1">
      <c r="A329" s="41" t="s">
        <v>38</v>
      </c>
      <c r="B329" s="402" t="s">
        <v>5568</v>
      </c>
      <c r="C329" s="402" t="s">
        <v>5573</v>
      </c>
      <c r="D329" s="401" t="s">
        <v>1830</v>
      </c>
      <c r="E329" s="402" t="s">
        <v>1538</v>
      </c>
      <c r="F329" s="402"/>
      <c r="G329" s="393" t="s">
        <v>5570</v>
      </c>
      <c r="H329" s="402"/>
      <c r="I329" s="391" t="s">
        <v>2</v>
      </c>
      <c r="J329" s="402" t="s">
        <v>5573</v>
      </c>
      <c r="K329" s="403">
        <v>41432</v>
      </c>
      <c r="L329" s="379">
        <v>41423</v>
      </c>
      <c r="M329" s="402">
        <f t="shared" si="32"/>
        <v>9</v>
      </c>
      <c r="N329" s="402" t="s">
        <v>2</v>
      </c>
      <c r="O329" s="404">
        <v>1</v>
      </c>
      <c r="P329" s="402">
        <v>6</v>
      </c>
      <c r="Q329" s="404">
        <v>7</v>
      </c>
      <c r="R329" s="402">
        <v>17</v>
      </c>
      <c r="S329" s="404">
        <v>13</v>
      </c>
      <c r="T329" s="402">
        <v>0.1</v>
      </c>
      <c r="U329" s="404">
        <v>0.5</v>
      </c>
      <c r="V329" s="402">
        <v>0.18</v>
      </c>
      <c r="W329" s="404">
        <v>5.7999999999999996E-3</v>
      </c>
      <c r="X329" s="402">
        <v>0.13</v>
      </c>
      <c r="Y329" s="404">
        <v>3.0999999999999999E-3</v>
      </c>
      <c r="Z329" s="166">
        <v>1</v>
      </c>
      <c r="AA329" s="167">
        <v>1</v>
      </c>
      <c r="AB329" s="402"/>
      <c r="AC329" s="404">
        <v>55</v>
      </c>
      <c r="AD329" s="166">
        <v>0.95</v>
      </c>
      <c r="AE329" s="402" t="s">
        <v>955</v>
      </c>
      <c r="AF329" s="402">
        <v>0.64</v>
      </c>
      <c r="AG329" s="328"/>
      <c r="AH329" s="394"/>
      <c r="AI329" s="97"/>
      <c r="AJ329" s="394"/>
      <c r="AK329" s="404"/>
      <c r="AL329" s="404"/>
      <c r="AM329" s="404"/>
      <c r="AN329" s="404"/>
      <c r="AO329" s="404"/>
      <c r="AP329" s="404"/>
      <c r="AQ329" s="404"/>
      <c r="AR329" s="404"/>
      <c r="AS329" s="404"/>
      <c r="AT329" s="404"/>
      <c r="AU329" s="404"/>
    </row>
    <row r="330" spans="1:47" ht="15" customHeight="1">
      <c r="A330" s="41" t="s">
        <v>38</v>
      </c>
      <c r="B330" s="50" t="s">
        <v>6120</v>
      </c>
      <c r="C330" s="50" t="s">
        <v>6120</v>
      </c>
      <c r="D330" s="48" t="s">
        <v>78</v>
      </c>
      <c r="E330" s="50" t="s">
        <v>79</v>
      </c>
      <c r="G330" s="76" t="s">
        <v>1739</v>
      </c>
      <c r="J330" s="50" t="s">
        <v>6121</v>
      </c>
      <c r="K330" s="51">
        <v>41744</v>
      </c>
      <c r="L330" s="115"/>
      <c r="N330" s="50" t="s">
        <v>2</v>
      </c>
      <c r="O330" s="74">
        <f>0.571/2</f>
        <v>0.28549999999999998</v>
      </c>
      <c r="Q330" s="74">
        <v>7.26</v>
      </c>
      <c r="R330" s="50">
        <v>75</v>
      </c>
      <c r="S330" s="74">
        <v>122</v>
      </c>
      <c r="T330" s="50">
        <v>0.19800000000000001</v>
      </c>
      <c r="U330" s="74">
        <v>0.76600000000000001</v>
      </c>
      <c r="V330" s="50">
        <v>0.874</v>
      </c>
      <c r="W330" s="74">
        <v>0.214</v>
      </c>
      <c r="X330" s="50">
        <v>0.1</v>
      </c>
      <c r="Y330" s="74">
        <v>6.45E-3</v>
      </c>
      <c r="Z330" s="166">
        <v>1</v>
      </c>
      <c r="AA330" s="167">
        <v>1</v>
      </c>
      <c r="AB330" s="50">
        <v>120</v>
      </c>
      <c r="AC330" s="74">
        <v>848</v>
      </c>
      <c r="AD330" s="166">
        <v>0.7</v>
      </c>
      <c r="AI330" s="97"/>
    </row>
    <row r="331" spans="1:47" ht="15" customHeight="1">
      <c r="A331" s="41" t="s">
        <v>38</v>
      </c>
      <c r="B331" s="50" t="s">
        <v>6120</v>
      </c>
      <c r="C331" s="50" t="s">
        <v>6120</v>
      </c>
      <c r="D331" s="48" t="s">
        <v>78</v>
      </c>
      <c r="E331" s="50" t="s">
        <v>79</v>
      </c>
      <c r="G331" s="76" t="s">
        <v>1739</v>
      </c>
      <c r="J331" s="50" t="s">
        <v>6122</v>
      </c>
      <c r="K331" s="51">
        <v>41744</v>
      </c>
      <c r="L331" s="115"/>
      <c r="N331" s="50" t="s">
        <v>2</v>
      </c>
      <c r="O331" s="74">
        <f>0.571/2</f>
        <v>0.28549999999999998</v>
      </c>
      <c r="Q331" s="74">
        <v>7.12</v>
      </c>
      <c r="R331" s="50">
        <v>55</v>
      </c>
      <c r="S331" s="74">
        <v>29.6</v>
      </c>
      <c r="T331" s="50">
        <v>0.253</v>
      </c>
      <c r="U331" s="74">
        <v>0.64800000000000002</v>
      </c>
      <c r="V331" s="50">
        <v>0.222</v>
      </c>
      <c r="W331" s="74">
        <v>0.28000000000000003</v>
      </c>
      <c r="X331" s="50">
        <v>0.30599999999999999</v>
      </c>
      <c r="Y331" s="74">
        <v>7.6499999999999997E-3</v>
      </c>
      <c r="Z331" s="166">
        <v>8.5099999999999995E-2</v>
      </c>
      <c r="AA331" s="167">
        <v>7.3300000000000004E-2</v>
      </c>
      <c r="AB331" s="50">
        <v>50</v>
      </c>
      <c r="AC331" s="74">
        <v>475</v>
      </c>
      <c r="AD331" s="166">
        <v>0</v>
      </c>
      <c r="AI331" s="97"/>
    </row>
    <row r="332" spans="1:47" ht="15" customHeight="1">
      <c r="A332" s="41" t="s">
        <v>38</v>
      </c>
      <c r="B332" s="50" t="s">
        <v>6120</v>
      </c>
      <c r="C332" s="50" t="s">
        <v>6120</v>
      </c>
      <c r="D332" s="48" t="s">
        <v>78</v>
      </c>
      <c r="E332" s="50" t="s">
        <v>79</v>
      </c>
      <c r="G332" s="76" t="s">
        <v>1739</v>
      </c>
      <c r="J332" s="50" t="s">
        <v>6123</v>
      </c>
      <c r="K332" s="51">
        <v>41744</v>
      </c>
      <c r="L332" s="115"/>
      <c r="N332" s="50" t="s">
        <v>2</v>
      </c>
      <c r="O332" s="74">
        <v>0.77800000000000002</v>
      </c>
      <c r="Q332" s="74">
        <v>7.51</v>
      </c>
      <c r="R332" s="50">
        <v>22</v>
      </c>
      <c r="S332" s="74">
        <v>46.8</v>
      </c>
      <c r="T332" s="50">
        <v>0.155</v>
      </c>
      <c r="U332" s="74">
        <v>0.60199999999999998</v>
      </c>
      <c r="V332" s="50">
        <v>0.47599999999999998</v>
      </c>
      <c r="W332" s="74">
        <v>9.1999999999999998E-2</v>
      </c>
      <c r="X332" s="50">
        <v>4.4200000000000003E-2</v>
      </c>
      <c r="Y332" s="74">
        <v>5.96E-3</v>
      </c>
      <c r="Z332" s="166">
        <v>1</v>
      </c>
      <c r="AA332" s="167">
        <v>0.32200000000000001</v>
      </c>
      <c r="AB332" s="50">
        <v>4</v>
      </c>
      <c r="AC332" s="74">
        <v>84</v>
      </c>
      <c r="AD332" s="166">
        <v>0</v>
      </c>
      <c r="AI332" s="97"/>
    </row>
    <row r="333" spans="1:47" ht="15" customHeight="1">
      <c r="A333" s="41" t="s">
        <v>38</v>
      </c>
      <c r="B333" s="50" t="s">
        <v>1703</v>
      </c>
      <c r="C333" s="50" t="s">
        <v>6124</v>
      </c>
      <c r="D333" s="48" t="s">
        <v>303</v>
      </c>
      <c r="E333" s="50" t="s">
        <v>1560</v>
      </c>
      <c r="G333" s="76" t="s">
        <v>1704</v>
      </c>
      <c r="H333" s="50">
        <v>4493</v>
      </c>
      <c r="J333" s="50" t="s">
        <v>6125</v>
      </c>
      <c r="K333" s="51">
        <v>41376</v>
      </c>
      <c r="L333" s="115">
        <v>41365</v>
      </c>
      <c r="M333" s="85">
        <f t="shared" ref="M333:M341" si="33">K333-L333</f>
        <v>11</v>
      </c>
      <c r="N333" s="50" t="s">
        <v>2</v>
      </c>
      <c r="O333" s="74">
        <f>1/2</f>
        <v>0.5</v>
      </c>
      <c r="P333" s="50">
        <v>5.34</v>
      </c>
      <c r="Q333" s="74">
        <v>6.38</v>
      </c>
      <c r="R333" s="50">
        <v>16</v>
      </c>
      <c r="S333" s="74">
        <v>138</v>
      </c>
      <c r="T333" s="50">
        <v>0.36</v>
      </c>
      <c r="U333" s="74">
        <v>0.79</v>
      </c>
      <c r="V333" s="50">
        <v>0.35</v>
      </c>
      <c r="W333" s="74">
        <v>0.62</v>
      </c>
      <c r="X333" s="50">
        <v>0.26</v>
      </c>
      <c r="Y333" s="74">
        <f>0.05/2</f>
        <v>2.5000000000000001E-2</v>
      </c>
      <c r="Z333" s="166">
        <v>0.27700000000000002</v>
      </c>
      <c r="AA333" s="167">
        <v>0.124</v>
      </c>
      <c r="AB333" s="50">
        <v>615</v>
      </c>
      <c r="AC333" s="74">
        <v>86</v>
      </c>
      <c r="AD333" s="166">
        <v>0</v>
      </c>
      <c r="AI333" s="97"/>
    </row>
    <row r="334" spans="1:47" ht="15" customHeight="1">
      <c r="A334" s="41" t="s">
        <v>38</v>
      </c>
      <c r="B334" s="50" t="s">
        <v>1703</v>
      </c>
      <c r="C334" s="50" t="s">
        <v>6126</v>
      </c>
      <c r="D334" s="48" t="s">
        <v>303</v>
      </c>
      <c r="E334" s="50" t="s">
        <v>1560</v>
      </c>
      <c r="G334" s="76" t="s">
        <v>1704</v>
      </c>
      <c r="H334" s="50">
        <v>3732</v>
      </c>
      <c r="J334" s="50" t="s">
        <v>6127</v>
      </c>
      <c r="K334" s="51">
        <v>41376</v>
      </c>
      <c r="L334" s="115">
        <v>41365</v>
      </c>
      <c r="M334" s="85">
        <f t="shared" si="33"/>
        <v>11</v>
      </c>
      <c r="N334" s="50" t="s">
        <v>2</v>
      </c>
      <c r="O334" s="74">
        <f>1/2</f>
        <v>0.5</v>
      </c>
      <c r="P334" s="50">
        <v>5.34</v>
      </c>
      <c r="Q334" s="74">
        <v>7.8</v>
      </c>
      <c r="R334" s="50">
        <v>11</v>
      </c>
      <c r="S334" s="74">
        <v>139</v>
      </c>
      <c r="T334" s="50">
        <v>0.28000000000000003</v>
      </c>
      <c r="U334" s="74">
        <v>0.83</v>
      </c>
      <c r="V334" s="50">
        <v>1.04</v>
      </c>
      <c r="W334" s="74">
        <v>1.19</v>
      </c>
      <c r="X334" s="50">
        <v>0.41</v>
      </c>
      <c r="Y334" s="74">
        <f>0.05/2</f>
        <v>2.5000000000000001E-2</v>
      </c>
      <c r="Z334" s="166">
        <v>6.25E-2</v>
      </c>
      <c r="AA334" s="167">
        <v>6.25E-2</v>
      </c>
      <c r="AB334" s="50">
        <v>612</v>
      </c>
      <c r="AC334" s="74">
        <v>334</v>
      </c>
      <c r="AD334" s="166">
        <v>0</v>
      </c>
      <c r="AI334" s="97"/>
    </row>
    <row r="335" spans="1:47" ht="15" customHeight="1">
      <c r="A335" s="41" t="s">
        <v>38</v>
      </c>
      <c r="B335" s="50" t="s">
        <v>1582</v>
      </c>
      <c r="C335" s="50" t="s">
        <v>1583</v>
      </c>
      <c r="D335" s="48" t="s">
        <v>1569</v>
      </c>
      <c r="E335" s="50" t="s">
        <v>1584</v>
      </c>
      <c r="G335" s="76" t="s">
        <v>1585</v>
      </c>
      <c r="I335" s="49" t="s">
        <v>2</v>
      </c>
      <c r="J335" s="50" t="s">
        <v>569</v>
      </c>
      <c r="K335" s="51">
        <v>41795</v>
      </c>
      <c r="L335" s="115">
        <v>41790</v>
      </c>
      <c r="M335" s="85">
        <f t="shared" si="33"/>
        <v>5</v>
      </c>
      <c r="N335" s="50" t="s">
        <v>1</v>
      </c>
      <c r="O335" s="74">
        <f>5/2</f>
        <v>2.5</v>
      </c>
      <c r="P335" s="50">
        <v>6.73</v>
      </c>
      <c r="Q335" s="74">
        <v>6.72</v>
      </c>
      <c r="R335" s="50">
        <v>55</v>
      </c>
      <c r="S335" s="74">
        <v>33</v>
      </c>
      <c r="T335" s="50">
        <v>0.16</v>
      </c>
      <c r="U335" s="74">
        <v>1.36</v>
      </c>
      <c r="V335" s="50">
        <v>1.68</v>
      </c>
      <c r="W335" s="74">
        <v>0.36</v>
      </c>
      <c r="X335" s="50">
        <v>0.13</v>
      </c>
      <c r="Y335" s="74">
        <v>2.1999999999999999E-2</v>
      </c>
      <c r="AE335" s="50">
        <v>3.54</v>
      </c>
      <c r="AF335" s="50">
        <v>2.58</v>
      </c>
      <c r="AI335" s="97"/>
    </row>
    <row r="336" spans="1:47" ht="15" customHeight="1">
      <c r="A336" s="41" t="s">
        <v>38</v>
      </c>
      <c r="B336" s="50" t="s">
        <v>1735</v>
      </c>
      <c r="C336" s="50" t="s">
        <v>1736</v>
      </c>
      <c r="D336" s="48" t="s">
        <v>186</v>
      </c>
      <c r="E336" s="50" t="s">
        <v>1737</v>
      </c>
      <c r="G336" s="76" t="s">
        <v>582</v>
      </c>
      <c r="H336" s="50">
        <v>5551</v>
      </c>
      <c r="J336" s="77" t="s">
        <v>1943</v>
      </c>
      <c r="K336" s="51">
        <v>41799</v>
      </c>
      <c r="L336" s="115">
        <v>41795</v>
      </c>
      <c r="M336" s="85">
        <f t="shared" si="33"/>
        <v>4</v>
      </c>
      <c r="N336" s="50" t="s">
        <v>2</v>
      </c>
      <c r="O336" s="74">
        <f>5/2</f>
        <v>2.5</v>
      </c>
      <c r="P336" s="50">
        <v>8.0299999999999994</v>
      </c>
      <c r="Q336" s="74">
        <v>8.1199999999999992</v>
      </c>
      <c r="R336" s="50">
        <v>73</v>
      </c>
      <c r="S336" s="74">
        <v>54</v>
      </c>
      <c r="T336" s="50">
        <v>0.64</v>
      </c>
      <c r="U336" s="74">
        <v>2.1</v>
      </c>
      <c r="V336" s="50">
        <v>0.43</v>
      </c>
      <c r="W336" s="74">
        <v>0.22</v>
      </c>
      <c r="X336" s="50">
        <v>0.04</v>
      </c>
      <c r="Y336" s="74">
        <v>6.0000000000000001E-3</v>
      </c>
      <c r="AE336" s="50">
        <v>0.78</v>
      </c>
      <c r="AF336" s="50">
        <v>0.61</v>
      </c>
      <c r="AI336" s="97"/>
    </row>
    <row r="337" spans="1:47" ht="15" customHeight="1">
      <c r="A337" s="41" t="s">
        <v>38</v>
      </c>
      <c r="B337" s="50" t="s">
        <v>2457</v>
      </c>
      <c r="D337" s="48" t="s">
        <v>78</v>
      </c>
      <c r="E337" s="50" t="s">
        <v>79</v>
      </c>
      <c r="G337" s="76" t="s">
        <v>2458</v>
      </c>
      <c r="H337" s="50">
        <v>4493</v>
      </c>
      <c r="J337" s="50" t="s">
        <v>6128</v>
      </c>
      <c r="K337" s="51">
        <v>41759</v>
      </c>
      <c r="L337" s="115">
        <v>41759</v>
      </c>
      <c r="M337" s="85">
        <f t="shared" si="33"/>
        <v>0</v>
      </c>
      <c r="N337" s="50" t="s">
        <v>2</v>
      </c>
      <c r="O337" s="74">
        <f>2/2</f>
        <v>1</v>
      </c>
      <c r="Q337" s="74">
        <v>6.9</v>
      </c>
      <c r="R337" s="50">
        <v>15</v>
      </c>
      <c r="S337" s="74">
        <v>10</v>
      </c>
      <c r="T337" s="50">
        <v>0.05</v>
      </c>
      <c r="U337" s="74">
        <v>0.36</v>
      </c>
      <c r="V337" s="50">
        <f>0.1/2</f>
        <v>0.05</v>
      </c>
      <c r="W337" s="74">
        <v>7.1999999999999995E-2</v>
      </c>
      <c r="X337" s="50">
        <v>4.2000000000000003E-2</v>
      </c>
      <c r="Y337" s="74">
        <f>0.03/2</f>
        <v>1.4999999999999999E-2</v>
      </c>
      <c r="AI337" s="97"/>
    </row>
    <row r="338" spans="1:47" ht="15" customHeight="1">
      <c r="A338" s="41" t="s">
        <v>38</v>
      </c>
      <c r="B338" s="50" t="s">
        <v>5568</v>
      </c>
      <c r="C338" s="50" t="s">
        <v>5571</v>
      </c>
      <c r="D338" s="48" t="s">
        <v>1830</v>
      </c>
      <c r="E338" s="50" t="s">
        <v>1538</v>
      </c>
      <c r="G338" s="76" t="s">
        <v>5570</v>
      </c>
      <c r="I338" s="49" t="s">
        <v>2</v>
      </c>
      <c r="J338" s="50" t="s">
        <v>5571</v>
      </c>
      <c r="K338" s="51">
        <v>41605</v>
      </c>
      <c r="L338" s="115">
        <v>41596</v>
      </c>
      <c r="M338" s="85">
        <f t="shared" si="33"/>
        <v>9</v>
      </c>
      <c r="N338" s="50" t="s">
        <v>2</v>
      </c>
      <c r="O338" s="74">
        <f>1/2</f>
        <v>0.5</v>
      </c>
      <c r="P338" s="50">
        <v>6.31</v>
      </c>
      <c r="Q338" s="74">
        <v>6.68</v>
      </c>
      <c r="R338" s="50">
        <v>46</v>
      </c>
      <c r="S338" s="74">
        <v>2</v>
      </c>
      <c r="T338" s="50">
        <v>0.12</v>
      </c>
      <c r="U338" s="74">
        <v>3.29</v>
      </c>
      <c r="V338" s="50">
        <v>0.24</v>
      </c>
      <c r="W338" s="74">
        <v>1.46</v>
      </c>
      <c r="X338" s="50">
        <v>0.11</v>
      </c>
      <c r="Y338" s="74">
        <f>0.05/2</f>
        <v>2.5000000000000001E-2</v>
      </c>
      <c r="Z338" s="166">
        <v>1</v>
      </c>
      <c r="AA338" s="167">
        <v>1</v>
      </c>
      <c r="AB338" s="50">
        <v>13</v>
      </c>
      <c r="AC338" s="74">
        <v>40</v>
      </c>
      <c r="AD338" s="166">
        <v>1</v>
      </c>
      <c r="AE338" s="50">
        <v>0.67</v>
      </c>
      <c r="AF338" s="50">
        <v>1.36</v>
      </c>
      <c r="AI338" s="97"/>
    </row>
    <row r="339" spans="1:47" ht="15" customHeight="1">
      <c r="A339" s="41" t="s">
        <v>38</v>
      </c>
      <c r="B339" s="50" t="s">
        <v>5568</v>
      </c>
      <c r="C339" s="50" t="s">
        <v>5572</v>
      </c>
      <c r="D339" s="48" t="s">
        <v>1830</v>
      </c>
      <c r="E339" s="50" t="s">
        <v>1538</v>
      </c>
      <c r="G339" s="76" t="s">
        <v>5570</v>
      </c>
      <c r="I339" s="49" t="s">
        <v>2</v>
      </c>
      <c r="J339" s="50" t="s">
        <v>5572</v>
      </c>
      <c r="K339" s="51">
        <v>41605</v>
      </c>
      <c r="L339" s="115">
        <v>41596</v>
      </c>
      <c r="M339" s="85">
        <f t="shared" si="33"/>
        <v>9</v>
      </c>
      <c r="N339" s="50" t="s">
        <v>2</v>
      </c>
      <c r="O339" s="74">
        <f>1/2</f>
        <v>0.5</v>
      </c>
      <c r="P339" s="50">
        <v>6.6</v>
      </c>
      <c r="Q339" s="74">
        <v>5.8</v>
      </c>
      <c r="R339" s="50">
        <f>1/2</f>
        <v>0.5</v>
      </c>
      <c r="S339" s="74">
        <v>9</v>
      </c>
      <c r="T339" s="50">
        <v>0.13</v>
      </c>
      <c r="U339" s="74">
        <v>1.26</v>
      </c>
      <c r="V339" s="50">
        <v>0.44</v>
      </c>
      <c r="W339" s="74">
        <v>1.38</v>
      </c>
      <c r="X339" s="50">
        <v>0.08</v>
      </c>
      <c r="Y339" s="74">
        <f>0.05/2</f>
        <v>2.5000000000000001E-2</v>
      </c>
      <c r="Z339" s="166">
        <v>1</v>
      </c>
      <c r="AA339" s="167">
        <v>1</v>
      </c>
      <c r="AB339" s="50">
        <v>6</v>
      </c>
      <c r="AC339" s="74">
        <v>17</v>
      </c>
      <c r="AD339" s="166">
        <v>1</v>
      </c>
      <c r="AE339" s="50">
        <v>0.65</v>
      </c>
      <c r="AF339" s="50">
        <v>1.2</v>
      </c>
      <c r="AI339" s="97"/>
    </row>
    <row r="340" spans="1:47" ht="15" customHeight="1">
      <c r="A340" s="41" t="s">
        <v>38</v>
      </c>
      <c r="B340" s="50" t="s">
        <v>5568</v>
      </c>
      <c r="C340" s="50" t="s">
        <v>5573</v>
      </c>
      <c r="D340" s="48" t="s">
        <v>1830</v>
      </c>
      <c r="E340" s="50" t="s">
        <v>1538</v>
      </c>
      <c r="G340" s="76" t="s">
        <v>5570</v>
      </c>
      <c r="I340" s="49" t="s">
        <v>2</v>
      </c>
      <c r="J340" s="50" t="s">
        <v>5573</v>
      </c>
      <c r="K340" s="51">
        <v>41605</v>
      </c>
      <c r="L340" s="115">
        <v>41596</v>
      </c>
      <c r="M340" s="85">
        <f t="shared" si="33"/>
        <v>9</v>
      </c>
      <c r="N340" s="50" t="s">
        <v>2</v>
      </c>
      <c r="O340" s="74">
        <f>1/2</f>
        <v>0.5</v>
      </c>
      <c r="P340" s="50">
        <v>6.62</v>
      </c>
      <c r="Q340" s="74">
        <v>6.93</v>
      </c>
      <c r="R340" s="50">
        <v>153</v>
      </c>
      <c r="S340" s="74">
        <v>27</v>
      </c>
      <c r="T340" s="50">
        <v>0.18</v>
      </c>
      <c r="U340" s="74">
        <v>4.26</v>
      </c>
      <c r="V340" s="50">
        <v>0.32</v>
      </c>
      <c r="W340" s="74">
        <v>0.56000000000000005</v>
      </c>
      <c r="X340" s="50">
        <v>7.0000000000000007E-2</v>
      </c>
      <c r="Y340" s="74">
        <f>0.05/2</f>
        <v>2.5000000000000001E-2</v>
      </c>
      <c r="Z340" s="166">
        <v>1</v>
      </c>
      <c r="AA340" s="167">
        <v>1</v>
      </c>
      <c r="AB340" s="50">
        <v>23</v>
      </c>
      <c r="AC340" s="74">
        <v>17</v>
      </c>
      <c r="AD340" s="166">
        <v>1</v>
      </c>
      <c r="AE340" s="50">
        <v>1.74</v>
      </c>
      <c r="AF340" s="50">
        <v>1.5</v>
      </c>
      <c r="AI340" s="97"/>
    </row>
    <row r="341" spans="1:47" ht="15" customHeight="1">
      <c r="A341" s="41" t="s">
        <v>38</v>
      </c>
      <c r="B341" s="50" t="s">
        <v>5568</v>
      </c>
      <c r="C341" s="50" t="s">
        <v>5569</v>
      </c>
      <c r="D341" s="48" t="s">
        <v>1830</v>
      </c>
      <c r="E341" s="50" t="s">
        <v>1538</v>
      </c>
      <c r="G341" s="76" t="s">
        <v>5570</v>
      </c>
      <c r="I341" s="49" t="s">
        <v>2</v>
      </c>
      <c r="J341" s="50" t="s">
        <v>5569</v>
      </c>
      <c r="K341" s="51">
        <v>41605</v>
      </c>
      <c r="L341" s="115">
        <v>41596</v>
      </c>
      <c r="M341" s="85">
        <f t="shared" si="33"/>
        <v>9</v>
      </c>
      <c r="N341" s="50" t="s">
        <v>2</v>
      </c>
      <c r="O341" s="74">
        <f>1/2</f>
        <v>0.5</v>
      </c>
      <c r="P341" s="50">
        <v>6.59</v>
      </c>
      <c r="Q341" s="74">
        <v>6.38</v>
      </c>
      <c r="R341" s="50">
        <v>12</v>
      </c>
      <c r="S341" s="74">
        <v>5</v>
      </c>
      <c r="T341" s="50">
        <v>0.3</v>
      </c>
      <c r="U341" s="74">
        <v>3.99</v>
      </c>
      <c r="V341" s="50">
        <v>0.21</v>
      </c>
      <c r="W341" s="74">
        <v>0.19</v>
      </c>
      <c r="X341" s="50">
        <v>0.12</v>
      </c>
      <c r="Y341" s="74">
        <f>0.05/2</f>
        <v>2.5000000000000001E-2</v>
      </c>
      <c r="Z341" s="166">
        <v>1</v>
      </c>
      <c r="AA341" s="167">
        <v>1</v>
      </c>
      <c r="AB341" s="50">
        <v>10</v>
      </c>
      <c r="AC341" s="74">
        <v>40</v>
      </c>
      <c r="AD341" s="166">
        <v>1</v>
      </c>
      <c r="AE341" s="50">
        <v>0.43</v>
      </c>
      <c r="AF341" s="50">
        <v>1.3</v>
      </c>
      <c r="AI341" s="97"/>
    </row>
    <row r="342" spans="1:47" ht="15" customHeight="1">
      <c r="A342" s="41" t="s">
        <v>38</v>
      </c>
      <c r="B342" s="50" t="s">
        <v>4638</v>
      </c>
      <c r="C342" s="50" t="s">
        <v>4638</v>
      </c>
      <c r="D342" s="48" t="s">
        <v>1537</v>
      </c>
      <c r="E342" s="50" t="s">
        <v>4639</v>
      </c>
      <c r="G342" s="76" t="s">
        <v>4640</v>
      </c>
      <c r="H342" s="50">
        <v>4493</v>
      </c>
      <c r="I342" s="49" t="s">
        <v>2</v>
      </c>
      <c r="J342" s="50" t="s">
        <v>1144</v>
      </c>
      <c r="K342" s="51">
        <v>41116</v>
      </c>
      <c r="L342" s="115"/>
      <c r="N342" s="50" t="s">
        <v>2</v>
      </c>
      <c r="O342" s="74">
        <f>5/2</f>
        <v>2.5</v>
      </c>
      <c r="P342" s="50">
        <v>6.21</v>
      </c>
      <c r="Q342" s="74">
        <v>6.59</v>
      </c>
      <c r="R342" s="50">
        <v>20</v>
      </c>
      <c r="S342" s="74">
        <v>12</v>
      </c>
      <c r="T342" s="50">
        <f>0.1/2</f>
        <v>0.05</v>
      </c>
      <c r="U342" s="74">
        <f>1/2</f>
        <v>0.5</v>
      </c>
      <c r="V342" s="50">
        <v>0.43</v>
      </c>
      <c r="W342" s="74">
        <v>6.5000000000000002E-2</v>
      </c>
      <c r="X342" s="50">
        <v>3.1E-2</v>
      </c>
      <c r="Y342" s="74">
        <f>0.013/2</f>
        <v>6.4999999999999997E-3</v>
      </c>
      <c r="AE342" s="50">
        <v>0.12</v>
      </c>
      <c r="AF342" s="50">
        <f>0.1/2</f>
        <v>0.05</v>
      </c>
      <c r="AI342" s="97"/>
    </row>
    <row r="343" spans="1:47" ht="15" customHeight="1">
      <c r="A343" s="41" t="s">
        <v>38</v>
      </c>
      <c r="B343" s="50" t="s">
        <v>4638</v>
      </c>
      <c r="C343" s="50" t="s">
        <v>4638</v>
      </c>
      <c r="D343" s="48" t="s">
        <v>1537</v>
      </c>
      <c r="E343" s="50" t="s">
        <v>4639</v>
      </c>
      <c r="G343" s="76" t="s">
        <v>4640</v>
      </c>
      <c r="H343" s="50">
        <v>4493</v>
      </c>
      <c r="I343" s="49" t="s">
        <v>2</v>
      </c>
      <c r="J343" s="50" t="s">
        <v>1144</v>
      </c>
      <c r="K343" s="51">
        <v>41021</v>
      </c>
      <c r="L343" s="115"/>
      <c r="N343" s="50" t="s">
        <v>2</v>
      </c>
      <c r="O343" s="74">
        <f>5/2</f>
        <v>2.5</v>
      </c>
      <c r="P343" s="50">
        <v>6.21</v>
      </c>
      <c r="Q343" s="74">
        <v>6.81</v>
      </c>
      <c r="R343" s="50">
        <v>14</v>
      </c>
      <c r="S343" s="74">
        <f>5/2</f>
        <v>2.5</v>
      </c>
      <c r="T343" s="50">
        <f>0.1/2</f>
        <v>0.05</v>
      </c>
      <c r="U343" s="74">
        <f>1/2</f>
        <v>0.5</v>
      </c>
      <c r="V343" s="50">
        <f>0.1/2</f>
        <v>0.05</v>
      </c>
      <c r="W343" s="74">
        <v>4.5999999999999999E-2</v>
      </c>
      <c r="X343" s="50">
        <v>5.8999999999999997E-2</v>
      </c>
      <c r="Y343" s="74">
        <f>0.013/2</f>
        <v>6.4999999999999997E-3</v>
      </c>
      <c r="Z343" s="166">
        <v>0.308</v>
      </c>
      <c r="AA343" s="167">
        <v>0.25900000000000001</v>
      </c>
      <c r="AB343" s="50">
        <v>15</v>
      </c>
      <c r="AC343" s="74">
        <v>111</v>
      </c>
      <c r="AD343" s="166">
        <v>0</v>
      </c>
      <c r="AE343" s="50">
        <f>0.1/2</f>
        <v>0.05</v>
      </c>
      <c r="AF343" s="50">
        <f>0.1/2</f>
        <v>0.05</v>
      </c>
      <c r="AI343" s="97"/>
    </row>
    <row r="344" spans="1:47" ht="15" customHeight="1">
      <c r="A344" s="41" t="s">
        <v>38</v>
      </c>
      <c r="B344" s="50" t="s">
        <v>4638</v>
      </c>
      <c r="C344" s="50" t="s">
        <v>4638</v>
      </c>
      <c r="D344" s="48" t="s">
        <v>1537</v>
      </c>
      <c r="E344" s="50" t="s">
        <v>4639</v>
      </c>
      <c r="G344" s="76" t="s">
        <v>4640</v>
      </c>
      <c r="H344" s="50">
        <v>4493</v>
      </c>
      <c r="I344" s="49" t="s">
        <v>2</v>
      </c>
      <c r="J344" s="50" t="s">
        <v>1144</v>
      </c>
      <c r="K344" s="51">
        <v>41744</v>
      </c>
      <c r="L344" s="115"/>
      <c r="N344" s="50" t="s">
        <v>2</v>
      </c>
      <c r="P344" s="50">
        <v>6.3</v>
      </c>
      <c r="V344" s="50">
        <v>0.12</v>
      </c>
      <c r="AI344" s="97"/>
    </row>
    <row r="345" spans="1:47" s="400" customFormat="1" ht="14">
      <c r="A345" s="41" t="s">
        <v>38</v>
      </c>
      <c r="B345" s="402" t="s">
        <v>6444</v>
      </c>
      <c r="C345" s="402" t="s">
        <v>6444</v>
      </c>
      <c r="D345" s="401" t="s">
        <v>406</v>
      </c>
      <c r="E345" s="402" t="s">
        <v>6445</v>
      </c>
      <c r="F345" s="402"/>
      <c r="G345" s="393" t="s">
        <v>6446</v>
      </c>
      <c r="H345" s="402"/>
      <c r="I345" s="391" t="s">
        <v>2</v>
      </c>
      <c r="J345" s="402" t="s">
        <v>6447</v>
      </c>
      <c r="K345" s="403">
        <v>41605</v>
      </c>
      <c r="L345" s="379"/>
      <c r="M345" s="85"/>
      <c r="N345" s="402" t="s">
        <v>2</v>
      </c>
      <c r="O345" s="404">
        <f>2/2</f>
        <v>1</v>
      </c>
      <c r="P345" s="402">
        <v>7.2</v>
      </c>
      <c r="Q345" s="404">
        <v>8.1</v>
      </c>
      <c r="R345" s="402">
        <v>10</v>
      </c>
      <c r="S345" s="404">
        <v>4</v>
      </c>
      <c r="T345" s="402">
        <f>0.05/2</f>
        <v>2.5000000000000001E-2</v>
      </c>
      <c r="U345" s="404">
        <v>0.57999999999999996</v>
      </c>
      <c r="V345" s="402">
        <v>0.16</v>
      </c>
      <c r="W345" s="404">
        <v>3.9E-2</v>
      </c>
      <c r="X345" s="402">
        <v>5.2999999999999999E-2</v>
      </c>
      <c r="Y345" s="404">
        <f>0.03/2</f>
        <v>1.4999999999999999E-2</v>
      </c>
      <c r="Z345" s="166">
        <v>1</v>
      </c>
      <c r="AA345" s="167">
        <v>1</v>
      </c>
      <c r="AB345" s="402">
        <v>36</v>
      </c>
      <c r="AC345" s="404">
        <v>47</v>
      </c>
      <c r="AD345" s="166">
        <v>1</v>
      </c>
      <c r="AE345" s="402">
        <v>0.24</v>
      </c>
      <c r="AF345" s="402">
        <v>0.36</v>
      </c>
      <c r="AG345" s="328"/>
      <c r="AH345" s="394"/>
      <c r="AI345" s="97"/>
      <c r="AJ345" s="394"/>
      <c r="AK345" s="404"/>
      <c r="AL345" s="404"/>
      <c r="AM345" s="404"/>
      <c r="AN345" s="404"/>
      <c r="AO345" s="404"/>
      <c r="AP345" s="404"/>
      <c r="AQ345" s="404"/>
      <c r="AR345" s="404"/>
      <c r="AS345" s="404"/>
      <c r="AT345" s="404"/>
      <c r="AU345" s="404"/>
    </row>
    <row r="346" spans="1:47" s="400" customFormat="1" ht="14">
      <c r="A346" s="41" t="s">
        <v>38</v>
      </c>
      <c r="B346" s="402" t="s">
        <v>1559</v>
      </c>
      <c r="C346" s="402" t="s">
        <v>1559</v>
      </c>
      <c r="D346" s="401" t="s">
        <v>303</v>
      </c>
      <c r="E346" s="402" t="s">
        <v>1560</v>
      </c>
      <c r="F346" s="402"/>
      <c r="G346" s="393" t="s">
        <v>1561</v>
      </c>
      <c r="H346" s="402">
        <v>4493</v>
      </c>
      <c r="I346" s="391" t="s">
        <v>1</v>
      </c>
      <c r="J346" s="402" t="s">
        <v>3886</v>
      </c>
      <c r="K346" s="403">
        <v>41579</v>
      </c>
      <c r="L346" s="379">
        <v>41554</v>
      </c>
      <c r="M346" s="85">
        <f t="shared" ref="M346:M348" si="34">K346-L346</f>
        <v>25</v>
      </c>
      <c r="N346" s="402" t="s">
        <v>2</v>
      </c>
      <c r="O346" s="404">
        <v>2.1</v>
      </c>
      <c r="P346" s="402">
        <v>6</v>
      </c>
      <c r="Q346" s="404">
        <v>7.28</v>
      </c>
      <c r="R346" s="402">
        <v>250</v>
      </c>
      <c r="S346" s="404">
        <v>250</v>
      </c>
      <c r="T346" s="402">
        <v>0.86</v>
      </c>
      <c r="U346" s="404">
        <v>4.68</v>
      </c>
      <c r="V346" s="402">
        <v>7.83</v>
      </c>
      <c r="W346" s="404">
        <v>3.94</v>
      </c>
      <c r="X346" s="402">
        <v>0.58299999999999996</v>
      </c>
      <c r="Y346" s="404">
        <v>0.03</v>
      </c>
      <c r="Z346" s="166"/>
      <c r="AA346" s="167"/>
      <c r="AB346" s="402"/>
      <c r="AC346" s="404"/>
      <c r="AD346" s="166"/>
      <c r="AE346" s="402">
        <v>15.6</v>
      </c>
      <c r="AF346" s="402">
        <v>11</v>
      </c>
      <c r="AG346" s="408" t="s">
        <v>1535</v>
      </c>
      <c r="AH346" s="394"/>
      <c r="AI346" s="97"/>
      <c r="AJ346" s="394"/>
      <c r="AK346" s="404"/>
      <c r="AL346" s="404"/>
      <c r="AM346" s="404"/>
      <c r="AN346" s="404"/>
      <c r="AO346" s="404"/>
      <c r="AP346" s="404"/>
      <c r="AQ346" s="404"/>
      <c r="AR346" s="404"/>
      <c r="AS346" s="404"/>
      <c r="AT346" s="404"/>
      <c r="AU346" s="404"/>
    </row>
    <row r="347" spans="1:47" s="400" customFormat="1" ht="14">
      <c r="A347" s="41" t="s">
        <v>38</v>
      </c>
      <c r="B347" s="385" t="s">
        <v>1763</v>
      </c>
      <c r="C347" s="385"/>
      <c r="D347" s="374" t="s">
        <v>71</v>
      </c>
      <c r="E347" s="385"/>
      <c r="F347" s="385"/>
      <c r="G347" s="377" t="s">
        <v>1765</v>
      </c>
      <c r="H347" s="385">
        <v>4493</v>
      </c>
      <c r="I347" s="378" t="s">
        <v>2</v>
      </c>
      <c r="J347" s="385" t="s">
        <v>586</v>
      </c>
      <c r="K347" s="403">
        <v>41585</v>
      </c>
      <c r="L347" s="379">
        <v>41554</v>
      </c>
      <c r="M347" s="85">
        <f t="shared" si="34"/>
        <v>31</v>
      </c>
      <c r="N347" s="402" t="s">
        <v>2</v>
      </c>
      <c r="O347" s="404">
        <f>1/2</f>
        <v>0.5</v>
      </c>
      <c r="P347" s="402">
        <v>5.69</v>
      </c>
      <c r="Q347" s="404">
        <v>6.06</v>
      </c>
      <c r="R347" s="402">
        <v>78</v>
      </c>
      <c r="S347" s="404">
        <v>186</v>
      </c>
      <c r="T347" s="402">
        <v>0.02</v>
      </c>
      <c r="U347" s="404">
        <v>0.83</v>
      </c>
      <c r="V347" s="402">
        <v>0.03</v>
      </c>
      <c r="W347" s="404">
        <v>0.99</v>
      </c>
      <c r="X347" s="402">
        <v>0.35</v>
      </c>
      <c r="Y347" s="404">
        <v>4.9000000000000002E-2</v>
      </c>
      <c r="Z347" s="166"/>
      <c r="AA347" s="167"/>
      <c r="AB347" s="402"/>
      <c r="AC347" s="404"/>
      <c r="AD347" s="166"/>
      <c r="AE347" s="402">
        <v>3.94</v>
      </c>
      <c r="AF347" s="402">
        <v>2.94</v>
      </c>
      <c r="AG347" s="328"/>
      <c r="AH347" s="394"/>
      <c r="AI347" s="97"/>
      <c r="AJ347" s="394"/>
      <c r="AK347" s="404"/>
      <c r="AL347" s="404"/>
      <c r="AM347" s="404"/>
      <c r="AN347" s="404"/>
      <c r="AO347" s="404"/>
      <c r="AP347" s="404"/>
      <c r="AQ347" s="404"/>
      <c r="AR347" s="404"/>
      <c r="AS347" s="404"/>
      <c r="AT347" s="404"/>
      <c r="AU347" s="404"/>
    </row>
    <row r="348" spans="1:47" s="400" customFormat="1" ht="14">
      <c r="A348" s="41" t="s">
        <v>38</v>
      </c>
      <c r="B348" s="402" t="s">
        <v>5457</v>
      </c>
      <c r="C348" s="402" t="s">
        <v>5457</v>
      </c>
      <c r="D348" s="401" t="s">
        <v>452</v>
      </c>
      <c r="E348" s="402" t="s">
        <v>5458</v>
      </c>
      <c r="F348" s="402" t="s">
        <v>5459</v>
      </c>
      <c r="G348" s="393" t="s">
        <v>451</v>
      </c>
      <c r="H348" s="402">
        <v>4493</v>
      </c>
      <c r="I348" s="391" t="s">
        <v>1</v>
      </c>
      <c r="J348" s="401" t="s">
        <v>1943</v>
      </c>
      <c r="K348" s="403">
        <v>41683</v>
      </c>
      <c r="L348" s="379">
        <v>41653</v>
      </c>
      <c r="M348" s="85">
        <f t="shared" si="34"/>
        <v>30</v>
      </c>
      <c r="N348" s="402" t="s">
        <v>1</v>
      </c>
      <c r="O348" s="404">
        <v>6.5</v>
      </c>
      <c r="P348" s="402">
        <v>5.09</v>
      </c>
      <c r="Q348" s="404">
        <v>6.1</v>
      </c>
      <c r="R348" s="402">
        <v>11</v>
      </c>
      <c r="S348" s="404">
        <v>9</v>
      </c>
      <c r="T348" s="402">
        <f>0.02/2</f>
        <v>0.01</v>
      </c>
      <c r="U348" s="404">
        <v>0.7</v>
      </c>
      <c r="V348" s="402">
        <v>0.54</v>
      </c>
      <c r="W348" s="404">
        <v>8.1000000000000003E-2</v>
      </c>
      <c r="X348" s="402">
        <v>0.1</v>
      </c>
      <c r="Y348" s="404">
        <v>4.0000000000000001E-3</v>
      </c>
      <c r="Z348" s="166">
        <v>6.25E-2</v>
      </c>
      <c r="AA348" s="167">
        <v>6.25E-2</v>
      </c>
      <c r="AB348" s="402">
        <v>3.85</v>
      </c>
      <c r="AC348" s="404">
        <v>301</v>
      </c>
      <c r="AD348" s="166">
        <v>0</v>
      </c>
      <c r="AE348" s="402">
        <v>0.06</v>
      </c>
      <c r="AF348" s="402">
        <f>0.1/2</f>
        <v>0.05</v>
      </c>
      <c r="AG348" s="328"/>
      <c r="AH348" s="394"/>
      <c r="AI348" s="97"/>
      <c r="AJ348" s="394"/>
      <c r="AK348" s="404"/>
      <c r="AL348" s="404"/>
      <c r="AM348" s="404"/>
      <c r="AN348" s="404"/>
      <c r="AO348" s="404"/>
      <c r="AP348" s="404"/>
      <c r="AQ348" s="404"/>
      <c r="AR348" s="404"/>
      <c r="AS348" s="404"/>
      <c r="AT348" s="404"/>
      <c r="AU348" s="404"/>
    </row>
    <row r="349" spans="1:47" s="400" customFormat="1" ht="14">
      <c r="A349" s="41" t="s">
        <v>38</v>
      </c>
      <c r="B349" s="402" t="s">
        <v>570</v>
      </c>
      <c r="C349" s="402" t="s">
        <v>3890</v>
      </c>
      <c r="D349" s="401" t="s">
        <v>567</v>
      </c>
      <c r="E349" s="402" t="s">
        <v>1901</v>
      </c>
      <c r="F349" s="402" t="s">
        <v>3891</v>
      </c>
      <c r="G349" s="393" t="s">
        <v>571</v>
      </c>
      <c r="H349" s="402">
        <v>7997</v>
      </c>
      <c r="I349" s="391" t="s">
        <v>1</v>
      </c>
      <c r="J349" s="386" t="s">
        <v>194</v>
      </c>
      <c r="K349" s="403">
        <v>41554</v>
      </c>
      <c r="L349" s="379"/>
      <c r="M349" s="85"/>
      <c r="N349" s="402" t="s">
        <v>2</v>
      </c>
      <c r="O349" s="404">
        <f>1/2</f>
        <v>0.5</v>
      </c>
      <c r="P349" s="402">
        <v>5.97</v>
      </c>
      <c r="Q349" s="404">
        <v>6.79</v>
      </c>
      <c r="R349" s="402">
        <v>5</v>
      </c>
      <c r="S349" s="404">
        <v>26</v>
      </c>
      <c r="T349" s="402">
        <v>0.37</v>
      </c>
      <c r="U349" s="404">
        <v>2.38</v>
      </c>
      <c r="V349" s="402">
        <v>0.54</v>
      </c>
      <c r="W349" s="404">
        <v>0.39</v>
      </c>
      <c r="X349" s="402">
        <v>0.28000000000000003</v>
      </c>
      <c r="Y349" s="404">
        <f>0.05/2</f>
        <v>2.5000000000000001E-2</v>
      </c>
      <c r="Z349" s="166">
        <v>7.5999999999999998E-2</v>
      </c>
      <c r="AA349" s="167">
        <v>6.25E-2</v>
      </c>
      <c r="AB349" s="402">
        <v>12</v>
      </c>
      <c r="AC349" s="404">
        <v>83</v>
      </c>
      <c r="AD349" s="166">
        <v>1</v>
      </c>
      <c r="AE349" s="402">
        <v>0.82</v>
      </c>
      <c r="AF349" s="402">
        <v>1.54</v>
      </c>
      <c r="AG349" s="328"/>
      <c r="AH349" s="394"/>
      <c r="AI349" s="97"/>
      <c r="AJ349" s="394"/>
      <c r="AK349" s="404"/>
      <c r="AL349" s="404"/>
      <c r="AM349" s="404"/>
      <c r="AN349" s="404"/>
      <c r="AO349" s="404"/>
      <c r="AP349" s="404"/>
      <c r="AQ349" s="404"/>
      <c r="AR349" s="404"/>
      <c r="AS349" s="404"/>
      <c r="AT349" s="404"/>
      <c r="AU349" s="404"/>
    </row>
    <row r="350" spans="1:47" s="400" customFormat="1" ht="14">
      <c r="A350" s="41" t="s">
        <v>38</v>
      </c>
      <c r="B350" s="402" t="s">
        <v>570</v>
      </c>
      <c r="C350" s="402" t="s">
        <v>3890</v>
      </c>
      <c r="D350" s="401" t="s">
        <v>567</v>
      </c>
      <c r="E350" s="402" t="s">
        <v>1901</v>
      </c>
      <c r="F350" s="402" t="s">
        <v>3891</v>
      </c>
      <c r="G350" s="393" t="s">
        <v>571</v>
      </c>
      <c r="H350" s="402">
        <v>7997</v>
      </c>
      <c r="I350" s="391" t="s">
        <v>1</v>
      </c>
      <c r="J350" s="386" t="s">
        <v>569</v>
      </c>
      <c r="K350" s="403">
        <v>41554</v>
      </c>
      <c r="L350" s="379"/>
      <c r="M350" s="85"/>
      <c r="N350" s="402" t="s">
        <v>2</v>
      </c>
      <c r="O350" s="404">
        <f>1/2</f>
        <v>0.5</v>
      </c>
      <c r="P350" s="402">
        <v>5.97</v>
      </c>
      <c r="Q350" s="404">
        <v>6.59</v>
      </c>
      <c r="R350" s="402">
        <v>57</v>
      </c>
      <c r="S350" s="404">
        <v>14</v>
      </c>
      <c r="T350" s="402">
        <v>0.26</v>
      </c>
      <c r="U350" s="404">
        <v>2.1</v>
      </c>
      <c r="V350" s="402">
        <v>0.51</v>
      </c>
      <c r="W350" s="404">
        <v>7.0000000000000007E-2</v>
      </c>
      <c r="X350" s="402">
        <v>0.09</v>
      </c>
      <c r="Y350" s="404">
        <f>0.05/2</f>
        <v>2.5000000000000001E-2</v>
      </c>
      <c r="Z350" s="166">
        <v>1</v>
      </c>
      <c r="AA350" s="167">
        <v>1</v>
      </c>
      <c r="AB350" s="402">
        <v>474</v>
      </c>
      <c r="AC350" s="404">
        <v>2860</v>
      </c>
      <c r="AD350" s="166">
        <v>1</v>
      </c>
      <c r="AE350" s="402">
        <v>1.6</v>
      </c>
      <c r="AF350" s="402">
        <v>2.82</v>
      </c>
      <c r="AG350" s="328"/>
      <c r="AH350" s="394"/>
      <c r="AI350" s="97"/>
      <c r="AJ350" s="394"/>
      <c r="AK350" s="404"/>
      <c r="AL350" s="404"/>
      <c r="AM350" s="404"/>
      <c r="AN350" s="404"/>
      <c r="AO350" s="404"/>
      <c r="AP350" s="404"/>
      <c r="AQ350" s="404"/>
      <c r="AR350" s="404"/>
      <c r="AS350" s="404"/>
      <c r="AT350" s="404"/>
      <c r="AU350" s="404"/>
    </row>
    <row r="351" spans="1:47" s="400" customFormat="1" ht="14">
      <c r="A351" s="41" t="s">
        <v>38</v>
      </c>
      <c r="B351" s="402" t="s">
        <v>566</v>
      </c>
      <c r="C351" s="402" t="s">
        <v>566</v>
      </c>
      <c r="D351" s="401" t="s">
        <v>567</v>
      </c>
      <c r="E351" s="402" t="s">
        <v>1734</v>
      </c>
      <c r="F351" s="402"/>
      <c r="G351" s="393" t="s">
        <v>568</v>
      </c>
      <c r="H351" s="402">
        <v>7997</v>
      </c>
      <c r="I351" s="391" t="s">
        <v>1</v>
      </c>
      <c r="J351" s="402" t="s">
        <v>194</v>
      </c>
      <c r="K351" s="403">
        <v>41554</v>
      </c>
      <c r="L351" s="379"/>
      <c r="M351" s="85"/>
      <c r="N351" s="402" t="s">
        <v>2</v>
      </c>
      <c r="O351" s="404">
        <v>1.4</v>
      </c>
      <c r="P351" s="402">
        <v>3.55</v>
      </c>
      <c r="Q351" s="404">
        <v>6.09</v>
      </c>
      <c r="R351" s="402">
        <v>29</v>
      </c>
      <c r="S351" s="404">
        <v>51</v>
      </c>
      <c r="T351" s="402">
        <v>0.25</v>
      </c>
      <c r="U351" s="404">
        <v>3.22</v>
      </c>
      <c r="V351" s="402">
        <v>0.35</v>
      </c>
      <c r="W351" s="404">
        <v>0.08</v>
      </c>
      <c r="X351" s="402">
        <v>0.14000000000000001</v>
      </c>
      <c r="Y351" s="404">
        <f>0.05/2</f>
        <v>2.5000000000000001E-2</v>
      </c>
      <c r="Z351" s="166">
        <v>1</v>
      </c>
      <c r="AA351" s="167">
        <v>1</v>
      </c>
      <c r="AB351" s="402">
        <v>11</v>
      </c>
      <c r="AC351" s="404">
        <v>61</v>
      </c>
      <c r="AD351" s="166">
        <v>1</v>
      </c>
      <c r="AE351" s="402">
        <v>1.24</v>
      </c>
      <c r="AF351" s="402">
        <v>1.74</v>
      </c>
      <c r="AG351" s="328"/>
      <c r="AH351" s="394"/>
      <c r="AI351" s="97"/>
      <c r="AJ351" s="394"/>
      <c r="AK351" s="404"/>
      <c r="AL351" s="404"/>
      <c r="AM351" s="404"/>
      <c r="AN351" s="404"/>
      <c r="AO351" s="404"/>
      <c r="AP351" s="404"/>
      <c r="AQ351" s="404"/>
      <c r="AR351" s="404"/>
      <c r="AS351" s="404"/>
      <c r="AT351" s="404"/>
      <c r="AU351" s="404"/>
    </row>
    <row r="352" spans="1:47" s="400" customFormat="1" ht="14">
      <c r="A352" s="41" t="s">
        <v>38</v>
      </c>
      <c r="B352" s="402" t="s">
        <v>566</v>
      </c>
      <c r="C352" s="402" t="s">
        <v>566</v>
      </c>
      <c r="D352" s="401" t="s">
        <v>567</v>
      </c>
      <c r="E352" s="402" t="s">
        <v>1734</v>
      </c>
      <c r="F352" s="402"/>
      <c r="G352" s="393" t="s">
        <v>568</v>
      </c>
      <c r="H352" s="402">
        <v>7997</v>
      </c>
      <c r="I352" s="391" t="s">
        <v>1</v>
      </c>
      <c r="J352" s="402" t="s">
        <v>569</v>
      </c>
      <c r="K352" s="403">
        <v>41554</v>
      </c>
      <c r="L352" s="379"/>
      <c r="M352" s="85"/>
      <c r="N352" s="402" t="s">
        <v>2</v>
      </c>
      <c r="O352" s="404">
        <f>1/2</f>
        <v>0.5</v>
      </c>
      <c r="P352" s="402">
        <v>3.63</v>
      </c>
      <c r="Q352" s="404">
        <v>6.27</v>
      </c>
      <c r="R352" s="402">
        <v>43</v>
      </c>
      <c r="S352" s="404">
        <v>102</v>
      </c>
      <c r="T352" s="402">
        <v>0.45</v>
      </c>
      <c r="U352" s="404">
        <v>3.22</v>
      </c>
      <c r="V352" s="402">
        <v>0.59</v>
      </c>
      <c r="W352" s="404">
        <v>0.48</v>
      </c>
      <c r="X352" s="402">
        <v>0.63</v>
      </c>
      <c r="Y352" s="404">
        <v>0.08</v>
      </c>
      <c r="Z352" s="166">
        <v>1</v>
      </c>
      <c r="AA352" s="167">
        <v>0.56200000000000006</v>
      </c>
      <c r="AB352" s="402">
        <v>30</v>
      </c>
      <c r="AC352" s="404">
        <v>128</v>
      </c>
      <c r="AD352" s="166">
        <v>1</v>
      </c>
      <c r="AE352" s="402">
        <v>4.87</v>
      </c>
      <c r="AF352" s="402">
        <v>4.12</v>
      </c>
      <c r="AG352" s="328"/>
      <c r="AH352" s="394"/>
      <c r="AI352" s="97"/>
      <c r="AJ352" s="394"/>
      <c r="AK352" s="404"/>
      <c r="AL352" s="404"/>
      <c r="AM352" s="404"/>
      <c r="AN352" s="404"/>
      <c r="AO352" s="404"/>
      <c r="AP352" s="404"/>
      <c r="AQ352" s="404"/>
      <c r="AR352" s="404"/>
      <c r="AS352" s="404"/>
      <c r="AT352" s="404"/>
      <c r="AU352" s="404"/>
    </row>
    <row r="353" spans="1:49" s="400" customFormat="1" ht="14">
      <c r="A353" s="41" t="s">
        <v>38</v>
      </c>
      <c r="B353" s="402" t="s">
        <v>572</v>
      </c>
      <c r="C353" s="402" t="s">
        <v>572</v>
      </c>
      <c r="D353" s="401" t="s">
        <v>567</v>
      </c>
      <c r="E353" s="402" t="s">
        <v>3893</v>
      </c>
      <c r="F353" s="402" t="s">
        <v>3894</v>
      </c>
      <c r="G353" s="393" t="s">
        <v>573</v>
      </c>
      <c r="H353" s="402">
        <v>7997</v>
      </c>
      <c r="I353" s="391" t="s">
        <v>1</v>
      </c>
      <c r="J353" s="402" t="s">
        <v>1725</v>
      </c>
      <c r="K353" s="403">
        <v>41554</v>
      </c>
      <c r="L353" s="379"/>
      <c r="M353" s="85"/>
      <c r="N353" s="402" t="s">
        <v>2</v>
      </c>
      <c r="O353" s="404">
        <f>1/2</f>
        <v>0.5</v>
      </c>
      <c r="P353" s="402">
        <v>5.81</v>
      </c>
      <c r="Q353" s="404">
        <v>6.01</v>
      </c>
      <c r="R353" s="402">
        <v>59</v>
      </c>
      <c r="S353" s="404">
        <v>155</v>
      </c>
      <c r="T353" s="402">
        <v>0.78</v>
      </c>
      <c r="U353" s="404">
        <v>3.22</v>
      </c>
      <c r="V353" s="402">
        <v>0.7</v>
      </c>
      <c r="W353" s="404">
        <v>0.21</v>
      </c>
      <c r="X353" s="402">
        <v>0.42</v>
      </c>
      <c r="Y353" s="404">
        <f>0.5/2</f>
        <v>0.25</v>
      </c>
      <c r="Z353" s="166">
        <v>1</v>
      </c>
      <c r="AA353" s="167">
        <v>1</v>
      </c>
      <c r="AB353" s="402">
        <v>45</v>
      </c>
      <c r="AC353" s="404">
        <v>301</v>
      </c>
      <c r="AD353" s="166">
        <v>1</v>
      </c>
      <c r="AE353" s="402">
        <v>6.1</v>
      </c>
      <c r="AF353" s="402">
        <v>4.92</v>
      </c>
      <c r="AG353" s="328"/>
      <c r="AH353" s="394"/>
      <c r="AI353" s="97"/>
      <c r="AJ353" s="394"/>
      <c r="AK353" s="404"/>
      <c r="AL353" s="404"/>
      <c r="AM353" s="404"/>
      <c r="AN353" s="404"/>
      <c r="AO353" s="404"/>
      <c r="AP353" s="404"/>
      <c r="AQ353" s="404"/>
      <c r="AR353" s="404"/>
      <c r="AS353" s="404"/>
      <c r="AT353" s="404"/>
      <c r="AU353" s="404"/>
    </row>
    <row r="354" spans="1:49" s="400" customFormat="1" ht="14">
      <c r="A354" s="41" t="s">
        <v>38</v>
      </c>
      <c r="B354" s="402" t="s">
        <v>6448</v>
      </c>
      <c r="C354" s="402" t="s">
        <v>4042</v>
      </c>
      <c r="D354" s="401" t="s">
        <v>1537</v>
      </c>
      <c r="E354" s="402" t="s">
        <v>1555</v>
      </c>
      <c r="F354" s="402"/>
      <c r="G354" s="393" t="s">
        <v>4043</v>
      </c>
      <c r="H354" s="402">
        <v>4493</v>
      </c>
      <c r="I354" s="391"/>
      <c r="J354" s="402" t="s">
        <v>75</v>
      </c>
      <c r="K354" s="403">
        <v>41653</v>
      </c>
      <c r="L354" s="379"/>
      <c r="M354" s="85"/>
      <c r="N354" s="402" t="s">
        <v>1</v>
      </c>
      <c r="O354" s="404">
        <v>2.33</v>
      </c>
      <c r="P354" s="402">
        <v>7.03</v>
      </c>
      <c r="Q354" s="404">
        <v>7.08</v>
      </c>
      <c r="R354" s="402">
        <v>49.7</v>
      </c>
      <c r="S354" s="404">
        <v>47</v>
      </c>
      <c r="T354" s="402">
        <v>0.39300000000000002</v>
      </c>
      <c r="U354" s="404">
        <v>0.49</v>
      </c>
      <c r="V354" s="402">
        <v>0.17899999999999999</v>
      </c>
      <c r="W354" s="404">
        <v>0.41599999999999998</v>
      </c>
      <c r="X354" s="402">
        <v>0.184</v>
      </c>
      <c r="Y354" s="404">
        <v>4.3099999999999999E-2</v>
      </c>
      <c r="Z354" s="166">
        <v>6.25E-2</v>
      </c>
      <c r="AA354" s="167">
        <v>6.25E-2</v>
      </c>
      <c r="AB354" s="402">
        <v>46</v>
      </c>
      <c r="AC354" s="404">
        <v>527</v>
      </c>
      <c r="AD354" s="166">
        <v>0</v>
      </c>
      <c r="AE354" s="402"/>
      <c r="AF354" s="402"/>
      <c r="AG354" s="328"/>
      <c r="AH354" s="394"/>
      <c r="AI354" s="97"/>
      <c r="AJ354" s="394"/>
      <c r="AK354" s="404"/>
      <c r="AL354" s="404"/>
      <c r="AM354" s="404"/>
      <c r="AN354" s="404"/>
      <c r="AO354" s="404"/>
      <c r="AP354" s="404"/>
      <c r="AQ354" s="404"/>
      <c r="AR354" s="404"/>
      <c r="AS354" s="404"/>
      <c r="AT354" s="404"/>
      <c r="AU354" s="404"/>
    </row>
    <row r="355" spans="1:49" ht="15" customHeight="1">
      <c r="A355" s="41" t="s">
        <v>38</v>
      </c>
      <c r="B355" s="50" t="s">
        <v>6140</v>
      </c>
      <c r="C355" s="50" t="s">
        <v>2460</v>
      </c>
      <c r="D355" s="48" t="s">
        <v>406</v>
      </c>
      <c r="E355" s="50" t="s">
        <v>6188</v>
      </c>
      <c r="G355" s="76" t="s">
        <v>2461</v>
      </c>
      <c r="H355" s="50">
        <v>9711</v>
      </c>
      <c r="I355" s="49" t="s">
        <v>1</v>
      </c>
      <c r="J355" s="50" t="s">
        <v>6373</v>
      </c>
      <c r="K355" s="51">
        <v>41585</v>
      </c>
      <c r="L355" s="115">
        <v>41579</v>
      </c>
      <c r="M355" s="85">
        <f t="shared" ref="M355:M359" si="35">K355-L355</f>
        <v>6</v>
      </c>
      <c r="N355" s="50" t="s">
        <v>2</v>
      </c>
      <c r="O355" s="74">
        <v>0.5</v>
      </c>
      <c r="P355" s="50">
        <v>5.66</v>
      </c>
      <c r="Q355" s="74">
        <v>6.1</v>
      </c>
      <c r="R355" s="50">
        <v>11</v>
      </c>
      <c r="S355" s="74">
        <v>5.6</v>
      </c>
      <c r="T355" s="50">
        <v>6.7000000000000004E-2</v>
      </c>
      <c r="U355" s="74">
        <v>0.25</v>
      </c>
      <c r="V355" s="50">
        <v>0.12</v>
      </c>
      <c r="W355" s="74">
        <v>7.2999999999999995E-2</v>
      </c>
      <c r="X355" s="50">
        <v>7.2999999999999995E-2</v>
      </c>
      <c r="Y355" s="74">
        <v>1E-3</v>
      </c>
      <c r="AE355" s="50">
        <v>0.14000000000000001</v>
      </c>
      <c r="AF355" s="50">
        <v>7.2999999999999995E-2</v>
      </c>
      <c r="AG355" s="328">
        <v>80</v>
      </c>
      <c r="AH355" s="114">
        <v>1300</v>
      </c>
    </row>
    <row r="356" spans="1:49" ht="15" customHeight="1">
      <c r="A356" s="41" t="s">
        <v>38</v>
      </c>
      <c r="B356" s="50" t="s">
        <v>6140</v>
      </c>
      <c r="C356" s="50" t="s">
        <v>2460</v>
      </c>
      <c r="D356" s="48" t="s">
        <v>406</v>
      </c>
      <c r="E356" s="50" t="s">
        <v>6188</v>
      </c>
      <c r="G356" s="76" t="s">
        <v>2461</v>
      </c>
      <c r="H356" s="50">
        <v>9711</v>
      </c>
      <c r="I356" s="49" t="s">
        <v>1</v>
      </c>
      <c r="J356" s="50" t="s">
        <v>6374</v>
      </c>
      <c r="K356" s="51">
        <v>41585</v>
      </c>
      <c r="L356" s="115">
        <v>41579</v>
      </c>
      <c r="M356" s="85">
        <f t="shared" si="35"/>
        <v>6</v>
      </c>
      <c r="N356" s="50" t="s">
        <v>2</v>
      </c>
      <c r="O356" s="74">
        <v>2.1</v>
      </c>
      <c r="P356" s="50">
        <v>5.85</v>
      </c>
      <c r="Q356" s="74">
        <v>7.06</v>
      </c>
      <c r="R356" s="50">
        <v>18</v>
      </c>
      <c r="S356" s="74">
        <v>11</v>
      </c>
      <c r="T356" s="50">
        <v>3.5000000000000003E-2</v>
      </c>
      <c r="U356" s="74">
        <v>0.25</v>
      </c>
      <c r="V356" s="50">
        <v>0.15</v>
      </c>
      <c r="W356" s="74">
        <v>8.2000000000000007E-3</v>
      </c>
      <c r="X356" s="50">
        <v>3.9E-2</v>
      </c>
      <c r="Y356" s="74">
        <v>1E-3</v>
      </c>
      <c r="Z356" s="166">
        <v>1</v>
      </c>
      <c r="AA356" s="167">
        <v>1</v>
      </c>
      <c r="AB356" s="50">
        <v>6</v>
      </c>
      <c r="AC356" s="74">
        <v>24</v>
      </c>
      <c r="AD356" s="166">
        <v>1</v>
      </c>
      <c r="AG356" s="328">
        <v>120</v>
      </c>
      <c r="AH356" s="114">
        <v>16000</v>
      </c>
    </row>
    <row r="357" spans="1:49" ht="15" customHeight="1">
      <c r="A357" s="41" t="s">
        <v>38</v>
      </c>
      <c r="B357" s="50" t="s">
        <v>6140</v>
      </c>
      <c r="C357" s="50" t="s">
        <v>2460</v>
      </c>
      <c r="D357" s="48" t="s">
        <v>406</v>
      </c>
      <c r="E357" s="50" t="s">
        <v>6188</v>
      </c>
      <c r="G357" s="76" t="s">
        <v>2461</v>
      </c>
      <c r="H357" s="50">
        <v>9711</v>
      </c>
      <c r="I357" s="49" t="s">
        <v>1</v>
      </c>
      <c r="J357" s="50" t="s">
        <v>6375</v>
      </c>
      <c r="K357" s="51">
        <v>41585</v>
      </c>
      <c r="L357" s="115">
        <v>41579</v>
      </c>
      <c r="M357" s="85">
        <f t="shared" si="35"/>
        <v>6</v>
      </c>
      <c r="N357" s="50" t="s">
        <v>2</v>
      </c>
      <c r="O357" s="74">
        <v>0.5</v>
      </c>
      <c r="P357" s="50">
        <v>5.85</v>
      </c>
      <c r="Q357" s="74">
        <v>6.88</v>
      </c>
      <c r="R357" s="50">
        <v>54</v>
      </c>
      <c r="S357" s="74">
        <v>31</v>
      </c>
      <c r="T357" s="50">
        <v>0.75</v>
      </c>
      <c r="U357" s="74">
        <v>1.7</v>
      </c>
      <c r="V357" s="50">
        <v>0.4</v>
      </c>
      <c r="W357" s="74">
        <v>3.5999999999999997E-2</v>
      </c>
      <c r="X357" s="50">
        <v>0.13</v>
      </c>
      <c r="Y357" s="74">
        <v>5.6000000000000001E-2</v>
      </c>
      <c r="Z357" s="166">
        <v>1</v>
      </c>
      <c r="AA357" s="167">
        <v>1</v>
      </c>
      <c r="AB357" s="50">
        <v>10</v>
      </c>
      <c r="AC357" s="74">
        <v>46</v>
      </c>
      <c r="AD357" s="166">
        <v>1</v>
      </c>
      <c r="AG357" s="328">
        <v>3100</v>
      </c>
      <c r="AH357" s="114">
        <v>39000</v>
      </c>
    </row>
    <row r="358" spans="1:49" ht="15" customHeight="1">
      <c r="A358" s="41" t="s">
        <v>38</v>
      </c>
      <c r="B358" s="50" t="s">
        <v>6140</v>
      </c>
      <c r="C358" s="50" t="s">
        <v>2460</v>
      </c>
      <c r="D358" s="48" t="s">
        <v>406</v>
      </c>
      <c r="E358" s="50" t="s">
        <v>6188</v>
      </c>
      <c r="G358" s="76" t="s">
        <v>2461</v>
      </c>
      <c r="H358" s="50">
        <v>9711</v>
      </c>
      <c r="I358" s="49" t="s">
        <v>1</v>
      </c>
      <c r="J358" s="50" t="s">
        <v>6376</v>
      </c>
      <c r="K358" s="51">
        <v>41585</v>
      </c>
      <c r="L358" s="115">
        <v>41579</v>
      </c>
      <c r="M358" s="85">
        <f t="shared" si="35"/>
        <v>6</v>
      </c>
      <c r="N358" s="50" t="s">
        <v>2</v>
      </c>
      <c r="O358" s="74">
        <v>1.6</v>
      </c>
      <c r="P358" s="50">
        <v>5.66</v>
      </c>
      <c r="Q358" s="74">
        <v>7.28</v>
      </c>
      <c r="R358" s="50">
        <v>42</v>
      </c>
      <c r="S358" s="74">
        <v>36</v>
      </c>
      <c r="T358" s="50">
        <v>0.26</v>
      </c>
      <c r="U358" s="74">
        <v>0.78</v>
      </c>
      <c r="V358" s="50">
        <v>0.26</v>
      </c>
      <c r="W358" s="74">
        <v>0.03</v>
      </c>
      <c r="X358" s="50">
        <v>0.18</v>
      </c>
      <c r="Y358" s="74">
        <v>2.1999999999999999E-2</v>
      </c>
      <c r="Z358" s="166">
        <v>1</v>
      </c>
      <c r="AA358" s="167">
        <v>1</v>
      </c>
      <c r="AB358" s="50">
        <v>8</v>
      </c>
      <c r="AC358" s="74">
        <v>44</v>
      </c>
      <c r="AD358" s="166">
        <v>0.55000000000000004</v>
      </c>
      <c r="AG358" s="328">
        <v>700</v>
      </c>
      <c r="AH358" s="114">
        <v>78000</v>
      </c>
    </row>
    <row r="359" spans="1:49" ht="15" customHeight="1">
      <c r="A359" s="41" t="s">
        <v>38</v>
      </c>
      <c r="B359" s="50" t="s">
        <v>6140</v>
      </c>
      <c r="C359" s="50" t="s">
        <v>2460</v>
      </c>
      <c r="D359" s="48" t="s">
        <v>406</v>
      </c>
      <c r="E359" s="50" t="s">
        <v>6188</v>
      </c>
      <c r="G359" s="76" t="s">
        <v>2461</v>
      </c>
      <c r="H359" s="50">
        <v>9711</v>
      </c>
      <c r="I359" s="49" t="s">
        <v>1</v>
      </c>
      <c r="J359" s="50" t="s">
        <v>6377</v>
      </c>
      <c r="K359" s="51">
        <v>41585</v>
      </c>
      <c r="L359" s="115">
        <v>41579</v>
      </c>
      <c r="M359" s="85">
        <f t="shared" si="35"/>
        <v>6</v>
      </c>
      <c r="N359" s="50" t="s">
        <v>2</v>
      </c>
      <c r="O359" s="74">
        <v>1.6</v>
      </c>
      <c r="P359" s="50">
        <v>5.66</v>
      </c>
      <c r="Q359" s="74">
        <v>6.5</v>
      </c>
      <c r="R359" s="50">
        <v>63</v>
      </c>
      <c r="S359" s="74">
        <v>17</v>
      </c>
      <c r="T359" s="50">
        <v>0.12</v>
      </c>
      <c r="U359" s="74">
        <v>0.96</v>
      </c>
      <c r="V359" s="50">
        <v>0.22</v>
      </c>
      <c r="W359" s="74">
        <v>2.1000000000000001E-2</v>
      </c>
      <c r="X359" s="50">
        <v>0.14000000000000001</v>
      </c>
      <c r="Y359" s="74">
        <v>1.2E-2</v>
      </c>
      <c r="Z359" s="166">
        <v>1</v>
      </c>
      <c r="AA359" s="167">
        <v>1</v>
      </c>
      <c r="AB359" s="50">
        <v>6</v>
      </c>
      <c r="AC359" s="74">
        <v>37</v>
      </c>
      <c r="AD359" s="166">
        <v>0.9</v>
      </c>
      <c r="AG359" s="328">
        <v>2700</v>
      </c>
      <c r="AH359" s="114">
        <v>140000</v>
      </c>
    </row>
    <row r="360" spans="1:49" ht="15" customHeight="1">
      <c r="A360" s="41" t="s">
        <v>38</v>
      </c>
      <c r="B360" s="385" t="s">
        <v>2410</v>
      </c>
      <c r="C360" s="385" t="s">
        <v>2411</v>
      </c>
      <c r="D360" s="374" t="s">
        <v>1896</v>
      </c>
      <c r="E360" s="385" t="s">
        <v>2412</v>
      </c>
      <c r="G360" s="393" t="s">
        <v>2413</v>
      </c>
      <c r="H360" s="402">
        <v>4493</v>
      </c>
      <c r="I360" s="391" t="s">
        <v>1</v>
      </c>
      <c r="J360" s="385" t="s">
        <v>81</v>
      </c>
      <c r="K360" s="403">
        <v>41744</v>
      </c>
      <c r="L360" s="379">
        <v>41737</v>
      </c>
      <c r="M360" s="85">
        <f t="shared" ref="M360:M363" si="36">K360-L360</f>
        <v>7</v>
      </c>
      <c r="N360" s="402" t="s">
        <v>2</v>
      </c>
      <c r="O360" s="404">
        <f>5/2</f>
        <v>2.5</v>
      </c>
      <c r="P360" s="402">
        <v>6.02</v>
      </c>
      <c r="Q360" s="404">
        <v>8.1999999999999993</v>
      </c>
      <c r="R360" s="402">
        <v>170</v>
      </c>
      <c r="S360" s="404">
        <v>650</v>
      </c>
      <c r="T360" s="402">
        <v>0.73</v>
      </c>
      <c r="U360" s="404">
        <f>1/2</f>
        <v>0.5</v>
      </c>
      <c r="V360" s="402">
        <v>0.12</v>
      </c>
      <c r="W360" s="404">
        <v>0.11</v>
      </c>
      <c r="X360" s="402">
        <v>0.34</v>
      </c>
      <c r="Y360" s="404">
        <v>6.2E-2</v>
      </c>
      <c r="AB360" s="402"/>
      <c r="AC360" s="404"/>
      <c r="AE360" s="402">
        <v>12</v>
      </c>
      <c r="AF360" s="402">
        <v>6.6</v>
      </c>
    </row>
    <row r="361" spans="1:49" ht="15" customHeight="1">
      <c r="A361" s="41" t="s">
        <v>38</v>
      </c>
      <c r="B361" s="385" t="s">
        <v>2410</v>
      </c>
      <c r="C361" s="385" t="s">
        <v>2411</v>
      </c>
      <c r="D361" s="374" t="s">
        <v>1896</v>
      </c>
      <c r="E361" s="385" t="s">
        <v>2412</v>
      </c>
      <c r="G361" s="393" t="s">
        <v>2413</v>
      </c>
      <c r="H361" s="402">
        <v>4493</v>
      </c>
      <c r="I361" s="391" t="s">
        <v>1</v>
      </c>
      <c r="J361" s="385" t="s">
        <v>115</v>
      </c>
      <c r="K361" s="403">
        <v>41744</v>
      </c>
      <c r="L361" s="379">
        <v>41737</v>
      </c>
      <c r="M361" s="85">
        <f t="shared" si="36"/>
        <v>7</v>
      </c>
      <c r="N361" s="402" t="s">
        <v>2</v>
      </c>
      <c r="O361" s="404">
        <f>5/2</f>
        <v>2.5</v>
      </c>
      <c r="P361" s="402">
        <v>6.02</v>
      </c>
      <c r="Q361" s="404">
        <v>7.77</v>
      </c>
      <c r="R361" s="402">
        <v>76</v>
      </c>
      <c r="S361" s="404">
        <v>120</v>
      </c>
      <c r="T361" s="402">
        <v>0.28999999999999998</v>
      </c>
      <c r="U361" s="404">
        <f>1/2</f>
        <v>0.5</v>
      </c>
      <c r="V361" s="402">
        <v>0.44</v>
      </c>
      <c r="W361" s="404">
        <v>0.8</v>
      </c>
      <c r="X361" s="402">
        <v>0.61</v>
      </c>
      <c r="Y361" s="404">
        <v>3.9E-2</v>
      </c>
      <c r="AB361" s="402"/>
      <c r="AC361" s="404"/>
      <c r="AE361" s="402">
        <v>4.2</v>
      </c>
      <c r="AF361" s="402">
        <v>2.1</v>
      </c>
      <c r="AI361" s="97"/>
    </row>
    <row r="362" spans="1:49" ht="15" customHeight="1">
      <c r="A362" s="41" t="s">
        <v>38</v>
      </c>
      <c r="B362" s="402" t="s">
        <v>570</v>
      </c>
      <c r="C362" s="402" t="s">
        <v>570</v>
      </c>
      <c r="D362" s="401" t="s">
        <v>567</v>
      </c>
      <c r="E362" s="402" t="s">
        <v>1901</v>
      </c>
      <c r="F362" s="402" t="s">
        <v>1902</v>
      </c>
      <c r="G362" s="393" t="s">
        <v>571</v>
      </c>
      <c r="H362" s="402">
        <v>7997</v>
      </c>
      <c r="I362" s="391" t="s">
        <v>1</v>
      </c>
      <c r="J362" s="402" t="s">
        <v>194</v>
      </c>
      <c r="K362" s="51">
        <v>41898</v>
      </c>
      <c r="L362" s="115">
        <v>41895</v>
      </c>
      <c r="M362" s="85">
        <f t="shared" si="36"/>
        <v>3</v>
      </c>
      <c r="N362" s="50" t="s">
        <v>2</v>
      </c>
      <c r="P362" s="50">
        <v>7.5</v>
      </c>
      <c r="U362" s="74">
        <v>0.39</v>
      </c>
      <c r="V362" s="50">
        <v>1.33</v>
      </c>
      <c r="W362" s="74">
        <v>0.26</v>
      </c>
      <c r="X362" s="50">
        <v>0.19</v>
      </c>
      <c r="AE362" s="50">
        <v>0.57999999999999996</v>
      </c>
      <c r="AF362" s="50">
        <v>1.4</v>
      </c>
      <c r="AG362" s="328">
        <v>140</v>
      </c>
      <c r="AH362" s="114">
        <v>98</v>
      </c>
      <c r="AI362" s="97"/>
    </row>
    <row r="363" spans="1:49" ht="15" customHeight="1">
      <c r="A363" s="41" t="s">
        <v>38</v>
      </c>
      <c r="B363" s="402" t="s">
        <v>570</v>
      </c>
      <c r="C363" s="402" t="s">
        <v>570</v>
      </c>
      <c r="D363" s="401" t="s">
        <v>567</v>
      </c>
      <c r="E363" s="402" t="s">
        <v>1901</v>
      </c>
      <c r="F363" s="402" t="s">
        <v>1902</v>
      </c>
      <c r="G363" s="393" t="s">
        <v>571</v>
      </c>
      <c r="H363" s="402">
        <v>7997</v>
      </c>
      <c r="I363" s="391" t="s">
        <v>1</v>
      </c>
      <c r="J363" s="402" t="s">
        <v>569</v>
      </c>
      <c r="K363" s="51">
        <v>41898</v>
      </c>
      <c r="L363" s="115">
        <v>41895</v>
      </c>
      <c r="M363" s="85">
        <f t="shared" si="36"/>
        <v>3</v>
      </c>
      <c r="N363" s="50" t="s">
        <v>2</v>
      </c>
      <c r="P363" s="50">
        <v>7.5</v>
      </c>
      <c r="R363" s="50">
        <v>70</v>
      </c>
      <c r="V363" s="50">
        <v>0.63</v>
      </c>
      <c r="W363" s="74">
        <v>0.06</v>
      </c>
      <c r="AE363" s="50">
        <v>0.32</v>
      </c>
      <c r="AF363" s="50">
        <v>1.2</v>
      </c>
      <c r="AG363" s="328">
        <v>2600</v>
      </c>
      <c r="AH363" s="114">
        <v>1640</v>
      </c>
      <c r="AI363" s="97"/>
    </row>
    <row r="364" spans="1:49" s="400" customFormat="1" ht="15" customHeight="1">
      <c r="A364" s="41" t="s">
        <v>38</v>
      </c>
      <c r="B364" s="402" t="s">
        <v>4041</v>
      </c>
      <c r="C364" s="113" t="s">
        <v>4042</v>
      </c>
      <c r="D364" s="393" t="s">
        <v>1537</v>
      </c>
      <c r="E364" s="394" t="s">
        <v>1555</v>
      </c>
      <c r="F364" s="402"/>
      <c r="G364" s="405" t="s">
        <v>4043</v>
      </c>
      <c r="H364" s="404">
        <v>4493</v>
      </c>
      <c r="I364" s="402"/>
      <c r="J364" s="406" t="s">
        <v>75</v>
      </c>
      <c r="K364" s="403">
        <v>41456</v>
      </c>
      <c r="L364" s="398"/>
      <c r="M364" s="402"/>
      <c r="N364" s="402" t="s">
        <v>2</v>
      </c>
      <c r="O364" s="404">
        <v>1</v>
      </c>
      <c r="P364" s="402">
        <v>6.95</v>
      </c>
      <c r="Q364" s="404">
        <v>7.11</v>
      </c>
      <c r="R364" s="402">
        <v>57.6</v>
      </c>
      <c r="S364" s="404">
        <v>171</v>
      </c>
      <c r="T364" s="402">
        <v>0.48</v>
      </c>
      <c r="U364" s="395">
        <v>0.91</v>
      </c>
      <c r="V364" s="402">
        <v>0.30299999999999999</v>
      </c>
      <c r="W364" s="404">
        <v>2.23</v>
      </c>
      <c r="X364" s="402">
        <v>0.89</v>
      </c>
      <c r="Y364" s="404">
        <v>0.114</v>
      </c>
      <c r="Z364" s="399">
        <v>6.25E-2</v>
      </c>
      <c r="AA364" s="399">
        <v>6.25E-2</v>
      </c>
      <c r="AB364" s="394">
        <v>16</v>
      </c>
      <c r="AC364" s="402">
        <v>113</v>
      </c>
      <c r="AD364" s="399">
        <v>0</v>
      </c>
      <c r="AE364" s="402"/>
      <c r="AF364" s="391"/>
      <c r="AG364" s="394"/>
      <c r="AH364" s="394"/>
      <c r="AI364" s="394"/>
      <c r="AJ364" s="394"/>
      <c r="AK364" s="394"/>
      <c r="AL364" s="394"/>
      <c r="AM364" s="394"/>
      <c r="AN364" s="394"/>
      <c r="AO364" s="394"/>
      <c r="AP364" s="394"/>
      <c r="AQ364" s="394"/>
      <c r="AR364" s="394"/>
      <c r="AS364" s="402"/>
      <c r="AT364" s="404"/>
      <c r="AU364" s="394"/>
      <c r="AV364" s="394"/>
      <c r="AW364" s="402"/>
    </row>
    <row r="365" spans="1:49" ht="15" customHeight="1">
      <c r="A365" s="41" t="s">
        <v>38</v>
      </c>
      <c r="B365" s="402" t="s">
        <v>4041</v>
      </c>
      <c r="C365" s="113" t="s">
        <v>4042</v>
      </c>
      <c r="D365" s="393" t="s">
        <v>1537</v>
      </c>
      <c r="E365" s="394" t="s">
        <v>1555</v>
      </c>
      <c r="F365" s="402"/>
      <c r="G365" s="405" t="s">
        <v>4043</v>
      </c>
      <c r="H365" s="404">
        <v>4493</v>
      </c>
      <c r="I365" s="402"/>
      <c r="J365" s="406" t="s">
        <v>4044</v>
      </c>
      <c r="K365" s="403">
        <v>41021</v>
      </c>
      <c r="L365" s="379"/>
      <c r="M365" s="402"/>
      <c r="N365" s="402" t="s">
        <v>2</v>
      </c>
      <c r="O365" s="404">
        <v>2</v>
      </c>
      <c r="P365" s="402">
        <v>6.54</v>
      </c>
      <c r="Q365" s="404">
        <v>7.12</v>
      </c>
      <c r="R365" s="402">
        <v>12</v>
      </c>
      <c r="S365" s="404">
        <v>103</v>
      </c>
      <c r="T365" s="402">
        <v>2.5000000000000001E-2</v>
      </c>
      <c r="U365" s="395">
        <v>0.66</v>
      </c>
      <c r="V365" s="402">
        <v>0.29599999999999999</v>
      </c>
      <c r="W365" s="404">
        <v>0.20699999999999999</v>
      </c>
      <c r="X365" s="402">
        <v>0.104</v>
      </c>
      <c r="Y365" s="404">
        <v>1.35E-2</v>
      </c>
      <c r="Z365" s="399">
        <v>6.25E-2</v>
      </c>
      <c r="AA365" s="399">
        <v>6.25E-2</v>
      </c>
      <c r="AB365" s="394">
        <v>8</v>
      </c>
      <c r="AC365" s="402">
        <v>57</v>
      </c>
      <c r="AD365" s="399">
        <v>0</v>
      </c>
      <c r="AE365" s="394">
        <v>0.90400000000000003</v>
      </c>
      <c r="AF365" s="402">
        <v>0.67400000000000004</v>
      </c>
      <c r="AG365" s="394"/>
      <c r="AH365" s="394"/>
      <c r="AI365" s="394"/>
      <c r="AJ365" s="394"/>
      <c r="AK365" s="394"/>
      <c r="AL365" s="394"/>
      <c r="AM365" s="394"/>
      <c r="AO365" s="394"/>
      <c r="AP365" s="394"/>
      <c r="AQ365" s="394"/>
      <c r="AR365" s="394"/>
      <c r="AS365" s="402"/>
      <c r="AT365" s="404"/>
      <c r="AU365" s="394"/>
      <c r="AV365" s="394"/>
    </row>
    <row r="366" spans="1:49" ht="15" customHeight="1">
      <c r="A366" s="41" t="s">
        <v>38</v>
      </c>
      <c r="B366" s="402" t="s">
        <v>4041</v>
      </c>
      <c r="C366" s="113" t="s">
        <v>4042</v>
      </c>
      <c r="D366" s="393" t="s">
        <v>1537</v>
      </c>
      <c r="E366" s="394" t="s">
        <v>1555</v>
      </c>
      <c r="F366" s="402"/>
      <c r="G366" s="405" t="s">
        <v>4043</v>
      </c>
      <c r="H366" s="404">
        <v>4493</v>
      </c>
      <c r="I366" s="402"/>
      <c r="J366" s="406" t="s">
        <v>75</v>
      </c>
      <c r="K366" s="403">
        <v>41180</v>
      </c>
      <c r="L366" s="379"/>
      <c r="M366" s="402"/>
      <c r="N366" s="402" t="s">
        <v>2</v>
      </c>
      <c r="O366" s="404">
        <v>3</v>
      </c>
      <c r="P366" s="402">
        <v>7.7</v>
      </c>
      <c r="Q366" s="404">
        <v>7.68</v>
      </c>
      <c r="R366" s="402">
        <v>22.3</v>
      </c>
      <c r="S366" s="404">
        <v>162</v>
      </c>
      <c r="T366" s="402">
        <v>0.30299999999999999</v>
      </c>
      <c r="U366" s="395">
        <v>0.98</v>
      </c>
      <c r="V366" s="402">
        <v>0.5</v>
      </c>
      <c r="W366" s="404">
        <v>0.74</v>
      </c>
      <c r="X366" s="402">
        <v>0.26200000000000001</v>
      </c>
      <c r="Y366" s="404">
        <v>0.05</v>
      </c>
      <c r="Z366" s="399">
        <v>6.25E-2</v>
      </c>
      <c r="AA366" s="399">
        <v>6.25E-2</v>
      </c>
      <c r="AB366" s="394">
        <v>30</v>
      </c>
      <c r="AC366" s="402">
        <v>78</v>
      </c>
      <c r="AD366" s="399">
        <v>0</v>
      </c>
      <c r="AE366" s="394">
        <v>6.07</v>
      </c>
      <c r="AF366" s="402">
        <v>3.54</v>
      </c>
      <c r="AG366" s="394"/>
      <c r="AH366" s="394"/>
      <c r="AI366" s="394"/>
      <c r="AJ366" s="394"/>
      <c r="AK366" s="394"/>
      <c r="AL366" s="394"/>
      <c r="AM366" s="394"/>
      <c r="AO366" s="394"/>
      <c r="AP366" s="394"/>
      <c r="AQ366" s="394"/>
      <c r="AR366" s="394"/>
      <c r="AS366" s="402"/>
      <c r="AT366" s="404"/>
      <c r="AU366" s="394"/>
      <c r="AV366" s="394"/>
    </row>
  </sheetData>
  <sortState ref="K9940:K9944">
    <sortCondition ref="K9940"/>
  </sortState>
  <conditionalFormatting sqref="O2:O315 O342:O344 O362:O363">
    <cfRule type="cellIs" dxfId="189" priority="568" stopIfTrue="1" operator="greaterThan">
      <formula>5</formula>
    </cfRule>
  </conditionalFormatting>
  <conditionalFormatting sqref="Q2:Q315 Q342:Q344 Q362:Q363">
    <cfRule type="cellIs" dxfId="188" priority="567" stopIfTrue="1" operator="notBetween">
      <formula>5</formula>
      <formula>9</formula>
    </cfRule>
  </conditionalFormatting>
  <conditionalFormatting sqref="R2:R315 R342:R344 R362:R363">
    <cfRule type="cellIs" dxfId="187" priority="566" stopIfTrue="1" operator="greaterThan">
      <formula>75</formula>
    </cfRule>
  </conditionalFormatting>
  <conditionalFormatting sqref="S2:S315 S342:S344 S362:S363">
    <cfRule type="cellIs" dxfId="186" priority="565" stopIfTrue="1" operator="greaterThan">
      <formula>90</formula>
    </cfRule>
  </conditionalFormatting>
  <conditionalFormatting sqref="T2:T315 T342:T344 T362:T363">
    <cfRule type="cellIs" dxfId="185" priority="564" stopIfTrue="1" operator="greaterThan">
      <formula>0.4</formula>
    </cfRule>
  </conditionalFormatting>
  <conditionalFormatting sqref="U2:U315 U342:U344 U362:U363">
    <cfRule type="cellIs" dxfId="184" priority="563" stopIfTrue="1" operator="greaterThan">
      <formula>2.3</formula>
    </cfRule>
  </conditionalFormatting>
  <conditionalFormatting sqref="V2:V315 V342:V344 V362:V363">
    <cfRule type="cellIs" dxfId="183" priority="562" stopIfTrue="1" operator="greaterThan">
      <formula>1.1</formula>
    </cfRule>
  </conditionalFormatting>
  <conditionalFormatting sqref="X2:X315 X342:X344 X362:X363">
    <cfRule type="cellIs" dxfId="182" priority="560" stopIfTrue="1" operator="greaterThan">
      <formula>0.16</formula>
    </cfRule>
  </conditionalFormatting>
  <conditionalFormatting sqref="Y2:Y315 Y342:Y344 Y362:Y363">
    <cfRule type="cellIs" dxfId="181" priority="559" stopIfTrue="1" operator="greaterThan">
      <formula>0.076</formula>
    </cfRule>
  </conditionalFormatting>
  <conditionalFormatting sqref="AE2:AE5 AE7:AE315 AE342:AE344 AE362:AE363">
    <cfRule type="cellIs" dxfId="180" priority="558" operator="greaterThan">
      <formula>1</formula>
    </cfRule>
  </conditionalFormatting>
  <conditionalFormatting sqref="AG27 AG29 AF2:AF5 AF7:AF315 AF342:AF344 AF362:AF363">
    <cfRule type="cellIs" dxfId="179" priority="557" operator="greaterThan">
      <formula>0.75</formula>
    </cfRule>
  </conditionalFormatting>
  <conditionalFormatting sqref="W227:W228 W233:W234">
    <cfRule type="cellIs" dxfId="178" priority="243" stopIfTrue="1" operator="greaterThan">
      <formula>0.059</formula>
    </cfRule>
  </conditionalFormatting>
  <conditionalFormatting sqref="O316:O321">
    <cfRule type="cellIs" dxfId="177" priority="119" stopIfTrue="1" operator="greaterThan">
      <formula>5</formula>
    </cfRule>
  </conditionalFormatting>
  <conditionalFormatting sqref="Q316:Q321">
    <cfRule type="cellIs" dxfId="176" priority="118" stopIfTrue="1" operator="notBetween">
      <formula>5</formula>
      <formula>9</formula>
    </cfRule>
  </conditionalFormatting>
  <conditionalFormatting sqref="R316:R321">
    <cfRule type="cellIs" dxfId="175" priority="117" stopIfTrue="1" operator="greaterThan">
      <formula>75</formula>
    </cfRule>
  </conditionalFormatting>
  <conditionalFormatting sqref="S316:S321">
    <cfRule type="cellIs" dxfId="174" priority="116" stopIfTrue="1" operator="greaterThan">
      <formula>90</formula>
    </cfRule>
  </conditionalFormatting>
  <conditionalFormatting sqref="T316:T321">
    <cfRule type="cellIs" dxfId="173" priority="115" stopIfTrue="1" operator="greaterThan">
      <formula>0.4</formula>
    </cfRule>
  </conditionalFormatting>
  <conditionalFormatting sqref="U316:U321">
    <cfRule type="cellIs" dxfId="172" priority="114" stopIfTrue="1" operator="greaterThan">
      <formula>2.3</formula>
    </cfRule>
  </conditionalFormatting>
  <conditionalFormatting sqref="V316:V321">
    <cfRule type="cellIs" dxfId="171" priority="113" stopIfTrue="1" operator="greaterThan">
      <formula>1.1</formula>
    </cfRule>
  </conditionalFormatting>
  <conditionalFormatting sqref="X316:X321">
    <cfRule type="cellIs" dxfId="170" priority="112" stopIfTrue="1" operator="greaterThan">
      <formula>0.16</formula>
    </cfRule>
  </conditionalFormatting>
  <conditionalFormatting sqref="Y316:Y321">
    <cfRule type="cellIs" dxfId="169" priority="111" stopIfTrue="1" operator="greaterThan">
      <formula>0.076</formula>
    </cfRule>
  </conditionalFormatting>
  <conditionalFormatting sqref="AE316:AE321">
    <cfRule type="cellIs" dxfId="168" priority="110" operator="greaterThan">
      <formula>1</formula>
    </cfRule>
  </conditionalFormatting>
  <conditionalFormatting sqref="AF316:AF321">
    <cfRule type="cellIs" dxfId="167" priority="109" operator="greaterThan">
      <formula>0.75</formula>
    </cfRule>
  </conditionalFormatting>
  <conditionalFormatting sqref="O338:O341">
    <cfRule type="cellIs" dxfId="166" priority="97" stopIfTrue="1" operator="greaterThan">
      <formula>5</formula>
    </cfRule>
  </conditionalFormatting>
  <conditionalFormatting sqref="Q338:Q341">
    <cfRule type="cellIs" dxfId="165" priority="96" stopIfTrue="1" operator="notBetween">
      <formula>5</formula>
      <formula>9</formula>
    </cfRule>
  </conditionalFormatting>
  <conditionalFormatting sqref="R338:R341">
    <cfRule type="cellIs" dxfId="164" priority="95" stopIfTrue="1" operator="greaterThan">
      <formula>75</formula>
    </cfRule>
  </conditionalFormatting>
  <conditionalFormatting sqref="S338:S341">
    <cfRule type="cellIs" dxfId="163" priority="94" stopIfTrue="1" operator="greaterThan">
      <formula>90</formula>
    </cfRule>
  </conditionalFormatting>
  <conditionalFormatting sqref="T338:T341">
    <cfRule type="cellIs" dxfId="162" priority="93" stopIfTrue="1" operator="greaterThan">
      <formula>0.4</formula>
    </cfRule>
  </conditionalFormatting>
  <conditionalFormatting sqref="U338:U341">
    <cfRule type="cellIs" dxfId="161" priority="92" stopIfTrue="1" operator="greaterThan">
      <formula>2.3</formula>
    </cfRule>
  </conditionalFormatting>
  <conditionalFormatting sqref="V338:V341">
    <cfRule type="cellIs" dxfId="160" priority="91" stopIfTrue="1" operator="greaterThan">
      <formula>1.1</formula>
    </cfRule>
  </conditionalFormatting>
  <conditionalFormatting sqref="X338:X341">
    <cfRule type="cellIs" dxfId="159" priority="90" stopIfTrue="1" operator="greaterThan">
      <formula>0.16</formula>
    </cfRule>
  </conditionalFormatting>
  <conditionalFormatting sqref="Y338:Y341">
    <cfRule type="cellIs" dxfId="158" priority="89" stopIfTrue="1" operator="greaterThan">
      <formula>0.076</formula>
    </cfRule>
  </conditionalFormatting>
  <conditionalFormatting sqref="AE338:AE341">
    <cfRule type="cellIs" dxfId="157" priority="88" operator="greaterThan">
      <formula>1</formula>
    </cfRule>
  </conditionalFormatting>
  <conditionalFormatting sqref="AF338:AF341">
    <cfRule type="cellIs" dxfId="156" priority="87" operator="greaterThan">
      <formula>0.75</formula>
    </cfRule>
  </conditionalFormatting>
  <conditionalFormatting sqref="O330:O337">
    <cfRule type="cellIs" dxfId="155" priority="86" stopIfTrue="1" operator="greaterThan">
      <formula>5</formula>
    </cfRule>
  </conditionalFormatting>
  <conditionalFormatting sqref="Q330:Q337">
    <cfRule type="cellIs" dxfId="154" priority="85" stopIfTrue="1" operator="notBetween">
      <formula>5</formula>
      <formula>9</formula>
    </cfRule>
  </conditionalFormatting>
  <conditionalFormatting sqref="R330:R337">
    <cfRule type="cellIs" dxfId="153" priority="84" stopIfTrue="1" operator="greaterThan">
      <formula>75</formula>
    </cfRule>
  </conditionalFormatting>
  <conditionalFormatting sqref="S330:S337">
    <cfRule type="cellIs" dxfId="152" priority="83" stopIfTrue="1" operator="greaterThan">
      <formula>90</formula>
    </cfRule>
  </conditionalFormatting>
  <conditionalFormatting sqref="T330:T337">
    <cfRule type="cellIs" dxfId="151" priority="82" stopIfTrue="1" operator="greaterThan">
      <formula>0.4</formula>
    </cfRule>
  </conditionalFormatting>
  <conditionalFormatting sqref="U330:U337">
    <cfRule type="cellIs" dxfId="150" priority="81" stopIfTrue="1" operator="greaterThan">
      <formula>2.3</formula>
    </cfRule>
  </conditionalFormatting>
  <conditionalFormatting sqref="V330:V337">
    <cfRule type="cellIs" dxfId="149" priority="80" stopIfTrue="1" operator="greaterThan">
      <formula>1.1</formula>
    </cfRule>
  </conditionalFormatting>
  <conditionalFormatting sqref="X330:X337">
    <cfRule type="cellIs" dxfId="148" priority="79" stopIfTrue="1" operator="greaterThan">
      <formula>0.16</formula>
    </cfRule>
  </conditionalFormatting>
  <conditionalFormatting sqref="Y330:Y337">
    <cfRule type="cellIs" dxfId="147" priority="78" stopIfTrue="1" operator="greaterThan">
      <formula>0.076</formula>
    </cfRule>
  </conditionalFormatting>
  <conditionalFormatting sqref="AE330:AE337">
    <cfRule type="cellIs" dxfId="146" priority="77" operator="greaterThan">
      <formula>1</formula>
    </cfRule>
  </conditionalFormatting>
  <conditionalFormatting sqref="AF330:AF337">
    <cfRule type="cellIs" dxfId="145" priority="76" operator="greaterThan">
      <formula>0.75</formula>
    </cfRule>
  </conditionalFormatting>
  <conditionalFormatting sqref="AF355:AF359">
    <cfRule type="cellIs" dxfId="144" priority="54" operator="greaterThan">
      <formula>0.75</formula>
    </cfRule>
  </conditionalFormatting>
  <conditionalFormatting sqref="O355:O359">
    <cfRule type="cellIs" dxfId="143" priority="64" stopIfTrue="1" operator="greaterThan">
      <formula>5</formula>
    </cfRule>
  </conditionalFormatting>
  <conditionalFormatting sqref="Q355:Q359">
    <cfRule type="cellIs" dxfId="142" priority="63" stopIfTrue="1" operator="notBetween">
      <formula>5</formula>
      <formula>9</formula>
    </cfRule>
  </conditionalFormatting>
  <conditionalFormatting sqref="R355:R359">
    <cfRule type="cellIs" dxfId="141" priority="62" stopIfTrue="1" operator="greaterThan">
      <formula>75</formula>
    </cfRule>
  </conditionalFormatting>
  <conditionalFormatting sqref="S355:S359">
    <cfRule type="cellIs" dxfId="140" priority="61" stopIfTrue="1" operator="greaterThan">
      <formula>90</formula>
    </cfRule>
  </conditionalFormatting>
  <conditionalFormatting sqref="T355:T359">
    <cfRule type="cellIs" dxfId="139" priority="60" stopIfTrue="1" operator="greaterThan">
      <formula>0.4</formula>
    </cfRule>
  </conditionalFormatting>
  <conditionalFormatting sqref="U355:U359">
    <cfRule type="cellIs" dxfId="138" priority="59" stopIfTrue="1" operator="greaterThan">
      <formula>2.3</formula>
    </cfRule>
  </conditionalFormatting>
  <conditionalFormatting sqref="V355:V359">
    <cfRule type="cellIs" dxfId="137" priority="58" stopIfTrue="1" operator="greaterThan">
      <formula>1.1</formula>
    </cfRule>
  </conditionalFormatting>
  <conditionalFormatting sqref="X355:X359">
    <cfRule type="cellIs" dxfId="136" priority="57" stopIfTrue="1" operator="greaterThan">
      <formula>0.16</formula>
    </cfRule>
  </conditionalFormatting>
  <conditionalFormatting sqref="Y355:Y359">
    <cfRule type="cellIs" dxfId="135" priority="56" stopIfTrue="1" operator="greaterThan">
      <formula>0.076</formula>
    </cfRule>
  </conditionalFormatting>
  <conditionalFormatting sqref="AE355:AE359">
    <cfRule type="cellIs" dxfId="134" priority="55" operator="greaterThan">
      <formula>1</formula>
    </cfRule>
  </conditionalFormatting>
  <conditionalFormatting sqref="O322:O329">
    <cfRule type="cellIs" dxfId="133" priority="53" stopIfTrue="1" operator="greaterThan">
      <formula>5</formula>
    </cfRule>
  </conditionalFormatting>
  <conditionalFormatting sqref="Q322:Q329">
    <cfRule type="cellIs" dxfId="132" priority="52" stopIfTrue="1" operator="notBetween">
      <formula>5</formula>
      <formula>9</formula>
    </cfRule>
  </conditionalFormatting>
  <conditionalFormatting sqref="R322:R329">
    <cfRule type="cellIs" dxfId="131" priority="51" stopIfTrue="1" operator="greaterThan">
      <formula>75</formula>
    </cfRule>
  </conditionalFormatting>
  <conditionalFormatting sqref="S322:S329">
    <cfRule type="cellIs" dxfId="130" priority="50" stopIfTrue="1" operator="greaterThan">
      <formula>90</formula>
    </cfRule>
  </conditionalFormatting>
  <conditionalFormatting sqref="T322:T329">
    <cfRule type="cellIs" dxfId="129" priority="49" stopIfTrue="1" operator="greaterThan">
      <formula>0.4</formula>
    </cfRule>
  </conditionalFormatting>
  <conditionalFormatting sqref="U322:U329">
    <cfRule type="cellIs" dxfId="128" priority="48" stopIfTrue="1" operator="greaterThan">
      <formula>2.3</formula>
    </cfRule>
  </conditionalFormatting>
  <conditionalFormatting sqref="V322:V329">
    <cfRule type="cellIs" dxfId="127" priority="47" stopIfTrue="1" operator="greaterThan">
      <formula>1.1</formula>
    </cfRule>
  </conditionalFormatting>
  <conditionalFormatting sqref="X322:X329">
    <cfRule type="cellIs" dxfId="126" priority="46" stopIfTrue="1" operator="greaterThan">
      <formula>0.16</formula>
    </cfRule>
  </conditionalFormatting>
  <conditionalFormatting sqref="Y322:Y329">
    <cfRule type="cellIs" dxfId="125" priority="45" stopIfTrue="1" operator="greaterThan">
      <formula>0.076</formula>
    </cfRule>
  </conditionalFormatting>
  <conditionalFormatting sqref="AE322:AE329">
    <cfRule type="cellIs" dxfId="124" priority="44" operator="greaterThan">
      <formula>1</formula>
    </cfRule>
  </conditionalFormatting>
  <conditionalFormatting sqref="AF322:AF329">
    <cfRule type="cellIs" dxfId="123" priority="43" operator="greaterThan">
      <formula>0.75</formula>
    </cfRule>
  </conditionalFormatting>
  <conditionalFormatting sqref="O360:O361">
    <cfRule type="cellIs" dxfId="122" priority="42" stopIfTrue="1" operator="greaterThan">
      <formula>5</formula>
    </cfRule>
  </conditionalFormatting>
  <conditionalFormatting sqref="Q360:Q361">
    <cfRule type="cellIs" dxfId="121" priority="41" stopIfTrue="1" operator="notBetween">
      <formula>5</formula>
      <formula>9</formula>
    </cfRule>
  </conditionalFormatting>
  <conditionalFormatting sqref="R360:R361">
    <cfRule type="cellIs" dxfId="120" priority="40" stopIfTrue="1" operator="greaterThan">
      <formula>75</formula>
    </cfRule>
  </conditionalFormatting>
  <conditionalFormatting sqref="S360:S361">
    <cfRule type="cellIs" dxfId="119" priority="39" stopIfTrue="1" operator="greaterThan">
      <formula>90</formula>
    </cfRule>
  </conditionalFormatting>
  <conditionalFormatting sqref="T360:T361">
    <cfRule type="cellIs" dxfId="118" priority="38" stopIfTrue="1" operator="greaterThan">
      <formula>0.4</formula>
    </cfRule>
  </conditionalFormatting>
  <conditionalFormatting sqref="U360:U361">
    <cfRule type="cellIs" dxfId="117" priority="37" stopIfTrue="1" operator="greaterThan">
      <formula>2.3</formula>
    </cfRule>
  </conditionalFormatting>
  <conditionalFormatting sqref="V360:V361">
    <cfRule type="cellIs" dxfId="116" priority="36" stopIfTrue="1" operator="greaterThan">
      <formula>1.1</formula>
    </cfRule>
  </conditionalFormatting>
  <conditionalFormatting sqref="X360:X361">
    <cfRule type="cellIs" dxfId="115" priority="35" stopIfTrue="1" operator="greaterThan">
      <formula>0.16</formula>
    </cfRule>
  </conditionalFormatting>
  <conditionalFormatting sqref="Y360:Y361">
    <cfRule type="cellIs" dxfId="114" priority="34" stopIfTrue="1" operator="greaterThan">
      <formula>0.076</formula>
    </cfRule>
  </conditionalFormatting>
  <conditionalFormatting sqref="AE360:AE361">
    <cfRule type="cellIs" dxfId="113" priority="33" operator="greaterThan">
      <formula>1</formula>
    </cfRule>
  </conditionalFormatting>
  <conditionalFormatting sqref="AF360:AF361">
    <cfRule type="cellIs" dxfId="112" priority="32" operator="greaterThan">
      <formula>0.75</formula>
    </cfRule>
  </conditionalFormatting>
  <conditionalFormatting sqref="O345:O354">
    <cfRule type="cellIs" dxfId="111" priority="31" stopIfTrue="1" operator="greaterThan">
      <formula>5</formula>
    </cfRule>
  </conditionalFormatting>
  <conditionalFormatting sqref="Q345:Q354">
    <cfRule type="cellIs" dxfId="110" priority="30" stopIfTrue="1" operator="notBetween">
      <formula>5</formula>
      <formula>9</formula>
    </cfRule>
  </conditionalFormatting>
  <conditionalFormatting sqref="R345:R354">
    <cfRule type="cellIs" dxfId="109" priority="29" stopIfTrue="1" operator="greaterThan">
      <formula>75</formula>
    </cfRule>
  </conditionalFormatting>
  <conditionalFormatting sqref="S345:S354">
    <cfRule type="cellIs" dxfId="108" priority="28" stopIfTrue="1" operator="greaterThan">
      <formula>90</formula>
    </cfRule>
  </conditionalFormatting>
  <conditionalFormatting sqref="T345:T354">
    <cfRule type="cellIs" dxfId="107" priority="27" stopIfTrue="1" operator="greaterThan">
      <formula>0.4</formula>
    </cfRule>
  </conditionalFormatting>
  <conditionalFormatting sqref="U345:U354">
    <cfRule type="cellIs" dxfId="106" priority="26" stopIfTrue="1" operator="greaterThan">
      <formula>2.3</formula>
    </cfRule>
  </conditionalFormatting>
  <conditionalFormatting sqref="V345:V354">
    <cfRule type="cellIs" dxfId="105" priority="25" stopIfTrue="1" operator="greaterThan">
      <formula>1.1</formula>
    </cfRule>
  </conditionalFormatting>
  <conditionalFormatting sqref="X345:X354">
    <cfRule type="cellIs" dxfId="104" priority="24" stopIfTrue="1" operator="greaterThan">
      <formula>0.16</formula>
    </cfRule>
  </conditionalFormatting>
  <conditionalFormatting sqref="Y345:Y354">
    <cfRule type="cellIs" dxfId="103" priority="23" stopIfTrue="1" operator="greaterThan">
      <formula>0.076</formula>
    </cfRule>
  </conditionalFormatting>
  <conditionalFormatting sqref="AE345:AE354">
    <cfRule type="cellIs" dxfId="102" priority="22" operator="greaterThan">
      <formula>1</formula>
    </cfRule>
  </conditionalFormatting>
  <conditionalFormatting sqref="AF345:AF354">
    <cfRule type="cellIs" dxfId="101" priority="21" operator="greaterThan">
      <formula>0.75</formula>
    </cfRule>
  </conditionalFormatting>
  <conditionalFormatting sqref="O364">
    <cfRule type="cellIs" dxfId="100" priority="20" stopIfTrue="1" operator="greaterThan">
      <formula>5</formula>
    </cfRule>
  </conditionalFormatting>
  <conditionalFormatting sqref="Q364">
    <cfRule type="cellIs" dxfId="99" priority="19" stopIfTrue="1" operator="notBetween">
      <formula>5</formula>
      <formula>9</formula>
    </cfRule>
  </conditionalFormatting>
  <conditionalFormatting sqref="R364">
    <cfRule type="cellIs" dxfId="98" priority="18" stopIfTrue="1" operator="greaterThan">
      <formula>75</formula>
    </cfRule>
  </conditionalFormatting>
  <conditionalFormatting sqref="S364">
    <cfRule type="cellIs" dxfId="97" priority="17" stopIfTrue="1" operator="greaterThan">
      <formula>90</formula>
    </cfRule>
  </conditionalFormatting>
  <conditionalFormatting sqref="T364">
    <cfRule type="cellIs" dxfId="96" priority="16" stopIfTrue="1" operator="greaterThan">
      <formula>0.4</formula>
    </cfRule>
  </conditionalFormatting>
  <conditionalFormatting sqref="U364">
    <cfRule type="cellIs" dxfId="95" priority="15" stopIfTrue="1" operator="greaterThan">
      <formula>2.3</formula>
    </cfRule>
  </conditionalFormatting>
  <conditionalFormatting sqref="V364">
    <cfRule type="cellIs" dxfId="94" priority="14" stopIfTrue="1" operator="greaterThan">
      <formula>1.1</formula>
    </cfRule>
  </conditionalFormatting>
  <conditionalFormatting sqref="W364">
    <cfRule type="cellIs" dxfId="93" priority="13" stopIfTrue="1" operator="greaterThan">
      <formula>0.059</formula>
    </cfRule>
  </conditionalFormatting>
  <conditionalFormatting sqref="X364">
    <cfRule type="cellIs" dxfId="92" priority="12" stopIfTrue="1" operator="greaterThan">
      <formula>0.16</formula>
    </cfRule>
  </conditionalFormatting>
  <conditionalFormatting sqref="Y364">
    <cfRule type="cellIs" dxfId="91" priority="11" stopIfTrue="1" operator="greaterThan">
      <formula>0.076</formula>
    </cfRule>
  </conditionalFormatting>
  <conditionalFormatting sqref="O365:O366">
    <cfRule type="cellIs" dxfId="90" priority="10" stopIfTrue="1" operator="greaterThan">
      <formula>5</formula>
    </cfRule>
  </conditionalFormatting>
  <conditionalFormatting sqref="Q365:Q366">
    <cfRule type="cellIs" dxfId="89" priority="9" stopIfTrue="1" operator="notBetween">
      <formula>5</formula>
      <formula>9</formula>
    </cfRule>
  </conditionalFormatting>
  <conditionalFormatting sqref="R365:R366">
    <cfRule type="cellIs" dxfId="88" priority="8" stopIfTrue="1" operator="greaterThan">
      <formula>75</formula>
    </cfRule>
  </conditionalFormatting>
  <conditionalFormatting sqref="S365:S366">
    <cfRule type="cellIs" dxfId="87" priority="7" stopIfTrue="1" operator="greaterThan">
      <formula>90</formula>
    </cfRule>
  </conditionalFormatting>
  <conditionalFormatting sqref="T365:T366">
    <cfRule type="cellIs" dxfId="86" priority="6" stopIfTrue="1" operator="greaterThan">
      <formula>0.4</formula>
    </cfRule>
  </conditionalFormatting>
  <conditionalFormatting sqref="U365:U366">
    <cfRule type="cellIs" dxfId="85" priority="5" stopIfTrue="1" operator="greaterThan">
      <formula>2.3</formula>
    </cfRule>
  </conditionalFormatting>
  <conditionalFormatting sqref="V365:V366">
    <cfRule type="cellIs" dxfId="84" priority="4" stopIfTrue="1" operator="greaterThan">
      <formula>1.1</formula>
    </cfRule>
  </conditionalFormatting>
  <conditionalFormatting sqref="W365:W366">
    <cfRule type="cellIs" dxfId="83" priority="3" stopIfTrue="1" operator="greaterThan">
      <formula>0.059</formula>
    </cfRule>
  </conditionalFormatting>
  <conditionalFormatting sqref="X365:X366">
    <cfRule type="cellIs" dxfId="82" priority="2" stopIfTrue="1" operator="greaterThan">
      <formula>0.16</formula>
    </cfRule>
  </conditionalFormatting>
  <conditionalFormatting sqref="Y365:Y366">
    <cfRule type="cellIs" dxfId="81" priority="1" stopIfTrue="1" operator="greaterThan">
      <formula>0.076</formula>
    </cfRule>
  </conditionalFormatting>
  <pageMargins left="0.7" right="0.7" top="0.75" bottom="0.75" header="0.3" footer="0.3"/>
  <pageSetup orientation="portrait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 enableFormatConditionsCalculation="0"/>
  <dimension ref="A1:AU116"/>
  <sheetViews>
    <sheetView showGridLines="0" tabSelected="1" workbookViewId="0">
      <pane ySplit="1" topLeftCell="A2" activePane="bottomLeft" state="frozen"/>
      <selection activeCell="H582" sqref="H582"/>
      <selection pane="bottomLeft" sqref="A1:AC116"/>
    </sheetView>
  </sheetViews>
  <sheetFormatPr baseColWidth="10" defaultColWidth="8.83203125" defaultRowHeight="15" customHeight="1" x14ac:dyDescent="0"/>
  <cols>
    <col min="1" max="1" width="19.5" style="74" customWidth="1"/>
    <col min="2" max="2" width="19.5" style="50" customWidth="1"/>
    <col min="3" max="3" width="20.6640625" style="50" customWidth="1"/>
    <col min="4" max="4" width="10.6640625" style="48" customWidth="1"/>
    <col min="5" max="5" width="16.1640625" style="50" customWidth="1"/>
    <col min="6" max="6" width="10.6640625" style="50" customWidth="1"/>
    <col min="7" max="7" width="8.83203125" style="49"/>
    <col min="8" max="8" width="8.83203125" style="50"/>
    <col min="9" max="9" width="8.83203125" style="49"/>
    <col min="10" max="10" width="19.5" style="50" customWidth="1"/>
    <col min="11" max="11" width="10" style="50" customWidth="1"/>
    <col min="12" max="12" width="17.6640625" style="49" customWidth="1"/>
    <col min="13" max="13" width="10.5" style="50" customWidth="1"/>
    <col min="14" max="14" width="8.83203125" style="50"/>
    <col min="15" max="15" width="8.83203125" style="74"/>
    <col min="16" max="16" width="8.83203125" style="50"/>
    <col min="17" max="17" width="8.83203125" style="74"/>
    <col min="18" max="18" width="8.83203125" style="50"/>
    <col min="19" max="19" width="8.83203125" style="74"/>
    <col min="20" max="20" width="8.83203125" style="50"/>
    <col min="21" max="21" width="8.83203125" style="74"/>
    <col min="22" max="22" width="8.83203125" style="50"/>
    <col min="23" max="23" width="8.83203125" style="74"/>
    <col min="24" max="24" width="8.83203125" style="50"/>
    <col min="25" max="25" width="8.83203125" style="74"/>
    <col min="26" max="26" width="8.83203125" style="164"/>
    <col min="27" max="27" width="8.83203125" style="165"/>
    <col min="28" max="28" width="10" style="50" customWidth="1"/>
    <col min="29" max="29" width="12.1640625" style="74" customWidth="1"/>
    <col min="30" max="30" width="14.33203125" style="164" customWidth="1"/>
    <col min="31" max="31" width="8.83203125" style="50"/>
    <col min="32" max="32" width="13" style="50" customWidth="1"/>
    <col min="33" max="33" width="8.83203125" style="113"/>
    <col min="34" max="34" width="10.33203125" style="74" customWidth="1"/>
    <col min="35" max="35" width="8.83203125" style="74"/>
    <col min="36" max="36" width="8.83203125" style="113"/>
    <col min="37" max="47" width="8.83203125" style="74"/>
  </cols>
  <sheetData>
    <row r="1" spans="1:36" ht="37" thickBot="1">
      <c r="A1" s="215" t="s">
        <v>32</v>
      </c>
      <c r="B1" s="37" t="s">
        <v>3</v>
      </c>
      <c r="C1" s="37" t="s">
        <v>4</v>
      </c>
      <c r="D1" s="39" t="s">
        <v>5</v>
      </c>
      <c r="E1" s="37" t="s">
        <v>6</v>
      </c>
      <c r="F1" s="37" t="s">
        <v>7</v>
      </c>
      <c r="G1" s="37" t="s">
        <v>0</v>
      </c>
      <c r="H1" s="37" t="s">
        <v>20</v>
      </c>
      <c r="I1" s="37" t="s">
        <v>8</v>
      </c>
      <c r="J1" s="37" t="s">
        <v>9</v>
      </c>
      <c r="K1" s="37" t="s">
        <v>10</v>
      </c>
      <c r="L1" s="37" t="s">
        <v>11</v>
      </c>
      <c r="M1" s="37" t="s">
        <v>12</v>
      </c>
      <c r="N1" s="37" t="s">
        <v>13</v>
      </c>
      <c r="O1" s="37" t="s">
        <v>4098</v>
      </c>
      <c r="P1" s="37" t="s">
        <v>14</v>
      </c>
      <c r="Q1" s="37" t="s">
        <v>4099</v>
      </c>
      <c r="R1" s="37" t="s">
        <v>4093</v>
      </c>
      <c r="S1" s="37" t="s">
        <v>4094</v>
      </c>
      <c r="T1" s="37" t="s">
        <v>4095</v>
      </c>
      <c r="U1" s="37" t="s">
        <v>4096</v>
      </c>
      <c r="V1" s="37" t="s">
        <v>4097</v>
      </c>
      <c r="W1" s="37" t="s">
        <v>4100</v>
      </c>
      <c r="X1" s="37" t="s">
        <v>4101</v>
      </c>
      <c r="Y1" s="37" t="s">
        <v>4102</v>
      </c>
      <c r="Z1" s="95" t="s">
        <v>15</v>
      </c>
      <c r="AA1" s="95" t="s">
        <v>16</v>
      </c>
      <c r="AB1" s="37" t="s">
        <v>17</v>
      </c>
      <c r="AC1" s="37" t="s">
        <v>18</v>
      </c>
      <c r="AD1" s="95" t="s">
        <v>19</v>
      </c>
      <c r="AE1" s="96" t="s">
        <v>2469</v>
      </c>
      <c r="AF1" s="96" t="s">
        <v>1906</v>
      </c>
      <c r="AG1" s="228" t="s">
        <v>1101</v>
      </c>
      <c r="AH1" s="228" t="s">
        <v>2470</v>
      </c>
      <c r="AI1" s="228" t="s">
        <v>2471</v>
      </c>
      <c r="AJ1" s="113" t="s">
        <v>4839</v>
      </c>
    </row>
    <row r="2" spans="1:36" ht="14">
      <c r="A2" s="74" t="s">
        <v>39</v>
      </c>
      <c r="B2" s="50" t="s">
        <v>1608</v>
      </c>
      <c r="C2" s="50" t="s">
        <v>1609</v>
      </c>
      <c r="D2" s="48" t="s">
        <v>452</v>
      </c>
      <c r="E2" s="50" t="s">
        <v>398</v>
      </c>
      <c r="G2" s="76" t="s">
        <v>1610</v>
      </c>
      <c r="H2" s="50">
        <v>3731</v>
      </c>
      <c r="I2" s="52" t="s">
        <v>2</v>
      </c>
      <c r="J2" s="50" t="s">
        <v>1611</v>
      </c>
      <c r="K2" s="51">
        <v>40996</v>
      </c>
      <c r="L2" s="115">
        <v>40993</v>
      </c>
      <c r="M2" s="50">
        <v>3</v>
      </c>
      <c r="N2" s="50" t="s">
        <v>2</v>
      </c>
      <c r="O2" s="74">
        <f>5/2</f>
        <v>2.5</v>
      </c>
      <c r="P2" s="50">
        <v>5.64</v>
      </c>
      <c r="Q2" s="74">
        <v>7.8</v>
      </c>
      <c r="R2" s="50">
        <v>939</v>
      </c>
      <c r="S2" s="52">
        <v>29</v>
      </c>
      <c r="T2" s="50">
        <f>0.02/2</f>
        <v>0.01</v>
      </c>
      <c r="U2" s="74">
        <v>1.1499999999999999</v>
      </c>
      <c r="V2" s="50">
        <v>6.51</v>
      </c>
      <c r="W2" s="74">
        <v>0.24399999999999999</v>
      </c>
      <c r="X2" s="50">
        <v>0.85</v>
      </c>
      <c r="Y2" s="74">
        <v>2E-3</v>
      </c>
      <c r="Z2" s="166">
        <v>6.25E-2</v>
      </c>
      <c r="AA2" s="167">
        <v>6.25E-2</v>
      </c>
      <c r="AB2" s="50">
        <v>3767</v>
      </c>
      <c r="AC2" s="74">
        <v>36700</v>
      </c>
      <c r="AD2" s="164">
        <v>0</v>
      </c>
    </row>
    <row r="3" spans="1:36" ht="14">
      <c r="A3" s="74" t="s">
        <v>39</v>
      </c>
      <c r="B3" s="50" t="s">
        <v>1612</v>
      </c>
      <c r="C3" s="50" t="s">
        <v>1612</v>
      </c>
      <c r="D3" s="48" t="s">
        <v>406</v>
      </c>
      <c r="E3" s="50" t="s">
        <v>398</v>
      </c>
      <c r="G3" s="76" t="s">
        <v>1613</v>
      </c>
      <c r="H3" s="50">
        <v>3731</v>
      </c>
      <c r="I3" s="52" t="s">
        <v>1</v>
      </c>
      <c r="J3" s="50" t="s">
        <v>1614</v>
      </c>
      <c r="K3" s="51">
        <v>41073</v>
      </c>
      <c r="L3" s="115">
        <v>41066</v>
      </c>
      <c r="M3" s="50">
        <v>7</v>
      </c>
      <c r="N3" s="50" t="s">
        <v>2</v>
      </c>
      <c r="O3" s="52">
        <v>3.5</v>
      </c>
      <c r="P3" s="50">
        <v>5.69</v>
      </c>
      <c r="Q3" s="52">
        <v>6.95</v>
      </c>
      <c r="R3" s="50">
        <v>37</v>
      </c>
      <c r="S3" s="52">
        <v>46.8</v>
      </c>
      <c r="T3" s="50">
        <v>0.28999999999999998</v>
      </c>
      <c r="U3" s="74">
        <v>1.62</v>
      </c>
      <c r="V3" s="50">
        <v>0.33</v>
      </c>
      <c r="W3" s="74">
        <v>6.3E-2</v>
      </c>
      <c r="X3" s="50">
        <v>0.20599999999999999</v>
      </c>
      <c r="Y3" s="74">
        <v>2.1000000000000001E-2</v>
      </c>
    </row>
    <row r="4" spans="1:36" ht="14">
      <c r="A4" s="74" t="s">
        <v>39</v>
      </c>
      <c r="B4" s="50" t="s">
        <v>1612</v>
      </c>
      <c r="C4" s="50" t="s">
        <v>1612</v>
      </c>
      <c r="D4" s="48" t="s">
        <v>406</v>
      </c>
      <c r="E4" s="50" t="s">
        <v>398</v>
      </c>
      <c r="G4" s="76" t="s">
        <v>1613</v>
      </c>
      <c r="H4" s="50">
        <v>3731</v>
      </c>
      <c r="I4" s="52" t="s">
        <v>1</v>
      </c>
      <c r="J4" s="50" t="s">
        <v>1615</v>
      </c>
      <c r="K4" s="51">
        <v>41073</v>
      </c>
      <c r="L4" s="115">
        <v>41066</v>
      </c>
      <c r="M4" s="50">
        <v>7</v>
      </c>
      <c r="N4" s="50" t="s">
        <v>2</v>
      </c>
      <c r="O4" s="52">
        <v>1.3</v>
      </c>
      <c r="P4" s="50">
        <v>5.69</v>
      </c>
      <c r="Q4" s="52">
        <v>8.1999999999999993</v>
      </c>
      <c r="R4" s="50">
        <v>44</v>
      </c>
      <c r="S4" s="52">
        <v>38.799999999999997</v>
      </c>
      <c r="T4" s="50">
        <v>7.0000000000000007E-2</v>
      </c>
      <c r="U4" s="74">
        <v>2.34</v>
      </c>
      <c r="V4" s="50">
        <v>0.13</v>
      </c>
      <c r="W4" s="74">
        <v>3.6999999999999998E-2</v>
      </c>
      <c r="X4" s="50">
        <v>6.6000000000000003E-2</v>
      </c>
      <c r="Y4" s="74">
        <f>0.005/2</f>
        <v>2.5000000000000001E-3</v>
      </c>
    </row>
    <row r="5" spans="1:36" ht="14">
      <c r="A5" s="74" t="s">
        <v>39</v>
      </c>
      <c r="B5" s="50" t="s">
        <v>1612</v>
      </c>
      <c r="C5" s="50" t="s">
        <v>1612</v>
      </c>
      <c r="D5" s="48" t="s">
        <v>406</v>
      </c>
      <c r="E5" s="50" t="s">
        <v>398</v>
      </c>
      <c r="G5" s="76" t="s">
        <v>1613</v>
      </c>
      <c r="H5" s="50">
        <v>3731</v>
      </c>
      <c r="I5" s="52" t="s">
        <v>1</v>
      </c>
      <c r="J5" s="50" t="s">
        <v>1616</v>
      </c>
      <c r="K5" s="51">
        <v>41073</v>
      </c>
      <c r="L5" s="115">
        <v>41066</v>
      </c>
      <c r="M5" s="50">
        <v>7</v>
      </c>
      <c r="N5" s="50" t="s">
        <v>2</v>
      </c>
      <c r="O5" s="52">
        <v>1.2</v>
      </c>
      <c r="P5" s="50">
        <v>5.69</v>
      </c>
      <c r="Q5" s="52">
        <v>8.48</v>
      </c>
      <c r="R5" s="50">
        <v>28</v>
      </c>
      <c r="S5" s="52">
        <v>65.599999999999994</v>
      </c>
      <c r="T5" s="50">
        <f>0.01/2</f>
        <v>5.0000000000000001E-3</v>
      </c>
      <c r="U5" s="74">
        <v>1.17</v>
      </c>
      <c r="V5" s="50">
        <v>0.11</v>
      </c>
      <c r="W5" s="74">
        <v>5.0999999999999997E-2</v>
      </c>
      <c r="X5" s="50">
        <v>9.7000000000000003E-2</v>
      </c>
      <c r="Y5" s="74">
        <v>8.9999999999999993E-3</v>
      </c>
    </row>
    <row r="6" spans="1:36" ht="14">
      <c r="A6" s="74" t="s">
        <v>39</v>
      </c>
      <c r="B6" s="50" t="s">
        <v>1612</v>
      </c>
      <c r="C6" s="50" t="s">
        <v>1612</v>
      </c>
      <c r="D6" s="48" t="s">
        <v>406</v>
      </c>
      <c r="E6" s="50" t="s">
        <v>398</v>
      </c>
      <c r="G6" s="76" t="s">
        <v>1613</v>
      </c>
      <c r="H6" s="50">
        <v>3731</v>
      </c>
      <c r="I6" s="52" t="s">
        <v>1</v>
      </c>
      <c r="J6" s="50" t="s">
        <v>1617</v>
      </c>
      <c r="K6" s="51">
        <v>41073</v>
      </c>
      <c r="L6" s="115">
        <v>41066</v>
      </c>
      <c r="M6" s="50">
        <v>7</v>
      </c>
      <c r="N6" s="50" t="s">
        <v>2</v>
      </c>
      <c r="O6" s="74">
        <f>0.5/2</f>
        <v>0.25</v>
      </c>
      <c r="P6" s="50">
        <v>5.69</v>
      </c>
      <c r="Q6" s="52">
        <v>7.06</v>
      </c>
      <c r="R6" s="50">
        <v>7</v>
      </c>
      <c r="S6" s="52">
        <v>7</v>
      </c>
      <c r="T6" s="50">
        <v>0.1</v>
      </c>
      <c r="U6" s="74">
        <v>2.44</v>
      </c>
      <c r="V6" s="50">
        <v>0.2</v>
      </c>
      <c r="W6" s="74">
        <v>1.2E-2</v>
      </c>
      <c r="X6" s="50">
        <v>0.19</v>
      </c>
      <c r="Y6" s="74">
        <f>0.005/2</f>
        <v>2.5000000000000001E-3</v>
      </c>
    </row>
    <row r="7" spans="1:36" ht="14">
      <c r="A7" s="74" t="s">
        <v>39</v>
      </c>
      <c r="B7" s="50" t="s">
        <v>1612</v>
      </c>
      <c r="C7" s="50" t="s">
        <v>1612</v>
      </c>
      <c r="D7" s="48" t="s">
        <v>406</v>
      </c>
      <c r="E7" s="50" t="s">
        <v>398</v>
      </c>
      <c r="G7" s="76" t="s">
        <v>1613</v>
      </c>
      <c r="H7" s="50">
        <v>3731</v>
      </c>
      <c r="I7" s="52" t="s">
        <v>1</v>
      </c>
      <c r="J7" s="50" t="s">
        <v>1618</v>
      </c>
      <c r="K7" s="51">
        <v>41073</v>
      </c>
      <c r="L7" s="115">
        <v>41066</v>
      </c>
      <c r="M7" s="50">
        <v>7</v>
      </c>
      <c r="N7" s="50" t="s">
        <v>2</v>
      </c>
      <c r="O7" s="74">
        <f>0.5/2</f>
        <v>0.25</v>
      </c>
      <c r="P7" s="50">
        <v>5.69</v>
      </c>
      <c r="Q7" s="52">
        <v>6.88</v>
      </c>
      <c r="R7" s="50">
        <v>33</v>
      </c>
      <c r="S7" s="52">
        <v>36.4</v>
      </c>
      <c r="T7" s="50">
        <v>0.03</v>
      </c>
      <c r="U7" s="74">
        <v>2.99</v>
      </c>
      <c r="V7" s="50">
        <v>0.18</v>
      </c>
      <c r="W7" s="74">
        <v>3.9E-2</v>
      </c>
      <c r="X7" s="50">
        <v>0.14199999999999999</v>
      </c>
      <c r="Y7" s="74">
        <v>1.7000000000000001E-2</v>
      </c>
    </row>
    <row r="8" spans="1:36" ht="14">
      <c r="A8" s="74" t="s">
        <v>39</v>
      </c>
      <c r="B8" s="50" t="s">
        <v>1612</v>
      </c>
      <c r="C8" s="50" t="s">
        <v>1612</v>
      </c>
      <c r="D8" s="48" t="s">
        <v>406</v>
      </c>
      <c r="E8" s="50" t="s">
        <v>398</v>
      </c>
      <c r="G8" s="76" t="s">
        <v>1613</v>
      </c>
      <c r="H8" s="50">
        <v>3731</v>
      </c>
      <c r="I8" s="52" t="s">
        <v>1</v>
      </c>
      <c r="J8" s="50" t="s">
        <v>1619</v>
      </c>
      <c r="K8" s="51">
        <v>41073</v>
      </c>
      <c r="L8" s="115">
        <v>41066</v>
      </c>
      <c r="M8" s="50">
        <v>7</v>
      </c>
      <c r="N8" s="50" t="s">
        <v>2</v>
      </c>
      <c r="O8" s="52">
        <v>0.6</v>
      </c>
      <c r="P8" s="50">
        <v>5.69</v>
      </c>
      <c r="Q8" s="52">
        <v>6.81</v>
      </c>
      <c r="R8" s="50">
        <v>111</v>
      </c>
      <c r="S8" s="52">
        <v>18</v>
      </c>
      <c r="T8" s="50">
        <v>0.93</v>
      </c>
      <c r="U8" s="74">
        <v>9.73</v>
      </c>
      <c r="V8" s="50">
        <v>1.49</v>
      </c>
      <c r="W8" s="74">
        <v>0.14499999999999999</v>
      </c>
      <c r="X8" s="50">
        <v>0.32300000000000001</v>
      </c>
      <c r="Y8" s="74">
        <v>8.0000000000000002E-3</v>
      </c>
    </row>
    <row r="9" spans="1:36" ht="14">
      <c r="A9" s="74" t="s">
        <v>39</v>
      </c>
      <c r="B9" s="50" t="s">
        <v>1612</v>
      </c>
      <c r="C9" s="50" t="s">
        <v>1612</v>
      </c>
      <c r="D9" s="48" t="s">
        <v>406</v>
      </c>
      <c r="E9" s="50" t="s">
        <v>398</v>
      </c>
      <c r="G9" s="76" t="s">
        <v>1613</v>
      </c>
      <c r="H9" s="50">
        <v>3731</v>
      </c>
      <c r="I9" s="52" t="s">
        <v>1</v>
      </c>
      <c r="J9" s="50" t="s">
        <v>1620</v>
      </c>
      <c r="K9" s="51">
        <v>41073</v>
      </c>
      <c r="L9" s="115">
        <v>41066</v>
      </c>
      <c r="M9" s="50">
        <v>7</v>
      </c>
      <c r="N9" s="50" t="s">
        <v>2</v>
      </c>
      <c r="O9" s="52">
        <f>0.5/2</f>
        <v>0.25</v>
      </c>
      <c r="P9" s="50">
        <v>5.69</v>
      </c>
      <c r="Q9" s="52">
        <v>6.91</v>
      </c>
      <c r="R9" s="50">
        <v>22</v>
      </c>
      <c r="S9" s="52">
        <v>12.4</v>
      </c>
      <c r="T9" s="50">
        <v>0.16</v>
      </c>
      <c r="U9" s="74">
        <v>4.49</v>
      </c>
      <c r="V9" s="50">
        <v>0.38</v>
      </c>
      <c r="W9" s="74">
        <v>4.1000000000000002E-2</v>
      </c>
      <c r="X9" s="50">
        <v>7.0999999999999994E-2</v>
      </c>
      <c r="Y9" s="74">
        <f t="shared" ref="Y9:Y14" si="0">0.005/2</f>
        <v>2.5000000000000001E-3</v>
      </c>
    </row>
    <row r="10" spans="1:36" ht="14">
      <c r="A10" s="74" t="s">
        <v>39</v>
      </c>
      <c r="B10" s="50" t="s">
        <v>1612</v>
      </c>
      <c r="C10" s="50" t="s">
        <v>1612</v>
      </c>
      <c r="D10" s="48" t="s">
        <v>406</v>
      </c>
      <c r="E10" s="50" t="s">
        <v>398</v>
      </c>
      <c r="G10" s="76" t="s">
        <v>1613</v>
      </c>
      <c r="H10" s="50">
        <v>3731</v>
      </c>
      <c r="I10" s="52" t="s">
        <v>1</v>
      </c>
      <c r="J10" s="50" t="s">
        <v>1621</v>
      </c>
      <c r="K10" s="51">
        <v>41073</v>
      </c>
      <c r="L10" s="115">
        <v>41066</v>
      </c>
      <c r="M10" s="50">
        <v>7</v>
      </c>
      <c r="N10" s="50" t="s">
        <v>2</v>
      </c>
      <c r="O10" s="52">
        <v>0.8</v>
      </c>
      <c r="P10" s="50">
        <v>5.69</v>
      </c>
      <c r="Q10" s="52">
        <v>7.06</v>
      </c>
      <c r="R10" s="50">
        <v>40</v>
      </c>
      <c r="S10" s="52">
        <v>15.2</v>
      </c>
      <c r="T10" s="50">
        <v>0.82</v>
      </c>
      <c r="U10" s="74">
        <v>9.34</v>
      </c>
      <c r="V10" s="50">
        <v>0.62</v>
      </c>
      <c r="W10" s="74">
        <v>1.6E-2</v>
      </c>
      <c r="X10" s="50">
        <v>0.313</v>
      </c>
      <c r="Y10" s="74">
        <f t="shared" si="0"/>
        <v>2.5000000000000001E-3</v>
      </c>
    </row>
    <row r="11" spans="1:36" ht="14">
      <c r="A11" s="74" t="s">
        <v>39</v>
      </c>
      <c r="B11" s="50" t="s">
        <v>1612</v>
      </c>
      <c r="C11" s="50" t="s">
        <v>1612</v>
      </c>
      <c r="D11" s="48" t="s">
        <v>406</v>
      </c>
      <c r="E11" s="50" t="s">
        <v>398</v>
      </c>
      <c r="G11" s="76" t="s">
        <v>1613</v>
      </c>
      <c r="H11" s="50">
        <v>3731</v>
      </c>
      <c r="I11" s="52" t="s">
        <v>1</v>
      </c>
      <c r="J11" s="50" t="s">
        <v>1622</v>
      </c>
      <c r="K11" s="51">
        <v>41073</v>
      </c>
      <c r="L11" s="115">
        <v>41066</v>
      </c>
      <c r="M11" s="50">
        <v>7</v>
      </c>
      <c r="N11" s="50" t="s">
        <v>2</v>
      </c>
      <c r="O11" s="52">
        <f>0.5/2</f>
        <v>0.25</v>
      </c>
      <c r="P11" s="50">
        <v>5.69</v>
      </c>
      <c r="Q11" s="52">
        <v>6.99</v>
      </c>
      <c r="R11" s="50">
        <v>27</v>
      </c>
      <c r="S11" s="52">
        <v>16.8</v>
      </c>
      <c r="T11" s="50">
        <v>0.05</v>
      </c>
      <c r="U11" s="74">
        <v>2.54</v>
      </c>
      <c r="V11" s="50">
        <v>1.1000000000000001</v>
      </c>
      <c r="W11" s="74">
        <v>2.5000000000000001E-2</v>
      </c>
      <c r="X11" s="50">
        <v>9.8000000000000004E-2</v>
      </c>
      <c r="Y11" s="74">
        <f t="shared" si="0"/>
        <v>2.5000000000000001E-3</v>
      </c>
    </row>
    <row r="12" spans="1:36" ht="14">
      <c r="A12" s="74" t="s">
        <v>39</v>
      </c>
      <c r="B12" s="50" t="s">
        <v>1612</v>
      </c>
      <c r="C12" s="50" t="s">
        <v>1612</v>
      </c>
      <c r="D12" s="48" t="s">
        <v>406</v>
      </c>
      <c r="E12" s="50" t="s">
        <v>398</v>
      </c>
      <c r="G12" s="76" t="s">
        <v>1613</v>
      </c>
      <c r="H12" s="50">
        <v>3731</v>
      </c>
      <c r="I12" s="52" t="s">
        <v>1</v>
      </c>
      <c r="J12" s="50" t="s">
        <v>1623</v>
      </c>
      <c r="K12" s="51">
        <v>41073</v>
      </c>
      <c r="L12" s="115">
        <v>41066</v>
      </c>
      <c r="M12" s="50">
        <v>7</v>
      </c>
      <c r="N12" s="50" t="s">
        <v>2</v>
      </c>
      <c r="O12" s="52">
        <f>0.5/2</f>
        <v>0.25</v>
      </c>
      <c r="P12" s="50">
        <v>5.69</v>
      </c>
      <c r="Q12" s="52">
        <v>6.85</v>
      </c>
      <c r="R12" s="50">
        <v>27</v>
      </c>
      <c r="S12" s="52">
        <v>6.8</v>
      </c>
      <c r="T12" s="50">
        <v>0.1</v>
      </c>
      <c r="U12" s="74">
        <v>1.5</v>
      </c>
      <c r="V12" s="50">
        <v>0.64</v>
      </c>
      <c r="W12" s="74">
        <v>2.7E-2</v>
      </c>
      <c r="X12" s="50">
        <v>0.78</v>
      </c>
      <c r="Y12" s="74">
        <f t="shared" si="0"/>
        <v>2.5000000000000001E-3</v>
      </c>
    </row>
    <row r="13" spans="1:36" ht="14">
      <c r="A13" s="74" t="s">
        <v>39</v>
      </c>
      <c r="B13" s="50" t="s">
        <v>1612</v>
      </c>
      <c r="C13" s="50" t="s">
        <v>1612</v>
      </c>
      <c r="D13" s="48" t="s">
        <v>406</v>
      </c>
      <c r="E13" s="50" t="s">
        <v>398</v>
      </c>
      <c r="G13" s="76" t="s">
        <v>1613</v>
      </c>
      <c r="H13" s="50">
        <v>3731</v>
      </c>
      <c r="I13" s="52" t="s">
        <v>1</v>
      </c>
      <c r="J13" s="50" t="s">
        <v>1624</v>
      </c>
      <c r="K13" s="51">
        <v>41073</v>
      </c>
      <c r="L13" s="115">
        <v>41066</v>
      </c>
      <c r="M13" s="50">
        <v>7</v>
      </c>
      <c r="N13" s="50" t="s">
        <v>2</v>
      </c>
      <c r="O13" s="52">
        <v>0.6</v>
      </c>
      <c r="P13" s="50">
        <v>5.69</v>
      </c>
      <c r="Q13" s="52">
        <v>7.09</v>
      </c>
      <c r="R13" s="50">
        <v>23</v>
      </c>
      <c r="S13" s="52">
        <v>3.2</v>
      </c>
      <c r="T13" s="50">
        <f>0.01/2</f>
        <v>5.0000000000000001E-3</v>
      </c>
      <c r="U13" s="74">
        <v>0.1</v>
      </c>
      <c r="V13" s="50">
        <v>0.13</v>
      </c>
      <c r="W13" s="74">
        <v>1.4999999999999999E-2</v>
      </c>
      <c r="X13" s="50">
        <v>0.124</v>
      </c>
      <c r="Y13" s="74">
        <f t="shared" si="0"/>
        <v>2.5000000000000001E-3</v>
      </c>
    </row>
    <row r="14" spans="1:36" ht="14">
      <c r="A14" s="74" t="s">
        <v>39</v>
      </c>
      <c r="B14" s="50" t="s">
        <v>1612</v>
      </c>
      <c r="C14" s="50" t="s">
        <v>1612</v>
      </c>
      <c r="D14" s="48" t="s">
        <v>406</v>
      </c>
      <c r="E14" s="50" t="s">
        <v>398</v>
      </c>
      <c r="G14" s="76" t="s">
        <v>1613</v>
      </c>
      <c r="H14" s="50">
        <v>3731</v>
      </c>
      <c r="I14" s="52" t="s">
        <v>1</v>
      </c>
      <c r="J14" s="50" t="s">
        <v>1625</v>
      </c>
      <c r="K14" s="51">
        <v>41073</v>
      </c>
      <c r="L14" s="115">
        <v>41066</v>
      </c>
      <c r="M14" s="50">
        <v>7</v>
      </c>
      <c r="N14" s="50" t="s">
        <v>2</v>
      </c>
      <c r="O14" s="52">
        <v>0.5</v>
      </c>
      <c r="P14" s="50">
        <v>5.69</v>
      </c>
      <c r="Q14" s="52">
        <v>7.13</v>
      </c>
      <c r="R14" s="50">
        <v>28</v>
      </c>
      <c r="S14" s="52">
        <v>2.8</v>
      </c>
      <c r="T14" s="50">
        <v>0.06</v>
      </c>
      <c r="U14" s="74">
        <v>1.04</v>
      </c>
      <c r="V14" s="50">
        <v>0.16</v>
      </c>
      <c r="W14" s="74">
        <v>3.1E-2</v>
      </c>
      <c r="X14" s="50">
        <v>0.19600000000000001</v>
      </c>
      <c r="Y14" s="74">
        <f t="shared" si="0"/>
        <v>2.5000000000000001E-3</v>
      </c>
    </row>
    <row r="15" spans="1:36" ht="14">
      <c r="A15" s="74" t="s">
        <v>39</v>
      </c>
      <c r="B15" s="50" t="s">
        <v>1626</v>
      </c>
      <c r="C15" s="50" t="s">
        <v>1627</v>
      </c>
      <c r="D15" s="48" t="s">
        <v>262</v>
      </c>
      <c r="E15" s="50" t="s">
        <v>1628</v>
      </c>
      <c r="G15" s="76" t="s">
        <v>1629</v>
      </c>
      <c r="H15" s="50">
        <v>3731</v>
      </c>
      <c r="I15" s="52" t="s">
        <v>2</v>
      </c>
      <c r="J15" s="50" t="s">
        <v>1630</v>
      </c>
      <c r="K15" s="51">
        <v>41180</v>
      </c>
      <c r="L15" s="115">
        <v>41179</v>
      </c>
      <c r="M15" s="50">
        <v>1</v>
      </c>
      <c r="N15" s="50" t="s">
        <v>2</v>
      </c>
      <c r="O15" s="52">
        <f>1.4/2</f>
        <v>0.7</v>
      </c>
      <c r="P15" s="50">
        <v>6.27</v>
      </c>
      <c r="Q15" s="52">
        <v>6.37</v>
      </c>
      <c r="R15" s="50">
        <v>27</v>
      </c>
      <c r="S15" s="52">
        <v>7.5</v>
      </c>
      <c r="T15" s="50">
        <v>0.01</v>
      </c>
      <c r="U15" s="74">
        <v>1.34</v>
      </c>
      <c r="V15" s="50">
        <v>0.93</v>
      </c>
      <c r="W15" s="74">
        <v>3.2000000000000001E-2</v>
      </c>
      <c r="X15" s="50">
        <v>8.5999999999999993E-2</v>
      </c>
      <c r="Y15" s="74">
        <v>6.0000000000000001E-3</v>
      </c>
    </row>
    <row r="16" spans="1:36" ht="14">
      <c r="A16" s="74" t="s">
        <v>39</v>
      </c>
      <c r="B16" s="50" t="s">
        <v>1626</v>
      </c>
      <c r="C16" s="50" t="s">
        <v>1627</v>
      </c>
      <c r="D16" s="48" t="s">
        <v>262</v>
      </c>
      <c r="E16" s="50" t="s">
        <v>1628</v>
      </c>
      <c r="G16" s="76" t="s">
        <v>1629</v>
      </c>
      <c r="H16" s="50">
        <v>3731</v>
      </c>
      <c r="I16" s="52" t="s">
        <v>2</v>
      </c>
      <c r="J16" s="50" t="s">
        <v>1631</v>
      </c>
      <c r="K16" s="51">
        <v>41180</v>
      </c>
      <c r="L16" s="115">
        <v>41179</v>
      </c>
      <c r="M16" s="50">
        <v>1</v>
      </c>
      <c r="N16" s="50" t="s">
        <v>2</v>
      </c>
      <c r="O16" s="52">
        <f>1.4/2</f>
        <v>0.7</v>
      </c>
      <c r="P16" s="50">
        <v>6.27</v>
      </c>
      <c r="Q16" s="52">
        <v>6.84</v>
      </c>
      <c r="R16" s="50">
        <v>25</v>
      </c>
      <c r="S16" s="52">
        <v>7.5</v>
      </c>
      <c r="T16" s="50">
        <f>0.01/2</f>
        <v>5.0000000000000001E-3</v>
      </c>
      <c r="U16" s="74">
        <v>1.32</v>
      </c>
      <c r="V16" s="50">
        <v>0.93</v>
      </c>
      <c r="W16" s="74">
        <v>3.1E-2</v>
      </c>
      <c r="X16" s="50">
        <v>8.5000000000000006E-2</v>
      </c>
      <c r="Y16" s="74">
        <v>5.0000000000000001E-3</v>
      </c>
    </row>
    <row r="17" spans="1:47" ht="14">
      <c r="A17" s="74" t="s">
        <v>39</v>
      </c>
      <c r="B17" s="50" t="s">
        <v>1783</v>
      </c>
      <c r="C17" s="50" t="s">
        <v>1783</v>
      </c>
      <c r="D17" s="48" t="s">
        <v>56</v>
      </c>
      <c r="E17" s="50" t="s">
        <v>1784</v>
      </c>
      <c r="G17" s="76" t="s">
        <v>1787</v>
      </c>
      <c r="H17" s="50">
        <v>4492</v>
      </c>
      <c r="I17" s="49" t="s">
        <v>2</v>
      </c>
      <c r="J17" s="50" t="s">
        <v>1786</v>
      </c>
      <c r="K17" s="51">
        <v>41085</v>
      </c>
      <c r="L17" s="115">
        <v>41083</v>
      </c>
      <c r="M17" s="50">
        <v>2</v>
      </c>
      <c r="N17" s="50" t="s">
        <v>2</v>
      </c>
      <c r="O17" s="74">
        <v>1.4</v>
      </c>
      <c r="P17" s="50">
        <v>7.54</v>
      </c>
      <c r="Q17" s="74">
        <v>6.31</v>
      </c>
      <c r="R17" s="50">
        <v>98</v>
      </c>
      <c r="S17" s="74">
        <v>140</v>
      </c>
      <c r="T17" s="50">
        <v>0.25</v>
      </c>
      <c r="U17" s="74">
        <v>1.38</v>
      </c>
      <c r="V17" s="50">
        <v>0.34</v>
      </c>
      <c r="W17" s="74">
        <v>3.5999999999999997E-2</v>
      </c>
      <c r="X17" s="50">
        <v>0.21099999999999999</v>
      </c>
      <c r="Y17" s="74">
        <v>4.2000000000000003E-2</v>
      </c>
    </row>
    <row r="18" spans="1:47" ht="14">
      <c r="A18" s="74" t="s">
        <v>39</v>
      </c>
      <c r="B18" s="50" t="s">
        <v>1780</v>
      </c>
      <c r="C18" s="50" t="s">
        <v>1780</v>
      </c>
      <c r="D18" s="48" t="s">
        <v>1537</v>
      </c>
      <c r="G18" s="76" t="s">
        <v>1781</v>
      </c>
      <c r="I18" s="49" t="s">
        <v>2</v>
      </c>
      <c r="J18" s="50" t="s">
        <v>1782</v>
      </c>
      <c r="K18" s="51">
        <v>41085</v>
      </c>
      <c r="L18" s="146"/>
      <c r="M18" s="85"/>
      <c r="N18" s="50" t="s">
        <v>2</v>
      </c>
      <c r="O18" s="74">
        <f>1/2</f>
        <v>0.5</v>
      </c>
      <c r="P18" s="50">
        <v>5.04</v>
      </c>
      <c r="Q18" s="74">
        <v>4.47</v>
      </c>
      <c r="R18" s="50">
        <v>18.600000000000001</v>
      </c>
      <c r="S18" s="74">
        <v>55</v>
      </c>
      <c r="T18" s="50">
        <v>9.4E-2</v>
      </c>
      <c r="U18" s="74">
        <v>0.65300000000000002</v>
      </c>
      <c r="V18" s="50">
        <v>0.23</v>
      </c>
      <c r="W18" s="74">
        <v>1.89</v>
      </c>
      <c r="X18" s="50">
        <v>0.40300000000000002</v>
      </c>
      <c r="Y18" s="74">
        <v>6.6000000000000003E-2</v>
      </c>
      <c r="Z18" s="164">
        <v>6.25E-2</v>
      </c>
      <c r="AA18" s="165">
        <v>6.25E-2</v>
      </c>
      <c r="AB18" s="50">
        <v>4</v>
      </c>
      <c r="AC18" s="74">
        <v>18</v>
      </c>
      <c r="AD18" s="164">
        <v>0</v>
      </c>
    </row>
    <row r="19" spans="1:47" ht="14">
      <c r="A19" s="74" t="s">
        <v>39</v>
      </c>
      <c r="B19" s="50" t="s">
        <v>1783</v>
      </c>
      <c r="C19" s="50" t="s">
        <v>1783</v>
      </c>
      <c r="D19" s="48" t="s">
        <v>56</v>
      </c>
      <c r="E19" s="50" t="s">
        <v>1784</v>
      </c>
      <c r="G19" s="76" t="s">
        <v>1785</v>
      </c>
      <c r="H19" s="50">
        <v>4492</v>
      </c>
      <c r="I19" s="49" t="s">
        <v>2</v>
      </c>
      <c r="J19" s="50" t="s">
        <v>1786</v>
      </c>
      <c r="K19" s="51">
        <v>41085</v>
      </c>
      <c r="L19" s="115">
        <v>41083</v>
      </c>
      <c r="M19" s="50">
        <v>2</v>
      </c>
      <c r="N19" s="50" t="s">
        <v>2</v>
      </c>
      <c r="O19" s="74">
        <f>1.6/2</f>
        <v>0.8</v>
      </c>
      <c r="P19" s="50">
        <v>7.54</v>
      </c>
      <c r="Q19" s="74">
        <v>6.79</v>
      </c>
      <c r="R19" s="50">
        <v>98</v>
      </c>
      <c r="S19" s="74">
        <v>250</v>
      </c>
      <c r="T19" s="50">
        <v>0.28000000000000003</v>
      </c>
      <c r="U19" s="74">
        <v>2.3199999999999998</v>
      </c>
      <c r="V19" s="50">
        <v>0.85</v>
      </c>
      <c r="W19" s="74">
        <v>3.5999999999999997E-2</v>
      </c>
      <c r="X19" s="50">
        <v>0.28299999999999997</v>
      </c>
      <c r="Y19" s="74">
        <v>3.1E-2</v>
      </c>
    </row>
    <row r="20" spans="1:47" ht="14">
      <c r="A20" s="74" t="s">
        <v>39</v>
      </c>
      <c r="B20" s="50" t="s">
        <v>1783</v>
      </c>
      <c r="C20" s="50" t="s">
        <v>1783</v>
      </c>
      <c r="D20" s="48" t="s">
        <v>56</v>
      </c>
      <c r="E20" s="50" t="s">
        <v>1784</v>
      </c>
      <c r="G20" s="76" t="s">
        <v>1785</v>
      </c>
      <c r="H20" s="50">
        <v>4492</v>
      </c>
      <c r="I20" s="49" t="s">
        <v>2</v>
      </c>
      <c r="J20" s="50" t="s">
        <v>1786</v>
      </c>
      <c r="K20" s="51">
        <v>40996</v>
      </c>
      <c r="L20" s="115">
        <v>40993</v>
      </c>
      <c r="M20" s="50">
        <v>3</v>
      </c>
      <c r="N20" s="50" t="s">
        <v>2</v>
      </c>
      <c r="O20" s="74">
        <f>5/2</f>
        <v>2.5</v>
      </c>
      <c r="Q20" s="74">
        <v>7.42</v>
      </c>
      <c r="R20" s="50">
        <v>111</v>
      </c>
      <c r="S20" s="74">
        <v>184</v>
      </c>
      <c r="T20" s="50">
        <v>0.22</v>
      </c>
      <c r="U20" s="74">
        <v>2.29</v>
      </c>
      <c r="V20" s="50">
        <v>0.77</v>
      </c>
      <c r="W20" s="74">
        <v>3.1E-2</v>
      </c>
      <c r="X20" s="50">
        <v>0.22</v>
      </c>
      <c r="Y20" s="74">
        <v>2.5000000000000001E-2</v>
      </c>
      <c r="Z20" s="164">
        <v>1</v>
      </c>
      <c r="AA20" s="165">
        <v>1</v>
      </c>
      <c r="AB20" s="50">
        <v>30.2</v>
      </c>
      <c r="AC20" s="74">
        <v>56</v>
      </c>
    </row>
    <row r="21" spans="1:47" ht="14">
      <c r="A21" s="74" t="s">
        <v>39</v>
      </c>
      <c r="B21" s="50" t="s">
        <v>1783</v>
      </c>
      <c r="C21" s="50" t="s">
        <v>1783</v>
      </c>
      <c r="D21" s="48" t="s">
        <v>56</v>
      </c>
      <c r="E21" s="50" t="s">
        <v>1784</v>
      </c>
      <c r="G21" s="76" t="s">
        <v>1787</v>
      </c>
      <c r="H21" s="50">
        <v>4492</v>
      </c>
      <c r="I21" s="49" t="s">
        <v>2</v>
      </c>
      <c r="J21" s="50" t="s">
        <v>1786</v>
      </c>
      <c r="K21" s="51">
        <v>40996</v>
      </c>
      <c r="L21" s="115">
        <v>40993</v>
      </c>
      <c r="M21" s="50">
        <v>3</v>
      </c>
      <c r="N21" s="50" t="s">
        <v>2</v>
      </c>
      <c r="O21" s="74">
        <f>5/2</f>
        <v>2.5</v>
      </c>
      <c r="Q21" s="74">
        <v>3.81</v>
      </c>
      <c r="R21" s="50">
        <v>47.4</v>
      </c>
      <c r="S21" s="74">
        <v>59</v>
      </c>
      <c r="T21" s="50">
        <f>0.1/2</f>
        <v>0.05</v>
      </c>
      <c r="U21" s="74">
        <v>1.93</v>
      </c>
      <c r="V21" s="50">
        <v>0.72</v>
      </c>
      <c r="W21" s="74">
        <v>0.02</v>
      </c>
      <c r="X21" s="50">
        <v>0.14000000000000001</v>
      </c>
      <c r="Y21" s="74">
        <v>1.4E-2</v>
      </c>
      <c r="Z21" s="164">
        <v>0.35399999999999998</v>
      </c>
      <c r="AA21" s="165">
        <v>0.28599999999999998</v>
      </c>
      <c r="AB21" s="50">
        <v>7.65</v>
      </c>
      <c r="AC21" s="74">
        <v>115</v>
      </c>
      <c r="AD21" s="164">
        <v>0</v>
      </c>
    </row>
    <row r="22" spans="1:47" ht="14">
      <c r="A22" s="74" t="s">
        <v>39</v>
      </c>
      <c r="B22" s="50" t="s">
        <v>1626</v>
      </c>
      <c r="C22" s="50" t="s">
        <v>1627</v>
      </c>
      <c r="D22" s="48" t="s">
        <v>262</v>
      </c>
      <c r="E22" s="50" t="s">
        <v>1628</v>
      </c>
      <c r="G22" s="76" t="s">
        <v>1629</v>
      </c>
      <c r="H22" s="50">
        <v>3731</v>
      </c>
      <c r="I22" s="49" t="s">
        <v>2</v>
      </c>
      <c r="J22" s="50" t="s">
        <v>1631</v>
      </c>
      <c r="K22" s="51">
        <v>41030</v>
      </c>
      <c r="L22" s="115">
        <v>41025</v>
      </c>
      <c r="M22" s="50">
        <v>5</v>
      </c>
      <c r="N22" s="50" t="s">
        <v>2</v>
      </c>
      <c r="O22" s="74">
        <v>3.2</v>
      </c>
      <c r="P22" s="50">
        <v>6.84</v>
      </c>
      <c r="Q22" s="74">
        <v>6.59</v>
      </c>
      <c r="R22" s="50">
        <f>10/2</f>
        <v>5</v>
      </c>
      <c r="S22" s="74">
        <f>5/2</f>
        <v>2.5</v>
      </c>
      <c r="T22" s="50">
        <v>0.02</v>
      </c>
      <c r="U22" s="74">
        <v>0.61</v>
      </c>
      <c r="V22" s="50">
        <v>0.1</v>
      </c>
      <c r="W22" s="74">
        <v>2.1999999999999999E-2</v>
      </c>
      <c r="X22" s="50">
        <v>4.3999999999999997E-2</v>
      </c>
      <c r="Y22" s="74">
        <v>4.0000000000000001E-3</v>
      </c>
      <c r="Z22" s="164">
        <v>0.79400000000000004</v>
      </c>
      <c r="AA22" s="165">
        <v>0.435</v>
      </c>
      <c r="AB22" s="50">
        <v>2</v>
      </c>
      <c r="AC22" s="74">
        <v>10</v>
      </c>
      <c r="AD22" s="164">
        <v>0</v>
      </c>
    </row>
    <row r="23" spans="1:47" s="1" customFormat="1" ht="14">
      <c r="A23" s="49" t="s">
        <v>39</v>
      </c>
      <c r="B23" s="50" t="s">
        <v>1626</v>
      </c>
      <c r="C23" s="50" t="s">
        <v>1627</v>
      </c>
      <c r="D23" s="48" t="s">
        <v>262</v>
      </c>
      <c r="E23" s="50" t="s">
        <v>1628</v>
      </c>
      <c r="F23" s="50"/>
      <c r="G23" s="76" t="s">
        <v>1629</v>
      </c>
      <c r="H23" s="50">
        <v>3731</v>
      </c>
      <c r="I23" s="49" t="s">
        <v>2</v>
      </c>
      <c r="J23" s="50" t="s">
        <v>1630</v>
      </c>
      <c r="K23" s="51">
        <v>41030</v>
      </c>
      <c r="L23" s="115">
        <v>41025</v>
      </c>
      <c r="M23" s="50">
        <v>5</v>
      </c>
      <c r="N23" s="50" t="s">
        <v>2</v>
      </c>
      <c r="O23" s="49">
        <v>2</v>
      </c>
      <c r="P23" s="50">
        <v>6.84</v>
      </c>
      <c r="Q23" s="49">
        <v>6.31</v>
      </c>
      <c r="R23" s="50">
        <f>10/2</f>
        <v>5</v>
      </c>
      <c r="S23" s="49">
        <v>8</v>
      </c>
      <c r="T23" s="50">
        <v>0.01</v>
      </c>
      <c r="U23" s="49">
        <v>0.64</v>
      </c>
      <c r="V23" s="50">
        <v>0.44</v>
      </c>
      <c r="W23" s="49">
        <v>1.0999999999999999E-2</v>
      </c>
      <c r="X23" s="50">
        <v>2.5000000000000001E-2</v>
      </c>
      <c r="Y23" s="49">
        <v>4.0000000000000001E-3</v>
      </c>
      <c r="Z23" s="164">
        <v>1</v>
      </c>
      <c r="AA23" s="269">
        <v>1</v>
      </c>
      <c r="AB23" s="50">
        <v>4</v>
      </c>
      <c r="AC23" s="49">
        <v>8</v>
      </c>
      <c r="AD23" s="164">
        <v>0.85</v>
      </c>
      <c r="AE23" s="50"/>
      <c r="AF23" s="50"/>
      <c r="AG23" s="113"/>
      <c r="AH23" s="49"/>
      <c r="AI23" s="49"/>
      <c r="AJ23" s="113"/>
      <c r="AK23" s="49"/>
      <c r="AL23" s="49"/>
      <c r="AM23" s="49"/>
      <c r="AN23" s="49"/>
      <c r="AO23" s="49"/>
      <c r="AP23" s="49"/>
      <c r="AQ23" s="49"/>
      <c r="AR23" s="49"/>
      <c r="AS23" s="49"/>
      <c r="AT23" s="49"/>
      <c r="AU23" s="49"/>
    </row>
    <row r="24" spans="1:47" ht="14">
      <c r="A24" s="74" t="s">
        <v>39</v>
      </c>
      <c r="B24" s="50" t="s">
        <v>1783</v>
      </c>
      <c r="C24" s="50" t="s">
        <v>1783</v>
      </c>
      <c r="D24" s="230" t="s">
        <v>56</v>
      </c>
      <c r="E24" s="50" t="s">
        <v>1784</v>
      </c>
      <c r="G24" s="231" t="s">
        <v>1785</v>
      </c>
      <c r="H24" s="50">
        <v>4492</v>
      </c>
      <c r="I24" s="52" t="s">
        <v>2</v>
      </c>
      <c r="J24" s="50" t="s">
        <v>1786</v>
      </c>
      <c r="K24" s="51">
        <v>41201</v>
      </c>
      <c r="L24" s="51">
        <v>41198</v>
      </c>
      <c r="M24" s="50">
        <f t="shared" ref="M24:M47" si="1">K24-L24</f>
        <v>3</v>
      </c>
      <c r="N24" s="50" t="s">
        <v>2</v>
      </c>
      <c r="O24" s="74">
        <f>1.4/2</f>
        <v>0.7</v>
      </c>
      <c r="P24" s="50">
        <v>6.83</v>
      </c>
      <c r="Q24" s="75">
        <v>7.11</v>
      </c>
      <c r="R24" s="50">
        <f>10/2</f>
        <v>5</v>
      </c>
      <c r="S24" s="75">
        <v>27</v>
      </c>
      <c r="T24" s="50">
        <v>0.09</v>
      </c>
      <c r="U24" s="75">
        <v>0.37</v>
      </c>
      <c r="V24" s="50">
        <v>0.22</v>
      </c>
      <c r="W24" s="75">
        <v>6.0000000000000001E-3</v>
      </c>
      <c r="X24" s="50">
        <v>1.9E-2</v>
      </c>
      <c r="Y24" s="75">
        <v>4.0000000000000001E-3</v>
      </c>
      <c r="Z24" s="164">
        <v>1</v>
      </c>
      <c r="AA24" s="165">
        <v>1</v>
      </c>
      <c r="AB24" s="50">
        <v>144</v>
      </c>
      <c r="AC24" s="52">
        <v>1643</v>
      </c>
      <c r="AD24" s="164">
        <v>0.95</v>
      </c>
    </row>
    <row r="25" spans="1:47" ht="14">
      <c r="A25" s="74" t="s">
        <v>39</v>
      </c>
      <c r="B25" s="50" t="s">
        <v>1783</v>
      </c>
      <c r="C25" s="50" t="s">
        <v>1783</v>
      </c>
      <c r="D25" s="230" t="s">
        <v>56</v>
      </c>
      <c r="E25" s="50" t="s">
        <v>1784</v>
      </c>
      <c r="G25" s="231" t="s">
        <v>1787</v>
      </c>
      <c r="H25" s="50">
        <v>4492</v>
      </c>
      <c r="I25" s="52" t="s">
        <v>2</v>
      </c>
      <c r="J25" s="50" t="s">
        <v>1786</v>
      </c>
      <c r="K25" s="51">
        <v>41201</v>
      </c>
      <c r="L25" s="115">
        <v>41198</v>
      </c>
      <c r="M25" s="50">
        <f t="shared" si="1"/>
        <v>3</v>
      </c>
      <c r="N25" s="50" t="s">
        <v>2</v>
      </c>
      <c r="O25" s="74">
        <v>1.6</v>
      </c>
      <c r="P25" s="50">
        <v>6.83</v>
      </c>
      <c r="Q25" s="75">
        <v>7.07</v>
      </c>
      <c r="R25" s="50">
        <f>10/2</f>
        <v>5</v>
      </c>
      <c r="S25" s="52">
        <v>19</v>
      </c>
      <c r="T25" s="50">
        <v>0.06</v>
      </c>
      <c r="U25" s="75">
        <v>0.46</v>
      </c>
      <c r="V25" s="50">
        <v>7.0000000000000007E-2</v>
      </c>
      <c r="W25" s="75">
        <v>1.2999999999999999E-2</v>
      </c>
      <c r="X25" s="50">
        <v>4.3999999999999997E-2</v>
      </c>
      <c r="Y25" s="75">
        <v>1.4999999999999999E-2</v>
      </c>
      <c r="Z25" s="164">
        <v>1</v>
      </c>
      <c r="AA25" s="165">
        <v>1</v>
      </c>
      <c r="AB25" s="50">
        <v>2</v>
      </c>
      <c r="AC25" s="52">
        <v>11</v>
      </c>
      <c r="AD25" s="164">
        <v>0.85</v>
      </c>
    </row>
    <row r="26" spans="1:47" ht="14">
      <c r="A26" s="74" t="s">
        <v>39</v>
      </c>
      <c r="B26" s="50" t="s">
        <v>1608</v>
      </c>
      <c r="C26" s="50" t="s">
        <v>1609</v>
      </c>
      <c r="D26" s="48" t="s">
        <v>452</v>
      </c>
      <c r="E26" s="50" t="s">
        <v>398</v>
      </c>
      <c r="G26" s="231" t="s">
        <v>1610</v>
      </c>
      <c r="H26" s="50">
        <v>3731</v>
      </c>
      <c r="I26" s="52" t="s">
        <v>2</v>
      </c>
      <c r="J26" s="50" t="s">
        <v>2459</v>
      </c>
      <c r="K26" s="51">
        <v>41156</v>
      </c>
      <c r="L26" s="115">
        <v>41139</v>
      </c>
      <c r="M26" s="50">
        <f t="shared" si="1"/>
        <v>17</v>
      </c>
      <c r="N26" s="50" t="s">
        <v>2</v>
      </c>
      <c r="O26" s="74">
        <f>5/2</f>
        <v>2.5</v>
      </c>
      <c r="P26" s="50">
        <v>5.48</v>
      </c>
      <c r="Q26" s="75">
        <v>7.54</v>
      </c>
      <c r="R26" s="50">
        <v>178</v>
      </c>
      <c r="S26" s="52">
        <v>11</v>
      </c>
      <c r="T26" s="50">
        <v>0.43</v>
      </c>
      <c r="U26" s="75">
        <v>5.98</v>
      </c>
      <c r="V26" s="50">
        <v>0.93</v>
      </c>
      <c r="W26" s="75">
        <v>2.16</v>
      </c>
      <c r="X26" s="50">
        <v>1.55</v>
      </c>
      <c r="Y26" s="75">
        <v>3.0000000000000001E-3</v>
      </c>
      <c r="AH26" s="74">
        <v>0.15</v>
      </c>
      <c r="AI26" s="74">
        <v>1.21</v>
      </c>
    </row>
    <row r="27" spans="1:47" ht="14">
      <c r="A27" s="74" t="s">
        <v>39</v>
      </c>
      <c r="B27" s="50" t="s">
        <v>2460</v>
      </c>
      <c r="C27" s="50" t="s">
        <v>2460</v>
      </c>
      <c r="D27" s="48" t="s">
        <v>406</v>
      </c>
      <c r="E27" s="50" t="s">
        <v>398</v>
      </c>
      <c r="G27" s="231" t="s">
        <v>2461</v>
      </c>
      <c r="H27" s="50">
        <v>9711</v>
      </c>
      <c r="I27" s="52" t="s">
        <v>1</v>
      </c>
      <c r="J27" s="50" t="s">
        <v>2462</v>
      </c>
      <c r="K27" s="51">
        <v>41156</v>
      </c>
      <c r="L27" s="115">
        <v>41139</v>
      </c>
      <c r="M27" s="50">
        <f t="shared" si="1"/>
        <v>17</v>
      </c>
      <c r="N27" s="50" t="s">
        <v>2</v>
      </c>
      <c r="O27" s="74">
        <f t="shared" ref="O27:O32" si="2">1/2</f>
        <v>0.5</v>
      </c>
      <c r="P27" s="50">
        <v>5.24</v>
      </c>
      <c r="Q27" s="75">
        <v>5.66</v>
      </c>
      <c r="R27" s="50">
        <v>120</v>
      </c>
      <c r="S27" s="52">
        <v>27</v>
      </c>
      <c r="T27" s="50">
        <v>0.18</v>
      </c>
      <c r="U27" s="75">
        <v>2.1</v>
      </c>
      <c r="V27" s="50">
        <v>1.2</v>
      </c>
      <c r="W27" s="75">
        <v>2.4E-2</v>
      </c>
      <c r="X27" s="50">
        <v>0.46</v>
      </c>
      <c r="Y27" s="75">
        <v>0.11</v>
      </c>
      <c r="AE27" s="50">
        <v>180</v>
      </c>
      <c r="AF27" s="50">
        <v>10800</v>
      </c>
    </row>
    <row r="28" spans="1:47" ht="14">
      <c r="A28" s="74" t="s">
        <v>39</v>
      </c>
      <c r="B28" s="50" t="s">
        <v>2460</v>
      </c>
      <c r="C28" s="50" t="s">
        <v>2460</v>
      </c>
      <c r="D28" s="48" t="s">
        <v>406</v>
      </c>
      <c r="E28" s="50" t="s">
        <v>398</v>
      </c>
      <c r="G28" s="231" t="s">
        <v>2461</v>
      </c>
      <c r="H28" s="50">
        <v>9711</v>
      </c>
      <c r="I28" s="52" t="s">
        <v>1</v>
      </c>
      <c r="J28" s="50" t="s">
        <v>2463</v>
      </c>
      <c r="K28" s="51">
        <v>41156</v>
      </c>
      <c r="L28" s="115">
        <v>41139</v>
      </c>
      <c r="M28" s="50">
        <f t="shared" si="1"/>
        <v>17</v>
      </c>
      <c r="N28" s="50" t="s">
        <v>2</v>
      </c>
      <c r="O28" s="74">
        <f t="shared" si="2"/>
        <v>0.5</v>
      </c>
      <c r="P28" s="50">
        <v>5.24</v>
      </c>
      <c r="Q28" s="75">
        <v>7.07</v>
      </c>
      <c r="R28" s="50">
        <v>38</v>
      </c>
      <c r="S28" s="52">
        <v>110</v>
      </c>
      <c r="T28" s="50">
        <v>0.42</v>
      </c>
      <c r="U28" s="75">
        <v>1.4</v>
      </c>
      <c r="V28" s="50">
        <v>0.14000000000000001</v>
      </c>
      <c r="W28" s="75">
        <v>0.01</v>
      </c>
      <c r="X28" s="50">
        <v>2.7E-2</v>
      </c>
      <c r="Y28" s="75">
        <v>1.0999999999999999E-2</v>
      </c>
      <c r="AE28" s="50">
        <v>4700</v>
      </c>
      <c r="AF28" s="50">
        <v>1080</v>
      </c>
    </row>
    <row r="29" spans="1:47" ht="14">
      <c r="A29" s="74" t="s">
        <v>39</v>
      </c>
      <c r="B29" s="50" t="s">
        <v>2460</v>
      </c>
      <c r="C29" s="50" t="s">
        <v>2460</v>
      </c>
      <c r="D29" s="48" t="s">
        <v>406</v>
      </c>
      <c r="E29" s="50" t="s">
        <v>398</v>
      </c>
      <c r="G29" s="231" t="s">
        <v>2461</v>
      </c>
      <c r="H29" s="50">
        <v>9711</v>
      </c>
      <c r="I29" s="52" t="s">
        <v>1</v>
      </c>
      <c r="J29" s="50" t="s">
        <v>2472</v>
      </c>
      <c r="K29" s="51">
        <v>41156</v>
      </c>
      <c r="L29" s="115">
        <v>41139</v>
      </c>
      <c r="M29" s="50">
        <f t="shared" si="1"/>
        <v>17</v>
      </c>
      <c r="N29" s="50" t="s">
        <v>2</v>
      </c>
      <c r="O29" s="74">
        <f t="shared" si="2"/>
        <v>0.5</v>
      </c>
      <c r="P29" s="50">
        <v>5.24</v>
      </c>
      <c r="Q29" s="75">
        <v>5.65</v>
      </c>
      <c r="R29" s="50">
        <v>34</v>
      </c>
      <c r="S29" s="52">
        <v>12</v>
      </c>
      <c r="T29" s="50">
        <v>0.13</v>
      </c>
      <c r="U29" s="75">
        <v>1.6</v>
      </c>
      <c r="V29" s="50">
        <v>0.98</v>
      </c>
      <c r="W29" s="75">
        <v>0.48</v>
      </c>
      <c r="X29" s="50">
        <v>0.25</v>
      </c>
      <c r="Y29" s="75">
        <v>0.01</v>
      </c>
      <c r="AE29" s="50">
        <v>20</v>
      </c>
      <c r="AF29" s="50">
        <v>57</v>
      </c>
    </row>
    <row r="30" spans="1:47" ht="14">
      <c r="A30" s="74" t="s">
        <v>39</v>
      </c>
      <c r="B30" s="50" t="s">
        <v>2460</v>
      </c>
      <c r="C30" s="50" t="s">
        <v>2460</v>
      </c>
      <c r="D30" s="48" t="s">
        <v>406</v>
      </c>
      <c r="E30" s="50" t="s">
        <v>398</v>
      </c>
      <c r="G30" s="231" t="s">
        <v>2461</v>
      </c>
      <c r="H30" s="50">
        <v>9711</v>
      </c>
      <c r="I30" s="52" t="s">
        <v>1</v>
      </c>
      <c r="J30" s="50" t="s">
        <v>2464</v>
      </c>
      <c r="K30" s="51">
        <v>41156</v>
      </c>
      <c r="L30" s="115">
        <v>41139</v>
      </c>
      <c r="M30" s="50">
        <f t="shared" si="1"/>
        <v>17</v>
      </c>
      <c r="N30" s="50" t="s">
        <v>2</v>
      </c>
      <c r="O30" s="74">
        <f t="shared" si="2"/>
        <v>0.5</v>
      </c>
      <c r="P30" s="50">
        <v>5.24</v>
      </c>
      <c r="Q30" s="75">
        <v>6.63</v>
      </c>
      <c r="R30" s="50">
        <v>49</v>
      </c>
      <c r="S30" s="52">
        <v>4</v>
      </c>
      <c r="T30" s="50">
        <v>9.6000000000000002E-2</v>
      </c>
      <c r="U30" s="75">
        <v>1.4</v>
      </c>
      <c r="V30" s="50">
        <v>1.6</v>
      </c>
      <c r="W30" s="75">
        <v>5.3999999999999999E-2</v>
      </c>
      <c r="X30" s="50">
        <v>0.38</v>
      </c>
      <c r="Y30" s="74">
        <f>0.005/2</f>
        <v>2.5000000000000001E-3</v>
      </c>
      <c r="AE30" s="50">
        <v>520</v>
      </c>
      <c r="AF30" s="50">
        <v>5700</v>
      </c>
    </row>
    <row r="31" spans="1:47" ht="14">
      <c r="A31" s="74" t="s">
        <v>39</v>
      </c>
      <c r="B31" s="50" t="s">
        <v>2460</v>
      </c>
      <c r="C31" s="50" t="s">
        <v>2460</v>
      </c>
      <c r="D31" s="48" t="s">
        <v>406</v>
      </c>
      <c r="E31" s="50" t="s">
        <v>398</v>
      </c>
      <c r="G31" s="231" t="s">
        <v>2461</v>
      </c>
      <c r="H31" s="50">
        <v>9711</v>
      </c>
      <c r="I31" s="52" t="s">
        <v>1</v>
      </c>
      <c r="J31" s="50" t="s">
        <v>2465</v>
      </c>
      <c r="K31" s="51">
        <v>41156</v>
      </c>
      <c r="L31" s="115">
        <v>41139</v>
      </c>
      <c r="M31" s="50">
        <f t="shared" si="1"/>
        <v>17</v>
      </c>
      <c r="N31" s="50" t="s">
        <v>2</v>
      </c>
      <c r="O31" s="74">
        <f t="shared" si="2"/>
        <v>0.5</v>
      </c>
      <c r="P31" s="50">
        <v>5.24</v>
      </c>
      <c r="Q31" s="75">
        <v>6.83</v>
      </c>
      <c r="R31" s="50">
        <f>1/2</f>
        <v>0.5</v>
      </c>
      <c r="S31" s="52">
        <v>120</v>
      </c>
      <c r="T31" s="50">
        <v>0.21</v>
      </c>
      <c r="U31" s="75">
        <v>0.83</v>
      </c>
      <c r="V31" s="50">
        <v>0.19</v>
      </c>
      <c r="W31" s="75">
        <v>1.7999999999999999E-2</v>
      </c>
      <c r="X31" s="50">
        <v>9.1999999999999998E-2</v>
      </c>
      <c r="Y31" s="74">
        <v>0.12</v>
      </c>
      <c r="AE31" s="50">
        <v>3300</v>
      </c>
      <c r="AF31" s="50">
        <v>1400</v>
      </c>
    </row>
    <row r="32" spans="1:47" ht="14">
      <c r="A32" s="74" t="s">
        <v>39</v>
      </c>
      <c r="B32" s="50" t="s">
        <v>2460</v>
      </c>
      <c r="C32" s="50" t="s">
        <v>2460</v>
      </c>
      <c r="D32" s="48" t="s">
        <v>406</v>
      </c>
      <c r="E32" s="50" t="s">
        <v>398</v>
      </c>
      <c r="G32" s="231" t="s">
        <v>2461</v>
      </c>
      <c r="H32" s="50">
        <v>9711</v>
      </c>
      <c r="I32" s="52" t="s">
        <v>1</v>
      </c>
      <c r="J32" s="50" t="s">
        <v>2466</v>
      </c>
      <c r="K32" s="51">
        <v>41156</v>
      </c>
      <c r="L32" s="115">
        <v>41139</v>
      </c>
      <c r="M32" s="50">
        <f t="shared" si="1"/>
        <v>17</v>
      </c>
      <c r="N32" s="50" t="s">
        <v>2</v>
      </c>
      <c r="O32" s="74">
        <f t="shared" si="2"/>
        <v>0.5</v>
      </c>
      <c r="P32" s="50">
        <v>5.24</v>
      </c>
      <c r="Q32" s="75">
        <v>6.78</v>
      </c>
      <c r="R32" s="50">
        <v>33</v>
      </c>
      <c r="S32" s="52">
        <v>9</v>
      </c>
      <c r="T32" s="50">
        <v>4.8000000000000001E-2</v>
      </c>
      <c r="U32" s="74">
        <f>0.5/2</f>
        <v>0.25</v>
      </c>
      <c r="V32" s="50">
        <v>5.8000000000000003E-2</v>
      </c>
      <c r="W32" s="75">
        <v>1.2999999999999999E-2</v>
      </c>
      <c r="X32" s="50">
        <v>4.4999999999999998E-2</v>
      </c>
      <c r="Y32" s="74">
        <v>1.6E-2</v>
      </c>
      <c r="AE32" s="50">
        <v>330</v>
      </c>
      <c r="AF32" s="50">
        <v>23000</v>
      </c>
    </row>
    <row r="33" spans="1:33" ht="14">
      <c r="A33" s="74" t="s">
        <v>39</v>
      </c>
      <c r="B33" s="50" t="s">
        <v>2460</v>
      </c>
      <c r="C33" s="50" t="s">
        <v>2460</v>
      </c>
      <c r="D33" s="48" t="s">
        <v>406</v>
      </c>
      <c r="E33" s="50" t="s">
        <v>398</v>
      </c>
      <c r="G33" s="231" t="s">
        <v>2461</v>
      </c>
      <c r="H33" s="50">
        <v>9711</v>
      </c>
      <c r="I33" s="52" t="s">
        <v>1</v>
      </c>
      <c r="J33" s="50" t="s">
        <v>2467</v>
      </c>
      <c r="K33" s="51">
        <v>41156</v>
      </c>
      <c r="L33" s="115">
        <v>41139</v>
      </c>
      <c r="M33" s="50">
        <f t="shared" si="1"/>
        <v>17</v>
      </c>
      <c r="N33" s="50" t="s">
        <v>2</v>
      </c>
      <c r="O33" s="74">
        <f>2/2</f>
        <v>1</v>
      </c>
      <c r="P33" s="50">
        <v>5.24</v>
      </c>
      <c r="Q33" s="75">
        <v>6.75</v>
      </c>
      <c r="R33" s="50">
        <v>13</v>
      </c>
      <c r="S33" s="52">
        <v>64</v>
      </c>
      <c r="T33" s="50">
        <v>0.25</v>
      </c>
      <c r="U33" s="74">
        <f>0.5/2</f>
        <v>0.25</v>
      </c>
      <c r="V33" s="50">
        <v>0.27</v>
      </c>
      <c r="W33" s="75">
        <v>6.1000000000000004E-3</v>
      </c>
      <c r="X33" s="50">
        <v>2.3E-2</v>
      </c>
      <c r="Y33" s="74">
        <v>8.0999999999999996E-3</v>
      </c>
      <c r="AE33" s="50">
        <v>9100</v>
      </c>
      <c r="AF33" s="50">
        <v>1550</v>
      </c>
    </row>
    <row r="34" spans="1:33" ht="14">
      <c r="A34" s="74" t="s">
        <v>39</v>
      </c>
      <c r="B34" s="50" t="s">
        <v>1935</v>
      </c>
      <c r="C34" s="50" t="s">
        <v>2468</v>
      </c>
      <c r="D34" s="48" t="s">
        <v>735</v>
      </c>
      <c r="E34" s="50" t="s">
        <v>1937</v>
      </c>
      <c r="G34" s="231" t="s">
        <v>1938</v>
      </c>
      <c r="H34" s="50">
        <v>3441</v>
      </c>
      <c r="I34" s="52" t="s">
        <v>2</v>
      </c>
      <c r="J34" s="50" t="s">
        <v>194</v>
      </c>
      <c r="K34" s="51">
        <v>41030</v>
      </c>
      <c r="L34" s="115">
        <v>41021</v>
      </c>
      <c r="M34" s="50">
        <f t="shared" si="1"/>
        <v>9</v>
      </c>
      <c r="N34" s="50" t="s">
        <v>2</v>
      </c>
      <c r="O34" s="74">
        <f>1.4/2</f>
        <v>0.7</v>
      </c>
      <c r="P34" s="50">
        <v>7</v>
      </c>
      <c r="Q34" s="75">
        <v>6.82</v>
      </c>
      <c r="R34" s="50">
        <v>39</v>
      </c>
      <c r="S34" s="52">
        <v>5.5</v>
      </c>
      <c r="T34" s="50">
        <v>0.04</v>
      </c>
      <c r="U34" s="74">
        <v>0.96</v>
      </c>
      <c r="V34" s="50">
        <v>0.61</v>
      </c>
      <c r="W34" s="75">
        <v>0.02</v>
      </c>
      <c r="X34" s="50">
        <v>0.19900000000000001</v>
      </c>
      <c r="Y34" s="74">
        <v>4.0000000000000001E-3</v>
      </c>
    </row>
    <row r="35" spans="1:33" ht="14">
      <c r="A35" s="74" t="s">
        <v>39</v>
      </c>
      <c r="B35" s="50" t="s">
        <v>1935</v>
      </c>
      <c r="C35" s="50" t="s">
        <v>2468</v>
      </c>
      <c r="D35" s="48" t="s">
        <v>735</v>
      </c>
      <c r="E35" s="50" t="s">
        <v>1937</v>
      </c>
      <c r="G35" s="231" t="s">
        <v>1938</v>
      </c>
      <c r="H35" s="50">
        <v>3441</v>
      </c>
      <c r="I35" s="52" t="s">
        <v>2</v>
      </c>
      <c r="J35" s="50" t="s">
        <v>569</v>
      </c>
      <c r="K35" s="51">
        <v>41030</v>
      </c>
      <c r="L35" s="115">
        <v>41021</v>
      </c>
      <c r="M35" s="50">
        <f t="shared" si="1"/>
        <v>9</v>
      </c>
      <c r="N35" s="50" t="s">
        <v>2</v>
      </c>
      <c r="O35" s="74">
        <f>1.4/2</f>
        <v>0.7</v>
      </c>
      <c r="P35" s="50">
        <v>7</v>
      </c>
      <c r="Q35" s="75">
        <v>6.55</v>
      </c>
      <c r="R35" s="50">
        <v>39</v>
      </c>
      <c r="S35" s="52">
        <v>13</v>
      </c>
      <c r="T35" s="50">
        <v>1.1000000000000001</v>
      </c>
      <c r="U35" s="74">
        <v>1.92</v>
      </c>
      <c r="V35" s="50">
        <v>0.69</v>
      </c>
      <c r="W35" s="75">
        <v>1.2E-2</v>
      </c>
      <c r="X35" s="50">
        <v>0.755</v>
      </c>
      <c r="Y35" s="74">
        <v>4.0000000000000001E-3</v>
      </c>
      <c r="Z35" s="164">
        <v>0.77500000000000002</v>
      </c>
      <c r="AA35" s="165">
        <v>0.25900000000000001</v>
      </c>
    </row>
    <row r="36" spans="1:33" ht="14">
      <c r="A36" s="74" t="s">
        <v>39</v>
      </c>
      <c r="B36" s="50" t="s">
        <v>1612</v>
      </c>
      <c r="C36" s="50" t="s">
        <v>1612</v>
      </c>
      <c r="D36" s="48" t="s">
        <v>406</v>
      </c>
      <c r="E36" s="50" t="s">
        <v>398</v>
      </c>
      <c r="G36" s="231" t="s">
        <v>1613</v>
      </c>
      <c r="H36" s="50">
        <v>3731</v>
      </c>
      <c r="I36" s="52" t="s">
        <v>1</v>
      </c>
      <c r="J36" s="50" t="s">
        <v>1614</v>
      </c>
      <c r="K36" s="51">
        <v>40996</v>
      </c>
      <c r="L36" s="115">
        <v>40969</v>
      </c>
      <c r="M36" s="50">
        <f t="shared" si="1"/>
        <v>27</v>
      </c>
      <c r="N36" s="50" t="s">
        <v>2</v>
      </c>
      <c r="O36" s="74">
        <v>4.8</v>
      </c>
      <c r="P36" s="50">
        <v>4.75</v>
      </c>
      <c r="Q36" s="75">
        <v>6.12</v>
      </c>
      <c r="R36" s="50">
        <v>132</v>
      </c>
      <c r="S36" s="52">
        <v>25.5</v>
      </c>
      <c r="T36" s="50">
        <v>0.7</v>
      </c>
      <c r="U36" s="74">
        <v>7.83</v>
      </c>
      <c r="V36" s="50">
        <v>1.78</v>
      </c>
      <c r="W36" s="75">
        <v>0.192</v>
      </c>
      <c r="X36" s="50">
        <v>0.72599999999999998</v>
      </c>
      <c r="Y36" s="74">
        <v>1.0999999999999999E-2</v>
      </c>
      <c r="Z36" s="164">
        <v>0.374</v>
      </c>
      <c r="AA36" s="165">
        <v>0.17699999999999999</v>
      </c>
      <c r="AB36" s="50">
        <v>28</v>
      </c>
      <c r="AC36" s="52">
        <v>175</v>
      </c>
      <c r="AD36" s="164">
        <v>0</v>
      </c>
    </row>
    <row r="37" spans="1:33" ht="14">
      <c r="A37" s="74" t="s">
        <v>39</v>
      </c>
      <c r="B37" s="50" t="s">
        <v>1612</v>
      </c>
      <c r="C37" s="50" t="s">
        <v>1612</v>
      </c>
      <c r="D37" s="48" t="s">
        <v>406</v>
      </c>
      <c r="E37" s="50" t="s">
        <v>398</v>
      </c>
      <c r="G37" s="231" t="s">
        <v>1613</v>
      </c>
      <c r="H37" s="50">
        <v>3731</v>
      </c>
      <c r="I37" s="52" t="s">
        <v>1</v>
      </c>
      <c r="J37" s="50" t="s">
        <v>1615</v>
      </c>
      <c r="K37" s="51">
        <v>40996</v>
      </c>
      <c r="L37" s="115">
        <v>40969</v>
      </c>
      <c r="M37" s="50">
        <f t="shared" si="1"/>
        <v>27</v>
      </c>
      <c r="N37" s="50" t="s">
        <v>2</v>
      </c>
      <c r="O37" s="74">
        <v>3.6</v>
      </c>
      <c r="P37" s="50">
        <v>4.75</v>
      </c>
      <c r="Q37" s="75">
        <v>6.53</v>
      </c>
      <c r="R37" s="50">
        <v>68</v>
      </c>
      <c r="S37" s="52">
        <v>17.5</v>
      </c>
      <c r="T37" s="50">
        <v>0.24</v>
      </c>
      <c r="U37" s="74">
        <v>5.31</v>
      </c>
      <c r="V37" s="50">
        <v>0.65</v>
      </c>
      <c r="W37" s="75">
        <v>9.4E-2</v>
      </c>
      <c r="X37" s="50">
        <v>0.246</v>
      </c>
      <c r="Y37" s="74">
        <f>0.005/2</f>
        <v>2.5000000000000001E-3</v>
      </c>
      <c r="Z37" s="164">
        <v>1</v>
      </c>
      <c r="AA37" s="165">
        <v>0.43099999999999999</v>
      </c>
      <c r="AB37" s="50">
        <v>14</v>
      </c>
      <c r="AC37" s="52">
        <v>104</v>
      </c>
      <c r="AD37" s="164">
        <v>0.2</v>
      </c>
    </row>
    <row r="38" spans="1:33" ht="14">
      <c r="A38" s="74" t="s">
        <v>39</v>
      </c>
      <c r="B38" s="50" t="s">
        <v>1612</v>
      </c>
      <c r="C38" s="50" t="s">
        <v>1612</v>
      </c>
      <c r="D38" s="48" t="s">
        <v>406</v>
      </c>
      <c r="E38" s="50" t="s">
        <v>398</v>
      </c>
      <c r="G38" s="231" t="s">
        <v>1613</v>
      </c>
      <c r="H38" s="50">
        <v>3731</v>
      </c>
      <c r="I38" s="52" t="s">
        <v>1</v>
      </c>
      <c r="J38" s="50" t="s">
        <v>1616</v>
      </c>
      <c r="K38" s="51">
        <v>40996</v>
      </c>
      <c r="L38" s="115">
        <v>40969</v>
      </c>
      <c r="M38" s="50">
        <f t="shared" si="1"/>
        <v>27</v>
      </c>
      <c r="N38" s="50" t="s">
        <v>2</v>
      </c>
      <c r="O38" s="74">
        <v>1.7</v>
      </c>
      <c r="P38" s="50">
        <v>4.75</v>
      </c>
      <c r="Q38" s="75">
        <v>6.59</v>
      </c>
      <c r="R38" s="50">
        <v>18</v>
      </c>
      <c r="S38" s="52">
        <v>18</v>
      </c>
      <c r="T38" s="50">
        <v>0.19</v>
      </c>
      <c r="U38" s="74">
        <v>3.16</v>
      </c>
      <c r="V38" s="50">
        <v>0.4</v>
      </c>
      <c r="W38" s="75">
        <v>8.4000000000000005E-2</v>
      </c>
      <c r="X38" s="50">
        <v>0.19700000000000001</v>
      </c>
      <c r="Y38" s="74">
        <v>7.0000000000000001E-3</v>
      </c>
      <c r="Z38" s="164">
        <v>1</v>
      </c>
      <c r="AA38" s="165">
        <v>0.30399999999999999</v>
      </c>
      <c r="AB38" s="50">
        <v>16</v>
      </c>
      <c r="AC38" s="52">
        <v>95</v>
      </c>
      <c r="AD38" s="164">
        <v>0.05</v>
      </c>
    </row>
    <row r="39" spans="1:33" ht="14">
      <c r="A39" s="74" t="s">
        <v>39</v>
      </c>
      <c r="B39" s="50" t="s">
        <v>1612</v>
      </c>
      <c r="C39" s="50" t="s">
        <v>1612</v>
      </c>
      <c r="D39" s="48" t="s">
        <v>406</v>
      </c>
      <c r="E39" s="50" t="s">
        <v>398</v>
      </c>
      <c r="G39" s="231" t="s">
        <v>1613</v>
      </c>
      <c r="H39" s="50">
        <v>3731</v>
      </c>
      <c r="I39" s="52" t="s">
        <v>1</v>
      </c>
      <c r="J39" s="50" t="s">
        <v>1617</v>
      </c>
      <c r="K39" s="51">
        <v>40996</v>
      </c>
      <c r="L39" s="115">
        <v>40969</v>
      </c>
      <c r="M39" s="50">
        <f t="shared" si="1"/>
        <v>27</v>
      </c>
      <c r="N39" s="50" t="s">
        <v>2</v>
      </c>
      <c r="O39" s="74">
        <v>0.7</v>
      </c>
      <c r="P39" s="50">
        <v>4.75</v>
      </c>
      <c r="Q39" s="75">
        <v>6.56</v>
      </c>
      <c r="R39" s="50">
        <f>5/2</f>
        <v>2.5</v>
      </c>
      <c r="S39" s="52">
        <v>48.5</v>
      </c>
      <c r="T39" s="50">
        <v>0.17</v>
      </c>
      <c r="U39" s="74">
        <v>3.02</v>
      </c>
      <c r="V39" s="50">
        <v>0.28999999999999998</v>
      </c>
      <c r="W39" s="75">
        <v>3.2000000000000001E-2</v>
      </c>
      <c r="X39" s="50">
        <v>0.28899999999999998</v>
      </c>
      <c r="Y39" s="74">
        <v>8.9999999999999993E-3</v>
      </c>
      <c r="Z39" s="164">
        <v>1</v>
      </c>
      <c r="AA39" s="165">
        <v>0.70699999999999996</v>
      </c>
      <c r="AB39" s="50">
        <v>4</v>
      </c>
      <c r="AC39" s="52">
        <v>40</v>
      </c>
      <c r="AD39" s="164">
        <v>0</v>
      </c>
    </row>
    <row r="40" spans="1:33" ht="14">
      <c r="A40" s="74" t="s">
        <v>39</v>
      </c>
      <c r="B40" s="50" t="s">
        <v>1612</v>
      </c>
      <c r="C40" s="50" t="s">
        <v>1612</v>
      </c>
      <c r="D40" s="48" t="s">
        <v>406</v>
      </c>
      <c r="E40" s="50" t="s">
        <v>398</v>
      </c>
      <c r="G40" s="231" t="s">
        <v>1613</v>
      </c>
      <c r="H40" s="50">
        <v>3731</v>
      </c>
      <c r="I40" s="52" t="s">
        <v>1</v>
      </c>
      <c r="J40" s="50" t="s">
        <v>1618</v>
      </c>
      <c r="K40" s="51">
        <v>40996</v>
      </c>
      <c r="L40" s="115">
        <v>40969</v>
      </c>
      <c r="M40" s="50">
        <f t="shared" si="1"/>
        <v>27</v>
      </c>
      <c r="N40" s="50" t="s">
        <v>2</v>
      </c>
      <c r="O40" s="74">
        <v>1.8</v>
      </c>
      <c r="P40" s="50">
        <v>4.75</v>
      </c>
      <c r="Q40" s="75">
        <v>6.46</v>
      </c>
      <c r="R40" s="50">
        <v>30</v>
      </c>
      <c r="S40" s="52">
        <v>50.5</v>
      </c>
      <c r="T40" s="50">
        <v>0.27</v>
      </c>
      <c r="U40" s="74">
        <v>4.46</v>
      </c>
      <c r="V40" s="50">
        <v>0.31</v>
      </c>
      <c r="W40" s="75">
        <v>9.6000000000000002E-2</v>
      </c>
      <c r="X40" s="50">
        <v>0.249</v>
      </c>
      <c r="Y40" s="74">
        <v>1.9E-2</v>
      </c>
      <c r="Z40" s="164">
        <v>1</v>
      </c>
      <c r="AA40" s="165">
        <v>0.70699999999999996</v>
      </c>
      <c r="AB40" s="50">
        <v>12</v>
      </c>
      <c r="AC40" s="52">
        <v>122</v>
      </c>
      <c r="AD40" s="164">
        <v>0</v>
      </c>
    </row>
    <row r="41" spans="1:33" ht="14">
      <c r="A41" s="74" t="s">
        <v>39</v>
      </c>
      <c r="B41" s="50" t="s">
        <v>1612</v>
      </c>
      <c r="C41" s="50" t="s">
        <v>1612</v>
      </c>
      <c r="D41" s="48" t="s">
        <v>406</v>
      </c>
      <c r="E41" s="50" t="s">
        <v>398</v>
      </c>
      <c r="G41" s="231" t="s">
        <v>1613</v>
      </c>
      <c r="H41" s="50">
        <v>3731</v>
      </c>
      <c r="I41" s="52" t="s">
        <v>1</v>
      </c>
      <c r="J41" s="50" t="s">
        <v>1619</v>
      </c>
      <c r="K41" s="51">
        <v>40996</v>
      </c>
      <c r="L41" s="115">
        <v>40969</v>
      </c>
      <c r="M41" s="50">
        <f t="shared" si="1"/>
        <v>27</v>
      </c>
      <c r="N41" s="50" t="s">
        <v>2</v>
      </c>
      <c r="O41" s="74">
        <v>1.6</v>
      </c>
      <c r="P41" s="50">
        <v>4.75</v>
      </c>
      <c r="Q41" s="75">
        <v>6.61</v>
      </c>
      <c r="R41" s="50">
        <v>42</v>
      </c>
      <c r="S41" s="52">
        <v>72</v>
      </c>
      <c r="T41" s="50">
        <v>0.66</v>
      </c>
      <c r="U41" s="74">
        <v>6.31</v>
      </c>
      <c r="V41" s="50">
        <v>1.02</v>
      </c>
      <c r="W41" s="75">
        <v>0.125</v>
      </c>
      <c r="X41" s="50">
        <v>0.36899999999999999</v>
      </c>
      <c r="Y41" s="74">
        <v>2.5000000000000001E-2</v>
      </c>
      <c r="Z41" s="164">
        <v>1</v>
      </c>
      <c r="AA41" s="165">
        <v>0.72</v>
      </c>
      <c r="AB41" s="50">
        <v>32</v>
      </c>
      <c r="AC41" s="52">
        <v>303</v>
      </c>
      <c r="AD41" s="164">
        <v>0.05</v>
      </c>
    </row>
    <row r="42" spans="1:33" ht="14">
      <c r="A42" s="74" t="s">
        <v>39</v>
      </c>
      <c r="B42" s="50" t="s">
        <v>1612</v>
      </c>
      <c r="C42" s="50" t="s">
        <v>1612</v>
      </c>
      <c r="D42" s="48" t="s">
        <v>406</v>
      </c>
      <c r="E42" s="50" t="s">
        <v>398</v>
      </c>
      <c r="G42" s="231" t="s">
        <v>1613</v>
      </c>
      <c r="H42" s="50">
        <v>3731</v>
      </c>
      <c r="I42" s="52" t="s">
        <v>1</v>
      </c>
      <c r="J42" s="50" t="s">
        <v>1620</v>
      </c>
      <c r="K42" s="51">
        <v>40996</v>
      </c>
      <c r="L42" s="115">
        <v>40969</v>
      </c>
      <c r="M42" s="50">
        <f t="shared" si="1"/>
        <v>27</v>
      </c>
      <c r="N42" s="50" t="s">
        <v>2</v>
      </c>
      <c r="O42" s="74">
        <v>1.3</v>
      </c>
      <c r="P42" s="50">
        <v>4.75</v>
      </c>
      <c r="Q42" s="75">
        <v>6.86</v>
      </c>
      <c r="R42" s="50">
        <v>18</v>
      </c>
      <c r="S42" s="52">
        <v>90.5</v>
      </c>
      <c r="T42" s="50">
        <v>0.23</v>
      </c>
      <c r="U42" s="74">
        <v>4.46</v>
      </c>
      <c r="V42" s="50">
        <v>0.7</v>
      </c>
      <c r="W42" s="75">
        <v>0.121</v>
      </c>
      <c r="X42" s="50">
        <v>0.29499999999999998</v>
      </c>
      <c r="Y42" s="74">
        <v>2.5000000000000001E-2</v>
      </c>
      <c r="Z42" s="164">
        <v>1</v>
      </c>
      <c r="AA42" s="165">
        <v>0.84499999999999997</v>
      </c>
      <c r="AB42" s="50">
        <v>26</v>
      </c>
      <c r="AC42" s="52">
        <v>416</v>
      </c>
      <c r="AD42" s="164">
        <v>0.5</v>
      </c>
    </row>
    <row r="43" spans="1:33" ht="14">
      <c r="A43" s="74" t="s">
        <v>39</v>
      </c>
      <c r="B43" s="50" t="s">
        <v>1612</v>
      </c>
      <c r="C43" s="50" t="s">
        <v>1612</v>
      </c>
      <c r="D43" s="48" t="s">
        <v>406</v>
      </c>
      <c r="E43" s="50" t="s">
        <v>398</v>
      </c>
      <c r="G43" s="231" t="s">
        <v>1613</v>
      </c>
      <c r="H43" s="50">
        <v>3731</v>
      </c>
      <c r="I43" s="52" t="s">
        <v>1</v>
      </c>
      <c r="J43" s="50" t="s">
        <v>1621</v>
      </c>
      <c r="K43" s="51">
        <v>40996</v>
      </c>
      <c r="L43" s="115">
        <v>40969</v>
      </c>
      <c r="M43" s="50">
        <f t="shared" si="1"/>
        <v>27</v>
      </c>
      <c r="N43" s="50" t="s">
        <v>2</v>
      </c>
      <c r="O43" s="74">
        <v>2.7</v>
      </c>
      <c r="P43" s="50">
        <v>4.75</v>
      </c>
      <c r="Q43" s="75">
        <v>6.57</v>
      </c>
      <c r="R43" s="50">
        <v>12</v>
      </c>
      <c r="S43" s="52">
        <v>115.5</v>
      </c>
      <c r="T43" s="50">
        <v>0.42</v>
      </c>
      <c r="U43" s="74">
        <v>10.15</v>
      </c>
      <c r="V43" s="50">
        <v>0.61</v>
      </c>
      <c r="W43" s="75">
        <v>4.2000000000000003E-2</v>
      </c>
      <c r="X43" s="50">
        <v>0.56499999999999995</v>
      </c>
      <c r="Y43" s="74">
        <v>3.3000000000000002E-2</v>
      </c>
      <c r="Z43" s="164">
        <v>1</v>
      </c>
      <c r="AA43" s="165">
        <v>0.70699999999999996</v>
      </c>
      <c r="AB43" s="50">
        <v>26</v>
      </c>
      <c r="AC43" s="52">
        <v>293</v>
      </c>
      <c r="AD43" s="164">
        <v>0</v>
      </c>
    </row>
    <row r="44" spans="1:33" ht="14">
      <c r="A44" s="74" t="s">
        <v>39</v>
      </c>
      <c r="B44" s="50" t="s">
        <v>1612</v>
      </c>
      <c r="C44" s="50" t="s">
        <v>1612</v>
      </c>
      <c r="D44" s="48" t="s">
        <v>406</v>
      </c>
      <c r="E44" s="50" t="s">
        <v>398</v>
      </c>
      <c r="G44" s="231" t="s">
        <v>1613</v>
      </c>
      <c r="H44" s="50">
        <v>3731</v>
      </c>
      <c r="I44" s="52" t="s">
        <v>1</v>
      </c>
      <c r="J44" s="50" t="s">
        <v>1622</v>
      </c>
      <c r="K44" s="51">
        <v>40996</v>
      </c>
      <c r="L44" s="115">
        <v>40969</v>
      </c>
      <c r="M44" s="50">
        <f t="shared" si="1"/>
        <v>27</v>
      </c>
      <c r="N44" s="50" t="s">
        <v>2</v>
      </c>
      <c r="O44" s="74">
        <v>1.2</v>
      </c>
      <c r="P44" s="50">
        <v>4.75</v>
      </c>
      <c r="Q44" s="75">
        <v>6.74</v>
      </c>
      <c r="R44" s="50">
        <v>20</v>
      </c>
      <c r="S44" s="52">
        <v>103.5</v>
      </c>
      <c r="T44" s="50">
        <v>0.05</v>
      </c>
      <c r="U44" s="74">
        <v>5.78</v>
      </c>
      <c r="V44" s="50">
        <v>2.4</v>
      </c>
      <c r="W44" s="75">
        <v>3.5999999999999997E-2</v>
      </c>
      <c r="X44" s="50">
        <v>0.28499999999999998</v>
      </c>
      <c r="Y44" s="74">
        <v>0.02</v>
      </c>
      <c r="Z44" s="164">
        <v>1</v>
      </c>
      <c r="AA44" s="165">
        <v>1</v>
      </c>
      <c r="AB44" s="50">
        <v>82</v>
      </c>
      <c r="AC44" s="52">
        <v>553</v>
      </c>
      <c r="AD44" s="164">
        <v>1</v>
      </c>
    </row>
    <row r="45" spans="1:33" ht="14">
      <c r="A45" s="74" t="s">
        <v>39</v>
      </c>
      <c r="B45" s="50" t="s">
        <v>1612</v>
      </c>
      <c r="C45" s="50" t="s">
        <v>1612</v>
      </c>
      <c r="D45" s="48" t="s">
        <v>406</v>
      </c>
      <c r="E45" s="50" t="s">
        <v>398</v>
      </c>
      <c r="G45" s="231" t="s">
        <v>1613</v>
      </c>
      <c r="H45" s="50">
        <v>3731</v>
      </c>
      <c r="I45" s="52" t="s">
        <v>1</v>
      </c>
      <c r="J45" s="50" t="s">
        <v>1623</v>
      </c>
      <c r="K45" s="51">
        <v>40996</v>
      </c>
      <c r="L45" s="115">
        <v>40969</v>
      </c>
      <c r="M45" s="50">
        <f t="shared" si="1"/>
        <v>27</v>
      </c>
      <c r="N45" s="50" t="s">
        <v>2</v>
      </c>
      <c r="O45" s="74">
        <v>6.6</v>
      </c>
      <c r="P45" s="50">
        <v>4.75</v>
      </c>
      <c r="Q45" s="75">
        <v>5.88</v>
      </c>
      <c r="R45" s="50">
        <v>66</v>
      </c>
      <c r="S45" s="52">
        <v>46.5</v>
      </c>
      <c r="T45" s="50">
        <v>0.27</v>
      </c>
      <c r="U45" s="74">
        <v>7.83</v>
      </c>
      <c r="V45" s="50">
        <v>2.0299999999999998</v>
      </c>
      <c r="W45" s="75">
        <v>7.9000000000000001E-2</v>
      </c>
      <c r="X45" s="50">
        <v>3.0350000000000001</v>
      </c>
      <c r="Y45" s="74">
        <v>1.4999999999999999E-2</v>
      </c>
      <c r="Z45" s="164">
        <v>0.39900000000000002</v>
      </c>
      <c r="AA45" s="165">
        <v>0.17100000000000001</v>
      </c>
      <c r="AB45" s="50">
        <v>24</v>
      </c>
      <c r="AC45" s="52">
        <v>141</v>
      </c>
      <c r="AD45" s="164">
        <v>0</v>
      </c>
    </row>
    <row r="46" spans="1:33" ht="14">
      <c r="A46" s="74" t="s">
        <v>39</v>
      </c>
      <c r="B46" s="50" t="s">
        <v>1612</v>
      </c>
      <c r="C46" s="50" t="s">
        <v>1612</v>
      </c>
      <c r="D46" s="48" t="s">
        <v>406</v>
      </c>
      <c r="E46" s="50" t="s">
        <v>398</v>
      </c>
      <c r="G46" s="231" t="s">
        <v>1613</v>
      </c>
      <c r="H46" s="50">
        <v>3731</v>
      </c>
      <c r="I46" s="52" t="s">
        <v>1</v>
      </c>
      <c r="J46" s="50" t="s">
        <v>1624</v>
      </c>
      <c r="K46" s="51">
        <v>40996</v>
      </c>
      <c r="L46" s="115">
        <v>40969</v>
      </c>
      <c r="M46" s="50">
        <f t="shared" si="1"/>
        <v>27</v>
      </c>
      <c r="N46" s="50" t="s">
        <v>2</v>
      </c>
      <c r="O46" s="74">
        <v>2.5</v>
      </c>
      <c r="P46" s="50">
        <v>4.75</v>
      </c>
      <c r="Q46" s="75">
        <v>6.25</v>
      </c>
      <c r="R46" s="50">
        <v>66</v>
      </c>
      <c r="S46" s="52">
        <v>36</v>
      </c>
      <c r="T46" s="50">
        <v>0.32</v>
      </c>
      <c r="U46" s="74">
        <v>4.46</v>
      </c>
      <c r="V46" s="50">
        <v>0.48</v>
      </c>
      <c r="W46" s="75">
        <v>6.6000000000000003E-2</v>
      </c>
      <c r="X46" s="50">
        <v>0.35699999999999998</v>
      </c>
      <c r="Y46" s="74">
        <v>8.9999999999999993E-3</v>
      </c>
      <c r="Z46" s="164">
        <v>1</v>
      </c>
      <c r="AA46" s="165">
        <v>0.93899999999999995</v>
      </c>
      <c r="AB46" s="50">
        <v>20</v>
      </c>
      <c r="AC46" s="52">
        <v>130</v>
      </c>
      <c r="AD46" s="164">
        <v>0.45</v>
      </c>
    </row>
    <row r="47" spans="1:33" ht="14">
      <c r="A47" s="74" t="s">
        <v>39</v>
      </c>
      <c r="B47" s="50" t="s">
        <v>1612</v>
      </c>
      <c r="C47" s="50" t="s">
        <v>1612</v>
      </c>
      <c r="D47" s="48" t="s">
        <v>406</v>
      </c>
      <c r="E47" s="50" t="s">
        <v>398</v>
      </c>
      <c r="G47" s="231" t="s">
        <v>1613</v>
      </c>
      <c r="H47" s="50">
        <v>3731</v>
      </c>
      <c r="I47" s="52" t="s">
        <v>1</v>
      </c>
      <c r="J47" s="50" t="s">
        <v>1625</v>
      </c>
      <c r="K47" s="51">
        <v>40996</v>
      </c>
      <c r="L47" s="115">
        <v>40969</v>
      </c>
      <c r="M47" s="50">
        <f t="shared" si="1"/>
        <v>27</v>
      </c>
      <c r="N47" s="50" t="s">
        <v>2</v>
      </c>
      <c r="O47" s="74">
        <v>4.5</v>
      </c>
      <c r="P47" s="50">
        <v>4.75</v>
      </c>
      <c r="Q47" s="75">
        <v>6.25</v>
      </c>
      <c r="R47" s="50">
        <v>38</v>
      </c>
      <c r="S47" s="52">
        <v>21</v>
      </c>
      <c r="T47" s="50">
        <v>0.1</v>
      </c>
      <c r="U47" s="74">
        <v>3.44</v>
      </c>
      <c r="V47" s="50">
        <v>0.81</v>
      </c>
      <c r="W47" s="75">
        <v>6.8000000000000005E-2</v>
      </c>
      <c r="X47" s="50">
        <v>0.58899999999999997</v>
      </c>
      <c r="Y47" s="74">
        <v>1.4999999999999999E-2</v>
      </c>
      <c r="Z47" s="164">
        <v>0.35399999999999998</v>
      </c>
      <c r="AA47" s="165">
        <v>0.25</v>
      </c>
      <c r="AB47" s="50">
        <v>14</v>
      </c>
      <c r="AC47" s="52">
        <v>87</v>
      </c>
      <c r="AD47" s="164">
        <v>0</v>
      </c>
    </row>
    <row r="48" spans="1:33" ht="14">
      <c r="A48" s="74" t="s">
        <v>39</v>
      </c>
      <c r="B48" s="50" t="s">
        <v>2635</v>
      </c>
      <c r="C48" s="50" t="s">
        <v>2626</v>
      </c>
      <c r="D48" s="77" t="s">
        <v>406</v>
      </c>
      <c r="E48" s="50" t="s">
        <v>398</v>
      </c>
      <c r="G48" s="231" t="s">
        <v>2627</v>
      </c>
      <c r="K48" s="51">
        <v>40857</v>
      </c>
      <c r="L48" s="115"/>
      <c r="N48" s="50" t="s">
        <v>2</v>
      </c>
      <c r="O48" s="74">
        <f>2/2</f>
        <v>1</v>
      </c>
      <c r="P48" s="50">
        <v>5.58</v>
      </c>
      <c r="Q48" s="75">
        <v>6</v>
      </c>
      <c r="R48" s="50">
        <v>5</v>
      </c>
      <c r="S48" s="52">
        <v>42</v>
      </c>
      <c r="T48" s="50">
        <v>0.01</v>
      </c>
      <c r="U48" s="74">
        <f>0.14/2</f>
        <v>7.0000000000000007E-2</v>
      </c>
      <c r="V48" s="50">
        <v>1</v>
      </c>
      <c r="W48" s="75">
        <v>0.17</v>
      </c>
      <c r="X48" s="50">
        <v>0.36</v>
      </c>
      <c r="Y48" s="74">
        <v>0.01</v>
      </c>
      <c r="Z48" s="164">
        <v>8.8400000000000006E-2</v>
      </c>
      <c r="AA48" s="165">
        <v>8.8400000000000006E-2</v>
      </c>
      <c r="AB48" s="50">
        <v>200</v>
      </c>
      <c r="AC48" s="52">
        <v>176</v>
      </c>
      <c r="AD48" s="164">
        <v>0</v>
      </c>
      <c r="AG48" s="50"/>
    </row>
    <row r="49" spans="1:33" ht="14">
      <c r="A49" s="74" t="s">
        <v>39</v>
      </c>
      <c r="B49" s="50" t="s">
        <v>2460</v>
      </c>
      <c r="C49" s="50" t="s">
        <v>2460</v>
      </c>
      <c r="D49" s="77" t="s">
        <v>406</v>
      </c>
      <c r="E49" s="50" t="s">
        <v>398</v>
      </c>
      <c r="G49" s="231" t="s">
        <v>2461</v>
      </c>
      <c r="H49" s="50">
        <v>9711</v>
      </c>
      <c r="I49" s="52" t="s">
        <v>1</v>
      </c>
      <c r="J49" s="50" t="s">
        <v>2628</v>
      </c>
      <c r="K49" s="51">
        <v>41240</v>
      </c>
      <c r="L49" s="115">
        <v>41226</v>
      </c>
      <c r="N49" s="50" t="s">
        <v>2</v>
      </c>
      <c r="O49" s="74">
        <f>1/2</f>
        <v>0.5</v>
      </c>
      <c r="P49" s="50">
        <v>6.57</v>
      </c>
      <c r="Q49" s="75">
        <v>6.84</v>
      </c>
      <c r="R49" s="50">
        <v>72</v>
      </c>
      <c r="S49" s="74">
        <f t="shared" ref="S49:S54" si="3">5/2</f>
        <v>2.5</v>
      </c>
      <c r="T49" s="50">
        <v>6.8000000000000005E-2</v>
      </c>
      <c r="U49" s="74">
        <v>1.4</v>
      </c>
      <c r="V49" s="50">
        <v>0.46</v>
      </c>
      <c r="W49" s="75">
        <v>8.6999999999999994E-3</v>
      </c>
      <c r="X49" s="50">
        <v>7.4999999999999997E-2</v>
      </c>
      <c r="Y49" s="74">
        <v>1.7000000000000001E-2</v>
      </c>
      <c r="Z49" s="164">
        <v>1</v>
      </c>
      <c r="AA49" s="165">
        <v>1</v>
      </c>
      <c r="AB49" s="50">
        <v>28</v>
      </c>
      <c r="AC49" s="52">
        <v>396</v>
      </c>
      <c r="AD49" s="164">
        <v>1</v>
      </c>
      <c r="AG49" s="50"/>
    </row>
    <row r="50" spans="1:33" ht="14">
      <c r="A50" s="74" t="s">
        <v>39</v>
      </c>
      <c r="B50" s="50" t="s">
        <v>2460</v>
      </c>
      <c r="C50" s="50" t="s">
        <v>2460</v>
      </c>
      <c r="D50" s="77" t="s">
        <v>406</v>
      </c>
      <c r="E50" s="50" t="s">
        <v>398</v>
      </c>
      <c r="G50" s="231" t="s">
        <v>2461</v>
      </c>
      <c r="H50" s="50">
        <v>9711</v>
      </c>
      <c r="I50" s="52" t="s">
        <v>1</v>
      </c>
      <c r="J50" s="50" t="s">
        <v>2629</v>
      </c>
      <c r="K50" s="51">
        <v>41240</v>
      </c>
      <c r="L50" s="115">
        <v>41226</v>
      </c>
      <c r="N50" s="50" t="s">
        <v>2</v>
      </c>
      <c r="O50" s="74">
        <f>1/2</f>
        <v>0.5</v>
      </c>
      <c r="P50" s="50">
        <v>6.57</v>
      </c>
      <c r="Q50" s="75">
        <v>6.85</v>
      </c>
      <c r="R50" s="50">
        <v>33</v>
      </c>
      <c r="S50" s="74">
        <f t="shared" si="3"/>
        <v>2.5</v>
      </c>
      <c r="T50" s="50">
        <v>1.7999999999999999E-2</v>
      </c>
      <c r="U50" s="74">
        <f>0.5/2</f>
        <v>0.25</v>
      </c>
      <c r="V50" s="50">
        <v>0.4</v>
      </c>
      <c r="W50" s="74">
        <f>0.002/2</f>
        <v>1E-3</v>
      </c>
      <c r="X50" s="50">
        <v>4.3E-3</v>
      </c>
      <c r="Y50" s="74">
        <f>0.002/2</f>
        <v>1E-3</v>
      </c>
      <c r="Z50" s="164">
        <v>1</v>
      </c>
      <c r="AA50" s="165">
        <v>1</v>
      </c>
      <c r="AB50" s="50">
        <v>78</v>
      </c>
      <c r="AC50" s="52">
        <v>774</v>
      </c>
      <c r="AD50" s="164">
        <v>1</v>
      </c>
      <c r="AG50" s="50"/>
    </row>
    <row r="51" spans="1:33" ht="14">
      <c r="A51" s="74" t="s">
        <v>39</v>
      </c>
      <c r="B51" s="50" t="s">
        <v>2460</v>
      </c>
      <c r="C51" s="50" t="s">
        <v>2460</v>
      </c>
      <c r="D51" s="77" t="s">
        <v>406</v>
      </c>
      <c r="E51" s="50" t="s">
        <v>398</v>
      </c>
      <c r="G51" s="231" t="s">
        <v>2461</v>
      </c>
      <c r="H51" s="50">
        <v>9711</v>
      </c>
      <c r="I51" s="52" t="s">
        <v>1</v>
      </c>
      <c r="J51" s="50" t="s">
        <v>2630</v>
      </c>
      <c r="K51" s="51">
        <v>41240</v>
      </c>
      <c r="L51" s="115">
        <v>41226</v>
      </c>
      <c r="N51" s="50" t="s">
        <v>2</v>
      </c>
      <c r="O51" s="74">
        <f>1/2</f>
        <v>0.5</v>
      </c>
      <c r="P51" s="50">
        <v>6.57</v>
      </c>
      <c r="Q51" s="75">
        <v>6.75</v>
      </c>
      <c r="R51" s="50">
        <v>26</v>
      </c>
      <c r="S51" s="74">
        <f t="shared" si="3"/>
        <v>2.5</v>
      </c>
      <c r="T51" s="50">
        <v>4.8000000000000001E-2</v>
      </c>
      <c r="U51" s="74">
        <f>0.5/2</f>
        <v>0.25</v>
      </c>
      <c r="V51" s="50">
        <v>0.37</v>
      </c>
      <c r="W51" s="74">
        <v>0.28999999999999998</v>
      </c>
      <c r="X51" s="50">
        <v>6.8000000000000005E-2</v>
      </c>
      <c r="Y51" s="74">
        <v>5.0000000000000001E-3</v>
      </c>
      <c r="Z51" s="164">
        <v>6.25E-2</v>
      </c>
      <c r="AA51" s="165">
        <v>6.25E-2</v>
      </c>
      <c r="AB51" s="50">
        <v>16</v>
      </c>
      <c r="AC51" s="52">
        <v>132</v>
      </c>
      <c r="AD51" s="164">
        <v>0</v>
      </c>
      <c r="AG51" s="50"/>
    </row>
    <row r="52" spans="1:33" ht="14">
      <c r="A52" s="74" t="s">
        <v>39</v>
      </c>
      <c r="B52" s="50" t="s">
        <v>2460</v>
      </c>
      <c r="C52" s="50" t="s">
        <v>2460</v>
      </c>
      <c r="D52" s="77" t="s">
        <v>406</v>
      </c>
      <c r="E52" s="50" t="s">
        <v>398</v>
      </c>
      <c r="G52" s="231" t="s">
        <v>2461</v>
      </c>
      <c r="H52" s="50">
        <v>9711</v>
      </c>
      <c r="I52" s="52" t="s">
        <v>1</v>
      </c>
      <c r="J52" s="50" t="s">
        <v>2631</v>
      </c>
      <c r="K52" s="51">
        <v>41240</v>
      </c>
      <c r="L52" s="115">
        <v>41226</v>
      </c>
      <c r="N52" s="50" t="s">
        <v>2</v>
      </c>
      <c r="O52" s="74">
        <f>1/2</f>
        <v>0.5</v>
      </c>
      <c r="P52" s="50">
        <v>6.57</v>
      </c>
      <c r="Q52" s="75">
        <v>7.15</v>
      </c>
      <c r="R52" s="50">
        <v>11</v>
      </c>
      <c r="S52" s="74">
        <f t="shared" si="3"/>
        <v>2.5</v>
      </c>
      <c r="T52" s="50">
        <v>0.03</v>
      </c>
      <c r="U52" s="74">
        <f>0.5/2</f>
        <v>0.25</v>
      </c>
      <c r="V52" s="50">
        <v>0.44</v>
      </c>
      <c r="W52" s="74">
        <v>1.7000000000000001E-2</v>
      </c>
      <c r="X52" s="50">
        <v>0.19</v>
      </c>
      <c r="Y52" s="74">
        <f>0.002/2</f>
        <v>1E-3</v>
      </c>
      <c r="Z52" s="164">
        <v>1</v>
      </c>
      <c r="AA52" s="165">
        <v>0.70699999999999996</v>
      </c>
      <c r="AB52" s="50">
        <v>8</v>
      </c>
      <c r="AC52" s="52">
        <v>35</v>
      </c>
      <c r="AD52" s="164">
        <v>0</v>
      </c>
      <c r="AG52" s="50"/>
    </row>
    <row r="53" spans="1:33" ht="14">
      <c r="A53" s="74" t="s">
        <v>39</v>
      </c>
      <c r="B53" s="50" t="s">
        <v>2460</v>
      </c>
      <c r="C53" s="50" t="s">
        <v>2460</v>
      </c>
      <c r="D53" s="77" t="s">
        <v>406</v>
      </c>
      <c r="E53" s="50" t="s">
        <v>398</v>
      </c>
      <c r="G53" s="231" t="s">
        <v>2461</v>
      </c>
      <c r="H53" s="50">
        <v>9711</v>
      </c>
      <c r="I53" s="52" t="s">
        <v>1</v>
      </c>
      <c r="J53" s="50" t="s">
        <v>2632</v>
      </c>
      <c r="K53" s="51">
        <v>41240</v>
      </c>
      <c r="L53" s="115">
        <v>41226</v>
      </c>
      <c r="N53" s="50" t="s">
        <v>2</v>
      </c>
      <c r="O53" s="74">
        <v>1.6</v>
      </c>
      <c r="P53" s="50">
        <v>6.57</v>
      </c>
      <c r="Q53" s="75">
        <v>7.45</v>
      </c>
      <c r="R53" s="50">
        <v>41</v>
      </c>
      <c r="S53" s="74">
        <f t="shared" si="3"/>
        <v>2.5</v>
      </c>
      <c r="T53" s="50">
        <v>7.8E-2</v>
      </c>
      <c r="U53" s="74">
        <v>0.59</v>
      </c>
      <c r="V53" s="50">
        <v>0.31</v>
      </c>
      <c r="W53" s="74">
        <v>9.7999999999999997E-3</v>
      </c>
      <c r="X53" s="50">
        <v>7.1999999999999995E-2</v>
      </c>
      <c r="Y53" s="74">
        <v>5.5999999999999999E-3</v>
      </c>
      <c r="Z53" s="164">
        <v>1</v>
      </c>
      <c r="AA53" s="165">
        <v>1</v>
      </c>
      <c r="AB53" s="50">
        <v>6</v>
      </c>
      <c r="AC53" s="52">
        <v>53</v>
      </c>
      <c r="AD53" s="164">
        <v>0.8</v>
      </c>
      <c r="AG53" s="50"/>
    </row>
    <row r="54" spans="1:33" ht="14">
      <c r="A54" s="74" t="s">
        <v>39</v>
      </c>
      <c r="B54" s="50" t="s">
        <v>2460</v>
      </c>
      <c r="C54" s="50" t="s">
        <v>2460</v>
      </c>
      <c r="D54" s="77" t="s">
        <v>406</v>
      </c>
      <c r="E54" s="50" t="s">
        <v>398</v>
      </c>
      <c r="G54" s="231" t="s">
        <v>2461</v>
      </c>
      <c r="H54" s="50">
        <v>9711</v>
      </c>
      <c r="I54" s="52" t="s">
        <v>1</v>
      </c>
      <c r="J54" s="50" t="s">
        <v>2633</v>
      </c>
      <c r="K54" s="51">
        <v>41240</v>
      </c>
      <c r="L54" s="115">
        <v>41226</v>
      </c>
      <c r="N54" s="50" t="s">
        <v>2</v>
      </c>
      <c r="O54" s="74">
        <v>1</v>
      </c>
      <c r="P54" s="50">
        <v>6.57</v>
      </c>
      <c r="Q54" s="75">
        <v>7.06</v>
      </c>
      <c r="R54" s="50">
        <v>46</v>
      </c>
      <c r="S54" s="74">
        <f t="shared" si="3"/>
        <v>2.5</v>
      </c>
      <c r="T54" s="50">
        <v>0.1</v>
      </c>
      <c r="U54" s="74">
        <v>0.96</v>
      </c>
      <c r="V54" s="50">
        <v>0.27</v>
      </c>
      <c r="W54" s="74">
        <v>7.0000000000000007E-2</v>
      </c>
      <c r="X54" s="50">
        <v>0.11</v>
      </c>
      <c r="Y54" s="74">
        <v>6.0000000000000001E-3</v>
      </c>
      <c r="Z54" s="164">
        <v>1</v>
      </c>
      <c r="AA54" s="165">
        <v>0.18</v>
      </c>
      <c r="AB54" s="50">
        <v>20</v>
      </c>
      <c r="AC54" s="52">
        <v>263</v>
      </c>
      <c r="AD54" s="164">
        <v>0</v>
      </c>
      <c r="AG54" s="50"/>
    </row>
    <row r="55" spans="1:33" ht="14">
      <c r="A55" s="74" t="s">
        <v>39</v>
      </c>
      <c r="B55" s="50" t="s">
        <v>2460</v>
      </c>
      <c r="C55" s="50" t="s">
        <v>2460</v>
      </c>
      <c r="D55" s="77" t="s">
        <v>406</v>
      </c>
      <c r="E55" s="50" t="s">
        <v>398</v>
      </c>
      <c r="G55" s="231" t="s">
        <v>2461</v>
      </c>
      <c r="H55" s="50">
        <v>9711</v>
      </c>
      <c r="I55" s="52" t="s">
        <v>1</v>
      </c>
      <c r="J55" s="50" t="s">
        <v>2634</v>
      </c>
      <c r="K55" s="51">
        <v>41240</v>
      </c>
      <c r="L55" s="115">
        <v>41226</v>
      </c>
      <c r="N55" s="50" t="s">
        <v>2</v>
      </c>
      <c r="O55" s="74">
        <v>1.7</v>
      </c>
      <c r="P55" s="50">
        <v>6.57</v>
      </c>
      <c r="Q55" s="75">
        <v>7.21</v>
      </c>
      <c r="R55" s="50">
        <v>250</v>
      </c>
      <c r="S55" s="52">
        <v>9.1999999999999993</v>
      </c>
      <c r="T55" s="50">
        <v>8.7999999999999995E-2</v>
      </c>
      <c r="U55" s="74">
        <v>0.94</v>
      </c>
      <c r="V55" s="50">
        <v>0.33</v>
      </c>
      <c r="W55" s="74">
        <v>0.01</v>
      </c>
      <c r="X55" s="50">
        <v>2.9000000000000001E-2</v>
      </c>
      <c r="Y55" s="74">
        <f>0.002/2</f>
        <v>1E-3</v>
      </c>
      <c r="Z55" s="164">
        <v>1</v>
      </c>
      <c r="AA55" s="165">
        <v>1</v>
      </c>
      <c r="AB55" s="50">
        <v>10</v>
      </c>
      <c r="AC55" s="52">
        <v>263</v>
      </c>
      <c r="AD55" s="164">
        <v>1</v>
      </c>
      <c r="AG55" s="50"/>
    </row>
    <row r="56" spans="1:33" ht="14">
      <c r="A56" s="74" t="s">
        <v>39</v>
      </c>
      <c r="B56" s="50" t="s">
        <v>1626</v>
      </c>
      <c r="C56" s="50" t="s">
        <v>1627</v>
      </c>
      <c r="D56" s="48" t="s">
        <v>262</v>
      </c>
      <c r="E56" s="50" t="s">
        <v>1628</v>
      </c>
      <c r="G56" s="76" t="s">
        <v>1629</v>
      </c>
      <c r="H56" s="50">
        <v>3731</v>
      </c>
      <c r="I56" s="49" t="s">
        <v>2</v>
      </c>
      <c r="J56" s="50" t="s">
        <v>1631</v>
      </c>
      <c r="K56" s="51">
        <v>41201</v>
      </c>
      <c r="L56" s="115">
        <v>41197</v>
      </c>
      <c r="N56" s="50" t="s">
        <v>2</v>
      </c>
      <c r="O56" s="74">
        <f>1.4/2</f>
        <v>0.7</v>
      </c>
      <c r="P56" s="50">
        <v>6.56</v>
      </c>
      <c r="Q56" s="74">
        <v>6.67</v>
      </c>
      <c r="R56" s="50">
        <f>10/2</f>
        <v>5</v>
      </c>
      <c r="S56" s="74">
        <v>6</v>
      </c>
      <c r="T56" s="50">
        <v>0.01</v>
      </c>
      <c r="U56" s="74">
        <v>0.48</v>
      </c>
      <c r="V56" s="50">
        <v>0.22</v>
      </c>
      <c r="W56" s="74">
        <v>1.2999999999999999E-2</v>
      </c>
      <c r="X56" s="50">
        <v>4.2000000000000003E-2</v>
      </c>
      <c r="Y56" s="74">
        <f>0.002/2</f>
        <v>1E-3</v>
      </c>
      <c r="Z56" s="164">
        <v>1</v>
      </c>
      <c r="AA56" s="165">
        <v>0.71499999999999997</v>
      </c>
      <c r="AB56" s="50">
        <v>4</v>
      </c>
      <c r="AC56" s="52">
        <v>19</v>
      </c>
      <c r="AD56" s="166">
        <v>0.05</v>
      </c>
      <c r="AG56" s="50"/>
    </row>
    <row r="57" spans="1:33" ht="14">
      <c r="A57" s="49" t="s">
        <v>39</v>
      </c>
      <c r="B57" s="50" t="s">
        <v>1626</v>
      </c>
      <c r="C57" s="50" t="s">
        <v>1627</v>
      </c>
      <c r="D57" s="48" t="s">
        <v>262</v>
      </c>
      <c r="E57" s="50" t="s">
        <v>1628</v>
      </c>
      <c r="G57" s="76" t="s">
        <v>1629</v>
      </c>
      <c r="H57" s="50">
        <v>3731</v>
      </c>
      <c r="I57" s="49" t="s">
        <v>2</v>
      </c>
      <c r="J57" s="50" t="s">
        <v>1630</v>
      </c>
      <c r="K57" s="51">
        <v>41201</v>
      </c>
      <c r="L57" s="115">
        <v>41197</v>
      </c>
      <c r="N57" s="50" t="s">
        <v>2</v>
      </c>
      <c r="O57" s="74">
        <f>1.4/2</f>
        <v>0.7</v>
      </c>
      <c r="P57" s="50">
        <v>6.56</v>
      </c>
      <c r="Q57" s="74">
        <v>6.6</v>
      </c>
      <c r="R57" s="50">
        <f>10/2</f>
        <v>5</v>
      </c>
      <c r="S57" s="74">
        <f>5/2</f>
        <v>2.5</v>
      </c>
      <c r="T57" s="50">
        <v>0.02</v>
      </c>
      <c r="U57" s="74">
        <v>0.66</v>
      </c>
      <c r="V57" s="50">
        <v>0.23</v>
      </c>
      <c r="W57" s="74">
        <v>0.01</v>
      </c>
      <c r="X57" s="50">
        <v>4.2000000000000003E-2</v>
      </c>
      <c r="Y57" s="74">
        <f>0.002/2</f>
        <v>1E-3</v>
      </c>
      <c r="Z57" s="164">
        <v>1</v>
      </c>
      <c r="AA57" s="165">
        <v>0.76</v>
      </c>
      <c r="AB57" s="50">
        <v>2</v>
      </c>
      <c r="AC57" s="52">
        <v>20</v>
      </c>
      <c r="AD57" s="166">
        <v>0.2</v>
      </c>
      <c r="AG57" s="50"/>
    </row>
    <row r="58" spans="1:33" ht="14">
      <c r="A58" s="49" t="s">
        <v>39</v>
      </c>
      <c r="B58" s="50" t="s">
        <v>2460</v>
      </c>
      <c r="C58" s="50" t="s">
        <v>2460</v>
      </c>
      <c r="D58" s="48" t="s">
        <v>406</v>
      </c>
      <c r="E58" s="50" t="s">
        <v>398</v>
      </c>
      <c r="G58" s="76" t="s">
        <v>2461</v>
      </c>
      <c r="H58" s="50">
        <v>9711</v>
      </c>
      <c r="I58" s="75" t="s">
        <v>1</v>
      </c>
      <c r="J58" s="50" t="s">
        <v>3934</v>
      </c>
      <c r="K58" s="72">
        <v>40968</v>
      </c>
      <c r="L58" s="71">
        <v>40963</v>
      </c>
      <c r="N58" s="50" t="s">
        <v>2</v>
      </c>
      <c r="O58" s="74">
        <f t="shared" ref="O58:O64" si="4">2/2</f>
        <v>1</v>
      </c>
      <c r="P58" s="50">
        <v>7.22</v>
      </c>
      <c r="Q58" s="74">
        <v>6.71</v>
      </c>
      <c r="R58" s="50">
        <v>28</v>
      </c>
      <c r="S58" s="52">
        <v>6</v>
      </c>
      <c r="T58" s="50">
        <v>2.5999999999999999E-2</v>
      </c>
      <c r="U58" s="74">
        <f>0.5/2</f>
        <v>0.25</v>
      </c>
      <c r="V58" s="50">
        <v>0.56999999999999995</v>
      </c>
      <c r="W58" s="74">
        <f>0.002/2</f>
        <v>1E-3</v>
      </c>
      <c r="X58" s="50">
        <v>1.2E-2</v>
      </c>
      <c r="Y58" s="74">
        <f>0.002/2</f>
        <v>1E-3</v>
      </c>
      <c r="Z58" s="164">
        <v>1</v>
      </c>
      <c r="AA58" s="165">
        <v>1</v>
      </c>
      <c r="AB58" s="50">
        <v>70</v>
      </c>
      <c r="AC58" s="52">
        <v>1499</v>
      </c>
      <c r="AD58" s="164">
        <f>20/20</f>
        <v>1</v>
      </c>
    </row>
    <row r="59" spans="1:33" ht="14">
      <c r="A59" s="49" t="s">
        <v>39</v>
      </c>
      <c r="B59" s="50" t="s">
        <v>2460</v>
      </c>
      <c r="C59" s="50" t="s">
        <v>2460</v>
      </c>
      <c r="D59" s="48" t="s">
        <v>406</v>
      </c>
      <c r="E59" s="50" t="s">
        <v>398</v>
      </c>
      <c r="G59" s="76" t="s">
        <v>2461</v>
      </c>
      <c r="H59" s="50">
        <v>9711</v>
      </c>
      <c r="I59" s="75" t="s">
        <v>1</v>
      </c>
      <c r="J59" s="50" t="s">
        <v>2463</v>
      </c>
      <c r="K59" s="72">
        <v>40968</v>
      </c>
      <c r="L59" s="71">
        <v>40963</v>
      </c>
      <c r="N59" s="50" t="s">
        <v>2</v>
      </c>
      <c r="O59" s="74">
        <f t="shared" si="4"/>
        <v>1</v>
      </c>
      <c r="P59" s="50">
        <v>7.22</v>
      </c>
      <c r="Q59" s="74">
        <v>6.59</v>
      </c>
      <c r="R59" s="50">
        <v>25</v>
      </c>
      <c r="S59" s="52">
        <v>1</v>
      </c>
      <c r="T59" s="50">
        <v>4.2000000000000003E-2</v>
      </c>
      <c r="U59" s="74">
        <v>0.9</v>
      </c>
      <c r="V59" s="50">
        <f>1/2</f>
        <v>0.5</v>
      </c>
      <c r="W59" s="74">
        <f>0.002/2</f>
        <v>1E-3</v>
      </c>
      <c r="X59" s="50">
        <v>3.7000000000000002E-3</v>
      </c>
      <c r="Y59" s="74">
        <f>0.002/2</f>
        <v>1E-3</v>
      </c>
      <c r="Z59" s="164">
        <v>1</v>
      </c>
      <c r="AA59" s="165">
        <v>1</v>
      </c>
      <c r="AB59" s="50">
        <v>46</v>
      </c>
      <c r="AC59" s="52">
        <v>455</v>
      </c>
      <c r="AD59" s="164">
        <f>20/20</f>
        <v>1</v>
      </c>
    </row>
    <row r="60" spans="1:33" ht="14">
      <c r="A60" s="49" t="s">
        <v>39</v>
      </c>
      <c r="B60" s="50" t="s">
        <v>2460</v>
      </c>
      <c r="C60" s="50" t="s">
        <v>2460</v>
      </c>
      <c r="D60" s="48" t="s">
        <v>406</v>
      </c>
      <c r="E60" s="50" t="s">
        <v>398</v>
      </c>
      <c r="G60" s="76" t="s">
        <v>2461</v>
      </c>
      <c r="H60" s="50">
        <v>9711</v>
      </c>
      <c r="I60" s="75" t="s">
        <v>1</v>
      </c>
      <c r="J60" s="50" t="s">
        <v>2472</v>
      </c>
      <c r="K60" s="72">
        <v>40968</v>
      </c>
      <c r="L60" s="71">
        <v>40963</v>
      </c>
      <c r="N60" s="50" t="s">
        <v>2</v>
      </c>
      <c r="O60" s="74">
        <f t="shared" si="4"/>
        <v>1</v>
      </c>
      <c r="P60" s="50">
        <v>7.22</v>
      </c>
      <c r="Q60" s="74">
        <v>6.99</v>
      </c>
      <c r="R60" s="50">
        <v>30</v>
      </c>
      <c r="S60" s="52">
        <v>3</v>
      </c>
      <c r="T60" s="50">
        <v>2.8000000000000001E-2</v>
      </c>
      <c r="U60" s="74">
        <v>0.76</v>
      </c>
      <c r="V60" s="50">
        <v>0.54</v>
      </c>
      <c r="W60" s="74">
        <v>0.44</v>
      </c>
      <c r="X60" s="50">
        <v>0.22</v>
      </c>
      <c r="Y60" s="74">
        <v>1.2E-2</v>
      </c>
      <c r="Z60" s="164">
        <v>6.25E-2</v>
      </c>
      <c r="AA60" s="165">
        <v>6.25E-2</v>
      </c>
      <c r="AB60" s="50">
        <v>54</v>
      </c>
      <c r="AC60" s="52">
        <v>187</v>
      </c>
      <c r="AD60" s="164">
        <f>0/20</f>
        <v>0</v>
      </c>
    </row>
    <row r="61" spans="1:33" ht="14">
      <c r="A61" s="49" t="s">
        <v>39</v>
      </c>
      <c r="B61" s="50" t="s">
        <v>2460</v>
      </c>
      <c r="C61" s="50" t="s">
        <v>2460</v>
      </c>
      <c r="D61" s="48" t="s">
        <v>406</v>
      </c>
      <c r="E61" s="50" t="s">
        <v>398</v>
      </c>
      <c r="G61" s="76" t="s">
        <v>2461</v>
      </c>
      <c r="H61" s="50">
        <v>9711</v>
      </c>
      <c r="I61" s="75" t="s">
        <v>1</v>
      </c>
      <c r="J61" s="50" t="s">
        <v>3935</v>
      </c>
      <c r="K61" s="72">
        <v>40968</v>
      </c>
      <c r="L61" s="71">
        <v>40963</v>
      </c>
      <c r="N61" s="50" t="s">
        <v>2</v>
      </c>
      <c r="O61" s="74">
        <f t="shared" si="4"/>
        <v>1</v>
      </c>
      <c r="P61" s="50">
        <v>7.22</v>
      </c>
      <c r="Q61" s="74">
        <v>7.1</v>
      </c>
      <c r="R61" s="50">
        <v>96</v>
      </c>
      <c r="S61" s="52">
        <v>21</v>
      </c>
      <c r="T61" s="50">
        <v>0.17</v>
      </c>
      <c r="U61" s="74">
        <v>1.6</v>
      </c>
      <c r="V61" s="50">
        <v>1.4</v>
      </c>
      <c r="W61" s="74">
        <v>0.16</v>
      </c>
      <c r="X61" s="50">
        <v>0.27</v>
      </c>
      <c r="Y61" s="74">
        <v>4.1999999999999997E-3</v>
      </c>
      <c r="Z61" s="164">
        <v>1</v>
      </c>
      <c r="AA61" s="165">
        <v>1</v>
      </c>
      <c r="AB61" s="50">
        <v>56</v>
      </c>
      <c r="AC61" s="52">
        <v>207</v>
      </c>
      <c r="AD61" s="164">
        <f>12/20</f>
        <v>0.6</v>
      </c>
    </row>
    <row r="62" spans="1:33" ht="14">
      <c r="A62" s="49" t="s">
        <v>39</v>
      </c>
      <c r="B62" s="50" t="s">
        <v>2460</v>
      </c>
      <c r="C62" s="50" t="s">
        <v>2460</v>
      </c>
      <c r="D62" s="48" t="s">
        <v>406</v>
      </c>
      <c r="E62" s="50" t="s">
        <v>398</v>
      </c>
      <c r="G62" s="76" t="s">
        <v>2461</v>
      </c>
      <c r="H62" s="50">
        <v>9711</v>
      </c>
      <c r="I62" s="75" t="s">
        <v>1</v>
      </c>
      <c r="J62" s="50" t="s">
        <v>2465</v>
      </c>
      <c r="K62" s="72">
        <v>40968</v>
      </c>
      <c r="L62" s="71">
        <v>40963</v>
      </c>
      <c r="N62" s="50" t="s">
        <v>2</v>
      </c>
      <c r="O62" s="74">
        <f t="shared" si="4"/>
        <v>1</v>
      </c>
      <c r="P62" s="50">
        <v>7.22</v>
      </c>
      <c r="Q62" s="74">
        <v>7.3</v>
      </c>
      <c r="R62" s="50">
        <v>110</v>
      </c>
      <c r="S62" s="52">
        <v>43</v>
      </c>
      <c r="T62" s="50">
        <v>7.2999999999999995E-2</v>
      </c>
      <c r="U62" s="74">
        <v>1.7</v>
      </c>
      <c r="V62" s="50">
        <v>1.6</v>
      </c>
      <c r="W62" s="74">
        <v>0.15</v>
      </c>
      <c r="X62" s="50">
        <v>0.16</v>
      </c>
      <c r="Y62" s="74">
        <v>2.7E-2</v>
      </c>
      <c r="Z62" s="164">
        <v>1</v>
      </c>
      <c r="AA62" s="165">
        <v>1</v>
      </c>
      <c r="AB62" s="50">
        <v>34</v>
      </c>
      <c r="AC62" s="52">
        <v>318</v>
      </c>
      <c r="AD62" s="164">
        <f>12/20</f>
        <v>0.6</v>
      </c>
    </row>
    <row r="63" spans="1:33" ht="14">
      <c r="A63" s="49" t="s">
        <v>39</v>
      </c>
      <c r="B63" s="50" t="s">
        <v>2460</v>
      </c>
      <c r="C63" s="50" t="s">
        <v>2460</v>
      </c>
      <c r="D63" s="48" t="s">
        <v>406</v>
      </c>
      <c r="E63" s="50" t="s">
        <v>398</v>
      </c>
      <c r="G63" s="76" t="s">
        <v>2461</v>
      </c>
      <c r="H63" s="50">
        <v>9711</v>
      </c>
      <c r="I63" s="75" t="s">
        <v>1</v>
      </c>
      <c r="J63" s="50" t="s">
        <v>3936</v>
      </c>
      <c r="K63" s="72">
        <v>40968</v>
      </c>
      <c r="L63" s="71">
        <v>40963</v>
      </c>
      <c r="N63" s="50" t="s">
        <v>2</v>
      </c>
      <c r="O63" s="74">
        <f t="shared" si="4"/>
        <v>1</v>
      </c>
      <c r="P63" s="50">
        <v>7.22</v>
      </c>
      <c r="Q63" s="74">
        <v>6.58</v>
      </c>
      <c r="R63" s="50">
        <v>52</v>
      </c>
      <c r="S63" s="52">
        <v>20</v>
      </c>
      <c r="T63" s="50">
        <v>8.6999999999999994E-2</v>
      </c>
      <c r="U63" s="74">
        <v>1.2</v>
      </c>
      <c r="V63" s="50">
        <v>1.3</v>
      </c>
      <c r="W63" s="74">
        <v>0.26</v>
      </c>
      <c r="X63" s="50">
        <v>0.28000000000000003</v>
      </c>
      <c r="Y63" s="74">
        <v>1.7999999999999999E-2</v>
      </c>
      <c r="Z63" s="164">
        <v>7.6200000000000004E-2</v>
      </c>
      <c r="AA63" s="165">
        <v>6.6600000000000006E-2</v>
      </c>
      <c r="AB63" s="50">
        <v>62</v>
      </c>
      <c r="AC63" s="52">
        <v>218</v>
      </c>
      <c r="AD63" s="164">
        <f>0/20</f>
        <v>0</v>
      </c>
    </row>
    <row r="64" spans="1:33" ht="14">
      <c r="A64" s="49" t="s">
        <v>39</v>
      </c>
      <c r="B64" s="50" t="s">
        <v>2460</v>
      </c>
      <c r="C64" s="50" t="s">
        <v>2460</v>
      </c>
      <c r="D64" s="48" t="s">
        <v>406</v>
      </c>
      <c r="E64" s="50" t="s">
        <v>398</v>
      </c>
      <c r="G64" s="76" t="s">
        <v>2461</v>
      </c>
      <c r="H64" s="50">
        <v>9711</v>
      </c>
      <c r="I64" s="75" t="s">
        <v>1</v>
      </c>
      <c r="J64" s="50" t="s">
        <v>2467</v>
      </c>
      <c r="K64" s="72">
        <v>40968</v>
      </c>
      <c r="L64" s="71">
        <v>40963</v>
      </c>
      <c r="N64" s="50" t="s">
        <v>2</v>
      </c>
      <c r="O64" s="74">
        <f t="shared" si="4"/>
        <v>1</v>
      </c>
      <c r="P64" s="50">
        <v>7.22</v>
      </c>
      <c r="Q64" s="74">
        <v>6.98</v>
      </c>
      <c r="R64" s="50">
        <v>59</v>
      </c>
      <c r="S64" s="52">
        <v>12</v>
      </c>
      <c r="T64" s="50">
        <v>3.5000000000000003E-2</v>
      </c>
      <c r="U64" s="74">
        <v>1</v>
      </c>
      <c r="V64" s="50">
        <v>1.2</v>
      </c>
      <c r="W64" s="74">
        <v>0.15</v>
      </c>
      <c r="X64" s="50">
        <v>8.5999999999999993E-2</v>
      </c>
      <c r="Y64" s="74">
        <v>7.6E-3</v>
      </c>
      <c r="Z64" s="164">
        <v>1</v>
      </c>
      <c r="AA64" s="165">
        <v>1</v>
      </c>
      <c r="AB64" s="50">
        <v>62</v>
      </c>
      <c r="AC64" s="52">
        <v>1905</v>
      </c>
      <c r="AD64" s="164">
        <f>20/20</f>
        <v>1</v>
      </c>
    </row>
    <row r="65" spans="1:30" ht="14">
      <c r="A65" s="49" t="s">
        <v>39</v>
      </c>
      <c r="B65" s="50" t="s">
        <v>1612</v>
      </c>
      <c r="C65" s="50" t="s">
        <v>1612</v>
      </c>
      <c r="D65" s="48" t="s">
        <v>406</v>
      </c>
      <c r="E65" s="50" t="s">
        <v>398</v>
      </c>
      <c r="G65" s="76" t="s">
        <v>1613</v>
      </c>
      <c r="H65" s="50">
        <v>3731</v>
      </c>
      <c r="I65" s="75" t="s">
        <v>1</v>
      </c>
      <c r="J65" s="50" t="s">
        <v>1617</v>
      </c>
      <c r="K65" s="72">
        <v>41345</v>
      </c>
      <c r="L65" s="71">
        <v>41332</v>
      </c>
      <c r="N65" s="50" t="s">
        <v>2</v>
      </c>
      <c r="O65" s="74">
        <v>2.2999999999999998</v>
      </c>
      <c r="P65" s="50">
        <v>5.79</v>
      </c>
      <c r="Q65" s="74">
        <v>6.24</v>
      </c>
      <c r="R65" s="50">
        <v>30</v>
      </c>
      <c r="S65" s="52">
        <v>68.099999999999994</v>
      </c>
      <c r="T65" s="50">
        <v>2.4500000000000002</v>
      </c>
      <c r="U65" s="74">
        <v>2.57</v>
      </c>
      <c r="V65" s="50">
        <v>0.39</v>
      </c>
      <c r="W65" s="74">
        <v>7.6999999999999999E-2</v>
      </c>
      <c r="X65" s="50">
        <v>0.83199999999999996</v>
      </c>
      <c r="Y65" s="74">
        <v>2.9000000000000001E-2</v>
      </c>
      <c r="Z65" s="164">
        <v>1</v>
      </c>
      <c r="AA65" s="165">
        <v>1</v>
      </c>
      <c r="AB65" s="50">
        <v>200</v>
      </c>
      <c r="AC65" s="52">
        <v>2659</v>
      </c>
      <c r="AD65" s="164">
        <v>0.8</v>
      </c>
    </row>
    <row r="66" spans="1:30" ht="14">
      <c r="A66" s="49" t="s">
        <v>39</v>
      </c>
      <c r="B66" s="50" t="s">
        <v>1612</v>
      </c>
      <c r="C66" s="50" t="s">
        <v>1612</v>
      </c>
      <c r="D66" s="48" t="s">
        <v>406</v>
      </c>
      <c r="E66" s="50" t="s">
        <v>398</v>
      </c>
      <c r="G66" s="76" t="s">
        <v>1613</v>
      </c>
      <c r="H66" s="50">
        <v>3731</v>
      </c>
      <c r="I66" s="75" t="s">
        <v>1</v>
      </c>
      <c r="J66" s="50" t="s">
        <v>1618</v>
      </c>
      <c r="K66" s="72">
        <v>41345</v>
      </c>
      <c r="L66" s="71">
        <v>41332</v>
      </c>
      <c r="N66" s="50" t="s">
        <v>2</v>
      </c>
      <c r="O66" s="74">
        <f>1.1/2</f>
        <v>0.55000000000000004</v>
      </c>
      <c r="P66" s="50">
        <v>5.79</v>
      </c>
      <c r="Q66" s="74">
        <v>6.32</v>
      </c>
      <c r="R66" s="50">
        <v>21</v>
      </c>
      <c r="S66" s="52">
        <v>4.5</v>
      </c>
      <c r="T66" s="50">
        <f>0.025/2</f>
        <v>1.2500000000000001E-2</v>
      </c>
      <c r="U66" s="74">
        <f>1/2</f>
        <v>0.5</v>
      </c>
      <c r="V66" s="50">
        <v>0.28000000000000003</v>
      </c>
      <c r="W66" s="74">
        <v>1.2E-2</v>
      </c>
      <c r="X66" s="50">
        <v>0.71299999999999997</v>
      </c>
      <c r="Y66" s="74">
        <f>0.005/2</f>
        <v>2.5000000000000001E-3</v>
      </c>
      <c r="Z66" s="164">
        <v>1</v>
      </c>
      <c r="AA66" s="165">
        <v>0.37200000000000005</v>
      </c>
      <c r="AB66" s="50">
        <v>6</v>
      </c>
      <c r="AC66" s="52">
        <v>66</v>
      </c>
      <c r="AD66" s="164">
        <v>0.05</v>
      </c>
    </row>
    <row r="67" spans="1:30" ht="14">
      <c r="A67" s="49" t="s">
        <v>39</v>
      </c>
      <c r="B67" s="50" t="s">
        <v>1612</v>
      </c>
      <c r="C67" s="50" t="s">
        <v>1612</v>
      </c>
      <c r="D67" s="48" t="s">
        <v>406</v>
      </c>
      <c r="E67" s="50" t="s">
        <v>398</v>
      </c>
      <c r="G67" s="76" t="s">
        <v>1613</v>
      </c>
      <c r="H67" s="50">
        <v>3731</v>
      </c>
      <c r="I67" s="75" t="s">
        <v>1</v>
      </c>
      <c r="J67" s="50" t="s">
        <v>1619</v>
      </c>
      <c r="K67" s="72">
        <v>41345</v>
      </c>
      <c r="L67" s="71">
        <v>41332</v>
      </c>
      <c r="N67" s="50" t="s">
        <v>2</v>
      </c>
      <c r="O67" s="74">
        <f>1.1/2</f>
        <v>0.55000000000000004</v>
      </c>
      <c r="P67" s="50">
        <v>5.79</v>
      </c>
      <c r="Q67" s="74">
        <v>5.89</v>
      </c>
      <c r="R67" s="50">
        <v>18</v>
      </c>
      <c r="S67" s="52">
        <v>25.9</v>
      </c>
      <c r="T67" s="50">
        <v>3.5999999999999997E-2</v>
      </c>
      <c r="U67" s="74">
        <f>1/2</f>
        <v>0.5</v>
      </c>
      <c r="V67" s="50">
        <v>0.37</v>
      </c>
      <c r="W67" s="74">
        <v>2.7E-2</v>
      </c>
      <c r="X67" s="50">
        <v>0.106</v>
      </c>
      <c r="Y67" s="74">
        <v>1.0999999999999999E-2</v>
      </c>
      <c r="Z67" s="164">
        <v>1</v>
      </c>
      <c r="AA67" s="165">
        <v>0.70699999999999996</v>
      </c>
      <c r="AB67" s="50">
        <v>36</v>
      </c>
      <c r="AC67" s="52">
        <v>1120</v>
      </c>
      <c r="AD67" s="164">
        <v>0.95</v>
      </c>
    </row>
    <row r="68" spans="1:30" ht="14">
      <c r="A68" s="49" t="s">
        <v>39</v>
      </c>
      <c r="B68" s="50" t="s">
        <v>1612</v>
      </c>
      <c r="C68" s="50" t="s">
        <v>1612</v>
      </c>
      <c r="D68" s="48" t="s">
        <v>406</v>
      </c>
      <c r="E68" s="50" t="s">
        <v>398</v>
      </c>
      <c r="G68" s="76" t="s">
        <v>1613</v>
      </c>
      <c r="H68" s="50">
        <v>3731</v>
      </c>
      <c r="I68" s="75" t="s">
        <v>1</v>
      </c>
      <c r="J68" s="50" t="s">
        <v>1620</v>
      </c>
      <c r="K68" s="72">
        <v>41345</v>
      </c>
      <c r="L68" s="71">
        <v>41332</v>
      </c>
      <c r="N68" s="50" t="s">
        <v>2</v>
      </c>
      <c r="O68" s="74">
        <f>1.1/2</f>
        <v>0.55000000000000004</v>
      </c>
      <c r="P68" s="50">
        <v>5.79</v>
      </c>
      <c r="Q68" s="74">
        <v>6.13</v>
      </c>
      <c r="R68" s="50">
        <v>19</v>
      </c>
      <c r="S68" s="52">
        <v>24.2</v>
      </c>
      <c r="T68" s="50">
        <f>0.025/2</f>
        <v>1.2500000000000001E-2</v>
      </c>
      <c r="U68" s="74">
        <v>1.1100000000000001</v>
      </c>
      <c r="V68" s="50">
        <v>0.27</v>
      </c>
      <c r="W68" s="74">
        <v>1.7000000000000001E-2</v>
      </c>
      <c r="X68" s="50">
        <v>7.6999999999999999E-2</v>
      </c>
      <c r="Y68" s="74">
        <f>0.005/2</f>
        <v>2.5000000000000001E-3</v>
      </c>
      <c r="Z68" s="164">
        <v>1</v>
      </c>
      <c r="AA68" s="165">
        <v>1</v>
      </c>
      <c r="AB68" s="50">
        <v>32</v>
      </c>
      <c r="AC68" s="52">
        <v>1225</v>
      </c>
      <c r="AD68" s="164">
        <v>0.95</v>
      </c>
    </row>
    <row r="69" spans="1:30" ht="14">
      <c r="A69" s="49" t="s">
        <v>39</v>
      </c>
      <c r="B69" s="50" t="s">
        <v>1612</v>
      </c>
      <c r="C69" s="50" t="s">
        <v>1612</v>
      </c>
      <c r="D69" s="48" t="s">
        <v>406</v>
      </c>
      <c r="E69" s="50" t="s">
        <v>398</v>
      </c>
      <c r="G69" s="76" t="s">
        <v>1613</v>
      </c>
      <c r="H69" s="50">
        <v>3731</v>
      </c>
      <c r="I69" s="75" t="s">
        <v>1</v>
      </c>
      <c r="J69" s="50" t="s">
        <v>1621</v>
      </c>
      <c r="K69" s="72">
        <v>41345</v>
      </c>
      <c r="L69" s="71">
        <v>41332</v>
      </c>
      <c r="N69" s="50" t="s">
        <v>2</v>
      </c>
      <c r="O69" s="74">
        <f>1.1/2</f>
        <v>0.55000000000000004</v>
      </c>
      <c r="P69" s="50">
        <v>5.79</v>
      </c>
      <c r="Q69" s="74">
        <v>6.15</v>
      </c>
      <c r="R69" s="50">
        <v>25</v>
      </c>
      <c r="S69" s="52">
        <v>21.8</v>
      </c>
      <c r="T69" s="50">
        <v>0.06</v>
      </c>
      <c r="U69" s="74">
        <v>1.46</v>
      </c>
      <c r="V69" s="50">
        <v>0.56999999999999995</v>
      </c>
      <c r="W69" s="74">
        <v>1.7000000000000001E-2</v>
      </c>
      <c r="X69" s="50">
        <v>0.22800000000000001</v>
      </c>
      <c r="Y69" s="74">
        <v>0.01</v>
      </c>
      <c r="Z69" s="164">
        <v>1</v>
      </c>
      <c r="AA69" s="165">
        <v>1</v>
      </c>
      <c r="AB69" s="50">
        <v>80</v>
      </c>
      <c r="AC69" s="52">
        <v>1906</v>
      </c>
      <c r="AD69" s="164">
        <v>1</v>
      </c>
    </row>
    <row r="70" spans="1:30" ht="14">
      <c r="A70" s="49" t="s">
        <v>39</v>
      </c>
      <c r="B70" s="50" t="s">
        <v>1612</v>
      </c>
      <c r="C70" s="50" t="s">
        <v>1612</v>
      </c>
      <c r="D70" s="48" t="s">
        <v>406</v>
      </c>
      <c r="E70" s="50" t="s">
        <v>398</v>
      </c>
      <c r="G70" s="76" t="s">
        <v>1613</v>
      </c>
      <c r="H70" s="50">
        <v>3731</v>
      </c>
      <c r="I70" s="75" t="s">
        <v>1</v>
      </c>
      <c r="J70" s="50" t="s">
        <v>1622</v>
      </c>
      <c r="K70" s="72">
        <v>41345</v>
      </c>
      <c r="L70" s="71">
        <v>41332</v>
      </c>
      <c r="N70" s="50" t="s">
        <v>2</v>
      </c>
      <c r="O70" s="74">
        <f>1.1/2</f>
        <v>0.55000000000000004</v>
      </c>
      <c r="P70" s="50">
        <v>5.79</v>
      </c>
      <c r="Q70" s="74">
        <v>6.06</v>
      </c>
      <c r="R70" s="50">
        <v>19</v>
      </c>
      <c r="S70" s="52">
        <v>34</v>
      </c>
      <c r="T70" s="50">
        <v>2.9000000000000001E-2</v>
      </c>
      <c r="U70" s="74">
        <f>1/2</f>
        <v>0.5</v>
      </c>
      <c r="V70" s="50">
        <v>0.84</v>
      </c>
      <c r="W70" s="74">
        <v>1.7000000000000001E-2</v>
      </c>
      <c r="X70" s="50">
        <v>7.8E-2</v>
      </c>
      <c r="Y70" s="74">
        <f>0.005/2</f>
        <v>2.5000000000000001E-3</v>
      </c>
      <c r="Z70" s="164">
        <v>1</v>
      </c>
      <c r="AA70" s="165">
        <v>1</v>
      </c>
      <c r="AB70" s="50">
        <v>22</v>
      </c>
      <c r="AC70" s="52">
        <v>517</v>
      </c>
      <c r="AD70" s="164">
        <v>1</v>
      </c>
    </row>
    <row r="71" spans="1:30" ht="14">
      <c r="A71" s="49" t="s">
        <v>39</v>
      </c>
      <c r="B71" s="50" t="s">
        <v>1612</v>
      </c>
      <c r="C71" s="50" t="s">
        <v>1612</v>
      </c>
      <c r="D71" s="48" t="s">
        <v>406</v>
      </c>
      <c r="E71" s="50" t="s">
        <v>398</v>
      </c>
      <c r="G71" s="76" t="s">
        <v>1613</v>
      </c>
      <c r="H71" s="50">
        <v>3731</v>
      </c>
      <c r="I71" s="75" t="s">
        <v>1</v>
      </c>
      <c r="J71" s="50" t="s">
        <v>1614</v>
      </c>
      <c r="K71" s="72">
        <v>41345</v>
      </c>
      <c r="L71" s="71">
        <v>41332</v>
      </c>
      <c r="N71" s="50" t="s">
        <v>2</v>
      </c>
      <c r="O71" s="74">
        <v>2.2999999999999998</v>
      </c>
      <c r="P71" s="50">
        <v>5.79</v>
      </c>
      <c r="Q71" s="74">
        <v>6.74</v>
      </c>
      <c r="R71" s="50">
        <v>36</v>
      </c>
      <c r="S71" s="52">
        <v>87.6</v>
      </c>
      <c r="T71" s="50">
        <v>0.872</v>
      </c>
      <c r="U71" s="74">
        <v>2.52</v>
      </c>
      <c r="V71" s="50">
        <v>0.14000000000000001</v>
      </c>
      <c r="W71" s="74">
        <v>0.08</v>
      </c>
      <c r="X71" s="50">
        <v>0.38900000000000001</v>
      </c>
      <c r="Y71" s="74">
        <v>8.9999999999999993E-3</v>
      </c>
      <c r="Z71" s="164">
        <v>1</v>
      </c>
      <c r="AA71" s="165">
        <v>1</v>
      </c>
      <c r="AB71" s="50">
        <v>30</v>
      </c>
      <c r="AC71" s="52">
        <v>612</v>
      </c>
      <c r="AD71" s="164">
        <v>0.85</v>
      </c>
    </row>
    <row r="72" spans="1:30" ht="14">
      <c r="A72" s="49" t="s">
        <v>39</v>
      </c>
      <c r="B72" s="50" t="s">
        <v>1612</v>
      </c>
      <c r="C72" s="50" t="s">
        <v>1612</v>
      </c>
      <c r="D72" s="48" t="s">
        <v>406</v>
      </c>
      <c r="E72" s="50" t="s">
        <v>398</v>
      </c>
      <c r="G72" s="76" t="s">
        <v>1613</v>
      </c>
      <c r="H72" s="50">
        <v>3731</v>
      </c>
      <c r="I72" s="75" t="s">
        <v>1</v>
      </c>
      <c r="J72" s="50" t="s">
        <v>1615</v>
      </c>
      <c r="K72" s="72">
        <v>41345</v>
      </c>
      <c r="L72" s="71">
        <v>41332</v>
      </c>
      <c r="N72" s="50" t="s">
        <v>2</v>
      </c>
      <c r="O72" s="74">
        <v>2</v>
      </c>
      <c r="P72" s="50">
        <v>5.79</v>
      </c>
      <c r="Q72" s="74">
        <v>6.35</v>
      </c>
      <c r="R72" s="50">
        <v>58</v>
      </c>
      <c r="S72" s="52">
        <v>70.5</v>
      </c>
      <c r="T72" s="50">
        <f>0.028/2</f>
        <v>1.4E-2</v>
      </c>
      <c r="U72" s="74">
        <v>1.07</v>
      </c>
      <c r="V72" s="50">
        <v>0.23</v>
      </c>
      <c r="W72" s="74">
        <v>4.8000000000000001E-2</v>
      </c>
      <c r="X72" s="50">
        <v>0.20899999999999999</v>
      </c>
      <c r="Y72" s="74">
        <v>6.0000000000000001E-3</v>
      </c>
      <c r="Z72" s="164">
        <v>1</v>
      </c>
      <c r="AA72" s="165">
        <v>1</v>
      </c>
      <c r="AB72" s="50">
        <v>100</v>
      </c>
      <c r="AC72" s="52">
        <v>1258</v>
      </c>
      <c r="AD72" s="164">
        <v>0.9</v>
      </c>
    </row>
    <row r="73" spans="1:30" ht="14">
      <c r="A73" s="49" t="s">
        <v>39</v>
      </c>
      <c r="B73" s="50" t="s">
        <v>1612</v>
      </c>
      <c r="C73" s="50" t="s">
        <v>1612</v>
      </c>
      <c r="D73" s="48" t="s">
        <v>406</v>
      </c>
      <c r="E73" s="50" t="s">
        <v>398</v>
      </c>
      <c r="G73" s="76" t="s">
        <v>1613</v>
      </c>
      <c r="H73" s="50">
        <v>3731</v>
      </c>
      <c r="I73" s="75" t="s">
        <v>1</v>
      </c>
      <c r="J73" s="50" t="s">
        <v>1616</v>
      </c>
      <c r="K73" s="72">
        <v>41345</v>
      </c>
      <c r="L73" s="71">
        <v>41332</v>
      </c>
      <c r="N73" s="50" t="s">
        <v>2</v>
      </c>
      <c r="O73" s="74">
        <v>6.9</v>
      </c>
      <c r="P73" s="50">
        <v>5.79</v>
      </c>
      <c r="Q73" s="74">
        <v>6.96</v>
      </c>
      <c r="R73" s="50">
        <v>71</v>
      </c>
      <c r="S73" s="52">
        <v>275</v>
      </c>
      <c r="T73" s="50">
        <v>2.56</v>
      </c>
      <c r="U73" s="74">
        <v>3.95</v>
      </c>
      <c r="V73" s="50">
        <v>0.25</v>
      </c>
      <c r="W73" s="74">
        <v>0.106</v>
      </c>
      <c r="X73" s="50">
        <v>0.46600000000000003</v>
      </c>
      <c r="Y73" s="74">
        <v>1.9E-2</v>
      </c>
      <c r="Z73" s="164">
        <v>1</v>
      </c>
      <c r="AA73" s="165">
        <v>0.61599999999999999</v>
      </c>
      <c r="AB73" s="50">
        <v>200</v>
      </c>
      <c r="AC73" s="52">
        <v>4720</v>
      </c>
      <c r="AD73" s="164">
        <v>0</v>
      </c>
    </row>
    <row r="74" spans="1:30" ht="14">
      <c r="A74" s="49" t="s">
        <v>39</v>
      </c>
      <c r="B74" s="50" t="s">
        <v>1612</v>
      </c>
      <c r="C74" s="50" t="s">
        <v>1612</v>
      </c>
      <c r="D74" s="48" t="s">
        <v>406</v>
      </c>
      <c r="E74" s="50" t="s">
        <v>398</v>
      </c>
      <c r="G74" s="76" t="s">
        <v>1613</v>
      </c>
      <c r="H74" s="50">
        <v>3731</v>
      </c>
      <c r="I74" s="75" t="s">
        <v>1</v>
      </c>
      <c r="J74" s="50" t="s">
        <v>1623</v>
      </c>
      <c r="K74" s="72">
        <v>41345</v>
      </c>
      <c r="L74" s="232">
        <v>41332</v>
      </c>
      <c r="N74" s="50" t="s">
        <v>2</v>
      </c>
      <c r="O74" s="74">
        <f>1.1/2</f>
        <v>0.55000000000000004</v>
      </c>
      <c r="P74" s="50">
        <v>5.79</v>
      </c>
      <c r="Q74" s="74">
        <v>7.54</v>
      </c>
      <c r="R74" s="50">
        <v>24</v>
      </c>
      <c r="S74" s="52">
        <v>57.5</v>
      </c>
      <c r="T74" s="50">
        <v>0.89400000000000002</v>
      </c>
      <c r="U74" s="74">
        <v>1.98</v>
      </c>
      <c r="V74" s="50">
        <v>0.27</v>
      </c>
      <c r="W74" s="74">
        <v>0.108</v>
      </c>
      <c r="X74" s="50">
        <v>0.81399999999999995</v>
      </c>
      <c r="Y74" s="74">
        <v>1.7000000000000001E-2</v>
      </c>
      <c r="Z74" s="164">
        <v>1</v>
      </c>
      <c r="AA74" s="165">
        <v>1</v>
      </c>
      <c r="AB74" s="50">
        <v>200</v>
      </c>
      <c r="AC74" s="52">
        <v>2594</v>
      </c>
      <c r="AD74" s="164">
        <v>0.95</v>
      </c>
    </row>
    <row r="75" spans="1:30" ht="14">
      <c r="A75" s="49" t="s">
        <v>39</v>
      </c>
      <c r="B75" s="50" t="s">
        <v>1612</v>
      </c>
      <c r="C75" s="50" t="s">
        <v>1612</v>
      </c>
      <c r="D75" s="48" t="s">
        <v>406</v>
      </c>
      <c r="E75" s="50" t="s">
        <v>398</v>
      </c>
      <c r="G75" s="76" t="s">
        <v>1613</v>
      </c>
      <c r="H75" s="50">
        <v>3731</v>
      </c>
      <c r="I75" s="75" t="s">
        <v>1</v>
      </c>
      <c r="J75" s="50" t="s">
        <v>1624</v>
      </c>
      <c r="K75" s="72">
        <v>41345</v>
      </c>
      <c r="L75" s="71">
        <v>41332</v>
      </c>
      <c r="N75" s="50" t="s">
        <v>2</v>
      </c>
      <c r="O75" s="74">
        <v>1.6</v>
      </c>
      <c r="P75" s="50">
        <v>5.79</v>
      </c>
      <c r="Q75" s="74">
        <v>6.81</v>
      </c>
      <c r="R75" s="50">
        <v>17</v>
      </c>
      <c r="S75" s="52">
        <v>188</v>
      </c>
      <c r="T75" s="50">
        <v>0.111</v>
      </c>
      <c r="U75" s="74">
        <f>1/2</f>
        <v>0.5</v>
      </c>
      <c r="V75" s="50">
        <v>0.08</v>
      </c>
      <c r="W75" s="74">
        <v>0.09</v>
      </c>
      <c r="X75" s="50">
        <v>1.024</v>
      </c>
      <c r="Y75" s="74">
        <v>2.3E-2</v>
      </c>
      <c r="Z75" s="164">
        <v>1</v>
      </c>
      <c r="AA75" s="165">
        <v>1</v>
      </c>
      <c r="AB75" s="50">
        <v>12</v>
      </c>
      <c r="AC75" s="52">
        <v>922</v>
      </c>
      <c r="AD75" s="164">
        <v>1</v>
      </c>
    </row>
    <row r="76" spans="1:30" ht="14">
      <c r="A76" s="49" t="s">
        <v>39</v>
      </c>
      <c r="B76" s="50" t="s">
        <v>1612</v>
      </c>
      <c r="C76" s="50" t="s">
        <v>1612</v>
      </c>
      <c r="D76" s="48" t="s">
        <v>406</v>
      </c>
      <c r="E76" s="50" t="s">
        <v>398</v>
      </c>
      <c r="G76" s="76" t="s">
        <v>1613</v>
      </c>
      <c r="H76" s="50">
        <v>3731</v>
      </c>
      <c r="I76" s="75" t="s">
        <v>1</v>
      </c>
      <c r="J76" s="50" t="s">
        <v>1625</v>
      </c>
      <c r="K76" s="72">
        <v>41345</v>
      </c>
      <c r="L76" s="71">
        <v>41332</v>
      </c>
      <c r="N76" s="50" t="s">
        <v>2</v>
      </c>
      <c r="O76" s="74">
        <v>4.4000000000000004</v>
      </c>
      <c r="P76" s="50">
        <v>5.79</v>
      </c>
      <c r="Q76" s="74">
        <v>6.68</v>
      </c>
      <c r="R76" s="50">
        <v>40</v>
      </c>
      <c r="S76" s="52">
        <v>129</v>
      </c>
      <c r="T76" s="50">
        <v>0.27500000000000002</v>
      </c>
      <c r="U76" s="74">
        <v>1.51</v>
      </c>
      <c r="V76" s="50">
        <v>0.06</v>
      </c>
      <c r="W76" s="74">
        <v>0.08</v>
      </c>
      <c r="X76" s="50">
        <v>0.67200000000000004</v>
      </c>
      <c r="Y76" s="74">
        <v>1.7000000000000001E-2</v>
      </c>
      <c r="Z76" s="164">
        <v>0.70099999999999996</v>
      </c>
      <c r="AA76" s="165">
        <v>0.20300000000000001</v>
      </c>
      <c r="AB76" s="50">
        <v>40</v>
      </c>
      <c r="AC76" s="52">
        <v>7420</v>
      </c>
      <c r="AD76" s="164">
        <v>0</v>
      </c>
    </row>
    <row r="77" spans="1:30" ht="14">
      <c r="A77" s="49" t="s">
        <v>39</v>
      </c>
      <c r="B77" s="50" t="s">
        <v>1626</v>
      </c>
      <c r="C77" s="50" t="s">
        <v>1627</v>
      </c>
      <c r="D77" s="48" t="s">
        <v>1537</v>
      </c>
      <c r="E77" s="50" t="s">
        <v>1628</v>
      </c>
      <c r="G77" s="76" t="s">
        <v>1629</v>
      </c>
      <c r="H77" s="50">
        <v>3731</v>
      </c>
      <c r="I77" s="49" t="s">
        <v>2</v>
      </c>
      <c r="J77" s="50" t="s">
        <v>1631</v>
      </c>
      <c r="K77" s="51">
        <v>41478</v>
      </c>
      <c r="L77" s="115">
        <v>41469</v>
      </c>
      <c r="N77" s="50" t="s">
        <v>2</v>
      </c>
      <c r="O77" s="74">
        <f>1.4/2</f>
        <v>0.7</v>
      </c>
      <c r="P77" s="50">
        <v>6.52</v>
      </c>
      <c r="Q77" s="74">
        <v>6.59</v>
      </c>
      <c r="R77" s="50">
        <f>10/2</f>
        <v>5</v>
      </c>
      <c r="S77" s="74">
        <f>5/2</f>
        <v>2.5</v>
      </c>
      <c r="T77" s="50">
        <v>0.04</v>
      </c>
      <c r="U77" s="74">
        <v>0.71</v>
      </c>
      <c r="V77" s="50">
        <v>0.12</v>
      </c>
      <c r="W77" s="74">
        <v>2.3E-2</v>
      </c>
      <c r="X77" s="50">
        <v>3.5999999999999997E-2</v>
      </c>
      <c r="Y77" s="74">
        <v>2E-3</v>
      </c>
    </row>
    <row r="78" spans="1:30" ht="14">
      <c r="A78" s="49" t="s">
        <v>39</v>
      </c>
      <c r="B78" s="50" t="s">
        <v>1626</v>
      </c>
      <c r="C78" s="50" t="s">
        <v>1627</v>
      </c>
      <c r="D78" s="48" t="s">
        <v>1537</v>
      </c>
      <c r="E78" s="50" t="s">
        <v>1628</v>
      </c>
      <c r="G78" s="76" t="s">
        <v>1629</v>
      </c>
      <c r="H78" s="50">
        <v>3731</v>
      </c>
      <c r="I78" s="49" t="s">
        <v>2</v>
      </c>
      <c r="J78" s="50" t="s">
        <v>1630</v>
      </c>
      <c r="K78" s="51">
        <v>41478</v>
      </c>
      <c r="L78" s="115">
        <v>41469</v>
      </c>
      <c r="N78" s="50" t="s">
        <v>2</v>
      </c>
      <c r="O78" s="74">
        <f>1.4/2</f>
        <v>0.7</v>
      </c>
      <c r="P78" s="50">
        <v>6.52</v>
      </c>
      <c r="Q78" s="74">
        <v>6.54</v>
      </c>
      <c r="R78" s="50">
        <f>10/2</f>
        <v>5</v>
      </c>
      <c r="S78" s="74">
        <f>5/2</f>
        <v>2.5</v>
      </c>
      <c r="T78" s="50">
        <v>0.03</v>
      </c>
      <c r="U78" s="74">
        <v>0.65</v>
      </c>
      <c r="V78" s="50">
        <v>0.13</v>
      </c>
      <c r="W78" s="74">
        <v>1.2E-2</v>
      </c>
      <c r="X78" s="50">
        <v>3.3000000000000002E-2</v>
      </c>
      <c r="Y78" s="74">
        <f>0.002/2</f>
        <v>1E-3</v>
      </c>
    </row>
    <row r="79" spans="1:30" ht="14">
      <c r="A79" s="49" t="s">
        <v>39</v>
      </c>
      <c r="B79" s="50" t="s">
        <v>1783</v>
      </c>
      <c r="C79" s="50" t="s">
        <v>1783</v>
      </c>
      <c r="D79" s="48" t="s">
        <v>56</v>
      </c>
      <c r="E79" s="50" t="s">
        <v>112</v>
      </c>
      <c r="G79" s="76" t="s">
        <v>1785</v>
      </c>
      <c r="H79" s="50">
        <v>4492</v>
      </c>
      <c r="I79" s="49" t="s">
        <v>2</v>
      </c>
      <c r="J79" s="50" t="s">
        <v>1786</v>
      </c>
      <c r="K79" s="51">
        <v>41376</v>
      </c>
      <c r="L79" s="115">
        <v>41374</v>
      </c>
      <c r="N79" s="50" t="s">
        <v>2</v>
      </c>
      <c r="O79" s="74">
        <f>1.4/2</f>
        <v>0.7</v>
      </c>
      <c r="P79" s="50">
        <v>5.81</v>
      </c>
      <c r="Q79" s="74">
        <v>6.91</v>
      </c>
      <c r="R79" s="50">
        <f>10/2</f>
        <v>5</v>
      </c>
      <c r="S79" s="74">
        <v>63</v>
      </c>
      <c r="T79" s="50">
        <v>0.14000000000000001</v>
      </c>
      <c r="U79" s="74">
        <v>1.05</v>
      </c>
      <c r="V79" s="50">
        <v>0.35</v>
      </c>
      <c r="W79" s="74">
        <v>2.7E-2</v>
      </c>
      <c r="X79" s="50">
        <v>8.2000000000000003E-2</v>
      </c>
      <c r="Y79" s="74">
        <v>1.4999999999999999E-2</v>
      </c>
    </row>
    <row r="80" spans="1:30" ht="14">
      <c r="A80" s="49" t="s">
        <v>39</v>
      </c>
      <c r="B80" s="50" t="s">
        <v>1783</v>
      </c>
      <c r="C80" s="50" t="s">
        <v>1783</v>
      </c>
      <c r="D80" s="48" t="s">
        <v>56</v>
      </c>
      <c r="E80" s="50" t="s">
        <v>112</v>
      </c>
      <c r="G80" s="76" t="s">
        <v>1787</v>
      </c>
      <c r="H80" s="50">
        <v>4492</v>
      </c>
      <c r="I80" s="49" t="s">
        <v>2</v>
      </c>
      <c r="J80" s="50" t="s">
        <v>1786</v>
      </c>
      <c r="K80" s="51">
        <v>41376</v>
      </c>
      <c r="L80" s="115">
        <v>41374</v>
      </c>
      <c r="N80" s="50" t="s">
        <v>2</v>
      </c>
      <c r="O80" s="74">
        <f>1.4/2</f>
        <v>0.7</v>
      </c>
      <c r="P80" s="50">
        <v>5.81</v>
      </c>
      <c r="Q80" s="74">
        <v>6.83</v>
      </c>
      <c r="R80" s="50">
        <v>21</v>
      </c>
      <c r="S80" s="74">
        <v>41</v>
      </c>
      <c r="T80" s="50">
        <v>0.08</v>
      </c>
      <c r="U80" s="74">
        <v>0.64</v>
      </c>
      <c r="V80" s="50">
        <v>0.17</v>
      </c>
      <c r="W80" s="74">
        <v>1.7000000000000001E-2</v>
      </c>
      <c r="X80" s="50">
        <v>0.11799999999999999</v>
      </c>
      <c r="Y80" s="74">
        <v>1.4E-2</v>
      </c>
    </row>
    <row r="81" spans="1:36" ht="14">
      <c r="A81" s="49" t="s">
        <v>39</v>
      </c>
      <c r="B81" s="50" t="s">
        <v>4833</v>
      </c>
      <c r="C81" s="50" t="s">
        <v>4834</v>
      </c>
      <c r="D81" s="48" t="s">
        <v>262</v>
      </c>
      <c r="E81" s="50" t="s">
        <v>4835</v>
      </c>
      <c r="G81" s="49" t="s">
        <v>4838</v>
      </c>
      <c r="H81" s="50">
        <v>3731</v>
      </c>
      <c r="I81" s="49" t="s">
        <v>1</v>
      </c>
      <c r="J81" s="50" t="s">
        <v>74</v>
      </c>
      <c r="K81" s="51">
        <v>41402</v>
      </c>
      <c r="L81" s="115"/>
      <c r="M81" s="50" t="s">
        <v>4836</v>
      </c>
      <c r="N81" s="50" t="s">
        <v>2</v>
      </c>
      <c r="O81" s="74">
        <f>2.5/2</f>
        <v>1.25</v>
      </c>
      <c r="P81" s="50">
        <v>7</v>
      </c>
      <c r="Q81" s="74">
        <v>6.8</v>
      </c>
      <c r="R81" s="50">
        <v>62.1</v>
      </c>
      <c r="S81" s="74">
        <f>5/2</f>
        <v>2.5</v>
      </c>
      <c r="T81" s="50">
        <v>0.16</v>
      </c>
      <c r="U81" s="74">
        <f>0.1/2</f>
        <v>0.05</v>
      </c>
      <c r="V81" s="50">
        <v>0.89</v>
      </c>
      <c r="W81" s="74">
        <v>2.56</v>
      </c>
      <c r="X81" s="50">
        <v>0.8</v>
      </c>
      <c r="Y81" s="74">
        <v>8.0000000000000002E-3</v>
      </c>
      <c r="Z81" s="164">
        <v>6.25E-2</v>
      </c>
      <c r="AA81" s="165">
        <v>6.25E-2</v>
      </c>
      <c r="AB81" s="50">
        <v>28</v>
      </c>
      <c r="AC81" s="74">
        <v>115.8</v>
      </c>
      <c r="AD81" s="164">
        <v>0</v>
      </c>
      <c r="AE81" s="50">
        <v>11</v>
      </c>
      <c r="AF81" s="50">
        <v>0</v>
      </c>
      <c r="AJ81" s="113">
        <f>10/2</f>
        <v>5</v>
      </c>
    </row>
    <row r="82" spans="1:36" ht="14">
      <c r="A82" s="49" t="s">
        <v>39</v>
      </c>
      <c r="B82" s="50" t="s">
        <v>1612</v>
      </c>
      <c r="C82" s="50" t="s">
        <v>1612</v>
      </c>
      <c r="D82" s="48" t="s">
        <v>406</v>
      </c>
      <c r="E82" s="50" t="s">
        <v>398</v>
      </c>
      <c r="G82" s="76" t="s">
        <v>1613</v>
      </c>
      <c r="H82" s="50">
        <v>3731</v>
      </c>
      <c r="I82" s="49" t="s">
        <v>1</v>
      </c>
      <c r="J82" s="50" t="s">
        <v>1614</v>
      </c>
      <c r="K82" s="51">
        <v>41529</v>
      </c>
      <c r="L82" s="115">
        <v>41520</v>
      </c>
      <c r="N82" s="50" t="s">
        <v>2</v>
      </c>
      <c r="O82" s="74">
        <f>1.2/2</f>
        <v>0.6</v>
      </c>
      <c r="P82" s="50">
        <v>4.3899999999999997</v>
      </c>
      <c r="Q82" s="74">
        <v>6.64</v>
      </c>
      <c r="R82" s="50">
        <v>47</v>
      </c>
      <c r="S82" s="74">
        <v>5.8</v>
      </c>
      <c r="T82" s="50">
        <v>1.35</v>
      </c>
      <c r="U82" s="74">
        <v>3.4</v>
      </c>
      <c r="V82" s="50">
        <v>0.46</v>
      </c>
      <c r="W82" s="74">
        <v>6.8000000000000005E-2</v>
      </c>
      <c r="X82" s="50">
        <v>0.51900000000000002</v>
      </c>
      <c r="Y82" s="74">
        <v>6.0000000000000001E-3</v>
      </c>
    </row>
    <row r="83" spans="1:36" ht="14">
      <c r="A83" s="49" t="s">
        <v>39</v>
      </c>
      <c r="B83" s="50" t="s">
        <v>1612</v>
      </c>
      <c r="C83" s="50" t="s">
        <v>1612</v>
      </c>
      <c r="D83" s="48" t="s">
        <v>406</v>
      </c>
      <c r="E83" s="50" t="s">
        <v>398</v>
      </c>
      <c r="G83" s="76" t="s">
        <v>1613</v>
      </c>
      <c r="H83" s="50">
        <v>3731</v>
      </c>
      <c r="I83" s="49" t="s">
        <v>1</v>
      </c>
      <c r="J83" s="50" t="s">
        <v>1615</v>
      </c>
      <c r="K83" s="51">
        <v>41529</v>
      </c>
      <c r="L83" s="115">
        <v>41520</v>
      </c>
      <c r="N83" s="50" t="s">
        <v>2</v>
      </c>
      <c r="O83" s="74">
        <f>1.3/2</f>
        <v>0.65</v>
      </c>
      <c r="P83" s="50">
        <v>4.3899999999999997</v>
      </c>
      <c r="Q83" s="74">
        <v>6.36</v>
      </c>
      <c r="R83" s="50">
        <v>52</v>
      </c>
      <c r="S83" s="74">
        <v>7.6</v>
      </c>
      <c r="T83" s="50">
        <v>0.97</v>
      </c>
      <c r="U83" s="74">
        <v>1.8</v>
      </c>
      <c r="V83" s="50">
        <v>0.4</v>
      </c>
      <c r="W83" s="74">
        <v>3.6999999999999998E-2</v>
      </c>
      <c r="X83" s="50">
        <v>0.69</v>
      </c>
      <c r="Y83" s="74">
        <f t="shared" ref="Y83:Y93" si="5">0.005/2</f>
        <v>2.5000000000000001E-3</v>
      </c>
    </row>
    <row r="84" spans="1:36" ht="14">
      <c r="A84" s="49" t="s">
        <v>39</v>
      </c>
      <c r="B84" s="50" t="s">
        <v>1612</v>
      </c>
      <c r="C84" s="50" t="s">
        <v>1612</v>
      </c>
      <c r="D84" s="48" t="s">
        <v>406</v>
      </c>
      <c r="E84" s="50" t="s">
        <v>398</v>
      </c>
      <c r="G84" s="76" t="s">
        <v>1613</v>
      </c>
      <c r="H84" s="50">
        <v>3731</v>
      </c>
      <c r="I84" s="49" t="s">
        <v>1</v>
      </c>
      <c r="J84" s="50" t="s">
        <v>1616</v>
      </c>
      <c r="K84" s="51">
        <v>41529</v>
      </c>
      <c r="L84" s="115">
        <v>41520</v>
      </c>
      <c r="N84" s="50" t="s">
        <v>2</v>
      </c>
      <c r="O84" s="74">
        <f>2.2/2</f>
        <v>1.1000000000000001</v>
      </c>
      <c r="P84" s="50">
        <v>4.3899999999999997</v>
      </c>
      <c r="Q84" s="74">
        <v>7.07</v>
      </c>
      <c r="R84" s="50">
        <v>26</v>
      </c>
      <c r="S84" s="74">
        <v>2.4</v>
      </c>
      <c r="T84" s="50">
        <v>0.08</v>
      </c>
      <c r="U84" s="74">
        <v>1.2</v>
      </c>
      <c r="V84" s="50">
        <f>0.1/2</f>
        <v>0.05</v>
      </c>
      <c r="W84" s="74">
        <v>2.9000000000000001E-2</v>
      </c>
      <c r="X84" s="50">
        <v>9.9000000000000005E-2</v>
      </c>
      <c r="Y84" s="74">
        <f t="shared" si="5"/>
        <v>2.5000000000000001E-3</v>
      </c>
    </row>
    <row r="85" spans="1:36" ht="14">
      <c r="A85" s="49" t="s">
        <v>39</v>
      </c>
      <c r="B85" s="50" t="s">
        <v>1612</v>
      </c>
      <c r="C85" s="50" t="s">
        <v>1612</v>
      </c>
      <c r="D85" s="48" t="s">
        <v>406</v>
      </c>
      <c r="E85" s="50" t="s">
        <v>398</v>
      </c>
      <c r="G85" s="76" t="s">
        <v>1613</v>
      </c>
      <c r="H85" s="50">
        <v>3731</v>
      </c>
      <c r="I85" s="49" t="s">
        <v>1</v>
      </c>
      <c r="J85" s="50" t="s">
        <v>1623</v>
      </c>
      <c r="K85" s="51">
        <v>41529</v>
      </c>
      <c r="L85" s="115">
        <v>41520</v>
      </c>
      <c r="N85" s="50" t="s">
        <v>2</v>
      </c>
      <c r="O85" s="74">
        <f>1.4/2</f>
        <v>0.7</v>
      </c>
      <c r="P85" s="50">
        <v>4.3899999999999997</v>
      </c>
      <c r="Q85" s="74">
        <v>8.0500000000000007</v>
      </c>
      <c r="R85" s="50">
        <v>42</v>
      </c>
      <c r="S85" s="74">
        <v>8.1999999999999993</v>
      </c>
      <c r="T85" s="50">
        <v>0.22</v>
      </c>
      <c r="U85" s="74">
        <v>0.99</v>
      </c>
      <c r="V85" s="50">
        <v>1.31</v>
      </c>
      <c r="W85" s="74">
        <v>4.9000000000000002E-2</v>
      </c>
      <c r="X85" s="50">
        <v>0.14000000000000001</v>
      </c>
      <c r="Y85" s="74">
        <f t="shared" si="5"/>
        <v>2.5000000000000001E-3</v>
      </c>
    </row>
    <row r="86" spans="1:36" ht="14">
      <c r="A86" s="49" t="s">
        <v>39</v>
      </c>
      <c r="B86" s="50" t="s">
        <v>1612</v>
      </c>
      <c r="C86" s="50" t="s">
        <v>1612</v>
      </c>
      <c r="D86" s="48" t="s">
        <v>406</v>
      </c>
      <c r="E86" s="50" t="s">
        <v>398</v>
      </c>
      <c r="G86" s="76" t="s">
        <v>1613</v>
      </c>
      <c r="H86" s="50">
        <v>3731</v>
      </c>
      <c r="I86" s="49" t="s">
        <v>1</v>
      </c>
      <c r="J86" s="50" t="s">
        <v>1625</v>
      </c>
      <c r="K86" s="51">
        <v>41529</v>
      </c>
      <c r="L86" s="115">
        <v>41520</v>
      </c>
      <c r="N86" s="50" t="s">
        <v>2</v>
      </c>
      <c r="O86" s="74">
        <v>2.7</v>
      </c>
      <c r="P86" s="50">
        <v>4.3899999999999997</v>
      </c>
      <c r="Q86" s="74">
        <v>6.38</v>
      </c>
      <c r="R86" s="50">
        <v>44</v>
      </c>
      <c r="S86" s="74">
        <v>9.4</v>
      </c>
      <c r="T86" s="50">
        <v>0.32</v>
      </c>
      <c r="U86" s="74">
        <v>1.2</v>
      </c>
      <c r="V86" s="50">
        <v>0.43</v>
      </c>
      <c r="W86" s="74">
        <v>5.8999999999999997E-2</v>
      </c>
      <c r="X86" s="50">
        <v>0.95799999999999996</v>
      </c>
      <c r="Y86" s="74">
        <f t="shared" si="5"/>
        <v>2.5000000000000001E-3</v>
      </c>
    </row>
    <row r="87" spans="1:36" ht="14">
      <c r="A87" s="49" t="s">
        <v>39</v>
      </c>
      <c r="B87" s="50" t="s">
        <v>1612</v>
      </c>
      <c r="C87" s="50" t="s">
        <v>1612</v>
      </c>
      <c r="D87" s="48" t="s">
        <v>406</v>
      </c>
      <c r="E87" s="50" t="s">
        <v>398</v>
      </c>
      <c r="G87" s="76" t="s">
        <v>1613</v>
      </c>
      <c r="H87" s="50">
        <v>3731</v>
      </c>
      <c r="I87" s="49" t="s">
        <v>1</v>
      </c>
      <c r="J87" s="50" t="s">
        <v>1624</v>
      </c>
      <c r="K87" s="51">
        <v>41529</v>
      </c>
      <c r="L87" s="115">
        <v>41520</v>
      </c>
      <c r="N87" s="50" t="s">
        <v>2</v>
      </c>
      <c r="O87" s="74">
        <f>1.1/2</f>
        <v>0.55000000000000004</v>
      </c>
      <c r="P87" s="50">
        <v>4.3899999999999997</v>
      </c>
      <c r="Q87" s="74">
        <v>6.6</v>
      </c>
      <c r="R87" s="50">
        <v>41</v>
      </c>
      <c r="S87" s="74">
        <v>14.8</v>
      </c>
      <c r="T87" s="50">
        <v>0.4</v>
      </c>
      <c r="U87" s="74">
        <v>1</v>
      </c>
      <c r="V87" s="50">
        <v>0.37</v>
      </c>
      <c r="W87" s="74">
        <v>0.153</v>
      </c>
      <c r="X87" s="50">
        <v>0.39700000000000002</v>
      </c>
      <c r="Y87" s="74">
        <f t="shared" si="5"/>
        <v>2.5000000000000001E-3</v>
      </c>
    </row>
    <row r="88" spans="1:36" ht="14">
      <c r="A88" s="49" t="s">
        <v>39</v>
      </c>
      <c r="B88" s="50" t="s">
        <v>1612</v>
      </c>
      <c r="C88" s="50" t="s">
        <v>1612</v>
      </c>
      <c r="D88" s="48" t="s">
        <v>406</v>
      </c>
      <c r="E88" s="50" t="s">
        <v>398</v>
      </c>
      <c r="G88" s="76" t="s">
        <v>1613</v>
      </c>
      <c r="H88" s="50">
        <v>3731</v>
      </c>
      <c r="I88" s="49" t="s">
        <v>1</v>
      </c>
      <c r="J88" s="50" t="s">
        <v>1617</v>
      </c>
      <c r="K88" s="51">
        <v>41529</v>
      </c>
      <c r="L88" s="115">
        <v>41520</v>
      </c>
      <c r="N88" s="50" t="s">
        <v>2</v>
      </c>
      <c r="O88" s="74">
        <f>1.2/2</f>
        <v>0.6</v>
      </c>
      <c r="P88" s="50">
        <v>4.3899999999999997</v>
      </c>
      <c r="Q88" s="74">
        <v>6.67</v>
      </c>
      <c r="R88" s="50">
        <v>35</v>
      </c>
      <c r="S88" s="74">
        <v>14.8</v>
      </c>
      <c r="T88" s="50">
        <v>0.92</v>
      </c>
      <c r="U88" s="74">
        <v>3.3</v>
      </c>
      <c r="V88" s="50">
        <v>0.28000000000000003</v>
      </c>
      <c r="W88" s="74">
        <v>5.7000000000000002E-2</v>
      </c>
      <c r="X88" s="50">
        <v>0.58599999999999997</v>
      </c>
      <c r="Y88" s="74">
        <f t="shared" si="5"/>
        <v>2.5000000000000001E-3</v>
      </c>
    </row>
    <row r="89" spans="1:36" ht="14">
      <c r="A89" s="49" t="s">
        <v>39</v>
      </c>
      <c r="B89" s="50" t="s">
        <v>1612</v>
      </c>
      <c r="C89" s="50" t="s">
        <v>1612</v>
      </c>
      <c r="D89" s="48" t="s">
        <v>406</v>
      </c>
      <c r="E89" s="50" t="s">
        <v>398</v>
      </c>
      <c r="G89" s="76" t="s">
        <v>1613</v>
      </c>
      <c r="H89" s="50">
        <v>3731</v>
      </c>
      <c r="I89" s="49" t="s">
        <v>1</v>
      </c>
      <c r="J89" s="50" t="s">
        <v>1622</v>
      </c>
      <c r="K89" s="51">
        <v>41529</v>
      </c>
      <c r="L89" s="115">
        <v>41520</v>
      </c>
      <c r="N89" s="50" t="s">
        <v>2</v>
      </c>
      <c r="O89" s="74">
        <f>1.2/2</f>
        <v>0.6</v>
      </c>
      <c r="P89" s="50">
        <v>4.3899999999999997</v>
      </c>
      <c r="Q89" s="74">
        <v>7.1</v>
      </c>
      <c r="R89" s="50">
        <v>28</v>
      </c>
      <c r="S89" s="74">
        <v>4</v>
      </c>
      <c r="T89" s="50">
        <v>0.06</v>
      </c>
      <c r="U89" s="74">
        <v>0.53</v>
      </c>
      <c r="V89" s="50">
        <v>0.34</v>
      </c>
      <c r="W89" s="74">
        <v>4.9000000000000002E-2</v>
      </c>
      <c r="X89" s="50">
        <v>5.3999999999999999E-2</v>
      </c>
      <c r="Y89" s="74">
        <f t="shared" si="5"/>
        <v>2.5000000000000001E-3</v>
      </c>
    </row>
    <row r="90" spans="1:36" ht="14">
      <c r="A90" s="49" t="s">
        <v>39</v>
      </c>
      <c r="B90" s="50" t="s">
        <v>1612</v>
      </c>
      <c r="C90" s="50" t="s">
        <v>1612</v>
      </c>
      <c r="D90" s="48" t="s">
        <v>406</v>
      </c>
      <c r="E90" s="50" t="s">
        <v>398</v>
      </c>
      <c r="G90" s="76" t="s">
        <v>1613</v>
      </c>
      <c r="H90" s="50">
        <v>3731</v>
      </c>
      <c r="I90" s="49" t="s">
        <v>1</v>
      </c>
      <c r="J90" s="50" t="s">
        <v>1621</v>
      </c>
      <c r="K90" s="51">
        <v>41529</v>
      </c>
      <c r="L90" s="115">
        <v>41520</v>
      </c>
      <c r="N90" s="50" t="s">
        <v>2</v>
      </c>
      <c r="O90" s="74">
        <f>1.1/2</f>
        <v>0.55000000000000004</v>
      </c>
      <c r="P90" s="50">
        <v>4.3899999999999997</v>
      </c>
      <c r="Q90" s="74">
        <v>7.01</v>
      </c>
      <c r="R90" s="50">
        <v>18</v>
      </c>
      <c r="S90" s="74">
        <v>2.2000000000000002</v>
      </c>
      <c r="T90" s="50">
        <v>0.14000000000000001</v>
      </c>
      <c r="U90" s="74">
        <v>1.1000000000000001</v>
      </c>
      <c r="V90" s="50">
        <v>1.34</v>
      </c>
      <c r="W90" s="74">
        <v>0.02</v>
      </c>
      <c r="X90" s="50">
        <v>0.17499999999999999</v>
      </c>
      <c r="Y90" s="74">
        <f t="shared" si="5"/>
        <v>2.5000000000000001E-3</v>
      </c>
    </row>
    <row r="91" spans="1:36" ht="14">
      <c r="A91" s="49" t="s">
        <v>39</v>
      </c>
      <c r="B91" s="50" t="s">
        <v>1612</v>
      </c>
      <c r="C91" s="50" t="s">
        <v>1612</v>
      </c>
      <c r="D91" s="48" t="s">
        <v>406</v>
      </c>
      <c r="E91" s="50" t="s">
        <v>398</v>
      </c>
      <c r="G91" s="76" t="s">
        <v>1613</v>
      </c>
      <c r="H91" s="50">
        <v>3731</v>
      </c>
      <c r="I91" s="49" t="s">
        <v>1</v>
      </c>
      <c r="J91" s="50" t="s">
        <v>1620</v>
      </c>
      <c r="K91" s="51">
        <v>41529</v>
      </c>
      <c r="L91" s="115">
        <v>41520</v>
      </c>
      <c r="N91" s="50" t="s">
        <v>2</v>
      </c>
      <c r="O91" s="74">
        <f>1.2/2</f>
        <v>0.6</v>
      </c>
      <c r="P91" s="50">
        <v>4.3899999999999997</v>
      </c>
      <c r="Q91" s="74">
        <v>6.96</v>
      </c>
      <c r="R91" s="50">
        <v>26</v>
      </c>
      <c r="S91" s="74">
        <v>3.2</v>
      </c>
      <c r="T91" s="50">
        <v>0.12</v>
      </c>
      <c r="U91" s="74">
        <v>0.71</v>
      </c>
      <c r="V91" s="50">
        <v>1.39</v>
      </c>
      <c r="W91" s="74">
        <v>0.121</v>
      </c>
      <c r="X91" s="50">
        <v>9.0999999999999998E-2</v>
      </c>
      <c r="Y91" s="74">
        <f t="shared" si="5"/>
        <v>2.5000000000000001E-3</v>
      </c>
    </row>
    <row r="92" spans="1:36" ht="14">
      <c r="A92" s="49" t="s">
        <v>39</v>
      </c>
      <c r="B92" s="50" t="s">
        <v>1612</v>
      </c>
      <c r="C92" s="50" t="s">
        <v>1612</v>
      </c>
      <c r="D92" s="48" t="s">
        <v>406</v>
      </c>
      <c r="E92" s="50" t="s">
        <v>398</v>
      </c>
      <c r="G92" s="76" t="s">
        <v>1613</v>
      </c>
      <c r="H92" s="50">
        <v>3731</v>
      </c>
      <c r="I92" s="49" t="s">
        <v>1</v>
      </c>
      <c r="J92" s="50" t="s">
        <v>1619</v>
      </c>
      <c r="K92" s="51">
        <v>41529</v>
      </c>
      <c r="L92" s="115">
        <v>41520</v>
      </c>
      <c r="N92" s="50" t="s">
        <v>2</v>
      </c>
      <c r="O92" s="74">
        <f>1.1/2</f>
        <v>0.55000000000000004</v>
      </c>
      <c r="P92" s="50">
        <v>4.3899999999999997</v>
      </c>
      <c r="Q92" s="74">
        <v>6.87</v>
      </c>
      <c r="R92" s="50">
        <v>28</v>
      </c>
      <c r="S92" s="74">
        <v>2.4</v>
      </c>
      <c r="T92" s="50">
        <f>0.05/2</f>
        <v>2.5000000000000001E-2</v>
      </c>
      <c r="U92" s="74">
        <v>0.79</v>
      </c>
      <c r="V92" s="50">
        <v>1.18</v>
      </c>
      <c r="W92" s="74">
        <v>4.2999999999999997E-2</v>
      </c>
      <c r="X92" s="50">
        <v>0.11</v>
      </c>
      <c r="Y92" s="74">
        <f t="shared" si="5"/>
        <v>2.5000000000000001E-3</v>
      </c>
    </row>
    <row r="93" spans="1:36" ht="14">
      <c r="A93" s="49" t="s">
        <v>39</v>
      </c>
      <c r="B93" s="50" t="s">
        <v>1612</v>
      </c>
      <c r="C93" s="50" t="s">
        <v>1612</v>
      </c>
      <c r="D93" s="48" t="s">
        <v>406</v>
      </c>
      <c r="E93" s="50" t="s">
        <v>398</v>
      </c>
      <c r="G93" s="76" t="s">
        <v>1613</v>
      </c>
      <c r="H93" s="50">
        <v>3731</v>
      </c>
      <c r="I93" s="49" t="s">
        <v>1</v>
      </c>
      <c r="J93" s="50" t="s">
        <v>1618</v>
      </c>
      <c r="K93" s="51">
        <v>41529</v>
      </c>
      <c r="L93" s="115">
        <v>41520</v>
      </c>
      <c r="N93" s="50" t="s">
        <v>2</v>
      </c>
      <c r="O93" s="74">
        <f>1.2/2</f>
        <v>0.6</v>
      </c>
      <c r="P93" s="50">
        <v>4.3899999999999997</v>
      </c>
      <c r="Q93" s="74">
        <v>6.82</v>
      </c>
      <c r="R93" s="50">
        <v>22</v>
      </c>
      <c r="S93" s="74">
        <v>1.8</v>
      </c>
      <c r="T93" s="50">
        <v>0.12</v>
      </c>
      <c r="U93" s="74">
        <v>0.69</v>
      </c>
      <c r="V93" s="50">
        <v>0.91</v>
      </c>
      <c r="W93" s="74">
        <v>2.8000000000000001E-2</v>
      </c>
      <c r="X93" s="50">
        <v>0.28199999999999997</v>
      </c>
      <c r="Y93" s="74">
        <f t="shared" si="5"/>
        <v>2.5000000000000001E-3</v>
      </c>
    </row>
    <row r="94" spans="1:36" ht="14">
      <c r="A94" s="49" t="s">
        <v>39</v>
      </c>
      <c r="B94" s="50" t="s">
        <v>1783</v>
      </c>
      <c r="C94" s="50" t="s">
        <v>6129</v>
      </c>
      <c r="D94" s="48" t="s">
        <v>56</v>
      </c>
      <c r="E94" s="50" t="s">
        <v>112</v>
      </c>
      <c r="G94" s="76" t="s">
        <v>1785</v>
      </c>
      <c r="H94" s="50" t="s">
        <v>6130</v>
      </c>
      <c r="I94" s="49" t="s">
        <v>1</v>
      </c>
      <c r="J94" s="50" t="s">
        <v>114</v>
      </c>
      <c r="K94" s="51">
        <v>41631</v>
      </c>
      <c r="L94" s="115">
        <v>41625</v>
      </c>
      <c r="N94" s="50" t="s">
        <v>1</v>
      </c>
      <c r="P94" s="50">
        <v>6.5</v>
      </c>
      <c r="S94" s="74">
        <v>100</v>
      </c>
      <c r="W94" s="74">
        <f>0.04/2</f>
        <v>0.02</v>
      </c>
      <c r="AE94" s="50">
        <v>10</v>
      </c>
      <c r="AF94" s="50">
        <v>171</v>
      </c>
    </row>
    <row r="95" spans="1:36" ht="14">
      <c r="A95" s="49" t="s">
        <v>39</v>
      </c>
      <c r="B95" s="50" t="s">
        <v>1783</v>
      </c>
      <c r="C95" s="50" t="s">
        <v>6129</v>
      </c>
      <c r="D95" s="48" t="s">
        <v>56</v>
      </c>
      <c r="E95" s="50" t="s">
        <v>112</v>
      </c>
      <c r="G95" s="76" t="s">
        <v>1787</v>
      </c>
      <c r="H95" s="50" t="s">
        <v>6130</v>
      </c>
      <c r="I95" s="49" t="s">
        <v>1</v>
      </c>
      <c r="J95" s="50" t="s">
        <v>81</v>
      </c>
      <c r="K95" s="51">
        <v>41631</v>
      </c>
      <c r="L95" s="115">
        <v>41625</v>
      </c>
      <c r="N95" s="50" t="s">
        <v>1</v>
      </c>
      <c r="P95" s="50">
        <v>6.5</v>
      </c>
      <c r="W95" s="74">
        <v>0.12</v>
      </c>
      <c r="AE95" s="50">
        <v>54</v>
      </c>
      <c r="AF95" s="50">
        <v>408</v>
      </c>
    </row>
    <row r="96" spans="1:36" ht="14">
      <c r="A96" s="49" t="s">
        <v>39</v>
      </c>
      <c r="B96" s="50" t="s">
        <v>1612</v>
      </c>
      <c r="C96" s="50" t="s">
        <v>1612</v>
      </c>
      <c r="D96" s="48" t="s">
        <v>406</v>
      </c>
      <c r="E96" s="50" t="s">
        <v>398</v>
      </c>
      <c r="G96" s="76" t="s">
        <v>1613</v>
      </c>
      <c r="H96" s="50">
        <v>3731</v>
      </c>
      <c r="I96" s="49" t="s">
        <v>1</v>
      </c>
      <c r="J96" s="50" t="s">
        <v>1614</v>
      </c>
      <c r="K96" s="51">
        <v>41710</v>
      </c>
      <c r="L96" s="115">
        <v>41691</v>
      </c>
      <c r="N96" s="50" t="s">
        <v>2</v>
      </c>
      <c r="T96" s="50">
        <v>0.82</v>
      </c>
      <c r="U96" s="74">
        <v>19</v>
      </c>
      <c r="W96" s="74">
        <v>0.749</v>
      </c>
      <c r="X96" s="50">
        <v>4.0750000000000002</v>
      </c>
      <c r="Y96" s="74">
        <v>6.2E-2</v>
      </c>
      <c r="AE96" s="50">
        <f>10/2</f>
        <v>5</v>
      </c>
    </row>
    <row r="97" spans="1:35" ht="14">
      <c r="A97" s="49" t="s">
        <v>39</v>
      </c>
      <c r="B97" s="50" t="s">
        <v>1612</v>
      </c>
      <c r="C97" s="50" t="s">
        <v>1612</v>
      </c>
      <c r="D97" s="48" t="s">
        <v>406</v>
      </c>
      <c r="E97" s="50" t="s">
        <v>398</v>
      </c>
      <c r="G97" s="76" t="s">
        <v>1613</v>
      </c>
      <c r="H97" s="50">
        <v>3731</v>
      </c>
      <c r="I97" s="49" t="s">
        <v>1</v>
      </c>
      <c r="J97" s="50" t="s">
        <v>1615</v>
      </c>
      <c r="K97" s="51">
        <v>41710</v>
      </c>
      <c r="L97" s="115">
        <v>41691</v>
      </c>
      <c r="N97" s="50" t="s">
        <v>2</v>
      </c>
      <c r="U97" s="74">
        <v>6.8</v>
      </c>
      <c r="W97" s="74">
        <v>0.68899999999999995</v>
      </c>
      <c r="X97" s="50">
        <v>3.625</v>
      </c>
      <c r="Y97" s="74">
        <v>5.5E-2</v>
      </c>
      <c r="AE97" s="50">
        <f>10/2</f>
        <v>5</v>
      </c>
    </row>
    <row r="98" spans="1:35" ht="14">
      <c r="A98" s="49" t="s">
        <v>39</v>
      </c>
      <c r="B98" s="50" t="s">
        <v>1612</v>
      </c>
      <c r="C98" s="50" t="s">
        <v>1612</v>
      </c>
      <c r="D98" s="48" t="s">
        <v>406</v>
      </c>
      <c r="E98" s="50" t="s">
        <v>398</v>
      </c>
      <c r="G98" s="76" t="s">
        <v>1613</v>
      </c>
      <c r="H98" s="50">
        <v>3731</v>
      </c>
      <c r="I98" s="49" t="s">
        <v>1</v>
      </c>
      <c r="J98" s="50" t="s">
        <v>1616</v>
      </c>
      <c r="K98" s="51">
        <v>41710</v>
      </c>
      <c r="L98" s="115">
        <v>41691</v>
      </c>
      <c r="N98" s="50" t="s">
        <v>2</v>
      </c>
      <c r="S98" s="74">
        <v>197</v>
      </c>
      <c r="T98" s="50">
        <f>0.05/2</f>
        <v>2.5000000000000001E-2</v>
      </c>
      <c r="U98" s="74">
        <v>6.9</v>
      </c>
      <c r="W98" s="74">
        <v>0.59099999999999997</v>
      </c>
      <c r="X98" s="50">
        <v>4.8330000000000002</v>
      </c>
      <c r="Y98" s="74">
        <v>0.04</v>
      </c>
      <c r="AE98" s="50">
        <f>10/2</f>
        <v>5</v>
      </c>
    </row>
    <row r="99" spans="1:35" ht="14">
      <c r="A99" s="49" t="s">
        <v>39</v>
      </c>
      <c r="B99" s="50" t="s">
        <v>1612</v>
      </c>
      <c r="C99" s="50" t="s">
        <v>1612</v>
      </c>
      <c r="D99" s="48" t="s">
        <v>406</v>
      </c>
      <c r="E99" s="50" t="s">
        <v>398</v>
      </c>
      <c r="G99" s="76" t="s">
        <v>1613</v>
      </c>
      <c r="H99" s="50">
        <v>3731</v>
      </c>
      <c r="I99" s="49" t="s">
        <v>1</v>
      </c>
      <c r="J99" s="50" t="s">
        <v>1617</v>
      </c>
      <c r="K99" s="51">
        <v>41710</v>
      </c>
      <c r="L99" s="115">
        <v>41691</v>
      </c>
      <c r="N99" s="50" t="s">
        <v>2</v>
      </c>
      <c r="T99" s="50">
        <v>0.35</v>
      </c>
      <c r="U99" s="74">
        <v>4.5</v>
      </c>
      <c r="W99" s="74">
        <v>8.4000000000000005E-2</v>
      </c>
      <c r="X99" s="50">
        <v>0.29199999999999998</v>
      </c>
      <c r="Y99" s="74">
        <v>1.7000000000000001E-2</v>
      </c>
      <c r="AE99" s="50">
        <f>10/2</f>
        <v>5</v>
      </c>
    </row>
    <row r="100" spans="1:35" ht="14">
      <c r="A100" s="49" t="s">
        <v>39</v>
      </c>
      <c r="B100" s="50" t="s">
        <v>1612</v>
      </c>
      <c r="C100" s="50" t="s">
        <v>1612</v>
      </c>
      <c r="D100" s="48" t="s">
        <v>406</v>
      </c>
      <c r="E100" s="50" t="s">
        <v>398</v>
      </c>
      <c r="G100" s="76" t="s">
        <v>1613</v>
      </c>
      <c r="H100" s="50">
        <v>3731</v>
      </c>
      <c r="I100" s="49" t="s">
        <v>1</v>
      </c>
      <c r="J100" s="50" t="s">
        <v>1618</v>
      </c>
      <c r="K100" s="51">
        <v>41710</v>
      </c>
      <c r="L100" s="115">
        <v>41691</v>
      </c>
      <c r="N100" s="50" t="s">
        <v>2</v>
      </c>
      <c r="W100" s="74">
        <v>0.19600000000000001</v>
      </c>
      <c r="X100" s="50">
        <v>0.66800000000000004</v>
      </c>
      <c r="Y100" s="74">
        <v>0.04</v>
      </c>
      <c r="AE100" s="50">
        <f>10/2</f>
        <v>5</v>
      </c>
    </row>
    <row r="101" spans="1:35" ht="14">
      <c r="A101" s="49" t="s">
        <v>39</v>
      </c>
      <c r="B101" s="50" t="s">
        <v>1612</v>
      </c>
      <c r="C101" s="50" t="s">
        <v>1612</v>
      </c>
      <c r="D101" s="48" t="s">
        <v>406</v>
      </c>
      <c r="E101" s="50" t="s">
        <v>398</v>
      </c>
      <c r="G101" s="76" t="s">
        <v>1613</v>
      </c>
      <c r="H101" s="50">
        <v>3731</v>
      </c>
      <c r="I101" s="49" t="s">
        <v>1</v>
      </c>
      <c r="J101" s="50" t="s">
        <v>1619</v>
      </c>
      <c r="K101" s="51">
        <v>41710</v>
      </c>
      <c r="L101" s="115">
        <v>41691</v>
      </c>
      <c r="N101" s="50" t="s">
        <v>2</v>
      </c>
      <c r="T101" s="50">
        <v>1.7</v>
      </c>
      <c r="U101" s="74">
        <v>44</v>
      </c>
      <c r="W101" s="74">
        <v>0.72199999999999998</v>
      </c>
      <c r="X101" s="50">
        <v>2.2040000000000002</v>
      </c>
      <c r="Y101" s="74">
        <v>0.126</v>
      </c>
      <c r="AE101" s="50">
        <v>4600</v>
      </c>
    </row>
    <row r="102" spans="1:35" ht="14">
      <c r="A102" s="49" t="s">
        <v>39</v>
      </c>
      <c r="B102" s="50" t="s">
        <v>1612</v>
      </c>
      <c r="C102" s="50" t="s">
        <v>1612</v>
      </c>
      <c r="D102" s="48" t="s">
        <v>406</v>
      </c>
      <c r="E102" s="50" t="s">
        <v>398</v>
      </c>
      <c r="G102" s="76" t="s">
        <v>1613</v>
      </c>
      <c r="H102" s="50">
        <v>3731</v>
      </c>
      <c r="I102" s="49" t="s">
        <v>1</v>
      </c>
      <c r="J102" s="50" t="s">
        <v>1620</v>
      </c>
      <c r="K102" s="51">
        <v>41710</v>
      </c>
      <c r="L102" s="115">
        <v>41691</v>
      </c>
      <c r="N102" s="50" t="s">
        <v>2</v>
      </c>
      <c r="U102" s="74">
        <v>3.8</v>
      </c>
      <c r="W102" s="74">
        <v>0.23499999999999999</v>
      </c>
      <c r="X102" s="50">
        <v>0.504</v>
      </c>
      <c r="Y102" s="74">
        <v>3.4000000000000002E-2</v>
      </c>
      <c r="AE102" s="50">
        <v>1900</v>
      </c>
    </row>
    <row r="103" spans="1:35" ht="14">
      <c r="A103" s="49" t="s">
        <v>39</v>
      </c>
      <c r="B103" s="50" t="s">
        <v>1612</v>
      </c>
      <c r="C103" s="50" t="s">
        <v>1612</v>
      </c>
      <c r="D103" s="48" t="s">
        <v>406</v>
      </c>
      <c r="E103" s="50" t="s">
        <v>398</v>
      </c>
      <c r="G103" s="76" t="s">
        <v>1613</v>
      </c>
      <c r="H103" s="50">
        <v>3731</v>
      </c>
      <c r="I103" s="49" t="s">
        <v>1</v>
      </c>
      <c r="J103" s="50" t="s">
        <v>1621</v>
      </c>
      <c r="K103" s="51">
        <v>41710</v>
      </c>
      <c r="L103" s="115">
        <v>41691</v>
      </c>
      <c r="N103" s="50" t="s">
        <v>2</v>
      </c>
      <c r="U103" s="74">
        <v>8.4</v>
      </c>
      <c r="W103" s="74">
        <v>8.7999999999999995E-2</v>
      </c>
      <c r="X103" s="50">
        <v>0.48499999999999999</v>
      </c>
      <c r="Y103" s="74">
        <v>2.7E-2</v>
      </c>
      <c r="AE103" s="50">
        <f>10/2</f>
        <v>5</v>
      </c>
    </row>
    <row r="104" spans="1:35" ht="14">
      <c r="A104" s="49" t="s">
        <v>39</v>
      </c>
      <c r="B104" s="50" t="s">
        <v>1612</v>
      </c>
      <c r="C104" s="50" t="s">
        <v>1612</v>
      </c>
      <c r="D104" s="48" t="s">
        <v>406</v>
      </c>
      <c r="E104" s="50" t="s">
        <v>398</v>
      </c>
      <c r="G104" s="76" t="s">
        <v>1613</v>
      </c>
      <c r="H104" s="50">
        <v>3731</v>
      </c>
      <c r="I104" s="49" t="s">
        <v>1</v>
      </c>
      <c r="J104" s="50" t="s">
        <v>1622</v>
      </c>
      <c r="K104" s="51">
        <v>41710</v>
      </c>
      <c r="L104" s="115">
        <v>41691</v>
      </c>
      <c r="N104" s="50" t="s">
        <v>2</v>
      </c>
      <c r="U104" s="74">
        <v>0.86</v>
      </c>
      <c r="V104" s="50">
        <v>3.137</v>
      </c>
      <c r="W104" s="74">
        <v>1.2999999999999999E-2</v>
      </c>
      <c r="X104" s="50">
        <v>0.20799999999999999</v>
      </c>
      <c r="Y104" s="74">
        <v>1.7999999999999999E-2</v>
      </c>
      <c r="AE104" s="50">
        <v>2200</v>
      </c>
    </row>
    <row r="105" spans="1:35" ht="14">
      <c r="A105" s="49" t="s">
        <v>39</v>
      </c>
      <c r="B105" s="50" t="s">
        <v>1612</v>
      </c>
      <c r="C105" s="50" t="s">
        <v>1612</v>
      </c>
      <c r="D105" s="48" t="s">
        <v>406</v>
      </c>
      <c r="E105" s="50" t="s">
        <v>398</v>
      </c>
      <c r="G105" s="76" t="s">
        <v>1613</v>
      </c>
      <c r="H105" s="50">
        <v>3731</v>
      </c>
      <c r="I105" s="49" t="s">
        <v>1</v>
      </c>
      <c r="J105" s="50" t="s">
        <v>1623</v>
      </c>
      <c r="K105" s="51">
        <v>41710</v>
      </c>
      <c r="L105" s="115">
        <v>41691</v>
      </c>
      <c r="N105" s="50" t="s">
        <v>2</v>
      </c>
      <c r="U105" s="74">
        <v>13</v>
      </c>
      <c r="W105" s="74">
        <v>2.0009999999999999</v>
      </c>
      <c r="X105" s="50">
        <v>8.9700000000000006</v>
      </c>
      <c r="Y105" s="74">
        <v>0.307</v>
      </c>
      <c r="AE105" s="50">
        <f>10/2</f>
        <v>5</v>
      </c>
    </row>
    <row r="106" spans="1:35" ht="14">
      <c r="A106" s="49" t="s">
        <v>39</v>
      </c>
      <c r="B106" s="50" t="s">
        <v>1612</v>
      </c>
      <c r="C106" s="50" t="s">
        <v>1612</v>
      </c>
      <c r="D106" s="48" t="s">
        <v>406</v>
      </c>
      <c r="E106" s="50" t="s">
        <v>398</v>
      </c>
      <c r="G106" s="76" t="s">
        <v>1613</v>
      </c>
      <c r="H106" s="50">
        <v>3731</v>
      </c>
      <c r="I106" s="49" t="s">
        <v>1</v>
      </c>
      <c r="J106" s="50" t="s">
        <v>1624</v>
      </c>
      <c r="K106" s="51">
        <v>41710</v>
      </c>
      <c r="L106" s="115">
        <v>41691</v>
      </c>
      <c r="N106" s="50" t="s">
        <v>2</v>
      </c>
      <c r="W106" s="74">
        <v>0.23300000000000001</v>
      </c>
      <c r="X106" s="50">
        <v>1.4119999999999999</v>
      </c>
      <c r="Y106" s="74">
        <v>3.4000000000000002E-2</v>
      </c>
      <c r="AE106" s="50">
        <f>10/2</f>
        <v>5</v>
      </c>
    </row>
    <row r="107" spans="1:35" ht="14">
      <c r="A107" s="49" t="s">
        <v>39</v>
      </c>
      <c r="B107" s="50" t="s">
        <v>1612</v>
      </c>
      <c r="C107" s="50" t="s">
        <v>1612</v>
      </c>
      <c r="D107" s="48" t="s">
        <v>406</v>
      </c>
      <c r="E107" s="50" t="s">
        <v>398</v>
      </c>
      <c r="G107" s="76" t="s">
        <v>1613</v>
      </c>
      <c r="H107" s="50">
        <v>3731</v>
      </c>
      <c r="I107" s="49" t="s">
        <v>1</v>
      </c>
      <c r="J107" s="50" t="s">
        <v>1625</v>
      </c>
      <c r="K107" s="51">
        <v>41710</v>
      </c>
      <c r="L107" s="115">
        <v>41691</v>
      </c>
      <c r="N107" s="50" t="s">
        <v>2</v>
      </c>
      <c r="W107" s="74">
        <v>0.629</v>
      </c>
      <c r="X107" s="50">
        <v>2.8940000000000001</v>
      </c>
      <c r="Y107" s="74">
        <v>4.5999999999999999E-2</v>
      </c>
      <c r="AE107" s="50">
        <f>10/2</f>
        <v>5</v>
      </c>
    </row>
    <row r="108" spans="1:35" ht="14">
      <c r="A108" s="49" t="s">
        <v>39</v>
      </c>
      <c r="B108" s="50" t="s">
        <v>1783</v>
      </c>
      <c r="C108" s="50" t="s">
        <v>6129</v>
      </c>
      <c r="D108" s="48" t="s">
        <v>56</v>
      </c>
      <c r="E108" s="50" t="s">
        <v>112</v>
      </c>
      <c r="G108" s="76" t="s">
        <v>1785</v>
      </c>
      <c r="H108" s="50" t="s">
        <v>6130</v>
      </c>
      <c r="I108" s="49" t="s">
        <v>1</v>
      </c>
      <c r="J108" s="50" t="s">
        <v>114</v>
      </c>
      <c r="K108" s="51">
        <v>41744</v>
      </c>
      <c r="L108" s="115">
        <v>41737</v>
      </c>
      <c r="N108" s="50" t="s">
        <v>2</v>
      </c>
      <c r="P108" s="50">
        <v>5.5</v>
      </c>
      <c r="S108" s="74">
        <v>22</v>
      </c>
      <c r="W108" s="74">
        <f>0.04/2</f>
        <v>0.02</v>
      </c>
    </row>
    <row r="109" spans="1:35" ht="14">
      <c r="A109" s="49" t="s">
        <v>39</v>
      </c>
      <c r="B109" s="50" t="s">
        <v>1783</v>
      </c>
      <c r="C109" s="50" t="s">
        <v>6129</v>
      </c>
      <c r="D109" s="48" t="s">
        <v>56</v>
      </c>
      <c r="E109" s="50" t="s">
        <v>112</v>
      </c>
      <c r="G109" s="76" t="s">
        <v>1787</v>
      </c>
      <c r="H109" s="50" t="s">
        <v>6130</v>
      </c>
      <c r="I109" s="49" t="s">
        <v>1</v>
      </c>
      <c r="J109" s="50" t="s">
        <v>81</v>
      </c>
      <c r="K109" s="51">
        <v>41744</v>
      </c>
      <c r="L109" s="115">
        <v>41737</v>
      </c>
      <c r="N109" s="50" t="s">
        <v>2</v>
      </c>
      <c r="P109" s="50">
        <v>5.5</v>
      </c>
      <c r="W109" s="74">
        <v>4.7E-2</v>
      </c>
    </row>
    <row r="110" spans="1:35" ht="14">
      <c r="A110" s="49" t="s">
        <v>39</v>
      </c>
      <c r="B110" s="50" t="s">
        <v>2460</v>
      </c>
      <c r="C110" s="50" t="s">
        <v>2460</v>
      </c>
      <c r="D110" s="48" t="s">
        <v>406</v>
      </c>
      <c r="E110" s="50" t="s">
        <v>398</v>
      </c>
      <c r="G110" s="76" t="s">
        <v>2461</v>
      </c>
      <c r="H110" s="50">
        <v>9711</v>
      </c>
      <c r="I110" s="49" t="s">
        <v>1</v>
      </c>
      <c r="J110" s="50" t="s">
        <v>6131</v>
      </c>
      <c r="K110" s="51">
        <v>41710</v>
      </c>
      <c r="L110" s="115">
        <v>41691</v>
      </c>
      <c r="N110" s="50" t="s">
        <v>2</v>
      </c>
      <c r="O110" s="74">
        <f>1.1/2</f>
        <v>0.55000000000000004</v>
      </c>
      <c r="P110" s="50">
        <v>5.58</v>
      </c>
      <c r="Q110" s="74">
        <v>6.77</v>
      </c>
      <c r="R110" s="50">
        <v>110</v>
      </c>
      <c r="S110" s="74">
        <v>52</v>
      </c>
      <c r="T110" s="50">
        <v>0.34</v>
      </c>
      <c r="U110" s="74">
        <v>2.2999999999999998</v>
      </c>
      <c r="V110" s="50">
        <v>0.64</v>
      </c>
      <c r="W110" s="74">
        <v>0.1</v>
      </c>
      <c r="X110" s="50">
        <v>0.34</v>
      </c>
      <c r="Y110" s="74">
        <v>4.3999999999999997E-2</v>
      </c>
      <c r="Z110" s="164">
        <v>1</v>
      </c>
      <c r="AA110" s="165">
        <v>1</v>
      </c>
      <c r="AB110" s="50">
        <v>16</v>
      </c>
      <c r="AC110" s="74">
        <v>1386</v>
      </c>
      <c r="AD110" s="164">
        <v>0.95</v>
      </c>
    </row>
    <row r="111" spans="1:35" ht="14">
      <c r="A111" s="49" t="s">
        <v>39</v>
      </c>
      <c r="B111" s="50" t="s">
        <v>2460</v>
      </c>
      <c r="C111" s="50" t="s">
        <v>2460</v>
      </c>
      <c r="D111" s="48" t="s">
        <v>406</v>
      </c>
      <c r="E111" s="50" t="s">
        <v>398</v>
      </c>
      <c r="G111" s="76" t="s">
        <v>2461</v>
      </c>
      <c r="H111" s="50">
        <v>9711</v>
      </c>
      <c r="I111" s="49" t="s">
        <v>1</v>
      </c>
      <c r="J111" s="50" t="s">
        <v>6132</v>
      </c>
      <c r="K111" s="51">
        <v>41710</v>
      </c>
      <c r="L111" s="115">
        <v>41691</v>
      </c>
      <c r="N111" s="50" t="s">
        <v>2</v>
      </c>
      <c r="O111" s="74">
        <f>1/2</f>
        <v>0.5</v>
      </c>
      <c r="P111" s="50">
        <v>5.58</v>
      </c>
      <c r="Q111" s="74">
        <v>6.58</v>
      </c>
      <c r="R111" s="50">
        <v>42</v>
      </c>
      <c r="S111" s="74">
        <v>32</v>
      </c>
      <c r="T111" s="50">
        <v>9.0999999999999998E-2</v>
      </c>
      <c r="U111" s="74">
        <v>1.1000000000000001</v>
      </c>
      <c r="V111" s="50">
        <v>0.35</v>
      </c>
      <c r="W111" s="74">
        <v>0.03</v>
      </c>
      <c r="X111" s="50">
        <v>0.16</v>
      </c>
      <c r="Y111" s="74">
        <v>6.7000000000000002E-3</v>
      </c>
      <c r="Z111" s="164">
        <v>0.85199999999999998</v>
      </c>
      <c r="AA111" s="165">
        <v>0.67</v>
      </c>
      <c r="AB111" s="50">
        <v>8</v>
      </c>
      <c r="AC111" s="74">
        <v>202</v>
      </c>
      <c r="AD111" s="164">
        <v>0</v>
      </c>
    </row>
    <row r="112" spans="1:35" ht="15" customHeight="1">
      <c r="A112" s="41" t="s">
        <v>39</v>
      </c>
      <c r="B112" s="50" t="s">
        <v>6140</v>
      </c>
      <c r="C112" s="50" t="s">
        <v>2460</v>
      </c>
      <c r="D112" s="48" t="s">
        <v>406</v>
      </c>
      <c r="E112" s="50" t="s">
        <v>6188</v>
      </c>
      <c r="G112" s="76" t="s">
        <v>2461</v>
      </c>
      <c r="H112" s="50">
        <v>9711</v>
      </c>
      <c r="I112" s="49" t="s">
        <v>1</v>
      </c>
      <c r="J112" s="50" t="s">
        <v>6373</v>
      </c>
      <c r="K112" s="51">
        <v>41585</v>
      </c>
      <c r="L112" s="115">
        <v>41579</v>
      </c>
      <c r="N112" s="50" t="s">
        <v>2</v>
      </c>
      <c r="O112" s="74">
        <v>0.5</v>
      </c>
      <c r="P112" s="50">
        <v>5.66</v>
      </c>
      <c r="Q112" s="74">
        <v>6.1</v>
      </c>
      <c r="R112" s="50">
        <v>11</v>
      </c>
      <c r="S112" s="74">
        <v>5.6</v>
      </c>
      <c r="T112" s="50">
        <v>6.7000000000000004E-2</v>
      </c>
      <c r="U112" s="74">
        <v>0.25</v>
      </c>
      <c r="V112" s="50">
        <v>0.12</v>
      </c>
      <c r="W112" s="74">
        <v>7.2999999999999995E-2</v>
      </c>
      <c r="X112" s="50">
        <v>7.2999999999999995E-2</v>
      </c>
      <c r="Y112" s="74">
        <v>1E-3</v>
      </c>
      <c r="Z112" s="166"/>
      <c r="AA112" s="167"/>
      <c r="AD112" s="166"/>
      <c r="AE112" s="328">
        <v>80</v>
      </c>
      <c r="AF112" s="114">
        <v>1300</v>
      </c>
      <c r="AH112" s="50">
        <v>7.2999999999999995E-2</v>
      </c>
      <c r="AI112" s="50">
        <v>0.14000000000000001</v>
      </c>
    </row>
    <row r="113" spans="1:35" ht="15" customHeight="1">
      <c r="A113" s="41" t="s">
        <v>39</v>
      </c>
      <c r="B113" s="50" t="s">
        <v>6140</v>
      </c>
      <c r="C113" s="50" t="s">
        <v>2460</v>
      </c>
      <c r="D113" s="48" t="s">
        <v>406</v>
      </c>
      <c r="E113" s="50" t="s">
        <v>6188</v>
      </c>
      <c r="G113" s="76" t="s">
        <v>2461</v>
      </c>
      <c r="H113" s="50">
        <v>9711</v>
      </c>
      <c r="I113" s="49" t="s">
        <v>1</v>
      </c>
      <c r="J113" s="50" t="s">
        <v>6374</v>
      </c>
      <c r="K113" s="51">
        <v>41585</v>
      </c>
      <c r="L113" s="115">
        <v>41579</v>
      </c>
      <c r="N113" s="50" t="s">
        <v>2</v>
      </c>
      <c r="O113" s="74">
        <v>2.1</v>
      </c>
      <c r="P113" s="50">
        <v>5.85</v>
      </c>
      <c r="Q113" s="74">
        <v>7.06</v>
      </c>
      <c r="R113" s="50">
        <v>18</v>
      </c>
      <c r="S113" s="74">
        <v>11</v>
      </c>
      <c r="T113" s="50">
        <v>3.5000000000000003E-2</v>
      </c>
      <c r="U113" s="74">
        <v>0.25</v>
      </c>
      <c r="V113" s="50">
        <v>0.15</v>
      </c>
      <c r="W113" s="74">
        <v>8.2000000000000007E-3</v>
      </c>
      <c r="X113" s="50">
        <v>3.9E-2</v>
      </c>
      <c r="Y113" s="74">
        <v>1E-3</v>
      </c>
      <c r="Z113" s="166">
        <v>1</v>
      </c>
      <c r="AA113" s="167">
        <v>1</v>
      </c>
      <c r="AB113" s="50">
        <v>6</v>
      </c>
      <c r="AC113" s="74">
        <v>24</v>
      </c>
      <c r="AD113" s="166">
        <v>1</v>
      </c>
      <c r="AE113" s="328">
        <v>120</v>
      </c>
      <c r="AF113" s="114">
        <v>16000</v>
      </c>
      <c r="AH113" s="50"/>
      <c r="AI113" s="50"/>
    </row>
    <row r="114" spans="1:35" ht="15" customHeight="1">
      <c r="A114" s="41" t="s">
        <v>39</v>
      </c>
      <c r="B114" s="50" t="s">
        <v>6140</v>
      </c>
      <c r="C114" s="50" t="s">
        <v>2460</v>
      </c>
      <c r="D114" s="48" t="s">
        <v>406</v>
      </c>
      <c r="E114" s="50" t="s">
        <v>6188</v>
      </c>
      <c r="G114" s="76" t="s">
        <v>2461</v>
      </c>
      <c r="H114" s="50">
        <v>9711</v>
      </c>
      <c r="I114" s="49" t="s">
        <v>1</v>
      </c>
      <c r="J114" s="50" t="s">
        <v>6375</v>
      </c>
      <c r="K114" s="51">
        <v>41585</v>
      </c>
      <c r="L114" s="115">
        <v>41579</v>
      </c>
      <c r="N114" s="50" t="s">
        <v>2</v>
      </c>
      <c r="O114" s="74">
        <v>0.5</v>
      </c>
      <c r="P114" s="50">
        <v>5.85</v>
      </c>
      <c r="Q114" s="74">
        <v>6.88</v>
      </c>
      <c r="R114" s="50">
        <v>54</v>
      </c>
      <c r="S114" s="74">
        <v>31</v>
      </c>
      <c r="T114" s="50">
        <v>0.75</v>
      </c>
      <c r="U114" s="74">
        <v>1.7</v>
      </c>
      <c r="V114" s="50">
        <v>0.4</v>
      </c>
      <c r="W114" s="74">
        <v>3.5999999999999997E-2</v>
      </c>
      <c r="X114" s="50">
        <v>0.13</v>
      </c>
      <c r="Y114" s="74">
        <v>5.6000000000000001E-2</v>
      </c>
      <c r="Z114" s="166">
        <v>1</v>
      </c>
      <c r="AA114" s="167">
        <v>1</v>
      </c>
      <c r="AB114" s="50">
        <v>10</v>
      </c>
      <c r="AC114" s="74">
        <v>46</v>
      </c>
      <c r="AD114" s="166">
        <v>1</v>
      </c>
      <c r="AE114" s="328">
        <v>3100</v>
      </c>
      <c r="AF114" s="114">
        <v>39000</v>
      </c>
      <c r="AH114" s="50"/>
      <c r="AI114" s="50"/>
    </row>
    <row r="115" spans="1:35" ht="15" customHeight="1">
      <c r="A115" s="41" t="s">
        <v>39</v>
      </c>
      <c r="B115" s="50" t="s">
        <v>6140</v>
      </c>
      <c r="C115" s="50" t="s">
        <v>2460</v>
      </c>
      <c r="D115" s="48" t="s">
        <v>406</v>
      </c>
      <c r="E115" s="50" t="s">
        <v>6188</v>
      </c>
      <c r="G115" s="76" t="s">
        <v>2461</v>
      </c>
      <c r="H115" s="50">
        <v>9711</v>
      </c>
      <c r="I115" s="49" t="s">
        <v>1</v>
      </c>
      <c r="J115" s="50" t="s">
        <v>6376</v>
      </c>
      <c r="K115" s="51">
        <v>41585</v>
      </c>
      <c r="L115" s="115">
        <v>41579</v>
      </c>
      <c r="N115" s="50" t="s">
        <v>2</v>
      </c>
      <c r="O115" s="74">
        <v>1.6</v>
      </c>
      <c r="P115" s="50">
        <v>5.66</v>
      </c>
      <c r="Q115" s="74">
        <v>7.28</v>
      </c>
      <c r="R115" s="50">
        <v>42</v>
      </c>
      <c r="S115" s="74">
        <v>36</v>
      </c>
      <c r="T115" s="50">
        <v>0.26</v>
      </c>
      <c r="U115" s="74">
        <v>0.78</v>
      </c>
      <c r="V115" s="50">
        <v>0.26</v>
      </c>
      <c r="W115" s="74">
        <v>0.03</v>
      </c>
      <c r="X115" s="50">
        <v>0.18</v>
      </c>
      <c r="Y115" s="74">
        <v>2.1999999999999999E-2</v>
      </c>
      <c r="Z115" s="166">
        <v>1</v>
      </c>
      <c r="AA115" s="167">
        <v>1</v>
      </c>
      <c r="AB115" s="50">
        <v>8</v>
      </c>
      <c r="AC115" s="74">
        <v>44</v>
      </c>
      <c r="AD115" s="166">
        <v>0.55000000000000004</v>
      </c>
      <c r="AE115" s="328">
        <v>700</v>
      </c>
      <c r="AF115" s="114">
        <v>78000</v>
      </c>
      <c r="AH115" s="50"/>
      <c r="AI115" s="50"/>
    </row>
    <row r="116" spans="1:35" ht="15" customHeight="1">
      <c r="A116" s="41" t="s">
        <v>39</v>
      </c>
      <c r="B116" s="50" t="s">
        <v>6140</v>
      </c>
      <c r="C116" s="50" t="s">
        <v>2460</v>
      </c>
      <c r="D116" s="48" t="s">
        <v>406</v>
      </c>
      <c r="E116" s="50" t="s">
        <v>6188</v>
      </c>
      <c r="G116" s="76" t="s">
        <v>2461</v>
      </c>
      <c r="H116" s="50">
        <v>9711</v>
      </c>
      <c r="I116" s="49" t="s">
        <v>1</v>
      </c>
      <c r="J116" s="50" t="s">
        <v>6377</v>
      </c>
      <c r="K116" s="51">
        <v>41585</v>
      </c>
      <c r="L116" s="115">
        <v>41579</v>
      </c>
      <c r="N116" s="50" t="s">
        <v>2</v>
      </c>
      <c r="O116" s="74">
        <v>1.6</v>
      </c>
      <c r="P116" s="50">
        <v>5.66</v>
      </c>
      <c r="Q116" s="74">
        <v>6.5</v>
      </c>
      <c r="R116" s="50">
        <v>63</v>
      </c>
      <c r="S116" s="74">
        <v>17</v>
      </c>
      <c r="T116" s="50">
        <v>0.12</v>
      </c>
      <c r="U116" s="74">
        <v>0.96</v>
      </c>
      <c r="V116" s="50">
        <v>0.22</v>
      </c>
      <c r="W116" s="74">
        <v>2.1000000000000001E-2</v>
      </c>
      <c r="X116" s="50">
        <v>0.14000000000000001</v>
      </c>
      <c r="Y116" s="74">
        <v>1.2E-2</v>
      </c>
      <c r="Z116" s="166">
        <v>1</v>
      </c>
      <c r="AA116" s="167">
        <v>1</v>
      </c>
      <c r="AB116" s="50">
        <v>6</v>
      </c>
      <c r="AC116" s="74">
        <v>37</v>
      </c>
      <c r="AD116" s="166">
        <v>0.9</v>
      </c>
      <c r="AE116" s="328">
        <v>2700</v>
      </c>
      <c r="AF116" s="114">
        <v>140000</v>
      </c>
      <c r="AH116" s="50"/>
      <c r="AI116" s="50"/>
    </row>
  </sheetData>
  <conditionalFormatting sqref="O2:O93">
    <cfRule type="cellIs" dxfId="80" priority="256" stopIfTrue="1" operator="greaterThan">
      <formula>5</formula>
    </cfRule>
  </conditionalFormatting>
  <conditionalFormatting sqref="Q2:Q93">
    <cfRule type="cellIs" dxfId="79" priority="255" stopIfTrue="1" operator="notBetween">
      <formula>5</formula>
      <formula>9</formula>
    </cfRule>
  </conditionalFormatting>
  <conditionalFormatting sqref="R2:R93">
    <cfRule type="cellIs" dxfId="78" priority="254" stopIfTrue="1" operator="greaterThan">
      <formula>75</formula>
    </cfRule>
  </conditionalFormatting>
  <conditionalFormatting sqref="S2:S93">
    <cfRule type="cellIs" dxfId="77" priority="253" stopIfTrue="1" operator="greaterThan">
      <formula>90</formula>
    </cfRule>
  </conditionalFormatting>
  <conditionalFormatting sqref="T2:T93">
    <cfRule type="cellIs" dxfId="76" priority="252" stopIfTrue="1" operator="greaterThan">
      <formula>0.4</formula>
    </cfRule>
  </conditionalFormatting>
  <conditionalFormatting sqref="U2:U93">
    <cfRule type="cellIs" dxfId="75" priority="251" stopIfTrue="1" operator="greaterThan">
      <formula>2.3</formula>
    </cfRule>
  </conditionalFormatting>
  <conditionalFormatting sqref="V2:V93">
    <cfRule type="cellIs" dxfId="74" priority="250" stopIfTrue="1" operator="greaterThan">
      <formula>1.1</formula>
    </cfRule>
  </conditionalFormatting>
  <conditionalFormatting sqref="W2:W93">
    <cfRule type="cellIs" dxfId="73" priority="249" stopIfTrue="1" operator="greaterThan">
      <formula>0.059</formula>
    </cfRule>
  </conditionalFormatting>
  <conditionalFormatting sqref="X2:X93">
    <cfRule type="cellIs" dxfId="72" priority="248" stopIfTrue="1" operator="greaterThan">
      <formula>0.16</formula>
    </cfRule>
  </conditionalFormatting>
  <conditionalFormatting sqref="Y2:Y93">
    <cfRule type="cellIs" dxfId="71" priority="247" stopIfTrue="1" operator="greaterThan">
      <formula>0.076</formula>
    </cfRule>
  </conditionalFormatting>
  <conditionalFormatting sqref="O77:O80">
    <cfRule type="cellIs" dxfId="70" priority="91" stopIfTrue="1" operator="greaterThan">
      <formula>5</formula>
    </cfRule>
  </conditionalFormatting>
  <conditionalFormatting sqref="Q77:Q80">
    <cfRule type="cellIs" dxfId="69" priority="90" stopIfTrue="1" operator="notBetween">
      <formula>5</formula>
      <formula>9</formula>
    </cfRule>
  </conditionalFormatting>
  <conditionalFormatting sqref="R77:R80">
    <cfRule type="cellIs" dxfId="68" priority="89" stopIfTrue="1" operator="greaterThan">
      <formula>75</formula>
    </cfRule>
  </conditionalFormatting>
  <conditionalFormatting sqref="S77:S80">
    <cfRule type="cellIs" dxfId="67" priority="88" stopIfTrue="1" operator="greaterThan">
      <formula>90</formula>
    </cfRule>
  </conditionalFormatting>
  <conditionalFormatting sqref="T77:T80">
    <cfRule type="cellIs" dxfId="66" priority="87" stopIfTrue="1" operator="greaterThan">
      <formula>0.4</formula>
    </cfRule>
  </conditionalFormatting>
  <conditionalFormatting sqref="U77:U80">
    <cfRule type="cellIs" dxfId="65" priority="86" stopIfTrue="1" operator="greaterThan">
      <formula>2.3</formula>
    </cfRule>
  </conditionalFormatting>
  <conditionalFormatting sqref="V77:V80">
    <cfRule type="cellIs" dxfId="64" priority="85" stopIfTrue="1" operator="greaterThan">
      <formula>1.1</formula>
    </cfRule>
  </conditionalFormatting>
  <conditionalFormatting sqref="W77:W80">
    <cfRule type="cellIs" dxfId="63" priority="84" stopIfTrue="1" operator="greaterThan">
      <formula>0.059</formula>
    </cfRule>
  </conditionalFormatting>
  <conditionalFormatting sqref="X77:X80">
    <cfRule type="cellIs" dxfId="62" priority="83" stopIfTrue="1" operator="greaterThan">
      <formula>0.16</formula>
    </cfRule>
  </conditionalFormatting>
  <conditionalFormatting sqref="Y77:Y80">
    <cfRule type="cellIs" dxfId="61" priority="82" stopIfTrue="1" operator="greaterThan">
      <formula>0.076</formula>
    </cfRule>
  </conditionalFormatting>
  <conditionalFormatting sqref="O81">
    <cfRule type="cellIs" dxfId="60" priority="81" stopIfTrue="1" operator="greaterThan">
      <formula>5</formula>
    </cfRule>
  </conditionalFormatting>
  <conditionalFormatting sqref="Q81">
    <cfRule type="cellIs" dxfId="59" priority="80" stopIfTrue="1" operator="notBetween">
      <formula>5</formula>
      <formula>9</formula>
    </cfRule>
  </conditionalFormatting>
  <conditionalFormatting sqref="R81">
    <cfRule type="cellIs" dxfId="58" priority="79" stopIfTrue="1" operator="greaterThan">
      <formula>75</formula>
    </cfRule>
  </conditionalFormatting>
  <conditionalFormatting sqref="S81">
    <cfRule type="cellIs" dxfId="57" priority="78" stopIfTrue="1" operator="greaterThan">
      <formula>90</formula>
    </cfRule>
  </conditionalFormatting>
  <conditionalFormatting sqref="T81">
    <cfRule type="cellIs" dxfId="56" priority="77" stopIfTrue="1" operator="greaterThan">
      <formula>0.4</formula>
    </cfRule>
  </conditionalFormatting>
  <conditionalFormatting sqref="U81">
    <cfRule type="cellIs" dxfId="55" priority="76" stopIfTrue="1" operator="greaterThan">
      <formula>2.3</formula>
    </cfRule>
  </conditionalFormatting>
  <conditionalFormatting sqref="V81">
    <cfRule type="cellIs" dxfId="54" priority="75" stopIfTrue="1" operator="greaterThan">
      <formula>1.1</formula>
    </cfRule>
  </conditionalFormatting>
  <conditionalFormatting sqref="W81">
    <cfRule type="cellIs" dxfId="53" priority="74" stopIfTrue="1" operator="greaterThan">
      <formula>0.059</formula>
    </cfRule>
  </conditionalFormatting>
  <conditionalFormatting sqref="X81">
    <cfRule type="cellIs" dxfId="52" priority="73" stopIfTrue="1" operator="greaterThan">
      <formula>0.16</formula>
    </cfRule>
  </conditionalFormatting>
  <conditionalFormatting sqref="Y81">
    <cfRule type="cellIs" dxfId="51" priority="72" stopIfTrue="1" operator="greaterThan">
      <formula>0.076</formula>
    </cfRule>
  </conditionalFormatting>
  <conditionalFormatting sqref="O82:O93">
    <cfRule type="cellIs" dxfId="50" priority="71" stopIfTrue="1" operator="greaterThan">
      <formula>5</formula>
    </cfRule>
  </conditionalFormatting>
  <conditionalFormatting sqref="Q82:Q93">
    <cfRule type="cellIs" dxfId="49" priority="70" stopIfTrue="1" operator="notBetween">
      <formula>5</formula>
      <formula>9</formula>
    </cfRule>
  </conditionalFormatting>
  <conditionalFormatting sqref="R82:R93">
    <cfRule type="cellIs" dxfId="48" priority="69" stopIfTrue="1" operator="greaterThan">
      <formula>75</formula>
    </cfRule>
  </conditionalFormatting>
  <conditionalFormatting sqref="S82:S93">
    <cfRule type="cellIs" dxfId="47" priority="68" stopIfTrue="1" operator="greaterThan">
      <formula>90</formula>
    </cfRule>
  </conditionalFormatting>
  <conditionalFormatting sqref="T82:T93">
    <cfRule type="cellIs" dxfId="46" priority="67" stopIfTrue="1" operator="greaterThan">
      <formula>0.4</formula>
    </cfRule>
  </conditionalFormatting>
  <conditionalFormatting sqref="U82:U93">
    <cfRule type="cellIs" dxfId="45" priority="66" stopIfTrue="1" operator="greaterThan">
      <formula>2.3</formula>
    </cfRule>
  </conditionalFormatting>
  <conditionalFormatting sqref="V82:V93">
    <cfRule type="cellIs" dxfId="44" priority="65" stopIfTrue="1" operator="greaterThan">
      <formula>1.1</formula>
    </cfRule>
  </conditionalFormatting>
  <conditionalFormatting sqref="W82:W93">
    <cfRule type="cellIs" dxfId="43" priority="64" stopIfTrue="1" operator="greaterThan">
      <formula>0.059</formula>
    </cfRule>
  </conditionalFormatting>
  <conditionalFormatting sqref="X82:X93">
    <cfRule type="cellIs" dxfId="42" priority="63" stopIfTrue="1" operator="greaterThan">
      <formula>0.16</formula>
    </cfRule>
  </conditionalFormatting>
  <conditionalFormatting sqref="Y82:Y93">
    <cfRule type="cellIs" dxfId="41" priority="62" stopIfTrue="1" operator="greaterThan">
      <formula>0.076</formula>
    </cfRule>
  </conditionalFormatting>
  <conditionalFormatting sqref="O94:O111">
    <cfRule type="cellIs" dxfId="40" priority="31" stopIfTrue="1" operator="greaterThan">
      <formula>5</formula>
    </cfRule>
  </conditionalFormatting>
  <conditionalFormatting sqref="Q94:Q111">
    <cfRule type="cellIs" dxfId="39" priority="30" stopIfTrue="1" operator="notBetween">
      <formula>5</formula>
      <formula>9</formula>
    </cfRule>
  </conditionalFormatting>
  <conditionalFormatting sqref="R94:R111">
    <cfRule type="cellIs" dxfId="38" priority="29" stopIfTrue="1" operator="greaterThan">
      <formula>75</formula>
    </cfRule>
  </conditionalFormatting>
  <conditionalFormatting sqref="S94:S111">
    <cfRule type="cellIs" dxfId="37" priority="28" stopIfTrue="1" operator="greaterThan">
      <formula>90</formula>
    </cfRule>
  </conditionalFormatting>
  <conditionalFormatting sqref="T94:T111">
    <cfRule type="cellIs" dxfId="36" priority="27" stopIfTrue="1" operator="greaterThan">
      <formula>0.4</formula>
    </cfRule>
  </conditionalFormatting>
  <conditionalFormatting sqref="U94:U111">
    <cfRule type="cellIs" dxfId="35" priority="26" stopIfTrue="1" operator="greaterThan">
      <formula>2.3</formula>
    </cfRule>
  </conditionalFormatting>
  <conditionalFormatting sqref="V94:V111">
    <cfRule type="cellIs" dxfId="34" priority="25" stopIfTrue="1" operator="greaterThan">
      <formula>1.1</formula>
    </cfRule>
  </conditionalFormatting>
  <conditionalFormatting sqref="W94:W111">
    <cfRule type="cellIs" dxfId="33" priority="24" stopIfTrue="1" operator="greaterThan">
      <formula>0.059</formula>
    </cfRule>
  </conditionalFormatting>
  <conditionalFormatting sqref="X94:X111">
    <cfRule type="cellIs" dxfId="32" priority="23" stopIfTrue="1" operator="greaterThan">
      <formula>0.16</formula>
    </cfRule>
  </conditionalFormatting>
  <conditionalFormatting sqref="Y94:Y111">
    <cfRule type="cellIs" dxfId="31" priority="22" stopIfTrue="1" operator="greaterThan">
      <formula>0.076</formula>
    </cfRule>
  </conditionalFormatting>
  <conditionalFormatting sqref="O94:O111">
    <cfRule type="cellIs" dxfId="30" priority="21" stopIfTrue="1" operator="greaterThan">
      <formula>5</formula>
    </cfRule>
  </conditionalFormatting>
  <conditionalFormatting sqref="Q94:Q111">
    <cfRule type="cellIs" dxfId="29" priority="20" stopIfTrue="1" operator="notBetween">
      <formula>5</formula>
      <formula>9</formula>
    </cfRule>
  </conditionalFormatting>
  <conditionalFormatting sqref="R94:R111">
    <cfRule type="cellIs" dxfId="28" priority="19" stopIfTrue="1" operator="greaterThan">
      <formula>75</formula>
    </cfRule>
  </conditionalFormatting>
  <conditionalFormatting sqref="S94:S111">
    <cfRule type="cellIs" dxfId="27" priority="18" stopIfTrue="1" operator="greaterThan">
      <formula>90</formula>
    </cfRule>
  </conditionalFormatting>
  <conditionalFormatting sqref="T94:T111">
    <cfRule type="cellIs" dxfId="26" priority="17" stopIfTrue="1" operator="greaterThan">
      <formula>0.4</formula>
    </cfRule>
  </conditionalFormatting>
  <conditionalFormatting sqref="U94:U111">
    <cfRule type="cellIs" dxfId="25" priority="16" stopIfTrue="1" operator="greaterThan">
      <formula>2.3</formula>
    </cfRule>
  </conditionalFormatting>
  <conditionalFormatting sqref="V94:V111">
    <cfRule type="cellIs" dxfId="24" priority="15" stopIfTrue="1" operator="greaterThan">
      <formula>1.1</formula>
    </cfRule>
  </conditionalFormatting>
  <conditionalFormatting sqref="W94:W111">
    <cfRule type="cellIs" dxfId="23" priority="14" stopIfTrue="1" operator="greaterThan">
      <formula>0.059</formula>
    </cfRule>
  </conditionalFormatting>
  <conditionalFormatting sqref="X94:X111">
    <cfRule type="cellIs" dxfId="22" priority="13" stopIfTrue="1" operator="greaterThan">
      <formula>0.16</formula>
    </cfRule>
  </conditionalFormatting>
  <conditionalFormatting sqref="Y94:Y111">
    <cfRule type="cellIs" dxfId="21" priority="12" stopIfTrue="1" operator="greaterThan">
      <formula>0.076</formula>
    </cfRule>
  </conditionalFormatting>
  <conditionalFormatting sqref="O94:O111">
    <cfRule type="cellIs" dxfId="20" priority="41" stopIfTrue="1" operator="greaterThan">
      <formula>5</formula>
    </cfRule>
  </conditionalFormatting>
  <conditionalFormatting sqref="Q94:Q111">
    <cfRule type="cellIs" dxfId="19" priority="40" stopIfTrue="1" operator="notBetween">
      <formula>5</formula>
      <formula>9</formula>
    </cfRule>
  </conditionalFormatting>
  <conditionalFormatting sqref="R94:R111">
    <cfRule type="cellIs" dxfId="18" priority="39" stopIfTrue="1" operator="greaterThan">
      <formula>75</formula>
    </cfRule>
  </conditionalFormatting>
  <conditionalFormatting sqref="S94:S111">
    <cfRule type="cellIs" dxfId="17" priority="38" stopIfTrue="1" operator="greaterThan">
      <formula>90</formula>
    </cfRule>
  </conditionalFormatting>
  <conditionalFormatting sqref="T94:T111">
    <cfRule type="cellIs" dxfId="16" priority="37" stopIfTrue="1" operator="greaterThan">
      <formula>0.4</formula>
    </cfRule>
  </conditionalFormatting>
  <conditionalFormatting sqref="U94:U111">
    <cfRule type="cellIs" dxfId="15" priority="36" stopIfTrue="1" operator="greaterThan">
      <formula>2.3</formula>
    </cfRule>
  </conditionalFormatting>
  <conditionalFormatting sqref="V94:V111">
    <cfRule type="cellIs" dxfId="14" priority="35" stopIfTrue="1" operator="greaterThan">
      <formula>1.1</formula>
    </cfRule>
  </conditionalFormatting>
  <conditionalFormatting sqref="W94:W111">
    <cfRule type="cellIs" dxfId="13" priority="34" stopIfTrue="1" operator="greaterThan">
      <formula>0.059</formula>
    </cfRule>
  </conditionalFormatting>
  <conditionalFormatting sqref="X94:X111">
    <cfRule type="cellIs" dxfId="12" priority="33" stopIfTrue="1" operator="greaterThan">
      <formula>0.16</formula>
    </cfRule>
  </conditionalFormatting>
  <conditionalFormatting sqref="Y94:Y111">
    <cfRule type="cellIs" dxfId="11" priority="32" stopIfTrue="1" operator="greaterThan">
      <formula>0.076</formula>
    </cfRule>
  </conditionalFormatting>
  <conditionalFormatting sqref="O112:O116">
    <cfRule type="cellIs" dxfId="10" priority="11" stopIfTrue="1" operator="greaterThan">
      <formula>5</formula>
    </cfRule>
  </conditionalFormatting>
  <conditionalFormatting sqref="Q112:Q116">
    <cfRule type="cellIs" dxfId="9" priority="10" stopIfTrue="1" operator="notBetween">
      <formula>5</formula>
      <formula>9</formula>
    </cfRule>
  </conditionalFormatting>
  <conditionalFormatting sqref="R112:R116">
    <cfRule type="cellIs" dxfId="8" priority="9" stopIfTrue="1" operator="greaterThan">
      <formula>75</formula>
    </cfRule>
  </conditionalFormatting>
  <conditionalFormatting sqref="S112:S116">
    <cfRule type="cellIs" dxfId="7" priority="8" stopIfTrue="1" operator="greaterThan">
      <formula>90</formula>
    </cfRule>
  </conditionalFormatting>
  <conditionalFormatting sqref="T112:T116">
    <cfRule type="cellIs" dxfId="6" priority="7" stopIfTrue="1" operator="greaterThan">
      <formula>0.4</formula>
    </cfRule>
  </conditionalFormatting>
  <conditionalFormatting sqref="U112:U116">
    <cfRule type="cellIs" dxfId="5" priority="6" stopIfTrue="1" operator="greaterThan">
      <formula>2.3</formula>
    </cfRule>
  </conditionalFormatting>
  <conditionalFormatting sqref="V112:V116">
    <cfRule type="cellIs" dxfId="4" priority="5" stopIfTrue="1" operator="greaterThan">
      <formula>1.1</formula>
    </cfRule>
  </conditionalFormatting>
  <conditionalFormatting sqref="X112:X116">
    <cfRule type="cellIs" dxfId="3" priority="4" stopIfTrue="1" operator="greaterThan">
      <formula>0.16</formula>
    </cfRule>
  </conditionalFormatting>
  <conditionalFormatting sqref="Y112:Y116">
    <cfRule type="cellIs" dxfId="2" priority="3" stopIfTrue="1" operator="greaterThan">
      <formula>0.076</formula>
    </cfRule>
  </conditionalFormatting>
  <conditionalFormatting sqref="AI112:AI116">
    <cfRule type="cellIs" dxfId="1" priority="2" operator="greaterThan">
      <formula>1</formula>
    </cfRule>
  </conditionalFormatting>
  <conditionalFormatting sqref="AH112:AH116">
    <cfRule type="cellIs" dxfId="0" priority="1" operator="greaterThan">
      <formula>0.75</formula>
    </cfRule>
  </conditionalFormatting>
  <pageMargins left="0.7" right="0.7" top="0.75" bottom="0.75" header="0.3" footer="0.3"/>
  <pageSetup orientation="portrait"/>
  <legacy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General &amp; Sec. G Trans</vt:lpstr>
      <vt:lpstr>Sector A-Asphalt</vt:lpstr>
      <vt:lpstr>Sec B-Mines&amp;Quar</vt:lpstr>
      <vt:lpstr>Sector C-Refuse</vt:lpstr>
      <vt:lpstr>Sector D-Auto Sal</vt:lpstr>
      <vt:lpstr>Sector E-Scrap Recyc</vt:lpstr>
      <vt:lpstr>Sector F-Steam Gen</vt:lpstr>
      <vt:lpstr>Sector G-Small Air</vt:lpstr>
      <vt:lpstr>Sec G-Muni&amp;Fed</vt:lpstr>
      <vt:lpstr>Sector G-DOT</vt:lpstr>
      <vt:lpstr>Sec H-Mari&amp;Boat Deal</vt:lpstr>
      <vt:lpstr>Sector I-Ship Bldg&amp;Repair</vt:lpstr>
    </vt:vector>
  </TitlesOfParts>
  <Company>DEP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Dep User</dc:creator>
  <cp:lastModifiedBy>Dooti Roy</cp:lastModifiedBy>
  <cp:lastPrinted>2012-06-14T14:38:11Z</cp:lastPrinted>
  <dcterms:created xsi:type="dcterms:W3CDTF">2012-06-14T12:49:59Z</dcterms:created>
  <dcterms:modified xsi:type="dcterms:W3CDTF">2015-04-10T03:37:10Z</dcterms:modified>
</cp:coreProperties>
</file>